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olatileDependencies.xml" ContentType="application/vnd.openxmlformats-officedocument.spreadsheetml.volatileDependenc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-105" yWindow="-105" windowWidth="30930" windowHeight="16890" tabRatio="739"/>
  </bookViews>
  <sheets>
    <sheet name="雙單連買準確度" sheetId="114" r:id="rId1"/>
    <sheet name="雙比單比準確度" sheetId="74" r:id="rId2"/>
    <sheet name="30權值10櫃" sheetId="118" r:id="rId3"/>
    <sheet name="TSE OTC全部" sheetId="57" r:id="rId4"/>
    <sheet name="看盤" sheetId="28" r:id="rId5"/>
    <sheet name="stock" sheetId="22" r:id="rId6"/>
    <sheet name="321買" sheetId="116" r:id="rId7"/>
    <sheet name="借融券" sheetId="119" r:id="rId8"/>
    <sheet name="連買" sheetId="120" r:id="rId9"/>
    <sheet name="MEMO" sheetId="21" r:id="rId10"/>
    <sheet name="分類" sheetId="85" r:id="rId11"/>
    <sheet name="植物日記" sheetId="115" r:id="rId12"/>
    <sheet name="整理導入表" sheetId="117" r:id="rId13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70" i="74"/>
  <c r="V70"/>
  <c r="W32" i="114"/>
  <c r="V32"/>
  <c r="AG509" i="57"/>
  <c r="AC509"/>
  <c r="AJ509"/>
  <c r="V509"/>
  <c r="AI509" l="1"/>
  <c r="X509"/>
  <c r="Y509" s="1"/>
  <c r="T509"/>
  <c r="R509"/>
  <c r="P509"/>
  <c r="O509"/>
  <c r="N509"/>
  <c r="AG31" i="118"/>
  <c r="AC31"/>
  <c r="AJ31"/>
  <c r="V31"/>
  <c r="AI31" l="1"/>
  <c r="X31"/>
  <c r="Y31" s="1"/>
  <c r="T31"/>
  <c r="R31"/>
  <c r="P31"/>
  <c r="O31"/>
  <c r="N31"/>
  <c r="AG593" i="57"/>
  <c r="AC593"/>
  <c r="V593"/>
  <c r="AJ593"/>
  <c r="AI593" l="1"/>
  <c r="X593"/>
  <c r="Y593" s="1"/>
  <c r="T593"/>
  <c r="R593"/>
  <c r="P593"/>
  <c r="O593"/>
  <c r="N593"/>
  <c r="AG57" i="74"/>
  <c r="AC57"/>
  <c r="X57" l="1"/>
  <c r="Y57" s="1"/>
  <c r="T57"/>
  <c r="R57"/>
  <c r="P57"/>
  <c r="O57"/>
  <c r="N57"/>
  <c r="AG1764" i="57"/>
  <c r="AC1764"/>
  <c r="V1764"/>
  <c r="AJ1764"/>
  <c r="AI1764" l="1"/>
  <c r="X1764"/>
  <c r="Y1764" s="1"/>
  <c r="T1764"/>
  <c r="R1764"/>
  <c r="P1764"/>
  <c r="O1764"/>
  <c r="N1764"/>
  <c r="AG25" i="114"/>
  <c r="AC25"/>
  <c r="X25" l="1"/>
  <c r="Y25" s="1"/>
  <c r="T25"/>
  <c r="R25"/>
  <c r="P25"/>
  <c r="O25"/>
  <c r="N25"/>
  <c r="AG15" i="28"/>
  <c r="AG16"/>
  <c r="AG18"/>
  <c r="AG19"/>
  <c r="AG22"/>
  <c r="AG20"/>
  <c r="AG21"/>
  <c r="AG17"/>
  <c r="AG23"/>
  <c r="AG24"/>
  <c r="AG25"/>
  <c r="AG26"/>
  <c r="AG27"/>
  <c r="AG28"/>
  <c r="AG30"/>
  <c r="AG29"/>
  <c r="AG31"/>
  <c r="AG33"/>
  <c r="AG34"/>
  <c r="AG32"/>
  <c r="AG35"/>
  <c r="AG36"/>
  <c r="AG37"/>
  <c r="AG38"/>
  <c r="AG39"/>
  <c r="AG10"/>
  <c r="AG11"/>
  <c r="AG12"/>
  <c r="AG13"/>
  <c r="W50" i="74"/>
  <c r="AJ14" i="28"/>
  <c r="R31" i="114"/>
  <c r="R29"/>
  <c r="R5"/>
  <c r="R6"/>
  <c r="R7"/>
  <c r="R8"/>
  <c r="R9"/>
  <c r="R10"/>
  <c r="R27"/>
  <c r="R11"/>
  <c r="R12"/>
  <c r="R13"/>
  <c r="R14"/>
  <c r="R15"/>
  <c r="R16"/>
  <c r="R17"/>
  <c r="R18"/>
  <c r="R19"/>
  <c r="R28"/>
  <c r="R4"/>
  <c r="R3"/>
  <c r="AC41" i="118"/>
  <c r="AC40"/>
  <c r="AC39"/>
  <c r="AC38"/>
  <c r="AC37"/>
  <c r="AC36"/>
  <c r="AC35"/>
  <c r="AC34"/>
  <c r="AC33"/>
  <c r="AC32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AC4"/>
  <c r="AC3"/>
  <c r="AC2"/>
  <c r="AG41"/>
  <c r="V41"/>
  <c r="V17" i="28"/>
  <c r="V32"/>
  <c r="V25"/>
  <c r="V16"/>
  <c r="V19"/>
  <c r="V35"/>
  <c r="V27"/>
  <c r="V34"/>
  <c r="V20"/>
  <c r="V21"/>
  <c r="V30"/>
  <c r="V33"/>
  <c r="V39"/>
  <c r="V29"/>
  <c r="V28"/>
  <c r="V22"/>
  <c r="V23"/>
  <c r="AJ41" i="118"/>
  <c r="V26" i="28"/>
  <c r="V38"/>
  <c r="V18"/>
  <c r="V31"/>
  <c r="V37"/>
  <c r="V24"/>
  <c r="V36"/>
  <c r="X17" l="1"/>
  <c r="Y17" s="1"/>
  <c r="X22"/>
  <c r="Y22" s="1"/>
  <c r="X23"/>
  <c r="Y23" s="1"/>
  <c r="X24"/>
  <c r="Y24" s="1"/>
  <c r="X26"/>
  <c r="Y26" s="1"/>
  <c r="X33"/>
  <c r="Y33" s="1"/>
  <c r="X34"/>
  <c r="Y34" s="1"/>
  <c r="X27"/>
  <c r="Y27" s="1"/>
  <c r="X28"/>
  <c r="Y28" s="1"/>
  <c r="X31"/>
  <c r="Y31" s="1"/>
  <c r="X35"/>
  <c r="Y35" s="1"/>
  <c r="X29"/>
  <c r="Y29" s="1"/>
  <c r="AI41" i="118"/>
  <c r="X41"/>
  <c r="Y41" s="1"/>
  <c r="T41"/>
  <c r="R41"/>
  <c r="P41"/>
  <c r="O41"/>
  <c r="N41"/>
  <c r="AG40"/>
  <c r="AJ40"/>
  <c r="V40"/>
  <c r="AI40" l="1"/>
  <c r="X40"/>
  <c r="Y40" s="1"/>
  <c r="T40"/>
  <c r="R40"/>
  <c r="P40"/>
  <c r="O40"/>
  <c r="N40"/>
  <c r="AG39"/>
  <c r="V39"/>
  <c r="AJ39"/>
  <c r="AI39" l="1"/>
  <c r="X39"/>
  <c r="Y39" s="1"/>
  <c r="T39"/>
  <c r="R39"/>
  <c r="P39"/>
  <c r="O39"/>
  <c r="N39"/>
  <c r="AG38"/>
  <c r="AJ38"/>
  <c r="V38"/>
  <c r="AI38" l="1"/>
  <c r="X38"/>
  <c r="Y38" s="1"/>
  <c r="T38"/>
  <c r="R38"/>
  <c r="P38"/>
  <c r="O38"/>
  <c r="N38"/>
  <c r="AG37"/>
  <c r="AJ37"/>
  <c r="V37"/>
  <c r="AI37" l="1"/>
  <c r="X37"/>
  <c r="Y37" s="1"/>
  <c r="T37"/>
  <c r="R37"/>
  <c r="P37"/>
  <c r="O37"/>
  <c r="N37"/>
  <c r="AG36"/>
  <c r="V36"/>
  <c r="AJ36"/>
  <c r="AI36" l="1"/>
  <c r="X36"/>
  <c r="Y36" s="1"/>
  <c r="T36"/>
  <c r="R36"/>
  <c r="P36"/>
  <c r="O36"/>
  <c r="N36"/>
  <c r="AG35"/>
  <c r="AJ35"/>
  <c r="V35"/>
  <c r="AI35" l="1"/>
  <c r="X35"/>
  <c r="Y35" s="1"/>
  <c r="T35"/>
  <c r="R35"/>
  <c r="P35"/>
  <c r="O35"/>
  <c r="N35"/>
  <c r="AG34"/>
  <c r="V34"/>
  <c r="AJ34"/>
  <c r="AI34" l="1"/>
  <c r="X34"/>
  <c r="Y34" s="1"/>
  <c r="T34"/>
  <c r="R34"/>
  <c r="P34"/>
  <c r="O34"/>
  <c r="N34"/>
  <c r="AG33"/>
  <c r="V33"/>
  <c r="AJ33"/>
  <c r="AI33" l="1"/>
  <c r="X33"/>
  <c r="Y33" s="1"/>
  <c r="T33"/>
  <c r="R33"/>
  <c r="P33"/>
  <c r="O33"/>
  <c r="N33"/>
  <c r="AG32"/>
  <c r="V32"/>
  <c r="AJ32"/>
  <c r="AI32" l="1"/>
  <c r="X32"/>
  <c r="Y32" s="1"/>
  <c r="T32"/>
  <c r="R32"/>
  <c r="P32"/>
  <c r="O32"/>
  <c r="N32"/>
  <c r="V30"/>
  <c r="AJ30"/>
  <c r="AI30" l="1"/>
  <c r="X30"/>
  <c r="Y30" s="1"/>
  <c r="T30"/>
  <c r="R30"/>
  <c r="P30"/>
  <c r="O30"/>
  <c r="N30"/>
  <c r="AG29"/>
  <c r="V29"/>
  <c r="AJ29"/>
  <c r="AI29" l="1"/>
  <c r="X29"/>
  <c r="Y29" s="1"/>
  <c r="T29"/>
  <c r="R29"/>
  <c r="P29"/>
  <c r="O29"/>
  <c r="N29"/>
  <c r="AG28"/>
  <c r="V28"/>
  <c r="AJ28"/>
  <c r="AI28" l="1"/>
  <c r="X28"/>
  <c r="Y28" s="1"/>
  <c r="T28"/>
  <c r="R28"/>
  <c r="P28"/>
  <c r="O28"/>
  <c r="N28"/>
  <c r="AG27"/>
  <c r="V27"/>
  <c r="AJ27"/>
  <c r="AI27" l="1"/>
  <c r="X27"/>
  <c r="Y27" s="1"/>
  <c r="T27"/>
  <c r="R27"/>
  <c r="P27"/>
  <c r="O27"/>
  <c r="N27"/>
  <c r="AG26"/>
  <c r="V26"/>
  <c r="AJ26"/>
  <c r="AI26" l="1"/>
  <c r="X26"/>
  <c r="Y26" s="1"/>
  <c r="T26"/>
  <c r="R26"/>
  <c r="P26"/>
  <c r="O26"/>
  <c r="N26"/>
  <c r="AG25"/>
  <c r="V25"/>
  <c r="AJ25"/>
  <c r="AI25" l="1"/>
  <c r="X25"/>
  <c r="Y25" s="1"/>
  <c r="T25"/>
  <c r="R25"/>
  <c r="P25"/>
  <c r="O25"/>
  <c r="N25"/>
  <c r="AG24"/>
  <c r="V24"/>
  <c r="AJ24"/>
  <c r="AI24" l="1"/>
  <c r="X24"/>
  <c r="Y24" s="1"/>
  <c r="T24"/>
  <c r="R24"/>
  <c r="P24"/>
  <c r="O24"/>
  <c r="N24"/>
  <c r="AG23"/>
  <c r="V23"/>
  <c r="AJ23"/>
  <c r="AI23" l="1"/>
  <c r="X23"/>
  <c r="Y23" s="1"/>
  <c r="T23"/>
  <c r="R23"/>
  <c r="P23"/>
  <c r="O23"/>
  <c r="N23"/>
  <c r="AG22"/>
  <c r="V22"/>
  <c r="AJ22"/>
  <c r="AI22" l="1"/>
  <c r="X22"/>
  <c r="Y22" s="1"/>
  <c r="T22"/>
  <c r="R22"/>
  <c r="P22"/>
  <c r="O22"/>
  <c r="N22"/>
  <c r="AG21"/>
  <c r="V21"/>
  <c r="AJ21"/>
  <c r="AI21" l="1"/>
  <c r="X21"/>
  <c r="Y21" s="1"/>
  <c r="T21"/>
  <c r="R21"/>
  <c r="P21"/>
  <c r="O21"/>
  <c r="N21"/>
  <c r="AG20"/>
  <c r="V20"/>
  <c r="AJ20"/>
  <c r="AI20" l="1"/>
  <c r="X20"/>
  <c r="Y20" s="1"/>
  <c r="T20"/>
  <c r="R20"/>
  <c r="P20"/>
  <c r="O20"/>
  <c r="N20"/>
  <c r="AG19"/>
  <c r="V19"/>
  <c r="AJ19"/>
  <c r="AI19" l="1"/>
  <c r="X19"/>
  <c r="Y19" s="1"/>
  <c r="T19"/>
  <c r="R19"/>
  <c r="P19"/>
  <c r="O19"/>
  <c r="N19"/>
  <c r="AG18"/>
  <c r="V18"/>
  <c r="AJ18"/>
  <c r="AI18" l="1"/>
  <c r="X18"/>
  <c r="Y18" s="1"/>
  <c r="T18"/>
  <c r="R18"/>
  <c r="P18"/>
  <c r="O18"/>
  <c r="N18"/>
  <c r="AG17"/>
  <c r="V17"/>
  <c r="AJ17"/>
  <c r="AI17" l="1"/>
  <c r="X17"/>
  <c r="Y17" s="1"/>
  <c r="T17"/>
  <c r="R17"/>
  <c r="P17"/>
  <c r="O17"/>
  <c r="N17"/>
  <c r="AG16"/>
  <c r="V16"/>
  <c r="AJ16"/>
  <c r="AI16" l="1"/>
  <c r="X16"/>
  <c r="Y16" s="1"/>
  <c r="T16"/>
  <c r="R16"/>
  <c r="P16"/>
  <c r="O16"/>
  <c r="N16"/>
  <c r="AG15"/>
  <c r="V15"/>
  <c r="AJ15"/>
  <c r="AI15" l="1"/>
  <c r="X15"/>
  <c r="Y15" s="1"/>
  <c r="T15"/>
  <c r="R15"/>
  <c r="P15"/>
  <c r="O15"/>
  <c r="N15"/>
  <c r="AG14"/>
  <c r="AJ14"/>
  <c r="V14"/>
  <c r="AI14" l="1"/>
  <c r="X14"/>
  <c r="Y14" s="1"/>
  <c r="T14"/>
  <c r="R14"/>
  <c r="P14"/>
  <c r="O14"/>
  <c r="N14"/>
  <c r="AG13"/>
  <c r="V13"/>
  <c r="AJ13"/>
  <c r="AI13" l="1"/>
  <c r="X13"/>
  <c r="Y13" s="1"/>
  <c r="T13"/>
  <c r="R13"/>
  <c r="P13"/>
  <c r="O13"/>
  <c r="N13"/>
  <c r="V12"/>
  <c r="AJ12"/>
  <c r="AI12" l="1"/>
  <c r="X12"/>
  <c r="Y12" s="1"/>
  <c r="T12"/>
  <c r="R12"/>
  <c r="P12"/>
  <c r="O12"/>
  <c r="N12"/>
  <c r="V11"/>
  <c r="AJ11"/>
  <c r="AI11" l="1"/>
  <c r="X11"/>
  <c r="Y11" s="1"/>
  <c r="T11"/>
  <c r="R11"/>
  <c r="P11"/>
  <c r="O11"/>
  <c r="N11"/>
  <c r="V10"/>
  <c r="AJ10"/>
  <c r="AI10" l="1"/>
  <c r="X10"/>
  <c r="Y10" s="1"/>
  <c r="T10"/>
  <c r="R10"/>
  <c r="P10"/>
  <c r="O10"/>
  <c r="N10"/>
  <c r="AG9"/>
  <c r="V9"/>
  <c r="AJ9"/>
  <c r="AI9" l="1"/>
  <c r="X9"/>
  <c r="Y9" s="1"/>
  <c r="T9"/>
  <c r="R9"/>
  <c r="P9"/>
  <c r="O9"/>
  <c r="N9"/>
  <c r="AG8"/>
  <c r="V8"/>
  <c r="AJ8"/>
  <c r="AI8" l="1"/>
  <c r="X8"/>
  <c r="Y8" s="1"/>
  <c r="T8"/>
  <c r="R8"/>
  <c r="P8"/>
  <c r="O8"/>
  <c r="N8"/>
  <c r="AG7"/>
  <c r="V7"/>
  <c r="AJ7"/>
  <c r="AI7" l="1"/>
  <c r="X7"/>
  <c r="Y7" s="1"/>
  <c r="T7"/>
  <c r="R7"/>
  <c r="P7"/>
  <c r="O7"/>
  <c r="N7"/>
  <c r="AG6"/>
  <c r="V6"/>
  <c r="AJ6"/>
  <c r="AI6" l="1"/>
  <c r="X6"/>
  <c r="Y6" s="1"/>
  <c r="T6"/>
  <c r="R6"/>
  <c r="P6"/>
  <c r="O6"/>
  <c r="N6"/>
  <c r="AG5"/>
  <c r="V5"/>
  <c r="AJ5"/>
  <c r="AI5" l="1"/>
  <c r="X5"/>
  <c r="Y5" s="1"/>
  <c r="T5"/>
  <c r="R5"/>
  <c r="P5"/>
  <c r="O5"/>
  <c r="N5"/>
  <c r="AG4"/>
  <c r="V4"/>
  <c r="AJ4"/>
  <c r="AI4" l="1"/>
  <c r="X4"/>
  <c r="Y4" s="1"/>
  <c r="T4"/>
  <c r="R4"/>
  <c r="P4"/>
  <c r="O4"/>
  <c r="N4"/>
  <c r="AG3"/>
  <c r="V3"/>
  <c r="AJ3"/>
  <c r="AI3" l="1"/>
  <c r="X3"/>
  <c r="Y3" s="1"/>
  <c r="T3"/>
  <c r="R3"/>
  <c r="P3"/>
  <c r="O3"/>
  <c r="N3"/>
  <c r="AG2"/>
  <c r="V2"/>
  <c r="AJ2"/>
  <c r="AI2" l="1"/>
  <c r="X2"/>
  <c r="Y2" s="1"/>
  <c r="T2"/>
  <c r="R2"/>
  <c r="P2"/>
  <c r="O2"/>
  <c r="N2"/>
  <c r="AG475" i="57"/>
  <c r="AC475"/>
  <c r="V475"/>
  <c r="AJ475"/>
  <c r="AI475" l="1"/>
  <c r="X475"/>
  <c r="Y475" s="1"/>
  <c r="T475"/>
  <c r="R475"/>
  <c r="P475"/>
  <c r="O475"/>
  <c r="N475"/>
  <c r="AG606"/>
  <c r="AC606"/>
  <c r="V606"/>
  <c r="AJ606"/>
  <c r="AI606" l="1"/>
  <c r="X606"/>
  <c r="Y606" s="1"/>
  <c r="T606"/>
  <c r="R606"/>
  <c r="P606"/>
  <c r="O606"/>
  <c r="N606"/>
  <c r="AG544"/>
  <c r="AC544"/>
  <c r="V544"/>
  <c r="AJ544"/>
  <c r="AI544" l="1"/>
  <c r="X544"/>
  <c r="Y544" s="1"/>
  <c r="T544"/>
  <c r="R544"/>
  <c r="P544"/>
  <c r="O544"/>
  <c r="N544"/>
  <c r="AG743"/>
  <c r="AC743"/>
  <c r="V743"/>
  <c r="AJ743"/>
  <c r="AI743" l="1"/>
  <c r="X743"/>
  <c r="Y743" s="1"/>
  <c r="T743"/>
  <c r="R743"/>
  <c r="P743"/>
  <c r="O743"/>
  <c r="N743"/>
  <c r="AG3" i="74"/>
  <c r="AC3"/>
  <c r="V3"/>
  <c r="AJ3"/>
  <c r="AI3" l="1"/>
  <c r="X3"/>
  <c r="Y3" s="1"/>
  <c r="T3"/>
  <c r="R3"/>
  <c r="P3"/>
  <c r="O3"/>
  <c r="N3"/>
  <c r="AG55"/>
  <c r="AC55"/>
  <c r="X55" l="1"/>
  <c r="Y55" s="1"/>
  <c r="T55"/>
  <c r="R55"/>
  <c r="P55"/>
  <c r="O55"/>
  <c r="N55"/>
  <c r="AG58"/>
  <c r="AC58"/>
  <c r="X58" l="1"/>
  <c r="Y58" s="1"/>
  <c r="T58"/>
  <c r="R58"/>
  <c r="P58"/>
  <c r="O58"/>
  <c r="N58"/>
  <c r="AG56"/>
  <c r="AC56"/>
  <c r="X56" l="1"/>
  <c r="Y56" s="1"/>
  <c r="T56"/>
  <c r="R56"/>
  <c r="P56"/>
  <c r="O56"/>
  <c r="N56"/>
  <c r="AG1379" i="57"/>
  <c r="AC1379"/>
  <c r="V1379"/>
  <c r="AJ1379"/>
  <c r="AI1379" l="1"/>
  <c r="X1379"/>
  <c r="Y1379" s="1"/>
  <c r="T1379"/>
  <c r="R1379"/>
  <c r="P1379"/>
  <c r="O1379"/>
  <c r="N1379"/>
  <c r="AG614"/>
  <c r="AC614"/>
  <c r="V614"/>
  <c r="AJ614"/>
  <c r="AI614" l="1"/>
  <c r="X614"/>
  <c r="Y614" s="1"/>
  <c r="T614"/>
  <c r="R614"/>
  <c r="P614"/>
  <c r="O614"/>
  <c r="N614"/>
  <c r="AG361"/>
  <c r="AC361"/>
  <c r="V361"/>
  <c r="AJ361"/>
  <c r="AI361" l="1"/>
  <c r="X361"/>
  <c r="Y361" s="1"/>
  <c r="T361"/>
  <c r="R361"/>
  <c r="P361"/>
  <c r="O361"/>
  <c r="N361"/>
  <c r="AG1424"/>
  <c r="AC1424"/>
  <c r="V1424"/>
  <c r="AJ1424"/>
  <c r="AI1424" l="1"/>
  <c r="X1424"/>
  <c r="Y1424" s="1"/>
  <c r="T1424"/>
  <c r="R1424"/>
  <c r="P1424"/>
  <c r="O1424"/>
  <c r="N1424"/>
  <c r="AC5"/>
  <c r="AC6"/>
  <c r="AC7"/>
  <c r="AC8"/>
  <c r="AC9"/>
  <c r="AC10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7"/>
  <c r="AC98"/>
  <c r="AC99"/>
  <c r="AC100"/>
  <c r="AC101"/>
  <c r="AC102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8"/>
  <c r="AC129"/>
  <c r="AC130"/>
  <c r="AC131"/>
  <c r="AC132"/>
  <c r="AC133"/>
  <c r="AC134"/>
  <c r="AC135"/>
  <c r="AC136"/>
  <c r="AC137"/>
  <c r="AC138"/>
  <c r="AC139"/>
  <c r="AC140"/>
  <c r="AC141"/>
  <c r="AC142"/>
  <c r="AC143"/>
  <c r="AC144"/>
  <c r="AC145"/>
  <c r="AC146"/>
  <c r="AC147"/>
  <c r="AC148"/>
  <c r="AC149"/>
  <c r="AC150"/>
  <c r="AC151"/>
  <c r="AC152"/>
  <c r="AC153"/>
  <c r="AC154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183"/>
  <c r="AC184"/>
  <c r="AC185"/>
  <c r="AC186"/>
  <c r="AC187"/>
  <c r="AC188"/>
  <c r="AC189"/>
  <c r="AC190"/>
  <c r="AC191"/>
  <c r="AC192"/>
  <c r="AC193"/>
  <c r="AC194"/>
  <c r="AC195"/>
  <c r="AC196"/>
  <c r="AC197"/>
  <c r="AC198"/>
  <c r="AC199"/>
  <c r="AC200"/>
  <c r="AC201"/>
  <c r="AC202"/>
  <c r="AC203"/>
  <c r="AC204"/>
  <c r="AC205"/>
  <c r="AC206"/>
  <c r="AC207"/>
  <c r="AC208"/>
  <c r="AC209"/>
  <c r="AC210"/>
  <c r="AC211"/>
  <c r="AC212"/>
  <c r="AC213"/>
  <c r="AC214"/>
  <c r="AC215"/>
  <c r="AC216"/>
  <c r="AC217"/>
  <c r="AC218"/>
  <c r="AC219"/>
  <c r="AC220"/>
  <c r="AC221"/>
  <c r="AC224"/>
  <c r="AC225"/>
  <c r="AC226"/>
  <c r="AC227"/>
  <c r="AC228"/>
  <c r="AC229"/>
  <c r="AC230"/>
  <c r="AC231"/>
  <c r="AC232"/>
  <c r="AC233"/>
  <c r="AC234"/>
  <c r="AC235"/>
  <c r="AC236"/>
  <c r="AC237"/>
  <c r="AC238"/>
  <c r="AC239"/>
  <c r="AC240"/>
  <c r="AC243"/>
  <c r="AC244"/>
  <c r="AC245"/>
  <c r="AC246"/>
  <c r="AC247"/>
  <c r="AC248"/>
  <c r="AC249"/>
  <c r="AC250"/>
  <c r="AC251"/>
  <c r="AC252"/>
  <c r="AC253"/>
  <c r="AC254"/>
  <c r="AC255"/>
  <c r="AC256"/>
  <c r="AC257"/>
  <c r="AC258"/>
  <c r="AC259"/>
  <c r="AC260"/>
  <c r="AC261"/>
  <c r="AC262"/>
  <c r="AC263"/>
  <c r="AC264"/>
  <c r="AC265"/>
  <c r="AC266"/>
  <c r="AC267"/>
  <c r="AC268"/>
  <c r="AC269"/>
  <c r="AC270"/>
  <c r="AC271"/>
  <c r="AC272"/>
  <c r="AC273"/>
  <c r="AC274"/>
  <c r="AC275"/>
  <c r="AC276"/>
  <c r="AC277"/>
  <c r="AC278"/>
  <c r="AC279"/>
  <c r="AC280"/>
  <c r="AC281"/>
  <c r="AC282"/>
  <c r="AC283"/>
  <c r="AC284"/>
  <c r="AC285"/>
  <c r="AC288"/>
  <c r="AC289"/>
  <c r="AC290"/>
  <c r="AC291"/>
  <c r="AC292"/>
  <c r="AC293"/>
  <c r="AC294"/>
  <c r="AC295"/>
  <c r="AC296"/>
  <c r="AC297"/>
  <c r="AC298"/>
  <c r="AC299"/>
  <c r="AC300"/>
  <c r="AC301"/>
  <c r="AC302"/>
  <c r="AC303"/>
  <c r="AC304"/>
  <c r="AC305"/>
  <c r="AC306"/>
  <c r="AC307"/>
  <c r="AC308"/>
  <c r="AC309"/>
  <c r="AC310"/>
  <c r="AC311"/>
  <c r="AC312"/>
  <c r="AC313"/>
  <c r="AC314"/>
  <c r="AC315"/>
  <c r="AC316"/>
  <c r="AC317"/>
  <c r="AC318"/>
  <c r="AC319"/>
  <c r="AC320"/>
  <c r="AC321"/>
  <c r="AC322"/>
  <c r="AC323"/>
  <c r="AC324"/>
  <c r="AC325"/>
  <c r="AC326"/>
  <c r="AC327"/>
  <c r="AC328"/>
  <c r="AC329"/>
  <c r="AC330"/>
  <c r="AC331"/>
  <c r="AC332"/>
  <c r="AC333"/>
  <c r="AC334"/>
  <c r="AC335"/>
  <c r="AC336"/>
  <c r="AC337"/>
  <c r="AC338"/>
  <c r="AC339"/>
  <c r="AC340"/>
  <c r="AC341"/>
  <c r="AC342"/>
  <c r="AC343"/>
  <c r="AC344"/>
  <c r="AC345"/>
  <c r="AC346"/>
  <c r="AC347"/>
  <c r="AC348"/>
  <c r="AC349"/>
  <c r="AC350"/>
  <c r="AC351"/>
  <c r="AC352"/>
  <c r="AC353"/>
  <c r="AC354"/>
  <c r="AC355"/>
  <c r="AC356"/>
  <c r="AC357"/>
  <c r="AC358"/>
  <c r="AC359"/>
  <c r="AC360"/>
  <c r="AC362"/>
  <c r="AC363"/>
  <c r="AC364"/>
  <c r="AC365"/>
  <c r="AC366"/>
  <c r="AC367"/>
  <c r="AC368"/>
  <c r="AC369"/>
  <c r="AC370"/>
  <c r="AC371"/>
  <c r="AC372"/>
  <c r="AC373"/>
  <c r="AC374"/>
  <c r="AC375"/>
  <c r="AC376"/>
  <c r="AC377"/>
  <c r="AC378"/>
  <c r="AC379"/>
  <c r="AC380"/>
  <c r="AC381"/>
  <c r="AC382"/>
  <c r="AC383"/>
  <c r="AC384"/>
  <c r="AC385"/>
  <c r="AC386"/>
  <c r="AC387"/>
  <c r="AC388"/>
  <c r="AC389"/>
  <c r="AC390"/>
  <c r="AC391"/>
  <c r="AC392"/>
  <c r="AC393"/>
  <c r="AC394"/>
  <c r="AC395"/>
  <c r="AC396"/>
  <c r="AC397"/>
  <c r="AC398"/>
  <c r="AC399"/>
  <c r="AC400"/>
  <c r="AC401"/>
  <c r="AC402"/>
  <c r="AC403"/>
  <c r="AC404"/>
  <c r="AC405"/>
  <c r="AC406"/>
  <c r="AC407"/>
  <c r="AC408"/>
  <c r="AC409"/>
  <c r="AC410"/>
  <c r="AC411"/>
  <c r="AC412"/>
  <c r="AC413"/>
  <c r="AC416"/>
  <c r="AC417"/>
  <c r="AC418"/>
  <c r="AC419"/>
  <c r="AC420"/>
  <c r="AC423"/>
  <c r="AC424"/>
  <c r="AC425"/>
  <c r="AC426"/>
  <c r="AC427"/>
  <c r="AC428"/>
  <c r="AC431"/>
  <c r="AC432"/>
  <c r="AC433"/>
  <c r="AC434"/>
  <c r="AC435"/>
  <c r="AC436"/>
  <c r="AC437"/>
  <c r="AC438"/>
  <c r="AC439"/>
  <c r="AC440"/>
  <c r="AC441"/>
  <c r="AC442"/>
  <c r="AC443"/>
  <c r="AC444"/>
  <c r="AC445"/>
  <c r="AC446"/>
  <c r="AC447"/>
  <c r="AC448"/>
  <c r="AC449"/>
  <c r="AC450"/>
  <c r="AC451"/>
  <c r="AC452"/>
  <c r="AC453"/>
  <c r="AC454"/>
  <c r="AC455"/>
  <c r="AC456"/>
  <c r="AC457"/>
  <c r="AC458"/>
  <c r="AC459"/>
  <c r="AC460"/>
  <c r="AC461"/>
  <c r="AC462"/>
  <c r="AC463"/>
  <c r="AC464"/>
  <c r="AC465"/>
  <c r="AC466"/>
  <c r="AC467"/>
  <c r="AC468"/>
  <c r="AC469"/>
  <c r="AC470"/>
  <c r="AC471"/>
  <c r="AC472"/>
  <c r="AC473"/>
  <c r="AC474"/>
  <c r="AC476"/>
  <c r="AC479"/>
  <c r="AC480"/>
  <c r="AC481"/>
  <c r="AC482"/>
  <c r="AC483"/>
  <c r="AC484"/>
  <c r="AC485"/>
  <c r="AC486"/>
  <c r="AC487"/>
  <c r="AC488"/>
  <c r="AC489"/>
  <c r="AC490"/>
  <c r="AC493"/>
  <c r="AC494"/>
  <c r="AC495"/>
  <c r="AC496"/>
  <c r="AC497"/>
  <c r="AC498"/>
  <c r="AC499"/>
  <c r="AC500"/>
  <c r="AC501"/>
  <c r="AC502"/>
  <c r="AC503"/>
  <c r="AC504"/>
  <c r="AC505"/>
  <c r="AC506"/>
  <c r="AC507"/>
  <c r="AC508"/>
  <c r="AC510"/>
  <c r="AC511"/>
  <c r="AC512"/>
  <c r="AC513"/>
  <c r="AC514"/>
  <c r="AC515"/>
  <c r="AC516"/>
  <c r="AC517"/>
  <c r="AC518"/>
  <c r="AC519"/>
  <c r="AC520"/>
  <c r="AC521"/>
  <c r="AC522"/>
  <c r="AC523"/>
  <c r="AC524"/>
  <c r="AC525"/>
  <c r="AC528"/>
  <c r="AC529"/>
  <c r="AC530"/>
  <c r="AC531"/>
  <c r="AC532"/>
  <c r="AC533"/>
  <c r="AC534"/>
  <c r="AC535"/>
  <c r="AC536"/>
  <c r="AC537"/>
  <c r="AC538"/>
  <c r="AC539"/>
  <c r="AC540"/>
  <c r="AC541"/>
  <c r="AC542"/>
  <c r="AC543"/>
  <c r="AC545"/>
  <c r="AC546"/>
  <c r="AC547"/>
  <c r="AC548"/>
  <c r="AC549"/>
  <c r="AC550"/>
  <c r="AC551"/>
  <c r="AC552"/>
  <c r="AC553"/>
  <c r="AC554"/>
  <c r="AC555"/>
  <c r="AC556"/>
  <c r="AC557"/>
  <c r="AC558"/>
  <c r="AC559"/>
  <c r="AC560"/>
  <c r="AC561"/>
  <c r="AC562"/>
  <c r="AC563"/>
  <c r="AC564"/>
  <c r="AC565"/>
  <c r="AC566"/>
  <c r="AC567"/>
  <c r="AC568"/>
  <c r="AC569"/>
  <c r="AC570"/>
  <c r="AC571"/>
  <c r="AC572"/>
  <c r="AC573"/>
  <c r="AC574"/>
  <c r="AC575"/>
  <c r="AC576"/>
  <c r="AC577"/>
  <c r="AC578"/>
  <c r="AC579"/>
  <c r="AC580"/>
  <c r="AC581"/>
  <c r="AC582"/>
  <c r="AC583"/>
  <c r="AC584"/>
  <c r="AC585"/>
  <c r="AC586"/>
  <c r="AC587"/>
  <c r="AC588"/>
  <c r="AC589"/>
  <c r="AC590"/>
  <c r="AC591"/>
  <c r="AC592"/>
  <c r="AC594"/>
  <c r="AC595"/>
  <c r="AC596"/>
  <c r="AC597"/>
  <c r="AC598"/>
  <c r="AC599"/>
  <c r="AC600"/>
  <c r="AC601"/>
  <c r="AC602"/>
  <c r="AC603"/>
  <c r="AC604"/>
  <c r="AC605"/>
  <c r="AC607"/>
  <c r="AC608"/>
  <c r="AC609"/>
  <c r="AC610"/>
  <c r="AC611"/>
  <c r="AC612"/>
  <c r="AC613"/>
  <c r="AC615"/>
  <c r="AC616"/>
  <c r="AC617"/>
  <c r="AC618"/>
  <c r="AC619"/>
  <c r="AC620"/>
  <c r="AC621"/>
  <c r="AC622"/>
  <c r="AC623"/>
  <c r="AC624"/>
  <c r="AC625"/>
  <c r="AC626"/>
  <c r="AC627"/>
  <c r="AC628"/>
  <c r="AC629"/>
  <c r="AC630"/>
  <c r="AC631"/>
  <c r="AC632"/>
  <c r="AC633"/>
  <c r="AC634"/>
  <c r="AC635"/>
  <c r="AC636"/>
  <c r="AC637"/>
  <c r="AC638"/>
  <c r="AC639"/>
  <c r="AC640"/>
  <c r="AC641"/>
  <c r="AC642"/>
  <c r="AC643"/>
  <c r="AC644"/>
  <c r="AC645"/>
  <c r="AC646"/>
  <c r="AC647"/>
  <c r="AC648"/>
  <c r="AC649"/>
  <c r="AC650"/>
  <c r="AC651"/>
  <c r="AC652"/>
  <c r="AC653"/>
  <c r="AC654"/>
  <c r="AC655"/>
  <c r="AC656"/>
  <c r="AC657"/>
  <c r="AC658"/>
  <c r="AC659"/>
  <c r="AC660"/>
  <c r="AC661"/>
  <c r="AC662"/>
  <c r="AC663"/>
  <c r="AC664"/>
  <c r="AC665"/>
  <c r="AC666"/>
  <c r="AC667"/>
  <c r="AC668"/>
  <c r="AC669"/>
  <c r="AC670"/>
  <c r="AC671"/>
  <c r="AC672"/>
  <c r="AC673"/>
  <c r="AC674"/>
  <c r="AC675"/>
  <c r="AC676"/>
  <c r="AC677"/>
  <c r="AC678"/>
  <c r="AC679"/>
  <c r="AC680"/>
  <c r="AC681"/>
  <c r="AC682"/>
  <c r="AC683"/>
  <c r="AC684"/>
  <c r="AC685"/>
  <c r="AC686"/>
  <c r="AC687"/>
  <c r="AC688"/>
  <c r="AC689"/>
  <c r="AC690"/>
  <c r="AC691"/>
  <c r="AC692"/>
  <c r="AC693"/>
  <c r="AC694"/>
  <c r="AC697"/>
  <c r="AC698"/>
  <c r="AC699"/>
  <c r="AC700"/>
  <c r="AC701"/>
  <c r="AC702"/>
  <c r="AC703"/>
  <c r="AC704"/>
  <c r="AC705"/>
  <c r="AC706"/>
  <c r="AC707"/>
  <c r="AC708"/>
  <c r="AC709"/>
  <c r="AC710"/>
  <c r="AC711"/>
  <c r="AC712"/>
  <c r="AC713"/>
  <c r="AC714"/>
  <c r="AC715"/>
  <c r="AC716"/>
  <c r="AC717"/>
  <c r="AC718"/>
  <c r="AC719"/>
  <c r="AC720"/>
  <c r="AC721"/>
  <c r="AC722"/>
  <c r="AC723"/>
  <c r="AC724"/>
  <c r="AC725"/>
  <c r="AC726"/>
  <c r="AC727"/>
  <c r="AC728"/>
  <c r="AC729"/>
  <c r="AC730"/>
  <c r="AC731"/>
  <c r="AC732"/>
  <c r="AC733"/>
  <c r="AC734"/>
  <c r="AC735"/>
  <c r="AC736"/>
  <c r="AC737"/>
  <c r="AC738"/>
  <c r="AC739"/>
  <c r="AC740"/>
  <c r="AC741"/>
  <c r="AC742"/>
  <c r="AC744"/>
  <c r="AC745"/>
  <c r="AC746"/>
  <c r="AC747"/>
  <c r="AC748"/>
  <c r="AC749"/>
  <c r="AC750"/>
  <c r="AC751"/>
  <c r="AC752"/>
  <c r="AC753"/>
  <c r="AC754"/>
  <c r="AC755"/>
  <c r="AC756"/>
  <c r="AC757"/>
  <c r="AC758"/>
  <c r="AC759"/>
  <c r="AC760"/>
  <c r="AC761"/>
  <c r="AC762"/>
  <c r="AC763"/>
  <c r="AC764"/>
  <c r="AC765"/>
  <c r="AC766"/>
  <c r="AC767"/>
  <c r="AC768"/>
  <c r="AC769"/>
  <c r="AC770"/>
  <c r="AC771"/>
  <c r="AC772"/>
  <c r="AC773"/>
  <c r="AC774"/>
  <c r="AC775"/>
  <c r="AC776"/>
  <c r="AC777"/>
  <c r="AC778"/>
  <c r="AC779"/>
  <c r="AC780"/>
  <c r="AC781"/>
  <c r="AC782"/>
  <c r="AC783"/>
  <c r="AC784"/>
  <c r="AC785"/>
  <c r="AC786"/>
  <c r="AC787"/>
  <c r="AC788"/>
  <c r="AC789"/>
  <c r="AC790"/>
  <c r="AC791"/>
  <c r="AC792"/>
  <c r="AC793"/>
  <c r="AC794"/>
  <c r="AC795"/>
  <c r="AC796"/>
  <c r="AC797"/>
  <c r="AC798"/>
  <c r="AC799"/>
  <c r="AC800"/>
  <c r="AC801"/>
  <c r="AC802"/>
  <c r="AC803"/>
  <c r="AC804"/>
  <c r="AC807"/>
  <c r="AC808"/>
  <c r="AC809"/>
  <c r="AC810"/>
  <c r="AC811"/>
  <c r="AC812"/>
  <c r="AC813"/>
  <c r="AC814"/>
  <c r="AC815"/>
  <c r="AC816"/>
  <c r="AC817"/>
  <c r="AC818"/>
  <c r="AC819"/>
  <c r="AC820"/>
  <c r="AC821"/>
  <c r="AC822"/>
  <c r="AC823"/>
  <c r="AC824"/>
  <c r="AC825"/>
  <c r="AC826"/>
  <c r="AC827"/>
  <c r="AC828"/>
  <c r="AC829"/>
  <c r="AC830"/>
  <c r="AC831"/>
  <c r="AC832"/>
  <c r="AC833"/>
  <c r="AC834"/>
  <c r="AC835"/>
  <c r="AC836"/>
  <c r="AC837"/>
  <c r="AC838"/>
  <c r="AC839"/>
  <c r="AC840"/>
  <c r="AC841"/>
  <c r="AC842"/>
  <c r="AC843"/>
  <c r="AC844"/>
  <c r="AC845"/>
  <c r="AC846"/>
  <c r="AC847"/>
  <c r="AC848"/>
  <c r="AC849"/>
  <c r="AC850"/>
  <c r="AC851"/>
  <c r="AC852"/>
  <c r="AC853"/>
  <c r="AC854"/>
  <c r="AC855"/>
  <c r="AC856"/>
  <c r="AC857"/>
  <c r="AC858"/>
  <c r="AC859"/>
  <c r="AC860"/>
  <c r="AC861"/>
  <c r="AC862"/>
  <c r="AC863"/>
  <c r="AC864"/>
  <c r="AC865"/>
  <c r="AC866"/>
  <c r="AC867"/>
  <c r="AC868"/>
  <c r="AC869"/>
  <c r="AC870"/>
  <c r="AC871"/>
  <c r="AC872"/>
  <c r="AC873"/>
  <c r="AC874"/>
  <c r="AC875"/>
  <c r="AC876"/>
  <c r="AC877"/>
  <c r="AC878"/>
  <c r="AC879"/>
  <c r="AC880"/>
  <c r="AC881"/>
  <c r="AC882"/>
  <c r="AC883"/>
  <c r="AC884"/>
  <c r="AC885"/>
  <c r="AC886"/>
  <c r="AC887"/>
  <c r="AC888"/>
  <c r="AC889"/>
  <c r="AC890"/>
  <c r="AC891"/>
  <c r="AC892"/>
  <c r="AC893"/>
  <c r="AC894"/>
  <c r="AC895"/>
  <c r="AC896"/>
  <c r="AC897"/>
  <c r="AC898"/>
  <c r="AC899"/>
  <c r="AC900"/>
  <c r="AC901"/>
  <c r="AC902"/>
  <c r="AC903"/>
  <c r="AC904"/>
  <c r="AC905"/>
  <c r="AC906"/>
  <c r="AC907"/>
  <c r="AC908"/>
  <c r="AC909"/>
  <c r="AC910"/>
  <c r="AC911"/>
  <c r="AC912"/>
  <c r="AC913"/>
  <c r="AC914"/>
  <c r="AC915"/>
  <c r="AC916"/>
  <c r="AC917"/>
  <c r="AC918"/>
  <c r="AC919"/>
  <c r="AC920"/>
  <c r="AC921"/>
  <c r="AC922"/>
  <c r="AC923"/>
  <c r="AC924"/>
  <c r="AC925"/>
  <c r="AC928"/>
  <c r="AC929"/>
  <c r="AC930"/>
  <c r="AC931"/>
  <c r="AC932"/>
  <c r="AC933"/>
  <c r="AC934"/>
  <c r="AC935"/>
  <c r="AC936"/>
  <c r="AC937"/>
  <c r="AC938"/>
  <c r="AC939"/>
  <c r="AC940"/>
  <c r="AC941"/>
  <c r="AC942"/>
  <c r="AC943"/>
  <c r="AC944"/>
  <c r="AC945"/>
  <c r="AC946"/>
  <c r="AC947"/>
  <c r="AC948"/>
  <c r="AC949"/>
  <c r="AC950"/>
  <c r="AC951"/>
  <c r="AC952"/>
  <c r="AC953"/>
  <c r="AC954"/>
  <c r="AC955"/>
  <c r="AC956"/>
  <c r="AC957"/>
  <c r="AC958"/>
  <c r="AC959"/>
  <c r="AC960"/>
  <c r="AC961"/>
  <c r="AC962"/>
  <c r="AC963"/>
  <c r="AC964"/>
  <c r="AC965"/>
  <c r="AC966"/>
  <c r="AC967"/>
  <c r="AC968"/>
  <c r="AC969"/>
  <c r="AC970"/>
  <c r="AC971"/>
  <c r="AC972"/>
  <c r="AC973"/>
  <c r="AC974"/>
  <c r="AC975"/>
  <c r="AC976"/>
  <c r="AC977"/>
  <c r="AC978"/>
  <c r="AC979"/>
  <c r="AC980"/>
  <c r="AC981"/>
  <c r="AC982"/>
  <c r="AC983"/>
  <c r="AC984"/>
  <c r="AC985"/>
  <c r="AC986"/>
  <c r="AC987"/>
  <c r="AC988"/>
  <c r="AC989"/>
  <c r="AC990"/>
  <c r="AC991"/>
  <c r="AC992"/>
  <c r="AC993"/>
  <c r="AC994"/>
  <c r="AC995"/>
  <c r="AC996"/>
  <c r="AC997"/>
  <c r="AC998"/>
  <c r="AC999"/>
  <c r="AC1000"/>
  <c r="AC1001"/>
  <c r="AC1002"/>
  <c r="AC1003"/>
  <c r="AC1004"/>
  <c r="AC1005"/>
  <c r="AC1006"/>
  <c r="AC1007"/>
  <c r="AC1008"/>
  <c r="AC1009"/>
  <c r="AC1010"/>
  <c r="AC1011"/>
  <c r="AC1012"/>
  <c r="AC1013"/>
  <c r="AC1014"/>
  <c r="AC1017"/>
  <c r="AC1018"/>
  <c r="AC1019"/>
  <c r="AC1020"/>
  <c r="AC1021"/>
  <c r="AC1022"/>
  <c r="AC1023"/>
  <c r="AC1024"/>
  <c r="AC1025"/>
  <c r="AC1026"/>
  <c r="AC1027"/>
  <c r="AC1028"/>
  <c r="AC1029"/>
  <c r="AC1030"/>
  <c r="AC1031"/>
  <c r="AC1032"/>
  <c r="AC1033"/>
  <c r="AC1034"/>
  <c r="AC1035"/>
  <c r="AC1036"/>
  <c r="AC1037"/>
  <c r="AC1038"/>
  <c r="AC1039"/>
  <c r="AC1040"/>
  <c r="AC1041"/>
  <c r="AC1042"/>
  <c r="AC1043"/>
  <c r="AC1044"/>
  <c r="AC1045"/>
  <c r="AC1046"/>
  <c r="AC1047"/>
  <c r="AC1048"/>
  <c r="AC1049"/>
  <c r="AC1050"/>
  <c r="AC1051"/>
  <c r="AC1052"/>
  <c r="AC1053"/>
  <c r="AC1054"/>
  <c r="AC1055"/>
  <c r="AC1056"/>
  <c r="AC1057"/>
  <c r="AC1058"/>
  <c r="AC1059"/>
  <c r="AC1060"/>
  <c r="AC1061"/>
  <c r="AC1062"/>
  <c r="AC1063"/>
  <c r="AC1064"/>
  <c r="AC1065"/>
  <c r="AC1066"/>
  <c r="AC1067"/>
  <c r="AC1068"/>
  <c r="AC1069"/>
  <c r="AC1070"/>
  <c r="AC1071"/>
  <c r="AC1072"/>
  <c r="AC1073"/>
  <c r="AC1074"/>
  <c r="AC1075"/>
  <c r="AC1076"/>
  <c r="AC1077"/>
  <c r="AC1078"/>
  <c r="AC1079"/>
  <c r="AC1080"/>
  <c r="AC1081"/>
  <c r="AC1082"/>
  <c r="AC1083"/>
  <c r="AC1084"/>
  <c r="AC1085"/>
  <c r="AC1086"/>
  <c r="AC1087"/>
  <c r="AC1088"/>
  <c r="AC1089"/>
  <c r="AC1090"/>
  <c r="AC1091"/>
  <c r="AC1092"/>
  <c r="AC1093"/>
  <c r="AC1094"/>
  <c r="AC1095"/>
  <c r="AC1096"/>
  <c r="AC1097"/>
  <c r="AC1098"/>
  <c r="AC1099"/>
  <c r="AC1100"/>
  <c r="AC1101"/>
  <c r="AC1102"/>
  <c r="AC1103"/>
  <c r="AC1104"/>
  <c r="AC1105"/>
  <c r="AC1106"/>
  <c r="AC1107"/>
  <c r="AC1108"/>
  <c r="AC1109"/>
  <c r="AC1110"/>
  <c r="AC1111"/>
  <c r="AC1112"/>
  <c r="AC1113"/>
  <c r="AC1114"/>
  <c r="AC1115"/>
  <c r="AC1116"/>
  <c r="AC1117"/>
  <c r="AC1118"/>
  <c r="AC1119"/>
  <c r="AC1120"/>
  <c r="AC1121"/>
  <c r="AC1122"/>
  <c r="AC1123"/>
  <c r="AC1124"/>
  <c r="AC1125"/>
  <c r="AC1126"/>
  <c r="AC1127"/>
  <c r="AC1128"/>
  <c r="AC1129"/>
  <c r="AC1130"/>
  <c r="AC1131"/>
  <c r="AC1132"/>
  <c r="AC1133"/>
  <c r="AC1134"/>
  <c r="AC1135"/>
  <c r="AC1136"/>
  <c r="AC1137"/>
  <c r="AC1138"/>
  <c r="AC1139"/>
  <c r="AC1140"/>
  <c r="AC1141"/>
  <c r="AC1142"/>
  <c r="AC1143"/>
  <c r="AC1144"/>
  <c r="AC1145"/>
  <c r="AC1146"/>
  <c r="AC1147"/>
  <c r="AC1148"/>
  <c r="AC1149"/>
  <c r="AC1150"/>
  <c r="AC1151"/>
  <c r="AC1152"/>
  <c r="AC1153"/>
  <c r="AC1154"/>
  <c r="AC1155"/>
  <c r="AC1156"/>
  <c r="AC1157"/>
  <c r="AC1158"/>
  <c r="AC1159"/>
  <c r="AC1160"/>
  <c r="AC1161"/>
  <c r="AC1162"/>
  <c r="AC1163"/>
  <c r="AC1164"/>
  <c r="AC1165"/>
  <c r="AC1166"/>
  <c r="AC1167"/>
  <c r="AC1168"/>
  <c r="AC1169"/>
  <c r="AC1170"/>
  <c r="AC1171"/>
  <c r="AC1172"/>
  <c r="AC1173"/>
  <c r="AC1174"/>
  <c r="AC1175"/>
  <c r="AC1176"/>
  <c r="AC1177"/>
  <c r="AC1178"/>
  <c r="AC1179"/>
  <c r="AC1180"/>
  <c r="AC1181"/>
  <c r="AC1182"/>
  <c r="AC1183"/>
  <c r="AC1184"/>
  <c r="AC1185"/>
  <c r="AC1186"/>
  <c r="AC1187"/>
  <c r="AC1188"/>
  <c r="AC1189"/>
  <c r="AC1190"/>
  <c r="AC1191"/>
  <c r="AC1192"/>
  <c r="AC1193"/>
  <c r="AC1194"/>
  <c r="AC1195"/>
  <c r="AC1196"/>
  <c r="AC1197"/>
  <c r="AC1198"/>
  <c r="AC1199"/>
  <c r="AC1200"/>
  <c r="AC1201"/>
  <c r="AC1202"/>
  <c r="AC1203"/>
  <c r="AC1204"/>
  <c r="AC1205"/>
  <c r="AC1206"/>
  <c r="AC1207"/>
  <c r="AC1208"/>
  <c r="AC1209"/>
  <c r="AC1210"/>
  <c r="AC1211"/>
  <c r="AC1212"/>
  <c r="AC1213"/>
  <c r="AC1214"/>
  <c r="AC1215"/>
  <c r="AC1216"/>
  <c r="AC1217"/>
  <c r="AC1218"/>
  <c r="AC1219"/>
  <c r="AC1220"/>
  <c r="AC1221"/>
  <c r="AC1222"/>
  <c r="AC1225"/>
  <c r="AC1226"/>
  <c r="AC1227"/>
  <c r="AC1228"/>
  <c r="AC1229"/>
  <c r="AC1230"/>
  <c r="AC1231"/>
  <c r="AC1232"/>
  <c r="AC1233"/>
  <c r="AC1234"/>
  <c r="AC1235"/>
  <c r="AC1236"/>
  <c r="AC1237"/>
  <c r="AC1238"/>
  <c r="AC1239"/>
  <c r="AC1240"/>
  <c r="AC1241"/>
  <c r="AC1242"/>
  <c r="AC1243"/>
  <c r="AC1244"/>
  <c r="AC1245"/>
  <c r="AC1246"/>
  <c r="AC1247"/>
  <c r="AC1248"/>
  <c r="AC1249"/>
  <c r="AC1250"/>
  <c r="AC1251"/>
  <c r="AC1252"/>
  <c r="AC1253"/>
  <c r="AC1254"/>
  <c r="AC1255"/>
  <c r="AC1256"/>
  <c r="AC1257"/>
  <c r="AC1258"/>
  <c r="AC1259"/>
  <c r="AC1260"/>
  <c r="AC1263"/>
  <c r="AC1264"/>
  <c r="AC1265"/>
  <c r="AC1266"/>
  <c r="AC1267"/>
  <c r="AC1268"/>
  <c r="AC1269"/>
  <c r="AC1270"/>
  <c r="AC1271"/>
  <c r="AC1272"/>
  <c r="AC1273"/>
  <c r="AC1274"/>
  <c r="AC1275"/>
  <c r="AC1276"/>
  <c r="AC1277"/>
  <c r="AC1278"/>
  <c r="AC1279"/>
  <c r="AC1280"/>
  <c r="AC1281"/>
  <c r="AC1282"/>
  <c r="AC1283"/>
  <c r="AC1284"/>
  <c r="AC1285"/>
  <c r="AC1286"/>
  <c r="AC1287"/>
  <c r="AC1288"/>
  <c r="AC1289"/>
  <c r="AC1290"/>
  <c r="AC1291"/>
  <c r="AC1292"/>
  <c r="AC1293"/>
  <c r="AC1294"/>
  <c r="AC1295"/>
  <c r="AC1296"/>
  <c r="AC1297"/>
  <c r="AC1298"/>
  <c r="AC1299"/>
  <c r="AC1300"/>
  <c r="AC1301"/>
  <c r="AC1302"/>
  <c r="AC1305"/>
  <c r="AC1306"/>
  <c r="AC1307"/>
  <c r="AC1308"/>
  <c r="AC1309"/>
  <c r="AC1310"/>
  <c r="AC1311"/>
  <c r="AC1312"/>
  <c r="AC1313"/>
  <c r="AC1314"/>
  <c r="AC1315"/>
  <c r="AC1316"/>
  <c r="AC1317"/>
  <c r="AC1318"/>
  <c r="AC1319"/>
  <c r="AC1320"/>
  <c r="AC1321"/>
  <c r="AC1322"/>
  <c r="AC1323"/>
  <c r="AC1324"/>
  <c r="AC1325"/>
  <c r="AC1326"/>
  <c r="AC1327"/>
  <c r="AC1328"/>
  <c r="AC1329"/>
  <c r="AC1330"/>
  <c r="AC1331"/>
  <c r="AC1332"/>
  <c r="AC1333"/>
  <c r="AC1334"/>
  <c r="AC1335"/>
  <c r="AC1336"/>
  <c r="AC1337"/>
  <c r="AC1338"/>
  <c r="AC1339"/>
  <c r="AC1340"/>
  <c r="AC1341"/>
  <c r="AC1342"/>
  <c r="AC1343"/>
  <c r="AC1344"/>
  <c r="AC1345"/>
  <c r="AC1346"/>
  <c r="AC1347"/>
  <c r="AC1348"/>
  <c r="AC1349"/>
  <c r="AC1350"/>
  <c r="AC1351"/>
  <c r="AC1352"/>
  <c r="AC1353"/>
  <c r="AC1354"/>
  <c r="AC1355"/>
  <c r="AC1356"/>
  <c r="AC1357"/>
  <c r="AC1358"/>
  <c r="AC1359"/>
  <c r="AC1360"/>
  <c r="AC1361"/>
  <c r="AC1362"/>
  <c r="AC1363"/>
  <c r="AC1364"/>
  <c r="AC1365"/>
  <c r="AC1366"/>
  <c r="AC1367"/>
  <c r="AC1368"/>
  <c r="AC1369"/>
  <c r="AC1370"/>
  <c r="AC1371"/>
  <c r="AC1372"/>
  <c r="AC1373"/>
  <c r="AC1374"/>
  <c r="AC1375"/>
  <c r="AC1376"/>
  <c r="AC1377"/>
  <c r="AC1378"/>
  <c r="AC1380"/>
  <c r="AC1381"/>
  <c r="AC1382"/>
  <c r="AC1383"/>
  <c r="AC1384"/>
  <c r="AC1385"/>
  <c r="AC1386"/>
  <c r="AC1387"/>
  <c r="AC1388"/>
  <c r="AC1389"/>
  <c r="AC1390"/>
  <c r="AC1391"/>
  <c r="AC1392"/>
  <c r="AC1393"/>
  <c r="AC1394"/>
  <c r="AC1395"/>
  <c r="AC1396"/>
  <c r="AC1397"/>
  <c r="AC1398"/>
  <c r="AC1399"/>
  <c r="AC1400"/>
  <c r="AC1401"/>
  <c r="AC1402"/>
  <c r="AC1403"/>
  <c r="AC1404"/>
  <c r="AC1405"/>
  <c r="AC1406"/>
  <c r="AC1407"/>
  <c r="AC1408"/>
  <c r="AC1409"/>
  <c r="AC1410"/>
  <c r="AC1411"/>
  <c r="AC1412"/>
  <c r="AC1413"/>
  <c r="AC1414"/>
  <c r="AC1415"/>
  <c r="AC1416"/>
  <c r="AC1417"/>
  <c r="AC1418"/>
  <c r="AC1419"/>
  <c r="AC1420"/>
  <c r="AC1421"/>
  <c r="AC1422"/>
  <c r="AC1423"/>
  <c r="AC1425"/>
  <c r="AC1426"/>
  <c r="AC1427"/>
  <c r="AC1428"/>
  <c r="AC1429"/>
  <c r="AC1430"/>
  <c r="AC1431"/>
  <c r="AC1434"/>
  <c r="AC1435"/>
  <c r="AC1436"/>
  <c r="AC1437"/>
  <c r="AC1438"/>
  <c r="AC1439"/>
  <c r="AC1440"/>
  <c r="AC1441"/>
  <c r="AC1442"/>
  <c r="AC1443"/>
  <c r="AC1444"/>
  <c r="AC1445"/>
  <c r="AC1446"/>
  <c r="AC1447"/>
  <c r="AC1448"/>
  <c r="AC1449"/>
  <c r="AC1450"/>
  <c r="AC1451"/>
  <c r="AC1452"/>
  <c r="AC1453"/>
  <c r="AC1454"/>
  <c r="AC1455"/>
  <c r="AC1456"/>
  <c r="AC1457"/>
  <c r="AC1458"/>
  <c r="AC1459"/>
  <c r="AC1460"/>
  <c r="AC1461"/>
  <c r="AC1462"/>
  <c r="AC1463"/>
  <c r="AC1464"/>
  <c r="AC1465"/>
  <c r="AC1466"/>
  <c r="AC1467"/>
  <c r="AC1468"/>
  <c r="AC1469"/>
  <c r="AC1470"/>
  <c r="AC1471"/>
  <c r="AC1472"/>
  <c r="AC1473"/>
  <c r="AC1474"/>
  <c r="AC1475"/>
  <c r="AC1476"/>
  <c r="AC1477"/>
  <c r="AC1478"/>
  <c r="AC1479"/>
  <c r="AC1480"/>
  <c r="AC1481"/>
  <c r="AC1482"/>
  <c r="AC1483"/>
  <c r="AC1484"/>
  <c r="AC1485"/>
  <c r="AC1486"/>
  <c r="AC1487"/>
  <c r="AC1488"/>
  <c r="AC1489"/>
  <c r="AC1490"/>
  <c r="AC1491"/>
  <c r="AC1492"/>
  <c r="AC1493"/>
  <c r="AC1494"/>
  <c r="AC1495"/>
  <c r="AC1496"/>
  <c r="AC1497"/>
  <c r="AC1498"/>
  <c r="AC1499"/>
  <c r="AC1500"/>
  <c r="AC1501"/>
  <c r="AC1502"/>
  <c r="AC1503"/>
  <c r="AC1504"/>
  <c r="AC1505"/>
  <c r="AC1506"/>
  <c r="AC1507"/>
  <c r="AC1510"/>
  <c r="AC1511"/>
  <c r="AC1512"/>
  <c r="AC1513"/>
  <c r="AC1514"/>
  <c r="AC1515"/>
  <c r="AC1516"/>
  <c r="AC1517"/>
  <c r="AC1518"/>
  <c r="AC1519"/>
  <c r="AC1520"/>
  <c r="AC1521"/>
  <c r="AC1522"/>
  <c r="AC1523"/>
  <c r="AC1524"/>
  <c r="AC1525"/>
  <c r="AC1526"/>
  <c r="AC1527"/>
  <c r="AC1528"/>
  <c r="AC1529"/>
  <c r="AC1530"/>
  <c r="AC1531"/>
  <c r="AC1532"/>
  <c r="AC1533"/>
  <c r="AC1534"/>
  <c r="AC1535"/>
  <c r="AC1536"/>
  <c r="AC1537"/>
  <c r="AC1538"/>
  <c r="AC1541"/>
  <c r="AC1542"/>
  <c r="AC1543"/>
  <c r="AC1544"/>
  <c r="AC1545"/>
  <c r="AC1546"/>
  <c r="AC1547"/>
  <c r="AC1548"/>
  <c r="AC1549"/>
  <c r="AC1550"/>
  <c r="AC1551"/>
  <c r="AC1552"/>
  <c r="AC1553"/>
  <c r="AC1554"/>
  <c r="AC1555"/>
  <c r="AC1556"/>
  <c r="AC1557"/>
  <c r="AC1558"/>
  <c r="AC1559"/>
  <c r="AC1560"/>
  <c r="AC1561"/>
  <c r="AC1562"/>
  <c r="AC1563"/>
  <c r="AC1564"/>
  <c r="AC1565"/>
  <c r="AC1566"/>
  <c r="AC1567"/>
  <c r="AC1568"/>
  <c r="AC1569"/>
  <c r="AC1570"/>
  <c r="AC1571"/>
  <c r="AC1572"/>
  <c r="AC1573"/>
  <c r="AC1574"/>
  <c r="AC1575"/>
  <c r="AC1576"/>
  <c r="AC1577"/>
  <c r="AC1578"/>
  <c r="AC1579"/>
  <c r="AC1580"/>
  <c r="AC1581"/>
  <c r="AC1582"/>
  <c r="AC1583"/>
  <c r="AC1584"/>
  <c r="AC1587"/>
  <c r="AC1588"/>
  <c r="AC1589"/>
  <c r="AC1590"/>
  <c r="AC1591"/>
  <c r="AC1592"/>
  <c r="AC1593"/>
  <c r="AC1594"/>
  <c r="AC1595"/>
  <c r="AC1596"/>
  <c r="AC1597"/>
  <c r="AC1598"/>
  <c r="AC1599"/>
  <c r="AC1600"/>
  <c r="AC1601"/>
  <c r="AC1602"/>
  <c r="AC1603"/>
  <c r="AC1604"/>
  <c r="AC1605"/>
  <c r="AC1606"/>
  <c r="AC1607"/>
  <c r="AC1608"/>
  <c r="AC1609"/>
  <c r="AC1610"/>
  <c r="AC1611"/>
  <c r="AC1612"/>
  <c r="AC1613"/>
  <c r="AC1614"/>
  <c r="AC1615"/>
  <c r="AC1616"/>
  <c r="AC1617"/>
  <c r="AC1618"/>
  <c r="AC1619"/>
  <c r="AC1620"/>
  <c r="AC1621"/>
  <c r="AC1622"/>
  <c r="AC1623"/>
  <c r="AC1624"/>
  <c r="AC1625"/>
  <c r="AC1626"/>
  <c r="AC1627"/>
  <c r="AC1628"/>
  <c r="AC1629"/>
  <c r="AC1632"/>
  <c r="AC1633"/>
  <c r="AC1634"/>
  <c r="AC1635"/>
  <c r="AC1636"/>
  <c r="AC1637"/>
  <c r="AC1638"/>
  <c r="AC1639"/>
  <c r="AC1640"/>
  <c r="AC1641"/>
  <c r="AC1642"/>
  <c r="AC1643"/>
  <c r="AC1644"/>
  <c r="AC1645"/>
  <c r="AC1646"/>
  <c r="AC1647"/>
  <c r="AC1648"/>
  <c r="AC1649"/>
  <c r="AC1650"/>
  <c r="AC1651"/>
  <c r="AC1652"/>
  <c r="AC1653"/>
  <c r="AC1654"/>
  <c r="AC1655"/>
  <c r="AC1656"/>
  <c r="AC1657"/>
  <c r="AC1658"/>
  <c r="AC1659"/>
  <c r="AC1660"/>
  <c r="AC1661"/>
  <c r="AC1662"/>
  <c r="AC1663"/>
  <c r="AC1664"/>
  <c r="AC1665"/>
  <c r="AC1666"/>
  <c r="AC1667"/>
  <c r="AC1668"/>
  <c r="AC1671"/>
  <c r="AC1672"/>
  <c r="AC1673"/>
  <c r="AC1674"/>
  <c r="AC1675"/>
  <c r="AC1676"/>
  <c r="AC1677"/>
  <c r="AC1678"/>
  <c r="AC1679"/>
  <c r="AC1680"/>
  <c r="AC1681"/>
  <c r="AC1682"/>
  <c r="AC1685"/>
  <c r="AC1686"/>
  <c r="AC1687"/>
  <c r="AC1688"/>
  <c r="AC1689"/>
  <c r="AC1690"/>
  <c r="AC1691"/>
  <c r="AC1692"/>
  <c r="AC1693"/>
  <c r="AC1694"/>
  <c r="AC1695"/>
  <c r="AC1696"/>
  <c r="AC1697"/>
  <c r="AC1698"/>
  <c r="AC1699"/>
  <c r="AC1700"/>
  <c r="AC1701"/>
  <c r="AC1702"/>
  <c r="AC1703"/>
  <c r="AC1704"/>
  <c r="AC1705"/>
  <c r="AC1706"/>
  <c r="AC1707"/>
  <c r="AC1708"/>
  <c r="AC1709"/>
  <c r="AC1710"/>
  <c r="AC1711"/>
  <c r="AC1712"/>
  <c r="AC1713"/>
  <c r="AC1714"/>
  <c r="AC1715"/>
  <c r="AC1716"/>
  <c r="AC1717"/>
  <c r="AC1718"/>
  <c r="AC1719"/>
  <c r="AC1720"/>
  <c r="AC1721"/>
  <c r="AC1722"/>
  <c r="AC1723"/>
  <c r="AC1724"/>
  <c r="AC1725"/>
  <c r="AC1726"/>
  <c r="AC1727"/>
  <c r="AC1728"/>
  <c r="AC1729"/>
  <c r="AC1730"/>
  <c r="AC1731"/>
  <c r="AC1732"/>
  <c r="AC1733"/>
  <c r="AC1734"/>
  <c r="AC1735"/>
  <c r="AC1736"/>
  <c r="AC1737"/>
  <c r="AC1738"/>
  <c r="AC1739"/>
  <c r="AC1740"/>
  <c r="AC1741"/>
  <c r="AC1742"/>
  <c r="AC1743"/>
  <c r="AC1744"/>
  <c r="AC1745"/>
  <c r="AC1746"/>
  <c r="AC1747"/>
  <c r="AC1748"/>
  <c r="AC1749"/>
  <c r="AC1750"/>
  <c r="AC1751"/>
  <c r="AC1752"/>
  <c r="AC1753"/>
  <c r="AC1754"/>
  <c r="AC1755"/>
  <c r="AC1756"/>
  <c r="AC1757"/>
  <c r="AC1758"/>
  <c r="AC1759"/>
  <c r="AC1760"/>
  <c r="AC1761"/>
  <c r="AC1762"/>
  <c r="AC1763"/>
  <c r="AC1765"/>
  <c r="AC1766"/>
  <c r="AC1767"/>
  <c r="AC1768"/>
  <c r="AC1771"/>
  <c r="AC1772"/>
  <c r="AC1773"/>
  <c r="AC1774"/>
  <c r="AC1775"/>
  <c r="AC1776"/>
  <c r="AC1777"/>
  <c r="AC1778"/>
  <c r="AC1779"/>
  <c r="AC1780"/>
  <c r="AC1781"/>
  <c r="AC1782"/>
  <c r="AC1783"/>
  <c r="AC1784"/>
  <c r="AC1785"/>
  <c r="AC1786"/>
  <c r="AC1787"/>
  <c r="AC1788"/>
  <c r="AC1789"/>
  <c r="AC1790"/>
  <c r="AC1791"/>
  <c r="AC1792"/>
  <c r="AC1793"/>
  <c r="AC1794"/>
  <c r="AC1795"/>
  <c r="AC1798"/>
  <c r="AC1799"/>
  <c r="AC1800"/>
  <c r="AC1801"/>
  <c r="AC1802"/>
  <c r="AC1803"/>
  <c r="AC1804"/>
  <c r="AC1805"/>
  <c r="AC1806"/>
  <c r="AC1809"/>
  <c r="AC1810"/>
  <c r="AC1811"/>
  <c r="AC1812"/>
  <c r="AC1815"/>
  <c r="AC1816"/>
  <c r="AC4"/>
  <c r="AC3" i="114"/>
  <c r="AC28"/>
  <c r="AC4"/>
  <c r="AG4"/>
  <c r="AJ4"/>
  <c r="V4"/>
  <c r="AI4" l="1"/>
  <c r="X4"/>
  <c r="Y4" s="1"/>
  <c r="T4"/>
  <c r="P4"/>
  <c r="O4"/>
  <c r="N4"/>
  <c r="AG28" l="1"/>
  <c r="X28" l="1"/>
  <c r="Y28" s="1"/>
  <c r="T28"/>
  <c r="P28"/>
  <c r="O28"/>
  <c r="N28"/>
  <c r="AG3"/>
  <c r="AJ3"/>
  <c r="V3"/>
  <c r="AI3" l="1"/>
  <c r="X3"/>
  <c r="Y3" s="1"/>
  <c r="T3"/>
  <c r="P3"/>
  <c r="O3"/>
  <c r="N3"/>
  <c r="AC39" i="28"/>
  <c r="AC38"/>
  <c r="AC37"/>
  <c r="AC36"/>
  <c r="AC34"/>
  <c r="AC33"/>
  <c r="AC32"/>
  <c r="AC35"/>
  <c r="AC31"/>
  <c r="AC29"/>
  <c r="AC28"/>
  <c r="AC30"/>
  <c r="AC27"/>
  <c r="AC26"/>
  <c r="AC25"/>
  <c r="AC24"/>
  <c r="AC23"/>
  <c r="AC22"/>
  <c r="AC17"/>
  <c r="AC20"/>
  <c r="AC21"/>
  <c r="AC19"/>
  <c r="AC18"/>
  <c r="AC16"/>
  <c r="AC15"/>
  <c r="AC13"/>
  <c r="AC12"/>
  <c r="AC11"/>
  <c r="W20" i="114"/>
  <c r="AC49" i="74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61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AC60"/>
  <c r="AC4"/>
  <c r="AC59"/>
  <c r="AC19" i="114" l="1"/>
  <c r="AC18"/>
  <c r="AC17"/>
  <c r="AC16"/>
  <c r="AC15"/>
  <c r="AC14"/>
  <c r="AC13"/>
  <c r="AC12"/>
  <c r="AC11"/>
  <c r="AC27"/>
  <c r="AC10"/>
  <c r="AC9"/>
  <c r="AC8"/>
  <c r="AC7"/>
  <c r="AC6"/>
  <c r="AC5"/>
  <c r="AC29"/>
  <c r="AC26"/>
  <c r="AG958" i="57"/>
  <c r="V958"/>
  <c r="AJ958"/>
  <c r="AI958" l="1"/>
  <c r="X958"/>
  <c r="Y958" s="1"/>
  <c r="T958"/>
  <c r="R958"/>
  <c r="P958"/>
  <c r="O958"/>
  <c r="N958"/>
  <c r="AG59" i="74"/>
  <c r="X59" l="1"/>
  <c r="Y59" s="1"/>
  <c r="T59"/>
  <c r="R59"/>
  <c r="P59"/>
  <c r="O59"/>
  <c r="N59"/>
  <c r="AG1117" i="57"/>
  <c r="AJ1117"/>
  <c r="V1117"/>
  <c r="AI1117" l="1"/>
  <c r="X1117"/>
  <c r="Y1117" s="1"/>
  <c r="T1117"/>
  <c r="R1117"/>
  <c r="P1117"/>
  <c r="O1117"/>
  <c r="N1117"/>
  <c r="AG878"/>
  <c r="AJ878"/>
  <c r="V878"/>
  <c r="AI878" l="1"/>
  <c r="X878"/>
  <c r="Y878" s="1"/>
  <c r="T878"/>
  <c r="R878"/>
  <c r="P878"/>
  <c r="O878"/>
  <c r="N878"/>
  <c r="AG331"/>
  <c r="AJ331"/>
  <c r="V331"/>
  <c r="AI331" l="1"/>
  <c r="X331"/>
  <c r="Y331" s="1"/>
  <c r="T331"/>
  <c r="R331"/>
  <c r="P331"/>
  <c r="O331"/>
  <c r="N331"/>
  <c r="AG5" i="114"/>
  <c r="V5"/>
  <c r="X5" l="1"/>
  <c r="Y5" s="1"/>
  <c r="T5"/>
  <c r="P5"/>
  <c r="O5"/>
  <c r="N5"/>
  <c r="AG29"/>
  <c r="X29" l="1"/>
  <c r="Y29" s="1"/>
  <c r="T29"/>
  <c r="P29"/>
  <c r="O29"/>
  <c r="N29"/>
  <c r="AG26"/>
  <c r="X26" l="1"/>
  <c r="Y26" s="1"/>
  <c r="T26"/>
  <c r="R26"/>
  <c r="P26"/>
  <c r="O26"/>
  <c r="N26"/>
  <c r="R1357" i="57"/>
  <c r="P1357"/>
  <c r="O1357"/>
  <c r="N1357"/>
  <c r="R357"/>
  <c r="P357"/>
  <c r="O357"/>
  <c r="N357"/>
  <c r="AG1608"/>
  <c r="V1608"/>
  <c r="AJ1608"/>
  <c r="AI1608" l="1"/>
  <c r="X1608"/>
  <c r="Y1608" s="1"/>
  <c r="T1608"/>
  <c r="R1608"/>
  <c r="P1608"/>
  <c r="O1608"/>
  <c r="N1608"/>
  <c r="AG625" l="1"/>
  <c r="V625"/>
  <c r="AJ625"/>
  <c r="AI625" l="1"/>
  <c r="X625"/>
  <c r="Y625" s="1"/>
  <c r="T625"/>
  <c r="R625"/>
  <c r="P625"/>
  <c r="O625"/>
  <c r="N625"/>
  <c r="AG378"/>
  <c r="V378"/>
  <c r="AJ378"/>
  <c r="AI378" l="1"/>
  <c r="X378"/>
  <c r="Y378" s="1"/>
  <c r="T378"/>
  <c r="R378"/>
  <c r="P378"/>
  <c r="O378"/>
  <c r="N378"/>
  <c r="AG694"/>
  <c r="V694"/>
  <c r="AJ694"/>
  <c r="AI694" l="1"/>
  <c r="X694"/>
  <c r="Y694" s="1"/>
  <c r="T694"/>
  <c r="R694"/>
  <c r="P694"/>
  <c r="O694"/>
  <c r="N694"/>
  <c r="AG369"/>
  <c r="V369"/>
  <c r="AJ369"/>
  <c r="AI369" l="1"/>
  <c r="X369"/>
  <c r="Y369" s="1"/>
  <c r="T369"/>
  <c r="R369"/>
  <c r="P369"/>
  <c r="O369"/>
  <c r="N369"/>
  <c r="AG919" l="1"/>
  <c r="V919"/>
  <c r="AJ919"/>
  <c r="AI919" l="1"/>
  <c r="X919"/>
  <c r="Y919" s="1"/>
  <c r="T919"/>
  <c r="R919"/>
  <c r="P919"/>
  <c r="O919"/>
  <c r="N919"/>
  <c r="AG620"/>
  <c r="AJ620"/>
  <c r="V620"/>
  <c r="AI620" l="1"/>
  <c r="X620"/>
  <c r="Y620" s="1"/>
  <c r="T620"/>
  <c r="R620"/>
  <c r="P620"/>
  <c r="O620"/>
  <c r="N620"/>
  <c r="AG581"/>
  <c r="V581"/>
  <c r="AJ581"/>
  <c r="AI581" l="1"/>
  <c r="X581"/>
  <c r="Y581" s="1"/>
  <c r="T581"/>
  <c r="R581"/>
  <c r="P581"/>
  <c r="O581"/>
  <c r="N581"/>
  <c r="AG560" l="1"/>
  <c r="V560"/>
  <c r="AJ560"/>
  <c r="AI560" l="1"/>
  <c r="X560"/>
  <c r="Y560" s="1"/>
  <c r="T560"/>
  <c r="R560"/>
  <c r="P560"/>
  <c r="O560"/>
  <c r="N560"/>
  <c r="AG431" l="1"/>
  <c r="V431"/>
  <c r="AJ431"/>
  <c r="AI431" l="1"/>
  <c r="X431"/>
  <c r="Y431" s="1"/>
  <c r="T431"/>
  <c r="R431"/>
  <c r="P431"/>
  <c r="O431"/>
  <c r="N431"/>
  <c r="V18"/>
  <c r="AJ18"/>
  <c r="AI18" l="1"/>
  <c r="X18"/>
  <c r="Y18" s="1"/>
  <c r="T18"/>
  <c r="R18"/>
  <c r="P18"/>
  <c r="O18"/>
  <c r="N18"/>
  <c r="AG1062"/>
  <c r="V1062"/>
  <c r="AJ1062"/>
  <c r="AI1062" l="1"/>
  <c r="X1062"/>
  <c r="Y1062" s="1"/>
  <c r="T1062"/>
  <c r="R1062"/>
  <c r="P1062"/>
  <c r="O1062"/>
  <c r="N1062"/>
  <c r="AG1206"/>
  <c r="V1206"/>
  <c r="AJ1206"/>
  <c r="AI1206" l="1"/>
  <c r="X1206"/>
  <c r="Y1206" s="1"/>
  <c r="T1206"/>
  <c r="R1206"/>
  <c r="P1206"/>
  <c r="O1206"/>
  <c r="N1206"/>
  <c r="AG653"/>
  <c r="V653"/>
  <c r="AJ653"/>
  <c r="AI653" l="1"/>
  <c r="X653"/>
  <c r="Y653" s="1"/>
  <c r="T653"/>
  <c r="R653"/>
  <c r="P653"/>
  <c r="O653"/>
  <c r="N653"/>
  <c r="AG1511" l="1"/>
  <c r="V1511"/>
  <c r="AJ1511"/>
  <c r="AI1511" l="1"/>
  <c r="X1511"/>
  <c r="Y1511" s="1"/>
  <c r="T1511"/>
  <c r="R1511"/>
  <c r="P1511"/>
  <c r="O1511"/>
  <c r="N1511"/>
  <c r="AG1521"/>
  <c r="V1521"/>
  <c r="AJ1521"/>
  <c r="AI1521" l="1"/>
  <c r="X1521"/>
  <c r="Y1521" s="1"/>
  <c r="T1521"/>
  <c r="R1521"/>
  <c r="P1521"/>
  <c r="O1521"/>
  <c r="N1521"/>
  <c r="AG1516"/>
  <c r="V1516"/>
  <c r="AJ1516"/>
  <c r="AI1516" l="1"/>
  <c r="X1516"/>
  <c r="Y1516" s="1"/>
  <c r="T1516"/>
  <c r="R1516"/>
  <c r="P1516"/>
  <c r="O1516"/>
  <c r="N1516"/>
  <c r="AG932"/>
  <c r="V932"/>
  <c r="AJ932"/>
  <c r="AI932" l="1"/>
  <c r="X932"/>
  <c r="Y932" s="1"/>
  <c r="T932"/>
  <c r="R932"/>
  <c r="P932"/>
  <c r="O932"/>
  <c r="N932"/>
  <c r="AG942"/>
  <c r="AJ942"/>
  <c r="V942"/>
  <c r="AI942" l="1"/>
  <c r="X942"/>
  <c r="Y942" s="1"/>
  <c r="T942"/>
  <c r="R942"/>
  <c r="P942"/>
  <c r="O942"/>
  <c r="N942"/>
  <c r="AG1336" l="1"/>
  <c r="V1336"/>
  <c r="AJ1336"/>
  <c r="AI1336" l="1"/>
  <c r="X1336"/>
  <c r="Y1336" s="1"/>
  <c r="T1336"/>
  <c r="R1336"/>
  <c r="P1336"/>
  <c r="O1336"/>
  <c r="N1336"/>
  <c r="AG1603" l="1"/>
  <c r="V1603"/>
  <c r="AJ1603"/>
  <c r="AI1603" l="1"/>
  <c r="X1603"/>
  <c r="Y1603" s="1"/>
  <c r="T1603"/>
  <c r="R1603"/>
  <c r="P1603"/>
  <c r="O1603"/>
  <c r="N1603"/>
  <c r="AG1606" l="1"/>
  <c r="V1606"/>
  <c r="AJ1606"/>
  <c r="AI1606" l="1"/>
  <c r="X1606"/>
  <c r="Y1606" s="1"/>
  <c r="T1606"/>
  <c r="R1606"/>
  <c r="P1606"/>
  <c r="O1606"/>
  <c r="N1606"/>
  <c r="AG1615"/>
  <c r="V1615"/>
  <c r="AJ1615"/>
  <c r="AI1615" l="1"/>
  <c r="X1615"/>
  <c r="Y1615" s="1"/>
  <c r="T1615"/>
  <c r="R1615"/>
  <c r="P1615"/>
  <c r="O1615"/>
  <c r="N1615"/>
  <c r="AG1607"/>
  <c r="AJ1607"/>
  <c r="V1607"/>
  <c r="AI1607" l="1"/>
  <c r="X1607"/>
  <c r="Y1607" s="1"/>
  <c r="T1607"/>
  <c r="R1607"/>
  <c r="P1607"/>
  <c r="O1607"/>
  <c r="N1607"/>
  <c r="AG1621"/>
  <c r="V1621"/>
  <c r="AJ1621"/>
  <c r="AI1621" l="1"/>
  <c r="X1621"/>
  <c r="Y1621" s="1"/>
  <c r="T1621"/>
  <c r="R1621"/>
  <c r="P1621"/>
  <c r="O1621"/>
  <c r="N1621"/>
  <c r="V58"/>
  <c r="AJ58"/>
  <c r="AI58" l="1"/>
  <c r="X58"/>
  <c r="Y58" s="1"/>
  <c r="T58"/>
  <c r="R58"/>
  <c r="P58"/>
  <c r="O58"/>
  <c r="N58"/>
  <c r="AG1604"/>
  <c r="V1604"/>
  <c r="AJ1604"/>
  <c r="AI1604" l="1"/>
  <c r="X1604"/>
  <c r="Y1604" s="1"/>
  <c r="T1604"/>
  <c r="R1604"/>
  <c r="P1604"/>
  <c r="O1604"/>
  <c r="N1604"/>
  <c r="AG1605"/>
  <c r="V1605"/>
  <c r="AJ1605"/>
  <c r="AI1605" l="1"/>
  <c r="X1605"/>
  <c r="Y1605" s="1"/>
  <c r="T1605"/>
  <c r="R1605"/>
  <c r="P1605"/>
  <c r="O1605"/>
  <c r="N1605"/>
  <c r="AG1614"/>
  <c r="V1614"/>
  <c r="AJ1614"/>
  <c r="AI1614" l="1"/>
  <c r="X1614"/>
  <c r="Y1614" s="1"/>
  <c r="T1614"/>
  <c r="R1614"/>
  <c r="P1614"/>
  <c r="O1614"/>
  <c r="N1614"/>
  <c r="AG1609"/>
  <c r="V1609"/>
  <c r="AJ1609"/>
  <c r="AI1609" l="1"/>
  <c r="X1609"/>
  <c r="Y1609" s="1"/>
  <c r="T1609"/>
  <c r="R1609"/>
  <c r="P1609"/>
  <c r="O1609"/>
  <c r="N1609"/>
  <c r="AG598" l="1"/>
  <c r="V598"/>
  <c r="AJ598"/>
  <c r="AI598" l="1"/>
  <c r="X598"/>
  <c r="Y598" s="1"/>
  <c r="T598"/>
  <c r="R598"/>
  <c r="P598"/>
  <c r="O598"/>
  <c r="N598"/>
  <c r="AG712"/>
  <c r="AJ712"/>
  <c r="V712"/>
  <c r="AI712" l="1"/>
  <c r="X712"/>
  <c r="Y712" s="1"/>
  <c r="T712"/>
  <c r="R712"/>
  <c r="P712"/>
  <c r="O712"/>
  <c r="N712"/>
  <c r="AG1681"/>
  <c r="V1681"/>
  <c r="AJ1681"/>
  <c r="AI1681" l="1"/>
  <c r="X1681"/>
  <c r="Y1681" s="1"/>
  <c r="T1681"/>
  <c r="R1681"/>
  <c r="P1681"/>
  <c r="O1681"/>
  <c r="N1681"/>
  <c r="V42"/>
  <c r="AJ42"/>
  <c r="AI42" l="1"/>
  <c r="X42"/>
  <c r="Y42" s="1"/>
  <c r="T42"/>
  <c r="R42"/>
  <c r="P42"/>
  <c r="O42"/>
  <c r="N42"/>
  <c r="V43"/>
  <c r="AJ43"/>
  <c r="AI43" l="1"/>
  <c r="X43"/>
  <c r="Y43" s="1"/>
  <c r="T43"/>
  <c r="R43"/>
  <c r="P43"/>
  <c r="O43"/>
  <c r="N43"/>
  <c r="AG531" l="1"/>
  <c r="AJ531"/>
  <c r="V531"/>
  <c r="AI531" l="1"/>
  <c r="X531"/>
  <c r="Y531" s="1"/>
  <c r="T531"/>
  <c r="R531"/>
  <c r="P531"/>
  <c r="O531"/>
  <c r="N531"/>
  <c r="AG1687"/>
  <c r="V1687"/>
  <c r="AJ1687"/>
  <c r="AI1687" l="1"/>
  <c r="X1687"/>
  <c r="Y1687" s="1"/>
  <c r="T1687"/>
  <c r="R1687"/>
  <c r="P1687"/>
  <c r="O1687"/>
  <c r="N1687"/>
  <c r="AG548"/>
  <c r="V548"/>
  <c r="AJ548"/>
  <c r="AI548" l="1"/>
  <c r="X548"/>
  <c r="Y548" s="1"/>
  <c r="T548"/>
  <c r="R548"/>
  <c r="P548"/>
  <c r="O548"/>
  <c r="N548"/>
  <c r="AG529"/>
  <c r="AJ529"/>
  <c r="V529"/>
  <c r="AI529" l="1"/>
  <c r="X529"/>
  <c r="Y529" s="1"/>
  <c r="T529"/>
  <c r="R529"/>
  <c r="P529"/>
  <c r="O529"/>
  <c r="N529"/>
  <c r="AG1023"/>
  <c r="V1023"/>
  <c r="AJ1023"/>
  <c r="AI1023" l="1"/>
  <c r="X1023"/>
  <c r="Y1023" s="1"/>
  <c r="T1023"/>
  <c r="R1023"/>
  <c r="P1023"/>
  <c r="O1023"/>
  <c r="N1023"/>
  <c r="AG587" l="1"/>
  <c r="V587"/>
  <c r="AJ587"/>
  <c r="AI587" l="1"/>
  <c r="X587"/>
  <c r="Y587" s="1"/>
  <c r="T587"/>
  <c r="R587"/>
  <c r="P587"/>
  <c r="O587"/>
  <c r="N587"/>
  <c r="AG60" i="74" l="1"/>
  <c r="X60" l="1"/>
  <c r="Y60" s="1"/>
  <c r="T60"/>
  <c r="R60"/>
  <c r="P60"/>
  <c r="O60"/>
  <c r="N60"/>
  <c r="AG4"/>
  <c r="V4"/>
  <c r="X4" l="1"/>
  <c r="Y4" s="1"/>
  <c r="T4"/>
  <c r="R4"/>
  <c r="P4"/>
  <c r="O4"/>
  <c r="N4"/>
  <c r="AG30" i="114" l="1"/>
  <c r="X30" l="1"/>
  <c r="Y30" s="1"/>
  <c r="T30"/>
  <c r="R30"/>
  <c r="P30"/>
  <c r="O30"/>
  <c r="N30"/>
  <c r="W37" i="28"/>
  <c r="X37" s="1"/>
  <c r="Y37" s="1"/>
  <c r="W127" i="22"/>
  <c r="W126"/>
  <c r="W125"/>
  <c r="AG1812" i="57"/>
  <c r="AJ1812"/>
  <c r="V1812"/>
  <c r="AI1812" l="1"/>
  <c r="X1812"/>
  <c r="Y1812" s="1"/>
  <c r="T1812"/>
  <c r="R1812"/>
  <c r="P1812"/>
  <c r="O1812"/>
  <c r="N1812"/>
  <c r="AG367"/>
  <c r="AJ367"/>
  <c r="V367"/>
  <c r="AI367" l="1"/>
  <c r="X367"/>
  <c r="Y367" s="1"/>
  <c r="T367"/>
  <c r="R367"/>
  <c r="P367"/>
  <c r="O367"/>
  <c r="N367"/>
  <c r="AG64" i="74"/>
  <c r="X64" l="1"/>
  <c r="Y64" s="1"/>
  <c r="T64"/>
  <c r="R64"/>
  <c r="P64"/>
  <c r="O64"/>
  <c r="N64"/>
  <c r="AG675" i="57"/>
  <c r="V675"/>
  <c r="AJ675"/>
  <c r="AI675" l="1"/>
  <c r="X675"/>
  <c r="Y675" s="1"/>
  <c r="T675"/>
  <c r="R675"/>
  <c r="P675"/>
  <c r="O675"/>
  <c r="N675"/>
  <c r="AG604"/>
  <c r="V604"/>
  <c r="AJ604"/>
  <c r="AI604" l="1"/>
  <c r="X604"/>
  <c r="Y604" s="1"/>
  <c r="T604"/>
  <c r="R604"/>
  <c r="P604"/>
  <c r="O604"/>
  <c r="N604"/>
  <c r="AG789"/>
  <c r="V789"/>
  <c r="AJ789"/>
  <c r="AI789" l="1"/>
  <c r="X789"/>
  <c r="Y789" s="1"/>
  <c r="T789"/>
  <c r="R789"/>
  <c r="P789"/>
  <c r="O789"/>
  <c r="N789"/>
  <c r="AG975"/>
  <c r="V975"/>
  <c r="AJ975"/>
  <c r="AI975" l="1"/>
  <c r="X975"/>
  <c r="Y975" s="1"/>
  <c r="T975"/>
  <c r="R975"/>
  <c r="P975"/>
  <c r="O975"/>
  <c r="N975"/>
  <c r="AG7" i="114" l="1"/>
  <c r="V7"/>
  <c r="X7" l="1"/>
  <c r="Y7" s="1"/>
  <c r="T7"/>
  <c r="P7"/>
  <c r="O7"/>
  <c r="N7"/>
  <c r="AG6"/>
  <c r="V6"/>
  <c r="X6" l="1"/>
  <c r="Y6" s="1"/>
  <c r="T6"/>
  <c r="P6"/>
  <c r="O6"/>
  <c r="N6"/>
  <c r="AG733" i="57"/>
  <c r="AJ733"/>
  <c r="V733"/>
  <c r="AI733" l="1"/>
  <c r="X733"/>
  <c r="Y733" s="1"/>
  <c r="T733"/>
  <c r="R733"/>
  <c r="P733"/>
  <c r="O733"/>
  <c r="N733"/>
  <c r="AG5" i="74"/>
  <c r="V5"/>
  <c r="X5" l="1"/>
  <c r="Y5" s="1"/>
  <c r="T5"/>
  <c r="R5"/>
  <c r="P5"/>
  <c r="O5"/>
  <c r="N5"/>
  <c r="AG278" i="57"/>
  <c r="V278"/>
  <c r="AJ278"/>
  <c r="AI278" l="1"/>
  <c r="X278"/>
  <c r="Y278" s="1"/>
  <c r="T278"/>
  <c r="R278"/>
  <c r="P278"/>
  <c r="O278"/>
  <c r="N278"/>
  <c r="AG1781"/>
  <c r="V1781"/>
  <c r="AJ1781"/>
  <c r="AI1781" l="1"/>
  <c r="X1781"/>
  <c r="Y1781" s="1"/>
  <c r="T1781"/>
  <c r="R1781"/>
  <c r="P1781"/>
  <c r="O1781"/>
  <c r="N1781"/>
  <c r="AG1302"/>
  <c r="AJ1302"/>
  <c r="V1302"/>
  <c r="AI1302" l="1"/>
  <c r="X1302"/>
  <c r="Y1302" s="1"/>
  <c r="T1302"/>
  <c r="R1302"/>
  <c r="P1302"/>
  <c r="O1302"/>
  <c r="N1302"/>
  <c r="AG319" l="1"/>
  <c r="V319"/>
  <c r="AJ319"/>
  <c r="AI319" l="1"/>
  <c r="X319"/>
  <c r="Y319" s="1"/>
  <c r="T319"/>
  <c r="R319"/>
  <c r="P319"/>
  <c r="O319"/>
  <c r="N319"/>
  <c r="AG27" i="114"/>
  <c r="X27" l="1"/>
  <c r="Y27" s="1"/>
  <c r="T27"/>
  <c r="P27"/>
  <c r="O27"/>
  <c r="N27"/>
  <c r="AG10"/>
  <c r="V10"/>
  <c r="X10" l="1"/>
  <c r="Y10" s="1"/>
  <c r="T10"/>
  <c r="P10"/>
  <c r="O10"/>
  <c r="N10"/>
  <c r="AG9"/>
  <c r="V9"/>
  <c r="X9" l="1"/>
  <c r="Y9" s="1"/>
  <c r="T9"/>
  <c r="P9"/>
  <c r="O9"/>
  <c r="N9"/>
  <c r="AG8"/>
  <c r="V8"/>
  <c r="X8" l="1"/>
  <c r="Y8" s="1"/>
  <c r="T8"/>
  <c r="P8"/>
  <c r="O8"/>
  <c r="N8"/>
  <c r="AG31"/>
  <c r="X31" l="1"/>
  <c r="Y31" s="1"/>
  <c r="T31"/>
  <c r="P31"/>
  <c r="O31"/>
  <c r="N31"/>
  <c r="R1602" i="57"/>
  <c r="P1602"/>
  <c r="O1602"/>
  <c r="N1602"/>
  <c r="D1602"/>
  <c r="R740"/>
  <c r="P740"/>
  <c r="O740"/>
  <c r="N740"/>
  <c r="D68" i="28"/>
  <c r="P12" i="114" l="1"/>
  <c r="P11"/>
  <c r="P565" i="57"/>
  <c r="AG562"/>
  <c r="AJ562"/>
  <c r="V562"/>
  <c r="AI562" l="1"/>
  <c r="X562"/>
  <c r="Y562" s="1"/>
  <c r="T562"/>
  <c r="R562"/>
  <c r="P562"/>
  <c r="O562"/>
  <c r="N562"/>
  <c r="AG1141"/>
  <c r="V1141"/>
  <c r="AJ1141"/>
  <c r="AI1141" l="1"/>
  <c r="X1141"/>
  <c r="Y1141" s="1"/>
  <c r="T1141"/>
  <c r="R1141"/>
  <c r="P1141"/>
  <c r="O1141"/>
  <c r="N1141"/>
  <c r="AG1048"/>
  <c r="AJ1048"/>
  <c r="V1048"/>
  <c r="AI1048" l="1"/>
  <c r="X1048"/>
  <c r="Y1048" s="1"/>
  <c r="T1048"/>
  <c r="R1048"/>
  <c r="P1048"/>
  <c r="O1048"/>
  <c r="N1048"/>
  <c r="AG19" i="114" l="1"/>
  <c r="V19"/>
  <c r="X19" l="1"/>
  <c r="Y19" s="1"/>
  <c r="T19"/>
  <c r="P19"/>
  <c r="O19"/>
  <c r="N19"/>
  <c r="AG18"/>
  <c r="V18"/>
  <c r="X18" l="1"/>
  <c r="Y18" s="1"/>
  <c r="T18"/>
  <c r="P18"/>
  <c r="O18"/>
  <c r="N18"/>
  <c r="AG17"/>
  <c r="V17"/>
  <c r="X17" l="1"/>
  <c r="Y17" s="1"/>
  <c r="T17"/>
  <c r="P17"/>
  <c r="O17"/>
  <c r="N17"/>
  <c r="AG16"/>
  <c r="V16"/>
  <c r="X16" l="1"/>
  <c r="Y16" s="1"/>
  <c r="T16"/>
  <c r="P16"/>
  <c r="O16"/>
  <c r="N16"/>
  <c r="AG1750" i="57"/>
  <c r="AJ1750"/>
  <c r="V1750"/>
  <c r="AI1750" l="1"/>
  <c r="X1750"/>
  <c r="Y1750" s="1"/>
  <c r="T1750"/>
  <c r="R1750"/>
  <c r="P1750"/>
  <c r="O1750"/>
  <c r="N1750"/>
  <c r="AG915" l="1"/>
  <c r="AJ915"/>
  <c r="V915"/>
  <c r="AI915" l="1"/>
  <c r="X915"/>
  <c r="Y915" s="1"/>
  <c r="T915"/>
  <c r="R915"/>
  <c r="P915"/>
  <c r="O915"/>
  <c r="N915"/>
  <c r="AG1063"/>
  <c r="AJ1063"/>
  <c r="V1063"/>
  <c r="AI1063" l="1"/>
  <c r="X1063"/>
  <c r="Y1063" s="1"/>
  <c r="T1063"/>
  <c r="R1063"/>
  <c r="P1063"/>
  <c r="O1063"/>
  <c r="N1063"/>
  <c r="AG15" i="114" l="1"/>
  <c r="V15"/>
  <c r="X15" l="1"/>
  <c r="Y15" s="1"/>
  <c r="T15"/>
  <c r="P15"/>
  <c r="O15"/>
  <c r="N15"/>
  <c r="AG14"/>
  <c r="V14"/>
  <c r="X14" l="1"/>
  <c r="Y14" s="1"/>
  <c r="T14"/>
  <c r="P14"/>
  <c r="O14"/>
  <c r="N14"/>
  <c r="AG13"/>
  <c r="V13"/>
  <c r="X13" l="1"/>
  <c r="Y13" s="1"/>
  <c r="T13"/>
  <c r="P13"/>
  <c r="O13"/>
  <c r="N13"/>
  <c r="AG12"/>
  <c r="V12"/>
  <c r="X12" l="1"/>
  <c r="Y12" s="1"/>
  <c r="T12"/>
  <c r="O12"/>
  <c r="N12"/>
  <c r="AG11"/>
  <c r="V11"/>
  <c r="V20" l="1"/>
  <c r="X11"/>
  <c r="Y11" s="1"/>
  <c r="T11"/>
  <c r="O11"/>
  <c r="N11"/>
  <c r="W83"/>
  <c r="V83"/>
  <c r="W116" i="74"/>
  <c r="V116"/>
  <c r="AG55" i="28"/>
  <c r="V55"/>
  <c r="AM55"/>
  <c r="AD20" i="114" l="1"/>
  <c r="X20"/>
  <c r="AL55" i="28"/>
  <c r="X55"/>
  <c r="Y55" s="1"/>
  <c r="T55"/>
  <c r="R55"/>
  <c r="P55"/>
  <c r="O55"/>
  <c r="N55"/>
  <c r="AG282" i="57"/>
  <c r="V282"/>
  <c r="AJ282"/>
  <c r="Y20" i="114" l="1"/>
  <c r="AE20"/>
  <c r="AI282" i="57"/>
  <c r="X282"/>
  <c r="Y282" s="1"/>
  <c r="T282"/>
  <c r="R282"/>
  <c r="P282"/>
  <c r="O282"/>
  <c r="N282"/>
  <c r="AG647"/>
  <c r="V647"/>
  <c r="AJ647"/>
  <c r="AI647" l="1"/>
  <c r="X647"/>
  <c r="Y647" s="1"/>
  <c r="T647"/>
  <c r="R647"/>
  <c r="P647"/>
  <c r="O647"/>
  <c r="N647"/>
  <c r="AG648" l="1"/>
  <c r="V648"/>
  <c r="AJ648"/>
  <c r="AI648" l="1"/>
  <c r="X648"/>
  <c r="Y648" s="1"/>
  <c r="T648"/>
  <c r="R648"/>
  <c r="P648"/>
  <c r="O648"/>
  <c r="N648"/>
  <c r="R22" i="22" l="1"/>
  <c r="R21"/>
  <c r="R20"/>
  <c r="R19"/>
  <c r="R48"/>
  <c r="R47"/>
  <c r="R46"/>
  <c r="R45"/>
  <c r="R44"/>
  <c r="R43"/>
  <c r="R35"/>
  <c r="R34"/>
  <c r="R33"/>
  <c r="R39"/>
  <c r="R29"/>
  <c r="R28"/>
  <c r="R27"/>
  <c r="R26"/>
  <c r="R63"/>
  <c r="R71"/>
  <c r="R72"/>
  <c r="R95"/>
  <c r="R55"/>
  <c r="R54"/>
  <c r="R53"/>
  <c r="R52"/>
  <c r="R82"/>
  <c r="R83"/>
  <c r="R84"/>
  <c r="R85"/>
  <c r="R81"/>
  <c r="R59"/>
  <c r="R77"/>
  <c r="R76"/>
  <c r="R67"/>
  <c r="R121"/>
  <c r="R132"/>
  <c r="R131"/>
  <c r="R100"/>
  <c r="R99"/>
  <c r="R91"/>
  <c r="R90"/>
  <c r="R89"/>
  <c r="R127"/>
  <c r="R126"/>
  <c r="R125"/>
  <c r="R105"/>
  <c r="R106"/>
  <c r="R104"/>
  <c r="R117"/>
  <c r="R116"/>
  <c r="R115"/>
  <c r="R114"/>
  <c r="R113"/>
  <c r="R112"/>
  <c r="R111"/>
  <c r="R110"/>
  <c r="R139"/>
  <c r="R138"/>
  <c r="R137"/>
  <c r="R136"/>
  <c r="R11"/>
  <c r="R12"/>
  <c r="R13"/>
  <c r="R14"/>
  <c r="R15"/>
  <c r="R10"/>
  <c r="R144"/>
  <c r="R148"/>
  <c r="R153"/>
  <c r="R154"/>
  <c r="R155"/>
  <c r="R156"/>
  <c r="R157"/>
  <c r="R152"/>
  <c r="R161"/>
  <c r="R166"/>
  <c r="R167"/>
  <c r="R168"/>
  <c r="R169"/>
  <c r="R170"/>
  <c r="R171"/>
  <c r="R165"/>
  <c r="R180"/>
  <c r="R179"/>
  <c r="R178"/>
  <c r="R177"/>
  <c r="R176"/>
  <c r="R175"/>
  <c r="R186"/>
  <c r="R187"/>
  <c r="R185"/>
  <c r="R251"/>
  <c r="R250"/>
  <c r="R249"/>
  <c r="R248"/>
  <c r="R247"/>
  <c r="R246"/>
  <c r="R245"/>
  <c r="R244"/>
  <c r="R243"/>
  <c r="R242"/>
  <c r="R241"/>
  <c r="R240"/>
  <c r="R239"/>
  <c r="R238"/>
  <c r="R237"/>
  <c r="R236"/>
  <c r="R235"/>
  <c r="R234"/>
  <c r="R233"/>
  <c r="R232"/>
  <c r="R231"/>
  <c r="R230"/>
  <c r="R229"/>
  <c r="R228"/>
  <c r="R227"/>
  <c r="R226"/>
  <c r="R225"/>
  <c r="R224"/>
  <c r="R223"/>
  <c r="R222"/>
  <c r="R221"/>
  <c r="R220"/>
  <c r="R219"/>
  <c r="R218"/>
  <c r="R217"/>
  <c r="R216"/>
  <c r="R215"/>
  <c r="R214"/>
  <c r="R213"/>
  <c r="R212"/>
  <c r="R211"/>
  <c r="R210"/>
  <c r="R209"/>
  <c r="R208"/>
  <c r="R207"/>
  <c r="R206"/>
  <c r="R205"/>
  <c r="R204"/>
  <c r="R203"/>
  <c r="R202"/>
  <c r="R201"/>
  <c r="R200"/>
  <c r="R199"/>
  <c r="R198"/>
  <c r="R197"/>
  <c r="R196"/>
  <c r="R195"/>
  <c r="R194"/>
  <c r="R193"/>
  <c r="R192"/>
  <c r="R316"/>
  <c r="R315"/>
  <c r="R314"/>
  <c r="R313"/>
  <c r="R312"/>
  <c r="R311"/>
  <c r="R310"/>
  <c r="R309"/>
  <c r="R308"/>
  <c r="R307"/>
  <c r="R306"/>
  <c r="R305"/>
  <c r="R304"/>
  <c r="R303"/>
  <c r="R302"/>
  <c r="R301"/>
  <c r="R300"/>
  <c r="R299"/>
  <c r="R298"/>
  <c r="R297"/>
  <c r="R296"/>
  <c r="R295"/>
  <c r="R294"/>
  <c r="R293"/>
  <c r="R292"/>
  <c r="R291"/>
  <c r="R290"/>
  <c r="R289"/>
  <c r="R288"/>
  <c r="R287"/>
  <c r="R286"/>
  <c r="R285"/>
  <c r="R284"/>
  <c r="R283"/>
  <c r="R282"/>
  <c r="R281"/>
  <c r="R280"/>
  <c r="R279"/>
  <c r="R278"/>
  <c r="R277"/>
  <c r="R276"/>
  <c r="R275"/>
  <c r="R274"/>
  <c r="R273"/>
  <c r="R272"/>
  <c r="R271"/>
  <c r="R270"/>
  <c r="R269"/>
  <c r="R268"/>
  <c r="R267"/>
  <c r="R266"/>
  <c r="R265"/>
  <c r="R264"/>
  <c r="R263"/>
  <c r="R262"/>
  <c r="R261"/>
  <c r="R260"/>
  <c r="R259"/>
  <c r="R258"/>
  <c r="R257"/>
  <c r="R256"/>
  <c r="R346"/>
  <c r="R345"/>
  <c r="R344"/>
  <c r="R343"/>
  <c r="R342"/>
  <c r="R341"/>
  <c r="R340"/>
  <c r="R339"/>
  <c r="R338"/>
  <c r="R337"/>
  <c r="R336"/>
  <c r="R335"/>
  <c r="R334"/>
  <c r="R333"/>
  <c r="R332"/>
  <c r="R331"/>
  <c r="R330"/>
  <c r="R329"/>
  <c r="R328"/>
  <c r="R327"/>
  <c r="R326"/>
  <c r="R325"/>
  <c r="R324"/>
  <c r="R323"/>
  <c r="R322"/>
  <c r="R321"/>
  <c r="R367"/>
  <c r="R366"/>
  <c r="R365"/>
  <c r="R364"/>
  <c r="R363"/>
  <c r="R362"/>
  <c r="R361"/>
  <c r="R360"/>
  <c r="R359"/>
  <c r="R358"/>
  <c r="R357"/>
  <c r="R356"/>
  <c r="R355"/>
  <c r="R354"/>
  <c r="R353"/>
  <c r="R352"/>
  <c r="R351"/>
  <c r="R392"/>
  <c r="R391"/>
  <c r="R390"/>
  <c r="R389"/>
  <c r="R388"/>
  <c r="R387"/>
  <c r="R386"/>
  <c r="R385"/>
  <c r="R384"/>
  <c r="R383"/>
  <c r="R382"/>
  <c r="R381"/>
  <c r="R380"/>
  <c r="R379"/>
  <c r="R378"/>
  <c r="R377"/>
  <c r="R376"/>
  <c r="R375"/>
  <c r="R374"/>
  <c r="R373"/>
  <c r="R372"/>
  <c r="R398"/>
  <c r="R397"/>
  <c r="R396"/>
  <c r="R409"/>
  <c r="R408"/>
  <c r="R407"/>
  <c r="R406"/>
  <c r="R416"/>
  <c r="R419"/>
  <c r="R423"/>
  <c r="R424"/>
  <c r="R422"/>
  <c r="R430"/>
  <c r="R429"/>
  <c r="R428"/>
  <c r="R427"/>
  <c r="R437"/>
  <c r="R436"/>
  <c r="R435"/>
  <c r="R434"/>
  <c r="R433"/>
  <c r="R444"/>
  <c r="R443"/>
  <c r="R442"/>
  <c r="R441"/>
  <c r="R440"/>
  <c r="R453"/>
  <c r="R450"/>
  <c r="R449"/>
  <c r="R448"/>
  <c r="R447"/>
  <c r="R457"/>
  <c r="R456"/>
  <c r="R467"/>
  <c r="R466"/>
  <c r="R463"/>
  <c r="R462"/>
  <c r="R461"/>
  <c r="R460"/>
  <c r="R471"/>
  <c r="R472"/>
  <c r="R473"/>
  <c r="R470"/>
  <c r="R476"/>
  <c r="R477"/>
  <c r="R495"/>
  <c r="R496"/>
  <c r="R494"/>
  <c r="R491"/>
  <c r="R490"/>
  <c r="R489"/>
  <c r="R488"/>
  <c r="R487"/>
  <c r="R504"/>
  <c r="R503"/>
  <c r="R502"/>
  <c r="R501"/>
  <c r="R500"/>
  <c r="R499"/>
  <c r="R512"/>
  <c r="R511"/>
  <c r="R510"/>
  <c r="R509"/>
  <c r="R508"/>
  <c r="R507"/>
  <c r="R524"/>
  <c r="R523"/>
  <c r="R522"/>
  <c r="R521"/>
  <c r="R520"/>
  <c r="R519"/>
  <c r="R518"/>
  <c r="R517"/>
  <c r="R516"/>
  <c r="R515"/>
  <c r="R529"/>
  <c r="R530"/>
  <c r="R531"/>
  <c r="R532"/>
  <c r="R533"/>
  <c r="R534"/>
  <c r="R535"/>
  <c r="R536"/>
  <c r="R528"/>
  <c r="R527"/>
  <c r="R540"/>
  <c r="R539"/>
  <c r="R545"/>
  <c r="R544"/>
  <c r="R543"/>
  <c r="R548"/>
  <c r="R549"/>
  <c r="R550"/>
  <c r="R551"/>
  <c r="R552"/>
  <c r="R553"/>
  <c r="R554"/>
  <c r="R558"/>
  <c r="R559"/>
  <c r="R560"/>
  <c r="R561"/>
  <c r="R562"/>
  <c r="R563"/>
  <c r="R557"/>
  <c r="R71" i="28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330"/>
  <c r="R70"/>
  <c r="R57"/>
  <c r="R59"/>
  <c r="R60"/>
  <c r="R61"/>
  <c r="R62"/>
  <c r="R66"/>
  <c r="R67"/>
  <c r="R68"/>
  <c r="R69"/>
  <c r="R54"/>
  <c r="R12"/>
  <c r="R13"/>
  <c r="R14"/>
  <c r="R15"/>
  <c r="R16"/>
  <c r="R17"/>
  <c r="R21"/>
  <c r="R19"/>
  <c r="R18"/>
  <c r="R20"/>
  <c r="R24"/>
  <c r="R22"/>
  <c r="R28"/>
  <c r="R23"/>
  <c r="R26"/>
  <c r="R31"/>
  <c r="R27"/>
  <c r="R25"/>
  <c r="R29"/>
  <c r="R30"/>
  <c r="R32"/>
  <c r="R35"/>
  <c r="R33"/>
  <c r="R34"/>
  <c r="R36"/>
  <c r="R37"/>
  <c r="R38"/>
  <c r="R39"/>
  <c r="R11"/>
  <c r="R1816" i="57"/>
  <c r="R1815"/>
  <c r="R1811"/>
  <c r="R1810"/>
  <c r="R1809"/>
  <c r="R1806"/>
  <c r="R1805"/>
  <c r="R1804"/>
  <c r="R1803"/>
  <c r="R1802"/>
  <c r="R1801"/>
  <c r="R1800"/>
  <c r="R1799"/>
  <c r="R1798"/>
  <c r="R1795"/>
  <c r="R1794"/>
  <c r="R1793"/>
  <c r="R1792"/>
  <c r="R1791"/>
  <c r="R1790"/>
  <c r="R1789"/>
  <c r="R1788"/>
  <c r="R1787"/>
  <c r="R1786"/>
  <c r="R1785"/>
  <c r="R1784"/>
  <c r="R1783"/>
  <c r="R1782"/>
  <c r="R1780"/>
  <c r="R1779"/>
  <c r="R1778"/>
  <c r="R1777"/>
  <c r="R1776"/>
  <c r="R1775"/>
  <c r="R1774"/>
  <c r="R1773"/>
  <c r="R1772"/>
  <c r="R1771"/>
  <c r="R1697"/>
  <c r="R1698"/>
  <c r="R1699"/>
  <c r="R1700"/>
  <c r="R1701"/>
  <c r="R1702"/>
  <c r="R1703"/>
  <c r="R1704"/>
  <c r="R1705"/>
  <c r="R1706"/>
  <c r="R1707"/>
  <c r="R1708"/>
  <c r="R1709"/>
  <c r="R1710"/>
  <c r="R1711"/>
  <c r="R1712"/>
  <c r="R1713"/>
  <c r="R1714"/>
  <c r="R1715"/>
  <c r="R1716"/>
  <c r="R1717"/>
  <c r="R1718"/>
  <c r="R1719"/>
  <c r="R1720"/>
  <c r="R1721"/>
  <c r="R1722"/>
  <c r="R1723"/>
  <c r="R1724"/>
  <c r="R1725"/>
  <c r="R1726"/>
  <c r="R1727"/>
  <c r="R1728"/>
  <c r="R1729"/>
  <c r="R1730"/>
  <c r="R1731"/>
  <c r="R1732"/>
  <c r="R1733"/>
  <c r="R1734"/>
  <c r="R1735"/>
  <c r="R1736"/>
  <c r="R1737"/>
  <c r="R1738"/>
  <c r="R1739"/>
  <c r="R1740"/>
  <c r="R1741"/>
  <c r="R1742"/>
  <c r="R1743"/>
  <c r="R1744"/>
  <c r="R1745"/>
  <c r="R1746"/>
  <c r="R1747"/>
  <c r="R1748"/>
  <c r="R1749"/>
  <c r="R1751"/>
  <c r="R1752"/>
  <c r="R1753"/>
  <c r="R1754"/>
  <c r="R1755"/>
  <c r="R1756"/>
  <c r="R1757"/>
  <c r="R1758"/>
  <c r="R1759"/>
  <c r="R1760"/>
  <c r="R1761"/>
  <c r="R1762"/>
  <c r="R1763"/>
  <c r="R1765"/>
  <c r="R1766"/>
  <c r="R1767"/>
  <c r="R1768"/>
  <c r="R1696"/>
  <c r="R1695"/>
  <c r="R1694"/>
  <c r="R1693"/>
  <c r="R1692"/>
  <c r="R1691"/>
  <c r="R1690"/>
  <c r="R1689"/>
  <c r="R1688"/>
  <c r="R1686"/>
  <c r="R1685"/>
  <c r="R1672"/>
  <c r="R1673"/>
  <c r="R1674"/>
  <c r="R1675"/>
  <c r="R1676"/>
  <c r="R1677"/>
  <c r="R1678"/>
  <c r="R1679"/>
  <c r="R1680"/>
  <c r="R1682"/>
  <c r="R1671"/>
  <c r="R1633"/>
  <c r="R1634"/>
  <c r="R1635"/>
  <c r="R1636"/>
  <c r="R1637"/>
  <c r="R1638"/>
  <c r="R1639"/>
  <c r="R1640"/>
  <c r="R1641"/>
  <c r="R1642"/>
  <c r="R1643"/>
  <c r="R1644"/>
  <c r="R1645"/>
  <c r="R1646"/>
  <c r="R1647"/>
  <c r="R1648"/>
  <c r="R1649"/>
  <c r="R1650"/>
  <c r="R1651"/>
  <c r="R1652"/>
  <c r="R1653"/>
  <c r="R1654"/>
  <c r="R1655"/>
  <c r="R1656"/>
  <c r="R1657"/>
  <c r="R1658"/>
  <c r="R1659"/>
  <c r="R1660"/>
  <c r="R1661"/>
  <c r="R1662"/>
  <c r="R1663"/>
  <c r="R1664"/>
  <c r="R1665"/>
  <c r="R1666"/>
  <c r="R1667"/>
  <c r="R1668"/>
  <c r="R1632"/>
  <c r="R1588"/>
  <c r="R1589"/>
  <c r="R1590"/>
  <c r="R1591"/>
  <c r="R1592"/>
  <c r="R1593"/>
  <c r="R1594"/>
  <c r="R1595"/>
  <c r="R1596"/>
  <c r="R1597"/>
  <c r="R1598"/>
  <c r="R1599"/>
  <c r="R1600"/>
  <c r="R1601"/>
  <c r="R1610"/>
  <c r="R1611"/>
  <c r="R1612"/>
  <c r="R1613"/>
  <c r="R1616"/>
  <c r="R1617"/>
  <c r="R1618"/>
  <c r="R1619"/>
  <c r="R1620"/>
  <c r="R1622"/>
  <c r="R1623"/>
  <c r="R1624"/>
  <c r="R1625"/>
  <c r="R1626"/>
  <c r="R1627"/>
  <c r="R1628"/>
  <c r="R1629"/>
  <c r="R1587"/>
  <c r="R1542"/>
  <c r="R1543"/>
  <c r="R1544"/>
  <c r="R1545"/>
  <c r="R1546"/>
  <c r="R1547"/>
  <c r="R1548"/>
  <c r="R1549"/>
  <c r="R1550"/>
  <c r="R1551"/>
  <c r="R1552"/>
  <c r="R1553"/>
  <c r="R1554"/>
  <c r="R1555"/>
  <c r="R1556"/>
  <c r="R1557"/>
  <c r="R1558"/>
  <c r="R1559"/>
  <c r="R1560"/>
  <c r="R1561"/>
  <c r="R1562"/>
  <c r="R1563"/>
  <c r="R1564"/>
  <c r="R1565"/>
  <c r="R1566"/>
  <c r="R1567"/>
  <c r="R1568"/>
  <c r="R1569"/>
  <c r="R1570"/>
  <c r="R1571"/>
  <c r="R1572"/>
  <c r="R1573"/>
  <c r="R1574"/>
  <c r="R1575"/>
  <c r="R1576"/>
  <c r="R1577"/>
  <c r="R1578"/>
  <c r="R1579"/>
  <c r="R1580"/>
  <c r="R1581"/>
  <c r="R1582"/>
  <c r="R1583"/>
  <c r="R1584"/>
  <c r="R1541"/>
  <c r="R1512"/>
  <c r="R1513"/>
  <c r="R1514"/>
  <c r="R1515"/>
  <c r="R1517"/>
  <c r="R1518"/>
  <c r="R1519"/>
  <c r="R1520"/>
  <c r="R1522"/>
  <c r="R1523"/>
  <c r="R1524"/>
  <c r="R1525"/>
  <c r="R1526"/>
  <c r="R1527"/>
  <c r="R1528"/>
  <c r="R1529"/>
  <c r="R1530"/>
  <c r="R1531"/>
  <c r="R1532"/>
  <c r="R1533"/>
  <c r="R1534"/>
  <c r="R1535"/>
  <c r="R1536"/>
  <c r="R1537"/>
  <c r="R1538"/>
  <c r="R1510"/>
  <c r="R1435"/>
  <c r="R1436"/>
  <c r="R1437"/>
  <c r="R1438"/>
  <c r="R1439"/>
  <c r="R1440"/>
  <c r="R1441"/>
  <c r="R1442"/>
  <c r="R1443"/>
  <c r="R1444"/>
  <c r="R1445"/>
  <c r="R1446"/>
  <c r="R1447"/>
  <c r="R1448"/>
  <c r="R1449"/>
  <c r="R1450"/>
  <c r="R1451"/>
  <c r="R1452"/>
  <c r="R1453"/>
  <c r="R1454"/>
  <c r="R1455"/>
  <c r="R1456"/>
  <c r="R1457"/>
  <c r="R1458"/>
  <c r="R1459"/>
  <c r="R1460"/>
  <c r="R1461"/>
  <c r="R1462"/>
  <c r="R1463"/>
  <c r="R1464"/>
  <c r="R1465"/>
  <c r="R1466"/>
  <c r="R1467"/>
  <c r="R1468"/>
  <c r="R1469"/>
  <c r="R1470"/>
  <c r="R1471"/>
  <c r="R1472"/>
  <c r="R1473"/>
  <c r="R1474"/>
  <c r="R1475"/>
  <c r="R1476"/>
  <c r="R1477"/>
  <c r="R1478"/>
  <c r="R1479"/>
  <c r="R1480"/>
  <c r="R1481"/>
  <c r="R1482"/>
  <c r="R1483"/>
  <c r="R1484"/>
  <c r="R1485"/>
  <c r="R1486"/>
  <c r="R1487"/>
  <c r="R1488"/>
  <c r="R1489"/>
  <c r="R1490"/>
  <c r="R1491"/>
  <c r="R1492"/>
  <c r="R1493"/>
  <c r="R1494"/>
  <c r="R1495"/>
  <c r="R1496"/>
  <c r="R1497"/>
  <c r="R1498"/>
  <c r="R1499"/>
  <c r="R1500"/>
  <c r="R1501"/>
  <c r="R1502"/>
  <c r="R1503"/>
  <c r="R1504"/>
  <c r="R1505"/>
  <c r="R1506"/>
  <c r="R1507"/>
  <c r="R1434"/>
  <c r="R1306"/>
  <c r="R1307"/>
  <c r="R1308"/>
  <c r="R1309"/>
  <c r="R1310"/>
  <c r="R1311"/>
  <c r="R1312"/>
  <c r="R1313"/>
  <c r="R1314"/>
  <c r="R1315"/>
  <c r="R1316"/>
  <c r="R1317"/>
  <c r="R1318"/>
  <c r="R1319"/>
  <c r="R1320"/>
  <c r="R1321"/>
  <c r="R1322"/>
  <c r="R1323"/>
  <c r="R1324"/>
  <c r="R1325"/>
  <c r="R1326"/>
  <c r="R1327"/>
  <c r="R1328"/>
  <c r="R1329"/>
  <c r="R1330"/>
  <c r="R1331"/>
  <c r="R1332"/>
  <c r="R1333"/>
  <c r="R1334"/>
  <c r="R1335"/>
  <c r="R1337"/>
  <c r="R1338"/>
  <c r="R1339"/>
  <c r="R1340"/>
  <c r="R1341"/>
  <c r="R1342"/>
  <c r="R1343"/>
  <c r="R1344"/>
  <c r="R1345"/>
  <c r="R1346"/>
  <c r="R1347"/>
  <c r="R1348"/>
  <c r="R1349"/>
  <c r="R1350"/>
  <c r="R1351"/>
  <c r="R1352"/>
  <c r="R1353"/>
  <c r="R1354"/>
  <c r="R1355"/>
  <c r="R1356"/>
  <c r="R1358"/>
  <c r="R1359"/>
  <c r="R1360"/>
  <c r="R1361"/>
  <c r="R1362"/>
  <c r="R1363"/>
  <c r="R1364"/>
  <c r="R1365"/>
  <c r="R1366"/>
  <c r="R1367"/>
  <c r="R1368"/>
  <c r="R1369"/>
  <c r="R1370"/>
  <c r="R1371"/>
  <c r="R1372"/>
  <c r="R1373"/>
  <c r="R1374"/>
  <c r="R1375"/>
  <c r="R1376"/>
  <c r="R1377"/>
  <c r="R1378"/>
  <c r="R1380"/>
  <c r="R1381"/>
  <c r="R1382"/>
  <c r="R1383"/>
  <c r="R1384"/>
  <c r="R1385"/>
  <c r="R1386"/>
  <c r="R1387"/>
  <c r="R1388"/>
  <c r="R1389"/>
  <c r="R1390"/>
  <c r="R1391"/>
  <c r="R1392"/>
  <c r="R1393"/>
  <c r="R1394"/>
  <c r="R1395"/>
  <c r="R1396"/>
  <c r="R1397"/>
  <c r="R1398"/>
  <c r="R1399"/>
  <c r="R1400"/>
  <c r="R1401"/>
  <c r="R1402"/>
  <c r="R1403"/>
  <c r="R1404"/>
  <c r="R1405"/>
  <c r="R1406"/>
  <c r="R1407"/>
  <c r="R1408"/>
  <c r="R1409"/>
  <c r="R1410"/>
  <c r="R1411"/>
  <c r="R1412"/>
  <c r="R1413"/>
  <c r="R1414"/>
  <c r="R1415"/>
  <c r="R1416"/>
  <c r="R1417"/>
  <c r="R1418"/>
  <c r="R1419"/>
  <c r="R1420"/>
  <c r="R1421"/>
  <c r="R1422"/>
  <c r="R1423"/>
  <c r="R1425"/>
  <c r="R1426"/>
  <c r="R1427"/>
  <c r="R1428"/>
  <c r="R1429"/>
  <c r="R1430"/>
  <c r="R1431"/>
  <c r="R1305"/>
  <c r="R1264"/>
  <c r="R1265"/>
  <c r="R1266"/>
  <c r="R1267"/>
  <c r="R1268"/>
  <c r="R1269"/>
  <c r="R1270"/>
  <c r="R1271"/>
  <c r="R1272"/>
  <c r="R1273"/>
  <c r="R1274"/>
  <c r="R1275"/>
  <c r="R1276"/>
  <c r="R1277"/>
  <c r="R1278"/>
  <c r="R1279"/>
  <c r="R1280"/>
  <c r="R1281"/>
  <c r="R1282"/>
  <c r="R1283"/>
  <c r="R1284"/>
  <c r="R1285"/>
  <c r="R1286"/>
  <c r="R1287"/>
  <c r="R1288"/>
  <c r="R1289"/>
  <c r="R1290"/>
  <c r="R1291"/>
  <c r="R1292"/>
  <c r="R1293"/>
  <c r="R1294"/>
  <c r="R1295"/>
  <c r="R1296"/>
  <c r="R1297"/>
  <c r="R1298"/>
  <c r="R1299"/>
  <c r="R1300"/>
  <c r="R1301"/>
  <c r="R1263"/>
  <c r="R1226"/>
  <c r="R1227"/>
  <c r="R1228"/>
  <c r="R1229"/>
  <c r="R1230"/>
  <c r="R1231"/>
  <c r="R1232"/>
  <c r="R1233"/>
  <c r="R1234"/>
  <c r="R1235"/>
  <c r="R1236"/>
  <c r="R1237"/>
  <c r="R1238"/>
  <c r="R1239"/>
  <c r="R1240"/>
  <c r="R1241"/>
  <c r="R1242"/>
  <c r="R1243"/>
  <c r="R1244"/>
  <c r="R1245"/>
  <c r="R1246"/>
  <c r="R1247"/>
  <c r="R1248"/>
  <c r="R1249"/>
  <c r="R1250"/>
  <c r="R1251"/>
  <c r="R1252"/>
  <c r="R1253"/>
  <c r="R1254"/>
  <c r="R1255"/>
  <c r="R1256"/>
  <c r="R1257"/>
  <c r="R1258"/>
  <c r="R1259"/>
  <c r="R1260"/>
  <c r="R1225"/>
  <c r="R1018"/>
  <c r="R1019"/>
  <c r="R1020"/>
  <c r="R1021"/>
  <c r="R1022"/>
  <c r="R1024"/>
  <c r="R1025"/>
  <c r="R1026"/>
  <c r="R1027"/>
  <c r="R1028"/>
  <c r="R1029"/>
  <c r="R1030"/>
  <c r="R1031"/>
  <c r="R1032"/>
  <c r="R1033"/>
  <c r="R1034"/>
  <c r="R1035"/>
  <c r="R1036"/>
  <c r="R1037"/>
  <c r="R1038"/>
  <c r="R1039"/>
  <c r="R1040"/>
  <c r="R1041"/>
  <c r="R1042"/>
  <c r="R1043"/>
  <c r="R1044"/>
  <c r="R1045"/>
  <c r="R1046"/>
  <c r="R1047"/>
  <c r="R1049"/>
  <c r="R1050"/>
  <c r="R1051"/>
  <c r="R1052"/>
  <c r="R1053"/>
  <c r="R1054"/>
  <c r="R1055"/>
  <c r="R1056"/>
  <c r="R1057"/>
  <c r="R1058"/>
  <c r="R1059"/>
  <c r="R1060"/>
  <c r="R1061"/>
  <c r="R1064"/>
  <c r="R1065"/>
  <c r="R1066"/>
  <c r="R1067"/>
  <c r="R1068"/>
  <c r="R1069"/>
  <c r="R1070"/>
  <c r="R1071"/>
  <c r="R1072"/>
  <c r="R1073"/>
  <c r="R1074"/>
  <c r="R1075"/>
  <c r="R1076"/>
  <c r="R1077"/>
  <c r="R1078"/>
  <c r="R1079"/>
  <c r="R1080"/>
  <c r="R1081"/>
  <c r="R1082"/>
  <c r="R1083"/>
  <c r="R1084"/>
  <c r="R1085"/>
  <c r="R1086"/>
  <c r="R1087"/>
  <c r="R1088"/>
  <c r="R1089"/>
  <c r="R1090"/>
  <c r="R1091"/>
  <c r="R1092"/>
  <c r="R1093"/>
  <c r="R1094"/>
  <c r="R1095"/>
  <c r="R1096"/>
  <c r="R1097"/>
  <c r="R1098"/>
  <c r="R1099"/>
  <c r="R1100"/>
  <c r="R1101"/>
  <c r="R1102"/>
  <c r="R1103"/>
  <c r="R1104"/>
  <c r="R1105"/>
  <c r="R1106"/>
  <c r="R1107"/>
  <c r="R1108"/>
  <c r="R1109"/>
  <c r="R1110"/>
  <c r="R1111"/>
  <c r="R1112"/>
  <c r="R1113"/>
  <c r="R1114"/>
  <c r="R1115"/>
  <c r="R1116"/>
  <c r="R1118"/>
  <c r="R1119"/>
  <c r="R1120"/>
  <c r="R1121"/>
  <c r="R1122"/>
  <c r="R1123"/>
  <c r="R1124"/>
  <c r="R1125"/>
  <c r="R1126"/>
  <c r="R1127"/>
  <c r="R1128"/>
  <c r="R1129"/>
  <c r="R1130"/>
  <c r="R1131"/>
  <c r="R1132"/>
  <c r="R1133"/>
  <c r="R1134"/>
  <c r="R1135"/>
  <c r="R1136"/>
  <c r="R1137"/>
  <c r="R1138"/>
  <c r="R1139"/>
  <c r="R1140"/>
  <c r="R1142"/>
  <c r="R1143"/>
  <c r="R1144"/>
  <c r="R1145"/>
  <c r="R1146"/>
  <c r="R1147"/>
  <c r="R1148"/>
  <c r="R1149"/>
  <c r="R1150"/>
  <c r="R1151"/>
  <c r="R1152"/>
  <c r="R1153"/>
  <c r="R1154"/>
  <c r="R1155"/>
  <c r="R1156"/>
  <c r="R1157"/>
  <c r="R1158"/>
  <c r="R1159"/>
  <c r="R1160"/>
  <c r="R1161"/>
  <c r="R1162"/>
  <c r="R1163"/>
  <c r="R1164"/>
  <c r="R1165"/>
  <c r="R1166"/>
  <c r="R1167"/>
  <c r="R1168"/>
  <c r="R1169"/>
  <c r="R1170"/>
  <c r="R1171"/>
  <c r="R1172"/>
  <c r="R1173"/>
  <c r="R1174"/>
  <c r="R1175"/>
  <c r="R1176"/>
  <c r="R1177"/>
  <c r="R1178"/>
  <c r="R1179"/>
  <c r="R1180"/>
  <c r="R1181"/>
  <c r="R1182"/>
  <c r="R1183"/>
  <c r="R1184"/>
  <c r="R1185"/>
  <c r="R1186"/>
  <c r="R1187"/>
  <c r="R1188"/>
  <c r="R1189"/>
  <c r="R1190"/>
  <c r="R1191"/>
  <c r="R1192"/>
  <c r="R1193"/>
  <c r="R1194"/>
  <c r="R1195"/>
  <c r="R1196"/>
  <c r="R1197"/>
  <c r="R1198"/>
  <c r="R1199"/>
  <c r="R1200"/>
  <c r="R1201"/>
  <c r="R1202"/>
  <c r="R1203"/>
  <c r="R1204"/>
  <c r="R1205"/>
  <c r="R1207"/>
  <c r="R1208"/>
  <c r="R1209"/>
  <c r="R1210"/>
  <c r="R1211"/>
  <c r="R1212"/>
  <c r="R1213"/>
  <c r="R1214"/>
  <c r="R1215"/>
  <c r="R1216"/>
  <c r="R1217"/>
  <c r="R1218"/>
  <c r="R1219"/>
  <c r="R1220"/>
  <c r="R1221"/>
  <c r="R1222"/>
  <c r="R1017"/>
  <c r="R933"/>
  <c r="R934"/>
  <c r="R935"/>
  <c r="R936"/>
  <c r="R937"/>
  <c r="R938"/>
  <c r="R939"/>
  <c r="R940"/>
  <c r="R941"/>
  <c r="R943"/>
  <c r="R944"/>
  <c r="R945"/>
  <c r="R946"/>
  <c r="R947"/>
  <c r="R948"/>
  <c r="R949"/>
  <c r="R950"/>
  <c r="R951"/>
  <c r="R952"/>
  <c r="R953"/>
  <c r="R954"/>
  <c r="R955"/>
  <c r="R956"/>
  <c r="R957"/>
  <c r="R959"/>
  <c r="R960"/>
  <c r="R961"/>
  <c r="R962"/>
  <c r="R963"/>
  <c r="R964"/>
  <c r="R965"/>
  <c r="R966"/>
  <c r="R967"/>
  <c r="R968"/>
  <c r="R969"/>
  <c r="R970"/>
  <c r="R971"/>
  <c r="R972"/>
  <c r="R973"/>
  <c r="R974"/>
  <c r="R976"/>
  <c r="R977"/>
  <c r="R978"/>
  <c r="R979"/>
  <c r="R980"/>
  <c r="R981"/>
  <c r="R982"/>
  <c r="R983"/>
  <c r="R984"/>
  <c r="R985"/>
  <c r="R986"/>
  <c r="R987"/>
  <c r="R988"/>
  <c r="R989"/>
  <c r="R990"/>
  <c r="R991"/>
  <c r="R992"/>
  <c r="R993"/>
  <c r="R994"/>
  <c r="R995"/>
  <c r="R996"/>
  <c r="R997"/>
  <c r="R998"/>
  <c r="R999"/>
  <c r="R1000"/>
  <c r="R1001"/>
  <c r="R1002"/>
  <c r="R1003"/>
  <c r="R1004"/>
  <c r="R1005"/>
  <c r="R1006"/>
  <c r="R1007"/>
  <c r="R1008"/>
  <c r="R1009"/>
  <c r="R1010"/>
  <c r="R1011"/>
  <c r="R1012"/>
  <c r="R1013"/>
  <c r="R1014"/>
  <c r="R931"/>
  <c r="R930"/>
  <c r="R929"/>
  <c r="R928"/>
  <c r="R916"/>
  <c r="R917"/>
  <c r="R918"/>
  <c r="R920"/>
  <c r="R921"/>
  <c r="R922"/>
  <c r="R923"/>
  <c r="R924"/>
  <c r="R925"/>
  <c r="R914"/>
  <c r="R913"/>
  <c r="R912"/>
  <c r="R911"/>
  <c r="R910"/>
  <c r="R909"/>
  <c r="R908"/>
  <c r="R907"/>
  <c r="R906"/>
  <c r="R905"/>
  <c r="R904"/>
  <c r="R903"/>
  <c r="R902"/>
  <c r="R901"/>
  <c r="R900"/>
  <c r="R899"/>
  <c r="R898"/>
  <c r="R897"/>
  <c r="R896"/>
  <c r="R895"/>
  <c r="R894"/>
  <c r="R893"/>
  <c r="R892"/>
  <c r="R891"/>
  <c r="R890"/>
  <c r="R889"/>
  <c r="R888"/>
  <c r="R887"/>
  <c r="R886"/>
  <c r="R885"/>
  <c r="R884"/>
  <c r="R883"/>
  <c r="R882"/>
  <c r="R881"/>
  <c r="R880"/>
  <c r="R879"/>
  <c r="R877"/>
  <c r="R876"/>
  <c r="R875"/>
  <c r="R874"/>
  <c r="R873"/>
  <c r="R872"/>
  <c r="R871"/>
  <c r="R870"/>
  <c r="R869"/>
  <c r="R868"/>
  <c r="R867"/>
  <c r="R866"/>
  <c r="R865"/>
  <c r="R864"/>
  <c r="R863"/>
  <c r="R862"/>
  <c r="R861"/>
  <c r="R860"/>
  <c r="R859"/>
  <c r="R858"/>
  <c r="R857"/>
  <c r="R856"/>
  <c r="R855"/>
  <c r="R854"/>
  <c r="R853"/>
  <c r="R852"/>
  <c r="R851"/>
  <c r="R850"/>
  <c r="R849"/>
  <c r="R848"/>
  <c r="R847"/>
  <c r="R846"/>
  <c r="R845"/>
  <c r="R844"/>
  <c r="R843"/>
  <c r="R842"/>
  <c r="R841"/>
  <c r="R840"/>
  <c r="R839"/>
  <c r="R838"/>
  <c r="R837"/>
  <c r="R836"/>
  <c r="R835"/>
  <c r="R834"/>
  <c r="R833"/>
  <c r="R832"/>
  <c r="R831"/>
  <c r="R830"/>
  <c r="R829"/>
  <c r="R828"/>
  <c r="R827"/>
  <c r="R826"/>
  <c r="R825"/>
  <c r="R824"/>
  <c r="R823"/>
  <c r="R822"/>
  <c r="R821"/>
  <c r="R820"/>
  <c r="R819"/>
  <c r="R818"/>
  <c r="R817"/>
  <c r="R816"/>
  <c r="R815"/>
  <c r="R814"/>
  <c r="R813"/>
  <c r="R812"/>
  <c r="R811"/>
  <c r="R810"/>
  <c r="R809"/>
  <c r="R808"/>
  <c r="R807"/>
  <c r="R700"/>
  <c r="R701"/>
  <c r="R702"/>
  <c r="R703"/>
  <c r="R704"/>
  <c r="R705"/>
  <c r="R706"/>
  <c r="R707"/>
  <c r="R708"/>
  <c r="R709"/>
  <c r="R710"/>
  <c r="R711"/>
  <c r="R713"/>
  <c r="R714"/>
  <c r="R715"/>
  <c r="R716"/>
  <c r="R717"/>
  <c r="R718"/>
  <c r="R719"/>
  <c r="R720"/>
  <c r="R721"/>
  <c r="R722"/>
  <c r="R723"/>
  <c r="R724"/>
  <c r="R725"/>
  <c r="R726"/>
  <c r="R727"/>
  <c r="R728"/>
  <c r="R729"/>
  <c r="R730"/>
  <c r="R731"/>
  <c r="R732"/>
  <c r="R734"/>
  <c r="R735"/>
  <c r="R736"/>
  <c r="R737"/>
  <c r="R738"/>
  <c r="R739"/>
  <c r="R741"/>
  <c r="R742"/>
  <c r="R744"/>
  <c r="R745"/>
  <c r="R746"/>
  <c r="R747"/>
  <c r="R748"/>
  <c r="R749"/>
  <c r="R750"/>
  <c r="R751"/>
  <c r="R752"/>
  <c r="R753"/>
  <c r="R754"/>
  <c r="R755"/>
  <c r="R756"/>
  <c r="R757"/>
  <c r="R758"/>
  <c r="R759"/>
  <c r="R760"/>
  <c r="R761"/>
  <c r="R762"/>
  <c r="R763"/>
  <c r="R764"/>
  <c r="R765"/>
  <c r="R766"/>
  <c r="R767"/>
  <c r="R768"/>
  <c r="R769"/>
  <c r="R770"/>
  <c r="R771"/>
  <c r="R772"/>
  <c r="R773"/>
  <c r="R774"/>
  <c r="R775"/>
  <c r="R776"/>
  <c r="R777"/>
  <c r="R778"/>
  <c r="R779"/>
  <c r="R780"/>
  <c r="R781"/>
  <c r="R782"/>
  <c r="R783"/>
  <c r="R784"/>
  <c r="R785"/>
  <c r="R786"/>
  <c r="R787"/>
  <c r="R788"/>
  <c r="R790"/>
  <c r="R791"/>
  <c r="R792"/>
  <c r="R793"/>
  <c r="R794"/>
  <c r="R795"/>
  <c r="R796"/>
  <c r="R797"/>
  <c r="R798"/>
  <c r="R799"/>
  <c r="R800"/>
  <c r="R801"/>
  <c r="R802"/>
  <c r="R803"/>
  <c r="R804"/>
  <c r="R699"/>
  <c r="R698"/>
  <c r="R697"/>
  <c r="R532"/>
  <c r="R533"/>
  <c r="R534"/>
  <c r="R535"/>
  <c r="R536"/>
  <c r="R537"/>
  <c r="R538"/>
  <c r="R539"/>
  <c r="R540"/>
  <c r="R541"/>
  <c r="R542"/>
  <c r="R543"/>
  <c r="R545"/>
  <c r="R546"/>
  <c r="R547"/>
  <c r="R549"/>
  <c r="R550"/>
  <c r="R551"/>
  <c r="R552"/>
  <c r="R553"/>
  <c r="R554"/>
  <c r="R555"/>
  <c r="R556"/>
  <c r="R557"/>
  <c r="R558"/>
  <c r="R559"/>
  <c r="R561"/>
  <c r="R563"/>
  <c r="R564"/>
  <c r="R565"/>
  <c r="R566"/>
  <c r="R567"/>
  <c r="R568"/>
  <c r="R569"/>
  <c r="R570"/>
  <c r="R571"/>
  <c r="R572"/>
  <c r="R573"/>
  <c r="R574"/>
  <c r="R575"/>
  <c r="R576"/>
  <c r="R577"/>
  <c r="R578"/>
  <c r="R579"/>
  <c r="R580"/>
  <c r="R582"/>
  <c r="R583"/>
  <c r="R584"/>
  <c r="R585"/>
  <c r="R586"/>
  <c r="R588"/>
  <c r="R589"/>
  <c r="R590"/>
  <c r="R591"/>
  <c r="R592"/>
  <c r="R594"/>
  <c r="R595"/>
  <c r="R596"/>
  <c r="R597"/>
  <c r="R599"/>
  <c r="R600"/>
  <c r="R601"/>
  <c r="R602"/>
  <c r="R603"/>
  <c r="R605"/>
  <c r="R607"/>
  <c r="R608"/>
  <c r="R609"/>
  <c r="R610"/>
  <c r="R611"/>
  <c r="R612"/>
  <c r="R613"/>
  <c r="R615"/>
  <c r="R616"/>
  <c r="R617"/>
  <c r="R618"/>
  <c r="R619"/>
  <c r="R621"/>
  <c r="R622"/>
  <c r="R623"/>
  <c r="R624"/>
  <c r="R626"/>
  <c r="R627"/>
  <c r="R628"/>
  <c r="R629"/>
  <c r="R630"/>
  <c r="R631"/>
  <c r="R632"/>
  <c r="R633"/>
  <c r="R634"/>
  <c r="R635"/>
  <c r="R636"/>
  <c r="R637"/>
  <c r="R638"/>
  <c r="R639"/>
  <c r="R640"/>
  <c r="R641"/>
  <c r="R642"/>
  <c r="R643"/>
  <c r="R644"/>
  <c r="R645"/>
  <c r="R646"/>
  <c r="R649"/>
  <c r="R650"/>
  <c r="R651"/>
  <c r="R652"/>
  <c r="R654"/>
  <c r="R655"/>
  <c r="R656"/>
  <c r="R657"/>
  <c r="R658"/>
  <c r="R659"/>
  <c r="R660"/>
  <c r="R661"/>
  <c r="R662"/>
  <c r="R663"/>
  <c r="R664"/>
  <c r="R665"/>
  <c r="R666"/>
  <c r="R667"/>
  <c r="R668"/>
  <c r="R669"/>
  <c r="R670"/>
  <c r="R671"/>
  <c r="R672"/>
  <c r="R673"/>
  <c r="R674"/>
  <c r="R676"/>
  <c r="R677"/>
  <c r="R678"/>
  <c r="R679"/>
  <c r="R680"/>
  <c r="R681"/>
  <c r="R682"/>
  <c r="R683"/>
  <c r="R684"/>
  <c r="R685"/>
  <c r="R686"/>
  <c r="R687"/>
  <c r="R688"/>
  <c r="R689"/>
  <c r="R690"/>
  <c r="R691"/>
  <c r="R692"/>
  <c r="R693"/>
  <c r="R530"/>
  <c r="R528"/>
  <c r="R505"/>
  <c r="R506"/>
  <c r="R507"/>
  <c r="R508"/>
  <c r="R510"/>
  <c r="R511"/>
  <c r="R512"/>
  <c r="R513"/>
  <c r="R514"/>
  <c r="R515"/>
  <c r="R516"/>
  <c r="R517"/>
  <c r="R518"/>
  <c r="R519"/>
  <c r="R520"/>
  <c r="R521"/>
  <c r="R522"/>
  <c r="R523"/>
  <c r="R524"/>
  <c r="R525"/>
  <c r="R504"/>
  <c r="R503"/>
  <c r="R502"/>
  <c r="R501"/>
  <c r="R500"/>
  <c r="R499"/>
  <c r="R498"/>
  <c r="R497"/>
  <c r="R496"/>
  <c r="R495"/>
  <c r="R494"/>
  <c r="R493"/>
  <c r="R480"/>
  <c r="R481"/>
  <c r="R482"/>
  <c r="R483"/>
  <c r="R484"/>
  <c r="R485"/>
  <c r="R486"/>
  <c r="R487"/>
  <c r="R488"/>
  <c r="R489"/>
  <c r="R490"/>
  <c r="R479"/>
  <c r="R432"/>
  <c r="R433"/>
  <c r="R434"/>
  <c r="R435"/>
  <c r="R436"/>
  <c r="R437"/>
  <c r="R438"/>
  <c r="R439"/>
  <c r="R440"/>
  <c r="R441"/>
  <c r="R442"/>
  <c r="R443"/>
  <c r="R444"/>
  <c r="R445"/>
  <c r="R446"/>
  <c r="R447"/>
  <c r="R448"/>
  <c r="R449"/>
  <c r="R450"/>
  <c r="R451"/>
  <c r="R452"/>
  <c r="R453"/>
  <c r="R454"/>
  <c r="R455"/>
  <c r="R456"/>
  <c r="R457"/>
  <c r="R458"/>
  <c r="R459"/>
  <c r="R460"/>
  <c r="R461"/>
  <c r="R462"/>
  <c r="R463"/>
  <c r="R464"/>
  <c r="R465"/>
  <c r="R466"/>
  <c r="R467"/>
  <c r="R468"/>
  <c r="R469"/>
  <c r="R470"/>
  <c r="R471"/>
  <c r="R472"/>
  <c r="R473"/>
  <c r="R474"/>
  <c r="R476"/>
  <c r="R424"/>
  <c r="R425"/>
  <c r="R426"/>
  <c r="R427"/>
  <c r="R428"/>
  <c r="R423"/>
  <c r="R417"/>
  <c r="R418"/>
  <c r="R419"/>
  <c r="R420"/>
  <c r="R416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20"/>
  <c r="R321"/>
  <c r="R322"/>
  <c r="R323"/>
  <c r="R324"/>
  <c r="R325"/>
  <c r="R326"/>
  <c r="R327"/>
  <c r="R328"/>
  <c r="R329"/>
  <c r="R330"/>
  <c r="R332"/>
  <c r="R333"/>
  <c r="R334"/>
  <c r="R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8"/>
  <c r="R359"/>
  <c r="R360"/>
  <c r="R362"/>
  <c r="R363"/>
  <c r="R364"/>
  <c r="R365"/>
  <c r="R366"/>
  <c r="R368"/>
  <c r="R370"/>
  <c r="R371"/>
  <c r="R372"/>
  <c r="R373"/>
  <c r="R374"/>
  <c r="R375"/>
  <c r="R376"/>
  <c r="R377"/>
  <c r="R379"/>
  <c r="R380"/>
  <c r="R381"/>
  <c r="R382"/>
  <c r="R383"/>
  <c r="R384"/>
  <c r="R385"/>
  <c r="R386"/>
  <c r="R387"/>
  <c r="R388"/>
  <c r="R389"/>
  <c r="R390"/>
  <c r="R391"/>
  <c r="R392"/>
  <c r="R393"/>
  <c r="R394"/>
  <c r="R395"/>
  <c r="R396"/>
  <c r="R397"/>
  <c r="R398"/>
  <c r="R399"/>
  <c r="R400"/>
  <c r="R401"/>
  <c r="R402"/>
  <c r="R403"/>
  <c r="R404"/>
  <c r="R405"/>
  <c r="R406"/>
  <c r="R407"/>
  <c r="R408"/>
  <c r="R409"/>
  <c r="R410"/>
  <c r="R411"/>
  <c r="R412"/>
  <c r="R413"/>
  <c r="R290"/>
  <c r="R289"/>
  <c r="R288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9"/>
  <c r="R280"/>
  <c r="R281"/>
  <c r="R283"/>
  <c r="R284"/>
  <c r="R285"/>
  <c r="R246"/>
  <c r="R245"/>
  <c r="R244"/>
  <c r="R243"/>
  <c r="R228"/>
  <c r="R229"/>
  <c r="R230"/>
  <c r="R231"/>
  <c r="R232"/>
  <c r="R233"/>
  <c r="R234"/>
  <c r="R235"/>
  <c r="R236"/>
  <c r="R237"/>
  <c r="R238"/>
  <c r="R239"/>
  <c r="R240"/>
  <c r="R227"/>
  <c r="R226"/>
  <c r="R225"/>
  <c r="R224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130"/>
  <c r="R129"/>
  <c r="R128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71"/>
  <c r="R70"/>
  <c r="R44"/>
  <c r="R45"/>
  <c r="R46"/>
  <c r="R47"/>
  <c r="R48"/>
  <c r="R49"/>
  <c r="R50"/>
  <c r="R51"/>
  <c r="R52"/>
  <c r="R53"/>
  <c r="R54"/>
  <c r="R55"/>
  <c r="R56"/>
  <c r="R57"/>
  <c r="R59"/>
  <c r="R60"/>
  <c r="R61"/>
  <c r="R62"/>
  <c r="R63"/>
  <c r="R64"/>
  <c r="R65"/>
  <c r="R66"/>
  <c r="R67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19"/>
  <c r="R17"/>
  <c r="R16"/>
  <c r="R15"/>
  <c r="R14"/>
  <c r="R13"/>
  <c r="R6"/>
  <c r="R7"/>
  <c r="R8"/>
  <c r="R9"/>
  <c r="R10"/>
  <c r="R5"/>
  <c r="R4"/>
  <c r="R148" i="74"/>
  <c r="R149"/>
  <c r="R150"/>
  <c r="R151"/>
  <c r="R152"/>
  <c r="R153"/>
  <c r="R154"/>
  <c r="R155"/>
  <c r="R156"/>
  <c r="R157"/>
  <c r="R158"/>
  <c r="R159"/>
  <c r="R147"/>
  <c r="R146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20"/>
  <c r="R119"/>
  <c r="R118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73"/>
  <c r="R72"/>
  <c r="R7"/>
  <c r="R8"/>
  <c r="R66"/>
  <c r="R67"/>
  <c r="R9"/>
  <c r="R10"/>
  <c r="R11"/>
  <c r="R12"/>
  <c r="R13"/>
  <c r="R14"/>
  <c r="R15"/>
  <c r="R62"/>
  <c r="R65"/>
  <c r="R69"/>
  <c r="R16"/>
  <c r="R17"/>
  <c r="R18"/>
  <c r="R19"/>
  <c r="R20"/>
  <c r="R21"/>
  <c r="R22"/>
  <c r="R23"/>
  <c r="R24"/>
  <c r="R25"/>
  <c r="R61"/>
  <c r="R68"/>
  <c r="R26"/>
  <c r="R27"/>
  <c r="R28"/>
  <c r="R29"/>
  <c r="R30"/>
  <c r="R31"/>
  <c r="R32"/>
  <c r="R33"/>
  <c r="R63"/>
  <c r="R34"/>
  <c r="R35"/>
  <c r="R36"/>
  <c r="R37"/>
  <c r="R38"/>
  <c r="R39"/>
  <c r="R40"/>
  <c r="R41"/>
  <c r="R42"/>
  <c r="R43"/>
  <c r="R44"/>
  <c r="R45"/>
  <c r="R46"/>
  <c r="R47"/>
  <c r="R48"/>
  <c r="R49"/>
  <c r="R6"/>
  <c r="R116" i="114"/>
  <c r="R11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85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34"/>
  <c r="AG67" i="74"/>
  <c r="X67" l="1"/>
  <c r="Y67" s="1"/>
  <c r="T67"/>
  <c r="P67"/>
  <c r="O67"/>
  <c r="N67"/>
  <c r="P563" i="22"/>
  <c r="P562"/>
  <c r="P561"/>
  <c r="P560"/>
  <c r="P559"/>
  <c r="P558"/>
  <c r="P557"/>
  <c r="P551"/>
  <c r="P552"/>
  <c r="P553"/>
  <c r="P554"/>
  <c r="P550"/>
  <c r="P549"/>
  <c r="P548"/>
  <c r="P545"/>
  <c r="P544"/>
  <c r="P543"/>
  <c r="P540"/>
  <c r="P539"/>
  <c r="P530"/>
  <c r="P531"/>
  <c r="P532"/>
  <c r="P533"/>
  <c r="P534"/>
  <c r="P535"/>
  <c r="P536"/>
  <c r="P529"/>
  <c r="P528"/>
  <c r="P527"/>
  <c r="P516"/>
  <c r="P517"/>
  <c r="P518"/>
  <c r="P519"/>
  <c r="P520"/>
  <c r="P521"/>
  <c r="P522"/>
  <c r="P523"/>
  <c r="P524"/>
  <c r="P515"/>
  <c r="P510"/>
  <c r="P511"/>
  <c r="P512"/>
  <c r="P509"/>
  <c r="P508"/>
  <c r="P507"/>
  <c r="P502"/>
  <c r="P503"/>
  <c r="P504"/>
  <c r="P501"/>
  <c r="P500"/>
  <c r="P499"/>
  <c r="P496"/>
  <c r="P495"/>
  <c r="P494"/>
  <c r="P489"/>
  <c r="P490"/>
  <c r="P491"/>
  <c r="P488"/>
  <c r="P487"/>
  <c r="P477"/>
  <c r="P476"/>
  <c r="P471"/>
  <c r="P472"/>
  <c r="P473"/>
  <c r="P470"/>
  <c r="P467"/>
  <c r="P466"/>
  <c r="P463"/>
  <c r="P462"/>
  <c r="P461"/>
  <c r="P460"/>
  <c r="P457"/>
  <c r="P456"/>
  <c r="P453"/>
  <c r="P450"/>
  <c r="P449"/>
  <c r="P448"/>
  <c r="P447"/>
  <c r="P441"/>
  <c r="P442"/>
  <c r="P443"/>
  <c r="P444"/>
  <c r="P440"/>
  <c r="P437"/>
  <c r="P436"/>
  <c r="P435"/>
  <c r="P434"/>
  <c r="P433"/>
  <c r="P428"/>
  <c r="P429"/>
  <c r="P430"/>
  <c r="P427"/>
  <c r="P424"/>
  <c r="P423"/>
  <c r="P422"/>
  <c r="P419"/>
  <c r="P416"/>
  <c r="P409"/>
  <c r="P408"/>
  <c r="P407"/>
  <c r="P406"/>
  <c r="P398"/>
  <c r="P397"/>
  <c r="P396"/>
  <c r="P389"/>
  <c r="P390"/>
  <c r="P391"/>
  <c r="P392"/>
  <c r="P388"/>
  <c r="P387"/>
  <c r="P386"/>
  <c r="P385"/>
  <c r="P384"/>
  <c r="P383"/>
  <c r="P382"/>
  <c r="P381"/>
  <c r="P380"/>
  <c r="P379"/>
  <c r="P378"/>
  <c r="P377"/>
  <c r="P376"/>
  <c r="P375"/>
  <c r="P374"/>
  <c r="P373"/>
  <c r="P372"/>
  <c r="P352"/>
  <c r="P353"/>
  <c r="P354"/>
  <c r="P355"/>
  <c r="P356"/>
  <c r="P357"/>
  <c r="P358"/>
  <c r="P359"/>
  <c r="P360"/>
  <c r="P361"/>
  <c r="P362"/>
  <c r="P363"/>
  <c r="P364"/>
  <c r="P365"/>
  <c r="P366"/>
  <c r="P367"/>
  <c r="P351"/>
  <c r="P322"/>
  <c r="P323"/>
  <c r="P324"/>
  <c r="P325"/>
  <c r="P326"/>
  <c r="P327"/>
  <c r="P328"/>
  <c r="P329"/>
  <c r="P330"/>
  <c r="P331"/>
  <c r="P332"/>
  <c r="P333"/>
  <c r="P334"/>
  <c r="P335"/>
  <c r="P336"/>
  <c r="P337"/>
  <c r="P338"/>
  <c r="P339"/>
  <c r="P340"/>
  <c r="P341"/>
  <c r="P342"/>
  <c r="P343"/>
  <c r="P344"/>
  <c r="P345"/>
  <c r="P346"/>
  <c r="P321"/>
  <c r="P316"/>
  <c r="P315"/>
  <c r="P314"/>
  <c r="P313"/>
  <c r="P312"/>
  <c r="P311"/>
  <c r="P310"/>
  <c r="P309"/>
  <c r="P308"/>
  <c r="P307"/>
  <c r="P306"/>
  <c r="P305"/>
  <c r="P304"/>
  <c r="P303"/>
  <c r="P302"/>
  <c r="P301"/>
  <c r="P300"/>
  <c r="P299"/>
  <c r="P298"/>
  <c r="P297"/>
  <c r="P296"/>
  <c r="P295"/>
  <c r="P294"/>
  <c r="P293"/>
  <c r="P292"/>
  <c r="P291"/>
  <c r="P290"/>
  <c r="P289"/>
  <c r="P288"/>
  <c r="P287"/>
  <c r="P286"/>
  <c r="P285"/>
  <c r="P284"/>
  <c r="P283"/>
  <c r="P282"/>
  <c r="P281"/>
  <c r="P280"/>
  <c r="P279"/>
  <c r="P278"/>
  <c r="P277"/>
  <c r="P276"/>
  <c r="P275"/>
  <c r="P274"/>
  <c r="P273"/>
  <c r="P272"/>
  <c r="P271"/>
  <c r="P270"/>
  <c r="P269"/>
  <c r="P268"/>
  <c r="P267"/>
  <c r="P266"/>
  <c r="P265"/>
  <c r="P264"/>
  <c r="P263"/>
  <c r="P262"/>
  <c r="P261"/>
  <c r="P260"/>
  <c r="P259"/>
  <c r="P258"/>
  <c r="P257"/>
  <c r="P256"/>
  <c r="P193"/>
  <c r="P194"/>
  <c r="P195"/>
  <c r="P196"/>
  <c r="P197"/>
  <c r="P198"/>
  <c r="P199"/>
  <c r="P200"/>
  <c r="P201"/>
  <c r="P202"/>
  <c r="P203"/>
  <c r="P204"/>
  <c r="P205"/>
  <c r="P206"/>
  <c r="P207"/>
  <c r="P208"/>
  <c r="P209"/>
  <c r="P210"/>
  <c r="P211"/>
  <c r="P212"/>
  <c r="P213"/>
  <c r="P214"/>
  <c r="P215"/>
  <c r="P216"/>
  <c r="P217"/>
  <c r="P218"/>
  <c r="P219"/>
  <c r="P220"/>
  <c r="P221"/>
  <c r="P222"/>
  <c r="P223"/>
  <c r="P224"/>
  <c r="P225"/>
  <c r="P22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192"/>
  <c r="P186"/>
  <c r="P187"/>
  <c r="P185"/>
  <c r="P180"/>
  <c r="P179"/>
  <c r="P178"/>
  <c r="P177"/>
  <c r="P176"/>
  <c r="P175"/>
  <c r="P166"/>
  <c r="P167"/>
  <c r="P168"/>
  <c r="P169"/>
  <c r="P170"/>
  <c r="P171"/>
  <c r="P165"/>
  <c r="P161"/>
  <c r="P153"/>
  <c r="P154"/>
  <c r="P155"/>
  <c r="P156"/>
  <c r="P157"/>
  <c r="P152"/>
  <c r="P148"/>
  <c r="P144"/>
  <c r="P14"/>
  <c r="P15"/>
  <c r="P13"/>
  <c r="P12"/>
  <c r="P11"/>
  <c r="P10"/>
  <c r="P139"/>
  <c r="P138"/>
  <c r="P137"/>
  <c r="P136"/>
  <c r="P111"/>
  <c r="P112"/>
  <c r="P113"/>
  <c r="P114"/>
  <c r="P115"/>
  <c r="P116"/>
  <c r="P117"/>
  <c r="P110"/>
  <c r="P105"/>
  <c r="P106"/>
  <c r="P104"/>
  <c r="P126"/>
  <c r="P127"/>
  <c r="P125"/>
  <c r="P132"/>
  <c r="P131"/>
  <c r="P91"/>
  <c r="P90"/>
  <c r="P89"/>
  <c r="P100"/>
  <c r="P99"/>
  <c r="P121"/>
  <c r="P67"/>
  <c r="P77"/>
  <c r="P76"/>
  <c r="P59"/>
  <c r="P82"/>
  <c r="P83"/>
  <c r="P84"/>
  <c r="P85"/>
  <c r="P81"/>
  <c r="P53"/>
  <c r="P54"/>
  <c r="P55"/>
  <c r="P52"/>
  <c r="P95"/>
  <c r="P72"/>
  <c r="P71"/>
  <c r="P63"/>
  <c r="P27"/>
  <c r="P28"/>
  <c r="P29"/>
  <c r="P26"/>
  <c r="P39"/>
  <c r="P35"/>
  <c r="P34"/>
  <c r="P33"/>
  <c r="P47"/>
  <c r="P48"/>
  <c r="P46"/>
  <c r="P45"/>
  <c r="P44"/>
  <c r="P43"/>
  <c r="P22"/>
  <c r="P21"/>
  <c r="P20"/>
  <c r="P19"/>
  <c r="P71" i="28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174"/>
  <c r="P175"/>
  <c r="P176"/>
  <c r="P177"/>
  <c r="P178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P201"/>
  <c r="P202"/>
  <c r="P203"/>
  <c r="P204"/>
  <c r="P205"/>
  <c r="P206"/>
  <c r="P207"/>
  <c r="P208"/>
  <c r="P209"/>
  <c r="P210"/>
  <c r="P211"/>
  <c r="P212"/>
  <c r="P213"/>
  <c r="P214"/>
  <c r="P215"/>
  <c r="P216"/>
  <c r="P217"/>
  <c r="P218"/>
  <c r="P219"/>
  <c r="P220"/>
  <c r="P221"/>
  <c r="P222"/>
  <c r="P223"/>
  <c r="P224"/>
  <c r="P225"/>
  <c r="P22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P263"/>
  <c r="P264"/>
  <c r="P265"/>
  <c r="P266"/>
  <c r="P267"/>
  <c r="P268"/>
  <c r="P269"/>
  <c r="P270"/>
  <c r="P271"/>
  <c r="P272"/>
  <c r="P273"/>
  <c r="P274"/>
  <c r="P275"/>
  <c r="P276"/>
  <c r="P277"/>
  <c r="P278"/>
  <c r="P279"/>
  <c r="P280"/>
  <c r="P281"/>
  <c r="P282"/>
  <c r="P283"/>
  <c r="P284"/>
  <c r="P285"/>
  <c r="P286"/>
  <c r="P287"/>
  <c r="P288"/>
  <c r="P289"/>
  <c r="P290"/>
  <c r="P291"/>
  <c r="P292"/>
  <c r="P293"/>
  <c r="P294"/>
  <c r="P295"/>
  <c r="P296"/>
  <c r="P297"/>
  <c r="P298"/>
  <c r="P299"/>
  <c r="P300"/>
  <c r="P301"/>
  <c r="P302"/>
  <c r="P303"/>
  <c r="P304"/>
  <c r="P305"/>
  <c r="P306"/>
  <c r="P307"/>
  <c r="P308"/>
  <c r="P309"/>
  <c r="P310"/>
  <c r="P311"/>
  <c r="P312"/>
  <c r="P313"/>
  <c r="P314"/>
  <c r="P315"/>
  <c r="P316"/>
  <c r="P317"/>
  <c r="P318"/>
  <c r="P319"/>
  <c r="P320"/>
  <c r="P321"/>
  <c r="P322"/>
  <c r="P323"/>
  <c r="P324"/>
  <c r="P325"/>
  <c r="P326"/>
  <c r="P327"/>
  <c r="P328"/>
  <c r="P329"/>
  <c r="P330"/>
  <c r="P70"/>
  <c r="P69"/>
  <c r="P68"/>
  <c r="P67"/>
  <c r="P66"/>
  <c r="P60"/>
  <c r="P61"/>
  <c r="P62"/>
  <c r="P59"/>
  <c r="P57"/>
  <c r="P54"/>
  <c r="P12"/>
  <c r="P13"/>
  <c r="P14"/>
  <c r="P15"/>
  <c r="P16"/>
  <c r="P17"/>
  <c r="P21"/>
  <c r="P19"/>
  <c r="P20"/>
  <c r="P18"/>
  <c r="P28"/>
  <c r="P24"/>
  <c r="P23"/>
  <c r="P26"/>
  <c r="P27"/>
  <c r="P31"/>
  <c r="P22"/>
  <c r="P25"/>
  <c r="P29"/>
  <c r="P30"/>
  <c r="P32"/>
  <c r="P35"/>
  <c r="P33"/>
  <c r="P34"/>
  <c r="P36"/>
  <c r="P38"/>
  <c r="P37"/>
  <c r="P39"/>
  <c r="P11"/>
  <c r="P1816" i="57"/>
  <c r="P1815"/>
  <c r="P1811"/>
  <c r="P1810"/>
  <c r="P1809"/>
  <c r="P1802"/>
  <c r="P1803"/>
  <c r="P1804"/>
  <c r="P1805"/>
  <c r="P1806"/>
  <c r="P1801"/>
  <c r="P1800"/>
  <c r="P1799"/>
  <c r="P1798"/>
  <c r="P1775"/>
  <c r="P1776"/>
  <c r="P1777"/>
  <c r="P1778"/>
  <c r="P1779"/>
  <c r="P1780"/>
  <c r="P1782"/>
  <c r="P1783"/>
  <c r="P1784"/>
  <c r="P1785"/>
  <c r="P1786"/>
  <c r="P1787"/>
  <c r="P1788"/>
  <c r="P1789"/>
  <c r="P1790"/>
  <c r="P1791"/>
  <c r="P1792"/>
  <c r="P1793"/>
  <c r="P1794"/>
  <c r="P1795"/>
  <c r="P1774"/>
  <c r="P1773"/>
  <c r="P1772"/>
  <c r="P1771"/>
  <c r="P1697"/>
  <c r="P1698"/>
  <c r="P1699"/>
  <c r="P1700"/>
  <c r="P1701"/>
  <c r="P1702"/>
  <c r="P1703"/>
  <c r="P1704"/>
  <c r="P1705"/>
  <c r="P1706"/>
  <c r="P1707"/>
  <c r="P1708"/>
  <c r="P1709"/>
  <c r="P1710"/>
  <c r="P1711"/>
  <c r="P1712"/>
  <c r="P1713"/>
  <c r="P1714"/>
  <c r="P1715"/>
  <c r="P1716"/>
  <c r="P1717"/>
  <c r="P1718"/>
  <c r="P1719"/>
  <c r="P1720"/>
  <c r="P1721"/>
  <c r="P1722"/>
  <c r="P1723"/>
  <c r="P1724"/>
  <c r="P1725"/>
  <c r="P1726"/>
  <c r="P1727"/>
  <c r="P1728"/>
  <c r="P1729"/>
  <c r="P1730"/>
  <c r="P1731"/>
  <c r="P1732"/>
  <c r="P1733"/>
  <c r="P1734"/>
  <c r="P1735"/>
  <c r="P1736"/>
  <c r="P1737"/>
  <c r="P1738"/>
  <c r="P1739"/>
  <c r="P1740"/>
  <c r="P1741"/>
  <c r="P1742"/>
  <c r="P1743"/>
  <c r="P1744"/>
  <c r="P1745"/>
  <c r="P1746"/>
  <c r="P1747"/>
  <c r="P1748"/>
  <c r="P1749"/>
  <c r="P1751"/>
  <c r="P1752"/>
  <c r="P1753"/>
  <c r="P1754"/>
  <c r="P1755"/>
  <c r="P1756"/>
  <c r="P1757"/>
  <c r="P1758"/>
  <c r="P1759"/>
  <c r="P1760"/>
  <c r="P1761"/>
  <c r="P1762"/>
  <c r="P1763"/>
  <c r="P1765"/>
  <c r="P1766"/>
  <c r="P1767"/>
  <c r="P1768"/>
  <c r="P1696"/>
  <c r="P1695"/>
  <c r="P1694"/>
  <c r="P1693"/>
  <c r="P1692"/>
  <c r="P1691"/>
  <c r="P1690"/>
  <c r="P1689"/>
  <c r="P1688"/>
  <c r="P1686"/>
  <c r="P1685"/>
  <c r="P1676"/>
  <c r="P1677"/>
  <c r="P1678"/>
  <c r="P1679"/>
  <c r="P1680"/>
  <c r="P1682"/>
  <c r="P1675"/>
  <c r="P1674"/>
  <c r="P1673"/>
  <c r="P1672"/>
  <c r="P1671"/>
  <c r="P1636"/>
  <c r="P1637"/>
  <c r="P1638"/>
  <c r="P1639"/>
  <c r="P1640"/>
  <c r="P1641"/>
  <c r="P1642"/>
  <c r="P1643"/>
  <c r="P1644"/>
  <c r="P1645"/>
  <c r="P1646"/>
  <c r="P1647"/>
  <c r="P1648"/>
  <c r="P1649"/>
  <c r="P1650"/>
  <c r="P1651"/>
  <c r="P1652"/>
  <c r="P1653"/>
  <c r="P1654"/>
  <c r="P1655"/>
  <c r="P1656"/>
  <c r="P1657"/>
  <c r="P1658"/>
  <c r="P1659"/>
  <c r="P1660"/>
  <c r="P1661"/>
  <c r="P1662"/>
  <c r="P1663"/>
  <c r="P1664"/>
  <c r="P1665"/>
  <c r="P1666"/>
  <c r="P1667"/>
  <c r="P1668"/>
  <c r="P1635"/>
  <c r="P1634"/>
  <c r="P1633"/>
  <c r="P1632"/>
  <c r="P1590"/>
  <c r="P1591"/>
  <c r="P1592"/>
  <c r="P1593"/>
  <c r="P1594"/>
  <c r="P1595"/>
  <c r="P1596"/>
  <c r="P1597"/>
  <c r="P1598"/>
  <c r="P1599"/>
  <c r="P1600"/>
  <c r="P1601"/>
  <c r="P1610"/>
  <c r="P1611"/>
  <c r="P1612"/>
  <c r="P1613"/>
  <c r="P1616"/>
  <c r="P1617"/>
  <c r="P1618"/>
  <c r="P1619"/>
  <c r="P1620"/>
  <c r="P1622"/>
  <c r="P1623"/>
  <c r="P1624"/>
  <c r="P1625"/>
  <c r="P1626"/>
  <c r="P1627"/>
  <c r="P1628"/>
  <c r="P1629"/>
  <c r="P1589"/>
  <c r="P1588"/>
  <c r="P1587"/>
  <c r="P1544"/>
  <c r="P1545"/>
  <c r="P1546"/>
  <c r="P1547"/>
  <c r="P1548"/>
  <c r="P1549"/>
  <c r="P1550"/>
  <c r="P1551"/>
  <c r="P1552"/>
  <c r="P1553"/>
  <c r="P1554"/>
  <c r="P1555"/>
  <c r="P1556"/>
  <c r="P1557"/>
  <c r="P1558"/>
  <c r="P1559"/>
  <c r="P1560"/>
  <c r="P1561"/>
  <c r="P1562"/>
  <c r="P1563"/>
  <c r="P1564"/>
  <c r="P1565"/>
  <c r="P1566"/>
  <c r="P1567"/>
  <c r="P1568"/>
  <c r="P1569"/>
  <c r="P1570"/>
  <c r="P1571"/>
  <c r="P1572"/>
  <c r="P1573"/>
  <c r="P1574"/>
  <c r="P1575"/>
  <c r="P1576"/>
  <c r="P1577"/>
  <c r="P1578"/>
  <c r="P1579"/>
  <c r="P1580"/>
  <c r="P1581"/>
  <c r="P1582"/>
  <c r="P1583"/>
  <c r="P1584"/>
  <c r="P1543"/>
  <c r="P1542"/>
  <c r="P1541"/>
  <c r="P1513"/>
  <c r="P1514"/>
  <c r="P1515"/>
  <c r="P1517"/>
  <c r="P1518"/>
  <c r="P1519"/>
  <c r="P1520"/>
  <c r="P1522"/>
  <c r="P1523"/>
  <c r="P1524"/>
  <c r="P1525"/>
  <c r="P1526"/>
  <c r="P1527"/>
  <c r="P1528"/>
  <c r="P1529"/>
  <c r="P1530"/>
  <c r="P1531"/>
  <c r="P1532"/>
  <c r="P1533"/>
  <c r="P1534"/>
  <c r="P1535"/>
  <c r="P1536"/>
  <c r="P1537"/>
  <c r="P1538"/>
  <c r="P1512"/>
  <c r="P1510"/>
  <c r="P1438"/>
  <c r="P1439"/>
  <c r="P1440"/>
  <c r="P1441"/>
  <c r="P1442"/>
  <c r="P1443"/>
  <c r="P1444"/>
  <c r="P1445"/>
  <c r="P1446"/>
  <c r="P1447"/>
  <c r="P1448"/>
  <c r="P1449"/>
  <c r="P1450"/>
  <c r="P1451"/>
  <c r="P1452"/>
  <c r="P1453"/>
  <c r="P1454"/>
  <c r="P1455"/>
  <c r="P1456"/>
  <c r="P1457"/>
  <c r="P1458"/>
  <c r="P1459"/>
  <c r="P1460"/>
  <c r="P1461"/>
  <c r="P1462"/>
  <c r="P1463"/>
  <c r="P1464"/>
  <c r="P1465"/>
  <c r="P1466"/>
  <c r="P1467"/>
  <c r="P1468"/>
  <c r="P1469"/>
  <c r="P1470"/>
  <c r="P1471"/>
  <c r="P1472"/>
  <c r="P1473"/>
  <c r="P1474"/>
  <c r="P1475"/>
  <c r="P1476"/>
  <c r="P1477"/>
  <c r="P1478"/>
  <c r="P1479"/>
  <c r="P1480"/>
  <c r="P1481"/>
  <c r="P1482"/>
  <c r="P1483"/>
  <c r="P1484"/>
  <c r="P1485"/>
  <c r="P1486"/>
  <c r="P1487"/>
  <c r="P1488"/>
  <c r="P1489"/>
  <c r="P1490"/>
  <c r="P1491"/>
  <c r="P1492"/>
  <c r="P1493"/>
  <c r="P1494"/>
  <c r="P1495"/>
  <c r="P1496"/>
  <c r="P1497"/>
  <c r="P1498"/>
  <c r="P1499"/>
  <c r="P1500"/>
  <c r="P1501"/>
  <c r="P1502"/>
  <c r="P1503"/>
  <c r="P1504"/>
  <c r="P1505"/>
  <c r="P1506"/>
  <c r="P1507"/>
  <c r="P1436"/>
  <c r="P1435"/>
  <c r="P1434"/>
  <c r="P1437"/>
  <c r="P1309"/>
  <c r="P1310"/>
  <c r="P1311"/>
  <c r="P1312"/>
  <c r="P1313"/>
  <c r="P1314"/>
  <c r="P1315"/>
  <c r="P1316"/>
  <c r="P1317"/>
  <c r="P1318"/>
  <c r="P1319"/>
  <c r="P1320"/>
  <c r="P1321"/>
  <c r="P1322"/>
  <c r="P1323"/>
  <c r="P1324"/>
  <c r="P1325"/>
  <c r="P1326"/>
  <c r="P1327"/>
  <c r="P1328"/>
  <c r="P1329"/>
  <c r="P1330"/>
  <c r="P1331"/>
  <c r="P1332"/>
  <c r="P1333"/>
  <c r="P1334"/>
  <c r="P1335"/>
  <c r="P1337"/>
  <c r="P1338"/>
  <c r="P1339"/>
  <c r="P1340"/>
  <c r="P1341"/>
  <c r="P1342"/>
  <c r="P1343"/>
  <c r="P1344"/>
  <c r="P1345"/>
  <c r="P1346"/>
  <c r="P1347"/>
  <c r="P1348"/>
  <c r="P1349"/>
  <c r="P1350"/>
  <c r="P1351"/>
  <c r="P1352"/>
  <c r="P1353"/>
  <c r="P1354"/>
  <c r="P1355"/>
  <c r="P1356"/>
  <c r="P1358"/>
  <c r="P1359"/>
  <c r="P1360"/>
  <c r="P1361"/>
  <c r="P1362"/>
  <c r="P1363"/>
  <c r="P1364"/>
  <c r="P1365"/>
  <c r="P1366"/>
  <c r="P1367"/>
  <c r="P1368"/>
  <c r="P1369"/>
  <c r="P1370"/>
  <c r="P1371"/>
  <c r="P1372"/>
  <c r="P1373"/>
  <c r="P1374"/>
  <c r="P1375"/>
  <c r="P1376"/>
  <c r="P1377"/>
  <c r="P1378"/>
  <c r="P1380"/>
  <c r="P1381"/>
  <c r="P1382"/>
  <c r="P1383"/>
  <c r="P1384"/>
  <c r="P1385"/>
  <c r="P1386"/>
  <c r="P1387"/>
  <c r="P1388"/>
  <c r="P1389"/>
  <c r="P1390"/>
  <c r="P1391"/>
  <c r="P1392"/>
  <c r="P1393"/>
  <c r="P1394"/>
  <c r="P1395"/>
  <c r="P1396"/>
  <c r="P1397"/>
  <c r="P1398"/>
  <c r="P1399"/>
  <c r="P1400"/>
  <c r="P1401"/>
  <c r="P1402"/>
  <c r="P1403"/>
  <c r="P1404"/>
  <c r="P1405"/>
  <c r="P1406"/>
  <c r="P1407"/>
  <c r="P1408"/>
  <c r="P1409"/>
  <c r="P1410"/>
  <c r="P1411"/>
  <c r="P1412"/>
  <c r="P1413"/>
  <c r="P1414"/>
  <c r="P1415"/>
  <c r="P1416"/>
  <c r="P1417"/>
  <c r="P1418"/>
  <c r="P1419"/>
  <c r="P1420"/>
  <c r="P1421"/>
  <c r="P1422"/>
  <c r="P1423"/>
  <c r="P1425"/>
  <c r="P1426"/>
  <c r="P1427"/>
  <c r="P1428"/>
  <c r="P1429"/>
  <c r="P1430"/>
  <c r="P1431"/>
  <c r="P1308"/>
  <c r="P1307"/>
  <c r="P1306"/>
  <c r="P1305"/>
  <c r="P1267"/>
  <c r="P1268"/>
  <c r="P1269"/>
  <c r="P1270"/>
  <c r="P1271"/>
  <c r="P1272"/>
  <c r="P1273"/>
  <c r="P1274"/>
  <c r="P1275"/>
  <c r="P1276"/>
  <c r="P1277"/>
  <c r="P1278"/>
  <c r="P1279"/>
  <c r="P1280"/>
  <c r="P1281"/>
  <c r="P1282"/>
  <c r="P1283"/>
  <c r="P1284"/>
  <c r="P1285"/>
  <c r="P1286"/>
  <c r="P1287"/>
  <c r="P1288"/>
  <c r="P1289"/>
  <c r="P1290"/>
  <c r="P1291"/>
  <c r="P1292"/>
  <c r="P1293"/>
  <c r="P1294"/>
  <c r="P1295"/>
  <c r="P1296"/>
  <c r="P1297"/>
  <c r="P1298"/>
  <c r="P1299"/>
  <c r="P1300"/>
  <c r="P1301"/>
  <c r="P1266"/>
  <c r="P1265"/>
  <c r="P1264"/>
  <c r="P1263"/>
  <c r="P1229"/>
  <c r="P1230"/>
  <c r="P1231"/>
  <c r="P1232"/>
  <c r="P1233"/>
  <c r="P1234"/>
  <c r="P1235"/>
  <c r="P1236"/>
  <c r="P1237"/>
  <c r="P1238"/>
  <c r="P1239"/>
  <c r="P1240"/>
  <c r="P1241"/>
  <c r="P1242"/>
  <c r="P1243"/>
  <c r="P1244"/>
  <c r="P1245"/>
  <c r="P1246"/>
  <c r="P1247"/>
  <c r="P1248"/>
  <c r="P1249"/>
  <c r="P1250"/>
  <c r="P1251"/>
  <c r="P1252"/>
  <c r="P1253"/>
  <c r="P1254"/>
  <c r="P1255"/>
  <c r="P1256"/>
  <c r="P1257"/>
  <c r="P1258"/>
  <c r="P1259"/>
  <c r="P1260"/>
  <c r="P1228"/>
  <c r="P1227"/>
  <c r="P1226"/>
  <c r="P1225"/>
  <c r="P1020"/>
  <c r="P1021"/>
  <c r="P1022"/>
  <c r="P1024"/>
  <c r="P1025"/>
  <c r="P1026"/>
  <c r="P1027"/>
  <c r="P1028"/>
  <c r="P1029"/>
  <c r="P1030"/>
  <c r="P1031"/>
  <c r="P1032"/>
  <c r="P1033"/>
  <c r="P1034"/>
  <c r="P1035"/>
  <c r="P1036"/>
  <c r="P1037"/>
  <c r="P1038"/>
  <c r="P1039"/>
  <c r="P1040"/>
  <c r="P1041"/>
  <c r="P1042"/>
  <c r="P1043"/>
  <c r="P1044"/>
  <c r="P1045"/>
  <c r="P1046"/>
  <c r="P1047"/>
  <c r="P1049"/>
  <c r="P1050"/>
  <c r="P1051"/>
  <c r="P1052"/>
  <c r="P1053"/>
  <c r="P1054"/>
  <c r="P1055"/>
  <c r="P1056"/>
  <c r="P1057"/>
  <c r="P1058"/>
  <c r="P1059"/>
  <c r="P1060"/>
  <c r="P1061"/>
  <c r="P1064"/>
  <c r="P1065"/>
  <c r="P1066"/>
  <c r="P1067"/>
  <c r="P1068"/>
  <c r="P1069"/>
  <c r="P1070"/>
  <c r="P1071"/>
  <c r="P1072"/>
  <c r="P1073"/>
  <c r="P1074"/>
  <c r="P1075"/>
  <c r="P1076"/>
  <c r="P1077"/>
  <c r="P1078"/>
  <c r="P1079"/>
  <c r="P1080"/>
  <c r="P1081"/>
  <c r="P1082"/>
  <c r="P1083"/>
  <c r="P1084"/>
  <c r="P1085"/>
  <c r="P1086"/>
  <c r="P1087"/>
  <c r="P1088"/>
  <c r="P1089"/>
  <c r="P1090"/>
  <c r="P1091"/>
  <c r="P1092"/>
  <c r="P1093"/>
  <c r="P1094"/>
  <c r="P1095"/>
  <c r="P1096"/>
  <c r="P1097"/>
  <c r="P1098"/>
  <c r="P1099"/>
  <c r="P1100"/>
  <c r="P1101"/>
  <c r="P1102"/>
  <c r="P1103"/>
  <c r="P1104"/>
  <c r="P1105"/>
  <c r="P1106"/>
  <c r="P1107"/>
  <c r="P1108"/>
  <c r="P1109"/>
  <c r="P1110"/>
  <c r="P1111"/>
  <c r="P1112"/>
  <c r="P1113"/>
  <c r="P1114"/>
  <c r="P1115"/>
  <c r="P1116"/>
  <c r="P1118"/>
  <c r="P1119"/>
  <c r="P1120"/>
  <c r="P1121"/>
  <c r="P1122"/>
  <c r="P1123"/>
  <c r="P1124"/>
  <c r="P1125"/>
  <c r="P1126"/>
  <c r="P1127"/>
  <c r="P1128"/>
  <c r="P1129"/>
  <c r="P1130"/>
  <c r="P1131"/>
  <c r="P1132"/>
  <c r="P1133"/>
  <c r="P1134"/>
  <c r="P1135"/>
  <c r="P1136"/>
  <c r="P1137"/>
  <c r="P1138"/>
  <c r="P1139"/>
  <c r="P1140"/>
  <c r="P1142"/>
  <c r="P1143"/>
  <c r="P1144"/>
  <c r="P1145"/>
  <c r="P1146"/>
  <c r="P1147"/>
  <c r="P1148"/>
  <c r="P1149"/>
  <c r="P1150"/>
  <c r="P1151"/>
  <c r="P1152"/>
  <c r="P1153"/>
  <c r="P1154"/>
  <c r="P1155"/>
  <c r="P1156"/>
  <c r="P1157"/>
  <c r="P1158"/>
  <c r="P1159"/>
  <c r="P1160"/>
  <c r="P1161"/>
  <c r="P1162"/>
  <c r="P1163"/>
  <c r="P1164"/>
  <c r="P1165"/>
  <c r="P1166"/>
  <c r="P1167"/>
  <c r="P1168"/>
  <c r="P1169"/>
  <c r="P1170"/>
  <c r="P1171"/>
  <c r="P1172"/>
  <c r="P1173"/>
  <c r="P1174"/>
  <c r="P1175"/>
  <c r="P1176"/>
  <c r="P1177"/>
  <c r="P1178"/>
  <c r="P1179"/>
  <c r="P1180"/>
  <c r="P1181"/>
  <c r="P1182"/>
  <c r="P1183"/>
  <c r="P1184"/>
  <c r="P1185"/>
  <c r="P1186"/>
  <c r="P1187"/>
  <c r="P1188"/>
  <c r="P1189"/>
  <c r="P1190"/>
  <c r="P1191"/>
  <c r="P1192"/>
  <c r="P1193"/>
  <c r="P1194"/>
  <c r="P1195"/>
  <c r="P1196"/>
  <c r="P1197"/>
  <c r="P1198"/>
  <c r="P1199"/>
  <c r="P1200"/>
  <c r="P1201"/>
  <c r="P1202"/>
  <c r="P1203"/>
  <c r="P1204"/>
  <c r="P1205"/>
  <c r="P1207"/>
  <c r="P1208"/>
  <c r="P1209"/>
  <c r="P1210"/>
  <c r="P1211"/>
  <c r="P1212"/>
  <c r="P1213"/>
  <c r="P1214"/>
  <c r="P1215"/>
  <c r="P1216"/>
  <c r="P1217"/>
  <c r="P1218"/>
  <c r="P1219"/>
  <c r="P1220"/>
  <c r="P1221"/>
  <c r="P1222"/>
  <c r="P1019"/>
  <c r="P1018"/>
  <c r="P1017"/>
  <c r="P933"/>
  <c r="P934"/>
  <c r="P935"/>
  <c r="P936"/>
  <c r="P937"/>
  <c r="P938"/>
  <c r="P939"/>
  <c r="P940"/>
  <c r="P941"/>
  <c r="P943"/>
  <c r="P944"/>
  <c r="P945"/>
  <c r="P946"/>
  <c r="P947"/>
  <c r="P948"/>
  <c r="P949"/>
  <c r="P950"/>
  <c r="P951"/>
  <c r="P952"/>
  <c r="P953"/>
  <c r="P954"/>
  <c r="P955"/>
  <c r="P956"/>
  <c r="P957"/>
  <c r="P959"/>
  <c r="P960"/>
  <c r="P961"/>
  <c r="P962"/>
  <c r="P963"/>
  <c r="P964"/>
  <c r="P965"/>
  <c r="P966"/>
  <c r="P967"/>
  <c r="P968"/>
  <c r="P969"/>
  <c r="P970"/>
  <c r="P971"/>
  <c r="P972"/>
  <c r="P973"/>
  <c r="P974"/>
  <c r="P976"/>
  <c r="P977"/>
  <c r="P978"/>
  <c r="P979"/>
  <c r="P980"/>
  <c r="P981"/>
  <c r="P982"/>
  <c r="P983"/>
  <c r="P984"/>
  <c r="P985"/>
  <c r="P986"/>
  <c r="P987"/>
  <c r="P988"/>
  <c r="P989"/>
  <c r="P990"/>
  <c r="P991"/>
  <c r="P992"/>
  <c r="P993"/>
  <c r="P994"/>
  <c r="P995"/>
  <c r="P996"/>
  <c r="P997"/>
  <c r="P998"/>
  <c r="P999"/>
  <c r="P1000"/>
  <c r="P1001"/>
  <c r="P1002"/>
  <c r="P1003"/>
  <c r="P1004"/>
  <c r="P1005"/>
  <c r="P1006"/>
  <c r="P1007"/>
  <c r="P1008"/>
  <c r="P1009"/>
  <c r="P1010"/>
  <c r="P1011"/>
  <c r="P1012"/>
  <c r="P1013"/>
  <c r="P1014"/>
  <c r="P931"/>
  <c r="P930"/>
  <c r="P929"/>
  <c r="P928"/>
  <c r="P810"/>
  <c r="P811"/>
  <c r="P812"/>
  <c r="P813"/>
  <c r="P814"/>
  <c r="P815"/>
  <c r="P816"/>
  <c r="P817"/>
  <c r="P818"/>
  <c r="P819"/>
  <c r="P820"/>
  <c r="P821"/>
  <c r="P822"/>
  <c r="P823"/>
  <c r="P824"/>
  <c r="P825"/>
  <c r="P826"/>
  <c r="P827"/>
  <c r="P828"/>
  <c r="P829"/>
  <c r="P830"/>
  <c r="P831"/>
  <c r="P832"/>
  <c r="P833"/>
  <c r="P834"/>
  <c r="P835"/>
  <c r="P836"/>
  <c r="P837"/>
  <c r="P838"/>
  <c r="P839"/>
  <c r="P840"/>
  <c r="P841"/>
  <c r="P842"/>
  <c r="P843"/>
  <c r="P844"/>
  <c r="P845"/>
  <c r="P846"/>
  <c r="P847"/>
  <c r="P848"/>
  <c r="P849"/>
  <c r="P850"/>
  <c r="P851"/>
  <c r="P852"/>
  <c r="P853"/>
  <c r="P854"/>
  <c r="P855"/>
  <c r="P856"/>
  <c r="P857"/>
  <c r="P858"/>
  <c r="P859"/>
  <c r="P860"/>
  <c r="P861"/>
  <c r="P862"/>
  <c r="P863"/>
  <c r="P864"/>
  <c r="P865"/>
  <c r="P866"/>
  <c r="P867"/>
  <c r="P868"/>
  <c r="P869"/>
  <c r="P870"/>
  <c r="P871"/>
  <c r="P872"/>
  <c r="P873"/>
  <c r="P874"/>
  <c r="P875"/>
  <c r="P876"/>
  <c r="P877"/>
  <c r="P879"/>
  <c r="P880"/>
  <c r="P881"/>
  <c r="P882"/>
  <c r="P883"/>
  <c r="P884"/>
  <c r="P885"/>
  <c r="P886"/>
  <c r="P887"/>
  <c r="P888"/>
  <c r="P889"/>
  <c r="P890"/>
  <c r="P891"/>
  <c r="P892"/>
  <c r="P893"/>
  <c r="P894"/>
  <c r="P895"/>
  <c r="P896"/>
  <c r="P897"/>
  <c r="P898"/>
  <c r="P899"/>
  <c r="P900"/>
  <c r="P901"/>
  <c r="P902"/>
  <c r="P903"/>
  <c r="P904"/>
  <c r="P905"/>
  <c r="P906"/>
  <c r="P907"/>
  <c r="P908"/>
  <c r="P909"/>
  <c r="P910"/>
  <c r="P911"/>
  <c r="P912"/>
  <c r="P913"/>
  <c r="P914"/>
  <c r="P916"/>
  <c r="P917"/>
  <c r="P918"/>
  <c r="P920"/>
  <c r="P921"/>
  <c r="P922"/>
  <c r="P923"/>
  <c r="P924"/>
  <c r="P925"/>
  <c r="P809"/>
  <c r="P808"/>
  <c r="P807"/>
  <c r="P700"/>
  <c r="P701"/>
  <c r="P702"/>
  <c r="P703"/>
  <c r="P704"/>
  <c r="P705"/>
  <c r="P706"/>
  <c r="P707"/>
  <c r="P708"/>
  <c r="P709"/>
  <c r="P710"/>
  <c r="P711"/>
  <c r="P713"/>
  <c r="P714"/>
  <c r="P715"/>
  <c r="P716"/>
  <c r="P717"/>
  <c r="P718"/>
  <c r="P719"/>
  <c r="P720"/>
  <c r="P721"/>
  <c r="P722"/>
  <c r="P723"/>
  <c r="P724"/>
  <c r="P725"/>
  <c r="P726"/>
  <c r="P727"/>
  <c r="P728"/>
  <c r="P729"/>
  <c r="P730"/>
  <c r="P731"/>
  <c r="P732"/>
  <c r="P734"/>
  <c r="P735"/>
  <c r="P736"/>
  <c r="P737"/>
  <c r="P738"/>
  <c r="P739"/>
  <c r="P741"/>
  <c r="P742"/>
  <c r="P744"/>
  <c r="P745"/>
  <c r="P746"/>
  <c r="P747"/>
  <c r="P748"/>
  <c r="P749"/>
  <c r="P750"/>
  <c r="P751"/>
  <c r="P752"/>
  <c r="P753"/>
  <c r="P754"/>
  <c r="P755"/>
  <c r="P756"/>
  <c r="P757"/>
  <c r="P758"/>
  <c r="P759"/>
  <c r="P760"/>
  <c r="P761"/>
  <c r="P762"/>
  <c r="P763"/>
  <c r="P764"/>
  <c r="P765"/>
  <c r="P766"/>
  <c r="P767"/>
  <c r="P768"/>
  <c r="P769"/>
  <c r="P770"/>
  <c r="P771"/>
  <c r="P772"/>
  <c r="P773"/>
  <c r="P774"/>
  <c r="P775"/>
  <c r="P776"/>
  <c r="P777"/>
  <c r="P778"/>
  <c r="P779"/>
  <c r="P780"/>
  <c r="P781"/>
  <c r="P782"/>
  <c r="P783"/>
  <c r="P784"/>
  <c r="P785"/>
  <c r="P786"/>
  <c r="P787"/>
  <c r="P788"/>
  <c r="P790"/>
  <c r="P791"/>
  <c r="P792"/>
  <c r="P793"/>
  <c r="P794"/>
  <c r="P795"/>
  <c r="P796"/>
  <c r="P797"/>
  <c r="P798"/>
  <c r="P799"/>
  <c r="P800"/>
  <c r="P801"/>
  <c r="P802"/>
  <c r="P803"/>
  <c r="P804"/>
  <c r="P699"/>
  <c r="P698"/>
  <c r="P697"/>
  <c r="P532"/>
  <c r="P533"/>
  <c r="P534"/>
  <c r="P535"/>
  <c r="P536"/>
  <c r="P537"/>
  <c r="P538"/>
  <c r="P539"/>
  <c r="P540"/>
  <c r="P541"/>
  <c r="P542"/>
  <c r="P543"/>
  <c r="P545"/>
  <c r="P546"/>
  <c r="P547"/>
  <c r="P549"/>
  <c r="P550"/>
  <c r="P551"/>
  <c r="P552"/>
  <c r="P553"/>
  <c r="P554"/>
  <c r="P555"/>
  <c r="P556"/>
  <c r="P557"/>
  <c r="P558"/>
  <c r="P559"/>
  <c r="P561"/>
  <c r="P563"/>
  <c r="P564"/>
  <c r="P566"/>
  <c r="P567"/>
  <c r="P568"/>
  <c r="P569"/>
  <c r="P570"/>
  <c r="P571"/>
  <c r="P572"/>
  <c r="P573"/>
  <c r="P574"/>
  <c r="P575"/>
  <c r="P576"/>
  <c r="P577"/>
  <c r="P578"/>
  <c r="P579"/>
  <c r="P580"/>
  <c r="P582"/>
  <c r="P583"/>
  <c r="P584"/>
  <c r="P585"/>
  <c r="P586"/>
  <c r="P588"/>
  <c r="P589"/>
  <c r="P590"/>
  <c r="P591"/>
  <c r="P592"/>
  <c r="P594"/>
  <c r="P595"/>
  <c r="P596"/>
  <c r="P597"/>
  <c r="P599"/>
  <c r="P600"/>
  <c r="P601"/>
  <c r="P602"/>
  <c r="P603"/>
  <c r="P605"/>
  <c r="P607"/>
  <c r="P608"/>
  <c r="P609"/>
  <c r="P610"/>
  <c r="P611"/>
  <c r="P612"/>
  <c r="P613"/>
  <c r="P615"/>
  <c r="P616"/>
  <c r="P617"/>
  <c r="P618"/>
  <c r="P619"/>
  <c r="P621"/>
  <c r="P622"/>
  <c r="P623"/>
  <c r="P624"/>
  <c r="P626"/>
  <c r="P627"/>
  <c r="P628"/>
  <c r="P629"/>
  <c r="P630"/>
  <c r="P631"/>
  <c r="P632"/>
  <c r="P633"/>
  <c r="P634"/>
  <c r="P635"/>
  <c r="P636"/>
  <c r="P637"/>
  <c r="P638"/>
  <c r="P639"/>
  <c r="P640"/>
  <c r="P641"/>
  <c r="P642"/>
  <c r="P643"/>
  <c r="P644"/>
  <c r="P645"/>
  <c r="P646"/>
  <c r="P649"/>
  <c r="P650"/>
  <c r="P651"/>
  <c r="P652"/>
  <c r="P654"/>
  <c r="P655"/>
  <c r="P656"/>
  <c r="P657"/>
  <c r="P658"/>
  <c r="P659"/>
  <c r="P660"/>
  <c r="P661"/>
  <c r="P662"/>
  <c r="P663"/>
  <c r="P664"/>
  <c r="P665"/>
  <c r="P666"/>
  <c r="P667"/>
  <c r="P668"/>
  <c r="P669"/>
  <c r="P670"/>
  <c r="P671"/>
  <c r="P672"/>
  <c r="P673"/>
  <c r="P674"/>
  <c r="P676"/>
  <c r="P677"/>
  <c r="P678"/>
  <c r="P679"/>
  <c r="P680"/>
  <c r="P681"/>
  <c r="P682"/>
  <c r="P683"/>
  <c r="P684"/>
  <c r="P685"/>
  <c r="P686"/>
  <c r="P687"/>
  <c r="P688"/>
  <c r="P689"/>
  <c r="P690"/>
  <c r="P691"/>
  <c r="P692"/>
  <c r="P693"/>
  <c r="P530"/>
  <c r="P528"/>
  <c r="P505"/>
  <c r="P506"/>
  <c r="P507"/>
  <c r="P508"/>
  <c r="P510"/>
  <c r="P511"/>
  <c r="P512"/>
  <c r="P513"/>
  <c r="P514"/>
  <c r="P515"/>
  <c r="P516"/>
  <c r="P517"/>
  <c r="P518"/>
  <c r="P519"/>
  <c r="P520"/>
  <c r="P521"/>
  <c r="P522"/>
  <c r="P523"/>
  <c r="P524"/>
  <c r="P525"/>
  <c r="P504"/>
  <c r="P503"/>
  <c r="P502"/>
  <c r="P501"/>
  <c r="P500"/>
  <c r="P499"/>
  <c r="P498"/>
  <c r="P497"/>
  <c r="P496"/>
  <c r="P495"/>
  <c r="P494"/>
  <c r="P493"/>
  <c r="P482"/>
  <c r="P483"/>
  <c r="P484"/>
  <c r="P485"/>
  <c r="P486"/>
  <c r="P487"/>
  <c r="P488"/>
  <c r="P489"/>
  <c r="P490"/>
  <c r="P481"/>
  <c r="P480"/>
  <c r="P479"/>
  <c r="P437"/>
  <c r="P438"/>
  <c r="P439"/>
  <c r="P440"/>
  <c r="P441"/>
  <c r="P442"/>
  <c r="P443"/>
  <c r="P444"/>
  <c r="P445"/>
  <c r="P446"/>
  <c r="P447"/>
  <c r="P448"/>
  <c r="P449"/>
  <c r="P450"/>
  <c r="P451"/>
  <c r="P452"/>
  <c r="P453"/>
  <c r="P454"/>
  <c r="P455"/>
  <c r="P456"/>
  <c r="P457"/>
  <c r="P458"/>
  <c r="P459"/>
  <c r="P460"/>
  <c r="P461"/>
  <c r="P462"/>
  <c r="P463"/>
  <c r="P464"/>
  <c r="P465"/>
  <c r="P466"/>
  <c r="P467"/>
  <c r="P468"/>
  <c r="P469"/>
  <c r="P470"/>
  <c r="P471"/>
  <c r="P472"/>
  <c r="P473"/>
  <c r="P474"/>
  <c r="P476"/>
  <c r="P436"/>
  <c r="P435"/>
  <c r="P434"/>
  <c r="P433"/>
  <c r="P432"/>
  <c r="P428"/>
  <c r="P427"/>
  <c r="P426"/>
  <c r="P425"/>
  <c r="P424"/>
  <c r="P423"/>
  <c r="P420"/>
  <c r="P419"/>
  <c r="P418"/>
  <c r="P417"/>
  <c r="P416"/>
  <c r="P292"/>
  <c r="P293"/>
  <c r="P294"/>
  <c r="P295"/>
  <c r="P296"/>
  <c r="P297"/>
  <c r="P298"/>
  <c r="P299"/>
  <c r="P300"/>
  <c r="P301"/>
  <c r="P302"/>
  <c r="P303"/>
  <c r="P304"/>
  <c r="P305"/>
  <c r="P306"/>
  <c r="P307"/>
  <c r="P308"/>
  <c r="P309"/>
  <c r="P310"/>
  <c r="P311"/>
  <c r="P312"/>
  <c r="P313"/>
  <c r="P314"/>
  <c r="P315"/>
  <c r="P316"/>
  <c r="P317"/>
  <c r="P318"/>
  <c r="P320"/>
  <c r="P321"/>
  <c r="P322"/>
  <c r="P323"/>
  <c r="P324"/>
  <c r="P325"/>
  <c r="P326"/>
  <c r="P327"/>
  <c r="P328"/>
  <c r="P329"/>
  <c r="P330"/>
  <c r="P332"/>
  <c r="P333"/>
  <c r="P334"/>
  <c r="P335"/>
  <c r="P336"/>
  <c r="P337"/>
  <c r="P338"/>
  <c r="P339"/>
  <c r="P340"/>
  <c r="P341"/>
  <c r="P342"/>
  <c r="P343"/>
  <c r="P344"/>
  <c r="P345"/>
  <c r="P346"/>
  <c r="P347"/>
  <c r="P348"/>
  <c r="P349"/>
  <c r="P350"/>
  <c r="P351"/>
  <c r="P352"/>
  <c r="P353"/>
  <c r="P354"/>
  <c r="P355"/>
  <c r="P356"/>
  <c r="P358"/>
  <c r="P359"/>
  <c r="P360"/>
  <c r="P362"/>
  <c r="P363"/>
  <c r="P364"/>
  <c r="P365"/>
  <c r="P366"/>
  <c r="P368"/>
  <c r="P370"/>
  <c r="P371"/>
  <c r="P372"/>
  <c r="P373"/>
  <c r="P374"/>
  <c r="P375"/>
  <c r="P376"/>
  <c r="P377"/>
  <c r="P379"/>
  <c r="P380"/>
  <c r="P381"/>
  <c r="P382"/>
  <c r="P383"/>
  <c r="P384"/>
  <c r="P385"/>
  <c r="P386"/>
  <c r="P387"/>
  <c r="P388"/>
  <c r="P389"/>
  <c r="P390"/>
  <c r="P391"/>
  <c r="P392"/>
  <c r="P393"/>
  <c r="P394"/>
  <c r="P395"/>
  <c r="P396"/>
  <c r="P397"/>
  <c r="P398"/>
  <c r="P399"/>
  <c r="P400"/>
  <c r="P401"/>
  <c r="P402"/>
  <c r="P403"/>
  <c r="P404"/>
  <c r="P405"/>
  <c r="P406"/>
  <c r="P407"/>
  <c r="P408"/>
  <c r="P409"/>
  <c r="P410"/>
  <c r="P411"/>
  <c r="P412"/>
  <c r="P413"/>
  <c r="P291"/>
  <c r="P290"/>
  <c r="P289"/>
  <c r="P288"/>
  <c r="P260"/>
  <c r="P261"/>
  <c r="P262"/>
  <c r="P263"/>
  <c r="P264"/>
  <c r="P265"/>
  <c r="P266"/>
  <c r="P267"/>
  <c r="P268"/>
  <c r="P269"/>
  <c r="P270"/>
  <c r="P271"/>
  <c r="P272"/>
  <c r="P273"/>
  <c r="P274"/>
  <c r="P275"/>
  <c r="P276"/>
  <c r="P277"/>
  <c r="P279"/>
  <c r="P280"/>
  <c r="P281"/>
  <c r="P283"/>
  <c r="P284"/>
  <c r="P285"/>
  <c r="P259"/>
  <c r="P258"/>
  <c r="P257"/>
  <c r="P256"/>
  <c r="P255"/>
  <c r="P254"/>
  <c r="P253"/>
  <c r="P252"/>
  <c r="P251"/>
  <c r="P250"/>
  <c r="P249"/>
  <c r="P248"/>
  <c r="P247"/>
  <c r="P246"/>
  <c r="P245"/>
  <c r="P244"/>
  <c r="P243"/>
  <c r="P228"/>
  <c r="P229"/>
  <c r="P230"/>
  <c r="P231"/>
  <c r="P232"/>
  <c r="P233"/>
  <c r="P234"/>
  <c r="P235"/>
  <c r="P236"/>
  <c r="P237"/>
  <c r="P238"/>
  <c r="P239"/>
  <c r="P240"/>
  <c r="P227"/>
  <c r="P226"/>
  <c r="P225"/>
  <c r="P224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P201"/>
  <c r="P202"/>
  <c r="P203"/>
  <c r="P204"/>
  <c r="P205"/>
  <c r="P206"/>
  <c r="P207"/>
  <c r="P208"/>
  <c r="P209"/>
  <c r="P210"/>
  <c r="P211"/>
  <c r="P212"/>
  <c r="P213"/>
  <c r="P214"/>
  <c r="P215"/>
  <c r="P216"/>
  <c r="P217"/>
  <c r="P218"/>
  <c r="P219"/>
  <c r="P220"/>
  <c r="P221"/>
  <c r="P183"/>
  <c r="P182"/>
  <c r="P181"/>
  <c r="P180"/>
  <c r="P179"/>
  <c r="P178"/>
  <c r="P177"/>
  <c r="P176"/>
  <c r="P175"/>
  <c r="P174"/>
  <c r="P173"/>
  <c r="P172"/>
  <c r="P171"/>
  <c r="P170"/>
  <c r="P169"/>
  <c r="P168"/>
  <c r="P167"/>
  <c r="P166"/>
  <c r="P165"/>
  <c r="P164"/>
  <c r="P163"/>
  <c r="P162"/>
  <c r="P161"/>
  <c r="P160"/>
  <c r="P159"/>
  <c r="P158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P131"/>
  <c r="P130"/>
  <c r="P129"/>
  <c r="P128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70"/>
  <c r="P67"/>
  <c r="P66"/>
  <c r="P65"/>
  <c r="P64"/>
  <c r="P63"/>
  <c r="P62"/>
  <c r="P61"/>
  <c r="P60"/>
  <c r="P59"/>
  <c r="P57"/>
  <c r="P56"/>
  <c r="P55"/>
  <c r="P54"/>
  <c r="P53"/>
  <c r="P52"/>
  <c r="P51"/>
  <c r="P50"/>
  <c r="P49"/>
  <c r="P48"/>
  <c r="P47"/>
  <c r="P46"/>
  <c r="P45"/>
  <c r="P44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19"/>
  <c r="P17"/>
  <c r="P16"/>
  <c r="P15"/>
  <c r="P14"/>
  <c r="P13"/>
  <c r="P8"/>
  <c r="P9"/>
  <c r="P10"/>
  <c r="P7"/>
  <c r="P6"/>
  <c r="P5"/>
  <c r="P4"/>
  <c r="P116" i="114"/>
  <c r="P115"/>
  <c r="P112"/>
  <c r="P111"/>
  <c r="P110"/>
  <c r="P109"/>
  <c r="P108"/>
  <c r="P107"/>
  <c r="P106"/>
  <c r="P105"/>
  <c r="P104"/>
  <c r="P103"/>
  <c r="P102"/>
  <c r="P101"/>
  <c r="P100"/>
  <c r="P99"/>
  <c r="P98"/>
  <c r="P97"/>
  <c r="P96"/>
  <c r="P95"/>
  <c r="P94"/>
  <c r="P93"/>
  <c r="P92"/>
  <c r="P91"/>
  <c r="P90"/>
  <c r="P89"/>
  <c r="P88"/>
  <c r="P87"/>
  <c r="P86"/>
  <c r="P85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50"/>
  <c r="P49"/>
  <c r="P48"/>
  <c r="P47"/>
  <c r="P46"/>
  <c r="P45"/>
  <c r="P44"/>
  <c r="P43"/>
  <c r="P42"/>
  <c r="P41"/>
  <c r="P40"/>
  <c r="P39"/>
  <c r="P38"/>
  <c r="P37"/>
  <c r="P36"/>
  <c r="P35"/>
  <c r="P34"/>
  <c r="P147" i="74"/>
  <c r="P148"/>
  <c r="P149"/>
  <c r="P150"/>
  <c r="P151"/>
  <c r="P152"/>
  <c r="P153"/>
  <c r="P154"/>
  <c r="P155"/>
  <c r="P156"/>
  <c r="P157"/>
  <c r="P158"/>
  <c r="P159"/>
  <c r="P146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23"/>
  <c r="P122"/>
  <c r="P121"/>
  <c r="P120"/>
  <c r="P119"/>
  <c r="P118"/>
  <c r="P108"/>
  <c r="P109"/>
  <c r="P110"/>
  <c r="P111"/>
  <c r="P112"/>
  <c r="P113"/>
  <c r="P114"/>
  <c r="P115"/>
  <c r="P107"/>
  <c r="P106"/>
  <c r="P105"/>
  <c r="P104"/>
  <c r="P103"/>
  <c r="P102"/>
  <c r="P101"/>
  <c r="P100"/>
  <c r="P99"/>
  <c r="P98"/>
  <c r="P97"/>
  <c r="P96"/>
  <c r="P95"/>
  <c r="P94"/>
  <c r="P93"/>
  <c r="P92"/>
  <c r="P91"/>
  <c r="P90"/>
  <c r="P89"/>
  <c r="P88"/>
  <c r="P87"/>
  <c r="P86"/>
  <c r="P85"/>
  <c r="P84"/>
  <c r="P83"/>
  <c r="P82"/>
  <c r="P81"/>
  <c r="P80"/>
  <c r="P79"/>
  <c r="P78"/>
  <c r="P77"/>
  <c r="P76"/>
  <c r="P75"/>
  <c r="P39"/>
  <c r="P40"/>
  <c r="P41"/>
  <c r="P42"/>
  <c r="P43"/>
  <c r="P44"/>
  <c r="P45"/>
  <c r="P46"/>
  <c r="P47"/>
  <c r="P48"/>
  <c r="P49"/>
  <c r="P38"/>
  <c r="P37"/>
  <c r="P36"/>
  <c r="P73"/>
  <c r="P35"/>
  <c r="P34"/>
  <c r="P74"/>
  <c r="P63"/>
  <c r="P33"/>
  <c r="P32"/>
  <c r="P31"/>
  <c r="P30"/>
  <c r="P29"/>
  <c r="P28"/>
  <c r="P27"/>
  <c r="P26"/>
  <c r="P68"/>
  <c r="P72"/>
  <c r="P61"/>
  <c r="P25"/>
  <c r="P24"/>
  <c r="P23"/>
  <c r="P22"/>
  <c r="P21"/>
  <c r="P20"/>
  <c r="P19"/>
  <c r="P18"/>
  <c r="P17"/>
  <c r="P16"/>
  <c r="P69"/>
  <c r="P65"/>
  <c r="P62"/>
  <c r="P15"/>
  <c r="P14"/>
  <c r="P13"/>
  <c r="P12"/>
  <c r="P11"/>
  <c r="P10"/>
  <c r="P9"/>
  <c r="P66"/>
  <c r="P8"/>
  <c r="P7"/>
  <c r="P6"/>
  <c r="AG1322" i="57"/>
  <c r="V1322"/>
  <c r="AJ1322"/>
  <c r="AI1322" l="1"/>
  <c r="X1322"/>
  <c r="Y1322" s="1"/>
  <c r="T1322"/>
  <c r="O1322"/>
  <c r="N1322"/>
  <c r="AG1217"/>
  <c r="AJ1217"/>
  <c r="V1217"/>
  <c r="AI1217" l="1"/>
  <c r="X1217"/>
  <c r="Y1217" s="1"/>
  <c r="T1217"/>
  <c r="O1217"/>
  <c r="N1217"/>
  <c r="AG22" i="74"/>
  <c r="V22"/>
  <c r="X22" l="1"/>
  <c r="Y22" s="1"/>
  <c r="T22"/>
  <c r="O22"/>
  <c r="N22"/>
  <c r="AG21"/>
  <c r="V21"/>
  <c r="X21" l="1"/>
  <c r="Y21" s="1"/>
  <c r="T21"/>
  <c r="O21"/>
  <c r="N21"/>
  <c r="AG615" i="57"/>
  <c r="AJ615"/>
  <c r="V615"/>
  <c r="AI615" l="1"/>
  <c r="X615"/>
  <c r="Y615" s="1"/>
  <c r="T615"/>
  <c r="O615"/>
  <c r="N615"/>
  <c r="AG947" l="1"/>
  <c r="AJ947"/>
  <c r="V947"/>
  <c r="AI947" l="1"/>
  <c r="X947"/>
  <c r="Y947" s="1"/>
  <c r="T947"/>
  <c r="O947"/>
  <c r="N947"/>
  <c r="AG576"/>
  <c r="AJ576"/>
  <c r="V576"/>
  <c r="AI576" l="1"/>
  <c r="X576"/>
  <c r="Y576" s="1"/>
  <c r="T576"/>
  <c r="O576"/>
  <c r="N576"/>
  <c r="AG20" i="74"/>
  <c r="V20"/>
  <c r="X20" l="1"/>
  <c r="Y20" s="1"/>
  <c r="T20"/>
  <c r="O20"/>
  <c r="N20"/>
  <c r="N1057" i="57"/>
  <c r="O1057"/>
  <c r="V1057"/>
  <c r="T1057" l="1"/>
  <c r="X1057"/>
  <c r="Y1057" s="1"/>
  <c r="AG1057"/>
  <c r="AJ1057"/>
  <c r="AI1057" l="1"/>
  <c r="AG19" i="74"/>
  <c r="V19"/>
  <c r="X19" l="1"/>
  <c r="Y19" s="1"/>
  <c r="T19"/>
  <c r="O19"/>
  <c r="N19"/>
  <c r="AG18"/>
  <c r="V18"/>
  <c r="X18" l="1"/>
  <c r="Y18" s="1"/>
  <c r="T18"/>
  <c r="O18"/>
  <c r="N18"/>
  <c r="AG17"/>
  <c r="V17"/>
  <c r="X17" l="1"/>
  <c r="Y17" s="1"/>
  <c r="T17"/>
  <c r="O17"/>
  <c r="N17"/>
  <c r="AG16"/>
  <c r="V16"/>
  <c r="X16" l="1"/>
  <c r="Y16" s="1"/>
  <c r="T16"/>
  <c r="O16"/>
  <c r="N16"/>
  <c r="AG292" i="57" l="1"/>
  <c r="AJ292"/>
  <c r="V292"/>
  <c r="AI292" l="1"/>
  <c r="X292"/>
  <c r="Y292" s="1"/>
  <c r="T292"/>
  <c r="O292"/>
  <c r="N292"/>
  <c r="AG1384"/>
  <c r="AJ1384"/>
  <c r="V1384"/>
  <c r="AI1384" l="1"/>
  <c r="X1384"/>
  <c r="Y1384" s="1"/>
  <c r="T1384"/>
  <c r="O1384"/>
  <c r="N1384"/>
  <c r="AG1568"/>
  <c r="V1568"/>
  <c r="AJ1568"/>
  <c r="AI1568" l="1"/>
  <c r="X1568"/>
  <c r="Y1568" s="1"/>
  <c r="T1568"/>
  <c r="O1568"/>
  <c r="N1568"/>
  <c r="AG69" i="74" l="1"/>
  <c r="X69" l="1"/>
  <c r="Y69" s="1"/>
  <c r="T69"/>
  <c r="O69"/>
  <c r="N69"/>
  <c r="AG65"/>
  <c r="X65" l="1"/>
  <c r="Y65" s="1"/>
  <c r="T65"/>
  <c r="O65"/>
  <c r="N65"/>
  <c r="AG62"/>
  <c r="X62" l="1"/>
  <c r="Y62" s="1"/>
  <c r="T62"/>
  <c r="O62"/>
  <c r="N62"/>
  <c r="AG15"/>
  <c r="V15"/>
  <c r="X15" l="1"/>
  <c r="Y15" s="1"/>
  <c r="T15"/>
  <c r="O15"/>
  <c r="N15"/>
  <c r="AG14"/>
  <c r="V14"/>
  <c r="X14" l="1"/>
  <c r="Y14" s="1"/>
  <c r="T14"/>
  <c r="O14"/>
  <c r="N14"/>
  <c r="AG552" i="57"/>
  <c r="V552"/>
  <c r="AJ552"/>
  <c r="AI552" l="1"/>
  <c r="X552"/>
  <c r="Y552" s="1"/>
  <c r="T552"/>
  <c r="O552"/>
  <c r="N552"/>
  <c r="AG382"/>
  <c r="AJ382"/>
  <c r="V382"/>
  <c r="AI382" l="1"/>
  <c r="X382"/>
  <c r="Y382" s="1"/>
  <c r="T382"/>
  <c r="O382"/>
  <c r="N382"/>
  <c r="AG634"/>
  <c r="AJ634"/>
  <c r="V634"/>
  <c r="AI634" l="1"/>
  <c r="X634"/>
  <c r="Y634" s="1"/>
  <c r="T634"/>
  <c r="O634"/>
  <c r="N634"/>
  <c r="AG579" l="1"/>
  <c r="AJ579"/>
  <c r="V579"/>
  <c r="AI579" l="1"/>
  <c r="X579"/>
  <c r="Y579" s="1"/>
  <c r="T579"/>
  <c r="O579"/>
  <c r="N579"/>
  <c r="AG13" i="74"/>
  <c r="V13"/>
  <c r="X13" l="1"/>
  <c r="Y13" s="1"/>
  <c r="T13"/>
  <c r="O13"/>
  <c r="N13"/>
  <c r="AG12"/>
  <c r="V12"/>
  <c r="X12" l="1"/>
  <c r="Y12" s="1"/>
  <c r="T12"/>
  <c r="O12"/>
  <c r="N12"/>
  <c r="AG11"/>
  <c r="V11"/>
  <c r="X11" l="1"/>
  <c r="Y11" s="1"/>
  <c r="T11"/>
  <c r="O11"/>
  <c r="N11"/>
  <c r="AG10"/>
  <c r="V10"/>
  <c r="X10" l="1"/>
  <c r="Y10" s="1"/>
  <c r="T10"/>
  <c r="O10"/>
  <c r="N10"/>
  <c r="AG9"/>
  <c r="V9"/>
  <c r="X9" l="1"/>
  <c r="Y9" s="1"/>
  <c r="T9"/>
  <c r="O9"/>
  <c r="N9"/>
  <c r="AG549" i="57" l="1"/>
  <c r="V549"/>
  <c r="AJ549"/>
  <c r="AI549" l="1"/>
  <c r="X549"/>
  <c r="Y549" s="1"/>
  <c r="T549"/>
  <c r="O549"/>
  <c r="N549"/>
  <c r="AG66" i="74" l="1"/>
  <c r="X66" l="1"/>
  <c r="Y66" s="1"/>
  <c r="T66"/>
  <c r="O66"/>
  <c r="N66"/>
  <c r="AG8" l="1"/>
  <c r="V8"/>
  <c r="X8" l="1"/>
  <c r="Y8" s="1"/>
  <c r="T8"/>
  <c r="O8"/>
  <c r="N8"/>
  <c r="AG7"/>
  <c r="V7"/>
  <c r="X7" l="1"/>
  <c r="Y7" s="1"/>
  <c r="T7"/>
  <c r="O7"/>
  <c r="N7"/>
  <c r="AG6"/>
  <c r="V6"/>
  <c r="X6" l="1"/>
  <c r="Y6" s="1"/>
  <c r="T6"/>
  <c r="O6"/>
  <c r="N6"/>
  <c r="AG838" i="57"/>
  <c r="V838"/>
  <c r="AJ838"/>
  <c r="AI838" l="1"/>
  <c r="X838"/>
  <c r="Y838" s="1"/>
  <c r="T838"/>
  <c r="O838"/>
  <c r="N838"/>
  <c r="AJ843"/>
  <c r="AI843" l="1"/>
  <c r="AG843"/>
  <c r="V843"/>
  <c r="X843" l="1"/>
  <c r="Y843" s="1"/>
  <c r="T843"/>
  <c r="O843"/>
  <c r="N843"/>
  <c r="AG1289"/>
  <c r="AJ1289"/>
  <c r="V1289"/>
  <c r="AI1289" l="1"/>
  <c r="X1289"/>
  <c r="Y1289" s="1"/>
  <c r="T1289"/>
  <c r="O1289"/>
  <c r="N1289"/>
  <c r="AG274"/>
  <c r="V274"/>
  <c r="AJ274"/>
  <c r="AI274" l="1"/>
  <c r="X274"/>
  <c r="Y274" s="1"/>
  <c r="T274"/>
  <c r="O274"/>
  <c r="N274"/>
  <c r="AG37" i="74" l="1"/>
  <c r="V37"/>
  <c r="X37" l="1"/>
  <c r="Y37" s="1"/>
  <c r="T37"/>
  <c r="O37"/>
  <c r="N37"/>
  <c r="AG36" l="1"/>
  <c r="V36"/>
  <c r="X36" l="1"/>
  <c r="Y36" s="1"/>
  <c r="T36"/>
  <c r="O36"/>
  <c r="N36"/>
  <c r="AG73"/>
  <c r="X73" l="1"/>
  <c r="Y73" s="1"/>
  <c r="T73"/>
  <c r="O73"/>
  <c r="N73"/>
  <c r="AG35"/>
  <c r="V35"/>
  <c r="X35" l="1"/>
  <c r="Y35" s="1"/>
  <c r="T35"/>
  <c r="O35"/>
  <c r="N35"/>
  <c r="AG34"/>
  <c r="V34"/>
  <c r="X34" l="1"/>
  <c r="Y34" s="1"/>
  <c r="T34"/>
  <c r="O34"/>
  <c r="N34"/>
  <c r="AG74"/>
  <c r="X74" l="1"/>
  <c r="Y74" s="1"/>
  <c r="T74"/>
  <c r="O74"/>
  <c r="N74"/>
  <c r="AG904" i="57" l="1"/>
  <c r="V904"/>
  <c r="AJ904"/>
  <c r="AI904" l="1"/>
  <c r="X904"/>
  <c r="Y904" s="1"/>
  <c r="T904"/>
  <c r="O904"/>
  <c r="N904"/>
  <c r="AG63" i="74" l="1"/>
  <c r="X63" l="1"/>
  <c r="Y63" s="1"/>
  <c r="T63"/>
  <c r="O63"/>
  <c r="N63"/>
  <c r="AG33"/>
  <c r="V33"/>
  <c r="X33" l="1"/>
  <c r="Y33" s="1"/>
  <c r="T33"/>
  <c r="O33"/>
  <c r="N33"/>
  <c r="AG32"/>
  <c r="V32"/>
  <c r="X32" l="1"/>
  <c r="Y32" s="1"/>
  <c r="T32"/>
  <c r="O32"/>
  <c r="N32"/>
  <c r="AG31"/>
  <c r="V31"/>
  <c r="X31" l="1"/>
  <c r="Y31" s="1"/>
  <c r="T31"/>
  <c r="O31"/>
  <c r="N31"/>
  <c r="AG30"/>
  <c r="V30"/>
  <c r="X30" l="1"/>
  <c r="Y30" s="1"/>
  <c r="T30"/>
  <c r="O30"/>
  <c r="N30"/>
  <c r="AG29" l="1"/>
  <c r="V29"/>
  <c r="X29" l="1"/>
  <c r="Y29" s="1"/>
  <c r="T29"/>
  <c r="O29"/>
  <c r="N29"/>
  <c r="AG28"/>
  <c r="V28"/>
  <c r="X28" l="1"/>
  <c r="Y28" s="1"/>
  <c r="T28"/>
  <c r="O28"/>
  <c r="N28"/>
  <c r="AG27"/>
  <c r="V27"/>
  <c r="X27" l="1"/>
  <c r="Y27" s="1"/>
  <c r="T27"/>
  <c r="O27"/>
  <c r="N27"/>
  <c r="AG26"/>
  <c r="V26"/>
  <c r="X26" l="1"/>
  <c r="Y26" s="1"/>
  <c r="T26"/>
  <c r="O26"/>
  <c r="N26"/>
  <c r="AG68"/>
  <c r="X68" l="1"/>
  <c r="Y68" s="1"/>
  <c r="T68"/>
  <c r="O68"/>
  <c r="N68"/>
  <c r="AG775" i="57"/>
  <c r="AJ775"/>
  <c r="V775"/>
  <c r="AI775" l="1"/>
  <c r="X775"/>
  <c r="Y775" s="1"/>
  <c r="T775"/>
  <c r="O775"/>
  <c r="N775"/>
  <c r="AG1351" l="1"/>
  <c r="AJ1351"/>
  <c r="V1351"/>
  <c r="AI1351" l="1"/>
  <c r="X1351"/>
  <c r="Y1351" s="1"/>
  <c r="T1351"/>
  <c r="O1351"/>
  <c r="N1351"/>
  <c r="AG72" i="74" l="1"/>
  <c r="X72" l="1"/>
  <c r="Y72" s="1"/>
  <c r="T72"/>
  <c r="O72"/>
  <c r="N72"/>
  <c r="AG61"/>
  <c r="X61" l="1"/>
  <c r="Y61" s="1"/>
  <c r="T61"/>
  <c r="O61"/>
  <c r="N61"/>
  <c r="AG25"/>
  <c r="V25"/>
  <c r="X25" l="1"/>
  <c r="Y25" s="1"/>
  <c r="T25"/>
  <c r="O25"/>
  <c r="N25"/>
  <c r="AG24"/>
  <c r="V24"/>
  <c r="X24" l="1"/>
  <c r="Y24" s="1"/>
  <c r="T24"/>
  <c r="O24"/>
  <c r="N24"/>
  <c r="AG23"/>
  <c r="V23"/>
  <c r="X23" l="1"/>
  <c r="Y23" s="1"/>
  <c r="T23"/>
  <c r="O23"/>
  <c r="N23"/>
  <c r="AG594" i="57"/>
  <c r="V594"/>
  <c r="AJ594"/>
  <c r="AI594" l="1"/>
  <c r="X594"/>
  <c r="Y594" s="1"/>
  <c r="T594"/>
  <c r="O594"/>
  <c r="N594"/>
  <c r="AG555"/>
  <c r="V555"/>
  <c r="AJ555"/>
  <c r="AI555" l="1"/>
  <c r="X555"/>
  <c r="Y555" s="1"/>
  <c r="T555"/>
  <c r="O555"/>
  <c r="N555"/>
  <c r="AG351"/>
  <c r="AJ351"/>
  <c r="V351"/>
  <c r="AI351" l="1"/>
  <c r="X351"/>
  <c r="Y351" s="1"/>
  <c r="T351"/>
  <c r="O351"/>
  <c r="N351"/>
  <c r="AG34" i="114" l="1"/>
  <c r="X34" l="1"/>
  <c r="Y34" s="1"/>
  <c r="T34"/>
  <c r="O34"/>
  <c r="N34"/>
  <c r="AG691" i="57"/>
  <c r="V691"/>
  <c r="AJ691"/>
  <c r="AI691" l="1"/>
  <c r="X691"/>
  <c r="Y691" s="1"/>
  <c r="T691"/>
  <c r="O691"/>
  <c r="N691"/>
  <c r="AG722"/>
  <c r="AJ722"/>
  <c r="V722"/>
  <c r="AI722" l="1"/>
  <c r="X722"/>
  <c r="Y722" s="1"/>
  <c r="T722"/>
  <c r="O722"/>
  <c r="N722"/>
  <c r="AG38" i="74"/>
  <c r="V38"/>
  <c r="X38" l="1"/>
  <c r="Y38" s="1"/>
  <c r="T38"/>
  <c r="O38"/>
  <c r="N38"/>
  <c r="AG75"/>
  <c r="X75" l="1"/>
  <c r="Y75" s="1"/>
  <c r="T75"/>
  <c r="O75"/>
  <c r="N75"/>
  <c r="AG1501" i="57"/>
  <c r="AJ1501"/>
  <c r="V1501"/>
  <c r="AI1501" l="1"/>
  <c r="X1501"/>
  <c r="Y1501" s="1"/>
  <c r="T1501"/>
  <c r="O1501"/>
  <c r="N1501"/>
  <c r="AG54" i="28"/>
  <c r="V54"/>
  <c r="AM54"/>
  <c r="AL54" l="1"/>
  <c r="X54"/>
  <c r="Y54" s="1"/>
  <c r="T54"/>
  <c r="O54"/>
  <c r="N54"/>
  <c r="AG1533" i="57"/>
  <c r="AJ1533"/>
  <c r="V1533"/>
  <c r="AI1533" l="1"/>
  <c r="X1533"/>
  <c r="Y1533" s="1"/>
  <c r="T1533"/>
  <c r="O1533"/>
  <c r="N1533"/>
  <c r="AG38" i="114"/>
  <c r="X38" l="1"/>
  <c r="Y38" s="1"/>
  <c r="T38"/>
  <c r="O38"/>
  <c r="N38"/>
  <c r="O196" i="57"/>
  <c r="N196"/>
  <c r="W554" i="22"/>
  <c r="W553"/>
  <c r="W552"/>
  <c r="W551"/>
  <c r="W550"/>
  <c r="W549"/>
  <c r="W545"/>
  <c r="W544"/>
  <c r="W543"/>
  <c r="W541"/>
  <c r="W530"/>
  <c r="W529"/>
  <c r="W528"/>
  <c r="W527"/>
  <c r="W525"/>
  <c r="W513"/>
  <c r="W503"/>
  <c r="W499"/>
  <c r="W497"/>
  <c r="W492"/>
  <c r="W485"/>
  <c r="W478"/>
  <c r="W476"/>
  <c r="W474"/>
  <c r="W468"/>
  <c r="W461"/>
  <c r="W460"/>
  <c r="W458"/>
  <c r="W447"/>
  <c r="W451" s="1"/>
  <c r="W441"/>
  <c r="W445" s="1"/>
  <c r="W437"/>
  <c r="W434"/>
  <c r="W433"/>
  <c r="W431"/>
  <c r="W422"/>
  <c r="W425" s="1"/>
  <c r="W416"/>
  <c r="W413"/>
  <c r="W410"/>
  <c r="W399"/>
  <c r="W393"/>
  <c r="W365"/>
  <c r="W364"/>
  <c r="W363"/>
  <c r="W362"/>
  <c r="W341"/>
  <c r="W340"/>
  <c r="W337"/>
  <c r="W296"/>
  <c r="W295"/>
  <c r="W294"/>
  <c r="W293"/>
  <c r="W292"/>
  <c r="W289"/>
  <c r="W288"/>
  <c r="W285"/>
  <c r="W274"/>
  <c r="W273"/>
  <c r="W272"/>
  <c r="W271"/>
  <c r="W270"/>
  <c r="W269"/>
  <c r="W268"/>
  <c r="W262"/>
  <c r="W261"/>
  <c r="W252"/>
  <c r="W188"/>
  <c r="W181"/>
  <c r="W171"/>
  <c r="W170"/>
  <c r="W169"/>
  <c r="W168"/>
  <c r="W167"/>
  <c r="W166"/>
  <c r="W165"/>
  <c r="W162"/>
  <c r="W157"/>
  <c r="W156"/>
  <c r="W155"/>
  <c r="W154"/>
  <c r="W152"/>
  <c r="W149"/>
  <c r="W144"/>
  <c r="W145" s="1"/>
  <c r="W15"/>
  <c r="W14"/>
  <c r="W13"/>
  <c r="W12"/>
  <c r="W11"/>
  <c r="W10"/>
  <c r="W139"/>
  <c r="W138"/>
  <c r="W137"/>
  <c r="W136"/>
  <c r="W115"/>
  <c r="W114"/>
  <c r="W106"/>
  <c r="W105"/>
  <c r="W104"/>
  <c r="W132"/>
  <c r="W131"/>
  <c r="W91"/>
  <c r="W90"/>
  <c r="W89"/>
  <c r="W101"/>
  <c r="W121"/>
  <c r="W122" s="1"/>
  <c r="W68"/>
  <c r="W77"/>
  <c r="W76"/>
  <c r="W29"/>
  <c r="W28"/>
  <c r="W27"/>
  <c r="W26"/>
  <c r="W60"/>
  <c r="W72"/>
  <c r="W73" s="1"/>
  <c r="W35"/>
  <c r="W34"/>
  <c r="W33"/>
  <c r="W39"/>
  <c r="W40" s="1"/>
  <c r="W85"/>
  <c r="W84"/>
  <c r="W83"/>
  <c r="W82"/>
  <c r="W64"/>
  <c r="W55"/>
  <c r="W54"/>
  <c r="W53"/>
  <c r="W96"/>
  <c r="W48"/>
  <c r="W47"/>
  <c r="W46"/>
  <c r="W45"/>
  <c r="W44"/>
  <c r="W43"/>
  <c r="W22"/>
  <c r="W21"/>
  <c r="W20"/>
  <c r="W19"/>
  <c r="W7"/>
  <c r="W3"/>
  <c r="W39" i="28"/>
  <c r="X39" s="1"/>
  <c r="Y39" s="1"/>
  <c r="W38"/>
  <c r="X38" s="1"/>
  <c r="Y38" s="1"/>
  <c r="W36"/>
  <c r="X36" s="1"/>
  <c r="Y36" s="1"/>
  <c r="W32"/>
  <c r="X32" s="1"/>
  <c r="Y32" s="1"/>
  <c r="W30"/>
  <c r="X30" s="1"/>
  <c r="Y30" s="1"/>
  <c r="W25"/>
  <c r="X25" s="1"/>
  <c r="Y25" s="1"/>
  <c r="W18"/>
  <c r="X18" s="1"/>
  <c r="Y18" s="1"/>
  <c r="W20"/>
  <c r="X20" s="1"/>
  <c r="Y20" s="1"/>
  <c r="W19"/>
  <c r="X19" s="1"/>
  <c r="Y19" s="1"/>
  <c r="W21"/>
  <c r="X21" s="1"/>
  <c r="Y21" s="1"/>
  <c r="W16"/>
  <c r="X16" s="1"/>
  <c r="Y16" s="1"/>
  <c r="W15"/>
  <c r="N39"/>
  <c r="N37"/>
  <c r="N38"/>
  <c r="N36"/>
  <c r="N34"/>
  <c r="N33"/>
  <c r="N32"/>
  <c r="N35"/>
  <c r="N31"/>
  <c r="N30"/>
  <c r="N29"/>
  <c r="N25"/>
  <c r="N22"/>
  <c r="N27"/>
  <c r="N26"/>
  <c r="N23"/>
  <c r="N28"/>
  <c r="N24"/>
  <c r="N18"/>
  <c r="N20"/>
  <c r="N19"/>
  <c r="N21"/>
  <c r="N17"/>
  <c r="N16"/>
  <c r="N15"/>
  <c r="N13"/>
  <c r="N12"/>
  <c r="N11"/>
  <c r="N10"/>
  <c r="W107" i="22" l="1"/>
  <c r="W16"/>
  <c r="W128"/>
  <c r="W464"/>
  <c r="W78"/>
  <c r="W118"/>
  <c r="W86"/>
  <c r="W36"/>
  <c r="W555"/>
  <c r="W56"/>
  <c r="W49"/>
  <c r="W92"/>
  <c r="W140"/>
  <c r="W505"/>
  <c r="W438"/>
  <c r="W158"/>
  <c r="W30"/>
  <c r="W133"/>
  <c r="W347"/>
  <c r="W23"/>
  <c r="W172"/>
  <c r="W368"/>
  <c r="W537"/>
  <c r="W317"/>
  <c r="W546"/>
  <c r="O540"/>
  <c r="O539"/>
  <c r="O545"/>
  <c r="O544"/>
  <c r="O543"/>
  <c r="O554"/>
  <c r="O553"/>
  <c r="O552"/>
  <c r="O551"/>
  <c r="O550"/>
  <c r="O549"/>
  <c r="O548"/>
  <c r="O563"/>
  <c r="O562"/>
  <c r="O561"/>
  <c r="O560"/>
  <c r="O559"/>
  <c r="O558"/>
  <c r="O557"/>
  <c r="O536"/>
  <c r="O535"/>
  <c r="O534"/>
  <c r="O533"/>
  <c r="O532"/>
  <c r="O531"/>
  <c r="O530"/>
  <c r="O529"/>
  <c r="O528"/>
  <c r="O527"/>
  <c r="O524"/>
  <c r="O523"/>
  <c r="O522"/>
  <c r="O521"/>
  <c r="O520"/>
  <c r="O519"/>
  <c r="O518"/>
  <c r="O517"/>
  <c r="O516"/>
  <c r="O515"/>
  <c r="O508"/>
  <c r="O509"/>
  <c r="O510"/>
  <c r="O511"/>
  <c r="O512"/>
  <c r="O507"/>
  <c r="O504"/>
  <c r="O503"/>
  <c r="O502"/>
  <c r="O501"/>
  <c r="O500"/>
  <c r="O499"/>
  <c r="O495"/>
  <c r="O496"/>
  <c r="O494"/>
  <c r="O488"/>
  <c r="O489"/>
  <c r="O490"/>
  <c r="O491"/>
  <c r="O487"/>
  <c r="O477"/>
  <c r="O476"/>
  <c r="O473"/>
  <c r="O472"/>
  <c r="O471"/>
  <c r="O470"/>
  <c r="O467"/>
  <c r="O466"/>
  <c r="O463"/>
  <c r="O462"/>
  <c r="O461"/>
  <c r="O460"/>
  <c r="O457"/>
  <c r="O456"/>
  <c r="O453"/>
  <c r="O450"/>
  <c r="O449"/>
  <c r="O448"/>
  <c r="O447"/>
  <c r="O444"/>
  <c r="O443"/>
  <c r="O442"/>
  <c r="O441"/>
  <c r="O440"/>
  <c r="O434"/>
  <c r="O435"/>
  <c r="O436"/>
  <c r="O437"/>
  <c r="O433"/>
  <c r="O430"/>
  <c r="O429"/>
  <c r="O428"/>
  <c r="O427"/>
  <c r="O424"/>
  <c r="O423"/>
  <c r="O422"/>
  <c r="O419"/>
  <c r="O416"/>
  <c r="O412"/>
  <c r="O409"/>
  <c r="O408"/>
  <c r="O407"/>
  <c r="O406"/>
  <c r="O398"/>
  <c r="O397"/>
  <c r="O396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72"/>
  <c r="O352"/>
  <c r="O353"/>
  <c r="O354"/>
  <c r="O355"/>
  <c r="O356"/>
  <c r="O357"/>
  <c r="O358"/>
  <c r="O359"/>
  <c r="O360"/>
  <c r="O361"/>
  <c r="O362"/>
  <c r="O363"/>
  <c r="O364"/>
  <c r="O365"/>
  <c r="O366"/>
  <c r="O367"/>
  <c r="O35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21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256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194"/>
  <c r="O193"/>
  <c r="O192"/>
  <c r="O187"/>
  <c r="O186"/>
  <c r="O185"/>
  <c r="O180"/>
  <c r="O179"/>
  <c r="O178"/>
  <c r="O177"/>
  <c r="O176"/>
  <c r="O175"/>
  <c r="O166"/>
  <c r="O167"/>
  <c r="O168"/>
  <c r="O169"/>
  <c r="O170"/>
  <c r="O171"/>
  <c r="O165"/>
  <c r="O161"/>
  <c r="O153"/>
  <c r="O154"/>
  <c r="O155"/>
  <c r="O156"/>
  <c r="O157"/>
  <c r="O152"/>
  <c r="O148"/>
  <c r="O144"/>
  <c r="O11"/>
  <c r="O12"/>
  <c r="O13"/>
  <c r="O14"/>
  <c r="O15"/>
  <c r="O10"/>
  <c r="O137"/>
  <c r="O138"/>
  <c r="O139"/>
  <c r="O136"/>
  <c r="O111"/>
  <c r="O112"/>
  <c r="O113"/>
  <c r="O114"/>
  <c r="O115"/>
  <c r="O116"/>
  <c r="O117"/>
  <c r="O110"/>
  <c r="O106"/>
  <c r="O105"/>
  <c r="O104"/>
  <c r="O127"/>
  <c r="O126"/>
  <c r="O125"/>
  <c r="O132"/>
  <c r="O131"/>
  <c r="O91"/>
  <c r="O90"/>
  <c r="O89"/>
  <c r="O100"/>
  <c r="O99"/>
  <c r="O121"/>
  <c r="O67"/>
  <c r="O77"/>
  <c r="O76"/>
  <c r="O29"/>
  <c r="O28"/>
  <c r="O27"/>
  <c r="O26"/>
  <c r="O59"/>
  <c r="O72"/>
  <c r="O71"/>
  <c r="O35"/>
  <c r="O34"/>
  <c r="O33"/>
  <c r="O39"/>
  <c r="O82"/>
  <c r="O83"/>
  <c r="O84"/>
  <c r="O85"/>
  <c r="O81"/>
  <c r="O63"/>
  <c r="O55"/>
  <c r="O54"/>
  <c r="O53"/>
  <c r="O52"/>
  <c r="O95"/>
  <c r="O44"/>
  <c r="O45"/>
  <c r="O46"/>
  <c r="O47"/>
  <c r="O48"/>
  <c r="O43"/>
  <c r="O22"/>
  <c r="O21"/>
  <c r="O20"/>
  <c r="O19"/>
  <c r="O72" i="28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71"/>
  <c r="O69"/>
  <c r="O68"/>
  <c r="O67"/>
  <c r="O66"/>
  <c r="O60"/>
  <c r="O61"/>
  <c r="O62"/>
  <c r="O59"/>
  <c r="O57"/>
  <c r="O16"/>
  <c r="O17"/>
  <c r="O21"/>
  <c r="O19"/>
  <c r="O20"/>
  <c r="O18"/>
  <c r="O24"/>
  <c r="O28"/>
  <c r="O23"/>
  <c r="O26"/>
  <c r="O27"/>
  <c r="O22"/>
  <c r="O25"/>
  <c r="O29"/>
  <c r="O30"/>
  <c r="O31"/>
  <c r="O35"/>
  <c r="O32"/>
  <c r="O33"/>
  <c r="O34"/>
  <c r="O36"/>
  <c r="O38"/>
  <c r="O37"/>
  <c r="O39"/>
  <c r="O15"/>
  <c r="O11"/>
  <c r="O12"/>
  <c r="O13"/>
  <c r="O1816" i="57"/>
  <c r="O1815"/>
  <c r="O1810"/>
  <c r="O1811"/>
  <c r="O1809"/>
  <c r="O1799"/>
  <c r="O1800"/>
  <c r="O1801"/>
  <c r="O1802"/>
  <c r="O1803"/>
  <c r="O1804"/>
  <c r="O1805"/>
  <c r="O1806"/>
  <c r="O1798"/>
  <c r="O1772"/>
  <c r="O1773"/>
  <c r="O1774"/>
  <c r="O1775"/>
  <c r="O1776"/>
  <c r="O1777"/>
  <c r="O1778"/>
  <c r="O1779"/>
  <c r="O1780"/>
  <c r="O1782"/>
  <c r="O1783"/>
  <c r="O1784"/>
  <c r="O1785"/>
  <c r="O1786"/>
  <c r="O1787"/>
  <c r="O1788"/>
  <c r="O1789"/>
  <c r="O1790"/>
  <c r="O1791"/>
  <c r="O1792"/>
  <c r="O1793"/>
  <c r="O1794"/>
  <c r="O1795"/>
  <c r="O1771"/>
  <c r="O1686"/>
  <c r="O1688"/>
  <c r="O1689"/>
  <c r="O1690"/>
  <c r="O1691"/>
  <c r="O1692"/>
  <c r="O1693"/>
  <c r="O1694"/>
  <c r="O1695"/>
  <c r="O1696"/>
  <c r="O1697"/>
  <c r="O1698"/>
  <c r="O1699"/>
  <c r="O1700"/>
  <c r="O1701"/>
  <c r="O1702"/>
  <c r="O1703"/>
  <c r="O1704"/>
  <c r="O1705"/>
  <c r="O1706"/>
  <c r="O1707"/>
  <c r="O1708"/>
  <c r="O1709"/>
  <c r="O1710"/>
  <c r="O1711"/>
  <c r="O1712"/>
  <c r="O1713"/>
  <c r="O1714"/>
  <c r="O1715"/>
  <c r="O1716"/>
  <c r="O1717"/>
  <c r="O1718"/>
  <c r="O1719"/>
  <c r="O1720"/>
  <c r="O1721"/>
  <c r="O1722"/>
  <c r="O1723"/>
  <c r="O1724"/>
  <c r="O1725"/>
  <c r="O1726"/>
  <c r="O1727"/>
  <c r="O1728"/>
  <c r="O1729"/>
  <c r="O1730"/>
  <c r="O1731"/>
  <c r="O1732"/>
  <c r="O1733"/>
  <c r="O1734"/>
  <c r="O1735"/>
  <c r="O1736"/>
  <c r="O1737"/>
  <c r="O1738"/>
  <c r="O1739"/>
  <c r="O1740"/>
  <c r="O1741"/>
  <c r="O1742"/>
  <c r="O1743"/>
  <c r="O1744"/>
  <c r="O1745"/>
  <c r="O1746"/>
  <c r="O1747"/>
  <c r="O1748"/>
  <c r="O1749"/>
  <c r="O1751"/>
  <c r="O1752"/>
  <c r="O1753"/>
  <c r="O1754"/>
  <c r="O1755"/>
  <c r="O1756"/>
  <c r="O1757"/>
  <c r="O1758"/>
  <c r="O1759"/>
  <c r="O1760"/>
  <c r="O1761"/>
  <c r="O1762"/>
  <c r="O1763"/>
  <c r="O1765"/>
  <c r="O1766"/>
  <c r="O1767"/>
  <c r="O1768"/>
  <c r="O1685"/>
  <c r="O1672"/>
  <c r="O1673"/>
  <c r="O1674"/>
  <c r="O1675"/>
  <c r="O1676"/>
  <c r="O1677"/>
  <c r="O1678"/>
  <c r="O1679"/>
  <c r="O1680"/>
  <c r="O1682"/>
  <c r="O1671"/>
  <c r="O1633"/>
  <c r="O1634"/>
  <c r="O1635"/>
  <c r="O1636"/>
  <c r="O1637"/>
  <c r="O1638"/>
  <c r="O1639"/>
  <c r="O1640"/>
  <c r="O1641"/>
  <c r="O1642"/>
  <c r="O1643"/>
  <c r="O1644"/>
  <c r="O1645"/>
  <c r="O1646"/>
  <c r="O1647"/>
  <c r="O1648"/>
  <c r="O1649"/>
  <c r="O1650"/>
  <c r="O1651"/>
  <c r="O1652"/>
  <c r="O1653"/>
  <c r="O1654"/>
  <c r="O1655"/>
  <c r="O1656"/>
  <c r="O1657"/>
  <c r="O1658"/>
  <c r="O1659"/>
  <c r="O1660"/>
  <c r="O1661"/>
  <c r="O1662"/>
  <c r="O1663"/>
  <c r="O1664"/>
  <c r="O1665"/>
  <c r="O1666"/>
  <c r="O1667"/>
  <c r="O1668"/>
  <c r="O1632"/>
  <c r="O1588"/>
  <c r="O1589"/>
  <c r="O1590"/>
  <c r="O1591"/>
  <c r="O1592"/>
  <c r="O1593"/>
  <c r="O1594"/>
  <c r="O1595"/>
  <c r="O1596"/>
  <c r="O1597"/>
  <c r="O1598"/>
  <c r="O1599"/>
  <c r="O1600"/>
  <c r="O1601"/>
  <c r="O1610"/>
  <c r="O1611"/>
  <c r="O1612"/>
  <c r="O1613"/>
  <c r="O1616"/>
  <c r="O1617"/>
  <c r="O1618"/>
  <c r="O1619"/>
  <c r="O1620"/>
  <c r="O1622"/>
  <c r="O1623"/>
  <c r="O1624"/>
  <c r="O1625"/>
  <c r="O1626"/>
  <c r="O1627"/>
  <c r="O1628"/>
  <c r="O1629"/>
  <c r="O1587"/>
  <c r="O1542"/>
  <c r="O1543"/>
  <c r="O1544"/>
  <c r="O1545"/>
  <c r="O1546"/>
  <c r="O1547"/>
  <c r="O1548"/>
  <c r="O1549"/>
  <c r="O1550"/>
  <c r="O1551"/>
  <c r="O1552"/>
  <c r="O1553"/>
  <c r="O1554"/>
  <c r="O1555"/>
  <c r="O1556"/>
  <c r="O1557"/>
  <c r="O1558"/>
  <c r="O1559"/>
  <c r="O1560"/>
  <c r="O1561"/>
  <c r="O1562"/>
  <c r="O1563"/>
  <c r="O1564"/>
  <c r="O1565"/>
  <c r="O1566"/>
  <c r="O1567"/>
  <c r="O1569"/>
  <c r="O1570"/>
  <c r="O1571"/>
  <c r="O1572"/>
  <c r="O1573"/>
  <c r="O1574"/>
  <c r="O1575"/>
  <c r="O1576"/>
  <c r="O1577"/>
  <c r="O1578"/>
  <c r="O1579"/>
  <c r="O1580"/>
  <c r="O1581"/>
  <c r="O1582"/>
  <c r="O1583"/>
  <c r="O1584"/>
  <c r="O1541"/>
  <c r="O1512"/>
  <c r="O1513"/>
  <c r="O1514"/>
  <c r="O1515"/>
  <c r="O1517"/>
  <c r="O1518"/>
  <c r="O1519"/>
  <c r="O1520"/>
  <c r="O1522"/>
  <c r="O1523"/>
  <c r="O1524"/>
  <c r="O1525"/>
  <c r="O1526"/>
  <c r="O1527"/>
  <c r="O1528"/>
  <c r="O1529"/>
  <c r="O1530"/>
  <c r="O1531"/>
  <c r="O1532"/>
  <c r="O1534"/>
  <c r="O1535"/>
  <c r="O1536"/>
  <c r="O1537"/>
  <c r="O1538"/>
  <c r="O1510"/>
  <c r="O1435"/>
  <c r="O1436"/>
  <c r="O1437"/>
  <c r="O1438"/>
  <c r="O1439"/>
  <c r="O1440"/>
  <c r="O1441"/>
  <c r="O1442"/>
  <c r="O1443"/>
  <c r="O1444"/>
  <c r="O1445"/>
  <c r="O1446"/>
  <c r="O1447"/>
  <c r="O1448"/>
  <c r="O1449"/>
  <c r="O1450"/>
  <c r="O1451"/>
  <c r="O1452"/>
  <c r="O1453"/>
  <c r="O1454"/>
  <c r="O1455"/>
  <c r="O1456"/>
  <c r="O1457"/>
  <c r="O1458"/>
  <c r="O1459"/>
  <c r="O1460"/>
  <c r="O1461"/>
  <c r="O1462"/>
  <c r="O1463"/>
  <c r="O1464"/>
  <c r="O1465"/>
  <c r="O1466"/>
  <c r="O1467"/>
  <c r="O1468"/>
  <c r="O1469"/>
  <c r="O1470"/>
  <c r="O1471"/>
  <c r="O1472"/>
  <c r="O1473"/>
  <c r="O1474"/>
  <c r="O1475"/>
  <c r="O1476"/>
  <c r="O1477"/>
  <c r="O1478"/>
  <c r="O1479"/>
  <c r="O1480"/>
  <c r="O1481"/>
  <c r="O1482"/>
  <c r="O1483"/>
  <c r="O1484"/>
  <c r="O1485"/>
  <c r="O1486"/>
  <c r="O1487"/>
  <c r="O1488"/>
  <c r="O1489"/>
  <c r="O1490"/>
  <c r="O1491"/>
  <c r="O1492"/>
  <c r="O1493"/>
  <c r="O1494"/>
  <c r="O1495"/>
  <c r="O1496"/>
  <c r="O1497"/>
  <c r="O1498"/>
  <c r="O1499"/>
  <c r="O1500"/>
  <c r="O1502"/>
  <c r="O1503"/>
  <c r="O1504"/>
  <c r="O1505"/>
  <c r="O1506"/>
  <c r="O1507"/>
  <c r="O1434"/>
  <c r="O1306"/>
  <c r="O1307"/>
  <c r="O1308"/>
  <c r="O1309"/>
  <c r="O1310"/>
  <c r="O1311"/>
  <c r="O1312"/>
  <c r="O1313"/>
  <c r="O1314"/>
  <c r="O1315"/>
  <c r="O1316"/>
  <c r="O1317"/>
  <c r="O1318"/>
  <c r="O1319"/>
  <c r="O1320"/>
  <c r="O1321"/>
  <c r="O1323"/>
  <c r="O1324"/>
  <c r="O1325"/>
  <c r="O1326"/>
  <c r="O1327"/>
  <c r="O1328"/>
  <c r="O1329"/>
  <c r="O1330"/>
  <c r="O1331"/>
  <c r="O1332"/>
  <c r="O1333"/>
  <c r="O1334"/>
  <c r="O1335"/>
  <c r="O1337"/>
  <c r="O1338"/>
  <c r="O1339"/>
  <c r="O1340"/>
  <c r="O1341"/>
  <c r="O1342"/>
  <c r="O1343"/>
  <c r="O1344"/>
  <c r="O1345"/>
  <c r="O1346"/>
  <c r="O1347"/>
  <c r="O1348"/>
  <c r="O1349"/>
  <c r="O1350"/>
  <c r="O1352"/>
  <c r="O1353"/>
  <c r="O1354"/>
  <c r="O1355"/>
  <c r="O1356"/>
  <c r="O1358"/>
  <c r="O1359"/>
  <c r="O1360"/>
  <c r="O1361"/>
  <c r="O1362"/>
  <c r="O1363"/>
  <c r="O1364"/>
  <c r="O1365"/>
  <c r="O1366"/>
  <c r="O1367"/>
  <c r="O1368"/>
  <c r="O1369"/>
  <c r="O1370"/>
  <c r="O1371"/>
  <c r="O1372"/>
  <c r="O1373"/>
  <c r="O1374"/>
  <c r="O1375"/>
  <c r="O1376"/>
  <c r="O1377"/>
  <c r="O1378"/>
  <c r="O1380"/>
  <c r="O1381"/>
  <c r="O1382"/>
  <c r="O1383"/>
  <c r="O1385"/>
  <c r="O1386"/>
  <c r="O1387"/>
  <c r="O1388"/>
  <c r="O1389"/>
  <c r="O1390"/>
  <c r="O1391"/>
  <c r="O1392"/>
  <c r="O1393"/>
  <c r="O1394"/>
  <c r="O1395"/>
  <c r="O1396"/>
  <c r="O1397"/>
  <c r="O1398"/>
  <c r="O1399"/>
  <c r="O1400"/>
  <c r="O1401"/>
  <c r="O1402"/>
  <c r="O1403"/>
  <c r="O1404"/>
  <c r="O1405"/>
  <c r="O1406"/>
  <c r="O1407"/>
  <c r="O1408"/>
  <c r="O1409"/>
  <c r="O1410"/>
  <c r="O1411"/>
  <c r="O1412"/>
  <c r="O1413"/>
  <c r="O1414"/>
  <c r="O1415"/>
  <c r="O1416"/>
  <c r="O1417"/>
  <c r="O1418"/>
  <c r="O1419"/>
  <c r="O1420"/>
  <c r="O1421"/>
  <c r="O1422"/>
  <c r="O1423"/>
  <c r="O1425"/>
  <c r="O1426"/>
  <c r="O1427"/>
  <c r="O1428"/>
  <c r="O1429"/>
  <c r="O1430"/>
  <c r="O1431"/>
  <c r="O1305"/>
  <c r="O1264"/>
  <c r="O1265"/>
  <c r="O1266"/>
  <c r="O1267"/>
  <c r="O1268"/>
  <c r="O1269"/>
  <c r="O1270"/>
  <c r="O1271"/>
  <c r="O1272"/>
  <c r="O1273"/>
  <c r="O1274"/>
  <c r="O1275"/>
  <c r="O1276"/>
  <c r="O1277"/>
  <c r="O1278"/>
  <c r="O1279"/>
  <c r="O1280"/>
  <c r="O1281"/>
  <c r="O1282"/>
  <c r="O1283"/>
  <c r="O1284"/>
  <c r="O1285"/>
  <c r="O1286"/>
  <c r="O1287"/>
  <c r="O1288"/>
  <c r="O1290"/>
  <c r="O1291"/>
  <c r="O1292"/>
  <c r="O1293"/>
  <c r="O1294"/>
  <c r="O1295"/>
  <c r="O1296"/>
  <c r="O1297"/>
  <c r="O1298"/>
  <c r="O1299"/>
  <c r="O1300"/>
  <c r="O1301"/>
  <c r="O1263"/>
  <c r="O1226"/>
  <c r="O1227"/>
  <c r="O1228"/>
  <c r="O1229"/>
  <c r="O1230"/>
  <c r="O1231"/>
  <c r="O1232"/>
  <c r="O1233"/>
  <c r="O1234"/>
  <c r="O1235"/>
  <c r="O1236"/>
  <c r="O1237"/>
  <c r="O1238"/>
  <c r="O1239"/>
  <c r="O1240"/>
  <c r="O1241"/>
  <c r="O1242"/>
  <c r="O1243"/>
  <c r="O1244"/>
  <c r="O1245"/>
  <c r="O1246"/>
  <c r="O1247"/>
  <c r="O1248"/>
  <c r="O1249"/>
  <c r="O1250"/>
  <c r="O1251"/>
  <c r="O1252"/>
  <c r="O1253"/>
  <c r="O1254"/>
  <c r="O1255"/>
  <c r="O1256"/>
  <c r="O1257"/>
  <c r="O1258"/>
  <c r="O1259"/>
  <c r="O1260"/>
  <c r="O1225"/>
  <c r="O1018"/>
  <c r="O1019"/>
  <c r="O1020"/>
  <c r="O1021"/>
  <c r="O1022"/>
  <c r="O1024"/>
  <c r="O1025"/>
  <c r="O1026"/>
  <c r="O1027"/>
  <c r="O1028"/>
  <c r="O1029"/>
  <c r="O1030"/>
  <c r="O1031"/>
  <c r="O1032"/>
  <c r="O1033"/>
  <c r="O1034"/>
  <c r="O1035"/>
  <c r="O1036"/>
  <c r="O1037"/>
  <c r="O1038"/>
  <c r="O1039"/>
  <c r="O1040"/>
  <c r="O1041"/>
  <c r="O1042"/>
  <c r="O1043"/>
  <c r="O1044"/>
  <c r="O1045"/>
  <c r="O1046"/>
  <c r="O1047"/>
  <c r="O1049"/>
  <c r="O1050"/>
  <c r="O1051"/>
  <c r="O1052"/>
  <c r="O1053"/>
  <c r="O1054"/>
  <c r="O1055"/>
  <c r="O1056"/>
  <c r="O1058"/>
  <c r="O1059"/>
  <c r="O1060"/>
  <c r="O1061"/>
  <c r="O1064"/>
  <c r="O1065"/>
  <c r="O1066"/>
  <c r="O1067"/>
  <c r="O1068"/>
  <c r="O1069"/>
  <c r="O1070"/>
  <c r="O1071"/>
  <c r="O1072"/>
  <c r="O1073"/>
  <c r="O1074"/>
  <c r="O1075"/>
  <c r="O1076"/>
  <c r="O1077"/>
  <c r="O1078"/>
  <c r="O1079"/>
  <c r="O1080"/>
  <c r="O1081"/>
  <c r="O1082"/>
  <c r="O1083"/>
  <c r="O1084"/>
  <c r="O1085"/>
  <c r="O1086"/>
  <c r="O1087"/>
  <c r="O1088"/>
  <c r="O1089"/>
  <c r="O1090"/>
  <c r="O1091"/>
  <c r="O1092"/>
  <c r="O1093"/>
  <c r="O1094"/>
  <c r="O1095"/>
  <c r="O1096"/>
  <c r="O1097"/>
  <c r="O1098"/>
  <c r="O1099"/>
  <c r="O1100"/>
  <c r="O1101"/>
  <c r="O1102"/>
  <c r="O1103"/>
  <c r="O1104"/>
  <c r="O1105"/>
  <c r="O1106"/>
  <c r="O1107"/>
  <c r="O1108"/>
  <c r="O1109"/>
  <c r="O1110"/>
  <c r="O1111"/>
  <c r="O1112"/>
  <c r="O1113"/>
  <c r="O1114"/>
  <c r="O1115"/>
  <c r="O1116"/>
  <c r="O1118"/>
  <c r="O1119"/>
  <c r="O1120"/>
  <c r="O1121"/>
  <c r="O1122"/>
  <c r="O1123"/>
  <c r="O1124"/>
  <c r="O1125"/>
  <c r="O1126"/>
  <c r="O1127"/>
  <c r="O1128"/>
  <c r="O1129"/>
  <c r="O1130"/>
  <c r="O1131"/>
  <c r="O1132"/>
  <c r="O1133"/>
  <c r="O1134"/>
  <c r="O1135"/>
  <c r="O1136"/>
  <c r="O1137"/>
  <c r="O1138"/>
  <c r="O1139"/>
  <c r="O1140"/>
  <c r="O1142"/>
  <c r="O1143"/>
  <c r="O1144"/>
  <c r="O1145"/>
  <c r="O1146"/>
  <c r="O1147"/>
  <c r="O1148"/>
  <c r="O1149"/>
  <c r="O1150"/>
  <c r="O1151"/>
  <c r="O1152"/>
  <c r="O1153"/>
  <c r="O1154"/>
  <c r="O1155"/>
  <c r="O1156"/>
  <c r="O1157"/>
  <c r="O1158"/>
  <c r="O1159"/>
  <c r="O1160"/>
  <c r="O1161"/>
  <c r="O1162"/>
  <c r="O1163"/>
  <c r="O1164"/>
  <c r="O1165"/>
  <c r="O1166"/>
  <c r="O1167"/>
  <c r="O1168"/>
  <c r="O1169"/>
  <c r="O1170"/>
  <c r="O1171"/>
  <c r="O1172"/>
  <c r="O1173"/>
  <c r="O1174"/>
  <c r="O1175"/>
  <c r="O1176"/>
  <c r="O1177"/>
  <c r="O1178"/>
  <c r="O1179"/>
  <c r="O1180"/>
  <c r="O1181"/>
  <c r="O1182"/>
  <c r="O1183"/>
  <c r="O1184"/>
  <c r="O1185"/>
  <c r="O1186"/>
  <c r="O1187"/>
  <c r="O1188"/>
  <c r="O1189"/>
  <c r="O1190"/>
  <c r="O1191"/>
  <c r="O1192"/>
  <c r="O1193"/>
  <c r="O1194"/>
  <c r="O1195"/>
  <c r="O1196"/>
  <c r="O1197"/>
  <c r="O1198"/>
  <c r="O1199"/>
  <c r="O1200"/>
  <c r="O1201"/>
  <c r="O1202"/>
  <c r="O1203"/>
  <c r="O1204"/>
  <c r="O1205"/>
  <c r="O1207"/>
  <c r="O1208"/>
  <c r="O1209"/>
  <c r="O1210"/>
  <c r="O1211"/>
  <c r="O1212"/>
  <c r="O1213"/>
  <c r="O1214"/>
  <c r="O1215"/>
  <c r="O1216"/>
  <c r="O1218"/>
  <c r="O1219"/>
  <c r="O1220"/>
  <c r="O1221"/>
  <c r="O1222"/>
  <c r="O1017"/>
  <c r="O929"/>
  <c r="O930"/>
  <c r="O931"/>
  <c r="O933"/>
  <c r="O934"/>
  <c r="O935"/>
  <c r="O936"/>
  <c r="O937"/>
  <c r="O938"/>
  <c r="O939"/>
  <c r="O940"/>
  <c r="O941"/>
  <c r="O943"/>
  <c r="O944"/>
  <c r="O945"/>
  <c r="O946"/>
  <c r="O948"/>
  <c r="O949"/>
  <c r="O950"/>
  <c r="O951"/>
  <c r="O952"/>
  <c r="O953"/>
  <c r="O954"/>
  <c r="O955"/>
  <c r="O956"/>
  <c r="O957"/>
  <c r="O959"/>
  <c r="O960"/>
  <c r="O961"/>
  <c r="O962"/>
  <c r="O963"/>
  <c r="O964"/>
  <c r="O965"/>
  <c r="O966"/>
  <c r="O967"/>
  <c r="O968"/>
  <c r="O969"/>
  <c r="O970"/>
  <c r="O971"/>
  <c r="O972"/>
  <c r="O973"/>
  <c r="O974"/>
  <c r="O976"/>
  <c r="O977"/>
  <c r="O978"/>
  <c r="O979"/>
  <c r="O980"/>
  <c r="O981"/>
  <c r="O982"/>
  <c r="O983"/>
  <c r="O984"/>
  <c r="O985"/>
  <c r="O986"/>
  <c r="O987"/>
  <c r="O988"/>
  <c r="O989"/>
  <c r="O990"/>
  <c r="O991"/>
  <c r="O992"/>
  <c r="O993"/>
  <c r="O994"/>
  <c r="O995"/>
  <c r="O996"/>
  <c r="O997"/>
  <c r="O998"/>
  <c r="O999"/>
  <c r="O1000"/>
  <c r="O1001"/>
  <c r="O1002"/>
  <c r="O1003"/>
  <c r="O1004"/>
  <c r="O1005"/>
  <c r="O1006"/>
  <c r="O1007"/>
  <c r="O1008"/>
  <c r="O1009"/>
  <c r="O1010"/>
  <c r="O1011"/>
  <c r="O1012"/>
  <c r="O1013"/>
  <c r="O1014"/>
  <c r="O928"/>
  <c r="O808"/>
  <c r="O809"/>
  <c r="O810"/>
  <c r="O811"/>
  <c r="O812"/>
  <c r="O813"/>
  <c r="O814"/>
  <c r="O815"/>
  <c r="O816"/>
  <c r="O817"/>
  <c r="O818"/>
  <c r="O819"/>
  <c r="O820"/>
  <c r="O821"/>
  <c r="O822"/>
  <c r="O823"/>
  <c r="O824"/>
  <c r="O825"/>
  <c r="O826"/>
  <c r="O827"/>
  <c r="O828"/>
  <c r="O829"/>
  <c r="O830"/>
  <c r="O831"/>
  <c r="O832"/>
  <c r="O833"/>
  <c r="O834"/>
  <c r="O835"/>
  <c r="O836"/>
  <c r="O837"/>
  <c r="O839"/>
  <c r="O840"/>
  <c r="O841"/>
  <c r="O842"/>
  <c r="O844"/>
  <c r="O845"/>
  <c r="O846"/>
  <c r="O847"/>
  <c r="O848"/>
  <c r="O849"/>
  <c r="O850"/>
  <c r="O851"/>
  <c r="O852"/>
  <c r="O853"/>
  <c r="O854"/>
  <c r="O855"/>
  <c r="O856"/>
  <c r="O857"/>
  <c r="O858"/>
  <c r="O859"/>
  <c r="O860"/>
  <c r="O861"/>
  <c r="O862"/>
  <c r="O863"/>
  <c r="O864"/>
  <c r="O865"/>
  <c r="O866"/>
  <c r="O867"/>
  <c r="O868"/>
  <c r="O869"/>
  <c r="O870"/>
  <c r="O871"/>
  <c r="O872"/>
  <c r="O873"/>
  <c r="O874"/>
  <c r="O875"/>
  <c r="O876"/>
  <c r="O877"/>
  <c r="O879"/>
  <c r="O880"/>
  <c r="O881"/>
  <c r="O882"/>
  <c r="O883"/>
  <c r="O884"/>
  <c r="O885"/>
  <c r="O886"/>
  <c r="O887"/>
  <c r="O888"/>
  <c r="O889"/>
  <c r="O890"/>
  <c r="O891"/>
  <c r="O892"/>
  <c r="O893"/>
  <c r="O894"/>
  <c r="O895"/>
  <c r="O896"/>
  <c r="O897"/>
  <c r="O898"/>
  <c r="O899"/>
  <c r="O900"/>
  <c r="O901"/>
  <c r="O902"/>
  <c r="O903"/>
  <c r="O905"/>
  <c r="O906"/>
  <c r="O907"/>
  <c r="O908"/>
  <c r="O909"/>
  <c r="O910"/>
  <c r="O911"/>
  <c r="O912"/>
  <c r="O913"/>
  <c r="O914"/>
  <c r="O916"/>
  <c r="O917"/>
  <c r="O918"/>
  <c r="O920"/>
  <c r="O921"/>
  <c r="O922"/>
  <c r="O923"/>
  <c r="O924"/>
  <c r="O925"/>
  <c r="O807"/>
  <c r="O698"/>
  <c r="O699"/>
  <c r="O700"/>
  <c r="O701"/>
  <c r="O702"/>
  <c r="O703"/>
  <c r="O704"/>
  <c r="O705"/>
  <c r="O706"/>
  <c r="O707"/>
  <c r="O708"/>
  <c r="O709"/>
  <c r="O710"/>
  <c r="O711"/>
  <c r="O713"/>
  <c r="O714"/>
  <c r="O715"/>
  <c r="O716"/>
  <c r="O717"/>
  <c r="O718"/>
  <c r="O719"/>
  <c r="O720"/>
  <c r="O721"/>
  <c r="O723"/>
  <c r="O724"/>
  <c r="O725"/>
  <c r="O726"/>
  <c r="O727"/>
  <c r="O728"/>
  <c r="O729"/>
  <c r="O730"/>
  <c r="O731"/>
  <c r="O732"/>
  <c r="O734"/>
  <c r="O735"/>
  <c r="O736"/>
  <c r="O737"/>
  <c r="O738"/>
  <c r="O739"/>
  <c r="O741"/>
  <c r="O742"/>
  <c r="O744"/>
  <c r="O745"/>
  <c r="O746"/>
  <c r="O747"/>
  <c r="O748"/>
  <c r="O749"/>
  <c r="O750"/>
  <c r="O751"/>
  <c r="O752"/>
  <c r="O753"/>
  <c r="O754"/>
  <c r="O755"/>
  <c r="O756"/>
  <c r="O757"/>
  <c r="O758"/>
  <c r="O759"/>
  <c r="O760"/>
  <c r="O761"/>
  <c r="O762"/>
  <c r="O763"/>
  <c r="O764"/>
  <c r="O765"/>
  <c r="O766"/>
  <c r="O767"/>
  <c r="O768"/>
  <c r="O769"/>
  <c r="O770"/>
  <c r="O771"/>
  <c r="O772"/>
  <c r="O773"/>
  <c r="O774"/>
  <c r="O776"/>
  <c r="O777"/>
  <c r="O778"/>
  <c r="O779"/>
  <c r="O780"/>
  <c r="O781"/>
  <c r="O782"/>
  <c r="O783"/>
  <c r="O784"/>
  <c r="O785"/>
  <c r="O786"/>
  <c r="O787"/>
  <c r="O788"/>
  <c r="O790"/>
  <c r="O791"/>
  <c r="O792"/>
  <c r="O793"/>
  <c r="O794"/>
  <c r="O795"/>
  <c r="O796"/>
  <c r="O797"/>
  <c r="O798"/>
  <c r="O799"/>
  <c r="O800"/>
  <c r="O801"/>
  <c r="O802"/>
  <c r="O803"/>
  <c r="O804"/>
  <c r="O697"/>
  <c r="O530"/>
  <c r="O532"/>
  <c r="O533"/>
  <c r="O534"/>
  <c r="O535"/>
  <c r="O536"/>
  <c r="O537"/>
  <c r="O538"/>
  <c r="O539"/>
  <c r="O540"/>
  <c r="O541"/>
  <c r="O542"/>
  <c r="O543"/>
  <c r="O545"/>
  <c r="O546"/>
  <c r="O547"/>
  <c r="O550"/>
  <c r="O551"/>
  <c r="O553"/>
  <c r="O554"/>
  <c r="O556"/>
  <c r="O557"/>
  <c r="O558"/>
  <c r="O559"/>
  <c r="O561"/>
  <c r="O563"/>
  <c r="O564"/>
  <c r="O565"/>
  <c r="O566"/>
  <c r="O567"/>
  <c r="O568"/>
  <c r="O569"/>
  <c r="O570"/>
  <c r="O571"/>
  <c r="O572"/>
  <c r="O573"/>
  <c r="O574"/>
  <c r="O575"/>
  <c r="O577"/>
  <c r="O578"/>
  <c r="O580"/>
  <c r="O582"/>
  <c r="O583"/>
  <c r="O584"/>
  <c r="O585"/>
  <c r="O586"/>
  <c r="O588"/>
  <c r="O589"/>
  <c r="O590"/>
  <c r="O591"/>
  <c r="O592"/>
  <c r="O595"/>
  <c r="O596"/>
  <c r="O597"/>
  <c r="O599"/>
  <c r="O600"/>
  <c r="O601"/>
  <c r="O602"/>
  <c r="O603"/>
  <c r="O605"/>
  <c r="O607"/>
  <c r="O608"/>
  <c r="O609"/>
  <c r="O610"/>
  <c r="O611"/>
  <c r="O612"/>
  <c r="O613"/>
  <c r="O616"/>
  <c r="O617"/>
  <c r="O618"/>
  <c r="O619"/>
  <c r="O621"/>
  <c r="O622"/>
  <c r="O623"/>
  <c r="O624"/>
  <c r="O626"/>
  <c r="O627"/>
  <c r="O628"/>
  <c r="O629"/>
  <c r="O630"/>
  <c r="O631"/>
  <c r="O632"/>
  <c r="O633"/>
  <c r="O635"/>
  <c r="O636"/>
  <c r="O637"/>
  <c r="O638"/>
  <c r="O639"/>
  <c r="O640"/>
  <c r="O641"/>
  <c r="O642"/>
  <c r="O643"/>
  <c r="O644"/>
  <c r="O645"/>
  <c r="O646"/>
  <c r="O649"/>
  <c r="O650"/>
  <c r="O651"/>
  <c r="O652"/>
  <c r="O654"/>
  <c r="O655"/>
  <c r="O656"/>
  <c r="O657"/>
  <c r="O658"/>
  <c r="O659"/>
  <c r="O660"/>
  <c r="O661"/>
  <c r="O662"/>
  <c r="O663"/>
  <c r="O664"/>
  <c r="O665"/>
  <c r="O666"/>
  <c r="O667"/>
  <c r="O668"/>
  <c r="O669"/>
  <c r="O670"/>
  <c r="O671"/>
  <c r="O672"/>
  <c r="O673"/>
  <c r="O674"/>
  <c r="O676"/>
  <c r="O677"/>
  <c r="O678"/>
  <c r="O679"/>
  <c r="O680"/>
  <c r="O681"/>
  <c r="O682"/>
  <c r="O683"/>
  <c r="O684"/>
  <c r="O685"/>
  <c r="O686"/>
  <c r="O687"/>
  <c r="O688"/>
  <c r="O689"/>
  <c r="O690"/>
  <c r="O692"/>
  <c r="O693"/>
  <c r="O528"/>
  <c r="O494"/>
  <c r="O495"/>
  <c r="O496"/>
  <c r="O497"/>
  <c r="O498"/>
  <c r="O499"/>
  <c r="O500"/>
  <c r="O501"/>
  <c r="O502"/>
  <c r="O503"/>
  <c r="O504"/>
  <c r="O505"/>
  <c r="O506"/>
  <c r="O507"/>
  <c r="O508"/>
  <c r="O510"/>
  <c r="O511"/>
  <c r="O512"/>
  <c r="O513"/>
  <c r="O514"/>
  <c r="O515"/>
  <c r="O516"/>
  <c r="O517"/>
  <c r="O518"/>
  <c r="O519"/>
  <c r="O520"/>
  <c r="O521"/>
  <c r="O522"/>
  <c r="O523"/>
  <c r="O524"/>
  <c r="O525"/>
  <c r="O493"/>
  <c r="O480"/>
  <c r="O481"/>
  <c r="O482"/>
  <c r="O483"/>
  <c r="O484"/>
  <c r="O485"/>
  <c r="O486"/>
  <c r="O487"/>
  <c r="O488"/>
  <c r="O489"/>
  <c r="O490"/>
  <c r="O479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6"/>
  <c r="O424"/>
  <c r="O425"/>
  <c r="O426"/>
  <c r="O427"/>
  <c r="O428"/>
  <c r="O423"/>
  <c r="O417"/>
  <c r="O418"/>
  <c r="O419"/>
  <c r="O420"/>
  <c r="O416"/>
  <c r="O289"/>
  <c r="O290"/>
  <c r="O291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20"/>
  <c r="O321"/>
  <c r="O322"/>
  <c r="O323"/>
  <c r="O324"/>
  <c r="O325"/>
  <c r="O326"/>
  <c r="O327"/>
  <c r="O328"/>
  <c r="O329"/>
  <c r="O330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2"/>
  <c r="O353"/>
  <c r="O354"/>
  <c r="O355"/>
  <c r="O356"/>
  <c r="O358"/>
  <c r="O359"/>
  <c r="O360"/>
  <c r="O362"/>
  <c r="O363"/>
  <c r="O364"/>
  <c r="O365"/>
  <c r="O366"/>
  <c r="O368"/>
  <c r="O370"/>
  <c r="O371"/>
  <c r="O372"/>
  <c r="O373"/>
  <c r="O374"/>
  <c r="O375"/>
  <c r="O376"/>
  <c r="O377"/>
  <c r="O379"/>
  <c r="O380"/>
  <c r="O381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288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5"/>
  <c r="O276"/>
  <c r="O277"/>
  <c r="O279"/>
  <c r="O280"/>
  <c r="O281"/>
  <c r="O283"/>
  <c r="O284"/>
  <c r="O285"/>
  <c r="O243"/>
  <c r="O225"/>
  <c r="O226"/>
  <c r="O227"/>
  <c r="O228"/>
  <c r="O229"/>
  <c r="O230"/>
  <c r="O231"/>
  <c r="O232"/>
  <c r="O233"/>
  <c r="O234"/>
  <c r="O235"/>
  <c r="O236"/>
  <c r="O237"/>
  <c r="O238"/>
  <c r="O239"/>
  <c r="O240"/>
  <c r="O224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128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70"/>
  <c r="O44"/>
  <c r="O45"/>
  <c r="O46"/>
  <c r="O47"/>
  <c r="O48"/>
  <c r="O49"/>
  <c r="O50"/>
  <c r="O51"/>
  <c r="O52"/>
  <c r="O53"/>
  <c r="O54"/>
  <c r="O55"/>
  <c r="O56"/>
  <c r="O57"/>
  <c r="O59"/>
  <c r="O60"/>
  <c r="O61"/>
  <c r="O62"/>
  <c r="O63"/>
  <c r="O64"/>
  <c r="O65"/>
  <c r="O66"/>
  <c r="O67"/>
  <c r="O14"/>
  <c r="O15"/>
  <c r="O16"/>
  <c r="O17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13"/>
  <c r="O5"/>
  <c r="O6"/>
  <c r="O7"/>
  <c r="O8"/>
  <c r="O9"/>
  <c r="O10"/>
  <c r="O4"/>
  <c r="O147" i="74"/>
  <c r="O148"/>
  <c r="O149"/>
  <c r="O150"/>
  <c r="O151"/>
  <c r="O152"/>
  <c r="O153"/>
  <c r="O154"/>
  <c r="O155"/>
  <c r="O156"/>
  <c r="O157"/>
  <c r="O158"/>
  <c r="O159"/>
  <c r="O146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18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80"/>
  <c r="O40"/>
  <c r="O76"/>
  <c r="O41"/>
  <c r="O42"/>
  <c r="O43"/>
  <c r="O44"/>
  <c r="O45"/>
  <c r="O46"/>
  <c r="O47"/>
  <c r="O48"/>
  <c r="O49"/>
  <c r="O39"/>
  <c r="O78"/>
  <c r="O79"/>
  <c r="O77"/>
  <c r="O116" i="114"/>
  <c r="O11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85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39"/>
  <c r="O37"/>
  <c r="O36"/>
  <c r="O35"/>
  <c r="AG602" i="57" l="1"/>
  <c r="AJ602"/>
  <c r="V602"/>
  <c r="AI602" l="1"/>
  <c r="X602"/>
  <c r="Y602" s="1"/>
  <c r="T602"/>
  <c r="N602"/>
  <c r="AG79" i="74"/>
  <c r="X79" l="1"/>
  <c r="Y79" s="1"/>
  <c r="T79"/>
  <c r="N79"/>
  <c r="AG77"/>
  <c r="X77" l="1"/>
  <c r="Y77" s="1"/>
  <c r="T77"/>
  <c r="N77"/>
  <c r="AG1075" i="57"/>
  <c r="V1075"/>
  <c r="AJ1075"/>
  <c r="AI1075" l="1"/>
  <c r="X1075"/>
  <c r="Y1075" s="1"/>
  <c r="T1075"/>
  <c r="N1075"/>
  <c r="AG1712"/>
  <c r="AJ1712"/>
  <c r="V1712"/>
  <c r="AI1712" l="1"/>
  <c r="X1712"/>
  <c r="Y1712" s="1"/>
  <c r="T1712"/>
  <c r="N1712"/>
  <c r="AG243"/>
  <c r="V243"/>
  <c r="AJ243"/>
  <c r="AI243" l="1"/>
  <c r="X243"/>
  <c r="Y243" s="1"/>
  <c r="T243"/>
  <c r="N243"/>
  <c r="AG35" i="114"/>
  <c r="X35" l="1"/>
  <c r="Y35" s="1"/>
  <c r="T35"/>
  <c r="N35"/>
  <c r="AG36"/>
  <c r="X36" l="1"/>
  <c r="Y36" s="1"/>
  <c r="T36"/>
  <c r="N36"/>
  <c r="N1803" i="57" l="1"/>
  <c r="AG81" i="74"/>
  <c r="X81" l="1"/>
  <c r="Y81" s="1"/>
  <c r="T81"/>
  <c r="N81"/>
  <c r="AG78"/>
  <c r="X78" l="1"/>
  <c r="Y78" s="1"/>
  <c r="T78"/>
  <c r="N78"/>
  <c r="AG272" i="57"/>
  <c r="AJ272"/>
  <c r="V272"/>
  <c r="AI272" l="1"/>
  <c r="X272"/>
  <c r="Y272" s="1"/>
  <c r="T272"/>
  <c r="N272"/>
  <c r="AG37" i="114" l="1"/>
  <c r="X37" l="1"/>
  <c r="Y37" s="1"/>
  <c r="T37"/>
  <c r="N37"/>
  <c r="AG207" i="57"/>
  <c r="V207"/>
  <c r="AJ207"/>
  <c r="AI207" l="1"/>
  <c r="X207"/>
  <c r="Y207" s="1"/>
  <c r="T207"/>
  <c r="N207"/>
  <c r="N600"/>
  <c r="AG57" i="28"/>
  <c r="AM57"/>
  <c r="V57"/>
  <c r="AL57" l="1"/>
  <c r="X57"/>
  <c r="Y57" s="1"/>
  <c r="T57"/>
  <c r="N57"/>
  <c r="AG590" i="57"/>
  <c r="AJ590"/>
  <c r="V590"/>
  <c r="AI590" l="1"/>
  <c r="X590"/>
  <c r="Y590" s="1"/>
  <c r="T590"/>
  <c r="N590"/>
  <c r="AG39" i="74"/>
  <c r="V39"/>
  <c r="X39" l="1"/>
  <c r="Y39" s="1"/>
  <c r="T39"/>
  <c r="N39"/>
  <c r="AG80"/>
  <c r="X80" l="1"/>
  <c r="Y80" s="1"/>
  <c r="T80"/>
  <c r="N80"/>
  <c r="AG83"/>
  <c r="X83" l="1"/>
  <c r="Y83" s="1"/>
  <c r="T83"/>
  <c r="N83"/>
  <c r="AG1113" i="57" l="1"/>
  <c r="V1113"/>
  <c r="AJ1113"/>
  <c r="AI1113" l="1"/>
  <c r="X1113"/>
  <c r="Y1113" s="1"/>
  <c r="T1113"/>
  <c r="N1113"/>
  <c r="AG1756"/>
  <c r="AJ1756"/>
  <c r="V1756"/>
  <c r="AI1756" l="1"/>
  <c r="X1756"/>
  <c r="Y1756" s="1"/>
  <c r="T1756"/>
  <c r="N1756"/>
  <c r="AG652" l="1"/>
  <c r="V652"/>
  <c r="AJ652"/>
  <c r="AI652" l="1"/>
  <c r="X652"/>
  <c r="Y652" s="1"/>
  <c r="T652"/>
  <c r="N652"/>
  <c r="AG563"/>
  <c r="AJ563"/>
  <c r="V563"/>
  <c r="AI563" l="1"/>
  <c r="X563"/>
  <c r="Y563" s="1"/>
  <c r="T563"/>
  <c r="N563"/>
  <c r="AG643"/>
  <c r="V643"/>
  <c r="AJ643"/>
  <c r="AI643" l="1"/>
  <c r="X643"/>
  <c r="Y643" s="1"/>
  <c r="T643"/>
  <c r="N643"/>
  <c r="AG42" i="114"/>
  <c r="X42" l="1"/>
  <c r="Y42" s="1"/>
  <c r="T42"/>
  <c r="N42"/>
  <c r="AG39" l="1"/>
  <c r="X39" l="1"/>
  <c r="Y39" s="1"/>
  <c r="T39"/>
  <c r="N39"/>
  <c r="AG43"/>
  <c r="X43" l="1"/>
  <c r="Y43" s="1"/>
  <c r="T43"/>
  <c r="N43"/>
  <c r="AG551" i="57" l="1"/>
  <c r="AJ551"/>
  <c r="V551"/>
  <c r="AI551" l="1"/>
  <c r="X551"/>
  <c r="Y551" s="1"/>
  <c r="T551"/>
  <c r="N551"/>
  <c r="AG561" l="1"/>
  <c r="V561"/>
  <c r="AJ561"/>
  <c r="AI561" l="1"/>
  <c r="X561"/>
  <c r="Y561" s="1"/>
  <c r="T561"/>
  <c r="N561"/>
  <c r="AG86" i="74"/>
  <c r="X86" l="1"/>
  <c r="Y86" s="1"/>
  <c r="T86"/>
  <c r="N86"/>
  <c r="AG84"/>
  <c r="X84" l="1"/>
  <c r="Y84" s="1"/>
  <c r="T84"/>
  <c r="N84"/>
  <c r="AG87"/>
  <c r="X87" l="1"/>
  <c r="Y87" s="1"/>
  <c r="T87"/>
  <c r="N87"/>
  <c r="AG1210" i="57" l="1"/>
  <c r="V1210"/>
  <c r="AJ1210"/>
  <c r="AI1210" l="1"/>
  <c r="X1210"/>
  <c r="Y1210" s="1"/>
  <c r="T1210"/>
  <c r="N1210"/>
  <c r="AG40" i="114" l="1"/>
  <c r="X40" l="1"/>
  <c r="Y40" s="1"/>
  <c r="T40"/>
  <c r="N40"/>
  <c r="AG41"/>
  <c r="X41" l="1"/>
  <c r="Y41" s="1"/>
  <c r="T41"/>
  <c r="N41"/>
  <c r="AG49"/>
  <c r="X49" l="1"/>
  <c r="Y49" s="1"/>
  <c r="T49"/>
  <c r="N49"/>
  <c r="AG44"/>
  <c r="X44" l="1"/>
  <c r="Y44" s="1"/>
  <c r="T44"/>
  <c r="N44"/>
  <c r="AG751" i="57"/>
  <c r="V751"/>
  <c r="AJ751"/>
  <c r="AI751" l="1"/>
  <c r="X751"/>
  <c r="Y751" s="1"/>
  <c r="T751"/>
  <c r="N751"/>
  <c r="AG520"/>
  <c r="V520"/>
  <c r="AJ520"/>
  <c r="AI520" l="1"/>
  <c r="X520"/>
  <c r="Y520" s="1"/>
  <c r="T520"/>
  <c r="N520"/>
  <c r="AG889"/>
  <c r="AJ889"/>
  <c r="V889"/>
  <c r="AI889" l="1"/>
  <c r="X889"/>
  <c r="Y889" s="1"/>
  <c r="T889"/>
  <c r="N889"/>
  <c r="AG391"/>
  <c r="AJ391"/>
  <c r="V391"/>
  <c r="AI391" l="1"/>
  <c r="X391"/>
  <c r="Y391" s="1"/>
  <c r="T391"/>
  <c r="N391"/>
  <c r="AG59" i="28"/>
  <c r="V59"/>
  <c r="AM59"/>
  <c r="AL59" l="1"/>
  <c r="X59"/>
  <c r="Y59" s="1"/>
  <c r="T59"/>
  <c r="N59"/>
  <c r="AG60"/>
  <c r="V60"/>
  <c r="AM60"/>
  <c r="AL60" l="1"/>
  <c r="X60"/>
  <c r="Y60" s="1"/>
  <c r="T60"/>
  <c r="N60"/>
  <c r="AG61"/>
  <c r="AM61"/>
  <c r="V61"/>
  <c r="AL61" l="1"/>
  <c r="X61"/>
  <c r="Y61" s="1"/>
  <c r="T61"/>
  <c r="N61"/>
  <c r="AG62"/>
  <c r="V62"/>
  <c r="AM62"/>
  <c r="AL62" l="1"/>
  <c r="X62"/>
  <c r="Y62" s="1"/>
  <c r="T62"/>
  <c r="N62"/>
  <c r="AG90" i="74" l="1"/>
  <c r="X90" l="1"/>
  <c r="Y90" s="1"/>
  <c r="T90"/>
  <c r="N90"/>
  <c r="N1374" i="57"/>
  <c r="N213"/>
  <c r="N1297"/>
  <c r="N928"/>
  <c r="N55" i="114"/>
  <c r="T55"/>
  <c r="X55"/>
  <c r="Y55" s="1"/>
  <c r="AG55"/>
  <c r="AG66" i="28" l="1"/>
  <c r="X66" l="1"/>
  <c r="Y66" s="1"/>
  <c r="T66"/>
  <c r="N66"/>
  <c r="AG1357" i="57"/>
  <c r="V1357"/>
  <c r="AJ1357"/>
  <c r="T1357" l="1"/>
  <c r="AI1357"/>
  <c r="X1357"/>
  <c r="Y1357" s="1"/>
  <c r="AG1723"/>
  <c r="AJ1723"/>
  <c r="V1723"/>
  <c r="AI1723" l="1"/>
  <c r="X1723"/>
  <c r="Y1723" s="1"/>
  <c r="T1723"/>
  <c r="N1723"/>
  <c r="AG88" i="74"/>
  <c r="X88" l="1"/>
  <c r="Y88" s="1"/>
  <c r="T88"/>
  <c r="N88"/>
  <c r="AG89"/>
  <c r="X89" l="1"/>
  <c r="Y89" s="1"/>
  <c r="T89"/>
  <c r="N89"/>
  <c r="AG40"/>
  <c r="V40"/>
  <c r="X40" l="1"/>
  <c r="Y40" s="1"/>
  <c r="T40"/>
  <c r="N40"/>
  <c r="AG656" i="57"/>
  <c r="AJ656"/>
  <c r="V656"/>
  <c r="AI656" l="1"/>
  <c r="X656"/>
  <c r="Y656" s="1"/>
  <c r="T656"/>
  <c r="N656"/>
  <c r="AG1751" l="1"/>
  <c r="V1751"/>
  <c r="AJ1751"/>
  <c r="AI1751" l="1"/>
  <c r="X1751"/>
  <c r="Y1751" s="1"/>
  <c r="T1751"/>
  <c r="N1751"/>
  <c r="AG218"/>
  <c r="AJ218"/>
  <c r="V218"/>
  <c r="AI218" l="1"/>
  <c r="X218"/>
  <c r="Y218" s="1"/>
  <c r="T218"/>
  <c r="N218"/>
  <c r="AG57" i="114" l="1"/>
  <c r="X57" l="1"/>
  <c r="Y57" s="1"/>
  <c r="T57"/>
  <c r="N57"/>
  <c r="AG50"/>
  <c r="X50" l="1"/>
  <c r="Y50" s="1"/>
  <c r="T50"/>
  <c r="N50"/>
  <c r="AG56"/>
  <c r="X56" l="1"/>
  <c r="Y56" s="1"/>
  <c r="T56"/>
  <c r="N56"/>
  <c r="AG599" i="57" l="1"/>
  <c r="V599"/>
  <c r="AJ599"/>
  <c r="AI599" l="1"/>
  <c r="X599"/>
  <c r="Y599" s="1"/>
  <c r="T599"/>
  <c r="N599"/>
  <c r="AG91" i="74" l="1"/>
  <c r="X91" l="1"/>
  <c r="Y91" s="1"/>
  <c r="T91"/>
  <c r="N91"/>
  <c r="AG93"/>
  <c r="X93" l="1"/>
  <c r="Y93" s="1"/>
  <c r="T93"/>
  <c r="N93"/>
  <c r="AG85"/>
  <c r="X85" l="1"/>
  <c r="Y85" s="1"/>
  <c r="T85"/>
  <c r="N85"/>
  <c r="AG76"/>
  <c r="X76" l="1"/>
  <c r="Y76" s="1"/>
  <c r="T76"/>
  <c r="N76"/>
  <c r="AG97"/>
  <c r="X97" l="1"/>
  <c r="Y97" s="1"/>
  <c r="T97"/>
  <c r="N97"/>
  <c r="AG95"/>
  <c r="X95" l="1"/>
  <c r="Y95" s="1"/>
  <c r="T95"/>
  <c r="N95"/>
  <c r="AG92"/>
  <c r="X92" l="1"/>
  <c r="Y92" s="1"/>
  <c r="T92"/>
  <c r="N92"/>
  <c r="AG1172" i="57"/>
  <c r="V1172"/>
  <c r="AJ1172"/>
  <c r="AI1172" l="1"/>
  <c r="X1172"/>
  <c r="Y1172" s="1"/>
  <c r="T1172"/>
  <c r="N1172"/>
  <c r="AG628" l="1"/>
  <c r="V628"/>
  <c r="AJ628"/>
  <c r="AI628" l="1"/>
  <c r="X628"/>
  <c r="Y628" s="1"/>
  <c r="T628"/>
  <c r="N628"/>
  <c r="AG1742"/>
  <c r="AJ1742"/>
  <c r="V1742"/>
  <c r="AI1742" l="1"/>
  <c r="X1742"/>
  <c r="Y1742" s="1"/>
  <c r="T1742"/>
  <c r="N1742"/>
  <c r="AG59" i="114" l="1"/>
  <c r="X59" l="1"/>
  <c r="Y59" s="1"/>
  <c r="T59"/>
  <c r="N59"/>
  <c r="AG53"/>
  <c r="X53" l="1"/>
  <c r="Y53" s="1"/>
  <c r="T53"/>
  <c r="N53"/>
  <c r="AG48"/>
  <c r="X48" l="1"/>
  <c r="Y48" s="1"/>
  <c r="T48"/>
  <c r="N48"/>
  <c r="AG47" l="1"/>
  <c r="X47" l="1"/>
  <c r="Y47" s="1"/>
  <c r="T47"/>
  <c r="N47"/>
  <c r="AG52"/>
  <c r="X52" l="1"/>
  <c r="Y52" s="1"/>
  <c r="T52"/>
  <c r="N52"/>
  <c r="AG54"/>
  <c r="X54" l="1"/>
  <c r="Y54" s="1"/>
  <c r="T54"/>
  <c r="N54"/>
  <c r="AG51" l="1"/>
  <c r="X51" l="1"/>
  <c r="Y51" s="1"/>
  <c r="T51"/>
  <c r="N51"/>
  <c r="AG794" i="57"/>
  <c r="AJ794"/>
  <c r="V794"/>
  <c r="AI794" l="1"/>
  <c r="X794"/>
  <c r="Y794" s="1"/>
  <c r="T794"/>
  <c r="N794"/>
  <c r="AG82" i="74"/>
  <c r="X82" l="1"/>
  <c r="Y82" s="1"/>
  <c r="T82"/>
  <c r="N82"/>
  <c r="AG61" i="114" l="1"/>
  <c r="X61" l="1"/>
  <c r="Y61" s="1"/>
  <c r="T61"/>
  <c r="N61"/>
  <c r="AG357" i="57" l="1"/>
  <c r="AJ357"/>
  <c r="V357"/>
  <c r="T357" l="1"/>
  <c r="AI357"/>
  <c r="X357"/>
  <c r="Y357" s="1"/>
  <c r="AG67" i="28"/>
  <c r="X67" l="1"/>
  <c r="Y67" s="1"/>
  <c r="T67"/>
  <c r="N67"/>
  <c r="N1538" i="57"/>
  <c r="N1198"/>
  <c r="N812"/>
  <c r="AG1713"/>
  <c r="AJ1713"/>
  <c r="V1713"/>
  <c r="AI1713" l="1"/>
  <c r="X1713"/>
  <c r="Y1713" s="1"/>
  <c r="T1713"/>
  <c r="N1713"/>
  <c r="AG99" i="74"/>
  <c r="X99" l="1"/>
  <c r="Y99" s="1"/>
  <c r="T99"/>
  <c r="N99"/>
  <c r="AG98"/>
  <c r="X98" l="1"/>
  <c r="Y98" s="1"/>
  <c r="T98"/>
  <c r="N98"/>
  <c r="F2" i="115" l="1"/>
  <c r="F3"/>
  <c r="N672" i="57"/>
  <c r="AG100" i="74"/>
  <c r="X100" l="1"/>
  <c r="Y100" s="1"/>
  <c r="T100"/>
  <c r="N100"/>
  <c r="AG62" i="114"/>
  <c r="N62"/>
  <c r="AG45"/>
  <c r="N45"/>
  <c r="AG65"/>
  <c r="N65"/>
  <c r="AG60"/>
  <c r="N60"/>
  <c r="N330" i="28"/>
  <c r="N329"/>
  <c r="N328"/>
  <c r="N327"/>
  <c r="N326"/>
  <c r="N325"/>
  <c r="N324"/>
  <c r="N323"/>
  <c r="N322"/>
  <c r="N321"/>
  <c r="N320"/>
  <c r="N319"/>
  <c r="N318"/>
  <c r="N317"/>
  <c r="N316"/>
  <c r="N315"/>
  <c r="N314"/>
  <c r="N313"/>
  <c r="N312"/>
  <c r="N311"/>
  <c r="N310"/>
  <c r="N309"/>
  <c r="N308"/>
  <c r="N307"/>
  <c r="N306"/>
  <c r="N305"/>
  <c r="N304"/>
  <c r="N303"/>
  <c r="N302"/>
  <c r="N301"/>
  <c r="N300"/>
  <c r="N299"/>
  <c r="N298"/>
  <c r="N297"/>
  <c r="N296"/>
  <c r="N295"/>
  <c r="N294"/>
  <c r="N293"/>
  <c r="N292"/>
  <c r="N291"/>
  <c r="N290"/>
  <c r="N289"/>
  <c r="N288"/>
  <c r="N287"/>
  <c r="N286"/>
  <c r="N285"/>
  <c r="N284"/>
  <c r="N283"/>
  <c r="N282"/>
  <c r="N281"/>
  <c r="N280"/>
  <c r="N279"/>
  <c r="N278"/>
  <c r="N277"/>
  <c r="N276"/>
  <c r="N275"/>
  <c r="N274"/>
  <c r="N273"/>
  <c r="N272"/>
  <c r="N271"/>
  <c r="N270"/>
  <c r="N269"/>
  <c r="N268"/>
  <c r="N267"/>
  <c r="N266"/>
  <c r="N265"/>
  <c r="N264"/>
  <c r="N263"/>
  <c r="N262"/>
  <c r="N261"/>
  <c r="N260"/>
  <c r="N259"/>
  <c r="N258"/>
  <c r="N257"/>
  <c r="N256"/>
  <c r="N255"/>
  <c r="N254"/>
  <c r="N253"/>
  <c r="N252"/>
  <c r="N251"/>
  <c r="N250"/>
  <c r="N249"/>
  <c r="N248"/>
  <c r="N247"/>
  <c r="N246"/>
  <c r="N245"/>
  <c r="N244"/>
  <c r="N243"/>
  <c r="N242"/>
  <c r="N241"/>
  <c r="N240"/>
  <c r="N239"/>
  <c r="N238"/>
  <c r="N237"/>
  <c r="N236"/>
  <c r="N235"/>
  <c r="N234"/>
  <c r="N233"/>
  <c r="N232"/>
  <c r="N231"/>
  <c r="N230"/>
  <c r="N229"/>
  <c r="N228"/>
  <c r="N227"/>
  <c r="N226"/>
  <c r="N225"/>
  <c r="N224"/>
  <c r="N223"/>
  <c r="N222"/>
  <c r="N221"/>
  <c r="N220"/>
  <c r="N219"/>
  <c r="N218"/>
  <c r="N217"/>
  <c r="N216"/>
  <c r="N215"/>
  <c r="N214"/>
  <c r="N213"/>
  <c r="N212"/>
  <c r="N211"/>
  <c r="N210"/>
  <c r="N209"/>
  <c r="N208"/>
  <c r="N207"/>
  <c r="N206"/>
  <c r="N204"/>
  <c r="N203"/>
  <c r="N202"/>
  <c r="N201"/>
  <c r="N200"/>
  <c r="N199"/>
  <c r="N198"/>
  <c r="N197"/>
  <c r="N196"/>
  <c r="N195"/>
  <c r="N194"/>
  <c r="N193"/>
  <c r="N192"/>
  <c r="N191"/>
  <c r="N190"/>
  <c r="N189"/>
  <c r="N188"/>
  <c r="N187"/>
  <c r="N186"/>
  <c r="N185"/>
  <c r="N184"/>
  <c r="N183"/>
  <c r="N182"/>
  <c r="N181"/>
  <c r="N180"/>
  <c r="N179"/>
  <c r="N178"/>
  <c r="N177"/>
  <c r="N176"/>
  <c r="N175"/>
  <c r="N174"/>
  <c r="N173"/>
  <c r="N172"/>
  <c r="N171"/>
  <c r="N170"/>
  <c r="N169"/>
  <c r="N168"/>
  <c r="N167"/>
  <c r="N166"/>
  <c r="N165"/>
  <c r="N164"/>
  <c r="N163"/>
  <c r="N162"/>
  <c r="N161"/>
  <c r="N160"/>
  <c r="N159"/>
  <c r="N158"/>
  <c r="N157"/>
  <c r="N156"/>
  <c r="N155"/>
  <c r="N154"/>
  <c r="N153"/>
  <c r="N152"/>
  <c r="N151"/>
  <c r="N150"/>
  <c r="N149"/>
  <c r="N148"/>
  <c r="N147"/>
  <c r="N146"/>
  <c r="N145"/>
  <c r="N144"/>
  <c r="N143"/>
  <c r="N142"/>
  <c r="N141"/>
  <c r="N140"/>
  <c r="N139"/>
  <c r="N138"/>
  <c r="N137"/>
  <c r="N136"/>
  <c r="N135"/>
  <c r="N134"/>
  <c r="N133"/>
  <c r="N132"/>
  <c r="N131"/>
  <c r="N130"/>
  <c r="N129"/>
  <c r="N128"/>
  <c r="N127"/>
  <c r="N126"/>
  <c r="N125"/>
  <c r="N124"/>
  <c r="N123"/>
  <c r="N122"/>
  <c r="N121"/>
  <c r="N120"/>
  <c r="N119"/>
  <c r="N118"/>
  <c r="N117"/>
  <c r="N116"/>
  <c r="N115"/>
  <c r="N114"/>
  <c r="N113"/>
  <c r="N112"/>
  <c r="N111"/>
  <c r="N110"/>
  <c r="N109"/>
  <c r="N108"/>
  <c r="N107"/>
  <c r="N106"/>
  <c r="N105"/>
  <c r="N104"/>
  <c r="N103"/>
  <c r="N102"/>
  <c r="N101"/>
  <c r="N100"/>
  <c r="N99"/>
  <c r="N98"/>
  <c r="N97"/>
  <c r="N96"/>
  <c r="N95"/>
  <c r="N94"/>
  <c r="N93"/>
  <c r="N92"/>
  <c r="N91"/>
  <c r="N90"/>
  <c r="N89"/>
  <c r="N88"/>
  <c r="N87"/>
  <c r="N86"/>
  <c r="N85"/>
  <c r="N84"/>
  <c r="N83"/>
  <c r="N82"/>
  <c r="N81"/>
  <c r="N80"/>
  <c r="N79"/>
  <c r="N78"/>
  <c r="N77"/>
  <c r="N76"/>
  <c r="N75"/>
  <c r="N74"/>
  <c r="N73"/>
  <c r="N72"/>
  <c r="N71"/>
  <c r="N70"/>
  <c r="N69"/>
  <c r="N68"/>
  <c r="T62" i="114" l="1"/>
  <c r="X62"/>
  <c r="Y62" s="1"/>
  <c r="X60"/>
  <c r="Y60" s="1"/>
  <c r="T60"/>
  <c r="T45"/>
  <c r="X45"/>
  <c r="Y45" s="1"/>
  <c r="X65"/>
  <c r="Y65" s="1"/>
  <c r="T65"/>
  <c r="O70" i="28" l="1"/>
  <c r="AG1519" i="57" l="1"/>
  <c r="V1519"/>
  <c r="AJ1519"/>
  <c r="AI1519" l="1"/>
  <c r="X1519"/>
  <c r="Y1519" s="1"/>
  <c r="T1519"/>
  <c r="N1519"/>
  <c r="AG41" i="74"/>
  <c r="V41"/>
  <c r="X41" l="1"/>
  <c r="Y41" s="1"/>
  <c r="T41"/>
  <c r="N41"/>
  <c r="AG94"/>
  <c r="X94" l="1"/>
  <c r="Y94" s="1"/>
  <c r="T94"/>
  <c r="N94"/>
  <c r="AG1216" i="57"/>
  <c r="AJ1216"/>
  <c r="V1216"/>
  <c r="AI1216" l="1"/>
  <c r="X1216"/>
  <c r="Y1216" s="1"/>
  <c r="T1216"/>
  <c r="N1216"/>
  <c r="AG66" i="114" l="1"/>
  <c r="X66" l="1"/>
  <c r="Y66" s="1"/>
  <c r="T66"/>
  <c r="N66"/>
  <c r="AG68"/>
  <c r="X68" l="1"/>
  <c r="Y68" s="1"/>
  <c r="T68"/>
  <c r="N68"/>
  <c r="AG1602" i="57"/>
  <c r="AJ1602"/>
  <c r="V1602"/>
  <c r="T1602" l="1"/>
  <c r="AI1602"/>
  <c r="X1602"/>
  <c r="Y1602" s="1"/>
  <c r="AG740"/>
  <c r="AJ740"/>
  <c r="V740"/>
  <c r="T740" l="1"/>
  <c r="AI740"/>
  <c r="X740"/>
  <c r="Y740" s="1"/>
  <c r="AG69" i="28"/>
  <c r="X69" l="1"/>
  <c r="Y69" s="1"/>
  <c r="T69"/>
  <c r="AG68"/>
  <c r="X68" l="1"/>
  <c r="Y68" s="1"/>
  <c r="T68"/>
  <c r="AG69" i="114" l="1"/>
  <c r="X69" l="1"/>
  <c r="Y69" s="1"/>
  <c r="T69"/>
  <c r="N69"/>
  <c r="AG71" l="1"/>
  <c r="X71" l="1"/>
  <c r="Y71" s="1"/>
  <c r="T71"/>
  <c r="N71"/>
  <c r="AG1527" i="57" l="1"/>
  <c r="AJ1527"/>
  <c r="V1527"/>
  <c r="AI1527" l="1"/>
  <c r="X1527"/>
  <c r="Y1527" s="1"/>
  <c r="T1527"/>
  <c r="N1527"/>
  <c r="AG103" i="74" l="1"/>
  <c r="X103" l="1"/>
  <c r="Y103" s="1"/>
  <c r="T103"/>
  <c r="N103"/>
  <c r="AG104" l="1"/>
  <c r="X104" l="1"/>
  <c r="Y104" s="1"/>
  <c r="T104"/>
  <c r="N104"/>
  <c r="AG196" i="57"/>
  <c r="V196"/>
  <c r="AJ196"/>
  <c r="T196" l="1"/>
  <c r="AI196"/>
  <c r="X196"/>
  <c r="Y196" s="1"/>
  <c r="AG70" i="28"/>
  <c r="X70" l="1"/>
  <c r="Y70" s="1"/>
  <c r="T70"/>
  <c r="AG1548" i="57"/>
  <c r="V1548"/>
  <c r="AJ1548"/>
  <c r="AI1548" l="1"/>
  <c r="X1548"/>
  <c r="Y1548" s="1"/>
  <c r="T1548"/>
  <c r="N1548"/>
  <c r="AG106" i="74" l="1"/>
  <c r="X106" l="1"/>
  <c r="Y106" s="1"/>
  <c r="T106"/>
  <c r="N106"/>
  <c r="AG105"/>
  <c r="X105" l="1"/>
  <c r="Y105" s="1"/>
  <c r="T105"/>
  <c r="N105"/>
  <c r="AG658" i="57"/>
  <c r="AJ658"/>
  <c r="V658"/>
  <c r="AI658" l="1"/>
  <c r="X658"/>
  <c r="Y658" s="1"/>
  <c r="T658"/>
  <c r="N658"/>
  <c r="AG42" i="74"/>
  <c r="V42"/>
  <c r="X42" l="1"/>
  <c r="Y42" s="1"/>
  <c r="T42"/>
  <c r="N42"/>
  <c r="AG43"/>
  <c r="V43"/>
  <c r="X43" l="1"/>
  <c r="Y43" s="1"/>
  <c r="T43"/>
  <c r="N43"/>
  <c r="AG70" i="114" l="1"/>
  <c r="X70" l="1"/>
  <c r="Y70" s="1"/>
  <c r="T70"/>
  <c r="N70"/>
  <c r="AG63" l="1"/>
  <c r="X63" l="1"/>
  <c r="Y63" s="1"/>
  <c r="T63"/>
  <c r="N63"/>
  <c r="AG213" i="57"/>
  <c r="AJ213"/>
  <c r="V213"/>
  <c r="T213" l="1"/>
  <c r="AI213"/>
  <c r="X213"/>
  <c r="Y213" s="1"/>
  <c r="AG1374"/>
  <c r="AJ1374"/>
  <c r="V1374"/>
  <c r="T1374" l="1"/>
  <c r="AI1374"/>
  <c r="X1374"/>
  <c r="Y1374" s="1"/>
  <c r="AG600"/>
  <c r="V600"/>
  <c r="AJ600"/>
  <c r="T600" l="1"/>
  <c r="AI600"/>
  <c r="X600"/>
  <c r="Y600" s="1"/>
  <c r="AG1803"/>
  <c r="AJ1803"/>
  <c r="V1803"/>
  <c r="T1803" l="1"/>
  <c r="AI1803"/>
  <c r="X1803"/>
  <c r="Y1803" s="1"/>
  <c r="AG71" i="28"/>
  <c r="X71" l="1"/>
  <c r="Y71" s="1"/>
  <c r="T71"/>
  <c r="AG72"/>
  <c r="X72" l="1"/>
  <c r="Y72" s="1"/>
  <c r="T72"/>
  <c r="AG73"/>
  <c r="X73" l="1"/>
  <c r="Y73" s="1"/>
  <c r="T73"/>
  <c r="AG74"/>
  <c r="X74" l="1"/>
  <c r="Y74" s="1"/>
  <c r="T74"/>
  <c r="AJ398" i="57"/>
  <c r="AI398" l="1"/>
  <c r="N398"/>
  <c r="AG48" i="74"/>
  <c r="AG650" i="57"/>
  <c r="AJ650"/>
  <c r="V650"/>
  <c r="AI650" l="1"/>
  <c r="X650"/>
  <c r="Y650" s="1"/>
  <c r="T650"/>
  <c r="N650"/>
  <c r="AG536" l="1"/>
  <c r="AJ536"/>
  <c r="V536"/>
  <c r="AI536" l="1"/>
  <c r="X536"/>
  <c r="Y536" s="1"/>
  <c r="T536"/>
  <c r="N536"/>
  <c r="AG96" i="74"/>
  <c r="X96" l="1"/>
  <c r="Y96" s="1"/>
  <c r="T96"/>
  <c r="N96"/>
  <c r="AG44"/>
  <c r="V44"/>
  <c r="X44" l="1"/>
  <c r="Y44" s="1"/>
  <c r="T44"/>
  <c r="N44"/>
  <c r="AG101"/>
  <c r="X101" l="1"/>
  <c r="Y101" s="1"/>
  <c r="T101"/>
  <c r="N101"/>
  <c r="AG67" i="114" l="1"/>
  <c r="X67" l="1"/>
  <c r="Y67" s="1"/>
  <c r="T67"/>
  <c r="N67"/>
  <c r="AG64"/>
  <c r="X64" l="1"/>
  <c r="Y64" s="1"/>
  <c r="T64"/>
  <c r="N64"/>
  <c r="AG45" i="74"/>
  <c r="V45"/>
  <c r="X45" l="1"/>
  <c r="Y45" s="1"/>
  <c r="T45"/>
  <c r="N45"/>
  <c r="AG107"/>
  <c r="X107" l="1"/>
  <c r="Y107" s="1"/>
  <c r="T107"/>
  <c r="N107"/>
  <c r="AG570" i="57" l="1"/>
  <c r="V570"/>
  <c r="AJ570"/>
  <c r="AI570" l="1"/>
  <c r="X570"/>
  <c r="Y570" s="1"/>
  <c r="T570"/>
  <c r="N570"/>
  <c r="AG72" i="114" l="1"/>
  <c r="X72" l="1"/>
  <c r="Y72" s="1"/>
  <c r="T72"/>
  <c r="N72"/>
  <c r="AG1394" i="57" l="1"/>
  <c r="AJ1394"/>
  <c r="V1394"/>
  <c r="AI1394" l="1"/>
  <c r="X1394"/>
  <c r="Y1394" s="1"/>
  <c r="T1394"/>
  <c r="N1394"/>
  <c r="AG1279"/>
  <c r="AJ1279"/>
  <c r="V1279"/>
  <c r="AI1279" l="1"/>
  <c r="X1279"/>
  <c r="Y1279" s="1"/>
  <c r="T1279"/>
  <c r="N1279"/>
  <c r="AG110" i="74"/>
  <c r="X110" l="1"/>
  <c r="Y110" s="1"/>
  <c r="T110"/>
  <c r="N110"/>
  <c r="AG73" i="114" l="1"/>
  <c r="X73" l="1"/>
  <c r="Y73" s="1"/>
  <c r="T73"/>
  <c r="N73"/>
  <c r="K12" i="21"/>
  <c r="M12"/>
  <c r="AG144" i="22"/>
  <c r="N12" i="21" l="1"/>
  <c r="L12"/>
  <c r="X116" i="74"/>
  <c r="Y116" s="1"/>
  <c r="AD116"/>
  <c r="X144" i="22"/>
  <c r="Y144" s="1"/>
  <c r="V145"/>
  <c r="N144"/>
  <c r="AE116" i="74" l="1"/>
  <c r="X145" i="22"/>
  <c r="AD145"/>
  <c r="F4" i="115"/>
  <c r="F5"/>
  <c r="Y145" i="22" l="1"/>
  <c r="AE145"/>
  <c r="AG1106" i="57" l="1"/>
  <c r="AJ1106"/>
  <c r="V1106"/>
  <c r="AI1106" l="1"/>
  <c r="X1106"/>
  <c r="Y1106" s="1"/>
  <c r="T1106"/>
  <c r="N1106"/>
  <c r="AG112" i="74" l="1"/>
  <c r="X112" l="1"/>
  <c r="Y112" s="1"/>
  <c r="T112"/>
  <c r="N112"/>
  <c r="AG111"/>
  <c r="X111" l="1"/>
  <c r="Y111" s="1"/>
  <c r="T111"/>
  <c r="N111"/>
  <c r="AG513" i="57" l="1"/>
  <c r="AJ513"/>
  <c r="V513"/>
  <c r="AI513" l="1"/>
  <c r="X513"/>
  <c r="Y513" s="1"/>
  <c r="T513"/>
  <c r="N513"/>
  <c r="V160" i="74" l="1"/>
  <c r="W144"/>
  <c r="V144"/>
  <c r="AG118" l="1"/>
  <c r="X118" l="1"/>
  <c r="Y118" s="1"/>
  <c r="T118"/>
  <c r="N118"/>
  <c r="J15" i="21" l="1"/>
  <c r="I15"/>
  <c r="V149" i="22"/>
  <c r="AG148"/>
  <c r="X148"/>
  <c r="Y148" s="1"/>
  <c r="N148"/>
  <c r="X149" l="1"/>
  <c r="Y149" s="1"/>
  <c r="AD149"/>
  <c r="AE149" l="1"/>
  <c r="AG119" i="74" l="1"/>
  <c r="X119" l="1"/>
  <c r="Y119" s="1"/>
  <c r="T119"/>
  <c r="N119"/>
  <c r="AG114"/>
  <c r="X114" l="1"/>
  <c r="Y114" s="1"/>
  <c r="T114"/>
  <c r="N114"/>
  <c r="AG1222" i="57" l="1"/>
  <c r="V1222"/>
  <c r="AJ1222"/>
  <c r="AI1222" l="1"/>
  <c r="X1222"/>
  <c r="Y1222" s="1"/>
  <c r="T1222"/>
  <c r="N1222"/>
  <c r="AG80" i="114" l="1"/>
  <c r="X80" l="1"/>
  <c r="Y80" s="1"/>
  <c r="T80"/>
  <c r="N80"/>
  <c r="AG85"/>
  <c r="X85" l="1"/>
  <c r="Y85" s="1"/>
  <c r="T85"/>
  <c r="N85"/>
  <c r="AG86"/>
  <c r="X86" l="1"/>
  <c r="Y86" s="1"/>
  <c r="T86"/>
  <c r="N86"/>
  <c r="AG82"/>
  <c r="X82" l="1"/>
  <c r="Y82" s="1"/>
  <c r="T82"/>
  <c r="N82"/>
  <c r="AG1297" i="57"/>
  <c r="AJ1297"/>
  <c r="V1297"/>
  <c r="T1297" l="1"/>
  <c r="AI1297"/>
  <c r="X1297"/>
  <c r="Y1297" s="1"/>
  <c r="AG928"/>
  <c r="AJ928"/>
  <c r="V928"/>
  <c r="T928" l="1"/>
  <c r="AI928"/>
  <c r="X928"/>
  <c r="Y928" s="1"/>
  <c r="AG76" i="28"/>
  <c r="X76" l="1"/>
  <c r="Y76" s="1"/>
  <c r="T76"/>
  <c r="AG75"/>
  <c r="X75" l="1"/>
  <c r="Y75" s="1"/>
  <c r="T75"/>
  <c r="AG277" i="57" l="1"/>
  <c r="AJ277"/>
  <c r="V277"/>
  <c r="AI277" l="1"/>
  <c r="X277"/>
  <c r="Y277" s="1"/>
  <c r="T277"/>
  <c r="N277"/>
  <c r="AG120" i="74"/>
  <c r="X120" l="1"/>
  <c r="Y120" s="1"/>
  <c r="T120"/>
  <c r="N120"/>
  <c r="AG348" i="57" l="1"/>
  <c r="V348"/>
  <c r="AJ348"/>
  <c r="AI348" l="1"/>
  <c r="X348"/>
  <c r="Y348" s="1"/>
  <c r="T348"/>
  <c r="N348"/>
  <c r="AG115" i="74"/>
  <c r="X115" l="1"/>
  <c r="Y115" s="1"/>
  <c r="T115"/>
  <c r="N115"/>
  <c r="AG78" i="114" l="1"/>
  <c r="X78" l="1"/>
  <c r="Y78" s="1"/>
  <c r="T78"/>
  <c r="N78"/>
  <c r="V158" i="22"/>
  <c r="K13" i="21"/>
  <c r="L13" s="1"/>
  <c r="M13"/>
  <c r="F6" i="115"/>
  <c r="F7"/>
  <c r="F8"/>
  <c r="F9"/>
  <c r="F12"/>
  <c r="F10"/>
  <c r="N13" i="21" l="1"/>
  <c r="AG121" i="74" l="1"/>
  <c r="X121" l="1"/>
  <c r="Y121" s="1"/>
  <c r="T121"/>
  <c r="N121"/>
  <c r="AG109"/>
  <c r="X109" l="1"/>
  <c r="Y109" s="1"/>
  <c r="T109"/>
  <c r="N109"/>
  <c r="AG113"/>
  <c r="X113" l="1"/>
  <c r="Y113" s="1"/>
  <c r="T113"/>
  <c r="N113"/>
  <c r="AG46"/>
  <c r="V46"/>
  <c r="X46" l="1"/>
  <c r="Y46" s="1"/>
  <c r="T46"/>
  <c r="N46"/>
  <c r="AG1039" i="57" l="1"/>
  <c r="V1039"/>
  <c r="AJ1039"/>
  <c r="AI1039" l="1"/>
  <c r="X1039"/>
  <c r="Y1039" s="1"/>
  <c r="T1039"/>
  <c r="N1039"/>
  <c r="AG74" i="114" l="1"/>
  <c r="X74" l="1"/>
  <c r="Y74" s="1"/>
  <c r="T74"/>
  <c r="N74"/>
  <c r="W113" l="1"/>
  <c r="V113"/>
  <c r="X87"/>
  <c r="AG123" i="74" l="1"/>
  <c r="X123" l="1"/>
  <c r="Y123" s="1"/>
  <c r="T123"/>
  <c r="N123"/>
  <c r="AG87" i="114"/>
  <c r="Y87" l="1"/>
  <c r="T87"/>
  <c r="N87"/>
  <c r="V48" i="74"/>
  <c r="V35" i="57"/>
  <c r="AG122" i="74" l="1"/>
  <c r="X122" l="1"/>
  <c r="Y122" s="1"/>
  <c r="T122"/>
  <c r="N122"/>
  <c r="AG124"/>
  <c r="X124" l="1"/>
  <c r="Y124" s="1"/>
  <c r="T124"/>
  <c r="N124"/>
  <c r="AG580" i="57" l="1"/>
  <c r="AJ580"/>
  <c r="V580"/>
  <c r="AI580" l="1"/>
  <c r="X580"/>
  <c r="Y580" s="1"/>
  <c r="T580"/>
  <c r="N580"/>
  <c r="AG88" i="114"/>
  <c r="X88" l="1"/>
  <c r="Y88" s="1"/>
  <c r="T88"/>
  <c r="N88"/>
  <c r="AG76"/>
  <c r="X76" l="1"/>
  <c r="Y76" s="1"/>
  <c r="T76"/>
  <c r="N76"/>
  <c r="AG1538" i="57" l="1"/>
  <c r="AJ1538"/>
  <c r="V1538"/>
  <c r="T1538" l="1"/>
  <c r="AI1538"/>
  <c r="X1538"/>
  <c r="Y1538" s="1"/>
  <c r="AG1198"/>
  <c r="AJ1198"/>
  <c r="V1198"/>
  <c r="T1198" l="1"/>
  <c r="AI1198"/>
  <c r="X1198"/>
  <c r="Y1198" s="1"/>
  <c r="AG672"/>
  <c r="V672"/>
  <c r="AJ672"/>
  <c r="T672" l="1"/>
  <c r="AI672"/>
  <c r="X672"/>
  <c r="Y672" s="1"/>
  <c r="AG80" i="28"/>
  <c r="X80" l="1"/>
  <c r="Y80" s="1"/>
  <c r="T80"/>
  <c r="AG78"/>
  <c r="X78" l="1"/>
  <c r="Y78" s="1"/>
  <c r="T78"/>
  <c r="AG77"/>
  <c r="X77" l="1"/>
  <c r="Y77" s="1"/>
  <c r="T77"/>
  <c r="AG127" i="74" l="1"/>
  <c r="X127" l="1"/>
  <c r="Y127" s="1"/>
  <c r="T127"/>
  <c r="N127"/>
  <c r="AG90" i="114" l="1"/>
  <c r="X90" l="1"/>
  <c r="Y90" s="1"/>
  <c r="T90"/>
  <c r="N90"/>
  <c r="AG89"/>
  <c r="X89" l="1"/>
  <c r="Y89" s="1"/>
  <c r="T89"/>
  <c r="N89"/>
  <c r="AG109" i="57" l="1"/>
  <c r="AJ109"/>
  <c r="V109"/>
  <c r="AI109" l="1"/>
  <c r="X109"/>
  <c r="Y109" s="1"/>
  <c r="T109"/>
  <c r="N109"/>
  <c r="AM33" i="28"/>
  <c r="AL33" l="1"/>
  <c r="AJ33"/>
  <c r="T33"/>
  <c r="AG46" i="114" l="1"/>
  <c r="X46" l="1"/>
  <c r="Y46" s="1"/>
  <c r="T46"/>
  <c r="N46"/>
  <c r="AG812" i="57"/>
  <c r="V812"/>
  <c r="AJ812"/>
  <c r="T812" l="1"/>
  <c r="AI812"/>
  <c r="X812"/>
  <c r="Y812" s="1"/>
  <c r="AG79" i="28"/>
  <c r="X79" l="1"/>
  <c r="Y79" s="1"/>
  <c r="T79"/>
  <c r="AG130" i="74" l="1"/>
  <c r="X130" l="1"/>
  <c r="Y130" s="1"/>
  <c r="T130"/>
  <c r="N130"/>
  <c r="AG81" i="114" l="1"/>
  <c r="X81" l="1"/>
  <c r="Y81" s="1"/>
  <c r="T81"/>
  <c r="N81"/>
  <c r="AG96"/>
  <c r="X96" l="1"/>
  <c r="Y96" s="1"/>
  <c r="T96"/>
  <c r="N96"/>
  <c r="AG95"/>
  <c r="X95" l="1"/>
  <c r="Y95" s="1"/>
  <c r="T95"/>
  <c r="N95"/>
  <c r="AG91"/>
  <c r="X91" l="1"/>
  <c r="Y91" s="1"/>
  <c r="T91"/>
  <c r="N91"/>
  <c r="AG128" i="74"/>
  <c r="X128" l="1"/>
  <c r="Y128" s="1"/>
  <c r="T128"/>
  <c r="N128"/>
  <c r="AG97" i="114" l="1"/>
  <c r="X97" l="1"/>
  <c r="Y97" s="1"/>
  <c r="T97"/>
  <c r="N97"/>
  <c r="AG93"/>
  <c r="X93" l="1"/>
  <c r="Y93" s="1"/>
  <c r="T93"/>
  <c r="N93"/>
  <c r="N92"/>
  <c r="T92" l="1"/>
  <c r="X92"/>
  <c r="Y92" s="1"/>
  <c r="AG92"/>
  <c r="AG125" i="74" l="1"/>
  <c r="X125" l="1"/>
  <c r="Y125" s="1"/>
  <c r="T125"/>
  <c r="N125"/>
  <c r="AG131"/>
  <c r="X131" l="1"/>
  <c r="Y131" s="1"/>
  <c r="T131"/>
  <c r="N131"/>
  <c r="AG129"/>
  <c r="X129" l="1"/>
  <c r="Y129" s="1"/>
  <c r="T129"/>
  <c r="N129"/>
  <c r="AG108"/>
  <c r="X108" l="1"/>
  <c r="Y108" s="1"/>
  <c r="T108"/>
  <c r="N108"/>
  <c r="AG47"/>
  <c r="V47"/>
  <c r="X47" l="1"/>
  <c r="Y47" s="1"/>
  <c r="T47"/>
  <c r="N47"/>
  <c r="AG646" i="57"/>
  <c r="AJ646"/>
  <c r="V646"/>
  <c r="AI646" l="1"/>
  <c r="X646"/>
  <c r="Y646" s="1"/>
  <c r="T646"/>
  <c r="N646"/>
  <c r="AG1125" l="1"/>
  <c r="V1125"/>
  <c r="AJ1125"/>
  <c r="AI1125" l="1"/>
  <c r="X1125"/>
  <c r="Y1125" s="1"/>
  <c r="T1125"/>
  <c r="N1125"/>
  <c r="AG94" i="114" l="1"/>
  <c r="X94" l="1"/>
  <c r="Y94" s="1"/>
  <c r="T94"/>
  <c r="N94"/>
  <c r="AG58"/>
  <c r="X58" l="1"/>
  <c r="Y58" s="1"/>
  <c r="T58"/>
  <c r="N58"/>
  <c r="AG77"/>
  <c r="X77" l="1"/>
  <c r="Y77" s="1"/>
  <c r="T77"/>
  <c r="N77"/>
  <c r="AG98"/>
  <c r="X98" l="1"/>
  <c r="Y98" s="1"/>
  <c r="T98"/>
  <c r="N98"/>
  <c r="AG676" i="57" l="1"/>
  <c r="AJ676"/>
  <c r="V676"/>
  <c r="AI676" l="1"/>
  <c r="X676"/>
  <c r="Y676" s="1"/>
  <c r="T676"/>
  <c r="N676"/>
  <c r="AG126" i="74"/>
  <c r="X126" l="1"/>
  <c r="Y126" s="1"/>
  <c r="T126"/>
  <c r="N126"/>
  <c r="AG960" i="57" l="1"/>
  <c r="AJ960"/>
  <c r="V960"/>
  <c r="AI960" l="1"/>
  <c r="X960"/>
  <c r="Y960" s="1"/>
  <c r="T960"/>
  <c r="N960"/>
  <c r="AG102" i="114" l="1"/>
  <c r="X102" l="1"/>
  <c r="Y102" s="1"/>
  <c r="T102"/>
  <c r="N102"/>
  <c r="AG100" l="1"/>
  <c r="X100" l="1"/>
  <c r="Y100" s="1"/>
  <c r="T100"/>
  <c r="N100"/>
  <c r="AG101"/>
  <c r="X101" l="1"/>
  <c r="Y101" s="1"/>
  <c r="T101"/>
  <c r="N101"/>
  <c r="AG99"/>
  <c r="X99" l="1"/>
  <c r="Y99" s="1"/>
  <c r="T99"/>
  <c r="N99"/>
  <c r="AJ35" i="57"/>
  <c r="AI35" l="1"/>
  <c r="X35"/>
  <c r="Y35" s="1"/>
  <c r="T35"/>
  <c r="N35"/>
  <c r="X48" i="74" l="1"/>
  <c r="Y48" s="1"/>
  <c r="T48"/>
  <c r="N48"/>
  <c r="AG264" i="57" l="1"/>
  <c r="V264"/>
  <c r="AJ264"/>
  <c r="AI264" l="1"/>
  <c r="X264"/>
  <c r="Y264" s="1"/>
  <c r="T264"/>
  <c r="N264"/>
  <c r="AG49" i="74" l="1"/>
  <c r="V49"/>
  <c r="V50" l="1"/>
  <c r="X49"/>
  <c r="Y49" s="1"/>
  <c r="T49"/>
  <c r="N49"/>
  <c r="AG133"/>
  <c r="X70" l="1"/>
  <c r="AD70"/>
  <c r="AD50"/>
  <c r="X50"/>
  <c r="X133"/>
  <c r="Y133" s="1"/>
  <c r="T133"/>
  <c r="N133"/>
  <c r="Y70" l="1"/>
  <c r="AE70"/>
  <c r="Y50"/>
  <c r="AE50"/>
  <c r="AG1103" i="57"/>
  <c r="V1103"/>
  <c r="AJ1103"/>
  <c r="AI1103" l="1"/>
  <c r="X1103"/>
  <c r="Y1103" s="1"/>
  <c r="T1103"/>
  <c r="N1103"/>
  <c r="AG107" i="114" l="1"/>
  <c r="X107" l="1"/>
  <c r="Y107" s="1"/>
  <c r="T107"/>
  <c r="N107"/>
  <c r="AG106"/>
  <c r="X106" l="1"/>
  <c r="Y106" s="1"/>
  <c r="T106"/>
  <c r="N106"/>
  <c r="AG105"/>
  <c r="X105" l="1"/>
  <c r="Y105" s="1"/>
  <c r="T105"/>
  <c r="N105"/>
  <c r="AG75"/>
  <c r="X75" l="1"/>
  <c r="Y75" s="1"/>
  <c r="T75"/>
  <c r="N75"/>
  <c r="AG79" l="1"/>
  <c r="AD32" l="1"/>
  <c r="X32"/>
  <c r="X79"/>
  <c r="Y79" s="1"/>
  <c r="T79"/>
  <c r="N79"/>
  <c r="AG104"/>
  <c r="AE32" l="1"/>
  <c r="Y32"/>
  <c r="X83"/>
  <c r="AD83"/>
  <c r="X104"/>
  <c r="Y104" s="1"/>
  <c r="T104"/>
  <c r="N104"/>
  <c r="AG398" i="57"/>
  <c r="V398"/>
  <c r="T398" l="1"/>
  <c r="AE83" i="114"/>
  <c r="Y83"/>
  <c r="X398" i="57"/>
  <c r="Y398" s="1"/>
  <c r="AG81" i="28" l="1"/>
  <c r="X81" l="1"/>
  <c r="Y81" s="1"/>
  <c r="T81"/>
  <c r="N467" i="57"/>
  <c r="N880"/>
  <c r="N1809"/>
  <c r="AG140" i="74" l="1"/>
  <c r="X140" l="1"/>
  <c r="Y140" s="1"/>
  <c r="T140"/>
  <c r="N140"/>
  <c r="AG139"/>
  <c r="X139" l="1"/>
  <c r="Y139" s="1"/>
  <c r="T139"/>
  <c r="N139"/>
  <c r="AG132"/>
  <c r="X132" l="1"/>
  <c r="Y132" s="1"/>
  <c r="T132"/>
  <c r="N132"/>
  <c r="W160" l="1"/>
  <c r="W117" i="114"/>
  <c r="V117"/>
  <c r="N115"/>
  <c r="T115"/>
  <c r="X115"/>
  <c r="Y115" s="1"/>
  <c r="AG115"/>
  <c r="N116"/>
  <c r="T116"/>
  <c r="X116"/>
  <c r="Y116" s="1"/>
  <c r="AG116"/>
  <c r="AG158" i="74"/>
  <c r="X158"/>
  <c r="Y158" s="1"/>
  <c r="T158"/>
  <c r="N158"/>
  <c r="AG157"/>
  <c r="X157"/>
  <c r="Y157" s="1"/>
  <c r="T157"/>
  <c r="N157"/>
  <c r="AG156"/>
  <c r="X156"/>
  <c r="Y156" s="1"/>
  <c r="T156"/>
  <c r="N156"/>
  <c r="AG155"/>
  <c r="X155"/>
  <c r="Y155" s="1"/>
  <c r="T155"/>
  <c r="N155"/>
  <c r="AG154"/>
  <c r="X154"/>
  <c r="Y154" s="1"/>
  <c r="T154"/>
  <c r="N154"/>
  <c r="AG153"/>
  <c r="X153"/>
  <c r="Y153" s="1"/>
  <c r="T153"/>
  <c r="N153"/>
  <c r="AG152"/>
  <c r="X152"/>
  <c r="Y152" s="1"/>
  <c r="T152"/>
  <c r="N152"/>
  <c r="AG151"/>
  <c r="X151"/>
  <c r="Y151" s="1"/>
  <c r="T151"/>
  <c r="N151"/>
  <c r="AG150"/>
  <c r="X150"/>
  <c r="Y150" s="1"/>
  <c r="T150"/>
  <c r="N150"/>
  <c r="AG149"/>
  <c r="X149"/>
  <c r="Y149" s="1"/>
  <c r="T149"/>
  <c r="N149"/>
  <c r="AG148"/>
  <c r="X148"/>
  <c r="Y148" s="1"/>
  <c r="T148"/>
  <c r="N148"/>
  <c r="AG147"/>
  <c r="X147"/>
  <c r="Y147" s="1"/>
  <c r="T147"/>
  <c r="N147"/>
  <c r="AG146"/>
  <c r="X146"/>
  <c r="Y146" s="1"/>
  <c r="T146"/>
  <c r="N146"/>
  <c r="AG108" i="114"/>
  <c r="X108" l="1"/>
  <c r="Y108" s="1"/>
  <c r="T108"/>
  <c r="N108"/>
  <c r="AG112"/>
  <c r="X112" l="1"/>
  <c r="Y112" s="1"/>
  <c r="T112"/>
  <c r="N112"/>
  <c r="X113" l="1"/>
  <c r="AD113"/>
  <c r="AE113" l="1"/>
  <c r="Y113"/>
  <c r="AG135" i="74" l="1"/>
  <c r="X135" l="1"/>
  <c r="Y135" s="1"/>
  <c r="T135"/>
  <c r="N135"/>
  <c r="AG134"/>
  <c r="X134" l="1"/>
  <c r="Y134" s="1"/>
  <c r="T134"/>
  <c r="N134"/>
  <c r="AG138"/>
  <c r="X138" l="1"/>
  <c r="Y138" s="1"/>
  <c r="T138"/>
  <c r="N138"/>
  <c r="AG142" l="1"/>
  <c r="X142" l="1"/>
  <c r="Y142" s="1"/>
  <c r="T142"/>
  <c r="N142"/>
  <c r="AG141"/>
  <c r="X141" l="1"/>
  <c r="Y141" s="1"/>
  <c r="T141"/>
  <c r="N141"/>
  <c r="AG1402" i="57" l="1"/>
  <c r="AJ1402"/>
  <c r="V1402"/>
  <c r="AI1402" l="1"/>
  <c r="X1402"/>
  <c r="Y1402" s="1"/>
  <c r="T1402"/>
  <c r="N1402"/>
  <c r="AG103" i="114"/>
  <c r="X103" l="1"/>
  <c r="Y103" s="1"/>
  <c r="T103"/>
  <c r="N103"/>
  <c r="AG111"/>
  <c r="X111" l="1"/>
  <c r="Y111" s="1"/>
  <c r="T111"/>
  <c r="N111"/>
  <c r="AG110"/>
  <c r="X110" l="1"/>
  <c r="Y110" s="1"/>
  <c r="T110"/>
  <c r="N110"/>
  <c r="AG109"/>
  <c r="X109" l="1"/>
  <c r="Y109" s="1"/>
  <c r="T109"/>
  <c r="N109"/>
  <c r="AG639" i="57"/>
  <c r="V639"/>
  <c r="AJ639"/>
  <c r="AI639" l="1"/>
  <c r="X639"/>
  <c r="Y639" s="1"/>
  <c r="T639"/>
  <c r="N639"/>
  <c r="AG438"/>
  <c r="AJ438"/>
  <c r="V438"/>
  <c r="AI438" l="1"/>
  <c r="X438"/>
  <c r="Y438" s="1"/>
  <c r="T438"/>
  <c r="N438"/>
  <c r="AG143" i="74"/>
  <c r="X143" l="1"/>
  <c r="Y143" s="1"/>
  <c r="T143"/>
  <c r="N143"/>
  <c r="AG1729" i="57" l="1"/>
  <c r="V1729"/>
  <c r="AJ1729"/>
  <c r="AI1729" l="1"/>
  <c r="X1729"/>
  <c r="Y1729" s="1"/>
  <c r="T1729"/>
  <c r="N1729"/>
  <c r="AG661"/>
  <c r="AJ661"/>
  <c r="V661"/>
  <c r="AI661" l="1"/>
  <c r="X661"/>
  <c r="Y661" s="1"/>
  <c r="T661"/>
  <c r="N661"/>
  <c r="AG136" i="74" l="1"/>
  <c r="X136" l="1"/>
  <c r="Y136" s="1"/>
  <c r="T136"/>
  <c r="N136"/>
  <c r="AG151" i="57" l="1"/>
  <c r="AJ151"/>
  <c r="V151"/>
  <c r="AI151" l="1"/>
  <c r="X151"/>
  <c r="Y151" s="1"/>
  <c r="T151"/>
  <c r="N151"/>
  <c r="AG742"/>
  <c r="V742"/>
  <c r="AJ742"/>
  <c r="AI742" l="1"/>
  <c r="X742"/>
  <c r="Y742" s="1"/>
  <c r="T742"/>
  <c r="N742"/>
  <c r="AG632" l="1"/>
  <c r="V632"/>
  <c r="AJ632"/>
  <c r="AI632" l="1"/>
  <c r="X632"/>
  <c r="Y632" s="1"/>
  <c r="T632"/>
  <c r="N632"/>
  <c r="AG959"/>
  <c r="V959"/>
  <c r="AJ959"/>
  <c r="AI959" l="1"/>
  <c r="X959"/>
  <c r="Y959" s="1"/>
  <c r="T959"/>
  <c r="N959"/>
  <c r="AG1126" l="1"/>
  <c r="AJ1126"/>
  <c r="V1126"/>
  <c r="AI1126" l="1"/>
  <c r="X1126"/>
  <c r="Y1126" s="1"/>
  <c r="T1126"/>
  <c r="N1126"/>
  <c r="AG881"/>
  <c r="V881"/>
  <c r="AJ881"/>
  <c r="AI881" l="1"/>
  <c r="X881"/>
  <c r="Y881" s="1"/>
  <c r="T881"/>
  <c r="N881"/>
  <c r="N674" l="1"/>
  <c r="N1571"/>
  <c r="AG1656" l="1"/>
  <c r="V1656"/>
  <c r="AJ1656"/>
  <c r="AI1656" l="1"/>
  <c r="X1656"/>
  <c r="Y1656" s="1"/>
  <c r="T1656"/>
  <c r="N1656"/>
  <c r="AG554"/>
  <c r="AJ554"/>
  <c r="V554"/>
  <c r="AI554" l="1"/>
  <c r="X554"/>
  <c r="Y554" s="1"/>
  <c r="T554"/>
  <c r="N554"/>
  <c r="AG1567" l="1"/>
  <c r="AJ1567"/>
  <c r="V1567"/>
  <c r="AI1567" l="1"/>
  <c r="X1567"/>
  <c r="Y1567" s="1"/>
  <c r="T1567"/>
  <c r="N1567"/>
  <c r="AG673"/>
  <c r="AJ673"/>
  <c r="V673"/>
  <c r="AI673" l="1"/>
  <c r="X673"/>
  <c r="Y673" s="1"/>
  <c r="T673"/>
  <c r="N673"/>
  <c r="AG659"/>
  <c r="AJ659"/>
  <c r="V659"/>
  <c r="AI659" l="1"/>
  <c r="X659"/>
  <c r="Y659" s="1"/>
  <c r="T659"/>
  <c r="N659"/>
  <c r="AG1215" l="1"/>
  <c r="V1215"/>
  <c r="AJ1215"/>
  <c r="AI1215" l="1"/>
  <c r="X1215"/>
  <c r="Y1215" s="1"/>
  <c r="T1215"/>
  <c r="N1215"/>
  <c r="AG1528" l="1"/>
  <c r="AJ1528"/>
  <c r="V1528"/>
  <c r="AI1528" l="1"/>
  <c r="X1528"/>
  <c r="Y1528" s="1"/>
  <c r="T1528"/>
  <c r="N1528"/>
  <c r="AG943" l="1"/>
  <c r="AJ943"/>
  <c r="V943"/>
  <c r="AI943" l="1"/>
  <c r="X943"/>
  <c r="Y943" s="1"/>
  <c r="T943"/>
  <c r="N943"/>
  <c r="AG259" l="1"/>
  <c r="AJ259"/>
  <c r="V259"/>
  <c r="AI259" l="1"/>
  <c r="X259"/>
  <c r="Y259" s="1"/>
  <c r="T259"/>
  <c r="N259"/>
  <c r="AG1774"/>
  <c r="V1774"/>
  <c r="AJ1774"/>
  <c r="AI1774" l="1"/>
  <c r="X1774"/>
  <c r="Y1774" s="1"/>
  <c r="T1774"/>
  <c r="N1774"/>
  <c r="AG1434"/>
  <c r="AJ1434"/>
  <c r="V1434"/>
  <c r="AI1434" l="1"/>
  <c r="X1434"/>
  <c r="Y1434" s="1"/>
  <c r="T1434"/>
  <c r="N1434"/>
  <c r="AG299" l="1"/>
  <c r="AJ299"/>
  <c r="V299"/>
  <c r="AI299" l="1"/>
  <c r="X299"/>
  <c r="Y299" s="1"/>
  <c r="T299"/>
  <c r="N299"/>
  <c r="AM15" i="28"/>
  <c r="V15"/>
  <c r="X15" l="1"/>
  <c r="Y15" s="1"/>
  <c r="AL15"/>
  <c r="AJ15"/>
  <c r="T15"/>
  <c r="AG713" i="57" l="1"/>
  <c r="V713"/>
  <c r="AJ713"/>
  <c r="AI713" l="1"/>
  <c r="X713"/>
  <c r="Y713" s="1"/>
  <c r="T713"/>
  <c r="N713"/>
  <c r="AG137" i="74" l="1"/>
  <c r="X137" l="1"/>
  <c r="Y137" s="1"/>
  <c r="T137"/>
  <c r="N137"/>
  <c r="X144" l="1"/>
  <c r="AD144"/>
  <c r="Y144" l="1"/>
  <c r="AE144"/>
  <c r="AG1199" i="57"/>
  <c r="AJ1199"/>
  <c r="V1199"/>
  <c r="AI1199" l="1"/>
  <c r="X1199"/>
  <c r="Y1199" s="1"/>
  <c r="T1199"/>
  <c r="N1199"/>
  <c r="AG866"/>
  <c r="V866"/>
  <c r="AJ866"/>
  <c r="AI866" l="1"/>
  <c r="X866"/>
  <c r="Y866" s="1"/>
  <c r="T866"/>
  <c r="N866"/>
  <c r="AG519" l="1"/>
  <c r="AJ519"/>
  <c r="V519"/>
  <c r="AI519" l="1"/>
  <c r="X519"/>
  <c r="Y519" s="1"/>
  <c r="T519"/>
  <c r="N519"/>
  <c r="AG556"/>
  <c r="AJ556"/>
  <c r="V556"/>
  <c r="AI556" l="1"/>
  <c r="X556"/>
  <c r="Y556" s="1"/>
  <c r="T556"/>
  <c r="N556"/>
  <c r="AG630" l="1"/>
  <c r="V630"/>
  <c r="AJ630"/>
  <c r="AI630" l="1"/>
  <c r="X630"/>
  <c r="Y630" s="1"/>
  <c r="T630"/>
  <c r="N630"/>
  <c r="AG1776" l="1"/>
  <c r="V1776"/>
  <c r="AJ1776"/>
  <c r="AI1776" l="1"/>
  <c r="X1776"/>
  <c r="Y1776" s="1"/>
  <c r="T1776"/>
  <c r="N1776"/>
  <c r="AG811" l="1"/>
  <c r="V811"/>
  <c r="AJ811"/>
  <c r="AI811" l="1"/>
  <c r="X811"/>
  <c r="Y811" s="1"/>
  <c r="T811"/>
  <c r="N811"/>
  <c r="AG642" l="1"/>
  <c r="V642"/>
  <c r="AJ642"/>
  <c r="AI642" l="1"/>
  <c r="X642"/>
  <c r="Y642" s="1"/>
  <c r="T642"/>
  <c r="N642"/>
  <c r="AG1182" l="1"/>
  <c r="V1182"/>
  <c r="AJ1182"/>
  <c r="AI1182" l="1"/>
  <c r="X1182"/>
  <c r="Y1182" s="1"/>
  <c r="T1182"/>
  <c r="N1182"/>
  <c r="AG1767" l="1"/>
  <c r="AJ1767"/>
  <c r="V1767"/>
  <c r="AI1767" l="1"/>
  <c r="X1767"/>
  <c r="Y1767" s="1"/>
  <c r="T1767"/>
  <c r="N1767"/>
  <c r="AG159" i="74" l="1"/>
  <c r="X159" l="1"/>
  <c r="Y159" s="1"/>
  <c r="T159"/>
  <c r="N159"/>
  <c r="AG339" i="57" l="1"/>
  <c r="AJ339"/>
  <c r="V339"/>
  <c r="AI339" l="1"/>
  <c r="X339"/>
  <c r="Y339" s="1"/>
  <c r="T339"/>
  <c r="N339"/>
  <c r="AG991"/>
  <c r="AJ991"/>
  <c r="V991"/>
  <c r="AI991" l="1"/>
  <c r="X991"/>
  <c r="Y991" s="1"/>
  <c r="T991"/>
  <c r="N991"/>
  <c r="AG641" l="1"/>
  <c r="V641"/>
  <c r="AJ641"/>
  <c r="AI641" l="1"/>
  <c r="X641"/>
  <c r="Y641" s="1"/>
  <c r="T641"/>
  <c r="N641"/>
  <c r="AG1089" l="1"/>
  <c r="AJ1089"/>
  <c r="V1089"/>
  <c r="AI1089" l="1"/>
  <c r="X1089"/>
  <c r="Y1089" s="1"/>
  <c r="T1089"/>
  <c r="N1089"/>
  <c r="AG1731"/>
  <c r="AJ1731"/>
  <c r="V1731"/>
  <c r="AI1731" l="1"/>
  <c r="X1731"/>
  <c r="Y1731" s="1"/>
  <c r="T1731"/>
  <c r="N1731"/>
  <c r="T1505" l="1"/>
  <c r="N1815"/>
  <c r="N1798"/>
  <c r="N1771"/>
  <c r="N1685"/>
  <c r="N1671"/>
  <c r="N1632"/>
  <c r="N1587"/>
  <c r="N1541"/>
  <c r="N1510"/>
  <c r="N1305"/>
  <c r="N1263"/>
  <c r="N1225"/>
  <c r="N1017"/>
  <c r="N807"/>
  <c r="N697"/>
  <c r="N528"/>
  <c r="N493"/>
  <c r="N479"/>
  <c r="N423"/>
  <c r="N416"/>
  <c r="N288"/>
  <c r="N224"/>
  <c r="N128"/>
  <c r="N70"/>
  <c r="N4"/>
  <c r="T88" i="28"/>
  <c r="T89"/>
  <c r="T90"/>
  <c r="T91"/>
  <c r="T92"/>
  <c r="T87"/>
  <c r="AG635" i="57" l="1"/>
  <c r="AJ635"/>
  <c r="V635"/>
  <c r="T635" l="1"/>
  <c r="AI635"/>
  <c r="X635"/>
  <c r="Y635" s="1"/>
  <c r="N635"/>
  <c r="AG668"/>
  <c r="V668"/>
  <c r="AJ668"/>
  <c r="T668" l="1"/>
  <c r="AI668"/>
  <c r="X668"/>
  <c r="Y668" s="1"/>
  <c r="N668"/>
  <c r="N592" l="1"/>
  <c r="N1536"/>
  <c r="X160" i="74" l="1"/>
  <c r="Y160" s="1"/>
  <c r="AD160"/>
  <c r="AE160" l="1"/>
  <c r="AG198" i="57"/>
  <c r="AJ198"/>
  <c r="V198"/>
  <c r="T198" l="1"/>
  <c r="AI198"/>
  <c r="X198"/>
  <c r="Y198" s="1"/>
  <c r="N198"/>
  <c r="AG1530" l="1"/>
  <c r="V1530"/>
  <c r="AJ1530"/>
  <c r="T1530" l="1"/>
  <c r="AI1530"/>
  <c r="X1530"/>
  <c r="Y1530" s="1"/>
  <c r="N1530"/>
  <c r="AG1194" l="1"/>
  <c r="AJ1194"/>
  <c r="V1194"/>
  <c r="T1194" l="1"/>
  <c r="AI1194"/>
  <c r="X1194"/>
  <c r="Y1194" s="1"/>
  <c r="N1194"/>
  <c r="N1121" l="1"/>
  <c r="AM27" i="28"/>
  <c r="AJ27" l="1"/>
  <c r="T27"/>
  <c r="AD117" i="114"/>
  <c r="X117"/>
  <c r="AL27" i="28"/>
  <c r="Y117" i="114" l="1"/>
  <c r="AE117"/>
  <c r="AG858" i="57" l="1"/>
  <c r="AJ858"/>
  <c r="V858"/>
  <c r="T858" l="1"/>
  <c r="AI858"/>
  <c r="X858"/>
  <c r="Y858" s="1"/>
  <c r="N858"/>
  <c r="N1757" l="1"/>
  <c r="AJ1634"/>
  <c r="AI1634" l="1"/>
  <c r="AG1634"/>
  <c r="V1634"/>
  <c r="T1634" l="1"/>
  <c r="X1634"/>
  <c r="Y1634" s="1"/>
  <c r="N1634"/>
  <c r="AG57" l="1"/>
  <c r="AJ57"/>
  <c r="V57"/>
  <c r="T57" l="1"/>
  <c r="AI57"/>
  <c r="X57"/>
  <c r="Y57" s="1"/>
  <c r="N57"/>
  <c r="AG911" l="1"/>
  <c r="AJ911"/>
  <c r="V911"/>
  <c r="T911" l="1"/>
  <c r="AI911"/>
  <c r="X911"/>
  <c r="Y911" s="1"/>
  <c r="N911"/>
  <c r="AG1666" l="1"/>
  <c r="AJ1666"/>
  <c r="V1666"/>
  <c r="T1666" l="1"/>
  <c r="AI1666"/>
  <c r="X1666"/>
  <c r="Y1666" s="1"/>
  <c r="N1666"/>
  <c r="AG486"/>
  <c r="AJ486"/>
  <c r="V486"/>
  <c r="T486" l="1"/>
  <c r="AI486"/>
  <c r="X486"/>
  <c r="Y486" s="1"/>
  <c r="N486"/>
  <c r="AG1342" l="1"/>
  <c r="AJ1342"/>
  <c r="V1342"/>
  <c r="T1342" l="1"/>
  <c r="AI1342"/>
  <c r="X1342"/>
  <c r="Y1342" s="1"/>
  <c r="N1342"/>
  <c r="N199" l="1"/>
  <c r="AG1537" l="1"/>
  <c r="AJ1537"/>
  <c r="V1537"/>
  <c r="T1537" l="1"/>
  <c r="AI1537"/>
  <c r="X1537"/>
  <c r="Y1537" s="1"/>
  <c r="N1537"/>
  <c r="AG1413"/>
  <c r="V1413"/>
  <c r="AJ1413"/>
  <c r="T1413" l="1"/>
  <c r="AI1413"/>
  <c r="X1413"/>
  <c r="Y1413" s="1"/>
  <c r="N1413"/>
  <c r="AG329" l="1"/>
  <c r="AJ329"/>
  <c r="V329"/>
  <c r="T329" l="1"/>
  <c r="AI329"/>
  <c r="X329"/>
  <c r="Y329" s="1"/>
  <c r="N329"/>
  <c r="AG337"/>
  <c r="AJ337"/>
  <c r="V337"/>
  <c r="T337" l="1"/>
  <c r="AI337"/>
  <c r="X337"/>
  <c r="Y337" s="1"/>
  <c r="N337"/>
  <c r="AG1714"/>
  <c r="AJ1714"/>
  <c r="V1714"/>
  <c r="T1714" l="1"/>
  <c r="AI1714"/>
  <c r="X1714"/>
  <c r="Y1714" s="1"/>
  <c r="N1714"/>
  <c r="AG1237" l="1"/>
  <c r="AJ1237"/>
  <c r="V1237"/>
  <c r="T1237" l="1"/>
  <c r="AI1237"/>
  <c r="X1237"/>
  <c r="Y1237" s="1"/>
  <c r="N1237"/>
  <c r="AG854" l="1"/>
  <c r="AJ854"/>
  <c r="V854"/>
  <c r="T854" l="1"/>
  <c r="AI854"/>
  <c r="X854"/>
  <c r="Y854" s="1"/>
  <c r="N854"/>
  <c r="V12" i="28"/>
  <c r="AM12"/>
  <c r="X12" l="1"/>
  <c r="Y12" s="1"/>
  <c r="T12"/>
  <c r="AL12"/>
  <c r="AG515" i="57" l="1"/>
  <c r="V515"/>
  <c r="AJ515"/>
  <c r="T515" l="1"/>
  <c r="AI515"/>
  <c r="X515"/>
  <c r="Y515" s="1"/>
  <c r="N515"/>
  <c r="AG1693" l="1"/>
  <c r="V1693"/>
  <c r="AJ1693"/>
  <c r="T1693" l="1"/>
  <c r="AI1693"/>
  <c r="X1693"/>
  <c r="Y1693" s="1"/>
  <c r="N1693"/>
  <c r="AG102" i="74"/>
  <c r="T102" l="1"/>
  <c r="X102"/>
  <c r="Y102" s="1"/>
  <c r="N102"/>
  <c r="AG1809" i="57" l="1"/>
  <c r="AJ1809"/>
  <c r="V1809"/>
  <c r="T1809" l="1"/>
  <c r="AI1809"/>
  <c r="X1809"/>
  <c r="Y1809" s="1"/>
  <c r="AG83" i="28"/>
  <c r="AG82"/>
  <c r="T82" l="1"/>
  <c r="T83"/>
  <c r="X83"/>
  <c r="Y83" s="1"/>
  <c r="X82"/>
  <c r="Y82" s="1"/>
  <c r="AG841" i="57" l="1"/>
  <c r="V841"/>
  <c r="AJ841"/>
  <c r="T841" l="1"/>
  <c r="AI841"/>
  <c r="X841"/>
  <c r="Y841" s="1"/>
  <c r="N841"/>
  <c r="AG1791" l="1"/>
  <c r="AJ1791"/>
  <c r="V1791"/>
  <c r="T1791" l="1"/>
  <c r="AI1791"/>
  <c r="X1791"/>
  <c r="Y1791" s="1"/>
  <c r="N1791"/>
  <c r="AG962" l="1"/>
  <c r="AJ962"/>
  <c r="V962"/>
  <c r="T962" l="1"/>
  <c r="AI962"/>
  <c r="X962"/>
  <c r="Y962" s="1"/>
  <c r="N962"/>
  <c r="AJ716"/>
  <c r="AJ746"/>
  <c r="AJ744"/>
  <c r="AJ718"/>
  <c r="AJ715"/>
  <c r="AJ745"/>
  <c r="AJ717"/>
  <c r="AJ714"/>
  <c r="AJ747"/>
  <c r="AI747" l="1"/>
  <c r="AI746"/>
  <c r="AI745"/>
  <c r="AI718"/>
  <c r="AI744"/>
  <c r="AI717"/>
  <c r="AI716"/>
  <c r="AI715"/>
  <c r="AI714"/>
  <c r="AG880"/>
  <c r="AJ880"/>
  <c r="V880"/>
  <c r="T880" l="1"/>
  <c r="AI880"/>
  <c r="X880"/>
  <c r="Y880" s="1"/>
  <c r="AG994" l="1"/>
  <c r="AJ994"/>
  <c r="V994"/>
  <c r="T994" l="1"/>
  <c r="AI994"/>
  <c r="X994"/>
  <c r="Y994" s="1"/>
  <c r="N994"/>
  <c r="AG1744"/>
  <c r="AJ1744"/>
  <c r="V1744"/>
  <c r="T1744" l="1"/>
  <c r="AI1744"/>
  <c r="X1744"/>
  <c r="Y1744" s="1"/>
  <c r="N1744"/>
  <c r="AG616" l="1"/>
  <c r="AJ616"/>
  <c r="V616"/>
  <c r="T616" l="1"/>
  <c r="AI616"/>
  <c r="X616"/>
  <c r="Y616" s="1"/>
  <c r="N616"/>
  <c r="N1589" l="1"/>
  <c r="N1383"/>
  <c r="AG1201" l="1"/>
  <c r="AJ1201"/>
  <c r="V1201"/>
  <c r="T1201" l="1"/>
  <c r="AI1201"/>
  <c r="X1201"/>
  <c r="Y1201" s="1"/>
  <c r="N1201"/>
  <c r="AG820" l="1"/>
  <c r="AJ820"/>
  <c r="V820"/>
  <c r="T820" l="1"/>
  <c r="AI820"/>
  <c r="X820"/>
  <c r="Y820" s="1"/>
  <c r="N820"/>
  <c r="AG999" l="1"/>
  <c r="AJ999"/>
  <c r="V999"/>
  <c r="T999" l="1"/>
  <c r="AI999"/>
  <c r="X999"/>
  <c r="Y999" s="1"/>
  <c r="N999"/>
  <c r="O15" i="21" l="1"/>
  <c r="AG745" i="57" l="1"/>
  <c r="V745"/>
  <c r="T745" l="1"/>
  <c r="X745"/>
  <c r="Y745" s="1"/>
  <c r="N745"/>
  <c r="AG715"/>
  <c r="V715"/>
  <c r="T715" l="1"/>
  <c r="X715"/>
  <c r="Y715" s="1"/>
  <c r="N715"/>
  <c r="AG813" l="1"/>
  <c r="AJ813"/>
  <c r="V813"/>
  <c r="T813" l="1"/>
  <c r="AI813"/>
  <c r="X813"/>
  <c r="Y813" s="1"/>
  <c r="N813"/>
  <c r="AG844"/>
  <c r="AJ844"/>
  <c r="V844"/>
  <c r="T844" l="1"/>
  <c r="AI844"/>
  <c r="X844"/>
  <c r="Y844" s="1"/>
  <c r="N844"/>
  <c r="AG629" l="1"/>
  <c r="AJ629"/>
  <c r="V629"/>
  <c r="T629" l="1"/>
  <c r="AI629"/>
  <c r="X629"/>
  <c r="Y629" s="1"/>
  <c r="N629"/>
  <c r="AG1571" l="1"/>
  <c r="V1571"/>
  <c r="AJ1571"/>
  <c r="T1571" l="1"/>
  <c r="AI1571"/>
  <c r="X1571"/>
  <c r="Y1571" s="1"/>
  <c r="AG467"/>
  <c r="V467"/>
  <c r="AJ467"/>
  <c r="T467" l="1"/>
  <c r="AI467"/>
  <c r="X467"/>
  <c r="Y467" s="1"/>
  <c r="AG674"/>
  <c r="AJ674"/>
  <c r="V674"/>
  <c r="T674" l="1"/>
  <c r="AI674"/>
  <c r="X674"/>
  <c r="Y674" s="1"/>
  <c r="AG86" i="28"/>
  <c r="T86" l="1"/>
  <c r="X86"/>
  <c r="Y86" s="1"/>
  <c r="AG84"/>
  <c r="T84" l="1"/>
  <c r="X84"/>
  <c r="Y84" s="1"/>
  <c r="AG85"/>
  <c r="T85" l="1"/>
  <c r="X85"/>
  <c r="Y85" s="1"/>
  <c r="AG655" i="57" l="1"/>
  <c r="AJ655"/>
  <c r="V655"/>
  <c r="T655" l="1"/>
  <c r="AI655"/>
  <c r="X655"/>
  <c r="Y655" s="1"/>
  <c r="N655"/>
  <c r="N1268" l="1"/>
  <c r="N52"/>
  <c r="N283"/>
  <c r="N388"/>
  <c r="N1110"/>
  <c r="AG718"/>
  <c r="V718"/>
  <c r="T718" l="1"/>
  <c r="X718"/>
  <c r="Y718" s="1"/>
  <c r="N718"/>
  <c r="AG202"/>
  <c r="AJ202"/>
  <c r="V202"/>
  <c r="T202" l="1"/>
  <c r="AI202"/>
  <c r="X202"/>
  <c r="Y202" s="1"/>
  <c r="N202"/>
  <c r="AG1702" l="1"/>
  <c r="AJ1702"/>
  <c r="V1702"/>
  <c r="T1702" l="1"/>
  <c r="AI1702"/>
  <c r="X1702"/>
  <c r="Y1702" s="1"/>
  <c r="N1702"/>
  <c r="AG585"/>
  <c r="AJ585"/>
  <c r="V585"/>
  <c r="T585" l="1"/>
  <c r="AI585"/>
  <c r="X585"/>
  <c r="Y585" s="1"/>
  <c r="N585"/>
  <c r="AG1623"/>
  <c r="AJ1623"/>
  <c r="V1623"/>
  <c r="T1623" l="1"/>
  <c r="AI1623"/>
  <c r="X1623"/>
  <c r="Y1623" s="1"/>
  <c r="N1623"/>
  <c r="AG1220" l="1"/>
  <c r="AJ1220"/>
  <c r="V1220"/>
  <c r="T1220" l="1"/>
  <c r="AI1220"/>
  <c r="X1220"/>
  <c r="Y1220" s="1"/>
  <c r="N1220"/>
  <c r="AG923" l="1"/>
  <c r="AJ923"/>
  <c r="V923"/>
  <c r="T923" l="1"/>
  <c r="AI923"/>
  <c r="X923"/>
  <c r="Y923" s="1"/>
  <c r="N923"/>
  <c r="AG669"/>
  <c r="AJ669"/>
  <c r="V669"/>
  <c r="T669" l="1"/>
  <c r="AI669"/>
  <c r="X669"/>
  <c r="Y669" s="1"/>
  <c r="N669"/>
  <c r="AG1629"/>
  <c r="AJ1629"/>
  <c r="V1629"/>
  <c r="T1629" l="1"/>
  <c r="AI1629"/>
  <c r="X1629"/>
  <c r="Y1629" s="1"/>
  <c r="N1629"/>
  <c r="AG778" l="1"/>
  <c r="AJ778"/>
  <c r="V778"/>
  <c r="T778" l="1"/>
  <c r="AI778"/>
  <c r="X778"/>
  <c r="Y778" s="1"/>
  <c r="N778"/>
  <c r="AG1748"/>
  <c r="AJ1748"/>
  <c r="V1748"/>
  <c r="T1748" l="1"/>
  <c r="AI1748"/>
  <c r="X1748"/>
  <c r="Y1748" s="1"/>
  <c r="N1748"/>
  <c r="AG1192"/>
  <c r="AJ1192"/>
  <c r="V1192"/>
  <c r="T1192" l="1"/>
  <c r="AI1192"/>
  <c r="X1192"/>
  <c r="Y1192" s="1"/>
  <c r="N1192"/>
  <c r="AG591"/>
  <c r="AJ591"/>
  <c r="V591"/>
  <c r="T591" l="1"/>
  <c r="AI591"/>
  <c r="X591"/>
  <c r="Y591" s="1"/>
  <c r="N591"/>
  <c r="AG856"/>
  <c r="V856"/>
  <c r="AJ856"/>
  <c r="T856" l="1"/>
  <c r="AI856"/>
  <c r="X856"/>
  <c r="Y856" s="1"/>
  <c r="N856"/>
  <c r="AG939" l="1"/>
  <c r="AJ939"/>
  <c r="V939"/>
  <c r="T939" l="1"/>
  <c r="AI939"/>
  <c r="X939"/>
  <c r="Y939" s="1"/>
  <c r="N939"/>
  <c r="AG1773" l="1"/>
  <c r="AJ1773"/>
  <c r="V1773"/>
  <c r="T1773" l="1"/>
  <c r="AI1773"/>
  <c r="X1773"/>
  <c r="Y1773" s="1"/>
  <c r="N1773"/>
  <c r="AG1718" l="1"/>
  <c r="AJ1718"/>
  <c r="V1718"/>
  <c r="T1718" l="1"/>
  <c r="AI1718"/>
  <c r="X1718"/>
  <c r="Y1718" s="1"/>
  <c r="N1718"/>
  <c r="AG246"/>
  <c r="AJ246"/>
  <c r="V246"/>
  <c r="T246" l="1"/>
  <c r="AI246"/>
  <c r="X246"/>
  <c r="Y246" s="1"/>
  <c r="N246"/>
  <c r="AG534"/>
  <c r="V534"/>
  <c r="AJ534"/>
  <c r="T534" l="1"/>
  <c r="AI534"/>
  <c r="X534"/>
  <c r="Y534" s="1"/>
  <c r="N534"/>
  <c r="AG1028" l="1"/>
  <c r="AJ1028"/>
  <c r="V1028"/>
  <c r="T1028" l="1"/>
  <c r="AI1028"/>
  <c r="X1028"/>
  <c r="Y1028" s="1"/>
  <c r="N1028"/>
  <c r="AG538"/>
  <c r="AJ538"/>
  <c r="V538"/>
  <c r="T538" l="1"/>
  <c r="AI538"/>
  <c r="X538"/>
  <c r="Y538" s="1"/>
  <c r="N538"/>
  <c r="AG1786" l="1"/>
  <c r="AJ1786"/>
  <c r="V1786"/>
  <c r="T1786" l="1"/>
  <c r="AI1786"/>
  <c r="X1786"/>
  <c r="Y1786" s="1"/>
  <c r="N1786"/>
  <c r="AG1196" l="1"/>
  <c r="AJ1196"/>
  <c r="V1196"/>
  <c r="T1196" l="1"/>
  <c r="AI1196"/>
  <c r="X1196"/>
  <c r="Y1196" s="1"/>
  <c r="N1196"/>
  <c r="AG301"/>
  <c r="V301"/>
  <c r="AJ301"/>
  <c r="T301" l="1"/>
  <c r="AI301"/>
  <c r="X301"/>
  <c r="Y301" s="1"/>
  <c r="N301"/>
  <c r="AG380" l="1"/>
  <c r="V380"/>
  <c r="AJ380"/>
  <c r="T380" l="1"/>
  <c r="AI380"/>
  <c r="X380"/>
  <c r="Y380" s="1"/>
  <c r="N380"/>
  <c r="AG1724" l="1"/>
  <c r="AJ1724"/>
  <c r="V1724"/>
  <c r="T1724" l="1"/>
  <c r="AI1724"/>
  <c r="X1724"/>
  <c r="Y1724" s="1"/>
  <c r="N1724"/>
  <c r="AG1692" l="1"/>
  <c r="AJ1692"/>
  <c r="V1692"/>
  <c r="T1692" l="1"/>
  <c r="AI1692"/>
  <c r="X1692"/>
  <c r="Y1692" s="1"/>
  <c r="N1692"/>
  <c r="AG1158"/>
  <c r="AJ1158"/>
  <c r="V1158"/>
  <c r="T1158" l="1"/>
  <c r="AI1158"/>
  <c r="X1158"/>
  <c r="Y1158" s="1"/>
  <c r="N1158"/>
  <c r="AJ1691"/>
  <c r="AI1691" l="1"/>
  <c r="AJ1694"/>
  <c r="AI1694" l="1"/>
  <c r="AJ1726"/>
  <c r="AJ1695"/>
  <c r="AI1695" l="1"/>
  <c r="AI1726"/>
  <c r="AJ1727"/>
  <c r="AI1727" l="1"/>
  <c r="AJ1728"/>
  <c r="AI1728" l="1"/>
  <c r="AJ1730"/>
  <c r="AI1730" l="1"/>
  <c r="AJ1732"/>
  <c r="AI1732" l="1"/>
  <c r="AJ1733"/>
  <c r="AI1733" l="1"/>
  <c r="AJ1734"/>
  <c r="AI1734" l="1"/>
  <c r="AJ1735"/>
  <c r="AI1735" l="1"/>
  <c r="AJ1736"/>
  <c r="AI1736" l="1"/>
  <c r="AJ1737"/>
  <c r="AI1737" l="1"/>
  <c r="AJ1738"/>
  <c r="AI1738" l="1"/>
  <c r="AJ1739"/>
  <c r="AI1739" l="1"/>
  <c r="AJ1740"/>
  <c r="AI1740" l="1"/>
  <c r="AJ1741"/>
  <c r="AI1741" l="1"/>
  <c r="AJ1743"/>
  <c r="AI1743" l="1"/>
  <c r="AJ1745"/>
  <c r="AI1745" l="1"/>
  <c r="AJ1746"/>
  <c r="AI1746" l="1"/>
  <c r="AJ1747"/>
  <c r="AI1747" l="1"/>
  <c r="AG1816" l="1"/>
  <c r="AJ1816"/>
  <c r="V1816"/>
  <c r="T1816" l="1"/>
  <c r="AI1816"/>
  <c r="X1816"/>
  <c r="Y1816" s="1"/>
  <c r="N1816"/>
  <c r="AG1815"/>
  <c r="AJ1815"/>
  <c r="V1815"/>
  <c r="T1815" l="1"/>
  <c r="AI1815"/>
  <c r="X1815"/>
  <c r="Y1815" s="1"/>
  <c r="AG1811" l="1"/>
  <c r="AJ1811"/>
  <c r="V1811"/>
  <c r="T1811" l="1"/>
  <c r="AI1811"/>
  <c r="X1811"/>
  <c r="Y1811" s="1"/>
  <c r="N1811"/>
  <c r="AG1810"/>
  <c r="AJ1810"/>
  <c r="V1810"/>
  <c r="T1810" l="1"/>
  <c r="AI1810"/>
  <c r="X1810"/>
  <c r="Y1810" s="1"/>
  <c r="N1810"/>
  <c r="AG1806" l="1"/>
  <c r="AJ1806"/>
  <c r="V1806"/>
  <c r="T1806" l="1"/>
  <c r="AI1806"/>
  <c r="X1806"/>
  <c r="Y1806" s="1"/>
  <c r="N1806"/>
  <c r="AG1805"/>
  <c r="AJ1805"/>
  <c r="V1805"/>
  <c r="T1805" l="1"/>
  <c r="AI1805"/>
  <c r="X1805"/>
  <c r="Y1805" s="1"/>
  <c r="N1805"/>
  <c r="AG1804"/>
  <c r="AJ1804"/>
  <c r="V1804"/>
  <c r="T1804" l="1"/>
  <c r="AI1804"/>
  <c r="X1804"/>
  <c r="Y1804" s="1"/>
  <c r="N1804"/>
  <c r="AG1802"/>
  <c r="V1802"/>
  <c r="AJ1802"/>
  <c r="T1802" l="1"/>
  <c r="AI1802"/>
  <c r="X1802"/>
  <c r="Y1802" s="1"/>
  <c r="N1802"/>
  <c r="AG1801"/>
  <c r="AJ1801"/>
  <c r="V1801"/>
  <c r="T1801" l="1"/>
  <c r="AI1801"/>
  <c r="X1801"/>
  <c r="Y1801" s="1"/>
  <c r="N1801"/>
  <c r="AG1800"/>
  <c r="AJ1800"/>
  <c r="V1800"/>
  <c r="T1800" l="1"/>
  <c r="AI1800"/>
  <c r="X1800"/>
  <c r="Y1800" s="1"/>
  <c r="N1800"/>
  <c r="AG1799"/>
  <c r="V1799"/>
  <c r="AJ1799"/>
  <c r="T1799" l="1"/>
  <c r="AI1799"/>
  <c r="X1799"/>
  <c r="Y1799" s="1"/>
  <c r="N1799"/>
  <c r="AG1798"/>
  <c r="V1798"/>
  <c r="AJ1798"/>
  <c r="T1798" l="1"/>
  <c r="AI1798"/>
  <c r="X1798"/>
  <c r="Y1798" s="1"/>
  <c r="AG1795"/>
  <c r="V1795"/>
  <c r="AJ1795"/>
  <c r="T1795" l="1"/>
  <c r="AI1795"/>
  <c r="X1795"/>
  <c r="Y1795" s="1"/>
  <c r="N1795"/>
  <c r="AG1794"/>
  <c r="V1794"/>
  <c r="AJ1794"/>
  <c r="T1794" l="1"/>
  <c r="AI1794"/>
  <c r="X1794"/>
  <c r="Y1794" s="1"/>
  <c r="N1794"/>
  <c r="AG1793"/>
  <c r="V1793"/>
  <c r="AJ1793"/>
  <c r="T1793" l="1"/>
  <c r="AI1793"/>
  <c r="X1793"/>
  <c r="Y1793" s="1"/>
  <c r="N1793"/>
  <c r="AG1792"/>
  <c r="AJ1792"/>
  <c r="V1792"/>
  <c r="T1792" l="1"/>
  <c r="AI1792"/>
  <c r="X1792"/>
  <c r="Y1792" s="1"/>
  <c r="N1792"/>
  <c r="AG1790" l="1"/>
  <c r="AJ1790"/>
  <c r="V1790"/>
  <c r="T1790" l="1"/>
  <c r="AI1790"/>
  <c r="X1790"/>
  <c r="Y1790" s="1"/>
  <c r="N1790"/>
  <c r="AG1789"/>
  <c r="V1789"/>
  <c r="AJ1789"/>
  <c r="T1789" l="1"/>
  <c r="AI1789"/>
  <c r="X1789"/>
  <c r="Y1789" s="1"/>
  <c r="N1789"/>
  <c r="AG1788"/>
  <c r="AJ1788"/>
  <c r="V1788"/>
  <c r="T1788" l="1"/>
  <c r="AI1788"/>
  <c r="X1788"/>
  <c r="Y1788" s="1"/>
  <c r="N1788"/>
  <c r="AG1787"/>
  <c r="V1787"/>
  <c r="AJ1787"/>
  <c r="T1787" l="1"/>
  <c r="AI1787"/>
  <c r="X1787"/>
  <c r="Y1787" s="1"/>
  <c r="N1787"/>
  <c r="AG1785"/>
  <c r="AJ1785"/>
  <c r="V1785"/>
  <c r="T1785" l="1"/>
  <c r="AI1785"/>
  <c r="X1785"/>
  <c r="Y1785" s="1"/>
  <c r="N1785"/>
  <c r="AG1784"/>
  <c r="AJ1784"/>
  <c r="V1784"/>
  <c r="T1784" l="1"/>
  <c r="AI1784"/>
  <c r="X1784"/>
  <c r="Y1784" s="1"/>
  <c r="N1784"/>
  <c r="AG1783"/>
  <c r="V1783"/>
  <c r="AJ1783"/>
  <c r="T1783" l="1"/>
  <c r="AI1783"/>
  <c r="X1783"/>
  <c r="Y1783" s="1"/>
  <c r="N1783"/>
  <c r="AG1782"/>
  <c r="AJ1782"/>
  <c r="V1782"/>
  <c r="T1782" l="1"/>
  <c r="AI1782"/>
  <c r="X1782"/>
  <c r="Y1782" s="1"/>
  <c r="N1782"/>
  <c r="AG1780" l="1"/>
  <c r="AJ1780"/>
  <c r="V1780"/>
  <c r="T1780" l="1"/>
  <c r="AI1780"/>
  <c r="X1780"/>
  <c r="Y1780" s="1"/>
  <c r="N1780"/>
  <c r="AG1779"/>
  <c r="V1779"/>
  <c r="AJ1779"/>
  <c r="T1779" l="1"/>
  <c r="AI1779"/>
  <c r="X1779"/>
  <c r="Y1779" s="1"/>
  <c r="N1779"/>
  <c r="AG1778"/>
  <c r="V1778"/>
  <c r="AJ1778"/>
  <c r="T1778" l="1"/>
  <c r="AI1778"/>
  <c r="X1778"/>
  <c r="Y1778" s="1"/>
  <c r="N1778"/>
  <c r="AG1777" l="1"/>
  <c r="V1777"/>
  <c r="AJ1777"/>
  <c r="T1777" l="1"/>
  <c r="AI1777"/>
  <c r="X1777"/>
  <c r="Y1777" s="1"/>
  <c r="N1777"/>
  <c r="AG1775" l="1"/>
  <c r="AJ1775"/>
  <c r="V1775"/>
  <c r="T1775" l="1"/>
  <c r="AI1775"/>
  <c r="X1775"/>
  <c r="Y1775" s="1"/>
  <c r="N1775"/>
  <c r="AG1772" l="1"/>
  <c r="V1772"/>
  <c r="AJ1772"/>
  <c r="T1772" l="1"/>
  <c r="AI1772"/>
  <c r="X1772"/>
  <c r="Y1772" s="1"/>
  <c r="N1772"/>
  <c r="AG1771"/>
  <c r="AJ1771"/>
  <c r="V1771"/>
  <c r="T1771" l="1"/>
  <c r="AI1771"/>
  <c r="X1771"/>
  <c r="Y1771" s="1"/>
  <c r="AG1768"/>
  <c r="V1768"/>
  <c r="AJ1768"/>
  <c r="T1768" l="1"/>
  <c r="AI1768"/>
  <c r="X1768"/>
  <c r="Y1768" s="1"/>
  <c r="N1768"/>
  <c r="AG1766" l="1"/>
  <c r="AJ1766"/>
  <c r="V1766"/>
  <c r="T1766" l="1"/>
  <c r="AI1766"/>
  <c r="X1766"/>
  <c r="Y1766" s="1"/>
  <c r="N1766"/>
  <c r="AG1765"/>
  <c r="V1765"/>
  <c r="AJ1765"/>
  <c r="T1765" l="1"/>
  <c r="AI1765"/>
  <c r="X1765"/>
  <c r="Y1765" s="1"/>
  <c r="N1765"/>
  <c r="AG1763" l="1"/>
  <c r="V1763"/>
  <c r="AJ1763"/>
  <c r="T1763" l="1"/>
  <c r="AI1763"/>
  <c r="X1763"/>
  <c r="Y1763" s="1"/>
  <c r="N1763"/>
  <c r="AG1762"/>
  <c r="V1762"/>
  <c r="AJ1762"/>
  <c r="T1762" l="1"/>
  <c r="AI1762"/>
  <c r="X1762"/>
  <c r="Y1762" s="1"/>
  <c r="N1762"/>
  <c r="AG1761"/>
  <c r="V1761"/>
  <c r="AJ1761"/>
  <c r="T1761" l="1"/>
  <c r="AI1761"/>
  <c r="X1761"/>
  <c r="Y1761" s="1"/>
  <c r="N1761"/>
  <c r="AG1760"/>
  <c r="V1760"/>
  <c r="AJ1760"/>
  <c r="T1760" l="1"/>
  <c r="AI1760"/>
  <c r="X1760"/>
  <c r="Y1760" s="1"/>
  <c r="N1760"/>
  <c r="AG1759"/>
  <c r="V1759"/>
  <c r="AJ1759"/>
  <c r="T1759" l="1"/>
  <c r="AI1759"/>
  <c r="X1759"/>
  <c r="Y1759" s="1"/>
  <c r="N1759"/>
  <c r="AG1758"/>
  <c r="V1758"/>
  <c r="AJ1758"/>
  <c r="T1758" l="1"/>
  <c r="AI1758"/>
  <c r="X1758"/>
  <c r="Y1758" s="1"/>
  <c r="N1758"/>
  <c r="AG1757"/>
  <c r="AJ1757"/>
  <c r="V1757"/>
  <c r="T1757" l="1"/>
  <c r="AI1757"/>
  <c r="X1757"/>
  <c r="Y1757" s="1"/>
  <c r="AG1755" l="1"/>
  <c r="AJ1755"/>
  <c r="V1755"/>
  <c r="T1755" l="1"/>
  <c r="AI1755"/>
  <c r="X1755"/>
  <c r="Y1755" s="1"/>
  <c r="N1755"/>
  <c r="AG1754"/>
  <c r="AJ1754"/>
  <c r="V1754"/>
  <c r="T1754" l="1"/>
  <c r="AI1754"/>
  <c r="X1754"/>
  <c r="Y1754" s="1"/>
  <c r="N1754"/>
  <c r="AG1753"/>
  <c r="AJ1753"/>
  <c r="V1753"/>
  <c r="T1753" l="1"/>
  <c r="AI1753"/>
  <c r="X1753"/>
  <c r="Y1753" s="1"/>
  <c r="N1753"/>
  <c r="AG1752"/>
  <c r="AJ1752"/>
  <c r="V1752"/>
  <c r="T1752" l="1"/>
  <c r="AI1752"/>
  <c r="X1752"/>
  <c r="Y1752" s="1"/>
  <c r="N1752"/>
  <c r="AG1749" l="1"/>
  <c r="AJ1749"/>
  <c r="V1749"/>
  <c r="T1749" l="1"/>
  <c r="AI1749"/>
  <c r="X1749"/>
  <c r="Y1749" s="1"/>
  <c r="N1749"/>
  <c r="AG1747" l="1"/>
  <c r="V1747"/>
  <c r="T1747" l="1"/>
  <c r="X1747"/>
  <c r="Y1747" s="1"/>
  <c r="N1747"/>
  <c r="AG1746"/>
  <c r="V1746"/>
  <c r="T1746" l="1"/>
  <c r="X1746"/>
  <c r="Y1746" s="1"/>
  <c r="N1746"/>
  <c r="AG1745"/>
  <c r="V1745"/>
  <c r="T1745" l="1"/>
  <c r="X1745"/>
  <c r="Y1745" s="1"/>
  <c r="N1745"/>
  <c r="AG1743" l="1"/>
  <c r="V1743"/>
  <c r="T1743" l="1"/>
  <c r="X1743"/>
  <c r="Y1743" s="1"/>
  <c r="N1743"/>
  <c r="AG1741" l="1"/>
  <c r="V1741"/>
  <c r="T1741" l="1"/>
  <c r="X1741"/>
  <c r="Y1741" s="1"/>
  <c r="N1741"/>
  <c r="AG1740"/>
  <c r="V1740"/>
  <c r="T1740" l="1"/>
  <c r="X1740"/>
  <c r="Y1740" s="1"/>
  <c r="N1740"/>
  <c r="AG1739"/>
  <c r="V1739"/>
  <c r="T1739" l="1"/>
  <c r="X1739"/>
  <c r="Y1739" s="1"/>
  <c r="N1739"/>
  <c r="AG1738"/>
  <c r="V1738"/>
  <c r="T1738" l="1"/>
  <c r="X1738"/>
  <c r="Y1738" s="1"/>
  <c r="N1738"/>
  <c r="AG1737"/>
  <c r="V1737"/>
  <c r="T1737" l="1"/>
  <c r="X1737"/>
  <c r="Y1737" s="1"/>
  <c r="N1737"/>
  <c r="AG1736"/>
  <c r="V1736"/>
  <c r="T1736" l="1"/>
  <c r="X1736"/>
  <c r="Y1736" s="1"/>
  <c r="N1736"/>
  <c r="AG1735"/>
  <c r="V1735"/>
  <c r="T1735" l="1"/>
  <c r="X1735"/>
  <c r="Y1735" s="1"/>
  <c r="N1735"/>
  <c r="AG1734"/>
  <c r="V1734"/>
  <c r="T1734" l="1"/>
  <c r="X1734"/>
  <c r="Y1734" s="1"/>
  <c r="N1734"/>
  <c r="AG1733"/>
  <c r="V1733"/>
  <c r="T1733" l="1"/>
  <c r="X1733"/>
  <c r="Y1733" s="1"/>
  <c r="N1733"/>
  <c r="AG1732"/>
  <c r="V1732"/>
  <c r="T1732" l="1"/>
  <c r="X1732"/>
  <c r="Y1732" s="1"/>
  <c r="N1732"/>
  <c r="AG1730" l="1"/>
  <c r="V1730"/>
  <c r="T1730" l="1"/>
  <c r="X1730"/>
  <c r="Y1730" s="1"/>
  <c r="N1730"/>
  <c r="AG1728" l="1"/>
  <c r="V1728"/>
  <c r="T1728" l="1"/>
  <c r="X1728"/>
  <c r="Y1728" s="1"/>
  <c r="N1728"/>
  <c r="AG1727"/>
  <c r="V1727"/>
  <c r="T1727" l="1"/>
  <c r="X1727"/>
  <c r="Y1727" s="1"/>
  <c r="N1727"/>
  <c r="AG1726"/>
  <c r="V1726"/>
  <c r="T1726" l="1"/>
  <c r="X1726"/>
  <c r="Y1726" s="1"/>
  <c r="N1726"/>
  <c r="AG1725"/>
  <c r="AJ1725"/>
  <c r="V1725"/>
  <c r="T1725" l="1"/>
  <c r="AI1725"/>
  <c r="X1725"/>
  <c r="Y1725" s="1"/>
  <c r="N1725"/>
  <c r="AG1722" l="1"/>
  <c r="AJ1722"/>
  <c r="V1722"/>
  <c r="T1722" l="1"/>
  <c r="AI1722"/>
  <c r="X1722"/>
  <c r="Y1722" s="1"/>
  <c r="N1722"/>
  <c r="AG1721"/>
  <c r="AJ1721"/>
  <c r="V1721"/>
  <c r="T1721" l="1"/>
  <c r="AI1721"/>
  <c r="X1721"/>
  <c r="Y1721" s="1"/>
  <c r="N1721"/>
  <c r="AG1720"/>
  <c r="V1720"/>
  <c r="AJ1720"/>
  <c r="T1720" l="1"/>
  <c r="AI1720"/>
  <c r="X1720"/>
  <c r="Y1720" s="1"/>
  <c r="N1720"/>
  <c r="AG1719"/>
  <c r="AJ1719"/>
  <c r="V1719"/>
  <c r="T1719" l="1"/>
  <c r="AI1719"/>
  <c r="X1719"/>
  <c r="Y1719" s="1"/>
  <c r="N1719"/>
  <c r="AG1717" l="1"/>
  <c r="V1717"/>
  <c r="AJ1717"/>
  <c r="T1717" l="1"/>
  <c r="AI1717"/>
  <c r="X1717"/>
  <c r="Y1717" s="1"/>
  <c r="N1717"/>
  <c r="AG1716"/>
  <c r="AJ1716"/>
  <c r="V1716"/>
  <c r="T1716" l="1"/>
  <c r="AI1716"/>
  <c r="X1716"/>
  <c r="Y1716" s="1"/>
  <c r="N1716"/>
  <c r="AG1715"/>
  <c r="AJ1715"/>
  <c r="V1715"/>
  <c r="T1715" l="1"/>
  <c r="AI1715"/>
  <c r="X1715"/>
  <c r="Y1715" s="1"/>
  <c r="N1715"/>
  <c r="AG1711" l="1"/>
  <c r="V1711"/>
  <c r="AJ1711"/>
  <c r="T1711" l="1"/>
  <c r="AI1711"/>
  <c r="X1711"/>
  <c r="Y1711" s="1"/>
  <c r="N1711"/>
  <c r="AG1710"/>
  <c r="AJ1710"/>
  <c r="V1710"/>
  <c r="T1710" l="1"/>
  <c r="AI1710"/>
  <c r="X1710"/>
  <c r="Y1710" s="1"/>
  <c r="N1710"/>
  <c r="AG1709"/>
  <c r="V1709"/>
  <c r="AJ1709"/>
  <c r="T1709" l="1"/>
  <c r="AI1709"/>
  <c r="X1709"/>
  <c r="Y1709" s="1"/>
  <c r="N1709"/>
  <c r="AG1708"/>
  <c r="AJ1708"/>
  <c r="V1708"/>
  <c r="T1708" l="1"/>
  <c r="AI1708"/>
  <c r="X1708"/>
  <c r="Y1708" s="1"/>
  <c r="N1708"/>
  <c r="AG1707"/>
  <c r="V1707"/>
  <c r="AJ1707"/>
  <c r="T1707" l="1"/>
  <c r="AI1707"/>
  <c r="X1707"/>
  <c r="Y1707" s="1"/>
  <c r="N1707"/>
  <c r="AG1706"/>
  <c r="AJ1706"/>
  <c r="V1706"/>
  <c r="T1706" l="1"/>
  <c r="AI1706"/>
  <c r="X1706"/>
  <c r="Y1706" s="1"/>
  <c r="N1706"/>
  <c r="AG1705"/>
  <c r="V1705"/>
  <c r="AJ1705"/>
  <c r="T1705" l="1"/>
  <c r="AI1705"/>
  <c r="X1705"/>
  <c r="Y1705" s="1"/>
  <c r="N1705"/>
  <c r="AG1704"/>
  <c r="AJ1704"/>
  <c r="V1704"/>
  <c r="T1704" l="1"/>
  <c r="AI1704"/>
  <c r="X1704"/>
  <c r="Y1704" s="1"/>
  <c r="N1704"/>
  <c r="AG1703"/>
  <c r="AJ1703"/>
  <c r="V1703"/>
  <c r="T1703" l="1"/>
  <c r="AI1703"/>
  <c r="X1703"/>
  <c r="Y1703" s="1"/>
  <c r="N1703"/>
  <c r="AG1701" l="1"/>
  <c r="V1701"/>
  <c r="AJ1701"/>
  <c r="T1701" l="1"/>
  <c r="AI1701"/>
  <c r="X1701"/>
  <c r="Y1701" s="1"/>
  <c r="N1701"/>
  <c r="AG1700"/>
  <c r="V1700"/>
  <c r="AJ1700"/>
  <c r="T1700" l="1"/>
  <c r="AI1700"/>
  <c r="X1700"/>
  <c r="Y1700" s="1"/>
  <c r="N1700"/>
  <c r="AG1699"/>
  <c r="V1699"/>
  <c r="AJ1699"/>
  <c r="T1699" l="1"/>
  <c r="AI1699"/>
  <c r="X1699"/>
  <c r="Y1699" s="1"/>
  <c r="N1699"/>
  <c r="AG1698"/>
  <c r="V1698"/>
  <c r="AJ1698"/>
  <c r="T1698" l="1"/>
  <c r="AI1698"/>
  <c r="X1698"/>
  <c r="Y1698" s="1"/>
  <c r="N1698"/>
  <c r="AG1697"/>
  <c r="AJ1697"/>
  <c r="V1697"/>
  <c r="T1697" l="1"/>
  <c r="AI1697"/>
  <c r="X1697"/>
  <c r="Y1697" s="1"/>
  <c r="N1697"/>
  <c r="AG1696"/>
  <c r="AJ1696"/>
  <c r="V1696"/>
  <c r="T1696" l="1"/>
  <c r="AI1696"/>
  <c r="X1696"/>
  <c r="Y1696" s="1"/>
  <c r="N1696"/>
  <c r="AG1695"/>
  <c r="V1695"/>
  <c r="T1695" l="1"/>
  <c r="X1695"/>
  <c r="Y1695" s="1"/>
  <c r="N1695"/>
  <c r="AG1694"/>
  <c r="V1694"/>
  <c r="T1694" l="1"/>
  <c r="X1694"/>
  <c r="Y1694" s="1"/>
  <c r="N1694"/>
  <c r="AG1691" l="1"/>
  <c r="V1691"/>
  <c r="T1691" l="1"/>
  <c r="X1691"/>
  <c r="Y1691" s="1"/>
  <c r="N1691"/>
  <c r="AG1690"/>
  <c r="V1690"/>
  <c r="AJ1690"/>
  <c r="T1690" l="1"/>
  <c r="AI1690"/>
  <c r="X1690"/>
  <c r="Y1690" s="1"/>
  <c r="N1690"/>
  <c r="AG1689"/>
  <c r="V1689"/>
  <c r="AJ1689"/>
  <c r="T1689" l="1"/>
  <c r="AI1689"/>
  <c r="X1689"/>
  <c r="Y1689" s="1"/>
  <c r="N1689"/>
  <c r="AG1688"/>
  <c r="AJ1688"/>
  <c r="V1688"/>
  <c r="T1688" l="1"/>
  <c r="AI1688"/>
  <c r="X1688"/>
  <c r="Y1688" s="1"/>
  <c r="N1688"/>
  <c r="AG1686" l="1"/>
  <c r="V1686"/>
  <c r="AJ1686"/>
  <c r="T1686" l="1"/>
  <c r="AI1686"/>
  <c r="X1686"/>
  <c r="Y1686" s="1"/>
  <c r="N1686"/>
  <c r="AG1685"/>
  <c r="AJ1685"/>
  <c r="V1685"/>
  <c r="T1685" l="1"/>
  <c r="AI1685"/>
  <c r="X1685"/>
  <c r="Y1685" s="1"/>
  <c r="AG1682"/>
  <c r="V1682"/>
  <c r="AJ1682"/>
  <c r="T1682" l="1"/>
  <c r="AI1682"/>
  <c r="X1682"/>
  <c r="Y1682" s="1"/>
  <c r="N1682"/>
  <c r="AG1680" l="1"/>
  <c r="AJ1680"/>
  <c r="V1680"/>
  <c r="T1680" l="1"/>
  <c r="AI1680"/>
  <c r="X1680"/>
  <c r="Y1680" s="1"/>
  <c r="N1680"/>
  <c r="AG1679"/>
  <c r="V1679"/>
  <c r="AJ1679"/>
  <c r="T1679" l="1"/>
  <c r="AI1679"/>
  <c r="X1679"/>
  <c r="Y1679" s="1"/>
  <c r="N1679"/>
  <c r="AG1678"/>
  <c r="V1678"/>
  <c r="AJ1678"/>
  <c r="T1678" l="1"/>
  <c r="AI1678"/>
  <c r="X1678"/>
  <c r="Y1678" s="1"/>
  <c r="N1678"/>
  <c r="AG1677"/>
  <c r="AJ1677"/>
  <c r="V1677"/>
  <c r="T1677" l="1"/>
  <c r="AI1677"/>
  <c r="X1677"/>
  <c r="Y1677" s="1"/>
  <c r="N1677"/>
  <c r="AG1676"/>
  <c r="AJ1676"/>
  <c r="V1676"/>
  <c r="T1676" l="1"/>
  <c r="AI1676"/>
  <c r="X1676"/>
  <c r="Y1676" s="1"/>
  <c r="N1676"/>
  <c r="AG1675"/>
  <c r="AJ1675"/>
  <c r="V1675"/>
  <c r="T1675" l="1"/>
  <c r="AI1675"/>
  <c r="X1675"/>
  <c r="Y1675" s="1"/>
  <c r="N1675"/>
  <c r="AG1674"/>
  <c r="AJ1674"/>
  <c r="V1674"/>
  <c r="T1674" l="1"/>
  <c r="AI1674"/>
  <c r="X1674"/>
  <c r="Y1674" s="1"/>
  <c r="N1674"/>
  <c r="AG1673"/>
  <c r="AJ1673"/>
  <c r="V1673"/>
  <c r="T1673" l="1"/>
  <c r="AI1673"/>
  <c r="X1673"/>
  <c r="Y1673" s="1"/>
  <c r="N1673"/>
  <c r="AG1672"/>
  <c r="V1672"/>
  <c r="AJ1672"/>
  <c r="T1672" l="1"/>
  <c r="AI1672"/>
  <c r="X1672"/>
  <c r="Y1672" s="1"/>
  <c r="N1672"/>
  <c r="AG1671"/>
  <c r="V1671"/>
  <c r="AJ1671"/>
  <c r="T1671" l="1"/>
  <c r="AI1671"/>
  <c r="X1671"/>
  <c r="Y1671" s="1"/>
  <c r="AG1668"/>
  <c r="AJ1668"/>
  <c r="V1668"/>
  <c r="T1668" l="1"/>
  <c r="AI1668"/>
  <c r="X1668"/>
  <c r="Y1668" s="1"/>
  <c r="N1668"/>
  <c r="AG1667"/>
  <c r="AJ1667"/>
  <c r="V1667"/>
  <c r="T1667" l="1"/>
  <c r="AI1667"/>
  <c r="X1667"/>
  <c r="Y1667" s="1"/>
  <c r="N1667"/>
  <c r="AG1665" l="1"/>
  <c r="AJ1665"/>
  <c r="V1665"/>
  <c r="T1665" l="1"/>
  <c r="AI1665"/>
  <c r="X1665"/>
  <c r="Y1665" s="1"/>
  <c r="N1665"/>
  <c r="AG1664"/>
  <c r="AJ1664"/>
  <c r="V1664"/>
  <c r="T1664" l="1"/>
  <c r="AI1664"/>
  <c r="X1664"/>
  <c r="Y1664" s="1"/>
  <c r="N1664"/>
  <c r="AG1663"/>
  <c r="AJ1663"/>
  <c r="V1663"/>
  <c r="T1663" l="1"/>
  <c r="AI1663"/>
  <c r="X1663"/>
  <c r="Y1663" s="1"/>
  <c r="N1663"/>
  <c r="AG1662"/>
  <c r="V1662"/>
  <c r="AJ1662"/>
  <c r="T1662" l="1"/>
  <c r="AI1662"/>
  <c r="X1662"/>
  <c r="Y1662" s="1"/>
  <c r="N1662"/>
  <c r="AG1661"/>
  <c r="V1661"/>
  <c r="AJ1661"/>
  <c r="T1661" l="1"/>
  <c r="AI1661"/>
  <c r="X1661"/>
  <c r="Y1661" s="1"/>
  <c r="N1661"/>
  <c r="AG1660"/>
  <c r="AJ1660"/>
  <c r="V1660"/>
  <c r="T1660" l="1"/>
  <c r="AI1660"/>
  <c r="X1660"/>
  <c r="Y1660" s="1"/>
  <c r="N1660"/>
  <c r="AG1659"/>
  <c r="AJ1659"/>
  <c r="V1659"/>
  <c r="T1659" l="1"/>
  <c r="AI1659"/>
  <c r="X1659"/>
  <c r="Y1659" s="1"/>
  <c r="N1659"/>
  <c r="AG1658"/>
  <c r="V1658"/>
  <c r="AJ1658"/>
  <c r="T1658" l="1"/>
  <c r="AI1658"/>
  <c r="X1658"/>
  <c r="Y1658" s="1"/>
  <c r="N1658"/>
  <c r="AG1657"/>
  <c r="V1657"/>
  <c r="AJ1657"/>
  <c r="T1657" l="1"/>
  <c r="AI1657"/>
  <c r="X1657"/>
  <c r="Y1657" s="1"/>
  <c r="N1657"/>
  <c r="AG1655" l="1"/>
  <c r="V1655"/>
  <c r="AJ1655"/>
  <c r="T1655" l="1"/>
  <c r="AI1655"/>
  <c r="X1655"/>
  <c r="Y1655" s="1"/>
  <c r="N1655"/>
  <c r="AG1654"/>
  <c r="V1654"/>
  <c r="AJ1654"/>
  <c r="T1654" l="1"/>
  <c r="AI1654"/>
  <c r="X1654"/>
  <c r="Y1654" s="1"/>
  <c r="N1654"/>
  <c r="AG1653"/>
  <c r="V1653"/>
  <c r="AJ1653"/>
  <c r="T1653" l="1"/>
  <c r="AI1653"/>
  <c r="X1653"/>
  <c r="Y1653" s="1"/>
  <c r="N1653"/>
  <c r="AG1652"/>
  <c r="AJ1652"/>
  <c r="V1652"/>
  <c r="T1652" l="1"/>
  <c r="AI1652"/>
  <c r="X1652"/>
  <c r="Y1652" s="1"/>
  <c r="N1652"/>
  <c r="AG1651"/>
  <c r="AJ1651"/>
  <c r="V1651"/>
  <c r="T1651" l="1"/>
  <c r="AI1651"/>
  <c r="X1651"/>
  <c r="Y1651" s="1"/>
  <c r="N1651"/>
  <c r="AG1650"/>
  <c r="V1650"/>
  <c r="AJ1650"/>
  <c r="T1650" l="1"/>
  <c r="AI1650"/>
  <c r="X1650"/>
  <c r="Y1650" s="1"/>
  <c r="N1650"/>
  <c r="AG1649"/>
  <c r="AJ1649"/>
  <c r="V1649"/>
  <c r="T1649" l="1"/>
  <c r="AI1649"/>
  <c r="X1649"/>
  <c r="Y1649" s="1"/>
  <c r="N1649"/>
  <c r="AG1648"/>
  <c r="AJ1648"/>
  <c r="V1648"/>
  <c r="T1648" l="1"/>
  <c r="AI1648"/>
  <c r="X1648"/>
  <c r="Y1648" s="1"/>
  <c r="N1648"/>
  <c r="AG1647"/>
  <c r="V1647"/>
  <c r="AJ1647"/>
  <c r="T1647" l="1"/>
  <c r="AI1647"/>
  <c r="X1647"/>
  <c r="Y1647" s="1"/>
  <c r="N1647"/>
  <c r="AG1646"/>
  <c r="AJ1646"/>
  <c r="V1646"/>
  <c r="T1646" l="1"/>
  <c r="AI1646"/>
  <c r="X1646"/>
  <c r="Y1646" s="1"/>
  <c r="N1646"/>
  <c r="AG1645"/>
  <c r="AJ1645"/>
  <c r="V1645"/>
  <c r="T1645" l="1"/>
  <c r="AI1645"/>
  <c r="X1645"/>
  <c r="Y1645" s="1"/>
  <c r="N1645"/>
  <c r="AG1644"/>
  <c r="V1644"/>
  <c r="AJ1644"/>
  <c r="T1644" l="1"/>
  <c r="AI1644"/>
  <c r="X1644"/>
  <c r="Y1644" s="1"/>
  <c r="N1644"/>
  <c r="AG1643"/>
  <c r="AJ1643"/>
  <c r="V1643"/>
  <c r="T1643" l="1"/>
  <c r="AI1643"/>
  <c r="X1643"/>
  <c r="Y1643" s="1"/>
  <c r="N1643"/>
  <c r="AG1642"/>
  <c r="AJ1642"/>
  <c r="V1642"/>
  <c r="T1642" l="1"/>
  <c r="AI1642"/>
  <c r="X1642"/>
  <c r="Y1642" s="1"/>
  <c r="N1642"/>
  <c r="AG1641"/>
  <c r="V1641"/>
  <c r="AJ1641"/>
  <c r="T1641" l="1"/>
  <c r="AI1641"/>
  <c r="X1641"/>
  <c r="Y1641" s="1"/>
  <c r="N1641"/>
  <c r="AG1640"/>
  <c r="AJ1640"/>
  <c r="V1640"/>
  <c r="T1640" l="1"/>
  <c r="AI1640"/>
  <c r="X1640"/>
  <c r="Y1640" s="1"/>
  <c r="N1640"/>
  <c r="AG1639"/>
  <c r="AJ1639"/>
  <c r="V1639"/>
  <c r="T1639" l="1"/>
  <c r="AI1639"/>
  <c r="X1639"/>
  <c r="Y1639" s="1"/>
  <c r="N1639"/>
  <c r="AG1638"/>
  <c r="V1638"/>
  <c r="AJ1638"/>
  <c r="T1638" l="1"/>
  <c r="AI1638"/>
  <c r="X1638"/>
  <c r="Y1638" s="1"/>
  <c r="N1638"/>
  <c r="AG1637"/>
  <c r="V1637"/>
  <c r="AJ1637"/>
  <c r="T1637" l="1"/>
  <c r="AI1637"/>
  <c r="X1637"/>
  <c r="Y1637" s="1"/>
  <c r="N1637"/>
  <c r="AG1636"/>
  <c r="V1636"/>
  <c r="AJ1636"/>
  <c r="T1636" l="1"/>
  <c r="AI1636"/>
  <c r="X1636"/>
  <c r="Y1636" s="1"/>
  <c r="N1636"/>
  <c r="AG1635"/>
  <c r="AJ1635"/>
  <c r="V1635"/>
  <c r="T1635" l="1"/>
  <c r="AI1635"/>
  <c r="X1635"/>
  <c r="Y1635" s="1"/>
  <c r="N1635"/>
  <c r="AG1633" l="1"/>
  <c r="AJ1633"/>
  <c r="V1633"/>
  <c r="T1633" l="1"/>
  <c r="AI1633"/>
  <c r="X1633"/>
  <c r="Y1633" s="1"/>
  <c r="N1633"/>
  <c r="AG1632"/>
  <c r="AJ1632"/>
  <c r="V1632"/>
  <c r="T1632" l="1"/>
  <c r="AI1632"/>
  <c r="X1632"/>
  <c r="Y1632" s="1"/>
  <c r="AG1628" l="1"/>
  <c r="AJ1628"/>
  <c r="V1628"/>
  <c r="T1628" l="1"/>
  <c r="AI1628"/>
  <c r="X1628"/>
  <c r="Y1628" s="1"/>
  <c r="N1628"/>
  <c r="AG1627"/>
  <c r="V1627"/>
  <c r="AJ1627"/>
  <c r="T1627" l="1"/>
  <c r="AI1627"/>
  <c r="X1627"/>
  <c r="Y1627" s="1"/>
  <c r="N1627"/>
  <c r="AG1626"/>
  <c r="V1626"/>
  <c r="AJ1626"/>
  <c r="T1626" l="1"/>
  <c r="AI1626"/>
  <c r="X1626"/>
  <c r="Y1626" s="1"/>
  <c r="N1626"/>
  <c r="AG1625"/>
  <c r="V1625"/>
  <c r="AJ1625"/>
  <c r="T1625" l="1"/>
  <c r="AI1625"/>
  <c r="X1625"/>
  <c r="Y1625" s="1"/>
  <c r="N1625"/>
  <c r="AG1624"/>
  <c r="V1624"/>
  <c r="AJ1624"/>
  <c r="T1624" l="1"/>
  <c r="AI1624"/>
  <c r="X1624"/>
  <c r="Y1624" s="1"/>
  <c r="N1624"/>
  <c r="AG1622" l="1"/>
  <c r="AJ1622"/>
  <c r="V1622"/>
  <c r="T1622" l="1"/>
  <c r="AI1622"/>
  <c r="X1622"/>
  <c r="Y1622" s="1"/>
  <c r="N1622"/>
  <c r="AG1620" l="1"/>
  <c r="V1620"/>
  <c r="AJ1620"/>
  <c r="T1620" l="1"/>
  <c r="AI1620"/>
  <c r="X1620"/>
  <c r="Y1620" s="1"/>
  <c r="N1620"/>
  <c r="AG1619"/>
  <c r="V1619"/>
  <c r="AJ1619"/>
  <c r="T1619" l="1"/>
  <c r="AI1619"/>
  <c r="X1619"/>
  <c r="Y1619" s="1"/>
  <c r="N1619"/>
  <c r="AG1618"/>
  <c r="AJ1618"/>
  <c r="V1618"/>
  <c r="T1618" l="1"/>
  <c r="AI1618"/>
  <c r="X1618"/>
  <c r="Y1618" s="1"/>
  <c r="N1618"/>
  <c r="AG1617"/>
  <c r="AJ1617"/>
  <c r="V1617"/>
  <c r="T1617" l="1"/>
  <c r="AI1617"/>
  <c r="X1617"/>
  <c r="Y1617" s="1"/>
  <c r="N1617"/>
  <c r="AG1616"/>
  <c r="AJ1616"/>
  <c r="V1616"/>
  <c r="T1616" l="1"/>
  <c r="AI1616"/>
  <c r="X1616"/>
  <c r="Y1616" s="1"/>
  <c r="N1616"/>
  <c r="AG1613" l="1"/>
  <c r="AJ1613"/>
  <c r="V1613"/>
  <c r="T1613" l="1"/>
  <c r="AI1613"/>
  <c r="X1613"/>
  <c r="Y1613" s="1"/>
  <c r="N1613"/>
  <c r="AG1612"/>
  <c r="AJ1612"/>
  <c r="V1612"/>
  <c r="T1612" l="1"/>
  <c r="AI1612"/>
  <c r="X1612"/>
  <c r="Y1612" s="1"/>
  <c r="N1612"/>
  <c r="AG1611"/>
  <c r="AJ1611"/>
  <c r="V1611"/>
  <c r="T1611" l="1"/>
  <c r="AI1611"/>
  <c r="X1611"/>
  <c r="Y1611" s="1"/>
  <c r="N1611"/>
  <c r="AG1610"/>
  <c r="AJ1610"/>
  <c r="V1610"/>
  <c r="T1610" l="1"/>
  <c r="AI1610"/>
  <c r="X1610"/>
  <c r="Y1610" s="1"/>
  <c r="N1610"/>
  <c r="AG1601" l="1"/>
  <c r="AJ1601"/>
  <c r="V1601"/>
  <c r="T1601" l="1"/>
  <c r="AI1601"/>
  <c r="X1601"/>
  <c r="Y1601" s="1"/>
  <c r="N1601"/>
  <c r="AG1600"/>
  <c r="AJ1600"/>
  <c r="V1600"/>
  <c r="T1600" l="1"/>
  <c r="AI1600"/>
  <c r="X1600"/>
  <c r="Y1600" s="1"/>
  <c r="N1600"/>
  <c r="AG1599"/>
  <c r="AJ1599"/>
  <c r="V1599"/>
  <c r="T1599" l="1"/>
  <c r="AI1599"/>
  <c r="X1599"/>
  <c r="Y1599" s="1"/>
  <c r="N1599"/>
  <c r="AG1598"/>
  <c r="AJ1598"/>
  <c r="V1598"/>
  <c r="T1598" l="1"/>
  <c r="AI1598"/>
  <c r="X1598"/>
  <c r="Y1598" s="1"/>
  <c r="N1598"/>
  <c r="AG1597"/>
  <c r="AJ1597"/>
  <c r="V1597"/>
  <c r="T1597" l="1"/>
  <c r="AI1597"/>
  <c r="X1597"/>
  <c r="Y1597" s="1"/>
  <c r="N1597"/>
  <c r="AG1596"/>
  <c r="AJ1596"/>
  <c r="V1596"/>
  <c r="T1596" l="1"/>
  <c r="AI1596"/>
  <c r="X1596"/>
  <c r="Y1596" s="1"/>
  <c r="N1596"/>
  <c r="AG1595"/>
  <c r="AJ1595"/>
  <c r="V1595"/>
  <c r="T1595" l="1"/>
  <c r="AI1595"/>
  <c r="X1595"/>
  <c r="Y1595" s="1"/>
  <c r="N1595"/>
  <c r="AG1594"/>
  <c r="AJ1594"/>
  <c r="V1594"/>
  <c r="T1594" l="1"/>
  <c r="AI1594"/>
  <c r="X1594"/>
  <c r="Y1594" s="1"/>
  <c r="N1594"/>
  <c r="AG1593"/>
  <c r="AJ1593"/>
  <c r="V1593"/>
  <c r="T1593" l="1"/>
  <c r="AI1593"/>
  <c r="X1593"/>
  <c r="Y1593" s="1"/>
  <c r="N1593"/>
  <c r="AG1592"/>
  <c r="V1592"/>
  <c r="AJ1592"/>
  <c r="T1592" l="1"/>
  <c r="AI1592"/>
  <c r="X1592"/>
  <c r="Y1592" s="1"/>
  <c r="N1592"/>
  <c r="AG1591" l="1"/>
  <c r="AJ1591"/>
  <c r="V1591"/>
  <c r="T1591" l="1"/>
  <c r="AI1591"/>
  <c r="X1591"/>
  <c r="Y1591" s="1"/>
  <c r="N1591"/>
  <c r="AG1590"/>
  <c r="V1590"/>
  <c r="AJ1590"/>
  <c r="T1590" l="1"/>
  <c r="AI1590"/>
  <c r="X1590"/>
  <c r="Y1590" s="1"/>
  <c r="N1590"/>
  <c r="AG1589"/>
  <c r="AJ1589"/>
  <c r="V1589"/>
  <c r="T1589" l="1"/>
  <c r="AI1589"/>
  <c r="X1589"/>
  <c r="Y1589" s="1"/>
  <c r="AG1588"/>
  <c r="V1588"/>
  <c r="AJ1588"/>
  <c r="T1588" l="1"/>
  <c r="AI1588"/>
  <c r="X1588"/>
  <c r="Y1588" s="1"/>
  <c r="N1588"/>
  <c r="AG1587"/>
  <c r="V1587"/>
  <c r="AJ1587"/>
  <c r="T1587" l="1"/>
  <c r="AI1587"/>
  <c r="X1587"/>
  <c r="Y1587" s="1"/>
  <c r="AG1584"/>
  <c r="AJ1584"/>
  <c r="V1584"/>
  <c r="T1584" l="1"/>
  <c r="AI1584"/>
  <c r="X1584"/>
  <c r="Y1584" s="1"/>
  <c r="N1584"/>
  <c r="AG1583"/>
  <c r="V1583"/>
  <c r="AJ1583"/>
  <c r="T1583" l="1"/>
  <c r="AI1583"/>
  <c r="X1583"/>
  <c r="Y1583" s="1"/>
  <c r="N1583"/>
  <c r="AG1582"/>
  <c r="AJ1582"/>
  <c r="V1582"/>
  <c r="T1582" l="1"/>
  <c r="AI1582"/>
  <c r="X1582"/>
  <c r="Y1582" s="1"/>
  <c r="N1582"/>
  <c r="AG1581"/>
  <c r="AJ1581"/>
  <c r="V1581"/>
  <c r="T1581" l="1"/>
  <c r="AI1581"/>
  <c r="X1581"/>
  <c r="Y1581" s="1"/>
  <c r="N1581"/>
  <c r="AG1580"/>
  <c r="AJ1580"/>
  <c r="V1580"/>
  <c r="T1580" l="1"/>
  <c r="AI1580"/>
  <c r="X1580"/>
  <c r="Y1580" s="1"/>
  <c r="N1580"/>
  <c r="AG1579"/>
  <c r="V1579"/>
  <c r="AJ1579"/>
  <c r="T1579" l="1"/>
  <c r="AI1579"/>
  <c r="X1579"/>
  <c r="Y1579" s="1"/>
  <c r="N1579"/>
  <c r="AG1578"/>
  <c r="AJ1578"/>
  <c r="V1578"/>
  <c r="T1578" l="1"/>
  <c r="AI1578"/>
  <c r="X1578"/>
  <c r="Y1578" s="1"/>
  <c r="N1578"/>
  <c r="AG1577"/>
  <c r="AJ1577"/>
  <c r="V1577"/>
  <c r="T1577" l="1"/>
  <c r="AI1577"/>
  <c r="X1577"/>
  <c r="Y1577" s="1"/>
  <c r="N1577"/>
  <c r="AG1576"/>
  <c r="AJ1576"/>
  <c r="V1576"/>
  <c r="T1576" l="1"/>
  <c r="AI1576"/>
  <c r="X1576"/>
  <c r="Y1576" s="1"/>
  <c r="N1576"/>
  <c r="AG1575"/>
  <c r="AJ1575"/>
  <c r="V1575"/>
  <c r="T1575" l="1"/>
  <c r="AI1575"/>
  <c r="X1575"/>
  <c r="Y1575" s="1"/>
  <c r="N1575"/>
  <c r="AG1574"/>
  <c r="V1574"/>
  <c r="AJ1574"/>
  <c r="T1574" l="1"/>
  <c r="AI1574"/>
  <c r="X1574"/>
  <c r="Y1574" s="1"/>
  <c r="N1574"/>
  <c r="AG1573"/>
  <c r="V1573"/>
  <c r="AJ1573"/>
  <c r="T1573" l="1"/>
  <c r="AI1573"/>
  <c r="X1573"/>
  <c r="Y1573" s="1"/>
  <c r="N1573"/>
  <c r="AG1572"/>
  <c r="AJ1572"/>
  <c r="V1572"/>
  <c r="T1572" l="1"/>
  <c r="AI1572"/>
  <c r="X1572"/>
  <c r="Y1572" s="1"/>
  <c r="N1572"/>
  <c r="AG1570" l="1"/>
  <c r="V1570"/>
  <c r="AJ1570"/>
  <c r="T1570" l="1"/>
  <c r="AI1570"/>
  <c r="X1570"/>
  <c r="Y1570" s="1"/>
  <c r="N1570"/>
  <c r="AG1569"/>
  <c r="AJ1569"/>
  <c r="V1569"/>
  <c r="T1569" l="1"/>
  <c r="AI1569"/>
  <c r="X1569"/>
  <c r="Y1569" s="1"/>
  <c r="N1569"/>
  <c r="AG1566" l="1"/>
  <c r="AJ1566"/>
  <c r="V1566"/>
  <c r="T1566" l="1"/>
  <c r="AI1566"/>
  <c r="X1566"/>
  <c r="Y1566" s="1"/>
  <c r="N1566"/>
  <c r="AG1565"/>
  <c r="V1565"/>
  <c r="AJ1565"/>
  <c r="T1565" l="1"/>
  <c r="AI1565"/>
  <c r="X1565"/>
  <c r="Y1565" s="1"/>
  <c r="N1565"/>
  <c r="AG1564"/>
  <c r="AJ1564"/>
  <c r="V1564"/>
  <c r="T1564" l="1"/>
  <c r="AI1564"/>
  <c r="X1564"/>
  <c r="Y1564" s="1"/>
  <c r="N1564"/>
  <c r="AG1563"/>
  <c r="AJ1563"/>
  <c r="V1563"/>
  <c r="T1563" l="1"/>
  <c r="AI1563"/>
  <c r="X1563"/>
  <c r="Y1563" s="1"/>
  <c r="N1563"/>
  <c r="AG1562"/>
  <c r="AJ1562"/>
  <c r="V1562"/>
  <c r="T1562" l="1"/>
  <c r="AI1562"/>
  <c r="X1562"/>
  <c r="Y1562" s="1"/>
  <c r="N1562"/>
  <c r="AG1561"/>
  <c r="V1561"/>
  <c r="AJ1561"/>
  <c r="T1561" l="1"/>
  <c r="AI1561"/>
  <c r="X1561"/>
  <c r="Y1561" s="1"/>
  <c r="N1561"/>
  <c r="AG1560"/>
  <c r="AJ1560"/>
  <c r="V1560"/>
  <c r="T1560" l="1"/>
  <c r="AI1560"/>
  <c r="X1560"/>
  <c r="Y1560" s="1"/>
  <c r="N1560"/>
  <c r="AG1559"/>
  <c r="V1559"/>
  <c r="AJ1559"/>
  <c r="T1559" l="1"/>
  <c r="AI1559"/>
  <c r="X1559"/>
  <c r="Y1559" s="1"/>
  <c r="N1559"/>
  <c r="AG1558"/>
  <c r="V1558"/>
  <c r="AJ1558"/>
  <c r="T1558" l="1"/>
  <c r="AI1558"/>
  <c r="X1558"/>
  <c r="Y1558" s="1"/>
  <c r="N1558"/>
  <c r="AG1557"/>
  <c r="AJ1557"/>
  <c r="V1557"/>
  <c r="T1557" l="1"/>
  <c r="AI1557"/>
  <c r="X1557"/>
  <c r="Y1557" s="1"/>
  <c r="N1557"/>
  <c r="AG1556"/>
  <c r="V1556"/>
  <c r="AJ1556"/>
  <c r="T1556" l="1"/>
  <c r="AI1556"/>
  <c r="X1556"/>
  <c r="Y1556" s="1"/>
  <c r="N1556"/>
  <c r="AG1555"/>
  <c r="AJ1555"/>
  <c r="V1555"/>
  <c r="T1555" l="1"/>
  <c r="AI1555"/>
  <c r="X1555"/>
  <c r="Y1555" s="1"/>
  <c r="N1555"/>
  <c r="AG1554"/>
  <c r="V1554"/>
  <c r="AJ1554"/>
  <c r="T1554" l="1"/>
  <c r="AI1554"/>
  <c r="X1554"/>
  <c r="Y1554" s="1"/>
  <c r="N1554"/>
  <c r="AG1553"/>
  <c r="AJ1553"/>
  <c r="V1553"/>
  <c r="T1553" l="1"/>
  <c r="AI1553"/>
  <c r="X1553"/>
  <c r="Y1553" s="1"/>
  <c r="N1553"/>
  <c r="AG1552"/>
  <c r="V1552"/>
  <c r="AJ1552"/>
  <c r="T1552" l="1"/>
  <c r="AI1552"/>
  <c r="X1552"/>
  <c r="Y1552" s="1"/>
  <c r="N1552"/>
  <c r="AG1551"/>
  <c r="V1551"/>
  <c r="AJ1551"/>
  <c r="T1551" l="1"/>
  <c r="AI1551"/>
  <c r="X1551"/>
  <c r="Y1551" s="1"/>
  <c r="N1551"/>
  <c r="AG1550"/>
  <c r="AJ1550"/>
  <c r="V1550"/>
  <c r="T1550" l="1"/>
  <c r="AI1550"/>
  <c r="X1550"/>
  <c r="Y1550" s="1"/>
  <c r="N1550"/>
  <c r="AG1549"/>
  <c r="AJ1549"/>
  <c r="V1549"/>
  <c r="T1549" l="1"/>
  <c r="AI1549"/>
  <c r="X1549"/>
  <c r="Y1549" s="1"/>
  <c r="N1549"/>
  <c r="AG1547" l="1"/>
  <c r="AJ1547"/>
  <c r="V1547"/>
  <c r="T1547" l="1"/>
  <c r="AI1547"/>
  <c r="X1547"/>
  <c r="Y1547" s="1"/>
  <c r="N1547"/>
  <c r="AG1546"/>
  <c r="V1546"/>
  <c r="AJ1546"/>
  <c r="T1546" l="1"/>
  <c r="AI1546"/>
  <c r="X1546"/>
  <c r="Y1546" s="1"/>
  <c r="N1546"/>
  <c r="AG1545"/>
  <c r="AJ1545"/>
  <c r="V1545"/>
  <c r="T1545" l="1"/>
  <c r="AI1545"/>
  <c r="X1545"/>
  <c r="Y1545" s="1"/>
  <c r="N1545"/>
  <c r="AG1544"/>
  <c r="AJ1544"/>
  <c r="V1544"/>
  <c r="T1544" l="1"/>
  <c r="AI1544"/>
  <c r="X1544"/>
  <c r="Y1544" s="1"/>
  <c r="N1544"/>
  <c r="AG1543"/>
  <c r="V1543"/>
  <c r="AJ1543"/>
  <c r="T1543" l="1"/>
  <c r="AI1543"/>
  <c r="X1543"/>
  <c r="Y1543" s="1"/>
  <c r="N1543"/>
  <c r="AG1542"/>
  <c r="V1542"/>
  <c r="AJ1542"/>
  <c r="T1542" l="1"/>
  <c r="AI1542"/>
  <c r="X1542"/>
  <c r="Y1542" s="1"/>
  <c r="N1542"/>
  <c r="AG1541"/>
  <c r="V1541"/>
  <c r="AJ1541"/>
  <c r="T1541" l="1"/>
  <c r="AI1541"/>
  <c r="X1541"/>
  <c r="Y1541" s="1"/>
  <c r="AG1536" l="1"/>
  <c r="AJ1536"/>
  <c r="V1536"/>
  <c r="T1536" l="1"/>
  <c r="AI1536"/>
  <c r="X1536"/>
  <c r="Y1536" s="1"/>
  <c r="AG1535"/>
  <c r="AJ1535"/>
  <c r="V1535"/>
  <c r="T1535" l="1"/>
  <c r="AI1535"/>
  <c r="X1535"/>
  <c r="Y1535" s="1"/>
  <c r="N1535"/>
  <c r="AG1534"/>
  <c r="AJ1534"/>
  <c r="V1534"/>
  <c r="T1534" l="1"/>
  <c r="AI1534"/>
  <c r="X1534"/>
  <c r="Y1534" s="1"/>
  <c r="N1534"/>
  <c r="AG1532" l="1"/>
  <c r="V1532"/>
  <c r="AJ1532"/>
  <c r="T1532" l="1"/>
  <c r="AI1532"/>
  <c r="X1532"/>
  <c r="Y1532" s="1"/>
  <c r="N1532"/>
  <c r="AG1531"/>
  <c r="V1531"/>
  <c r="AJ1531"/>
  <c r="T1531" l="1"/>
  <c r="AI1531"/>
  <c r="X1531"/>
  <c r="Y1531" s="1"/>
  <c r="N1531"/>
  <c r="AG1529" l="1"/>
  <c r="AJ1529"/>
  <c r="V1529"/>
  <c r="T1529" l="1"/>
  <c r="AI1529"/>
  <c r="X1529"/>
  <c r="Y1529" s="1"/>
  <c r="N1529"/>
  <c r="AG1526" l="1"/>
  <c r="V1526"/>
  <c r="AJ1526"/>
  <c r="T1526" l="1"/>
  <c r="AI1526"/>
  <c r="X1526"/>
  <c r="Y1526" s="1"/>
  <c r="N1526"/>
  <c r="AG1525"/>
  <c r="AJ1525"/>
  <c r="V1525"/>
  <c r="T1525" l="1"/>
  <c r="AI1525"/>
  <c r="X1525"/>
  <c r="Y1525" s="1"/>
  <c r="N1525"/>
  <c r="AG1524"/>
  <c r="V1524"/>
  <c r="AJ1524"/>
  <c r="T1524" l="1"/>
  <c r="AI1524"/>
  <c r="X1524"/>
  <c r="Y1524" s="1"/>
  <c r="N1524"/>
  <c r="AG1523"/>
  <c r="V1523"/>
  <c r="AJ1523"/>
  <c r="T1523" l="1"/>
  <c r="AI1523"/>
  <c r="X1523"/>
  <c r="Y1523" s="1"/>
  <c r="N1523"/>
  <c r="AG1522"/>
  <c r="V1522"/>
  <c r="AJ1522"/>
  <c r="T1522" l="1"/>
  <c r="AI1522"/>
  <c r="X1522"/>
  <c r="Y1522" s="1"/>
  <c r="N1522"/>
  <c r="AG1520" l="1"/>
  <c r="AJ1520"/>
  <c r="V1520"/>
  <c r="T1520" l="1"/>
  <c r="AI1520"/>
  <c r="X1520"/>
  <c r="Y1520" s="1"/>
  <c r="N1520"/>
  <c r="AG1518" l="1"/>
  <c r="AJ1518"/>
  <c r="V1518"/>
  <c r="T1518" l="1"/>
  <c r="AI1518"/>
  <c r="X1518"/>
  <c r="Y1518" s="1"/>
  <c r="N1518"/>
  <c r="AG1517"/>
  <c r="AJ1517"/>
  <c r="V1517"/>
  <c r="T1517" l="1"/>
  <c r="AI1517"/>
  <c r="X1517"/>
  <c r="Y1517" s="1"/>
  <c r="N1517"/>
  <c r="AG1515" l="1"/>
  <c r="V1515"/>
  <c r="AJ1515"/>
  <c r="T1515" l="1"/>
  <c r="AI1515"/>
  <c r="X1515"/>
  <c r="Y1515" s="1"/>
  <c r="N1515"/>
  <c r="AG1514"/>
  <c r="AJ1514"/>
  <c r="V1514"/>
  <c r="T1514" l="1"/>
  <c r="AI1514"/>
  <c r="X1514"/>
  <c r="Y1514" s="1"/>
  <c r="N1514"/>
  <c r="AG1513"/>
  <c r="AJ1513"/>
  <c r="V1513"/>
  <c r="T1513" l="1"/>
  <c r="AI1513"/>
  <c r="X1513"/>
  <c r="Y1513" s="1"/>
  <c r="N1513"/>
  <c r="AG1512"/>
  <c r="AJ1512"/>
  <c r="V1512"/>
  <c r="T1512" l="1"/>
  <c r="AI1512"/>
  <c r="X1512"/>
  <c r="Y1512" s="1"/>
  <c r="N1512"/>
  <c r="AG1510" l="1"/>
  <c r="V1510"/>
  <c r="AJ1510"/>
  <c r="T1510" l="1"/>
  <c r="AI1510"/>
  <c r="X1510"/>
  <c r="Y1510" s="1"/>
  <c r="AG1507"/>
  <c r="AJ1507"/>
  <c r="V1507"/>
  <c r="T1507" l="1"/>
  <c r="AI1507"/>
  <c r="X1507"/>
  <c r="Y1507" s="1"/>
  <c r="N1507"/>
  <c r="AG1506"/>
  <c r="AJ1506"/>
  <c r="V1506"/>
  <c r="T1506" l="1"/>
  <c r="AI1506"/>
  <c r="X1506"/>
  <c r="Y1506" s="1"/>
  <c r="N1506"/>
  <c r="AG1505"/>
  <c r="X1505"/>
  <c r="Y1505" s="1"/>
  <c r="N1505"/>
  <c r="AG1504"/>
  <c r="AJ1504"/>
  <c r="AJ1505"/>
  <c r="V1504"/>
  <c r="T1504" l="1"/>
  <c r="AI1504"/>
  <c r="AI1505"/>
  <c r="X1504"/>
  <c r="Y1504" s="1"/>
  <c r="N1504"/>
  <c r="AG1503"/>
  <c r="V1503"/>
  <c r="AJ1503"/>
  <c r="T1503" l="1"/>
  <c r="AI1503"/>
  <c r="X1503"/>
  <c r="Y1503" s="1"/>
  <c r="N1503"/>
  <c r="AG1502"/>
  <c r="V1502"/>
  <c r="AJ1502"/>
  <c r="T1502" l="1"/>
  <c r="AI1502"/>
  <c r="X1502"/>
  <c r="Y1502" s="1"/>
  <c r="N1502"/>
  <c r="AG1500" l="1"/>
  <c r="AJ1500"/>
  <c r="V1500"/>
  <c r="T1500" l="1"/>
  <c r="AI1500"/>
  <c r="X1500"/>
  <c r="Y1500" s="1"/>
  <c r="N1500"/>
  <c r="AG1499"/>
  <c r="AJ1499"/>
  <c r="V1499"/>
  <c r="T1499" l="1"/>
  <c r="AI1499"/>
  <c r="X1499"/>
  <c r="Y1499" s="1"/>
  <c r="N1499"/>
  <c r="AG1498"/>
  <c r="AJ1498"/>
  <c r="V1498"/>
  <c r="T1498" l="1"/>
  <c r="AI1498"/>
  <c r="X1498"/>
  <c r="Y1498" s="1"/>
  <c r="N1498"/>
  <c r="AG1497"/>
  <c r="AJ1497"/>
  <c r="V1497"/>
  <c r="T1497" l="1"/>
  <c r="AI1497"/>
  <c r="X1497"/>
  <c r="Y1497" s="1"/>
  <c r="N1497"/>
  <c r="AG1496"/>
  <c r="V1496"/>
  <c r="AJ1496"/>
  <c r="T1496" l="1"/>
  <c r="AI1496"/>
  <c r="X1496"/>
  <c r="Y1496" s="1"/>
  <c r="N1496"/>
  <c r="AG1495"/>
  <c r="V1495"/>
  <c r="AJ1495"/>
  <c r="T1495" l="1"/>
  <c r="AI1495"/>
  <c r="X1495"/>
  <c r="Y1495" s="1"/>
  <c r="N1495"/>
  <c r="AG1494"/>
  <c r="AJ1494"/>
  <c r="V1494"/>
  <c r="T1494" l="1"/>
  <c r="AI1494"/>
  <c r="X1494"/>
  <c r="Y1494" s="1"/>
  <c r="N1494"/>
  <c r="AG1493"/>
  <c r="V1493"/>
  <c r="AJ1493"/>
  <c r="T1493" l="1"/>
  <c r="AI1493"/>
  <c r="X1493"/>
  <c r="Y1493" s="1"/>
  <c r="N1493"/>
  <c r="AG1492"/>
  <c r="AJ1492"/>
  <c r="V1492"/>
  <c r="T1492" l="1"/>
  <c r="AI1492"/>
  <c r="X1492"/>
  <c r="Y1492" s="1"/>
  <c r="N1492"/>
  <c r="AG1491"/>
  <c r="AJ1491"/>
  <c r="V1491"/>
  <c r="T1491" l="1"/>
  <c r="AI1491"/>
  <c r="X1491"/>
  <c r="Y1491" s="1"/>
  <c r="N1491"/>
  <c r="AG1490"/>
  <c r="AJ1490"/>
  <c r="V1490"/>
  <c r="T1490" l="1"/>
  <c r="AI1490"/>
  <c r="X1490"/>
  <c r="Y1490" s="1"/>
  <c r="N1490"/>
  <c r="AG1489"/>
  <c r="AJ1489"/>
  <c r="V1489"/>
  <c r="T1489" l="1"/>
  <c r="AI1489"/>
  <c r="X1489"/>
  <c r="Y1489" s="1"/>
  <c r="N1489"/>
  <c r="AG1488"/>
  <c r="V1488"/>
  <c r="AJ1488"/>
  <c r="T1488" l="1"/>
  <c r="AI1488"/>
  <c r="X1488"/>
  <c r="Y1488" s="1"/>
  <c r="N1488"/>
  <c r="AG1487"/>
  <c r="AJ1487"/>
  <c r="V1487"/>
  <c r="T1487" l="1"/>
  <c r="AI1487"/>
  <c r="X1487"/>
  <c r="Y1487" s="1"/>
  <c r="N1487"/>
  <c r="AG1486"/>
  <c r="AJ1486"/>
  <c r="V1486"/>
  <c r="T1486" l="1"/>
  <c r="AI1486"/>
  <c r="X1486"/>
  <c r="Y1486" s="1"/>
  <c r="N1486"/>
  <c r="AG1485"/>
  <c r="AJ1485"/>
  <c r="V1485"/>
  <c r="T1485" l="1"/>
  <c r="AI1485"/>
  <c r="X1485"/>
  <c r="Y1485" s="1"/>
  <c r="N1485"/>
  <c r="AG1484"/>
  <c r="AJ1484"/>
  <c r="V1484"/>
  <c r="T1484" l="1"/>
  <c r="AI1484"/>
  <c r="X1484"/>
  <c r="Y1484" s="1"/>
  <c r="N1484"/>
  <c r="AG1483"/>
  <c r="AJ1483"/>
  <c r="V1483"/>
  <c r="T1483" l="1"/>
  <c r="AI1483"/>
  <c r="X1483"/>
  <c r="Y1483" s="1"/>
  <c r="N1483"/>
  <c r="AG1482"/>
  <c r="AJ1482"/>
  <c r="V1482"/>
  <c r="T1482" l="1"/>
  <c r="AI1482"/>
  <c r="X1482"/>
  <c r="Y1482" s="1"/>
  <c r="N1482"/>
  <c r="AG1481"/>
  <c r="V1481"/>
  <c r="AJ1481"/>
  <c r="T1481" l="1"/>
  <c r="AI1481"/>
  <c r="X1481"/>
  <c r="Y1481" s="1"/>
  <c r="N1481"/>
  <c r="AG1480"/>
  <c r="AJ1480"/>
  <c r="V1480"/>
  <c r="T1480" l="1"/>
  <c r="AI1480"/>
  <c r="X1480"/>
  <c r="Y1480" s="1"/>
  <c r="N1480"/>
  <c r="AG1479"/>
  <c r="AJ1479"/>
  <c r="V1479"/>
  <c r="T1479" l="1"/>
  <c r="AI1479"/>
  <c r="X1479"/>
  <c r="Y1479" s="1"/>
  <c r="N1479"/>
  <c r="AG1478"/>
  <c r="AJ1478"/>
  <c r="V1478"/>
  <c r="T1478" l="1"/>
  <c r="AI1478"/>
  <c r="X1478"/>
  <c r="Y1478" s="1"/>
  <c r="N1478"/>
  <c r="AG1477"/>
  <c r="AJ1477"/>
  <c r="V1477"/>
  <c r="T1477" l="1"/>
  <c r="AI1477"/>
  <c r="X1477"/>
  <c r="Y1477" s="1"/>
  <c r="N1477"/>
  <c r="AG1476"/>
  <c r="AJ1476"/>
  <c r="V1476"/>
  <c r="T1476" l="1"/>
  <c r="AI1476"/>
  <c r="X1476"/>
  <c r="Y1476" s="1"/>
  <c r="N1476"/>
  <c r="AG1475"/>
  <c r="V1475"/>
  <c r="AJ1475"/>
  <c r="T1475" l="1"/>
  <c r="AI1475"/>
  <c r="X1475"/>
  <c r="Y1475" s="1"/>
  <c r="N1475"/>
  <c r="AG1474"/>
  <c r="V1474"/>
  <c r="AJ1474"/>
  <c r="T1474" l="1"/>
  <c r="AI1474"/>
  <c r="X1474"/>
  <c r="Y1474" s="1"/>
  <c r="N1474"/>
  <c r="AG1473"/>
  <c r="V1473"/>
  <c r="AJ1473"/>
  <c r="T1473" l="1"/>
  <c r="AI1473"/>
  <c r="X1473"/>
  <c r="Y1473" s="1"/>
  <c r="N1473"/>
  <c r="AG1472"/>
  <c r="V1472"/>
  <c r="AJ1472"/>
  <c r="T1472" l="1"/>
  <c r="AI1472"/>
  <c r="X1472"/>
  <c r="Y1472" s="1"/>
  <c r="N1472"/>
  <c r="AG1471"/>
  <c r="V1471"/>
  <c r="AJ1471"/>
  <c r="T1471" l="1"/>
  <c r="AI1471"/>
  <c r="X1471"/>
  <c r="Y1471" s="1"/>
  <c r="N1471"/>
  <c r="AG1470"/>
  <c r="AJ1470"/>
  <c r="V1470"/>
  <c r="T1470" l="1"/>
  <c r="AI1470"/>
  <c r="X1470"/>
  <c r="Y1470" s="1"/>
  <c r="N1470"/>
  <c r="AG1469"/>
  <c r="V1469"/>
  <c r="AJ1469"/>
  <c r="T1469" l="1"/>
  <c r="AI1469"/>
  <c r="X1469"/>
  <c r="Y1469" s="1"/>
  <c r="N1469"/>
  <c r="AG1468"/>
  <c r="AJ1468"/>
  <c r="V1468"/>
  <c r="T1468" l="1"/>
  <c r="AI1468"/>
  <c r="X1468"/>
  <c r="Y1468" s="1"/>
  <c r="N1468"/>
  <c r="AG1467"/>
  <c r="V1467"/>
  <c r="AJ1467"/>
  <c r="T1467" l="1"/>
  <c r="AI1467"/>
  <c r="X1467"/>
  <c r="Y1467" s="1"/>
  <c r="N1467"/>
  <c r="AG1466"/>
  <c r="V1466"/>
  <c r="AJ1466"/>
  <c r="T1466" l="1"/>
  <c r="AI1466"/>
  <c r="X1466"/>
  <c r="Y1466" s="1"/>
  <c r="N1466"/>
  <c r="AG1465"/>
  <c r="V1465"/>
  <c r="AJ1465"/>
  <c r="T1465" l="1"/>
  <c r="AI1465"/>
  <c r="X1465"/>
  <c r="Y1465" s="1"/>
  <c r="N1465"/>
  <c r="AG1464"/>
  <c r="AJ1464"/>
  <c r="V1464"/>
  <c r="T1464" l="1"/>
  <c r="AI1464"/>
  <c r="X1464"/>
  <c r="Y1464" s="1"/>
  <c r="N1464"/>
  <c r="AG1463"/>
  <c r="V1463"/>
  <c r="AJ1463"/>
  <c r="T1463" l="1"/>
  <c r="AI1463"/>
  <c r="X1463"/>
  <c r="Y1463" s="1"/>
  <c r="N1463"/>
  <c r="AG1462"/>
  <c r="AJ1462"/>
  <c r="V1462"/>
  <c r="T1462" l="1"/>
  <c r="AI1462"/>
  <c r="X1462"/>
  <c r="Y1462" s="1"/>
  <c r="N1462"/>
  <c r="AG1461"/>
  <c r="AJ1461"/>
  <c r="V1461"/>
  <c r="T1461" l="1"/>
  <c r="AI1461"/>
  <c r="X1461"/>
  <c r="Y1461" s="1"/>
  <c r="N1461"/>
  <c r="AG1460"/>
  <c r="AJ1460"/>
  <c r="V1460"/>
  <c r="T1460" l="1"/>
  <c r="AI1460"/>
  <c r="X1460"/>
  <c r="Y1460" s="1"/>
  <c r="N1460"/>
  <c r="AG1459"/>
  <c r="AJ1459"/>
  <c r="V1459"/>
  <c r="T1459" l="1"/>
  <c r="AI1459"/>
  <c r="X1459"/>
  <c r="Y1459" s="1"/>
  <c r="N1459"/>
  <c r="AG1458"/>
  <c r="AJ1458"/>
  <c r="V1458"/>
  <c r="T1458" l="1"/>
  <c r="AI1458"/>
  <c r="X1458"/>
  <c r="Y1458" s="1"/>
  <c r="N1458"/>
  <c r="AG1457"/>
  <c r="AJ1457"/>
  <c r="V1457"/>
  <c r="T1457" l="1"/>
  <c r="AI1457"/>
  <c r="X1457"/>
  <c r="Y1457" s="1"/>
  <c r="N1457"/>
  <c r="AG1456"/>
  <c r="AJ1456"/>
  <c r="V1456"/>
  <c r="T1456" l="1"/>
  <c r="AI1456"/>
  <c r="X1456"/>
  <c r="Y1456" s="1"/>
  <c r="N1456"/>
  <c r="AG1455"/>
  <c r="AJ1455"/>
  <c r="V1455"/>
  <c r="T1455" l="1"/>
  <c r="AI1455"/>
  <c r="X1455"/>
  <c r="Y1455" s="1"/>
  <c r="N1455"/>
  <c r="AG1454"/>
  <c r="V1454"/>
  <c r="AJ1454"/>
  <c r="T1454" l="1"/>
  <c r="AI1454"/>
  <c r="X1454"/>
  <c r="Y1454" s="1"/>
  <c r="N1454"/>
  <c r="AG1453"/>
  <c r="V1453"/>
  <c r="AJ1453"/>
  <c r="T1453" l="1"/>
  <c r="AI1453"/>
  <c r="X1453"/>
  <c r="Y1453" s="1"/>
  <c r="N1453"/>
  <c r="AG1452"/>
  <c r="AJ1452"/>
  <c r="V1452"/>
  <c r="T1452" l="1"/>
  <c r="AI1452"/>
  <c r="X1452"/>
  <c r="Y1452" s="1"/>
  <c r="N1452"/>
  <c r="AG1451"/>
  <c r="AJ1451"/>
  <c r="V1451"/>
  <c r="T1451" l="1"/>
  <c r="AI1451"/>
  <c r="X1451"/>
  <c r="Y1451" s="1"/>
  <c r="N1451"/>
  <c r="AG1450"/>
  <c r="AJ1450"/>
  <c r="V1450"/>
  <c r="T1450" l="1"/>
  <c r="AI1450"/>
  <c r="X1450"/>
  <c r="Y1450" s="1"/>
  <c r="N1450"/>
  <c r="AG1449"/>
  <c r="V1449"/>
  <c r="AJ1449"/>
  <c r="T1449" l="1"/>
  <c r="AI1449"/>
  <c r="X1449"/>
  <c r="Y1449" s="1"/>
  <c r="N1449"/>
  <c r="AG1448"/>
  <c r="AJ1448"/>
  <c r="V1448"/>
  <c r="T1448" l="1"/>
  <c r="AI1448"/>
  <c r="X1448"/>
  <c r="Y1448" s="1"/>
  <c r="N1448"/>
  <c r="AG1447"/>
  <c r="V1447"/>
  <c r="AJ1447"/>
  <c r="T1447" l="1"/>
  <c r="AI1447"/>
  <c r="X1447"/>
  <c r="Y1447" s="1"/>
  <c r="N1447"/>
  <c r="AG1446"/>
  <c r="AJ1446"/>
  <c r="V1446"/>
  <c r="T1446" l="1"/>
  <c r="AI1446"/>
  <c r="X1446"/>
  <c r="Y1446" s="1"/>
  <c r="N1446"/>
  <c r="AG1445"/>
  <c r="V1445"/>
  <c r="AJ1445"/>
  <c r="T1445" l="1"/>
  <c r="AI1445"/>
  <c r="X1445"/>
  <c r="Y1445" s="1"/>
  <c r="N1445"/>
  <c r="AG1444"/>
  <c r="AJ1444"/>
  <c r="V1444"/>
  <c r="T1444" l="1"/>
  <c r="AI1444"/>
  <c r="X1444"/>
  <c r="Y1444" s="1"/>
  <c r="N1444"/>
  <c r="AG1443"/>
  <c r="AJ1443"/>
  <c r="V1443"/>
  <c r="T1443" l="1"/>
  <c r="AI1443"/>
  <c r="X1443"/>
  <c r="Y1443" s="1"/>
  <c r="N1443"/>
  <c r="AG1442"/>
  <c r="V1442"/>
  <c r="AJ1442"/>
  <c r="T1442" l="1"/>
  <c r="AI1442"/>
  <c r="X1442"/>
  <c r="Y1442" s="1"/>
  <c r="N1442"/>
  <c r="AG1441"/>
  <c r="AJ1441"/>
  <c r="V1441"/>
  <c r="T1441" l="1"/>
  <c r="AI1441"/>
  <c r="X1441"/>
  <c r="Y1441" s="1"/>
  <c r="N1441"/>
  <c r="AG1440"/>
  <c r="V1440"/>
  <c r="AJ1440"/>
  <c r="T1440" l="1"/>
  <c r="AI1440"/>
  <c r="X1440"/>
  <c r="Y1440" s="1"/>
  <c r="N1440"/>
  <c r="AG1439"/>
  <c r="V1439"/>
  <c r="AJ1439"/>
  <c r="T1439" l="1"/>
  <c r="AI1439"/>
  <c r="X1439"/>
  <c r="Y1439" s="1"/>
  <c r="N1439"/>
  <c r="AG1438"/>
  <c r="AJ1438"/>
  <c r="V1438"/>
  <c r="T1438" l="1"/>
  <c r="AI1438"/>
  <c r="X1438"/>
  <c r="Y1438" s="1"/>
  <c r="N1438"/>
  <c r="AG1437"/>
  <c r="AJ1437"/>
  <c r="V1437"/>
  <c r="T1437" l="1"/>
  <c r="AI1437"/>
  <c r="X1437"/>
  <c r="Y1437" s="1"/>
  <c r="N1437"/>
  <c r="AG1436"/>
  <c r="AJ1436"/>
  <c r="V1436"/>
  <c r="T1436" l="1"/>
  <c r="AI1436"/>
  <c r="X1436"/>
  <c r="Y1436" s="1"/>
  <c r="N1436"/>
  <c r="AG1435"/>
  <c r="V1435"/>
  <c r="AJ1435"/>
  <c r="T1435" l="1"/>
  <c r="AI1435"/>
  <c r="X1435"/>
  <c r="Y1435" s="1"/>
  <c r="N1435"/>
  <c r="AG1431" l="1"/>
  <c r="AJ1431"/>
  <c r="V1431"/>
  <c r="T1431" l="1"/>
  <c r="AI1431"/>
  <c r="X1431"/>
  <c r="Y1431" s="1"/>
  <c r="N1431"/>
  <c r="AG1430"/>
  <c r="AJ1430"/>
  <c r="V1430"/>
  <c r="T1430" l="1"/>
  <c r="AI1430"/>
  <c r="X1430"/>
  <c r="Y1430" s="1"/>
  <c r="N1430"/>
  <c r="AG1429"/>
  <c r="V1429"/>
  <c r="AJ1429"/>
  <c r="T1429" l="1"/>
  <c r="AI1429"/>
  <c r="X1429"/>
  <c r="Y1429" s="1"/>
  <c r="N1429"/>
  <c r="AG1428"/>
  <c r="V1428"/>
  <c r="AJ1428"/>
  <c r="T1428" l="1"/>
  <c r="AI1428"/>
  <c r="X1428"/>
  <c r="Y1428" s="1"/>
  <c r="N1428"/>
  <c r="AG1427"/>
  <c r="AJ1427"/>
  <c r="V1427"/>
  <c r="T1427" l="1"/>
  <c r="AI1427"/>
  <c r="X1427"/>
  <c r="Y1427" s="1"/>
  <c r="N1427"/>
  <c r="AG1426"/>
  <c r="V1426"/>
  <c r="AJ1426"/>
  <c r="T1426" l="1"/>
  <c r="AI1426"/>
  <c r="X1426"/>
  <c r="Y1426" s="1"/>
  <c r="N1426"/>
  <c r="AG1425"/>
  <c r="V1425"/>
  <c r="AJ1425"/>
  <c r="T1425" l="1"/>
  <c r="AI1425"/>
  <c r="X1425"/>
  <c r="Y1425" s="1"/>
  <c r="N1425"/>
  <c r="AG1423" l="1"/>
  <c r="AJ1423"/>
  <c r="V1423"/>
  <c r="T1423" l="1"/>
  <c r="AI1423"/>
  <c r="X1423"/>
  <c r="Y1423" s="1"/>
  <c r="N1423"/>
  <c r="AG1422"/>
  <c r="AJ1422"/>
  <c r="V1422"/>
  <c r="T1422" l="1"/>
  <c r="AI1422"/>
  <c r="X1422"/>
  <c r="Y1422" s="1"/>
  <c r="N1422"/>
  <c r="AG1421"/>
  <c r="AJ1421"/>
  <c r="V1421"/>
  <c r="T1421" l="1"/>
  <c r="AI1421"/>
  <c r="X1421"/>
  <c r="Y1421" s="1"/>
  <c r="N1421"/>
  <c r="AG1420"/>
  <c r="AJ1420"/>
  <c r="V1420"/>
  <c r="T1420" l="1"/>
  <c r="AI1420"/>
  <c r="X1420"/>
  <c r="Y1420" s="1"/>
  <c r="N1420"/>
  <c r="AG1419"/>
  <c r="AJ1419"/>
  <c r="V1419"/>
  <c r="T1419" l="1"/>
  <c r="AI1419"/>
  <c r="X1419"/>
  <c r="Y1419" s="1"/>
  <c r="N1419"/>
  <c r="AG1418"/>
  <c r="AJ1418"/>
  <c r="V1418"/>
  <c r="T1418" l="1"/>
  <c r="AI1418"/>
  <c r="X1418"/>
  <c r="Y1418" s="1"/>
  <c r="N1418"/>
  <c r="AG1417"/>
  <c r="AJ1417"/>
  <c r="V1417"/>
  <c r="T1417" l="1"/>
  <c r="AI1417"/>
  <c r="X1417"/>
  <c r="Y1417" s="1"/>
  <c r="N1417"/>
  <c r="AG1416"/>
  <c r="V1416"/>
  <c r="AJ1416"/>
  <c r="T1416" l="1"/>
  <c r="AI1416"/>
  <c r="X1416"/>
  <c r="Y1416" s="1"/>
  <c r="N1416"/>
  <c r="AG1415"/>
  <c r="AJ1415"/>
  <c r="V1415"/>
  <c r="T1415" l="1"/>
  <c r="AI1415"/>
  <c r="X1415"/>
  <c r="Y1415" s="1"/>
  <c r="N1415"/>
  <c r="AG1414"/>
  <c r="V1414"/>
  <c r="AJ1414"/>
  <c r="T1414" l="1"/>
  <c r="AI1414"/>
  <c r="X1414"/>
  <c r="Y1414" s="1"/>
  <c r="N1414"/>
  <c r="AG1412" l="1"/>
  <c r="V1412"/>
  <c r="AJ1412"/>
  <c r="T1412" l="1"/>
  <c r="AI1412"/>
  <c r="X1412"/>
  <c r="Y1412" s="1"/>
  <c r="N1412"/>
  <c r="AG1411"/>
  <c r="AJ1411"/>
  <c r="V1411"/>
  <c r="T1411" l="1"/>
  <c r="AI1411"/>
  <c r="X1411"/>
  <c r="Y1411" s="1"/>
  <c r="N1411"/>
  <c r="AG1410"/>
  <c r="AJ1410"/>
  <c r="V1410"/>
  <c r="T1410" l="1"/>
  <c r="AI1410"/>
  <c r="X1410"/>
  <c r="Y1410" s="1"/>
  <c r="N1410"/>
  <c r="AG1409"/>
  <c r="V1409"/>
  <c r="AJ1409"/>
  <c r="T1409" l="1"/>
  <c r="AI1409"/>
  <c r="X1409"/>
  <c r="Y1409" s="1"/>
  <c r="N1409"/>
  <c r="AG1408"/>
  <c r="V1408"/>
  <c r="AJ1408"/>
  <c r="T1408" l="1"/>
  <c r="AI1408"/>
  <c r="X1408"/>
  <c r="Y1408" s="1"/>
  <c r="N1408"/>
  <c r="AG1407"/>
  <c r="AJ1407"/>
  <c r="V1407"/>
  <c r="T1407" l="1"/>
  <c r="AI1407"/>
  <c r="X1407"/>
  <c r="Y1407" s="1"/>
  <c r="N1407"/>
  <c r="AG1406"/>
  <c r="V1406"/>
  <c r="AJ1406"/>
  <c r="T1406" l="1"/>
  <c r="AI1406"/>
  <c r="X1406"/>
  <c r="Y1406" s="1"/>
  <c r="N1406"/>
  <c r="AG1405"/>
  <c r="AJ1405"/>
  <c r="V1405"/>
  <c r="T1405" l="1"/>
  <c r="AI1405"/>
  <c r="X1405"/>
  <c r="Y1405" s="1"/>
  <c r="N1405"/>
  <c r="AG1404"/>
  <c r="AJ1404"/>
  <c r="V1404"/>
  <c r="T1404" l="1"/>
  <c r="AI1404"/>
  <c r="X1404"/>
  <c r="Y1404" s="1"/>
  <c r="N1404"/>
  <c r="AG1403"/>
  <c r="AJ1403"/>
  <c r="V1403"/>
  <c r="T1403" l="1"/>
  <c r="AI1403"/>
  <c r="X1403"/>
  <c r="Y1403" s="1"/>
  <c r="N1403"/>
  <c r="AG1401" l="1"/>
  <c r="AJ1401"/>
  <c r="V1401"/>
  <c r="T1401" l="1"/>
  <c r="AI1401"/>
  <c r="X1401"/>
  <c r="Y1401" s="1"/>
  <c r="N1401"/>
  <c r="AG1400"/>
  <c r="AJ1400"/>
  <c r="V1400"/>
  <c r="T1400" l="1"/>
  <c r="AI1400"/>
  <c r="X1400"/>
  <c r="Y1400" s="1"/>
  <c r="N1400"/>
  <c r="AG1399"/>
  <c r="V1399"/>
  <c r="AJ1399"/>
  <c r="T1399" l="1"/>
  <c r="AI1399"/>
  <c r="X1399"/>
  <c r="Y1399" s="1"/>
  <c r="N1399"/>
  <c r="AG1398"/>
  <c r="AJ1398"/>
  <c r="V1398"/>
  <c r="T1398" l="1"/>
  <c r="AI1398"/>
  <c r="X1398"/>
  <c r="Y1398" s="1"/>
  <c r="N1398"/>
  <c r="AG1397"/>
  <c r="V1397"/>
  <c r="AJ1397"/>
  <c r="T1397" l="1"/>
  <c r="AI1397"/>
  <c r="X1397"/>
  <c r="Y1397" s="1"/>
  <c r="N1397"/>
  <c r="AG1396"/>
  <c r="AJ1396"/>
  <c r="V1396"/>
  <c r="T1396" l="1"/>
  <c r="AI1396"/>
  <c r="X1396"/>
  <c r="Y1396" s="1"/>
  <c r="N1396"/>
  <c r="AG1395"/>
  <c r="AJ1395"/>
  <c r="V1395"/>
  <c r="T1395" l="1"/>
  <c r="AI1395"/>
  <c r="X1395"/>
  <c r="Y1395" s="1"/>
  <c r="N1395"/>
  <c r="AG1393" l="1"/>
  <c r="AJ1393"/>
  <c r="V1393"/>
  <c r="T1393" l="1"/>
  <c r="AI1393"/>
  <c r="X1393"/>
  <c r="Y1393" s="1"/>
  <c r="N1393"/>
  <c r="AG1392"/>
  <c r="AJ1392"/>
  <c r="V1392"/>
  <c r="T1392" l="1"/>
  <c r="AI1392"/>
  <c r="X1392"/>
  <c r="Y1392" s="1"/>
  <c r="N1392"/>
  <c r="AG1391"/>
  <c r="AJ1391"/>
  <c r="V1391"/>
  <c r="T1391" l="1"/>
  <c r="AI1391"/>
  <c r="X1391"/>
  <c r="Y1391" s="1"/>
  <c r="N1391"/>
  <c r="AG1390"/>
  <c r="V1390"/>
  <c r="AJ1390"/>
  <c r="T1390" l="1"/>
  <c r="AI1390"/>
  <c r="X1390"/>
  <c r="Y1390" s="1"/>
  <c r="N1390"/>
  <c r="AG1389"/>
  <c r="AJ1389"/>
  <c r="V1389"/>
  <c r="T1389" l="1"/>
  <c r="AI1389"/>
  <c r="X1389"/>
  <c r="Y1389" s="1"/>
  <c r="N1389"/>
  <c r="AG1388"/>
  <c r="V1388"/>
  <c r="AJ1388"/>
  <c r="T1388" l="1"/>
  <c r="AI1388"/>
  <c r="X1388"/>
  <c r="Y1388" s="1"/>
  <c r="N1388"/>
  <c r="AG1387"/>
  <c r="AJ1387"/>
  <c r="V1387"/>
  <c r="T1387" l="1"/>
  <c r="AI1387"/>
  <c r="X1387"/>
  <c r="Y1387" s="1"/>
  <c r="N1387"/>
  <c r="AG1386"/>
  <c r="V1386"/>
  <c r="AJ1386"/>
  <c r="T1386" l="1"/>
  <c r="AI1386"/>
  <c r="X1386"/>
  <c r="Y1386" s="1"/>
  <c r="N1386"/>
  <c r="AG1385"/>
  <c r="AJ1385"/>
  <c r="V1385"/>
  <c r="T1385" l="1"/>
  <c r="AI1385"/>
  <c r="X1385"/>
  <c r="Y1385" s="1"/>
  <c r="N1385"/>
  <c r="AG1383" l="1"/>
  <c r="AJ1383"/>
  <c r="V1383"/>
  <c r="T1383" l="1"/>
  <c r="AI1383"/>
  <c r="X1383"/>
  <c r="Y1383" s="1"/>
  <c r="AG1382"/>
  <c r="AJ1382"/>
  <c r="V1382"/>
  <c r="T1382" l="1"/>
  <c r="AI1382"/>
  <c r="X1382"/>
  <c r="Y1382" s="1"/>
  <c r="N1382"/>
  <c r="AG1381"/>
  <c r="V1381"/>
  <c r="AJ1381"/>
  <c r="T1381" l="1"/>
  <c r="AI1381"/>
  <c r="X1381"/>
  <c r="Y1381" s="1"/>
  <c r="N1381"/>
  <c r="AG1380"/>
  <c r="V1380"/>
  <c r="AJ1380"/>
  <c r="T1380" l="1"/>
  <c r="AI1380"/>
  <c r="X1380"/>
  <c r="Y1380" s="1"/>
  <c r="N1380"/>
  <c r="AG1378" l="1"/>
  <c r="AJ1378"/>
  <c r="V1378"/>
  <c r="T1378" l="1"/>
  <c r="AI1378"/>
  <c r="X1378"/>
  <c r="Y1378" s="1"/>
  <c r="N1378"/>
  <c r="AG1377"/>
  <c r="V1377"/>
  <c r="AJ1377"/>
  <c r="T1377" l="1"/>
  <c r="AI1377"/>
  <c r="X1377"/>
  <c r="Y1377" s="1"/>
  <c r="N1377"/>
  <c r="AG1376"/>
  <c r="AJ1376"/>
  <c r="V1376"/>
  <c r="T1376" l="1"/>
  <c r="AI1376"/>
  <c r="X1376"/>
  <c r="Y1376" s="1"/>
  <c r="N1376"/>
  <c r="AG1375"/>
  <c r="V1375"/>
  <c r="AJ1375"/>
  <c r="T1375" l="1"/>
  <c r="AI1375"/>
  <c r="X1375"/>
  <c r="Y1375" s="1"/>
  <c r="N1375"/>
  <c r="AG1373"/>
  <c r="V1373"/>
  <c r="AJ1373"/>
  <c r="T1373" l="1"/>
  <c r="AI1373"/>
  <c r="X1373"/>
  <c r="Y1373" s="1"/>
  <c r="N1373"/>
  <c r="AG1372"/>
  <c r="AJ1372"/>
  <c r="V1372"/>
  <c r="T1372" l="1"/>
  <c r="AI1372"/>
  <c r="X1372"/>
  <c r="Y1372" s="1"/>
  <c r="N1372"/>
  <c r="AG1371" l="1"/>
  <c r="AJ1371"/>
  <c r="V1371"/>
  <c r="T1371" l="1"/>
  <c r="AI1371"/>
  <c r="X1371"/>
  <c r="Y1371" s="1"/>
  <c r="N1371"/>
  <c r="AG1370"/>
  <c r="AJ1370"/>
  <c r="V1370"/>
  <c r="T1370" l="1"/>
  <c r="AI1370"/>
  <c r="X1370"/>
  <c r="Y1370" s="1"/>
  <c r="N1370"/>
  <c r="AG1369"/>
  <c r="V1369"/>
  <c r="AJ1369"/>
  <c r="T1369" l="1"/>
  <c r="AI1369"/>
  <c r="X1369"/>
  <c r="Y1369" s="1"/>
  <c r="N1369"/>
  <c r="AG1368"/>
  <c r="AJ1368"/>
  <c r="V1368"/>
  <c r="T1368" l="1"/>
  <c r="AI1368"/>
  <c r="X1368"/>
  <c r="Y1368" s="1"/>
  <c r="N1368"/>
  <c r="AG1367"/>
  <c r="AJ1367"/>
  <c r="V1367"/>
  <c r="T1367" l="1"/>
  <c r="AI1367"/>
  <c r="X1367"/>
  <c r="Y1367" s="1"/>
  <c r="N1367"/>
  <c r="AG1366"/>
  <c r="AJ1366"/>
  <c r="V1366"/>
  <c r="T1366" l="1"/>
  <c r="AI1366"/>
  <c r="X1366"/>
  <c r="Y1366" s="1"/>
  <c r="N1366"/>
  <c r="AG1365"/>
  <c r="AJ1365"/>
  <c r="V1365"/>
  <c r="T1365" l="1"/>
  <c r="AI1365"/>
  <c r="X1365"/>
  <c r="Y1365" s="1"/>
  <c r="N1365"/>
  <c r="AG1364"/>
  <c r="AJ1364"/>
  <c r="V1364"/>
  <c r="T1364" l="1"/>
  <c r="AI1364"/>
  <c r="X1364"/>
  <c r="Y1364" s="1"/>
  <c r="N1364"/>
  <c r="AG1363"/>
  <c r="AJ1363"/>
  <c r="V1363"/>
  <c r="T1363" l="1"/>
  <c r="AI1363"/>
  <c r="X1363"/>
  <c r="Y1363" s="1"/>
  <c r="N1363"/>
  <c r="AG1362"/>
  <c r="AJ1362"/>
  <c r="V1362"/>
  <c r="T1362" l="1"/>
  <c r="AI1362"/>
  <c r="X1362"/>
  <c r="Y1362" s="1"/>
  <c r="N1362"/>
  <c r="AG1361"/>
  <c r="V1361"/>
  <c r="AJ1361"/>
  <c r="T1361" l="1"/>
  <c r="AI1361"/>
  <c r="X1361"/>
  <c r="Y1361" s="1"/>
  <c r="N1361"/>
  <c r="AG1360"/>
  <c r="AJ1360"/>
  <c r="V1360"/>
  <c r="T1360" l="1"/>
  <c r="AI1360"/>
  <c r="X1360"/>
  <c r="Y1360" s="1"/>
  <c r="N1360"/>
  <c r="AG1359"/>
  <c r="AJ1359"/>
  <c r="V1359"/>
  <c r="T1359" l="1"/>
  <c r="AI1359"/>
  <c r="X1359"/>
  <c r="Y1359" s="1"/>
  <c r="N1359"/>
  <c r="AG1358"/>
  <c r="V1358"/>
  <c r="AJ1358"/>
  <c r="T1358" l="1"/>
  <c r="AI1358"/>
  <c r="X1358"/>
  <c r="Y1358" s="1"/>
  <c r="N1358"/>
  <c r="AG1356"/>
  <c r="V1356"/>
  <c r="AJ1356"/>
  <c r="T1356" l="1"/>
  <c r="AI1356"/>
  <c r="X1356"/>
  <c r="Y1356" s="1"/>
  <c r="N1356"/>
  <c r="AG1355"/>
  <c r="AJ1355"/>
  <c r="V1355"/>
  <c r="T1355" l="1"/>
  <c r="AI1355"/>
  <c r="X1355"/>
  <c r="Y1355" s="1"/>
  <c r="N1355"/>
  <c r="AG1354"/>
  <c r="AJ1354"/>
  <c r="V1354"/>
  <c r="T1354" l="1"/>
  <c r="AI1354"/>
  <c r="X1354"/>
  <c r="Y1354" s="1"/>
  <c r="N1354"/>
  <c r="AG1353"/>
  <c r="V1353"/>
  <c r="AJ1353"/>
  <c r="T1353" l="1"/>
  <c r="AI1353"/>
  <c r="X1353"/>
  <c r="Y1353" s="1"/>
  <c r="N1353"/>
  <c r="AG1352"/>
  <c r="V1352"/>
  <c r="AJ1352"/>
  <c r="T1352" l="1"/>
  <c r="AI1352"/>
  <c r="X1352"/>
  <c r="Y1352" s="1"/>
  <c r="N1352"/>
  <c r="AG1350" l="1"/>
  <c r="AJ1350"/>
  <c r="V1350"/>
  <c r="T1350" l="1"/>
  <c r="AI1350"/>
  <c r="X1350"/>
  <c r="Y1350" s="1"/>
  <c r="N1350"/>
  <c r="AG1349"/>
  <c r="AJ1349"/>
  <c r="V1349"/>
  <c r="T1349" l="1"/>
  <c r="AI1349"/>
  <c r="X1349"/>
  <c r="Y1349" s="1"/>
  <c r="N1349"/>
  <c r="AG1348"/>
  <c r="V1348"/>
  <c r="AJ1348"/>
  <c r="T1348" l="1"/>
  <c r="AI1348"/>
  <c r="X1348"/>
  <c r="Y1348" s="1"/>
  <c r="N1348"/>
  <c r="AG1347"/>
  <c r="AJ1347"/>
  <c r="V1347"/>
  <c r="T1347" l="1"/>
  <c r="AI1347"/>
  <c r="X1347"/>
  <c r="Y1347" s="1"/>
  <c r="N1347"/>
  <c r="AG1346"/>
  <c r="AJ1346"/>
  <c r="V1346"/>
  <c r="T1346" l="1"/>
  <c r="AI1346"/>
  <c r="X1346"/>
  <c r="Y1346" s="1"/>
  <c r="N1346"/>
  <c r="AG1345"/>
  <c r="V1345"/>
  <c r="AJ1345"/>
  <c r="T1345" l="1"/>
  <c r="AI1345"/>
  <c r="X1345"/>
  <c r="Y1345" s="1"/>
  <c r="N1345"/>
  <c r="AG1344"/>
  <c r="V1344"/>
  <c r="AJ1344"/>
  <c r="T1344" l="1"/>
  <c r="AI1344"/>
  <c r="X1344"/>
  <c r="Y1344" s="1"/>
  <c r="N1344"/>
  <c r="AG1343"/>
  <c r="V1343"/>
  <c r="AJ1343"/>
  <c r="T1343" l="1"/>
  <c r="AI1343"/>
  <c r="X1343"/>
  <c r="Y1343" s="1"/>
  <c r="N1343"/>
  <c r="AG1341" l="1"/>
  <c r="AJ1341"/>
  <c r="V1341"/>
  <c r="T1341" l="1"/>
  <c r="AI1341"/>
  <c r="X1341"/>
  <c r="Y1341" s="1"/>
  <c r="N1341"/>
  <c r="AG1340"/>
  <c r="AJ1340"/>
  <c r="V1340"/>
  <c r="T1340" l="1"/>
  <c r="AI1340"/>
  <c r="X1340"/>
  <c r="Y1340" s="1"/>
  <c r="N1340"/>
  <c r="AG1339"/>
  <c r="AJ1339"/>
  <c r="V1339"/>
  <c r="T1339" l="1"/>
  <c r="AI1339"/>
  <c r="X1339"/>
  <c r="Y1339" s="1"/>
  <c r="N1339"/>
  <c r="AG1338"/>
  <c r="AJ1338"/>
  <c r="V1338"/>
  <c r="T1338" l="1"/>
  <c r="AI1338"/>
  <c r="X1338"/>
  <c r="Y1338" s="1"/>
  <c r="N1338"/>
  <c r="AG1337"/>
  <c r="AJ1337"/>
  <c r="V1337"/>
  <c r="T1337" l="1"/>
  <c r="AI1337"/>
  <c r="X1337"/>
  <c r="Y1337" s="1"/>
  <c r="N1337"/>
  <c r="AG1335" l="1"/>
  <c r="AJ1335"/>
  <c r="V1335"/>
  <c r="T1335" l="1"/>
  <c r="AI1335"/>
  <c r="X1335"/>
  <c r="Y1335" s="1"/>
  <c r="N1335"/>
  <c r="AG1334"/>
  <c r="AJ1334"/>
  <c r="V1334"/>
  <c r="T1334" l="1"/>
  <c r="AI1334"/>
  <c r="X1334"/>
  <c r="Y1334" s="1"/>
  <c r="N1334"/>
  <c r="AG1333"/>
  <c r="AJ1333"/>
  <c r="V1333"/>
  <c r="T1333" l="1"/>
  <c r="AI1333"/>
  <c r="X1333"/>
  <c r="Y1333" s="1"/>
  <c r="N1333"/>
  <c r="AG1332"/>
  <c r="AJ1332"/>
  <c r="V1332"/>
  <c r="T1332" l="1"/>
  <c r="AI1332"/>
  <c r="X1332"/>
  <c r="Y1332" s="1"/>
  <c r="N1332"/>
  <c r="AG1331"/>
  <c r="AJ1331"/>
  <c r="V1331"/>
  <c r="T1331" l="1"/>
  <c r="AI1331"/>
  <c r="X1331"/>
  <c r="Y1331" s="1"/>
  <c r="N1331"/>
  <c r="AG1330"/>
  <c r="AJ1330"/>
  <c r="V1330"/>
  <c r="T1330" l="1"/>
  <c r="AI1330"/>
  <c r="X1330"/>
  <c r="Y1330" s="1"/>
  <c r="N1330"/>
  <c r="AG1329"/>
  <c r="AJ1329"/>
  <c r="V1329"/>
  <c r="T1329" l="1"/>
  <c r="AI1329"/>
  <c r="X1329"/>
  <c r="Y1329" s="1"/>
  <c r="N1329"/>
  <c r="AG1328"/>
  <c r="AJ1328"/>
  <c r="V1328"/>
  <c r="T1328" l="1"/>
  <c r="AI1328"/>
  <c r="X1328"/>
  <c r="Y1328" s="1"/>
  <c r="N1328"/>
  <c r="AG1327"/>
  <c r="V1327"/>
  <c r="AJ1327"/>
  <c r="T1327" l="1"/>
  <c r="AI1327"/>
  <c r="X1327"/>
  <c r="Y1327" s="1"/>
  <c r="N1327"/>
  <c r="AG1326"/>
  <c r="V1326"/>
  <c r="AJ1326"/>
  <c r="T1326" l="1"/>
  <c r="AI1326"/>
  <c r="X1326"/>
  <c r="Y1326" s="1"/>
  <c r="N1326"/>
  <c r="AG1325"/>
  <c r="AJ1325"/>
  <c r="V1325"/>
  <c r="T1325" l="1"/>
  <c r="AI1325"/>
  <c r="X1325"/>
  <c r="Y1325" s="1"/>
  <c r="N1325"/>
  <c r="AG1324"/>
  <c r="AJ1324"/>
  <c r="V1324"/>
  <c r="T1324" l="1"/>
  <c r="AI1324"/>
  <c r="X1324"/>
  <c r="Y1324" s="1"/>
  <c r="N1324"/>
  <c r="AG1323"/>
  <c r="V1323"/>
  <c r="AJ1323"/>
  <c r="T1323" l="1"/>
  <c r="AI1323"/>
  <c r="X1323"/>
  <c r="Y1323" s="1"/>
  <c r="N1323"/>
  <c r="AG1321" l="1"/>
  <c r="AJ1321"/>
  <c r="V1321"/>
  <c r="T1321" l="1"/>
  <c r="AI1321"/>
  <c r="X1321"/>
  <c r="Y1321" s="1"/>
  <c r="N1321"/>
  <c r="AG1320"/>
  <c r="AJ1320"/>
  <c r="V1320"/>
  <c r="T1320" l="1"/>
  <c r="AI1320"/>
  <c r="X1320"/>
  <c r="Y1320" s="1"/>
  <c r="N1320"/>
  <c r="AG1319"/>
  <c r="AJ1319"/>
  <c r="V1319"/>
  <c r="T1319" l="1"/>
  <c r="AI1319"/>
  <c r="X1319"/>
  <c r="Y1319" s="1"/>
  <c r="N1319"/>
  <c r="AG1318"/>
  <c r="AJ1318"/>
  <c r="V1318"/>
  <c r="T1318" l="1"/>
  <c r="AI1318"/>
  <c r="X1318"/>
  <c r="Y1318" s="1"/>
  <c r="N1318"/>
  <c r="AG1317"/>
  <c r="V1317"/>
  <c r="AJ1317"/>
  <c r="T1317" l="1"/>
  <c r="AI1317"/>
  <c r="X1317"/>
  <c r="Y1317" s="1"/>
  <c r="N1317"/>
  <c r="AG1316"/>
  <c r="V1316"/>
  <c r="AJ1316"/>
  <c r="T1316" l="1"/>
  <c r="AI1316"/>
  <c r="X1316"/>
  <c r="Y1316" s="1"/>
  <c r="N1316"/>
  <c r="AG1315"/>
  <c r="V1315"/>
  <c r="AJ1315"/>
  <c r="T1315" l="1"/>
  <c r="AI1315"/>
  <c r="X1315"/>
  <c r="Y1315" s="1"/>
  <c r="N1315"/>
  <c r="AG1314"/>
  <c r="AJ1314"/>
  <c r="V1314"/>
  <c r="T1314" l="1"/>
  <c r="AI1314"/>
  <c r="X1314"/>
  <c r="Y1314" s="1"/>
  <c r="N1314"/>
  <c r="AG1313"/>
  <c r="AJ1313"/>
  <c r="V1313"/>
  <c r="T1313" l="1"/>
  <c r="AI1313"/>
  <c r="X1313"/>
  <c r="Y1313" s="1"/>
  <c r="N1313"/>
  <c r="AG1312"/>
  <c r="V1312"/>
  <c r="AJ1312"/>
  <c r="T1312" l="1"/>
  <c r="AI1312"/>
  <c r="X1312"/>
  <c r="Y1312" s="1"/>
  <c r="N1312"/>
  <c r="AG1311"/>
  <c r="V1311"/>
  <c r="AJ1311"/>
  <c r="T1311" l="1"/>
  <c r="AI1311"/>
  <c r="X1311"/>
  <c r="Y1311" s="1"/>
  <c r="N1311"/>
  <c r="AG1310"/>
  <c r="AJ1310"/>
  <c r="V1310"/>
  <c r="T1310" l="1"/>
  <c r="AI1310"/>
  <c r="X1310"/>
  <c r="Y1310" s="1"/>
  <c r="N1310"/>
  <c r="AG1309"/>
  <c r="V1309"/>
  <c r="AJ1309"/>
  <c r="T1309" l="1"/>
  <c r="AI1309"/>
  <c r="X1309"/>
  <c r="Y1309" s="1"/>
  <c r="N1309"/>
  <c r="AG1308"/>
  <c r="V1308"/>
  <c r="AJ1308"/>
  <c r="T1308" l="1"/>
  <c r="AI1308"/>
  <c r="X1308"/>
  <c r="Y1308" s="1"/>
  <c r="N1308"/>
  <c r="AG1307"/>
  <c r="AJ1307"/>
  <c r="V1307"/>
  <c r="T1307" l="1"/>
  <c r="AI1307"/>
  <c r="X1307"/>
  <c r="Y1307" s="1"/>
  <c r="N1307"/>
  <c r="AG1306"/>
  <c r="AJ1306"/>
  <c r="V1306"/>
  <c r="T1306" l="1"/>
  <c r="AI1306"/>
  <c r="X1306"/>
  <c r="Y1306" s="1"/>
  <c r="N1306"/>
  <c r="AG1305"/>
  <c r="AJ1305"/>
  <c r="V1305"/>
  <c r="T1305" l="1"/>
  <c r="AI1305"/>
  <c r="X1305"/>
  <c r="Y1305" s="1"/>
  <c r="AG1301" l="1"/>
  <c r="AJ1301"/>
  <c r="V1301"/>
  <c r="T1301" l="1"/>
  <c r="AI1301"/>
  <c r="X1301"/>
  <c r="Y1301" s="1"/>
  <c r="N1301"/>
  <c r="AG1300"/>
  <c r="AJ1300"/>
  <c r="V1300"/>
  <c r="T1300" l="1"/>
  <c r="AI1300"/>
  <c r="X1300"/>
  <c r="Y1300" s="1"/>
  <c r="N1300"/>
  <c r="AG1299"/>
  <c r="V1299"/>
  <c r="AJ1299"/>
  <c r="T1299" l="1"/>
  <c r="AI1299"/>
  <c r="X1299"/>
  <c r="Y1299" s="1"/>
  <c r="N1299"/>
  <c r="AG1298"/>
  <c r="AJ1298"/>
  <c r="V1298"/>
  <c r="T1298" l="1"/>
  <c r="AI1298"/>
  <c r="X1298"/>
  <c r="Y1298" s="1"/>
  <c r="N1298"/>
  <c r="AG1296" l="1"/>
  <c r="V1296"/>
  <c r="AJ1296"/>
  <c r="T1296" l="1"/>
  <c r="AI1296"/>
  <c r="X1296"/>
  <c r="Y1296" s="1"/>
  <c r="N1296"/>
  <c r="AG1295"/>
  <c r="AJ1295"/>
  <c r="V1295"/>
  <c r="T1295" l="1"/>
  <c r="AI1295"/>
  <c r="X1295"/>
  <c r="Y1295" s="1"/>
  <c r="N1295"/>
  <c r="AG1294"/>
  <c r="V1294"/>
  <c r="AJ1294"/>
  <c r="T1294" l="1"/>
  <c r="AI1294"/>
  <c r="X1294"/>
  <c r="Y1294" s="1"/>
  <c r="N1294"/>
  <c r="AG1293"/>
  <c r="V1293"/>
  <c r="AJ1293"/>
  <c r="T1293" l="1"/>
  <c r="AI1293"/>
  <c r="X1293"/>
  <c r="Y1293" s="1"/>
  <c r="N1293"/>
  <c r="AG1292"/>
  <c r="AJ1292"/>
  <c r="V1292"/>
  <c r="T1292" l="1"/>
  <c r="AI1292"/>
  <c r="X1292"/>
  <c r="Y1292" s="1"/>
  <c r="N1292"/>
  <c r="AG1291"/>
  <c r="AJ1291"/>
  <c r="V1291"/>
  <c r="T1291" l="1"/>
  <c r="AI1291"/>
  <c r="X1291"/>
  <c r="Y1291" s="1"/>
  <c r="N1291"/>
  <c r="AG1290"/>
  <c r="V1290"/>
  <c r="AJ1290"/>
  <c r="T1290" l="1"/>
  <c r="AI1290"/>
  <c r="X1290"/>
  <c r="Y1290" s="1"/>
  <c r="N1290"/>
  <c r="AG1288" l="1"/>
  <c r="AJ1288"/>
  <c r="V1288"/>
  <c r="T1288" l="1"/>
  <c r="AI1288"/>
  <c r="X1288"/>
  <c r="Y1288" s="1"/>
  <c r="N1288"/>
  <c r="AG1287"/>
  <c r="V1287"/>
  <c r="AJ1287"/>
  <c r="T1287" l="1"/>
  <c r="AI1287"/>
  <c r="X1287"/>
  <c r="Y1287" s="1"/>
  <c r="N1287"/>
  <c r="AG1286"/>
  <c r="V1286"/>
  <c r="AJ1286"/>
  <c r="T1286" l="1"/>
  <c r="AI1286"/>
  <c r="X1286"/>
  <c r="Y1286" s="1"/>
  <c r="N1286"/>
  <c r="AG1285"/>
  <c r="AJ1285"/>
  <c r="V1285"/>
  <c r="T1285" l="1"/>
  <c r="AI1285"/>
  <c r="X1285"/>
  <c r="Y1285" s="1"/>
  <c r="N1285"/>
  <c r="AG1284"/>
  <c r="AJ1284"/>
  <c r="V1284"/>
  <c r="T1284" l="1"/>
  <c r="AI1284"/>
  <c r="X1284"/>
  <c r="Y1284" s="1"/>
  <c r="N1284"/>
  <c r="AG1283"/>
  <c r="AJ1283"/>
  <c r="V1283"/>
  <c r="T1283" l="1"/>
  <c r="AI1283"/>
  <c r="X1283"/>
  <c r="Y1283" s="1"/>
  <c r="N1283"/>
  <c r="AG1282"/>
  <c r="V1282"/>
  <c r="AJ1282"/>
  <c r="T1282" l="1"/>
  <c r="AI1282"/>
  <c r="X1282"/>
  <c r="Y1282" s="1"/>
  <c r="N1282"/>
  <c r="AG1281"/>
  <c r="V1281"/>
  <c r="AJ1281"/>
  <c r="T1281" l="1"/>
  <c r="AI1281"/>
  <c r="X1281"/>
  <c r="Y1281" s="1"/>
  <c r="N1281"/>
  <c r="AG1280"/>
  <c r="AJ1280"/>
  <c r="V1280"/>
  <c r="T1280" l="1"/>
  <c r="AI1280"/>
  <c r="X1280"/>
  <c r="Y1280" s="1"/>
  <c r="N1280"/>
  <c r="AG1278" l="1"/>
  <c r="AJ1278"/>
  <c r="V1278"/>
  <c r="T1278" l="1"/>
  <c r="AI1278"/>
  <c r="X1278"/>
  <c r="Y1278" s="1"/>
  <c r="N1278"/>
  <c r="AG1277"/>
  <c r="AJ1277"/>
  <c r="V1277"/>
  <c r="T1277" l="1"/>
  <c r="AI1277"/>
  <c r="X1277"/>
  <c r="Y1277" s="1"/>
  <c r="N1277"/>
  <c r="AG1276"/>
  <c r="V1276"/>
  <c r="AJ1276"/>
  <c r="T1276" l="1"/>
  <c r="AI1276"/>
  <c r="X1276"/>
  <c r="Y1276" s="1"/>
  <c r="N1276"/>
  <c r="AG1275"/>
  <c r="V1275"/>
  <c r="AJ1275"/>
  <c r="T1275" l="1"/>
  <c r="AI1275"/>
  <c r="X1275"/>
  <c r="Y1275" s="1"/>
  <c r="N1275"/>
  <c r="AG1274"/>
  <c r="AJ1274"/>
  <c r="V1274"/>
  <c r="T1274" l="1"/>
  <c r="AI1274"/>
  <c r="X1274"/>
  <c r="Y1274" s="1"/>
  <c r="N1274"/>
  <c r="AG1273"/>
  <c r="AJ1273"/>
  <c r="V1273"/>
  <c r="T1273" l="1"/>
  <c r="AI1273"/>
  <c r="X1273"/>
  <c r="Y1273" s="1"/>
  <c r="N1273"/>
  <c r="AG1272"/>
  <c r="V1272"/>
  <c r="AJ1272"/>
  <c r="T1272" l="1"/>
  <c r="AI1272"/>
  <c r="X1272"/>
  <c r="Y1272" s="1"/>
  <c r="N1272"/>
  <c r="AG1271"/>
  <c r="V1271"/>
  <c r="AJ1271"/>
  <c r="T1271" l="1"/>
  <c r="AI1271"/>
  <c r="X1271"/>
  <c r="Y1271" s="1"/>
  <c r="N1271"/>
  <c r="AG1270"/>
  <c r="AJ1270"/>
  <c r="V1270"/>
  <c r="T1270" l="1"/>
  <c r="AI1270"/>
  <c r="X1270"/>
  <c r="Y1270" s="1"/>
  <c r="N1270"/>
  <c r="AG1269"/>
  <c r="V1269"/>
  <c r="AJ1269"/>
  <c r="T1269" l="1"/>
  <c r="AI1269"/>
  <c r="X1269"/>
  <c r="Y1269" s="1"/>
  <c r="N1269"/>
  <c r="AG1268"/>
  <c r="AJ1268"/>
  <c r="V1268"/>
  <c r="T1268" l="1"/>
  <c r="AI1268"/>
  <c r="X1268"/>
  <c r="Y1268" s="1"/>
  <c r="AG1267"/>
  <c r="AJ1267"/>
  <c r="V1267"/>
  <c r="T1267" l="1"/>
  <c r="AI1267"/>
  <c r="X1267"/>
  <c r="Y1267" s="1"/>
  <c r="N1267"/>
  <c r="AG1266"/>
  <c r="AJ1266"/>
  <c r="V1266"/>
  <c r="T1266" l="1"/>
  <c r="AI1266"/>
  <c r="X1266"/>
  <c r="Y1266" s="1"/>
  <c r="N1266"/>
  <c r="AG1265"/>
  <c r="V1265"/>
  <c r="AJ1265"/>
  <c r="T1265" l="1"/>
  <c r="AI1265"/>
  <c r="X1265"/>
  <c r="Y1265" s="1"/>
  <c r="N1265"/>
  <c r="AG1264"/>
  <c r="AJ1264"/>
  <c r="V1264"/>
  <c r="T1264" l="1"/>
  <c r="AI1264"/>
  <c r="X1264"/>
  <c r="Y1264" s="1"/>
  <c r="N1264"/>
  <c r="AG1263"/>
  <c r="AJ1263"/>
  <c r="V1263"/>
  <c r="T1263" l="1"/>
  <c r="AI1263"/>
  <c r="X1263"/>
  <c r="Y1263" s="1"/>
  <c r="AG1260"/>
  <c r="AJ1260"/>
  <c r="V1260"/>
  <c r="T1260" l="1"/>
  <c r="AI1260"/>
  <c r="X1260"/>
  <c r="Y1260" s="1"/>
  <c r="N1260"/>
  <c r="AG1259"/>
  <c r="AJ1259"/>
  <c r="V1259"/>
  <c r="T1259" l="1"/>
  <c r="AI1259"/>
  <c r="X1259"/>
  <c r="Y1259" s="1"/>
  <c r="N1259"/>
  <c r="AG1258"/>
  <c r="V1258"/>
  <c r="AJ1258"/>
  <c r="T1258" l="1"/>
  <c r="AI1258"/>
  <c r="X1258"/>
  <c r="Y1258" s="1"/>
  <c r="N1258"/>
  <c r="AG1257"/>
  <c r="V1257"/>
  <c r="AJ1257"/>
  <c r="T1257" l="1"/>
  <c r="AI1257"/>
  <c r="X1257"/>
  <c r="Y1257" s="1"/>
  <c r="N1257"/>
  <c r="AG1256"/>
  <c r="V1256"/>
  <c r="AJ1256"/>
  <c r="T1256" l="1"/>
  <c r="AI1256"/>
  <c r="X1256"/>
  <c r="Y1256" s="1"/>
  <c r="N1256"/>
  <c r="AG1255"/>
  <c r="AJ1255"/>
  <c r="V1255"/>
  <c r="T1255" l="1"/>
  <c r="AI1255"/>
  <c r="X1255"/>
  <c r="Y1255" s="1"/>
  <c r="N1255"/>
  <c r="AG1254"/>
  <c r="V1254"/>
  <c r="AJ1254"/>
  <c r="T1254" l="1"/>
  <c r="AI1254"/>
  <c r="X1254"/>
  <c r="Y1254" s="1"/>
  <c r="N1254"/>
  <c r="AG1253"/>
  <c r="AJ1253"/>
  <c r="V1253"/>
  <c r="T1253" l="1"/>
  <c r="AI1253"/>
  <c r="X1253"/>
  <c r="Y1253" s="1"/>
  <c r="N1253"/>
  <c r="AG1252"/>
  <c r="AJ1252"/>
  <c r="V1252"/>
  <c r="T1252" l="1"/>
  <c r="AI1252"/>
  <c r="X1252"/>
  <c r="Y1252" s="1"/>
  <c r="N1252"/>
  <c r="AG1251"/>
  <c r="V1251"/>
  <c r="AJ1251"/>
  <c r="T1251" l="1"/>
  <c r="AI1251"/>
  <c r="X1251"/>
  <c r="Y1251" s="1"/>
  <c r="N1251"/>
  <c r="AG1250"/>
  <c r="AJ1250"/>
  <c r="V1250"/>
  <c r="T1250" l="1"/>
  <c r="AI1250"/>
  <c r="X1250"/>
  <c r="Y1250" s="1"/>
  <c r="N1250"/>
  <c r="AG1249"/>
  <c r="AJ1249"/>
  <c r="V1249"/>
  <c r="T1249" l="1"/>
  <c r="AI1249"/>
  <c r="X1249"/>
  <c r="Y1249" s="1"/>
  <c r="N1249"/>
  <c r="AG1248"/>
  <c r="V1248"/>
  <c r="AJ1248"/>
  <c r="T1248" l="1"/>
  <c r="AI1248"/>
  <c r="X1248"/>
  <c r="Y1248" s="1"/>
  <c r="N1248"/>
  <c r="AG1247"/>
  <c r="V1247"/>
  <c r="AJ1247"/>
  <c r="T1247" l="1"/>
  <c r="AI1247"/>
  <c r="X1247"/>
  <c r="Y1247" s="1"/>
  <c r="N1247"/>
  <c r="AG1246"/>
  <c r="AJ1246"/>
  <c r="V1246"/>
  <c r="T1246" l="1"/>
  <c r="AI1246"/>
  <c r="X1246"/>
  <c r="Y1246" s="1"/>
  <c r="N1246"/>
  <c r="AG1245"/>
  <c r="V1245"/>
  <c r="AJ1245"/>
  <c r="T1245" l="1"/>
  <c r="AI1245"/>
  <c r="X1245"/>
  <c r="Y1245" s="1"/>
  <c r="N1245"/>
  <c r="AG1244"/>
  <c r="AJ1244"/>
  <c r="V1244"/>
  <c r="T1244" l="1"/>
  <c r="AI1244"/>
  <c r="X1244"/>
  <c r="Y1244" s="1"/>
  <c r="N1244"/>
  <c r="AG1243"/>
  <c r="V1243"/>
  <c r="AJ1243"/>
  <c r="T1243" l="1"/>
  <c r="AI1243"/>
  <c r="X1243"/>
  <c r="Y1243" s="1"/>
  <c r="N1243"/>
  <c r="AG1242"/>
  <c r="V1242"/>
  <c r="AJ1242"/>
  <c r="T1242" l="1"/>
  <c r="AI1242"/>
  <c r="X1242"/>
  <c r="Y1242" s="1"/>
  <c r="N1242"/>
  <c r="AG1241"/>
  <c r="AJ1241"/>
  <c r="V1241"/>
  <c r="T1241" l="1"/>
  <c r="AI1241"/>
  <c r="X1241"/>
  <c r="Y1241" s="1"/>
  <c r="N1241"/>
  <c r="AG1240"/>
  <c r="AJ1240"/>
  <c r="V1240"/>
  <c r="T1240" l="1"/>
  <c r="AI1240"/>
  <c r="X1240"/>
  <c r="Y1240" s="1"/>
  <c r="N1240"/>
  <c r="AG1239"/>
  <c r="AJ1239"/>
  <c r="V1239"/>
  <c r="T1239" l="1"/>
  <c r="AI1239"/>
  <c r="X1239"/>
  <c r="Y1239" s="1"/>
  <c r="N1239"/>
  <c r="AG1238"/>
  <c r="AJ1238"/>
  <c r="V1238"/>
  <c r="T1238" l="1"/>
  <c r="AI1238"/>
  <c r="X1238"/>
  <c r="Y1238" s="1"/>
  <c r="N1238"/>
  <c r="AG1236" l="1"/>
  <c r="V1236"/>
  <c r="AJ1236"/>
  <c r="T1236" l="1"/>
  <c r="AI1236"/>
  <c r="X1236"/>
  <c r="Y1236" s="1"/>
  <c r="N1236"/>
  <c r="AG1235"/>
  <c r="V1235"/>
  <c r="AJ1235"/>
  <c r="T1235" l="1"/>
  <c r="AI1235"/>
  <c r="X1235"/>
  <c r="Y1235" s="1"/>
  <c r="N1235"/>
  <c r="AG1234"/>
  <c r="V1234"/>
  <c r="AJ1234"/>
  <c r="T1234" l="1"/>
  <c r="AI1234"/>
  <c r="X1234"/>
  <c r="Y1234" s="1"/>
  <c r="N1234"/>
  <c r="AG1233"/>
  <c r="AJ1233"/>
  <c r="V1233"/>
  <c r="T1233" l="1"/>
  <c r="AI1233"/>
  <c r="X1233"/>
  <c r="Y1233" s="1"/>
  <c r="N1233"/>
  <c r="AG1232"/>
  <c r="V1232"/>
  <c r="AJ1232"/>
  <c r="T1232" l="1"/>
  <c r="AI1232"/>
  <c r="X1232"/>
  <c r="Y1232" s="1"/>
  <c r="N1232"/>
  <c r="AG1231"/>
  <c r="V1231"/>
  <c r="AJ1231"/>
  <c r="T1231" l="1"/>
  <c r="AI1231"/>
  <c r="X1231"/>
  <c r="Y1231" s="1"/>
  <c r="N1231"/>
  <c r="AG1230"/>
  <c r="V1230"/>
  <c r="AJ1230"/>
  <c r="T1230" l="1"/>
  <c r="AI1230"/>
  <c r="X1230"/>
  <c r="Y1230" s="1"/>
  <c r="N1230"/>
  <c r="AG1229"/>
  <c r="AJ1229"/>
  <c r="V1229"/>
  <c r="T1229" l="1"/>
  <c r="AI1229"/>
  <c r="X1229"/>
  <c r="Y1229" s="1"/>
  <c r="N1229"/>
  <c r="AG1228"/>
  <c r="AJ1228"/>
  <c r="V1228"/>
  <c r="T1228" l="1"/>
  <c r="AI1228"/>
  <c r="X1228"/>
  <c r="Y1228" s="1"/>
  <c r="N1228"/>
  <c r="AG1227"/>
  <c r="V1227"/>
  <c r="AJ1227"/>
  <c r="T1227" l="1"/>
  <c r="AI1227"/>
  <c r="X1227"/>
  <c r="Y1227" s="1"/>
  <c r="N1227"/>
  <c r="AG1226"/>
  <c r="AJ1226"/>
  <c r="V1226"/>
  <c r="T1226" l="1"/>
  <c r="AI1226"/>
  <c r="X1226"/>
  <c r="Y1226" s="1"/>
  <c r="N1226"/>
  <c r="AG1225"/>
  <c r="V1225"/>
  <c r="AJ1225"/>
  <c r="T1225" l="1"/>
  <c r="AI1225"/>
  <c r="X1225"/>
  <c r="Y1225" s="1"/>
  <c r="AG1221" l="1"/>
  <c r="AJ1221"/>
  <c r="V1221"/>
  <c r="T1221" l="1"/>
  <c r="AI1221"/>
  <c r="X1221"/>
  <c r="Y1221" s="1"/>
  <c r="N1221"/>
  <c r="AG1219" l="1"/>
  <c r="V1219"/>
  <c r="AJ1219"/>
  <c r="T1219" l="1"/>
  <c r="AI1219"/>
  <c r="X1219"/>
  <c r="Y1219" s="1"/>
  <c r="N1219"/>
  <c r="AG1218"/>
  <c r="AJ1218"/>
  <c r="V1218"/>
  <c r="T1218" l="1"/>
  <c r="AI1218"/>
  <c r="X1218"/>
  <c r="Y1218" s="1"/>
  <c r="N1218"/>
  <c r="AG1214" l="1"/>
  <c r="AJ1214"/>
  <c r="V1214"/>
  <c r="T1214" l="1"/>
  <c r="AI1214"/>
  <c r="X1214"/>
  <c r="Y1214" s="1"/>
  <c r="N1214"/>
  <c r="AG1213"/>
  <c r="V1213"/>
  <c r="AJ1213"/>
  <c r="T1213" l="1"/>
  <c r="AI1213"/>
  <c r="X1213"/>
  <c r="Y1213" s="1"/>
  <c r="N1213"/>
  <c r="AG1212"/>
  <c r="V1212"/>
  <c r="AJ1212"/>
  <c r="T1212" l="1"/>
  <c r="AI1212"/>
  <c r="X1212"/>
  <c r="Y1212" s="1"/>
  <c r="N1212"/>
  <c r="AG1211"/>
  <c r="V1211"/>
  <c r="AJ1211"/>
  <c r="T1211" l="1"/>
  <c r="AI1211"/>
  <c r="X1211"/>
  <c r="Y1211" s="1"/>
  <c r="N1211"/>
  <c r="AG1209" l="1"/>
  <c r="V1209"/>
  <c r="AJ1209"/>
  <c r="T1209" l="1"/>
  <c r="AI1209"/>
  <c r="X1209"/>
  <c r="Y1209" s="1"/>
  <c r="N1209"/>
  <c r="AG1208"/>
  <c r="AJ1208"/>
  <c r="V1208"/>
  <c r="T1208" l="1"/>
  <c r="AI1208"/>
  <c r="X1208"/>
  <c r="Y1208" s="1"/>
  <c r="N1208"/>
  <c r="AG1207"/>
  <c r="V1207"/>
  <c r="AJ1207"/>
  <c r="T1207" l="1"/>
  <c r="AI1207"/>
  <c r="X1207"/>
  <c r="Y1207" s="1"/>
  <c r="N1207"/>
  <c r="AG1205" l="1"/>
  <c r="AJ1205"/>
  <c r="V1205"/>
  <c r="T1205" l="1"/>
  <c r="AI1205"/>
  <c r="X1205"/>
  <c r="Y1205" s="1"/>
  <c r="N1205"/>
  <c r="AG1204"/>
  <c r="AJ1204"/>
  <c r="V1204"/>
  <c r="T1204" l="1"/>
  <c r="AI1204"/>
  <c r="X1204"/>
  <c r="Y1204" s="1"/>
  <c r="N1204"/>
  <c r="AG1203"/>
  <c r="V1203"/>
  <c r="AJ1203"/>
  <c r="T1203" l="1"/>
  <c r="AI1203"/>
  <c r="X1203"/>
  <c r="Y1203" s="1"/>
  <c r="N1203"/>
  <c r="AG1202"/>
  <c r="AJ1202"/>
  <c r="V1202"/>
  <c r="T1202" l="1"/>
  <c r="AI1202"/>
  <c r="X1202"/>
  <c r="Y1202" s="1"/>
  <c r="N1202"/>
  <c r="AG1200" l="1"/>
  <c r="V1200"/>
  <c r="AJ1200"/>
  <c r="T1200" l="1"/>
  <c r="AI1200"/>
  <c r="X1200"/>
  <c r="Y1200" s="1"/>
  <c r="N1200"/>
  <c r="AG1197" l="1"/>
  <c r="AJ1197"/>
  <c r="V1197"/>
  <c r="T1197" l="1"/>
  <c r="AI1197"/>
  <c r="X1197"/>
  <c r="Y1197" s="1"/>
  <c r="N1197"/>
  <c r="AG1195"/>
  <c r="AJ1195"/>
  <c r="V1195"/>
  <c r="T1195" l="1"/>
  <c r="AI1195"/>
  <c r="X1195"/>
  <c r="Y1195" s="1"/>
  <c r="N1195"/>
  <c r="AG1193" l="1"/>
  <c r="AJ1193"/>
  <c r="V1193"/>
  <c r="T1193" l="1"/>
  <c r="AI1193"/>
  <c r="X1193"/>
  <c r="Y1193" s="1"/>
  <c r="N1193"/>
  <c r="AG1191" l="1"/>
  <c r="AJ1191"/>
  <c r="V1191"/>
  <c r="T1191" l="1"/>
  <c r="AI1191"/>
  <c r="X1191"/>
  <c r="Y1191" s="1"/>
  <c r="N1191"/>
  <c r="AG1190"/>
  <c r="V1190"/>
  <c r="AJ1190"/>
  <c r="T1190" l="1"/>
  <c r="AI1190"/>
  <c r="X1190"/>
  <c r="Y1190" s="1"/>
  <c r="N1190"/>
  <c r="AG1189"/>
  <c r="AJ1189"/>
  <c r="V1189"/>
  <c r="T1189" l="1"/>
  <c r="AI1189"/>
  <c r="X1189"/>
  <c r="Y1189" s="1"/>
  <c r="N1189"/>
  <c r="AG1188"/>
  <c r="AJ1188"/>
  <c r="V1188"/>
  <c r="T1188" l="1"/>
  <c r="AI1188"/>
  <c r="X1188"/>
  <c r="Y1188" s="1"/>
  <c r="N1188"/>
  <c r="AG1187"/>
  <c r="V1187"/>
  <c r="AJ1187"/>
  <c r="T1187" l="1"/>
  <c r="AI1187"/>
  <c r="X1187"/>
  <c r="Y1187" s="1"/>
  <c r="N1187"/>
  <c r="AG1186"/>
  <c r="AJ1186"/>
  <c r="V1186"/>
  <c r="T1186" l="1"/>
  <c r="AI1186"/>
  <c r="X1186"/>
  <c r="Y1186" s="1"/>
  <c r="N1186"/>
  <c r="AG1185"/>
  <c r="V1185"/>
  <c r="AJ1185"/>
  <c r="T1185" l="1"/>
  <c r="AI1185"/>
  <c r="X1185"/>
  <c r="Y1185" s="1"/>
  <c r="N1185"/>
  <c r="AG1184"/>
  <c r="V1184"/>
  <c r="AJ1184"/>
  <c r="T1184" l="1"/>
  <c r="AI1184"/>
  <c r="X1184"/>
  <c r="Y1184" s="1"/>
  <c r="N1184"/>
  <c r="AG1183"/>
  <c r="V1183"/>
  <c r="AJ1183"/>
  <c r="T1183" l="1"/>
  <c r="AI1183"/>
  <c r="X1183"/>
  <c r="Y1183" s="1"/>
  <c r="N1183"/>
  <c r="AG1181" l="1"/>
  <c r="AJ1181"/>
  <c r="V1181"/>
  <c r="T1181" l="1"/>
  <c r="AI1181"/>
  <c r="X1181"/>
  <c r="Y1181" s="1"/>
  <c r="N1181"/>
  <c r="AG1180"/>
  <c r="AJ1180"/>
  <c r="V1180"/>
  <c r="T1180" l="1"/>
  <c r="AI1180"/>
  <c r="X1180"/>
  <c r="Y1180" s="1"/>
  <c r="N1180"/>
  <c r="AG1179"/>
  <c r="AJ1179"/>
  <c r="V1179"/>
  <c r="T1179" l="1"/>
  <c r="AI1179"/>
  <c r="X1179"/>
  <c r="Y1179" s="1"/>
  <c r="N1179"/>
  <c r="AG1178"/>
  <c r="AJ1178"/>
  <c r="V1178"/>
  <c r="T1178" l="1"/>
  <c r="AI1178"/>
  <c r="X1178"/>
  <c r="Y1178" s="1"/>
  <c r="N1178"/>
  <c r="AG1177"/>
  <c r="AJ1177"/>
  <c r="V1177"/>
  <c r="T1177" l="1"/>
  <c r="AI1177"/>
  <c r="X1177"/>
  <c r="Y1177" s="1"/>
  <c r="N1177"/>
  <c r="AG1176"/>
  <c r="AJ1176"/>
  <c r="V1176"/>
  <c r="T1176" l="1"/>
  <c r="AI1176"/>
  <c r="X1176"/>
  <c r="Y1176" s="1"/>
  <c r="N1176"/>
  <c r="AG1175"/>
  <c r="AJ1175"/>
  <c r="V1175"/>
  <c r="T1175" l="1"/>
  <c r="AI1175"/>
  <c r="X1175"/>
  <c r="Y1175" s="1"/>
  <c r="N1175"/>
  <c r="AG1174"/>
  <c r="V1174"/>
  <c r="AJ1174"/>
  <c r="T1174" l="1"/>
  <c r="AI1174"/>
  <c r="X1174"/>
  <c r="Y1174" s="1"/>
  <c r="N1174"/>
  <c r="AG1173"/>
  <c r="AJ1173"/>
  <c r="V1173"/>
  <c r="T1173" l="1"/>
  <c r="AI1173"/>
  <c r="X1173"/>
  <c r="Y1173" s="1"/>
  <c r="N1173"/>
  <c r="AG1171" l="1"/>
  <c r="AJ1171"/>
  <c r="V1171"/>
  <c r="T1171" l="1"/>
  <c r="AI1171"/>
  <c r="X1171"/>
  <c r="Y1171" s="1"/>
  <c r="N1171"/>
  <c r="AG1170"/>
  <c r="AJ1170"/>
  <c r="V1170"/>
  <c r="T1170" l="1"/>
  <c r="AI1170"/>
  <c r="X1170"/>
  <c r="Y1170" s="1"/>
  <c r="N1170"/>
  <c r="AG1169"/>
  <c r="V1169"/>
  <c r="AJ1169"/>
  <c r="T1169" l="1"/>
  <c r="AI1169"/>
  <c r="X1169"/>
  <c r="Y1169" s="1"/>
  <c r="N1169"/>
  <c r="AG1168"/>
  <c r="AJ1168"/>
  <c r="V1168"/>
  <c r="T1168" l="1"/>
  <c r="AI1168"/>
  <c r="X1168"/>
  <c r="Y1168" s="1"/>
  <c r="N1168"/>
  <c r="AG1167"/>
  <c r="V1167"/>
  <c r="AJ1167"/>
  <c r="T1167" l="1"/>
  <c r="AI1167"/>
  <c r="X1167"/>
  <c r="Y1167" s="1"/>
  <c r="N1167"/>
  <c r="AG1166"/>
  <c r="AJ1166"/>
  <c r="V1166"/>
  <c r="T1166" l="1"/>
  <c r="AI1166"/>
  <c r="X1166"/>
  <c r="Y1166" s="1"/>
  <c r="N1166"/>
  <c r="AG1165"/>
  <c r="AJ1165"/>
  <c r="V1165"/>
  <c r="T1165" l="1"/>
  <c r="AI1165"/>
  <c r="X1165"/>
  <c r="Y1165" s="1"/>
  <c r="N1165"/>
  <c r="AG1164"/>
  <c r="AJ1164"/>
  <c r="V1164"/>
  <c r="T1164" l="1"/>
  <c r="AI1164"/>
  <c r="X1164"/>
  <c r="Y1164" s="1"/>
  <c r="N1164"/>
  <c r="AG1163"/>
  <c r="AJ1163"/>
  <c r="V1163"/>
  <c r="T1163" l="1"/>
  <c r="AI1163"/>
  <c r="X1163"/>
  <c r="Y1163" s="1"/>
  <c r="N1163"/>
  <c r="AG1162"/>
  <c r="V1162"/>
  <c r="AJ1162"/>
  <c r="T1162" l="1"/>
  <c r="AI1162"/>
  <c r="X1162"/>
  <c r="Y1162" s="1"/>
  <c r="N1162"/>
  <c r="AG1161"/>
  <c r="AJ1161"/>
  <c r="V1161"/>
  <c r="T1161" l="1"/>
  <c r="AI1161"/>
  <c r="X1161"/>
  <c r="Y1161" s="1"/>
  <c r="N1161"/>
  <c r="AG1160"/>
  <c r="AJ1160"/>
  <c r="V1160"/>
  <c r="T1160" l="1"/>
  <c r="AI1160"/>
  <c r="X1160"/>
  <c r="Y1160" s="1"/>
  <c r="N1160"/>
  <c r="AG1159"/>
  <c r="AJ1159"/>
  <c r="V1159"/>
  <c r="T1159" l="1"/>
  <c r="AI1159"/>
  <c r="X1159"/>
  <c r="Y1159" s="1"/>
  <c r="N1159"/>
  <c r="AG1157"/>
  <c r="AJ1157"/>
  <c r="V1157"/>
  <c r="T1157" l="1"/>
  <c r="AI1157"/>
  <c r="X1157"/>
  <c r="Y1157" s="1"/>
  <c r="N1157"/>
  <c r="AG1156"/>
  <c r="AJ1156"/>
  <c r="V1156"/>
  <c r="T1156" l="1"/>
  <c r="AI1156"/>
  <c r="X1156"/>
  <c r="Y1156" s="1"/>
  <c r="N1156"/>
  <c r="AG1155"/>
  <c r="V1155"/>
  <c r="AJ1155"/>
  <c r="T1155" l="1"/>
  <c r="AI1155"/>
  <c r="X1155"/>
  <c r="Y1155" s="1"/>
  <c r="N1155"/>
  <c r="AG1154"/>
  <c r="AJ1154"/>
  <c r="V1154"/>
  <c r="T1154" l="1"/>
  <c r="AI1154"/>
  <c r="X1154"/>
  <c r="Y1154" s="1"/>
  <c r="N1154"/>
  <c r="AG1153"/>
  <c r="V1153"/>
  <c r="AJ1153"/>
  <c r="T1153" l="1"/>
  <c r="AI1153"/>
  <c r="X1153"/>
  <c r="Y1153" s="1"/>
  <c r="N1153"/>
  <c r="AG1152"/>
  <c r="AJ1152"/>
  <c r="V1152"/>
  <c r="T1152" l="1"/>
  <c r="AI1152"/>
  <c r="X1152"/>
  <c r="Y1152" s="1"/>
  <c r="N1152"/>
  <c r="AG1151"/>
  <c r="AJ1151"/>
  <c r="V1151"/>
  <c r="T1151" l="1"/>
  <c r="AI1151"/>
  <c r="X1151"/>
  <c r="Y1151" s="1"/>
  <c r="N1151"/>
  <c r="AG1150"/>
  <c r="AJ1150"/>
  <c r="V1150"/>
  <c r="T1150" l="1"/>
  <c r="AI1150"/>
  <c r="X1150"/>
  <c r="Y1150" s="1"/>
  <c r="N1150"/>
  <c r="AG1149"/>
  <c r="AJ1149"/>
  <c r="V1149"/>
  <c r="T1149" l="1"/>
  <c r="AI1149"/>
  <c r="X1149"/>
  <c r="Y1149" s="1"/>
  <c r="N1149"/>
  <c r="AG1148"/>
  <c r="AJ1148"/>
  <c r="V1148"/>
  <c r="T1148" l="1"/>
  <c r="AI1148"/>
  <c r="X1148"/>
  <c r="Y1148" s="1"/>
  <c r="N1148"/>
  <c r="AG1147"/>
  <c r="AJ1147"/>
  <c r="V1147"/>
  <c r="T1147" l="1"/>
  <c r="AI1147"/>
  <c r="X1147"/>
  <c r="Y1147" s="1"/>
  <c r="N1147"/>
  <c r="AG1146"/>
  <c r="AJ1146"/>
  <c r="V1146"/>
  <c r="T1146" l="1"/>
  <c r="AI1146"/>
  <c r="X1146"/>
  <c r="Y1146" s="1"/>
  <c r="N1146"/>
  <c r="AG1145"/>
  <c r="AJ1145"/>
  <c r="V1145"/>
  <c r="T1145" l="1"/>
  <c r="AI1145"/>
  <c r="X1145"/>
  <c r="Y1145" s="1"/>
  <c r="N1145"/>
  <c r="AG1144"/>
  <c r="AJ1144"/>
  <c r="V1144"/>
  <c r="T1144" l="1"/>
  <c r="AI1144"/>
  <c r="X1144"/>
  <c r="Y1144" s="1"/>
  <c r="N1144"/>
  <c r="AG1143"/>
  <c r="AJ1143"/>
  <c r="V1143"/>
  <c r="T1143" l="1"/>
  <c r="AI1143"/>
  <c r="X1143"/>
  <c r="Y1143" s="1"/>
  <c r="N1143"/>
  <c r="AG1142"/>
  <c r="AJ1142"/>
  <c r="V1142"/>
  <c r="T1142" l="1"/>
  <c r="AI1142"/>
  <c r="X1142"/>
  <c r="Y1142" s="1"/>
  <c r="N1142"/>
  <c r="AG1140" l="1"/>
  <c r="AJ1140"/>
  <c r="V1140"/>
  <c r="T1140" l="1"/>
  <c r="AI1140"/>
  <c r="X1140"/>
  <c r="Y1140" s="1"/>
  <c r="N1140"/>
  <c r="AG1139"/>
  <c r="AJ1139"/>
  <c r="V1139"/>
  <c r="T1139" l="1"/>
  <c r="AI1139"/>
  <c r="X1139"/>
  <c r="Y1139" s="1"/>
  <c r="N1139"/>
  <c r="AG1138"/>
  <c r="V1138"/>
  <c r="AJ1138"/>
  <c r="T1138" l="1"/>
  <c r="AI1138"/>
  <c r="X1138"/>
  <c r="Y1138" s="1"/>
  <c r="N1138"/>
  <c r="AG1137"/>
  <c r="V1137"/>
  <c r="AJ1137"/>
  <c r="T1137" l="1"/>
  <c r="AI1137"/>
  <c r="X1137"/>
  <c r="Y1137" s="1"/>
  <c r="N1137"/>
  <c r="AG1136"/>
  <c r="V1136"/>
  <c r="AJ1136"/>
  <c r="T1136" l="1"/>
  <c r="AI1136"/>
  <c r="X1136"/>
  <c r="Y1136" s="1"/>
  <c r="N1136"/>
  <c r="AG1135"/>
  <c r="AJ1135"/>
  <c r="V1135"/>
  <c r="T1135" l="1"/>
  <c r="AI1135"/>
  <c r="X1135"/>
  <c r="Y1135" s="1"/>
  <c r="N1135"/>
  <c r="AG1134"/>
  <c r="AJ1134"/>
  <c r="V1134"/>
  <c r="T1134" l="1"/>
  <c r="AI1134"/>
  <c r="X1134"/>
  <c r="Y1134" s="1"/>
  <c r="N1134"/>
  <c r="AG1133"/>
  <c r="AJ1133"/>
  <c r="V1133"/>
  <c r="T1133" l="1"/>
  <c r="AI1133"/>
  <c r="X1133"/>
  <c r="Y1133" s="1"/>
  <c r="N1133"/>
  <c r="AG1132"/>
  <c r="AJ1132"/>
  <c r="V1132"/>
  <c r="T1132" l="1"/>
  <c r="AI1132"/>
  <c r="X1132"/>
  <c r="Y1132" s="1"/>
  <c r="N1132"/>
  <c r="AG1131"/>
  <c r="V1131"/>
  <c r="AJ1131"/>
  <c r="T1131" l="1"/>
  <c r="AI1131"/>
  <c r="X1131"/>
  <c r="Y1131" s="1"/>
  <c r="N1131"/>
  <c r="AG1130"/>
  <c r="AJ1130"/>
  <c r="V1130"/>
  <c r="T1130" l="1"/>
  <c r="AI1130"/>
  <c r="X1130"/>
  <c r="Y1130" s="1"/>
  <c r="N1130"/>
  <c r="AG1129"/>
  <c r="V1129"/>
  <c r="AJ1129"/>
  <c r="T1129" l="1"/>
  <c r="AI1129"/>
  <c r="X1129"/>
  <c r="Y1129" s="1"/>
  <c r="N1129"/>
  <c r="AG1128"/>
  <c r="V1128"/>
  <c r="AJ1128"/>
  <c r="T1128" l="1"/>
  <c r="AI1128"/>
  <c r="X1128"/>
  <c r="Y1128" s="1"/>
  <c r="N1128"/>
  <c r="AG1127"/>
  <c r="AJ1127"/>
  <c r="V1127"/>
  <c r="T1127" l="1"/>
  <c r="AI1127"/>
  <c r="X1127"/>
  <c r="Y1127" s="1"/>
  <c r="N1127"/>
  <c r="AG1124" l="1"/>
  <c r="V1124"/>
  <c r="AJ1124"/>
  <c r="T1124" l="1"/>
  <c r="AI1124"/>
  <c r="X1124"/>
  <c r="Y1124" s="1"/>
  <c r="N1124"/>
  <c r="AG1123"/>
  <c r="AJ1123"/>
  <c r="V1123"/>
  <c r="T1123" l="1"/>
  <c r="AI1123"/>
  <c r="X1123"/>
  <c r="Y1123" s="1"/>
  <c r="N1123"/>
  <c r="AG1122"/>
  <c r="AJ1122"/>
  <c r="V1122"/>
  <c r="T1122" l="1"/>
  <c r="AI1122"/>
  <c r="X1122"/>
  <c r="Y1122" s="1"/>
  <c r="N1122"/>
  <c r="AG1121"/>
  <c r="AJ1121"/>
  <c r="V1121"/>
  <c r="T1121" l="1"/>
  <c r="AI1121"/>
  <c r="X1121"/>
  <c r="Y1121" s="1"/>
  <c r="AG1120"/>
  <c r="V1120"/>
  <c r="AJ1120"/>
  <c r="T1120" l="1"/>
  <c r="AI1120"/>
  <c r="X1120"/>
  <c r="Y1120" s="1"/>
  <c r="N1120"/>
  <c r="AG1119"/>
  <c r="AJ1119"/>
  <c r="V1119"/>
  <c r="T1119" l="1"/>
  <c r="AI1119"/>
  <c r="X1119"/>
  <c r="Y1119" s="1"/>
  <c r="N1119"/>
  <c r="AG1118"/>
  <c r="V1118"/>
  <c r="AJ1118"/>
  <c r="T1118" l="1"/>
  <c r="AI1118"/>
  <c r="X1118"/>
  <c r="Y1118" s="1"/>
  <c r="N1118"/>
  <c r="AG1116" l="1"/>
  <c r="AJ1116"/>
  <c r="V1116"/>
  <c r="T1116" l="1"/>
  <c r="AI1116"/>
  <c r="X1116"/>
  <c r="Y1116" s="1"/>
  <c r="N1116"/>
  <c r="AG1115"/>
  <c r="V1115"/>
  <c r="AJ1115"/>
  <c r="T1115" l="1"/>
  <c r="AI1115"/>
  <c r="X1115"/>
  <c r="Y1115" s="1"/>
  <c r="N1115"/>
  <c r="AG1114"/>
  <c r="V1114"/>
  <c r="AJ1114"/>
  <c r="T1114" l="1"/>
  <c r="AI1114"/>
  <c r="X1114"/>
  <c r="Y1114" s="1"/>
  <c r="N1114"/>
  <c r="AG1112" l="1"/>
  <c r="V1112"/>
  <c r="AJ1112"/>
  <c r="T1112" l="1"/>
  <c r="AI1112"/>
  <c r="X1112"/>
  <c r="Y1112" s="1"/>
  <c r="N1112"/>
  <c r="AG1111"/>
  <c r="AJ1111"/>
  <c r="V1111"/>
  <c r="T1111" l="1"/>
  <c r="AI1111"/>
  <c r="X1111"/>
  <c r="Y1111" s="1"/>
  <c r="N1111"/>
  <c r="AG1110"/>
  <c r="AJ1110"/>
  <c r="V1110"/>
  <c r="T1110" l="1"/>
  <c r="AI1110"/>
  <c r="X1110"/>
  <c r="Y1110" s="1"/>
  <c r="AG1109"/>
  <c r="AJ1109"/>
  <c r="V1109"/>
  <c r="T1109" l="1"/>
  <c r="AI1109"/>
  <c r="X1109"/>
  <c r="Y1109" s="1"/>
  <c r="N1109"/>
  <c r="AG1108"/>
  <c r="AJ1108"/>
  <c r="V1108"/>
  <c r="T1108" l="1"/>
  <c r="AI1108"/>
  <c r="X1108"/>
  <c r="Y1108" s="1"/>
  <c r="N1108"/>
  <c r="AG1107"/>
  <c r="V1107"/>
  <c r="AJ1107"/>
  <c r="T1107" l="1"/>
  <c r="AI1107"/>
  <c r="X1107"/>
  <c r="Y1107" s="1"/>
  <c r="N1107"/>
  <c r="AG1105" l="1"/>
  <c r="V1105"/>
  <c r="AJ1105"/>
  <c r="T1105" l="1"/>
  <c r="AI1105"/>
  <c r="X1105"/>
  <c r="Y1105" s="1"/>
  <c r="N1105"/>
  <c r="AG1104"/>
  <c r="AJ1104"/>
  <c r="V1104"/>
  <c r="T1104" l="1"/>
  <c r="AI1104"/>
  <c r="X1104"/>
  <c r="Y1104" s="1"/>
  <c r="N1104"/>
  <c r="AG1102" l="1"/>
  <c r="AJ1102"/>
  <c r="V1102"/>
  <c r="T1102" l="1"/>
  <c r="AI1102"/>
  <c r="X1102"/>
  <c r="Y1102" s="1"/>
  <c r="N1102"/>
  <c r="AG1101"/>
  <c r="AJ1101"/>
  <c r="V1101"/>
  <c r="T1101" l="1"/>
  <c r="AI1101"/>
  <c r="X1101"/>
  <c r="Y1101" s="1"/>
  <c r="N1101"/>
  <c r="AG1100"/>
  <c r="V1100"/>
  <c r="AJ1100"/>
  <c r="T1100" l="1"/>
  <c r="AI1100"/>
  <c r="X1100"/>
  <c r="Y1100" s="1"/>
  <c r="N1100"/>
  <c r="AG1099"/>
  <c r="AJ1099"/>
  <c r="V1099"/>
  <c r="T1099" l="1"/>
  <c r="AI1099"/>
  <c r="X1099"/>
  <c r="Y1099" s="1"/>
  <c r="N1099"/>
  <c r="AG1098"/>
  <c r="AJ1098"/>
  <c r="V1098"/>
  <c r="T1098" l="1"/>
  <c r="AI1098"/>
  <c r="X1098"/>
  <c r="Y1098" s="1"/>
  <c r="N1098"/>
  <c r="AG1097"/>
  <c r="AJ1097"/>
  <c r="V1097"/>
  <c r="T1097" l="1"/>
  <c r="AI1097"/>
  <c r="X1097"/>
  <c r="Y1097" s="1"/>
  <c r="N1097"/>
  <c r="AG1096"/>
  <c r="AJ1096"/>
  <c r="V1096"/>
  <c r="T1096" l="1"/>
  <c r="AI1096"/>
  <c r="X1096"/>
  <c r="Y1096" s="1"/>
  <c r="N1096"/>
  <c r="AG1095"/>
  <c r="V1095"/>
  <c r="AJ1095"/>
  <c r="T1095" l="1"/>
  <c r="AI1095"/>
  <c r="X1095"/>
  <c r="Y1095" s="1"/>
  <c r="N1095"/>
  <c r="AG1094"/>
  <c r="AJ1094"/>
  <c r="V1094"/>
  <c r="T1094" l="1"/>
  <c r="AI1094"/>
  <c r="X1094"/>
  <c r="Y1094" s="1"/>
  <c r="N1094"/>
  <c r="AG1093"/>
  <c r="V1093"/>
  <c r="AJ1093"/>
  <c r="T1093" l="1"/>
  <c r="AI1093"/>
  <c r="X1093"/>
  <c r="Y1093" s="1"/>
  <c r="N1093"/>
  <c r="AG1092"/>
  <c r="AJ1092"/>
  <c r="V1092"/>
  <c r="T1092" l="1"/>
  <c r="AI1092"/>
  <c r="X1092"/>
  <c r="Y1092" s="1"/>
  <c r="N1092"/>
  <c r="AG1091"/>
  <c r="AJ1091"/>
  <c r="V1091"/>
  <c r="T1091" l="1"/>
  <c r="AI1091"/>
  <c r="X1091"/>
  <c r="Y1091" s="1"/>
  <c r="N1091"/>
  <c r="AG1090"/>
  <c r="AJ1090"/>
  <c r="V1090"/>
  <c r="T1090" l="1"/>
  <c r="AI1090"/>
  <c r="X1090"/>
  <c r="Y1090" s="1"/>
  <c r="N1090"/>
  <c r="AG1088" l="1"/>
  <c r="AJ1088"/>
  <c r="V1088"/>
  <c r="T1088" l="1"/>
  <c r="AI1088"/>
  <c r="X1088"/>
  <c r="Y1088" s="1"/>
  <c r="N1088"/>
  <c r="AG1087"/>
  <c r="V1087"/>
  <c r="AJ1087"/>
  <c r="T1087" l="1"/>
  <c r="AI1087"/>
  <c r="X1087"/>
  <c r="Y1087" s="1"/>
  <c r="N1087"/>
  <c r="AG1086"/>
  <c r="AJ1086"/>
  <c r="V1086"/>
  <c r="T1086" l="1"/>
  <c r="AI1086"/>
  <c r="X1086"/>
  <c r="Y1086" s="1"/>
  <c r="N1086"/>
  <c r="AG1085"/>
  <c r="V1085"/>
  <c r="AJ1085"/>
  <c r="T1085" l="1"/>
  <c r="AI1085"/>
  <c r="X1085"/>
  <c r="Y1085" s="1"/>
  <c r="N1085"/>
  <c r="AG1084"/>
  <c r="V1084"/>
  <c r="AJ1084"/>
  <c r="T1084" l="1"/>
  <c r="AI1084"/>
  <c r="X1084"/>
  <c r="Y1084" s="1"/>
  <c r="N1084"/>
  <c r="AG1083"/>
  <c r="AJ1083"/>
  <c r="V1083"/>
  <c r="T1083" l="1"/>
  <c r="AI1083"/>
  <c r="X1083"/>
  <c r="Y1083" s="1"/>
  <c r="N1083"/>
  <c r="AG1082"/>
  <c r="AJ1082"/>
  <c r="V1082"/>
  <c r="T1082" l="1"/>
  <c r="AI1082"/>
  <c r="X1082"/>
  <c r="Y1082" s="1"/>
  <c r="N1082"/>
  <c r="AG1081"/>
  <c r="AJ1081"/>
  <c r="V1081"/>
  <c r="T1081" l="1"/>
  <c r="AI1081"/>
  <c r="X1081"/>
  <c r="Y1081" s="1"/>
  <c r="N1081"/>
  <c r="AG1080"/>
  <c r="AJ1080"/>
  <c r="V1080"/>
  <c r="T1080" l="1"/>
  <c r="AI1080"/>
  <c r="X1080"/>
  <c r="Y1080" s="1"/>
  <c r="N1080"/>
  <c r="AG1079"/>
  <c r="AJ1079"/>
  <c r="V1079"/>
  <c r="T1079" l="1"/>
  <c r="AI1079"/>
  <c r="X1079"/>
  <c r="Y1079" s="1"/>
  <c r="N1079"/>
  <c r="AG1078"/>
  <c r="V1078"/>
  <c r="AJ1078"/>
  <c r="T1078" l="1"/>
  <c r="AI1078"/>
  <c r="X1078"/>
  <c r="Y1078" s="1"/>
  <c r="N1078"/>
  <c r="AG1077"/>
  <c r="V1077"/>
  <c r="AJ1077"/>
  <c r="T1077" l="1"/>
  <c r="AI1077"/>
  <c r="X1077"/>
  <c r="Y1077" s="1"/>
  <c r="N1077"/>
  <c r="AG1076"/>
  <c r="V1076"/>
  <c r="AJ1076"/>
  <c r="T1076" l="1"/>
  <c r="AI1076"/>
  <c r="X1076"/>
  <c r="Y1076" s="1"/>
  <c r="N1076"/>
  <c r="AG1074" l="1"/>
  <c r="V1074"/>
  <c r="AJ1074"/>
  <c r="T1074" l="1"/>
  <c r="AI1074"/>
  <c r="X1074"/>
  <c r="Y1074" s="1"/>
  <c r="N1074"/>
  <c r="AG1073"/>
  <c r="AJ1073"/>
  <c r="V1073"/>
  <c r="T1073" l="1"/>
  <c r="AI1073"/>
  <c r="X1073"/>
  <c r="Y1073" s="1"/>
  <c r="N1073"/>
  <c r="AG1072"/>
  <c r="V1072"/>
  <c r="AJ1072"/>
  <c r="T1072" l="1"/>
  <c r="AI1072"/>
  <c r="X1072"/>
  <c r="Y1072" s="1"/>
  <c r="N1072"/>
  <c r="AG1071"/>
  <c r="AJ1071"/>
  <c r="V1071"/>
  <c r="T1071" l="1"/>
  <c r="AI1071"/>
  <c r="X1071"/>
  <c r="Y1071" s="1"/>
  <c r="N1071"/>
  <c r="AG1070" l="1"/>
  <c r="AJ1070"/>
  <c r="V1070"/>
  <c r="T1070" l="1"/>
  <c r="AI1070"/>
  <c r="X1070"/>
  <c r="Y1070" s="1"/>
  <c r="N1070"/>
  <c r="AG1069"/>
  <c r="AJ1069"/>
  <c r="V1069"/>
  <c r="T1069" l="1"/>
  <c r="AI1069"/>
  <c r="X1069"/>
  <c r="Y1069" s="1"/>
  <c r="N1069"/>
  <c r="AG1068"/>
  <c r="AJ1068"/>
  <c r="V1068"/>
  <c r="T1068" l="1"/>
  <c r="AI1068"/>
  <c r="X1068"/>
  <c r="Y1068" s="1"/>
  <c r="N1068"/>
  <c r="AG1067"/>
  <c r="AJ1067"/>
  <c r="V1067"/>
  <c r="T1067" l="1"/>
  <c r="AI1067"/>
  <c r="X1067"/>
  <c r="Y1067" s="1"/>
  <c r="N1067"/>
  <c r="AG1066"/>
  <c r="V1066"/>
  <c r="AJ1066"/>
  <c r="T1066" l="1"/>
  <c r="AI1066"/>
  <c r="X1066"/>
  <c r="Y1066" s="1"/>
  <c r="N1066"/>
  <c r="AG1065"/>
  <c r="AJ1065"/>
  <c r="V1065"/>
  <c r="T1065" l="1"/>
  <c r="AI1065"/>
  <c r="X1065"/>
  <c r="Y1065" s="1"/>
  <c r="N1065"/>
  <c r="AG1064"/>
  <c r="AJ1064"/>
  <c r="V1064"/>
  <c r="T1064" l="1"/>
  <c r="AI1064"/>
  <c r="X1064"/>
  <c r="Y1064" s="1"/>
  <c r="N1064"/>
  <c r="AG1061" l="1"/>
  <c r="AJ1061"/>
  <c r="V1061"/>
  <c r="T1061" l="1"/>
  <c r="AI1061"/>
  <c r="X1061"/>
  <c r="Y1061" s="1"/>
  <c r="N1061"/>
  <c r="AG1060"/>
  <c r="AJ1060"/>
  <c r="V1060"/>
  <c r="T1060" l="1"/>
  <c r="AI1060"/>
  <c r="X1060"/>
  <c r="Y1060" s="1"/>
  <c r="N1060"/>
  <c r="AG1059"/>
  <c r="V1059"/>
  <c r="AJ1059"/>
  <c r="T1059" l="1"/>
  <c r="AI1059"/>
  <c r="X1059"/>
  <c r="Y1059" s="1"/>
  <c r="N1059"/>
  <c r="AG1058"/>
  <c r="AJ1058"/>
  <c r="V1058"/>
  <c r="T1058" l="1"/>
  <c r="AI1058"/>
  <c r="X1058"/>
  <c r="Y1058" s="1"/>
  <c r="N1058"/>
  <c r="AG1056" l="1"/>
  <c r="AJ1056"/>
  <c r="V1056"/>
  <c r="T1056" l="1"/>
  <c r="AI1056"/>
  <c r="X1056"/>
  <c r="Y1056" s="1"/>
  <c r="N1056"/>
  <c r="AG1055"/>
  <c r="V1055"/>
  <c r="AJ1055"/>
  <c r="T1055" l="1"/>
  <c r="AI1055"/>
  <c r="X1055"/>
  <c r="Y1055" s="1"/>
  <c r="N1055"/>
  <c r="AG1054"/>
  <c r="AJ1054"/>
  <c r="V1054"/>
  <c r="T1054" l="1"/>
  <c r="AI1054"/>
  <c r="X1054"/>
  <c r="Y1054" s="1"/>
  <c r="N1054"/>
  <c r="AG1053"/>
  <c r="AJ1053"/>
  <c r="V1053"/>
  <c r="T1053" l="1"/>
  <c r="AI1053"/>
  <c r="X1053"/>
  <c r="Y1053" s="1"/>
  <c r="N1053"/>
  <c r="AG1052"/>
  <c r="V1052"/>
  <c r="AJ1052"/>
  <c r="T1052" l="1"/>
  <c r="AI1052"/>
  <c r="X1052"/>
  <c r="Y1052" s="1"/>
  <c r="N1052"/>
  <c r="AG1051"/>
  <c r="AJ1051"/>
  <c r="V1051"/>
  <c r="T1051" l="1"/>
  <c r="AI1051"/>
  <c r="X1051"/>
  <c r="Y1051" s="1"/>
  <c r="N1051"/>
  <c r="AG1050"/>
  <c r="AJ1050"/>
  <c r="V1050"/>
  <c r="T1050" l="1"/>
  <c r="AI1050"/>
  <c r="X1050"/>
  <c r="Y1050" s="1"/>
  <c r="N1050"/>
  <c r="AG1049"/>
  <c r="V1049"/>
  <c r="AJ1049"/>
  <c r="T1049" l="1"/>
  <c r="AI1049"/>
  <c r="X1049"/>
  <c r="Y1049" s="1"/>
  <c r="N1049"/>
  <c r="AG1047" l="1"/>
  <c r="V1047"/>
  <c r="AJ1047"/>
  <c r="T1047" l="1"/>
  <c r="AI1047"/>
  <c r="X1047"/>
  <c r="Y1047" s="1"/>
  <c r="N1047"/>
  <c r="AG1046"/>
  <c r="V1046"/>
  <c r="AJ1046"/>
  <c r="T1046" l="1"/>
  <c r="AI1046"/>
  <c r="X1046"/>
  <c r="Y1046" s="1"/>
  <c r="N1046"/>
  <c r="AG1045"/>
  <c r="AJ1045"/>
  <c r="V1045"/>
  <c r="T1045" l="1"/>
  <c r="AI1045"/>
  <c r="X1045"/>
  <c r="Y1045" s="1"/>
  <c r="N1045"/>
  <c r="AG1044"/>
  <c r="AJ1044"/>
  <c r="V1044"/>
  <c r="T1044" l="1"/>
  <c r="AI1044"/>
  <c r="X1044"/>
  <c r="Y1044" s="1"/>
  <c r="N1044"/>
  <c r="AG1043" l="1"/>
  <c r="AJ1043"/>
  <c r="V1043"/>
  <c r="T1043" l="1"/>
  <c r="AI1043"/>
  <c r="X1043"/>
  <c r="Y1043" s="1"/>
  <c r="N1043"/>
  <c r="AG1042"/>
  <c r="AJ1042"/>
  <c r="V1042"/>
  <c r="T1042" l="1"/>
  <c r="AI1042"/>
  <c r="X1042"/>
  <c r="Y1042" s="1"/>
  <c r="N1042"/>
  <c r="AG1041"/>
  <c r="V1041"/>
  <c r="AJ1041"/>
  <c r="T1041" l="1"/>
  <c r="AI1041"/>
  <c r="X1041"/>
  <c r="Y1041" s="1"/>
  <c r="N1041"/>
  <c r="AG1040"/>
  <c r="AJ1040"/>
  <c r="V1040"/>
  <c r="T1040" l="1"/>
  <c r="AI1040"/>
  <c r="X1040"/>
  <c r="Y1040" s="1"/>
  <c r="N1040"/>
  <c r="AG1038" l="1"/>
  <c r="V1038"/>
  <c r="AJ1038"/>
  <c r="T1038" l="1"/>
  <c r="AI1038"/>
  <c r="X1038"/>
  <c r="Y1038" s="1"/>
  <c r="N1038"/>
  <c r="AG1037"/>
  <c r="V1037"/>
  <c r="AJ1037"/>
  <c r="T1037" l="1"/>
  <c r="AI1037"/>
  <c r="X1037"/>
  <c r="Y1037" s="1"/>
  <c r="N1037"/>
  <c r="AG1036"/>
  <c r="V1036"/>
  <c r="AJ1036"/>
  <c r="T1036" l="1"/>
  <c r="AI1036"/>
  <c r="X1036"/>
  <c r="Y1036" s="1"/>
  <c r="N1036"/>
  <c r="AG1035"/>
  <c r="AJ1035"/>
  <c r="V1035"/>
  <c r="T1035" l="1"/>
  <c r="AI1035"/>
  <c r="X1035"/>
  <c r="Y1035" s="1"/>
  <c r="N1035"/>
  <c r="AG1034"/>
  <c r="V1034"/>
  <c r="AJ1034"/>
  <c r="T1034" l="1"/>
  <c r="AI1034"/>
  <c r="X1034"/>
  <c r="Y1034" s="1"/>
  <c r="N1034"/>
  <c r="AG1033"/>
  <c r="AJ1033"/>
  <c r="V1033"/>
  <c r="T1033" l="1"/>
  <c r="AI1033"/>
  <c r="X1033"/>
  <c r="Y1033" s="1"/>
  <c r="N1033"/>
  <c r="AG1032"/>
  <c r="AJ1032"/>
  <c r="V1032"/>
  <c r="T1032" l="1"/>
  <c r="AI1032"/>
  <c r="X1032"/>
  <c r="Y1032" s="1"/>
  <c r="N1032"/>
  <c r="AG1031"/>
  <c r="AJ1031"/>
  <c r="V1031"/>
  <c r="T1031" l="1"/>
  <c r="AI1031"/>
  <c r="X1031"/>
  <c r="Y1031" s="1"/>
  <c r="N1031"/>
  <c r="AG1030"/>
  <c r="V1030"/>
  <c r="AJ1030"/>
  <c r="T1030" l="1"/>
  <c r="AI1030"/>
  <c r="X1030"/>
  <c r="Y1030" s="1"/>
  <c r="N1030"/>
  <c r="AG1029"/>
  <c r="AJ1029"/>
  <c r="V1029"/>
  <c r="T1029" l="1"/>
  <c r="AI1029"/>
  <c r="X1029"/>
  <c r="Y1029" s="1"/>
  <c r="N1029"/>
  <c r="AG1027" l="1"/>
  <c r="AJ1027"/>
  <c r="V1027"/>
  <c r="T1027" l="1"/>
  <c r="AI1027"/>
  <c r="X1027"/>
  <c r="Y1027" s="1"/>
  <c r="N1027"/>
  <c r="AG1026"/>
  <c r="V1026"/>
  <c r="AJ1026"/>
  <c r="T1026" l="1"/>
  <c r="AI1026"/>
  <c r="X1026"/>
  <c r="Y1026" s="1"/>
  <c r="N1026"/>
  <c r="AG1025"/>
  <c r="AJ1025"/>
  <c r="V1025"/>
  <c r="T1025" l="1"/>
  <c r="AI1025"/>
  <c r="X1025"/>
  <c r="Y1025" s="1"/>
  <c r="N1025"/>
  <c r="AG1024"/>
  <c r="AJ1024"/>
  <c r="V1024"/>
  <c r="T1024" l="1"/>
  <c r="AI1024"/>
  <c r="X1024"/>
  <c r="Y1024" s="1"/>
  <c r="N1024"/>
  <c r="AG1022" l="1"/>
  <c r="AJ1022"/>
  <c r="V1022"/>
  <c r="T1022" l="1"/>
  <c r="AI1022"/>
  <c r="X1022"/>
  <c r="Y1022" s="1"/>
  <c r="N1022"/>
  <c r="AG1021"/>
  <c r="AJ1021"/>
  <c r="V1021"/>
  <c r="T1021" l="1"/>
  <c r="AI1021"/>
  <c r="X1021"/>
  <c r="Y1021" s="1"/>
  <c r="N1021"/>
  <c r="AG1020"/>
  <c r="AJ1020"/>
  <c r="V1020"/>
  <c r="T1020" l="1"/>
  <c r="AI1020"/>
  <c r="X1020"/>
  <c r="Y1020" s="1"/>
  <c r="N1020"/>
  <c r="AG1019"/>
  <c r="V1019"/>
  <c r="AJ1019"/>
  <c r="T1019" l="1"/>
  <c r="AI1019"/>
  <c r="X1019"/>
  <c r="Y1019" s="1"/>
  <c r="N1019"/>
  <c r="AG1018"/>
  <c r="V1018"/>
  <c r="AJ1018"/>
  <c r="T1018" l="1"/>
  <c r="AI1018"/>
  <c r="X1018"/>
  <c r="Y1018" s="1"/>
  <c r="N1018"/>
  <c r="AG1017"/>
  <c r="AJ1017"/>
  <c r="V1017"/>
  <c r="T1017" l="1"/>
  <c r="AI1017"/>
  <c r="X1017"/>
  <c r="Y1017" s="1"/>
  <c r="AG1014"/>
  <c r="AJ1014"/>
  <c r="V1014"/>
  <c r="T1014" l="1"/>
  <c r="AI1014"/>
  <c r="X1014"/>
  <c r="Y1014" s="1"/>
  <c r="N1014"/>
  <c r="AG1013"/>
  <c r="AJ1013"/>
  <c r="V1013"/>
  <c r="T1013" l="1"/>
  <c r="AI1013"/>
  <c r="X1013"/>
  <c r="Y1013" s="1"/>
  <c r="N1013"/>
  <c r="AG1012"/>
  <c r="AJ1012"/>
  <c r="V1012"/>
  <c r="T1012" l="1"/>
  <c r="AI1012"/>
  <c r="X1012"/>
  <c r="Y1012" s="1"/>
  <c r="N1012"/>
  <c r="AG1011"/>
  <c r="AJ1011"/>
  <c r="V1011"/>
  <c r="T1011" l="1"/>
  <c r="AI1011"/>
  <c r="X1011"/>
  <c r="Y1011" s="1"/>
  <c r="N1011"/>
  <c r="AG1010"/>
  <c r="AJ1010"/>
  <c r="V1010"/>
  <c r="T1010" l="1"/>
  <c r="AI1010"/>
  <c r="X1010"/>
  <c r="Y1010" s="1"/>
  <c r="N1010"/>
  <c r="AG1009"/>
  <c r="V1009"/>
  <c r="AJ1009"/>
  <c r="T1009" l="1"/>
  <c r="AI1009"/>
  <c r="X1009"/>
  <c r="Y1009" s="1"/>
  <c r="N1009"/>
  <c r="AG1008"/>
  <c r="AJ1008"/>
  <c r="V1008"/>
  <c r="T1008" l="1"/>
  <c r="AI1008"/>
  <c r="X1008"/>
  <c r="Y1008" s="1"/>
  <c r="N1008"/>
  <c r="AG1007"/>
  <c r="AJ1007"/>
  <c r="V1007"/>
  <c r="T1007" l="1"/>
  <c r="AI1007"/>
  <c r="X1007"/>
  <c r="Y1007" s="1"/>
  <c r="N1007"/>
  <c r="AG1006"/>
  <c r="AJ1006"/>
  <c r="V1006"/>
  <c r="T1006" l="1"/>
  <c r="AI1006"/>
  <c r="X1006"/>
  <c r="Y1006" s="1"/>
  <c r="N1006"/>
  <c r="AG1005"/>
  <c r="AJ1005"/>
  <c r="V1005"/>
  <c r="T1005" l="1"/>
  <c r="AI1005"/>
  <c r="X1005"/>
  <c r="Y1005" s="1"/>
  <c r="N1005"/>
  <c r="AG1004"/>
  <c r="AJ1004"/>
  <c r="V1004"/>
  <c r="T1004" l="1"/>
  <c r="AI1004"/>
  <c r="X1004"/>
  <c r="Y1004" s="1"/>
  <c r="N1004"/>
  <c r="AG1003"/>
  <c r="V1003"/>
  <c r="AJ1003"/>
  <c r="T1003" l="1"/>
  <c r="AI1003"/>
  <c r="X1003"/>
  <c r="Y1003" s="1"/>
  <c r="N1003"/>
  <c r="AG1002"/>
  <c r="V1002"/>
  <c r="AJ1002"/>
  <c r="T1002" l="1"/>
  <c r="AI1002"/>
  <c r="X1002"/>
  <c r="Y1002" s="1"/>
  <c r="N1002"/>
  <c r="AG1001"/>
  <c r="AJ1001"/>
  <c r="V1001"/>
  <c r="T1001" l="1"/>
  <c r="AI1001"/>
  <c r="X1001"/>
  <c r="Y1001" s="1"/>
  <c r="N1001"/>
  <c r="AG1000"/>
  <c r="AJ1000"/>
  <c r="V1000"/>
  <c r="T1000" l="1"/>
  <c r="AI1000"/>
  <c r="X1000"/>
  <c r="Y1000" s="1"/>
  <c r="N1000"/>
  <c r="AG998" l="1"/>
  <c r="AJ998"/>
  <c r="V998"/>
  <c r="T998" l="1"/>
  <c r="AI998"/>
  <c r="X998"/>
  <c r="Y998" s="1"/>
  <c r="N998"/>
  <c r="AG997"/>
  <c r="V997"/>
  <c r="AJ997"/>
  <c r="T997" l="1"/>
  <c r="AI997"/>
  <c r="X997"/>
  <c r="Y997" s="1"/>
  <c r="N997"/>
  <c r="AG996"/>
  <c r="AJ996"/>
  <c r="V996"/>
  <c r="T996" l="1"/>
  <c r="AI996"/>
  <c r="X996"/>
  <c r="Y996" s="1"/>
  <c r="N996"/>
  <c r="AG995"/>
  <c r="V995"/>
  <c r="AJ995"/>
  <c r="T995" l="1"/>
  <c r="AI995"/>
  <c r="X995"/>
  <c r="Y995" s="1"/>
  <c r="N995"/>
  <c r="AG993" l="1"/>
  <c r="V993"/>
  <c r="AJ993"/>
  <c r="T993" l="1"/>
  <c r="AI993"/>
  <c r="X993"/>
  <c r="Y993" s="1"/>
  <c r="N993"/>
  <c r="AG992"/>
  <c r="AJ992"/>
  <c r="V992"/>
  <c r="T992" l="1"/>
  <c r="AI992"/>
  <c r="X992"/>
  <c r="Y992" s="1"/>
  <c r="N992"/>
  <c r="AG990" l="1"/>
  <c r="AJ990"/>
  <c r="V990"/>
  <c r="T990" l="1"/>
  <c r="AI990"/>
  <c r="X990"/>
  <c r="Y990" s="1"/>
  <c r="N990"/>
  <c r="AG989"/>
  <c r="V989"/>
  <c r="AJ989"/>
  <c r="T989" l="1"/>
  <c r="AI989"/>
  <c r="X989"/>
  <c r="Y989" s="1"/>
  <c r="N989"/>
  <c r="AG988"/>
  <c r="AJ988"/>
  <c r="V988"/>
  <c r="T988" l="1"/>
  <c r="AI988"/>
  <c r="X988"/>
  <c r="Y988" s="1"/>
  <c r="N988"/>
  <c r="AG987"/>
  <c r="V987"/>
  <c r="AJ987"/>
  <c r="T987" l="1"/>
  <c r="AI987"/>
  <c r="X987"/>
  <c r="Y987" s="1"/>
  <c r="N987"/>
  <c r="AG986"/>
  <c r="V986"/>
  <c r="AJ986"/>
  <c r="T986" l="1"/>
  <c r="AI986"/>
  <c r="X986"/>
  <c r="Y986" s="1"/>
  <c r="N986"/>
  <c r="AG985"/>
  <c r="V985"/>
  <c r="AJ985"/>
  <c r="T985" l="1"/>
  <c r="AI985"/>
  <c r="X985"/>
  <c r="Y985" s="1"/>
  <c r="N985"/>
  <c r="AG984"/>
  <c r="V984"/>
  <c r="AJ984"/>
  <c r="T984" l="1"/>
  <c r="AI984"/>
  <c r="X984"/>
  <c r="Y984" s="1"/>
  <c r="N984"/>
  <c r="AG983"/>
  <c r="AJ983"/>
  <c r="V983"/>
  <c r="T983" l="1"/>
  <c r="AI983"/>
  <c r="X983"/>
  <c r="Y983" s="1"/>
  <c r="N983"/>
  <c r="AG982"/>
  <c r="V982"/>
  <c r="AJ982"/>
  <c r="T982" l="1"/>
  <c r="AI982"/>
  <c r="X982"/>
  <c r="Y982" s="1"/>
  <c r="N982"/>
  <c r="AG981"/>
  <c r="V981"/>
  <c r="AJ981"/>
  <c r="T981" l="1"/>
  <c r="AI981"/>
  <c r="X981"/>
  <c r="Y981" s="1"/>
  <c r="N981"/>
  <c r="AG980"/>
  <c r="AJ980"/>
  <c r="V980"/>
  <c r="T980" l="1"/>
  <c r="AI980"/>
  <c r="X980"/>
  <c r="Y980" s="1"/>
  <c r="N980"/>
  <c r="AG979"/>
  <c r="AJ979"/>
  <c r="V979"/>
  <c r="T979" l="1"/>
  <c r="AI979"/>
  <c r="X979"/>
  <c r="Y979" s="1"/>
  <c r="N979"/>
  <c r="AG978"/>
  <c r="V978"/>
  <c r="AJ978"/>
  <c r="T978" l="1"/>
  <c r="AI978"/>
  <c r="X978"/>
  <c r="Y978" s="1"/>
  <c r="N978"/>
  <c r="AG977"/>
  <c r="V977"/>
  <c r="AJ977"/>
  <c r="T977" l="1"/>
  <c r="AI977"/>
  <c r="X977"/>
  <c r="Y977" s="1"/>
  <c r="N977"/>
  <c r="AG976"/>
  <c r="V976"/>
  <c r="AJ976"/>
  <c r="T976" l="1"/>
  <c r="AI976"/>
  <c r="X976"/>
  <c r="Y976" s="1"/>
  <c r="N976"/>
  <c r="AG974" l="1"/>
  <c r="AJ974"/>
  <c r="V974"/>
  <c r="T974" l="1"/>
  <c r="AI974"/>
  <c r="X974"/>
  <c r="Y974" s="1"/>
  <c r="N974"/>
  <c r="AG973"/>
  <c r="V973"/>
  <c r="AJ973"/>
  <c r="T973" l="1"/>
  <c r="AI973"/>
  <c r="X973"/>
  <c r="Y973" s="1"/>
  <c r="N973"/>
  <c r="AG972"/>
  <c r="AJ972"/>
  <c r="V972"/>
  <c r="T972" l="1"/>
  <c r="AI972"/>
  <c r="X972"/>
  <c r="Y972" s="1"/>
  <c r="N972"/>
  <c r="AG971"/>
  <c r="V971"/>
  <c r="AJ971"/>
  <c r="T971" l="1"/>
  <c r="AI971"/>
  <c r="X971"/>
  <c r="Y971" s="1"/>
  <c r="N971"/>
  <c r="AG970"/>
  <c r="AJ970"/>
  <c r="V970"/>
  <c r="T970" l="1"/>
  <c r="AI970"/>
  <c r="X970"/>
  <c r="Y970" s="1"/>
  <c r="N970"/>
  <c r="AG969"/>
  <c r="AJ969"/>
  <c r="V969"/>
  <c r="T969" l="1"/>
  <c r="AI969"/>
  <c r="X969"/>
  <c r="Y969" s="1"/>
  <c r="N969"/>
  <c r="AG968"/>
  <c r="V968"/>
  <c r="AJ968"/>
  <c r="T968" l="1"/>
  <c r="AI968"/>
  <c r="X968"/>
  <c r="Y968" s="1"/>
  <c r="N968"/>
  <c r="AG967"/>
  <c r="AJ967"/>
  <c r="V967"/>
  <c r="T967" l="1"/>
  <c r="AI967"/>
  <c r="X967"/>
  <c r="Y967" s="1"/>
  <c r="N967"/>
  <c r="AG966"/>
  <c r="AJ966"/>
  <c r="V966"/>
  <c r="T966" l="1"/>
  <c r="AI966"/>
  <c r="X966"/>
  <c r="Y966" s="1"/>
  <c r="N966"/>
  <c r="AG965"/>
  <c r="AJ965"/>
  <c r="V965"/>
  <c r="T965" l="1"/>
  <c r="AI965"/>
  <c r="X965"/>
  <c r="Y965" s="1"/>
  <c r="N965"/>
  <c r="AG964"/>
  <c r="V964"/>
  <c r="AJ964"/>
  <c r="T964" l="1"/>
  <c r="AI964"/>
  <c r="X964"/>
  <c r="Y964" s="1"/>
  <c r="N964"/>
  <c r="AG963"/>
  <c r="AJ963"/>
  <c r="V963"/>
  <c r="T963" l="1"/>
  <c r="AI963"/>
  <c r="X963"/>
  <c r="Y963" s="1"/>
  <c r="N963"/>
  <c r="AG961" l="1"/>
  <c r="AJ961"/>
  <c r="V961"/>
  <c r="T961" l="1"/>
  <c r="AI961"/>
  <c r="X961"/>
  <c r="Y961" s="1"/>
  <c r="N961"/>
  <c r="AG957" l="1"/>
  <c r="AJ957"/>
  <c r="V957"/>
  <c r="T957" l="1"/>
  <c r="AI957"/>
  <c r="X957"/>
  <c r="Y957" s="1"/>
  <c r="N957"/>
  <c r="AG956"/>
  <c r="V956"/>
  <c r="AJ956"/>
  <c r="T956" l="1"/>
  <c r="AI956"/>
  <c r="X956"/>
  <c r="Y956" s="1"/>
  <c r="N956"/>
  <c r="AG955"/>
  <c r="AJ955"/>
  <c r="V955"/>
  <c r="T955" l="1"/>
  <c r="AI955"/>
  <c r="X955"/>
  <c r="Y955" s="1"/>
  <c r="N955"/>
  <c r="AG954"/>
  <c r="V954"/>
  <c r="AJ954"/>
  <c r="T954" l="1"/>
  <c r="AI954"/>
  <c r="X954"/>
  <c r="Y954" s="1"/>
  <c r="N954"/>
  <c r="AG953"/>
  <c r="V953"/>
  <c r="AJ953"/>
  <c r="T953" l="1"/>
  <c r="AI953"/>
  <c r="X953"/>
  <c r="Y953" s="1"/>
  <c r="N953"/>
  <c r="AG952"/>
  <c r="V952"/>
  <c r="AJ952"/>
  <c r="T952" l="1"/>
  <c r="AI952"/>
  <c r="X952"/>
  <c r="Y952" s="1"/>
  <c r="N952"/>
  <c r="AG951"/>
  <c r="AJ951"/>
  <c r="V951"/>
  <c r="T951" l="1"/>
  <c r="AI951"/>
  <c r="X951"/>
  <c r="Y951" s="1"/>
  <c r="N951"/>
  <c r="AG950"/>
  <c r="V950"/>
  <c r="AJ950"/>
  <c r="T950" l="1"/>
  <c r="AI950"/>
  <c r="X950"/>
  <c r="Y950" s="1"/>
  <c r="N950"/>
  <c r="AG949"/>
  <c r="AJ949"/>
  <c r="V949"/>
  <c r="T949" l="1"/>
  <c r="AI949"/>
  <c r="X949"/>
  <c r="Y949" s="1"/>
  <c r="N949"/>
  <c r="AG948"/>
  <c r="V948"/>
  <c r="AJ948"/>
  <c r="T948" l="1"/>
  <c r="AI948"/>
  <c r="X948"/>
  <c r="Y948" s="1"/>
  <c r="N948"/>
  <c r="AG946" l="1"/>
  <c r="V946"/>
  <c r="AJ946"/>
  <c r="T946" l="1"/>
  <c r="AI946"/>
  <c r="X946"/>
  <c r="Y946" s="1"/>
  <c r="N946"/>
  <c r="AG945"/>
  <c r="AJ945"/>
  <c r="V945"/>
  <c r="T945" l="1"/>
  <c r="AI945"/>
  <c r="X945"/>
  <c r="Y945" s="1"/>
  <c r="N945"/>
  <c r="AG944"/>
  <c r="V944"/>
  <c r="AJ944"/>
  <c r="T944" l="1"/>
  <c r="AI944"/>
  <c r="X944"/>
  <c r="Y944" s="1"/>
  <c r="N944"/>
  <c r="AG941" l="1"/>
  <c r="V941"/>
  <c r="AJ941"/>
  <c r="T941" l="1"/>
  <c r="AI941"/>
  <c r="X941"/>
  <c r="Y941" s="1"/>
  <c r="N941"/>
  <c r="AG940"/>
  <c r="AJ940"/>
  <c r="V940"/>
  <c r="T940" l="1"/>
  <c r="AI940"/>
  <c r="X940"/>
  <c r="Y940" s="1"/>
  <c r="N940"/>
  <c r="AG938" l="1"/>
  <c r="AJ938"/>
  <c r="V938"/>
  <c r="T938" l="1"/>
  <c r="AI938"/>
  <c r="X938"/>
  <c r="Y938" s="1"/>
  <c r="N938"/>
  <c r="AG937"/>
  <c r="AJ937"/>
  <c r="V937"/>
  <c r="T937" l="1"/>
  <c r="AI937"/>
  <c r="X937"/>
  <c r="Y937" s="1"/>
  <c r="N937"/>
  <c r="AG936"/>
  <c r="AJ936"/>
  <c r="V936"/>
  <c r="T936" l="1"/>
  <c r="AI936"/>
  <c r="X936"/>
  <c r="Y936" s="1"/>
  <c r="N936"/>
  <c r="AG935"/>
  <c r="V935"/>
  <c r="AJ935"/>
  <c r="T935" l="1"/>
  <c r="AI935"/>
  <c r="X935"/>
  <c r="Y935" s="1"/>
  <c r="N935"/>
  <c r="AG934"/>
  <c r="AJ934"/>
  <c r="V934"/>
  <c r="T934" l="1"/>
  <c r="AI934"/>
  <c r="X934"/>
  <c r="Y934" s="1"/>
  <c r="N934"/>
  <c r="AG933"/>
  <c r="V933"/>
  <c r="AJ933"/>
  <c r="T933" l="1"/>
  <c r="AI933"/>
  <c r="X933"/>
  <c r="Y933" s="1"/>
  <c r="N933"/>
  <c r="AG931" l="1"/>
  <c r="AJ931"/>
  <c r="V931"/>
  <c r="T931" l="1"/>
  <c r="AI931"/>
  <c r="X931"/>
  <c r="Y931" s="1"/>
  <c r="N931"/>
  <c r="AG930"/>
  <c r="AJ930"/>
  <c r="V930"/>
  <c r="T930" l="1"/>
  <c r="AI930"/>
  <c r="X930"/>
  <c r="Y930" s="1"/>
  <c r="N930"/>
  <c r="AG929"/>
  <c r="AJ929"/>
  <c r="V929"/>
  <c r="T929" l="1"/>
  <c r="AI929"/>
  <c r="X929"/>
  <c r="Y929" s="1"/>
  <c r="N929"/>
  <c r="AG925" l="1"/>
  <c r="AJ925"/>
  <c r="V925"/>
  <c r="T925" l="1"/>
  <c r="AI925"/>
  <c r="X925"/>
  <c r="Y925" s="1"/>
  <c r="N925"/>
  <c r="AG924"/>
  <c r="V924"/>
  <c r="AJ924"/>
  <c r="T924" l="1"/>
  <c r="AI924"/>
  <c r="X924"/>
  <c r="Y924" s="1"/>
  <c r="N924"/>
  <c r="AG922" l="1"/>
  <c r="V922"/>
  <c r="AJ922"/>
  <c r="T922" l="1"/>
  <c r="AI922"/>
  <c r="X922"/>
  <c r="Y922" s="1"/>
  <c r="N922"/>
  <c r="AG921"/>
  <c r="V921"/>
  <c r="AJ921"/>
  <c r="T921" l="1"/>
  <c r="AI921"/>
  <c r="X921"/>
  <c r="Y921" s="1"/>
  <c r="N921"/>
  <c r="AG920"/>
  <c r="V920"/>
  <c r="AJ920"/>
  <c r="T920" l="1"/>
  <c r="AI920"/>
  <c r="X920"/>
  <c r="Y920" s="1"/>
  <c r="N920"/>
  <c r="AG918" l="1"/>
  <c r="AJ918"/>
  <c r="V918"/>
  <c r="T918" l="1"/>
  <c r="AI918"/>
  <c r="X918"/>
  <c r="Y918" s="1"/>
  <c r="N918"/>
  <c r="AG917"/>
  <c r="V917"/>
  <c r="AJ917"/>
  <c r="T917" l="1"/>
  <c r="AI917"/>
  <c r="X917"/>
  <c r="Y917" s="1"/>
  <c r="N917"/>
  <c r="AG916"/>
  <c r="V916"/>
  <c r="AJ916"/>
  <c r="T916" l="1"/>
  <c r="AI916"/>
  <c r="X916"/>
  <c r="Y916" s="1"/>
  <c r="N916"/>
  <c r="AG914" l="1"/>
  <c r="AJ914"/>
  <c r="V914"/>
  <c r="T914" l="1"/>
  <c r="AI914"/>
  <c r="X914"/>
  <c r="Y914" s="1"/>
  <c r="N914"/>
  <c r="AG913"/>
  <c r="AJ913"/>
  <c r="V913"/>
  <c r="T913" l="1"/>
  <c r="AI913"/>
  <c r="X913"/>
  <c r="Y913" s="1"/>
  <c r="N913"/>
  <c r="AG912"/>
  <c r="V912"/>
  <c r="AJ912"/>
  <c r="T912" l="1"/>
  <c r="AI912"/>
  <c r="X912"/>
  <c r="Y912" s="1"/>
  <c r="N912"/>
  <c r="AG910" l="1"/>
  <c r="AJ910"/>
  <c r="V910"/>
  <c r="T910" l="1"/>
  <c r="AI910"/>
  <c r="X910"/>
  <c r="Y910" s="1"/>
  <c r="N910"/>
  <c r="AG909"/>
  <c r="V909"/>
  <c r="AJ909"/>
  <c r="T909" l="1"/>
  <c r="AI909"/>
  <c r="X909"/>
  <c r="Y909" s="1"/>
  <c r="N909"/>
  <c r="AG908"/>
  <c r="V908"/>
  <c r="AJ908"/>
  <c r="T908" l="1"/>
  <c r="AI908"/>
  <c r="X908"/>
  <c r="Y908" s="1"/>
  <c r="N908"/>
  <c r="AG907"/>
  <c r="AJ907"/>
  <c r="V907"/>
  <c r="T907" l="1"/>
  <c r="AI907"/>
  <c r="X907"/>
  <c r="Y907" s="1"/>
  <c r="N907"/>
  <c r="AG906"/>
  <c r="AJ906"/>
  <c r="V906"/>
  <c r="T906" l="1"/>
  <c r="AI906"/>
  <c r="X906"/>
  <c r="Y906" s="1"/>
  <c r="N906"/>
  <c r="AG905"/>
  <c r="AJ905"/>
  <c r="V905"/>
  <c r="T905" l="1"/>
  <c r="AI905"/>
  <c r="X905"/>
  <c r="Y905" s="1"/>
  <c r="N905"/>
  <c r="AG903" l="1"/>
  <c r="AJ903"/>
  <c r="V903"/>
  <c r="T903" l="1"/>
  <c r="AI903"/>
  <c r="X903"/>
  <c r="Y903" s="1"/>
  <c r="N903"/>
  <c r="AG902"/>
  <c r="AJ902"/>
  <c r="V902"/>
  <c r="T902" l="1"/>
  <c r="AI902"/>
  <c r="X902"/>
  <c r="Y902" s="1"/>
  <c r="N902"/>
  <c r="AG901"/>
  <c r="AJ901"/>
  <c r="V901"/>
  <c r="T901" l="1"/>
  <c r="AI901"/>
  <c r="X901"/>
  <c r="Y901" s="1"/>
  <c r="N901"/>
  <c r="AG900"/>
  <c r="AJ900"/>
  <c r="V900"/>
  <c r="T900" l="1"/>
  <c r="AI900"/>
  <c r="X900"/>
  <c r="Y900" s="1"/>
  <c r="N900"/>
  <c r="AG899"/>
  <c r="V899"/>
  <c r="AJ899"/>
  <c r="T899" l="1"/>
  <c r="AI899"/>
  <c r="X899"/>
  <c r="Y899" s="1"/>
  <c r="N899"/>
  <c r="AG898"/>
  <c r="AJ898"/>
  <c r="V898"/>
  <c r="T898" l="1"/>
  <c r="AI898"/>
  <c r="X898"/>
  <c r="Y898" s="1"/>
  <c r="N898"/>
  <c r="AG897"/>
  <c r="V897"/>
  <c r="AJ897"/>
  <c r="T897" l="1"/>
  <c r="AI897"/>
  <c r="X897"/>
  <c r="Y897" s="1"/>
  <c r="N897"/>
  <c r="AG896"/>
  <c r="AJ896"/>
  <c r="V896"/>
  <c r="T896" l="1"/>
  <c r="AI896"/>
  <c r="X896"/>
  <c r="Y896" s="1"/>
  <c r="N896"/>
  <c r="AG895"/>
  <c r="AJ895"/>
  <c r="V895"/>
  <c r="T895" l="1"/>
  <c r="AI895"/>
  <c r="X895"/>
  <c r="Y895" s="1"/>
  <c r="N895"/>
  <c r="AG894"/>
  <c r="AJ894"/>
  <c r="V894"/>
  <c r="T894" l="1"/>
  <c r="AI894"/>
  <c r="X894"/>
  <c r="Y894" s="1"/>
  <c r="N894"/>
  <c r="AG893"/>
  <c r="V893"/>
  <c r="AJ893"/>
  <c r="T893" l="1"/>
  <c r="AI893"/>
  <c r="X893"/>
  <c r="Y893" s="1"/>
  <c r="N893"/>
  <c r="AG892"/>
  <c r="AJ892"/>
  <c r="V892"/>
  <c r="T892" l="1"/>
  <c r="AI892"/>
  <c r="X892"/>
  <c r="Y892" s="1"/>
  <c r="N892"/>
  <c r="AG891"/>
  <c r="AJ891"/>
  <c r="V891"/>
  <c r="T891" l="1"/>
  <c r="AI891"/>
  <c r="X891"/>
  <c r="Y891" s="1"/>
  <c r="N891"/>
  <c r="AG890"/>
  <c r="AJ890"/>
  <c r="V890"/>
  <c r="T890" l="1"/>
  <c r="AI890"/>
  <c r="X890"/>
  <c r="Y890" s="1"/>
  <c r="N890"/>
  <c r="AG888" l="1"/>
  <c r="AJ888"/>
  <c r="V888"/>
  <c r="T888" l="1"/>
  <c r="AI888"/>
  <c r="X888"/>
  <c r="Y888" s="1"/>
  <c r="N888"/>
  <c r="AG887"/>
  <c r="AJ887"/>
  <c r="V887"/>
  <c r="T887" l="1"/>
  <c r="AI887"/>
  <c r="X887"/>
  <c r="Y887" s="1"/>
  <c r="N887"/>
  <c r="AG886"/>
  <c r="AJ886"/>
  <c r="V886"/>
  <c r="T886" l="1"/>
  <c r="AI886"/>
  <c r="X886"/>
  <c r="Y886" s="1"/>
  <c r="N886"/>
  <c r="AG885"/>
  <c r="AJ885"/>
  <c r="V885"/>
  <c r="T885" l="1"/>
  <c r="AI885"/>
  <c r="X885"/>
  <c r="Y885" s="1"/>
  <c r="N885"/>
  <c r="AG884"/>
  <c r="AJ884"/>
  <c r="V884"/>
  <c r="T884" l="1"/>
  <c r="AI884"/>
  <c r="X884"/>
  <c r="Y884" s="1"/>
  <c r="N884"/>
  <c r="AG883"/>
  <c r="V883"/>
  <c r="AJ883"/>
  <c r="T883" l="1"/>
  <c r="AI883"/>
  <c r="X883"/>
  <c r="Y883" s="1"/>
  <c r="N883"/>
  <c r="AG882"/>
  <c r="V882"/>
  <c r="AJ882"/>
  <c r="T882" l="1"/>
  <c r="AI882"/>
  <c r="X882"/>
  <c r="Y882" s="1"/>
  <c r="N882"/>
  <c r="AG879" l="1"/>
  <c r="AJ879"/>
  <c r="V879"/>
  <c r="T879" l="1"/>
  <c r="AI879"/>
  <c r="X879"/>
  <c r="Y879" s="1"/>
  <c r="N879"/>
  <c r="AG877" l="1"/>
  <c r="V877"/>
  <c r="AJ877"/>
  <c r="T877" l="1"/>
  <c r="AI877"/>
  <c r="X877"/>
  <c r="Y877" s="1"/>
  <c r="N877"/>
  <c r="AG876"/>
  <c r="AJ876"/>
  <c r="V876"/>
  <c r="T876" l="1"/>
  <c r="AI876"/>
  <c r="X876"/>
  <c r="Y876" s="1"/>
  <c r="N876"/>
  <c r="AG875"/>
  <c r="V875"/>
  <c r="AJ875"/>
  <c r="T875" l="1"/>
  <c r="AI875"/>
  <c r="X875"/>
  <c r="Y875" s="1"/>
  <c r="N875"/>
  <c r="AG874"/>
  <c r="AJ874"/>
  <c r="V874"/>
  <c r="T874" l="1"/>
  <c r="AI874"/>
  <c r="X874"/>
  <c r="Y874" s="1"/>
  <c r="N874"/>
  <c r="AG873"/>
  <c r="AJ873"/>
  <c r="V873"/>
  <c r="T873" l="1"/>
  <c r="AI873"/>
  <c r="X873"/>
  <c r="Y873" s="1"/>
  <c r="N873"/>
  <c r="AG872"/>
  <c r="V872"/>
  <c r="AJ872"/>
  <c r="T872" l="1"/>
  <c r="AI872"/>
  <c r="X872"/>
  <c r="Y872" s="1"/>
  <c r="N872"/>
  <c r="AG871"/>
  <c r="V871"/>
  <c r="AJ871"/>
  <c r="T871" l="1"/>
  <c r="AI871"/>
  <c r="X871"/>
  <c r="Y871" s="1"/>
  <c r="N871"/>
  <c r="AG870"/>
  <c r="V870"/>
  <c r="AJ870"/>
  <c r="T870" l="1"/>
  <c r="AI870"/>
  <c r="X870"/>
  <c r="Y870" s="1"/>
  <c r="N870"/>
  <c r="AG869"/>
  <c r="AJ869"/>
  <c r="V869"/>
  <c r="T869" l="1"/>
  <c r="AI869"/>
  <c r="X869"/>
  <c r="Y869" s="1"/>
  <c r="N869"/>
  <c r="AG868"/>
  <c r="AJ868"/>
  <c r="V868"/>
  <c r="T868" l="1"/>
  <c r="AI868"/>
  <c r="X868"/>
  <c r="Y868" s="1"/>
  <c r="N868"/>
  <c r="AG867"/>
  <c r="AJ867"/>
  <c r="V867"/>
  <c r="T867" l="1"/>
  <c r="AI867"/>
  <c r="X867"/>
  <c r="Y867" s="1"/>
  <c r="N867"/>
  <c r="AG865" l="1"/>
  <c r="AJ865"/>
  <c r="V865"/>
  <c r="T865" l="1"/>
  <c r="AI865"/>
  <c r="X865"/>
  <c r="Y865" s="1"/>
  <c r="N865"/>
  <c r="AG864"/>
  <c r="AJ864"/>
  <c r="V864"/>
  <c r="T864" l="1"/>
  <c r="AI864"/>
  <c r="X864"/>
  <c r="Y864" s="1"/>
  <c r="N864"/>
  <c r="AG863"/>
  <c r="AJ863"/>
  <c r="V863"/>
  <c r="T863" l="1"/>
  <c r="AI863"/>
  <c r="X863"/>
  <c r="Y863" s="1"/>
  <c r="N863"/>
  <c r="AG862"/>
  <c r="V862"/>
  <c r="AJ862"/>
  <c r="T862" l="1"/>
  <c r="AI862"/>
  <c r="X862"/>
  <c r="Y862" s="1"/>
  <c r="N862"/>
  <c r="AG861"/>
  <c r="AJ861"/>
  <c r="V861"/>
  <c r="T861" l="1"/>
  <c r="AI861"/>
  <c r="X861"/>
  <c r="Y861" s="1"/>
  <c r="N861"/>
  <c r="AG860"/>
  <c r="AJ860"/>
  <c r="V860"/>
  <c r="T860" l="1"/>
  <c r="AI860"/>
  <c r="X860"/>
  <c r="Y860" s="1"/>
  <c r="N860"/>
  <c r="AG859"/>
  <c r="V859"/>
  <c r="AJ859"/>
  <c r="T859" l="1"/>
  <c r="AI859"/>
  <c r="X859"/>
  <c r="Y859" s="1"/>
  <c r="N859"/>
  <c r="AG857" l="1"/>
  <c r="AJ857"/>
  <c r="V857"/>
  <c r="T857" l="1"/>
  <c r="AI857"/>
  <c r="X857"/>
  <c r="Y857" s="1"/>
  <c r="N857"/>
  <c r="AG855" l="1"/>
  <c r="AJ855"/>
  <c r="V855"/>
  <c r="T855" l="1"/>
  <c r="AI855"/>
  <c r="X855"/>
  <c r="Y855" s="1"/>
  <c r="N855"/>
  <c r="AG853" l="1"/>
  <c r="AJ853"/>
  <c r="V853"/>
  <c r="T853" l="1"/>
  <c r="AI853"/>
  <c r="X853"/>
  <c r="Y853" s="1"/>
  <c r="N853"/>
  <c r="AG852"/>
  <c r="AJ852"/>
  <c r="V852"/>
  <c r="T852" l="1"/>
  <c r="AI852"/>
  <c r="X852"/>
  <c r="Y852" s="1"/>
  <c r="N852"/>
  <c r="AG851"/>
  <c r="AJ851"/>
  <c r="V851"/>
  <c r="T851" l="1"/>
  <c r="AI851"/>
  <c r="X851"/>
  <c r="Y851" s="1"/>
  <c r="N851"/>
  <c r="AG850"/>
  <c r="V850"/>
  <c r="AJ850"/>
  <c r="T850" l="1"/>
  <c r="AI850"/>
  <c r="X850"/>
  <c r="Y850" s="1"/>
  <c r="N850"/>
  <c r="AG849"/>
  <c r="AJ849"/>
  <c r="V849"/>
  <c r="T849" l="1"/>
  <c r="AI849"/>
  <c r="X849"/>
  <c r="Y849" s="1"/>
  <c r="N849"/>
  <c r="AG848"/>
  <c r="AJ848"/>
  <c r="V848"/>
  <c r="T848" l="1"/>
  <c r="AI848"/>
  <c r="X848"/>
  <c r="Y848" s="1"/>
  <c r="N848"/>
  <c r="AG847"/>
  <c r="AJ847"/>
  <c r="V847"/>
  <c r="T847" l="1"/>
  <c r="AI847"/>
  <c r="X847"/>
  <c r="Y847" s="1"/>
  <c r="N847"/>
  <c r="AG846"/>
  <c r="V846"/>
  <c r="AJ846"/>
  <c r="T846" l="1"/>
  <c r="AI846"/>
  <c r="X846"/>
  <c r="Y846" s="1"/>
  <c r="N846"/>
  <c r="AG845"/>
  <c r="AJ845"/>
  <c r="V845"/>
  <c r="T845" l="1"/>
  <c r="AI845"/>
  <c r="X845"/>
  <c r="Y845" s="1"/>
  <c r="N845"/>
  <c r="AG842"/>
  <c r="V842"/>
  <c r="AJ842"/>
  <c r="T842" l="1"/>
  <c r="AI842"/>
  <c r="X842"/>
  <c r="Y842" s="1"/>
  <c r="N842"/>
  <c r="AG840" l="1"/>
  <c r="V840"/>
  <c r="AJ840"/>
  <c r="T840" l="1"/>
  <c r="AI840"/>
  <c r="X840"/>
  <c r="Y840" s="1"/>
  <c r="N840"/>
  <c r="AG839"/>
  <c r="AJ839"/>
  <c r="V839"/>
  <c r="T839" l="1"/>
  <c r="AI839"/>
  <c r="X839"/>
  <c r="Y839" s="1"/>
  <c r="N839"/>
  <c r="AG837" l="1"/>
  <c r="V837"/>
  <c r="AJ837"/>
  <c r="T837" l="1"/>
  <c r="AI837"/>
  <c r="X837"/>
  <c r="Y837" s="1"/>
  <c r="N837"/>
  <c r="AG836"/>
  <c r="AJ836"/>
  <c r="V836"/>
  <c r="T836" l="1"/>
  <c r="AI836"/>
  <c r="X836"/>
  <c r="Y836" s="1"/>
  <c r="N836"/>
  <c r="AG835"/>
  <c r="AJ835"/>
  <c r="V835"/>
  <c r="T835" l="1"/>
  <c r="AI835"/>
  <c r="X835"/>
  <c r="Y835" s="1"/>
  <c r="N835"/>
  <c r="AG834"/>
  <c r="AJ834"/>
  <c r="V834"/>
  <c r="T834" l="1"/>
  <c r="AI834"/>
  <c r="X834"/>
  <c r="Y834" s="1"/>
  <c r="N834"/>
  <c r="AG833"/>
  <c r="AJ833"/>
  <c r="V833"/>
  <c r="T833" l="1"/>
  <c r="AI833"/>
  <c r="X833"/>
  <c r="Y833" s="1"/>
  <c r="N833"/>
  <c r="AG832"/>
  <c r="AJ832"/>
  <c r="V832"/>
  <c r="T832" l="1"/>
  <c r="AI832"/>
  <c r="X832"/>
  <c r="Y832" s="1"/>
  <c r="N832"/>
  <c r="AG831"/>
  <c r="V831"/>
  <c r="AJ831"/>
  <c r="T831" l="1"/>
  <c r="AI831"/>
  <c r="X831"/>
  <c r="Y831" s="1"/>
  <c r="N831"/>
  <c r="AG830"/>
  <c r="V830"/>
  <c r="AJ830"/>
  <c r="T830" l="1"/>
  <c r="AI830"/>
  <c r="X830"/>
  <c r="Y830" s="1"/>
  <c r="N830"/>
  <c r="AG829"/>
  <c r="V829"/>
  <c r="AJ829"/>
  <c r="T829" l="1"/>
  <c r="AI829"/>
  <c r="X829"/>
  <c r="Y829" s="1"/>
  <c r="N829"/>
  <c r="AG828"/>
  <c r="AJ828"/>
  <c r="V828"/>
  <c r="T828" l="1"/>
  <c r="AI828"/>
  <c r="X828"/>
  <c r="Y828" s="1"/>
  <c r="N828"/>
  <c r="AG827"/>
  <c r="AJ827"/>
  <c r="V827"/>
  <c r="T827" l="1"/>
  <c r="AI827"/>
  <c r="X827"/>
  <c r="Y827" s="1"/>
  <c r="N827"/>
  <c r="AG826"/>
  <c r="AJ826"/>
  <c r="V826"/>
  <c r="T826" l="1"/>
  <c r="AI826"/>
  <c r="X826"/>
  <c r="Y826" s="1"/>
  <c r="N826"/>
  <c r="AG825"/>
  <c r="AJ825"/>
  <c r="V825"/>
  <c r="T825" l="1"/>
  <c r="AI825"/>
  <c r="X825"/>
  <c r="Y825" s="1"/>
  <c r="N825"/>
  <c r="AG824"/>
  <c r="AJ824"/>
  <c r="V824"/>
  <c r="T824" l="1"/>
  <c r="AI824"/>
  <c r="X824"/>
  <c r="Y824" s="1"/>
  <c r="N824"/>
  <c r="AG823"/>
  <c r="V823"/>
  <c r="AJ823"/>
  <c r="T823" l="1"/>
  <c r="AI823"/>
  <c r="X823"/>
  <c r="Y823" s="1"/>
  <c r="N823"/>
  <c r="AG822"/>
  <c r="AJ822"/>
  <c r="V822"/>
  <c r="T822" l="1"/>
  <c r="AI822"/>
  <c r="X822"/>
  <c r="Y822" s="1"/>
  <c r="N822"/>
  <c r="AG821"/>
  <c r="AJ821"/>
  <c r="V821"/>
  <c r="T821" l="1"/>
  <c r="AI821"/>
  <c r="X821"/>
  <c r="Y821" s="1"/>
  <c r="N821"/>
  <c r="AG819" l="1"/>
  <c r="V819"/>
  <c r="AJ819"/>
  <c r="T819" l="1"/>
  <c r="AI819"/>
  <c r="X819"/>
  <c r="Y819" s="1"/>
  <c r="N819"/>
  <c r="AG818"/>
  <c r="AJ818"/>
  <c r="V818"/>
  <c r="T818" l="1"/>
  <c r="AI818"/>
  <c r="X818"/>
  <c r="Y818" s="1"/>
  <c r="N818"/>
  <c r="AG817"/>
  <c r="V817"/>
  <c r="AJ817"/>
  <c r="T817" l="1"/>
  <c r="AI817"/>
  <c r="X817"/>
  <c r="Y817" s="1"/>
  <c r="N817"/>
  <c r="AG816"/>
  <c r="AJ816"/>
  <c r="V816"/>
  <c r="T816" l="1"/>
  <c r="AI816"/>
  <c r="X816"/>
  <c r="Y816" s="1"/>
  <c r="N816"/>
  <c r="AG815"/>
  <c r="AJ815"/>
  <c r="V815"/>
  <c r="T815" l="1"/>
  <c r="AI815"/>
  <c r="X815"/>
  <c r="Y815" s="1"/>
  <c r="N815"/>
  <c r="AG814"/>
  <c r="AJ814"/>
  <c r="V814"/>
  <c r="T814" l="1"/>
  <c r="AI814"/>
  <c r="X814"/>
  <c r="Y814" s="1"/>
  <c r="N814"/>
  <c r="AG810" l="1"/>
  <c r="AJ810"/>
  <c r="V810"/>
  <c r="T810" l="1"/>
  <c r="AI810"/>
  <c r="X810"/>
  <c r="Y810" s="1"/>
  <c r="N810"/>
  <c r="AG809"/>
  <c r="AJ809"/>
  <c r="V809"/>
  <c r="T809" l="1"/>
  <c r="AI809"/>
  <c r="X809"/>
  <c r="Y809" s="1"/>
  <c r="N809"/>
  <c r="AG808"/>
  <c r="V808"/>
  <c r="AJ808"/>
  <c r="T808" l="1"/>
  <c r="AI808"/>
  <c r="X808"/>
  <c r="Y808" s="1"/>
  <c r="N808"/>
  <c r="AG807"/>
  <c r="AJ807"/>
  <c r="V807"/>
  <c r="T807" l="1"/>
  <c r="AI807"/>
  <c r="X807"/>
  <c r="Y807" s="1"/>
  <c r="AG804"/>
  <c r="V804"/>
  <c r="AJ804"/>
  <c r="T804" l="1"/>
  <c r="AI804"/>
  <c r="X804"/>
  <c r="Y804" s="1"/>
  <c r="N804"/>
  <c r="AG803"/>
  <c r="AJ803"/>
  <c r="V803"/>
  <c r="T803" l="1"/>
  <c r="AI803"/>
  <c r="X803"/>
  <c r="Y803" s="1"/>
  <c r="N803"/>
  <c r="AG802"/>
  <c r="AJ802"/>
  <c r="V802"/>
  <c r="T802" l="1"/>
  <c r="AI802"/>
  <c r="X802"/>
  <c r="Y802" s="1"/>
  <c r="N802"/>
  <c r="AG801"/>
  <c r="AJ801"/>
  <c r="V801"/>
  <c r="T801" l="1"/>
  <c r="AI801"/>
  <c r="X801"/>
  <c r="Y801" s="1"/>
  <c r="N801"/>
  <c r="AG800"/>
  <c r="V800"/>
  <c r="AJ800"/>
  <c r="T800" l="1"/>
  <c r="AI800"/>
  <c r="X800"/>
  <c r="Y800" s="1"/>
  <c r="N800"/>
  <c r="AG799"/>
  <c r="V799"/>
  <c r="AJ799"/>
  <c r="T799" l="1"/>
  <c r="AI799"/>
  <c r="X799"/>
  <c r="Y799" s="1"/>
  <c r="N799"/>
  <c r="AG798"/>
  <c r="AJ798"/>
  <c r="V798"/>
  <c r="T798" l="1"/>
  <c r="AI798"/>
  <c r="X798"/>
  <c r="Y798" s="1"/>
  <c r="N798"/>
  <c r="AG797"/>
  <c r="AJ797"/>
  <c r="V797"/>
  <c r="T797" l="1"/>
  <c r="AI797"/>
  <c r="X797"/>
  <c r="Y797" s="1"/>
  <c r="N797"/>
  <c r="AG796"/>
  <c r="V796"/>
  <c r="AJ796"/>
  <c r="T796" l="1"/>
  <c r="AI796"/>
  <c r="X796"/>
  <c r="Y796" s="1"/>
  <c r="N796"/>
  <c r="AG795"/>
  <c r="AJ795"/>
  <c r="V795"/>
  <c r="T795" l="1"/>
  <c r="AI795"/>
  <c r="X795"/>
  <c r="Y795" s="1"/>
  <c r="N795"/>
  <c r="AG793" l="1"/>
  <c r="V793"/>
  <c r="AJ793"/>
  <c r="T793" l="1"/>
  <c r="AI793"/>
  <c r="X793"/>
  <c r="Y793" s="1"/>
  <c r="N793"/>
  <c r="AG792"/>
  <c r="V792"/>
  <c r="AJ792"/>
  <c r="T792" l="1"/>
  <c r="AI792"/>
  <c r="X792"/>
  <c r="Y792" s="1"/>
  <c r="N792"/>
  <c r="AG791"/>
  <c r="V791"/>
  <c r="AJ791"/>
  <c r="T791" l="1"/>
  <c r="AI791"/>
  <c r="X791"/>
  <c r="Y791" s="1"/>
  <c r="N791"/>
  <c r="AG790"/>
  <c r="AJ790"/>
  <c r="V790"/>
  <c r="T790" l="1"/>
  <c r="AI790"/>
  <c r="X790"/>
  <c r="Y790" s="1"/>
  <c r="N790"/>
  <c r="AG788" l="1"/>
  <c r="V788"/>
  <c r="AJ788"/>
  <c r="T788" l="1"/>
  <c r="AI788"/>
  <c r="X788"/>
  <c r="Y788" s="1"/>
  <c r="N788"/>
  <c r="AG787"/>
  <c r="V787"/>
  <c r="AJ787"/>
  <c r="T787" l="1"/>
  <c r="AI787"/>
  <c r="X787"/>
  <c r="Y787" s="1"/>
  <c r="N787"/>
  <c r="AG786"/>
  <c r="V786"/>
  <c r="AJ786"/>
  <c r="T786" l="1"/>
  <c r="AI786"/>
  <c r="X786"/>
  <c r="Y786" s="1"/>
  <c r="N786"/>
  <c r="AG785"/>
  <c r="AJ785"/>
  <c r="V785"/>
  <c r="T785" l="1"/>
  <c r="AI785"/>
  <c r="X785"/>
  <c r="Y785" s="1"/>
  <c r="N785"/>
  <c r="AG784"/>
  <c r="V784"/>
  <c r="AJ784"/>
  <c r="T784" l="1"/>
  <c r="AI784"/>
  <c r="X784"/>
  <c r="Y784" s="1"/>
  <c r="N784"/>
  <c r="AG783"/>
  <c r="AJ783"/>
  <c r="V783"/>
  <c r="T783" l="1"/>
  <c r="AI783"/>
  <c r="X783"/>
  <c r="Y783" s="1"/>
  <c r="N783"/>
  <c r="AG782"/>
  <c r="AJ782"/>
  <c r="V782"/>
  <c r="T782" l="1"/>
  <c r="AI782"/>
  <c r="X782"/>
  <c r="Y782" s="1"/>
  <c r="N782"/>
  <c r="AG781" l="1"/>
  <c r="AJ781"/>
  <c r="V781"/>
  <c r="T781" l="1"/>
  <c r="AI781"/>
  <c r="X781"/>
  <c r="Y781" s="1"/>
  <c r="N781"/>
  <c r="AG780"/>
  <c r="V780"/>
  <c r="AJ780"/>
  <c r="T780" l="1"/>
  <c r="AI780"/>
  <c r="X780"/>
  <c r="Y780" s="1"/>
  <c r="N780"/>
  <c r="AG779"/>
  <c r="V779"/>
  <c r="AJ779"/>
  <c r="T779" l="1"/>
  <c r="AI779"/>
  <c r="X779"/>
  <c r="Y779" s="1"/>
  <c r="N779"/>
  <c r="AG777" l="1"/>
  <c r="AJ777"/>
  <c r="V777"/>
  <c r="T777" l="1"/>
  <c r="AI777"/>
  <c r="X777"/>
  <c r="Y777" s="1"/>
  <c r="N777"/>
  <c r="AG776"/>
  <c r="AJ776"/>
  <c r="V776"/>
  <c r="T776" l="1"/>
  <c r="AI776"/>
  <c r="X776"/>
  <c r="Y776" s="1"/>
  <c r="N776"/>
  <c r="AG774" l="1"/>
  <c r="AJ774"/>
  <c r="V774"/>
  <c r="T774" l="1"/>
  <c r="AI774"/>
  <c r="X774"/>
  <c r="Y774" s="1"/>
  <c r="N774"/>
  <c r="AG773"/>
  <c r="AJ773"/>
  <c r="V773"/>
  <c r="T773" l="1"/>
  <c r="AI773"/>
  <c r="X773"/>
  <c r="Y773" s="1"/>
  <c r="N773"/>
  <c r="AG772"/>
  <c r="AJ772"/>
  <c r="V772"/>
  <c r="T772" l="1"/>
  <c r="AI772"/>
  <c r="X772"/>
  <c r="Y772" s="1"/>
  <c r="N772"/>
  <c r="AG771"/>
  <c r="AJ771"/>
  <c r="V771"/>
  <c r="T771" l="1"/>
  <c r="AI771"/>
  <c r="X771"/>
  <c r="Y771" s="1"/>
  <c r="N771"/>
  <c r="AG770"/>
  <c r="AJ770"/>
  <c r="V770"/>
  <c r="T770" l="1"/>
  <c r="AI770"/>
  <c r="X770"/>
  <c r="Y770" s="1"/>
  <c r="N770"/>
  <c r="AG769"/>
  <c r="AJ769"/>
  <c r="V769"/>
  <c r="T769" l="1"/>
  <c r="AI769"/>
  <c r="X769"/>
  <c r="Y769" s="1"/>
  <c r="N769"/>
  <c r="AG768"/>
  <c r="AJ768"/>
  <c r="V768"/>
  <c r="T768" l="1"/>
  <c r="AI768"/>
  <c r="X768"/>
  <c r="Y768" s="1"/>
  <c r="N768"/>
  <c r="AG767"/>
  <c r="V767"/>
  <c r="AJ767"/>
  <c r="T767" l="1"/>
  <c r="AI767"/>
  <c r="X767"/>
  <c r="Y767" s="1"/>
  <c r="N767"/>
  <c r="AG766"/>
  <c r="V766"/>
  <c r="AJ766"/>
  <c r="T766" l="1"/>
  <c r="AI766"/>
  <c r="X766"/>
  <c r="Y766" s="1"/>
  <c r="N766"/>
  <c r="AG765"/>
  <c r="AJ765"/>
  <c r="V765"/>
  <c r="T765" l="1"/>
  <c r="AI765"/>
  <c r="X765"/>
  <c r="Y765" s="1"/>
  <c r="N765"/>
  <c r="AG764"/>
  <c r="V764"/>
  <c r="AJ764"/>
  <c r="T764" l="1"/>
  <c r="AI764"/>
  <c r="X764"/>
  <c r="Y764" s="1"/>
  <c r="N764"/>
  <c r="AG763"/>
  <c r="AJ763"/>
  <c r="V763"/>
  <c r="T763" l="1"/>
  <c r="AI763"/>
  <c r="X763"/>
  <c r="Y763" s="1"/>
  <c r="N763"/>
  <c r="AG762"/>
  <c r="AJ762"/>
  <c r="V762"/>
  <c r="T762" l="1"/>
  <c r="AI762"/>
  <c r="X762"/>
  <c r="Y762" s="1"/>
  <c r="N762"/>
  <c r="AG761"/>
  <c r="AJ761"/>
  <c r="V761"/>
  <c r="T761" l="1"/>
  <c r="AI761"/>
  <c r="X761"/>
  <c r="Y761" s="1"/>
  <c r="N761"/>
  <c r="AG760"/>
  <c r="V760"/>
  <c r="AJ760"/>
  <c r="T760" l="1"/>
  <c r="AI760"/>
  <c r="X760"/>
  <c r="Y760" s="1"/>
  <c r="N760"/>
  <c r="AG759"/>
  <c r="V759"/>
  <c r="AJ759"/>
  <c r="T759" l="1"/>
  <c r="AI759"/>
  <c r="X759"/>
  <c r="Y759" s="1"/>
  <c r="N759"/>
  <c r="AG758"/>
  <c r="AJ758"/>
  <c r="V758"/>
  <c r="T758" l="1"/>
  <c r="AI758"/>
  <c r="X758"/>
  <c r="Y758" s="1"/>
  <c r="N758"/>
  <c r="AG757"/>
  <c r="AJ757"/>
  <c r="V757"/>
  <c r="T757" l="1"/>
  <c r="AI757"/>
  <c r="X757"/>
  <c r="Y757" s="1"/>
  <c r="N757"/>
  <c r="AG756"/>
  <c r="V756"/>
  <c r="AJ756"/>
  <c r="T756" l="1"/>
  <c r="AI756"/>
  <c r="X756"/>
  <c r="Y756" s="1"/>
  <c r="N756"/>
  <c r="AG755"/>
  <c r="AJ755"/>
  <c r="V755"/>
  <c r="T755" l="1"/>
  <c r="AI755"/>
  <c r="X755"/>
  <c r="Y755" s="1"/>
  <c r="N755"/>
  <c r="AG754"/>
  <c r="V754"/>
  <c r="AJ754"/>
  <c r="T754" l="1"/>
  <c r="AI754"/>
  <c r="X754"/>
  <c r="Y754" s="1"/>
  <c r="N754"/>
  <c r="AG753"/>
  <c r="AJ753"/>
  <c r="V753"/>
  <c r="T753" l="1"/>
  <c r="AI753"/>
  <c r="X753"/>
  <c r="Y753" s="1"/>
  <c r="N753"/>
  <c r="AG752"/>
  <c r="V752"/>
  <c r="AJ752"/>
  <c r="T752" l="1"/>
  <c r="AI752"/>
  <c r="X752"/>
  <c r="Y752" s="1"/>
  <c r="N752"/>
  <c r="AG750" l="1"/>
  <c r="V750"/>
  <c r="AJ750"/>
  <c r="T750" l="1"/>
  <c r="AI750"/>
  <c r="X750"/>
  <c r="Y750" s="1"/>
  <c r="N750"/>
  <c r="AG749"/>
  <c r="AJ749"/>
  <c r="V749"/>
  <c r="T749" l="1"/>
  <c r="AI749"/>
  <c r="X749"/>
  <c r="Y749" s="1"/>
  <c r="N749"/>
  <c r="AG748"/>
  <c r="V748"/>
  <c r="AJ748"/>
  <c r="T748" l="1"/>
  <c r="AI748"/>
  <c r="X748"/>
  <c r="Y748" s="1"/>
  <c r="N748"/>
  <c r="AG747"/>
  <c r="V747"/>
  <c r="T747" l="1"/>
  <c r="X747"/>
  <c r="Y747" s="1"/>
  <c r="N747"/>
  <c r="AG746"/>
  <c r="V746"/>
  <c r="T746" l="1"/>
  <c r="X746"/>
  <c r="Y746" s="1"/>
  <c r="N746"/>
  <c r="AG744" l="1"/>
  <c r="V744"/>
  <c r="T744" l="1"/>
  <c r="X744"/>
  <c r="Y744" s="1"/>
  <c r="N744"/>
  <c r="AG741" l="1"/>
  <c r="AJ741"/>
  <c r="V741"/>
  <c r="T741" l="1"/>
  <c r="AI741"/>
  <c r="X741"/>
  <c r="Y741" s="1"/>
  <c r="N741"/>
  <c r="AG739"/>
  <c r="AJ739"/>
  <c r="V739"/>
  <c r="T739" l="1"/>
  <c r="AI739"/>
  <c r="X739"/>
  <c r="Y739" s="1"/>
  <c r="N739"/>
  <c r="AG738"/>
  <c r="V738"/>
  <c r="AJ738"/>
  <c r="T738" l="1"/>
  <c r="AI738"/>
  <c r="X738"/>
  <c r="Y738" s="1"/>
  <c r="N738"/>
  <c r="AG737"/>
  <c r="V737"/>
  <c r="AJ737"/>
  <c r="T737" l="1"/>
  <c r="AI737"/>
  <c r="X737"/>
  <c r="Y737" s="1"/>
  <c r="N737"/>
  <c r="AG736"/>
  <c r="AJ736"/>
  <c r="V736"/>
  <c r="T736" l="1"/>
  <c r="AI736"/>
  <c r="X736"/>
  <c r="Y736" s="1"/>
  <c r="N736"/>
  <c r="AG735"/>
  <c r="AJ735"/>
  <c r="V735"/>
  <c r="T735" l="1"/>
  <c r="AI735"/>
  <c r="X735"/>
  <c r="Y735" s="1"/>
  <c r="N735"/>
  <c r="AG734"/>
  <c r="V734"/>
  <c r="AJ734"/>
  <c r="T734" l="1"/>
  <c r="AI734"/>
  <c r="X734"/>
  <c r="Y734" s="1"/>
  <c r="N734"/>
  <c r="AG732" l="1"/>
  <c r="V732"/>
  <c r="AJ732"/>
  <c r="T732" l="1"/>
  <c r="AI732"/>
  <c r="X732"/>
  <c r="Y732" s="1"/>
  <c r="N732"/>
  <c r="AG731"/>
  <c r="AJ731"/>
  <c r="V731"/>
  <c r="T731" l="1"/>
  <c r="AI731"/>
  <c r="X731"/>
  <c r="Y731" s="1"/>
  <c r="N731"/>
  <c r="AG730"/>
  <c r="AJ730"/>
  <c r="V730"/>
  <c r="T730" l="1"/>
  <c r="AI730"/>
  <c r="X730"/>
  <c r="Y730" s="1"/>
  <c r="N730"/>
  <c r="AG729"/>
  <c r="AJ729"/>
  <c r="V729"/>
  <c r="T729" l="1"/>
  <c r="AI729"/>
  <c r="X729"/>
  <c r="Y729" s="1"/>
  <c r="N729"/>
  <c r="AG728"/>
  <c r="AJ728"/>
  <c r="V728"/>
  <c r="T728" l="1"/>
  <c r="AI728"/>
  <c r="X728"/>
  <c r="Y728" s="1"/>
  <c r="N728"/>
  <c r="AG727"/>
  <c r="AJ727"/>
  <c r="V727"/>
  <c r="T727" l="1"/>
  <c r="AI727"/>
  <c r="X727"/>
  <c r="Y727" s="1"/>
  <c r="N727"/>
  <c r="AG726"/>
  <c r="AJ726"/>
  <c r="V726"/>
  <c r="T726" l="1"/>
  <c r="AI726"/>
  <c r="X726"/>
  <c r="Y726" s="1"/>
  <c r="N726"/>
  <c r="AG725"/>
  <c r="AJ725"/>
  <c r="V725"/>
  <c r="T725" l="1"/>
  <c r="AI725"/>
  <c r="X725"/>
  <c r="Y725" s="1"/>
  <c r="N725"/>
  <c r="AG724"/>
  <c r="V724"/>
  <c r="AJ724"/>
  <c r="T724" l="1"/>
  <c r="AI724"/>
  <c r="X724"/>
  <c r="Y724" s="1"/>
  <c r="N724"/>
  <c r="AG723"/>
  <c r="AJ723"/>
  <c r="V723"/>
  <c r="T723" l="1"/>
  <c r="AI723"/>
  <c r="X723"/>
  <c r="Y723" s="1"/>
  <c r="N723"/>
  <c r="AG721" l="1"/>
  <c r="AJ721"/>
  <c r="V721"/>
  <c r="T721" l="1"/>
  <c r="AI721"/>
  <c r="X721"/>
  <c r="Y721" s="1"/>
  <c r="N721"/>
  <c r="AG720"/>
  <c r="AJ720"/>
  <c r="V720"/>
  <c r="T720" l="1"/>
  <c r="AI720"/>
  <c r="X720"/>
  <c r="Y720" s="1"/>
  <c r="N720"/>
  <c r="AG719"/>
  <c r="V719"/>
  <c r="AJ719"/>
  <c r="T719" l="1"/>
  <c r="AI719"/>
  <c r="X719"/>
  <c r="Y719" s="1"/>
  <c r="N719"/>
  <c r="AG717" l="1"/>
  <c r="V717"/>
  <c r="T717" l="1"/>
  <c r="X717"/>
  <c r="Y717" s="1"/>
  <c r="N717"/>
  <c r="AG716"/>
  <c r="V716"/>
  <c r="T716" l="1"/>
  <c r="X716"/>
  <c r="Y716" s="1"/>
  <c r="N716"/>
  <c r="AG714" l="1"/>
  <c r="V714"/>
  <c r="T714" l="1"/>
  <c r="X714"/>
  <c r="Y714" s="1"/>
  <c r="N714"/>
  <c r="AG711" l="1"/>
  <c r="V711"/>
  <c r="AJ711"/>
  <c r="T711" l="1"/>
  <c r="AI711"/>
  <c r="X711"/>
  <c r="Y711" s="1"/>
  <c r="N711"/>
  <c r="AG710"/>
  <c r="AJ710"/>
  <c r="V710"/>
  <c r="T710" l="1"/>
  <c r="AI710"/>
  <c r="X710"/>
  <c r="Y710" s="1"/>
  <c r="N710"/>
  <c r="AG709"/>
  <c r="V709"/>
  <c r="AJ709"/>
  <c r="T709" l="1"/>
  <c r="AI709"/>
  <c r="X709"/>
  <c r="Y709" s="1"/>
  <c r="N709"/>
  <c r="AG708"/>
  <c r="AJ708"/>
  <c r="V708"/>
  <c r="T708" l="1"/>
  <c r="AI708"/>
  <c r="X708"/>
  <c r="Y708" s="1"/>
  <c r="N708"/>
  <c r="AG707"/>
  <c r="AJ707"/>
  <c r="V707"/>
  <c r="T707" l="1"/>
  <c r="AI707"/>
  <c r="X707"/>
  <c r="Y707" s="1"/>
  <c r="N707"/>
  <c r="AG706"/>
  <c r="V706"/>
  <c r="AJ706"/>
  <c r="T706" l="1"/>
  <c r="AI706"/>
  <c r="X706"/>
  <c r="Y706" s="1"/>
  <c r="N706"/>
  <c r="AG705"/>
  <c r="V705"/>
  <c r="AJ705"/>
  <c r="T705" l="1"/>
  <c r="AI705"/>
  <c r="X705"/>
  <c r="Y705" s="1"/>
  <c r="N705"/>
  <c r="AG704"/>
  <c r="V704"/>
  <c r="AJ704"/>
  <c r="T704" l="1"/>
  <c r="AI704"/>
  <c r="X704"/>
  <c r="Y704" s="1"/>
  <c r="N704"/>
  <c r="AG703"/>
  <c r="AJ703"/>
  <c r="V703"/>
  <c r="T703" l="1"/>
  <c r="AI703"/>
  <c r="X703"/>
  <c r="Y703" s="1"/>
  <c r="N703"/>
  <c r="AG702"/>
  <c r="AJ702"/>
  <c r="V702"/>
  <c r="T702" l="1"/>
  <c r="AI702"/>
  <c r="X702"/>
  <c r="Y702" s="1"/>
  <c r="N702"/>
  <c r="AG701"/>
  <c r="AJ701"/>
  <c r="V701"/>
  <c r="T701" l="1"/>
  <c r="AI701"/>
  <c r="X701"/>
  <c r="Y701" s="1"/>
  <c r="N701"/>
  <c r="AG700"/>
  <c r="AJ700"/>
  <c r="V700"/>
  <c r="T700" l="1"/>
  <c r="AI700"/>
  <c r="X700"/>
  <c r="Y700" s="1"/>
  <c r="N700"/>
  <c r="AG699"/>
  <c r="AJ699"/>
  <c r="V699"/>
  <c r="T699" l="1"/>
  <c r="AI699"/>
  <c r="X699"/>
  <c r="Y699" s="1"/>
  <c r="N699"/>
  <c r="AG698"/>
  <c r="V698"/>
  <c r="AJ698"/>
  <c r="T698" l="1"/>
  <c r="AI698"/>
  <c r="X698"/>
  <c r="Y698" s="1"/>
  <c r="N698"/>
  <c r="AG697"/>
  <c r="AJ697"/>
  <c r="V697"/>
  <c r="T697" l="1"/>
  <c r="AI697"/>
  <c r="X697"/>
  <c r="Y697" s="1"/>
  <c r="AG693"/>
  <c r="V693"/>
  <c r="AJ693"/>
  <c r="T693" l="1"/>
  <c r="AI693"/>
  <c r="X693"/>
  <c r="Y693" s="1"/>
  <c r="N693"/>
  <c r="AG692"/>
  <c r="V692"/>
  <c r="AJ692"/>
  <c r="T692" l="1"/>
  <c r="AI692"/>
  <c r="X692"/>
  <c r="Y692" s="1"/>
  <c r="N692"/>
  <c r="AG690" l="1"/>
  <c r="V690"/>
  <c r="AJ690"/>
  <c r="T690" l="1"/>
  <c r="AI690"/>
  <c r="X690"/>
  <c r="Y690" s="1"/>
  <c r="N690"/>
  <c r="AG689"/>
  <c r="AJ689"/>
  <c r="V689"/>
  <c r="T689" l="1"/>
  <c r="AI689"/>
  <c r="X689"/>
  <c r="Y689" s="1"/>
  <c r="N689"/>
  <c r="AG688"/>
  <c r="AJ688"/>
  <c r="V688"/>
  <c r="T688" l="1"/>
  <c r="AI688"/>
  <c r="X688"/>
  <c r="Y688" s="1"/>
  <c r="N688"/>
  <c r="AG687"/>
  <c r="AJ687"/>
  <c r="V687"/>
  <c r="T687" l="1"/>
  <c r="AI687"/>
  <c r="X687"/>
  <c r="Y687" s="1"/>
  <c r="N687"/>
  <c r="AG686"/>
  <c r="V686"/>
  <c r="AJ686"/>
  <c r="T686" l="1"/>
  <c r="AI686"/>
  <c r="X686"/>
  <c r="Y686" s="1"/>
  <c r="N686"/>
  <c r="AG685"/>
  <c r="AJ685"/>
  <c r="V685"/>
  <c r="T685" l="1"/>
  <c r="AI685"/>
  <c r="X685"/>
  <c r="Y685" s="1"/>
  <c r="N685"/>
  <c r="AG684"/>
  <c r="AJ684"/>
  <c r="V684"/>
  <c r="T684" l="1"/>
  <c r="AI684"/>
  <c r="X684"/>
  <c r="Y684" s="1"/>
  <c r="N684"/>
  <c r="AG683"/>
  <c r="AJ683"/>
  <c r="V683"/>
  <c r="T683" l="1"/>
  <c r="AI683"/>
  <c r="X683"/>
  <c r="Y683" s="1"/>
  <c r="N683"/>
  <c r="AG682"/>
  <c r="AJ682"/>
  <c r="V682"/>
  <c r="T682" l="1"/>
  <c r="AI682"/>
  <c r="X682"/>
  <c r="Y682" s="1"/>
  <c r="N682"/>
  <c r="AG681"/>
  <c r="AJ681"/>
  <c r="V681"/>
  <c r="T681" l="1"/>
  <c r="AI681"/>
  <c r="X681"/>
  <c r="Y681" s="1"/>
  <c r="N681"/>
  <c r="AG680"/>
  <c r="AJ680"/>
  <c r="V680"/>
  <c r="T680" l="1"/>
  <c r="AI680"/>
  <c r="X680"/>
  <c r="Y680" s="1"/>
  <c r="N680"/>
  <c r="AG679"/>
  <c r="AJ679"/>
  <c r="V679"/>
  <c r="T679" l="1"/>
  <c r="AI679"/>
  <c r="X679"/>
  <c r="Y679" s="1"/>
  <c r="N679"/>
  <c r="AG678"/>
  <c r="AJ678"/>
  <c r="V678"/>
  <c r="T678" l="1"/>
  <c r="AI678"/>
  <c r="X678"/>
  <c r="Y678" s="1"/>
  <c r="N678"/>
  <c r="AG677"/>
  <c r="V677"/>
  <c r="AJ677"/>
  <c r="T677" l="1"/>
  <c r="AI677"/>
  <c r="X677"/>
  <c r="Y677" s="1"/>
  <c r="N677"/>
  <c r="AG671" l="1"/>
  <c r="AJ671"/>
  <c r="V671"/>
  <c r="T671" l="1"/>
  <c r="AI671"/>
  <c r="X671"/>
  <c r="Y671" s="1"/>
  <c r="N671"/>
  <c r="AG670"/>
  <c r="V670"/>
  <c r="AJ670"/>
  <c r="T670" l="1"/>
  <c r="AI670"/>
  <c r="X670"/>
  <c r="Y670" s="1"/>
  <c r="N670"/>
  <c r="AG667" l="1"/>
  <c r="AJ667"/>
  <c r="V667"/>
  <c r="T667" l="1"/>
  <c r="AI667"/>
  <c r="X667"/>
  <c r="Y667" s="1"/>
  <c r="N667"/>
  <c r="AG666"/>
  <c r="V666"/>
  <c r="AJ666"/>
  <c r="T666" l="1"/>
  <c r="AI666"/>
  <c r="X666"/>
  <c r="Y666" s="1"/>
  <c r="N666"/>
  <c r="AG665"/>
  <c r="AJ665"/>
  <c r="V665"/>
  <c r="T665" l="1"/>
  <c r="AI665"/>
  <c r="X665"/>
  <c r="Y665" s="1"/>
  <c r="N665"/>
  <c r="AG664"/>
  <c r="V664"/>
  <c r="AJ664"/>
  <c r="T664" l="1"/>
  <c r="AI664"/>
  <c r="X664"/>
  <c r="Y664" s="1"/>
  <c r="N664"/>
  <c r="AG663"/>
  <c r="AJ663"/>
  <c r="V663"/>
  <c r="T663" l="1"/>
  <c r="AI663"/>
  <c r="X663"/>
  <c r="Y663" s="1"/>
  <c r="N663"/>
  <c r="AG662"/>
  <c r="AJ662"/>
  <c r="V662"/>
  <c r="T662" l="1"/>
  <c r="AI662"/>
  <c r="X662"/>
  <c r="Y662" s="1"/>
  <c r="N662"/>
  <c r="AG660" l="1"/>
  <c r="AJ660"/>
  <c r="V660"/>
  <c r="T660" l="1"/>
  <c r="AI660"/>
  <c r="X660"/>
  <c r="Y660" s="1"/>
  <c r="N660"/>
  <c r="AG657" l="1"/>
  <c r="V657"/>
  <c r="AJ657"/>
  <c r="T657" l="1"/>
  <c r="AI657"/>
  <c r="X657"/>
  <c r="Y657" s="1"/>
  <c r="N657"/>
  <c r="AG654" l="1"/>
  <c r="AJ654"/>
  <c r="V654"/>
  <c r="T654" l="1"/>
  <c r="AI654"/>
  <c r="X654"/>
  <c r="Y654" s="1"/>
  <c r="N654"/>
  <c r="AG651" l="1"/>
  <c r="AJ651"/>
  <c r="V651"/>
  <c r="T651" l="1"/>
  <c r="AI651"/>
  <c r="X651"/>
  <c r="Y651" s="1"/>
  <c r="N651"/>
  <c r="AG649" l="1"/>
  <c r="AJ649"/>
  <c r="V649"/>
  <c r="T649" l="1"/>
  <c r="AI649"/>
  <c r="X649"/>
  <c r="Y649" s="1"/>
  <c r="N649"/>
  <c r="AG645" l="1"/>
  <c r="AJ645"/>
  <c r="V645"/>
  <c r="T645" l="1"/>
  <c r="AI645"/>
  <c r="X645"/>
  <c r="Y645" s="1"/>
  <c r="N645"/>
  <c r="AG644"/>
  <c r="AJ644"/>
  <c r="V644"/>
  <c r="T644" l="1"/>
  <c r="AI644"/>
  <c r="X644"/>
  <c r="Y644" s="1"/>
  <c r="N644"/>
  <c r="AG640" l="1"/>
  <c r="AJ640"/>
  <c r="V640"/>
  <c r="T640" l="1"/>
  <c r="AI640"/>
  <c r="X640"/>
  <c r="Y640" s="1"/>
  <c r="N640"/>
  <c r="AG638" l="1"/>
  <c r="V638"/>
  <c r="AJ638"/>
  <c r="T638" l="1"/>
  <c r="AI638"/>
  <c r="X638"/>
  <c r="Y638" s="1"/>
  <c r="N638"/>
  <c r="AG637"/>
  <c r="AJ637"/>
  <c r="V637"/>
  <c r="T637" l="1"/>
  <c r="AI637"/>
  <c r="X637"/>
  <c r="Y637" s="1"/>
  <c r="N637"/>
  <c r="AG636"/>
  <c r="AJ636"/>
  <c r="V636"/>
  <c r="T636" l="1"/>
  <c r="AI636"/>
  <c r="X636"/>
  <c r="Y636" s="1"/>
  <c r="N636"/>
  <c r="AG633" l="1"/>
  <c r="AJ633"/>
  <c r="V633"/>
  <c r="T633" l="1"/>
  <c r="AI633"/>
  <c r="X633"/>
  <c r="Y633" s="1"/>
  <c r="N633"/>
  <c r="AG631" l="1"/>
  <c r="AJ631"/>
  <c r="V631"/>
  <c r="T631" l="1"/>
  <c r="AI631"/>
  <c r="X631"/>
  <c r="Y631" s="1"/>
  <c r="N631"/>
  <c r="AG627" l="1"/>
  <c r="AJ627"/>
  <c r="V627"/>
  <c r="T627" l="1"/>
  <c r="AI627"/>
  <c r="X627"/>
  <c r="Y627" s="1"/>
  <c r="N627"/>
  <c r="AG626"/>
  <c r="V626"/>
  <c r="AJ626"/>
  <c r="T626" l="1"/>
  <c r="AI626"/>
  <c r="X626"/>
  <c r="Y626" s="1"/>
  <c r="N626"/>
  <c r="AG624" l="1"/>
  <c r="AJ624"/>
  <c r="V624"/>
  <c r="T624" l="1"/>
  <c r="AI624"/>
  <c r="X624"/>
  <c r="Y624" s="1"/>
  <c r="N624"/>
  <c r="AG623"/>
  <c r="AJ623"/>
  <c r="V623"/>
  <c r="T623" l="1"/>
  <c r="AI623"/>
  <c r="X623"/>
  <c r="Y623" s="1"/>
  <c r="N623"/>
  <c r="AG622"/>
  <c r="AJ622"/>
  <c r="V622"/>
  <c r="T622" l="1"/>
  <c r="AI622"/>
  <c r="X622"/>
  <c r="Y622" s="1"/>
  <c r="N622"/>
  <c r="AG621"/>
  <c r="V621"/>
  <c r="AJ621"/>
  <c r="T621" l="1"/>
  <c r="AI621"/>
  <c r="X621"/>
  <c r="Y621" s="1"/>
  <c r="N621"/>
  <c r="AG619" l="1"/>
  <c r="AJ619"/>
  <c r="V619"/>
  <c r="T619" l="1"/>
  <c r="AI619"/>
  <c r="X619"/>
  <c r="Y619" s="1"/>
  <c r="N619"/>
  <c r="AG618"/>
  <c r="AJ618"/>
  <c r="V618"/>
  <c r="T618" l="1"/>
  <c r="AI618"/>
  <c r="X618"/>
  <c r="Y618" s="1"/>
  <c r="N618"/>
  <c r="AG617"/>
  <c r="AJ617"/>
  <c r="V617"/>
  <c r="T617" l="1"/>
  <c r="AI617"/>
  <c r="X617"/>
  <c r="Y617" s="1"/>
  <c r="N617"/>
  <c r="AG613" l="1"/>
  <c r="V613"/>
  <c r="AJ613"/>
  <c r="T613" l="1"/>
  <c r="AI613"/>
  <c r="X613"/>
  <c r="Y613" s="1"/>
  <c r="N613"/>
  <c r="AG612"/>
  <c r="V612"/>
  <c r="AJ612"/>
  <c r="T612" l="1"/>
  <c r="AI612"/>
  <c r="X612"/>
  <c r="Y612" s="1"/>
  <c r="N612"/>
  <c r="AG611"/>
  <c r="V611"/>
  <c r="AJ611"/>
  <c r="T611" l="1"/>
  <c r="AI611"/>
  <c r="X611"/>
  <c r="Y611" s="1"/>
  <c r="N611"/>
  <c r="AG610"/>
  <c r="AJ610"/>
  <c r="V610"/>
  <c r="T610" l="1"/>
  <c r="AI610"/>
  <c r="X610"/>
  <c r="Y610" s="1"/>
  <c r="N610"/>
  <c r="AG609"/>
  <c r="AJ609"/>
  <c r="V609"/>
  <c r="T609" l="1"/>
  <c r="AI609"/>
  <c r="X609"/>
  <c r="Y609" s="1"/>
  <c r="N609"/>
  <c r="AG608"/>
  <c r="AJ608"/>
  <c r="V608"/>
  <c r="T608" l="1"/>
  <c r="AI608"/>
  <c r="X608"/>
  <c r="Y608" s="1"/>
  <c r="N608"/>
  <c r="AG607"/>
  <c r="V607"/>
  <c r="AJ607"/>
  <c r="T607" l="1"/>
  <c r="AI607"/>
  <c r="X607"/>
  <c r="Y607" s="1"/>
  <c r="N607"/>
  <c r="AG605" l="1"/>
  <c r="AJ605"/>
  <c r="V605"/>
  <c r="T605" l="1"/>
  <c r="AI605"/>
  <c r="X605"/>
  <c r="Y605" s="1"/>
  <c r="N605"/>
  <c r="AG603" l="1"/>
  <c r="AJ603"/>
  <c r="V603"/>
  <c r="T603" l="1"/>
  <c r="AI603"/>
  <c r="X603"/>
  <c r="Y603" s="1"/>
  <c r="N603"/>
  <c r="AG601" l="1"/>
  <c r="V601"/>
  <c r="AJ601"/>
  <c r="T601" l="1"/>
  <c r="AI601"/>
  <c r="X601"/>
  <c r="Y601" s="1"/>
  <c r="N601"/>
  <c r="AG597" l="1"/>
  <c r="AJ597"/>
  <c r="V597"/>
  <c r="T597" l="1"/>
  <c r="AI597"/>
  <c r="X597"/>
  <c r="Y597" s="1"/>
  <c r="N597"/>
  <c r="AG596"/>
  <c r="AJ596"/>
  <c r="V596"/>
  <c r="T596" l="1"/>
  <c r="AI596"/>
  <c r="X596"/>
  <c r="Y596" s="1"/>
  <c r="N596"/>
  <c r="AG595"/>
  <c r="AJ595"/>
  <c r="V595"/>
  <c r="T595" l="1"/>
  <c r="AI595"/>
  <c r="X595"/>
  <c r="Y595" s="1"/>
  <c r="N595"/>
  <c r="AG592" l="1"/>
  <c r="AJ592"/>
  <c r="V592"/>
  <c r="T592" l="1"/>
  <c r="AI592"/>
  <c r="X592"/>
  <c r="Y592" s="1"/>
  <c r="AG589" l="1"/>
  <c r="AJ589"/>
  <c r="V589"/>
  <c r="T589" l="1"/>
  <c r="AI589"/>
  <c r="X589"/>
  <c r="Y589" s="1"/>
  <c r="N589"/>
  <c r="AG588"/>
  <c r="V588"/>
  <c r="AJ588"/>
  <c r="T588" l="1"/>
  <c r="AI588"/>
  <c r="X588"/>
  <c r="Y588" s="1"/>
  <c r="N588"/>
  <c r="AG586" l="1"/>
  <c r="AJ586"/>
  <c r="V586"/>
  <c r="T586" l="1"/>
  <c r="AI586"/>
  <c r="X586"/>
  <c r="Y586" s="1"/>
  <c r="N586"/>
  <c r="AG584" l="1"/>
  <c r="AJ584"/>
  <c r="V584"/>
  <c r="T584" l="1"/>
  <c r="AI584"/>
  <c r="X584"/>
  <c r="Y584" s="1"/>
  <c r="N584"/>
  <c r="AG583"/>
  <c r="AJ583"/>
  <c r="V583"/>
  <c r="T583" l="1"/>
  <c r="AI583"/>
  <c r="X583"/>
  <c r="Y583" s="1"/>
  <c r="N583"/>
  <c r="AG582"/>
  <c r="V582"/>
  <c r="AJ582"/>
  <c r="T582" l="1"/>
  <c r="AI582"/>
  <c r="X582"/>
  <c r="Y582" s="1"/>
  <c r="N582"/>
  <c r="AG578" l="1"/>
  <c r="AJ578"/>
  <c r="V578"/>
  <c r="T578" l="1"/>
  <c r="AI578"/>
  <c r="X578"/>
  <c r="Y578" s="1"/>
  <c r="N578"/>
  <c r="AG577"/>
  <c r="AJ577"/>
  <c r="V577"/>
  <c r="T577" l="1"/>
  <c r="AI577"/>
  <c r="X577"/>
  <c r="Y577" s="1"/>
  <c r="N577"/>
  <c r="AG575" l="1"/>
  <c r="V575"/>
  <c r="AJ575"/>
  <c r="T575" l="1"/>
  <c r="AI575"/>
  <c r="X575"/>
  <c r="Y575" s="1"/>
  <c r="N575"/>
  <c r="AG574"/>
  <c r="V574"/>
  <c r="AJ574"/>
  <c r="T574" l="1"/>
  <c r="AI574"/>
  <c r="X574"/>
  <c r="Y574" s="1"/>
  <c r="N574"/>
  <c r="AG573"/>
  <c r="AJ573"/>
  <c r="V573"/>
  <c r="T573" l="1"/>
  <c r="AI573"/>
  <c r="X573"/>
  <c r="Y573" s="1"/>
  <c r="N573"/>
  <c r="AG572"/>
  <c r="V572"/>
  <c r="AJ572"/>
  <c r="T572" l="1"/>
  <c r="AI572"/>
  <c r="X572"/>
  <c r="Y572" s="1"/>
  <c r="N572"/>
  <c r="AG571"/>
  <c r="AJ571"/>
  <c r="V571"/>
  <c r="T571" l="1"/>
  <c r="AI571"/>
  <c r="X571"/>
  <c r="Y571" s="1"/>
  <c r="N571"/>
  <c r="AG569" l="1"/>
  <c r="AJ569"/>
  <c r="V569"/>
  <c r="T569" l="1"/>
  <c r="AI569"/>
  <c r="X569"/>
  <c r="Y569" s="1"/>
  <c r="N569"/>
  <c r="AG568"/>
  <c r="AJ568"/>
  <c r="V568"/>
  <c r="T568" l="1"/>
  <c r="AI568"/>
  <c r="X568"/>
  <c r="Y568" s="1"/>
  <c r="N568"/>
  <c r="AG567"/>
  <c r="AJ567"/>
  <c r="V567"/>
  <c r="T567" l="1"/>
  <c r="AI567"/>
  <c r="X567"/>
  <c r="Y567" s="1"/>
  <c r="N567"/>
  <c r="AG566"/>
  <c r="V566"/>
  <c r="AJ566"/>
  <c r="T566" l="1"/>
  <c r="AI566"/>
  <c r="X566"/>
  <c r="Y566" s="1"/>
  <c r="N566"/>
  <c r="AG565"/>
  <c r="AJ565"/>
  <c r="V565"/>
  <c r="T565" l="1"/>
  <c r="AI565"/>
  <c r="X565"/>
  <c r="Y565" s="1"/>
  <c r="N565"/>
  <c r="AG564"/>
  <c r="AJ564"/>
  <c r="V564"/>
  <c r="T564" l="1"/>
  <c r="AI564"/>
  <c r="X564"/>
  <c r="Y564" s="1"/>
  <c r="N564"/>
  <c r="AG559" l="1"/>
  <c r="AJ559"/>
  <c r="V559"/>
  <c r="T559" l="1"/>
  <c r="AI559"/>
  <c r="X559"/>
  <c r="Y559" s="1"/>
  <c r="N559"/>
  <c r="AG558"/>
  <c r="AJ558"/>
  <c r="V558"/>
  <c r="T558" l="1"/>
  <c r="AI558"/>
  <c r="X558"/>
  <c r="Y558" s="1"/>
  <c r="N558"/>
  <c r="AG557"/>
  <c r="V557"/>
  <c r="AJ557"/>
  <c r="T557" l="1"/>
  <c r="AI557"/>
  <c r="X557"/>
  <c r="Y557" s="1"/>
  <c r="N557"/>
  <c r="AG553" l="1"/>
  <c r="AJ553"/>
  <c r="V553"/>
  <c r="T553" l="1"/>
  <c r="AI553"/>
  <c r="X553"/>
  <c r="Y553" s="1"/>
  <c r="N553"/>
  <c r="AG550" l="1"/>
  <c r="AJ550"/>
  <c r="V550"/>
  <c r="T550" l="1"/>
  <c r="AI550"/>
  <c r="X550"/>
  <c r="Y550" s="1"/>
  <c r="N550"/>
  <c r="AG547" l="1"/>
  <c r="V547"/>
  <c r="AJ547"/>
  <c r="T547" l="1"/>
  <c r="AI547"/>
  <c r="X547"/>
  <c r="Y547" s="1"/>
  <c r="N547"/>
  <c r="AG546"/>
  <c r="AJ546"/>
  <c r="V546"/>
  <c r="T546" l="1"/>
  <c r="AI546"/>
  <c r="X546"/>
  <c r="Y546" s="1"/>
  <c r="N546"/>
  <c r="AG545"/>
  <c r="AJ545"/>
  <c r="V545"/>
  <c r="T545" l="1"/>
  <c r="AI545"/>
  <c r="X545"/>
  <c r="Y545" s="1"/>
  <c r="N545"/>
  <c r="AG543" l="1"/>
  <c r="AJ543"/>
  <c r="V543"/>
  <c r="T543" l="1"/>
  <c r="AI543"/>
  <c r="X543"/>
  <c r="Y543" s="1"/>
  <c r="N543"/>
  <c r="AG542"/>
  <c r="AJ542"/>
  <c r="V542"/>
  <c r="T542" l="1"/>
  <c r="AI542"/>
  <c r="X542"/>
  <c r="Y542" s="1"/>
  <c r="N542"/>
  <c r="AG541"/>
  <c r="AJ541"/>
  <c r="V541"/>
  <c r="T541" l="1"/>
  <c r="AI541"/>
  <c r="X541"/>
  <c r="Y541" s="1"/>
  <c r="N541"/>
  <c r="AG540"/>
  <c r="AJ540"/>
  <c r="V540"/>
  <c r="T540" l="1"/>
  <c r="AI540"/>
  <c r="X540"/>
  <c r="Y540" s="1"/>
  <c r="N540"/>
  <c r="AG539"/>
  <c r="V539"/>
  <c r="AJ539"/>
  <c r="T539" l="1"/>
  <c r="AI539"/>
  <c r="X539"/>
  <c r="Y539" s="1"/>
  <c r="N539"/>
  <c r="AG537" l="1"/>
  <c r="AJ537"/>
  <c r="V537"/>
  <c r="T537" l="1"/>
  <c r="AI537"/>
  <c r="X537"/>
  <c r="Y537" s="1"/>
  <c r="N537"/>
  <c r="AG535" l="1"/>
  <c r="AJ535"/>
  <c r="V535"/>
  <c r="T535" l="1"/>
  <c r="AI535"/>
  <c r="X535"/>
  <c r="Y535" s="1"/>
  <c r="N535"/>
  <c r="AG533" l="1"/>
  <c r="V533"/>
  <c r="AJ533"/>
  <c r="T533" l="1"/>
  <c r="AI533"/>
  <c r="X533"/>
  <c r="Y533" s="1"/>
  <c r="N533"/>
  <c r="AG532"/>
  <c r="V532"/>
  <c r="AJ532"/>
  <c r="T532" l="1"/>
  <c r="AI532"/>
  <c r="X532"/>
  <c r="Y532" s="1"/>
  <c r="N532"/>
  <c r="AG530" l="1"/>
  <c r="AJ530"/>
  <c r="V530"/>
  <c r="T530" l="1"/>
  <c r="AI530"/>
  <c r="X530"/>
  <c r="Y530" s="1"/>
  <c r="N530"/>
  <c r="AG528" l="1"/>
  <c r="V528"/>
  <c r="AJ528"/>
  <c r="T528" l="1"/>
  <c r="AI528"/>
  <c r="X528"/>
  <c r="Y528" s="1"/>
  <c r="AG525"/>
  <c r="V525"/>
  <c r="AJ525"/>
  <c r="T525" l="1"/>
  <c r="AI525"/>
  <c r="X525"/>
  <c r="Y525" s="1"/>
  <c r="N525"/>
  <c r="AG524"/>
  <c r="AJ524"/>
  <c r="V524"/>
  <c r="T524" l="1"/>
  <c r="AI524"/>
  <c r="X524"/>
  <c r="Y524" s="1"/>
  <c r="N524"/>
  <c r="AG523"/>
  <c r="AJ523"/>
  <c r="V523"/>
  <c r="T523" l="1"/>
  <c r="AI523"/>
  <c r="X523"/>
  <c r="Y523" s="1"/>
  <c r="N523"/>
  <c r="AG522"/>
  <c r="AJ522"/>
  <c r="V522"/>
  <c r="T522" l="1"/>
  <c r="AI522"/>
  <c r="X522"/>
  <c r="Y522" s="1"/>
  <c r="N522"/>
  <c r="AG521"/>
  <c r="V521"/>
  <c r="AJ521"/>
  <c r="T521" l="1"/>
  <c r="AI521"/>
  <c r="X521"/>
  <c r="Y521" s="1"/>
  <c r="N521"/>
  <c r="AG518" l="1"/>
  <c r="AJ518"/>
  <c r="V518"/>
  <c r="T518" l="1"/>
  <c r="AI518"/>
  <c r="X518"/>
  <c r="Y518" s="1"/>
  <c r="N518"/>
  <c r="AG517"/>
  <c r="AJ517"/>
  <c r="V517"/>
  <c r="T517" l="1"/>
  <c r="AI517"/>
  <c r="X517"/>
  <c r="Y517" s="1"/>
  <c r="N517"/>
  <c r="AG516"/>
  <c r="AJ516"/>
  <c r="V516"/>
  <c r="T516" l="1"/>
  <c r="AI516"/>
  <c r="X516"/>
  <c r="Y516" s="1"/>
  <c r="N516"/>
  <c r="AG514" l="1"/>
  <c r="AJ514"/>
  <c r="V514"/>
  <c r="T514" l="1"/>
  <c r="AI514"/>
  <c r="X514"/>
  <c r="Y514" s="1"/>
  <c r="N514"/>
  <c r="AG512" l="1"/>
  <c r="AJ512"/>
  <c r="V512"/>
  <c r="T512" l="1"/>
  <c r="AI512"/>
  <c r="X512"/>
  <c r="Y512" s="1"/>
  <c r="N512"/>
  <c r="AG511"/>
  <c r="AJ511"/>
  <c r="V511"/>
  <c r="T511" l="1"/>
  <c r="AI511"/>
  <c r="X511"/>
  <c r="Y511" s="1"/>
  <c r="N511"/>
  <c r="AG510"/>
  <c r="V510"/>
  <c r="AJ510"/>
  <c r="T510" l="1"/>
  <c r="AI510"/>
  <c r="X510"/>
  <c r="Y510" s="1"/>
  <c r="N510"/>
  <c r="AG508" l="1"/>
  <c r="V508"/>
  <c r="AJ508"/>
  <c r="T508" l="1"/>
  <c r="AI508"/>
  <c r="X508"/>
  <c r="Y508" s="1"/>
  <c r="N508"/>
  <c r="AG507"/>
  <c r="V507"/>
  <c r="AJ507"/>
  <c r="T507" l="1"/>
  <c r="AI507"/>
  <c r="X507"/>
  <c r="Y507" s="1"/>
  <c r="N507"/>
  <c r="AG506"/>
  <c r="AJ506"/>
  <c r="V506"/>
  <c r="T506" l="1"/>
  <c r="AI506"/>
  <c r="X506"/>
  <c r="Y506" s="1"/>
  <c r="N506"/>
  <c r="AG505"/>
  <c r="AJ505"/>
  <c r="V505"/>
  <c r="T505" l="1"/>
  <c r="AI505"/>
  <c r="X505"/>
  <c r="Y505" s="1"/>
  <c r="N505"/>
  <c r="AG504" l="1"/>
  <c r="AJ504"/>
  <c r="V504"/>
  <c r="T504" l="1"/>
  <c r="AI504"/>
  <c r="X504"/>
  <c r="Y504" s="1"/>
  <c r="N504"/>
  <c r="AG503"/>
  <c r="AJ503"/>
  <c r="V503"/>
  <c r="T503" l="1"/>
  <c r="AI503"/>
  <c r="X503"/>
  <c r="Y503" s="1"/>
  <c r="N503"/>
  <c r="AG502"/>
  <c r="AJ502"/>
  <c r="V502"/>
  <c r="T502" l="1"/>
  <c r="AI502"/>
  <c r="X502"/>
  <c r="Y502" s="1"/>
  <c r="N502"/>
  <c r="AG501"/>
  <c r="AJ501"/>
  <c r="V501"/>
  <c r="T501" l="1"/>
  <c r="AI501"/>
  <c r="X501"/>
  <c r="Y501" s="1"/>
  <c r="N501"/>
  <c r="AG500"/>
  <c r="AJ500"/>
  <c r="V500"/>
  <c r="T500" l="1"/>
  <c r="AI500"/>
  <c r="X500"/>
  <c r="Y500" s="1"/>
  <c r="N500"/>
  <c r="AG499"/>
  <c r="AJ499"/>
  <c r="V499"/>
  <c r="T499" l="1"/>
  <c r="AI499"/>
  <c r="X499"/>
  <c r="Y499" s="1"/>
  <c r="N499"/>
  <c r="AG498"/>
  <c r="V498"/>
  <c r="AJ498"/>
  <c r="T498" l="1"/>
  <c r="AI498"/>
  <c r="X498"/>
  <c r="Y498" s="1"/>
  <c r="N498"/>
  <c r="AG497"/>
  <c r="AJ497"/>
  <c r="V497"/>
  <c r="T497" l="1"/>
  <c r="AI497"/>
  <c r="X497"/>
  <c r="Y497" s="1"/>
  <c r="N497"/>
  <c r="AG496"/>
  <c r="AJ496"/>
  <c r="V496"/>
  <c r="T496" l="1"/>
  <c r="AI496"/>
  <c r="X496"/>
  <c r="Y496" s="1"/>
  <c r="N496"/>
  <c r="AG495"/>
  <c r="V495"/>
  <c r="AJ495"/>
  <c r="T495" l="1"/>
  <c r="AI495"/>
  <c r="X495"/>
  <c r="Y495" s="1"/>
  <c r="N495"/>
  <c r="AG494"/>
  <c r="V494"/>
  <c r="AJ494"/>
  <c r="T494" l="1"/>
  <c r="AI494"/>
  <c r="X494"/>
  <c r="Y494" s="1"/>
  <c r="N494"/>
  <c r="AG493"/>
  <c r="AJ493"/>
  <c r="V493"/>
  <c r="T493" l="1"/>
  <c r="AI493"/>
  <c r="X493"/>
  <c r="Y493" s="1"/>
  <c r="AG490"/>
  <c r="V490"/>
  <c r="AJ490"/>
  <c r="T490" l="1"/>
  <c r="AI490"/>
  <c r="X490"/>
  <c r="Y490" s="1"/>
  <c r="N490"/>
  <c r="AG489"/>
  <c r="AJ489"/>
  <c r="V489"/>
  <c r="T489" l="1"/>
  <c r="AI489"/>
  <c r="X489"/>
  <c r="Y489" s="1"/>
  <c r="N489"/>
  <c r="AG488"/>
  <c r="AJ488"/>
  <c r="V488"/>
  <c r="T488" l="1"/>
  <c r="AI488"/>
  <c r="X488"/>
  <c r="Y488" s="1"/>
  <c r="N488"/>
  <c r="AG487"/>
  <c r="V487"/>
  <c r="AJ487"/>
  <c r="T487" l="1"/>
  <c r="AI487"/>
  <c r="X487"/>
  <c r="Y487" s="1"/>
  <c r="N487"/>
  <c r="AG485" l="1"/>
  <c r="V485"/>
  <c r="AJ485"/>
  <c r="T485" l="1"/>
  <c r="AI485"/>
  <c r="X485"/>
  <c r="Y485" s="1"/>
  <c r="N485"/>
  <c r="AG484"/>
  <c r="V484"/>
  <c r="AJ484"/>
  <c r="T484" l="1"/>
  <c r="AI484"/>
  <c r="X484"/>
  <c r="Y484" s="1"/>
  <c r="N484"/>
  <c r="AG483"/>
  <c r="AJ483"/>
  <c r="V483"/>
  <c r="T483" l="1"/>
  <c r="AI483"/>
  <c r="X483"/>
  <c r="Y483" s="1"/>
  <c r="N483"/>
  <c r="AG482"/>
  <c r="AJ482"/>
  <c r="V482"/>
  <c r="T482" l="1"/>
  <c r="AI482"/>
  <c r="X482"/>
  <c r="Y482" s="1"/>
  <c r="N482"/>
  <c r="AG481"/>
  <c r="AJ481"/>
  <c r="V481"/>
  <c r="T481" l="1"/>
  <c r="AI481"/>
  <c r="X481"/>
  <c r="Y481" s="1"/>
  <c r="N481"/>
  <c r="AG480"/>
  <c r="AJ480"/>
  <c r="V480"/>
  <c r="T480" l="1"/>
  <c r="AI480"/>
  <c r="X480"/>
  <c r="Y480" s="1"/>
  <c r="N480"/>
  <c r="AG479"/>
  <c r="V479"/>
  <c r="AJ479"/>
  <c r="T479" l="1"/>
  <c r="AI479"/>
  <c r="X479"/>
  <c r="Y479" s="1"/>
  <c r="AG476"/>
  <c r="AJ476"/>
  <c r="V476"/>
  <c r="T476" l="1"/>
  <c r="AI476"/>
  <c r="X476"/>
  <c r="Y476" s="1"/>
  <c r="N476"/>
  <c r="AG474" l="1"/>
  <c r="AJ474"/>
  <c r="V474"/>
  <c r="T474" l="1"/>
  <c r="AI474"/>
  <c r="X474"/>
  <c r="Y474" s="1"/>
  <c r="N474"/>
  <c r="AG473"/>
  <c r="V473"/>
  <c r="AJ473"/>
  <c r="T473" l="1"/>
  <c r="AI473"/>
  <c r="X473"/>
  <c r="Y473" s="1"/>
  <c r="N473"/>
  <c r="AG472"/>
  <c r="AJ472"/>
  <c r="V472"/>
  <c r="T472" l="1"/>
  <c r="AI472"/>
  <c r="X472"/>
  <c r="Y472" s="1"/>
  <c r="N472"/>
  <c r="AG471"/>
  <c r="AJ471"/>
  <c r="V471"/>
  <c r="T471" l="1"/>
  <c r="AI471"/>
  <c r="X471"/>
  <c r="Y471" s="1"/>
  <c r="N471"/>
  <c r="AG470"/>
  <c r="AJ470"/>
  <c r="V470"/>
  <c r="T470" l="1"/>
  <c r="AI470"/>
  <c r="X470"/>
  <c r="Y470" s="1"/>
  <c r="N470"/>
  <c r="AG469"/>
  <c r="V469"/>
  <c r="AJ469"/>
  <c r="T469" l="1"/>
  <c r="AI469"/>
  <c r="X469"/>
  <c r="Y469" s="1"/>
  <c r="N469"/>
  <c r="AG468"/>
  <c r="AJ468"/>
  <c r="V468"/>
  <c r="T468" l="1"/>
  <c r="AI468"/>
  <c r="X468"/>
  <c r="Y468" s="1"/>
  <c r="N468"/>
  <c r="AG466" l="1"/>
  <c r="AJ466"/>
  <c r="V466"/>
  <c r="T466" l="1"/>
  <c r="AI466"/>
  <c r="X466"/>
  <c r="Y466" s="1"/>
  <c r="N466"/>
  <c r="AG465"/>
  <c r="AJ465"/>
  <c r="V465"/>
  <c r="T465" l="1"/>
  <c r="AI465"/>
  <c r="X465"/>
  <c r="Y465" s="1"/>
  <c r="N465"/>
  <c r="AG464"/>
  <c r="V464"/>
  <c r="AJ464"/>
  <c r="T464" l="1"/>
  <c r="AI464"/>
  <c r="X464"/>
  <c r="Y464" s="1"/>
  <c r="N464"/>
  <c r="AG463"/>
  <c r="AJ463"/>
  <c r="V463"/>
  <c r="T463" l="1"/>
  <c r="AI463"/>
  <c r="X463"/>
  <c r="Y463" s="1"/>
  <c r="N463"/>
  <c r="AG462"/>
  <c r="AJ462"/>
  <c r="V462"/>
  <c r="T462" l="1"/>
  <c r="AI462"/>
  <c r="X462"/>
  <c r="Y462" s="1"/>
  <c r="N462"/>
  <c r="AG461"/>
  <c r="AJ461"/>
  <c r="V461"/>
  <c r="T461" l="1"/>
  <c r="AI461"/>
  <c r="X461"/>
  <c r="Y461" s="1"/>
  <c r="N461"/>
  <c r="AG460"/>
  <c r="AJ460"/>
  <c r="V460"/>
  <c r="T460" l="1"/>
  <c r="AI460"/>
  <c r="X460"/>
  <c r="Y460" s="1"/>
  <c r="N460"/>
  <c r="AG459"/>
  <c r="AJ459"/>
  <c r="V459"/>
  <c r="T459" l="1"/>
  <c r="AI459"/>
  <c r="X459"/>
  <c r="Y459" s="1"/>
  <c r="N459"/>
  <c r="AG458"/>
  <c r="V458"/>
  <c r="AJ458"/>
  <c r="T458" l="1"/>
  <c r="AI458"/>
  <c r="X458"/>
  <c r="Y458" s="1"/>
  <c r="N458"/>
  <c r="AG457"/>
  <c r="AJ457"/>
  <c r="V457"/>
  <c r="T457" l="1"/>
  <c r="AI457"/>
  <c r="X457"/>
  <c r="Y457" s="1"/>
  <c r="N457"/>
  <c r="AG456"/>
  <c r="V456"/>
  <c r="AJ456"/>
  <c r="T456" l="1"/>
  <c r="AI456"/>
  <c r="X456"/>
  <c r="Y456" s="1"/>
  <c r="N456"/>
  <c r="AG455"/>
  <c r="AJ455"/>
  <c r="V455"/>
  <c r="T455" l="1"/>
  <c r="AI455"/>
  <c r="X455"/>
  <c r="Y455" s="1"/>
  <c r="N455"/>
  <c r="AG454"/>
  <c r="AJ454"/>
  <c r="V454"/>
  <c r="T454" l="1"/>
  <c r="AI454"/>
  <c r="X454"/>
  <c r="Y454" s="1"/>
  <c r="N454"/>
  <c r="AG453"/>
  <c r="AJ453"/>
  <c r="V453"/>
  <c r="T453" l="1"/>
  <c r="AI453"/>
  <c r="X453"/>
  <c r="Y453" s="1"/>
  <c r="N453"/>
  <c r="AG452"/>
  <c r="AJ452"/>
  <c r="V452"/>
  <c r="T452" l="1"/>
  <c r="AI452"/>
  <c r="X452"/>
  <c r="Y452" s="1"/>
  <c r="N452"/>
  <c r="AG451"/>
  <c r="V451"/>
  <c r="AJ451"/>
  <c r="T451" l="1"/>
  <c r="AI451"/>
  <c r="X451"/>
  <c r="Y451" s="1"/>
  <c r="N451"/>
  <c r="AG450"/>
  <c r="V450"/>
  <c r="AJ450"/>
  <c r="T450" l="1"/>
  <c r="AI450"/>
  <c r="X450"/>
  <c r="Y450" s="1"/>
  <c r="N450"/>
  <c r="AG449"/>
  <c r="V449"/>
  <c r="AJ449"/>
  <c r="T449" l="1"/>
  <c r="AI449"/>
  <c r="X449"/>
  <c r="Y449" s="1"/>
  <c r="N449"/>
  <c r="AG448"/>
  <c r="V448"/>
  <c r="AJ448"/>
  <c r="T448" l="1"/>
  <c r="AI448"/>
  <c r="X448"/>
  <c r="Y448" s="1"/>
  <c r="N448"/>
  <c r="AG447"/>
  <c r="AJ447"/>
  <c r="V447"/>
  <c r="T447" l="1"/>
  <c r="AI447"/>
  <c r="X447"/>
  <c r="Y447" s="1"/>
  <c r="N447"/>
  <c r="AG446"/>
  <c r="AJ446"/>
  <c r="V446"/>
  <c r="T446" l="1"/>
  <c r="AI446"/>
  <c r="X446"/>
  <c r="Y446" s="1"/>
  <c r="N446"/>
  <c r="AG445"/>
  <c r="AJ445"/>
  <c r="V445"/>
  <c r="T445" l="1"/>
  <c r="AI445"/>
  <c r="X445"/>
  <c r="Y445" s="1"/>
  <c r="N445"/>
  <c r="AG444"/>
  <c r="AJ444"/>
  <c r="V444"/>
  <c r="T444" l="1"/>
  <c r="AI444"/>
  <c r="X444"/>
  <c r="Y444" s="1"/>
  <c r="N444"/>
  <c r="AG443"/>
  <c r="AJ443"/>
  <c r="V443"/>
  <c r="T443" l="1"/>
  <c r="AI443"/>
  <c r="X443"/>
  <c r="Y443" s="1"/>
  <c r="N443"/>
  <c r="AG442"/>
  <c r="V442"/>
  <c r="AJ442"/>
  <c r="T442" l="1"/>
  <c r="AI442"/>
  <c r="X442"/>
  <c r="Y442" s="1"/>
  <c r="N442"/>
  <c r="AG441"/>
  <c r="AJ441"/>
  <c r="V441"/>
  <c r="T441" l="1"/>
  <c r="AI441"/>
  <c r="X441"/>
  <c r="Y441" s="1"/>
  <c r="N441"/>
  <c r="AG440"/>
  <c r="AJ440"/>
  <c r="V440"/>
  <c r="T440" l="1"/>
  <c r="AI440"/>
  <c r="X440"/>
  <c r="Y440" s="1"/>
  <c r="N440"/>
  <c r="AG439"/>
  <c r="V439"/>
  <c r="AJ439"/>
  <c r="T439" l="1"/>
  <c r="AI439"/>
  <c r="X439"/>
  <c r="Y439" s="1"/>
  <c r="N439"/>
  <c r="AG437" l="1"/>
  <c r="V437"/>
  <c r="AJ437"/>
  <c r="T437" l="1"/>
  <c r="AI437"/>
  <c r="X437"/>
  <c r="Y437" s="1"/>
  <c r="N437"/>
  <c r="AG436"/>
  <c r="V436"/>
  <c r="AJ436"/>
  <c r="T436" l="1"/>
  <c r="AI436"/>
  <c r="X436"/>
  <c r="Y436" s="1"/>
  <c r="N436"/>
  <c r="AG435"/>
  <c r="V435"/>
  <c r="AJ435"/>
  <c r="T435" l="1"/>
  <c r="AI435"/>
  <c r="X435"/>
  <c r="Y435" s="1"/>
  <c r="N435"/>
  <c r="AG434"/>
  <c r="V434"/>
  <c r="AJ434"/>
  <c r="T434" l="1"/>
  <c r="AI434"/>
  <c r="X434"/>
  <c r="Y434" s="1"/>
  <c r="N434"/>
  <c r="AG433"/>
  <c r="V433"/>
  <c r="AJ433"/>
  <c r="T433" l="1"/>
  <c r="AI433"/>
  <c r="X433"/>
  <c r="Y433" s="1"/>
  <c r="N433"/>
  <c r="AG432"/>
  <c r="AJ432"/>
  <c r="V432"/>
  <c r="T432" l="1"/>
  <c r="AI432"/>
  <c r="X432"/>
  <c r="Y432" s="1"/>
  <c r="N432"/>
  <c r="AG428" l="1"/>
  <c r="AJ428"/>
  <c r="V428"/>
  <c r="T428" l="1"/>
  <c r="AI428"/>
  <c r="X428"/>
  <c r="Y428" s="1"/>
  <c r="N428"/>
  <c r="AG427"/>
  <c r="AJ427"/>
  <c r="V427"/>
  <c r="T427" l="1"/>
  <c r="AI427"/>
  <c r="X427"/>
  <c r="Y427" s="1"/>
  <c r="N427"/>
  <c r="AG426"/>
  <c r="AJ426"/>
  <c r="V426"/>
  <c r="T426" l="1"/>
  <c r="AI426"/>
  <c r="X426"/>
  <c r="Y426" s="1"/>
  <c r="N426"/>
  <c r="AG425"/>
  <c r="V425"/>
  <c r="AJ425"/>
  <c r="T425" l="1"/>
  <c r="AI425"/>
  <c r="X425"/>
  <c r="Y425" s="1"/>
  <c r="N425"/>
  <c r="AG424"/>
  <c r="AJ424"/>
  <c r="V424"/>
  <c r="T424" l="1"/>
  <c r="AI424"/>
  <c r="X424"/>
  <c r="Y424" s="1"/>
  <c r="N424"/>
  <c r="AG423"/>
  <c r="AJ423"/>
  <c r="V423"/>
  <c r="T423" l="1"/>
  <c r="AI423"/>
  <c r="X423"/>
  <c r="Y423" s="1"/>
  <c r="AG420"/>
  <c r="AJ420"/>
  <c r="V420"/>
  <c r="T420" l="1"/>
  <c r="AI420"/>
  <c r="X420"/>
  <c r="Y420" s="1"/>
  <c r="N420"/>
  <c r="AG419"/>
  <c r="V419"/>
  <c r="AJ419"/>
  <c r="T419" l="1"/>
  <c r="AI419"/>
  <c r="X419"/>
  <c r="Y419" s="1"/>
  <c r="N419"/>
  <c r="AG418"/>
  <c r="V418"/>
  <c r="AJ418"/>
  <c r="T418" l="1"/>
  <c r="AI418"/>
  <c r="X418"/>
  <c r="Y418" s="1"/>
  <c r="N418"/>
  <c r="AG417"/>
  <c r="AJ417"/>
  <c r="V417"/>
  <c r="T417" l="1"/>
  <c r="AI417"/>
  <c r="X417"/>
  <c r="Y417" s="1"/>
  <c r="N417"/>
  <c r="AG416"/>
  <c r="V416"/>
  <c r="AJ416"/>
  <c r="T416" l="1"/>
  <c r="AI416"/>
  <c r="X416"/>
  <c r="Y416" s="1"/>
  <c r="AG413"/>
  <c r="AJ413"/>
  <c r="V413"/>
  <c r="T413" l="1"/>
  <c r="AI413"/>
  <c r="X413"/>
  <c r="Y413" s="1"/>
  <c r="N413"/>
  <c r="AG412"/>
  <c r="AJ412"/>
  <c r="V412"/>
  <c r="T412" l="1"/>
  <c r="AI412"/>
  <c r="X412"/>
  <c r="Y412" s="1"/>
  <c r="N412"/>
  <c r="AG411"/>
  <c r="V411"/>
  <c r="AJ411"/>
  <c r="T411" l="1"/>
  <c r="AI411"/>
  <c r="X411"/>
  <c r="Y411" s="1"/>
  <c r="N411"/>
  <c r="AG410"/>
  <c r="V410"/>
  <c r="AJ410"/>
  <c r="T410" l="1"/>
  <c r="AI410"/>
  <c r="X410"/>
  <c r="Y410" s="1"/>
  <c r="N410"/>
  <c r="AG409"/>
  <c r="AJ409"/>
  <c r="V409"/>
  <c r="T409" l="1"/>
  <c r="AI409"/>
  <c r="X409"/>
  <c r="Y409" s="1"/>
  <c r="N409"/>
  <c r="AG408"/>
  <c r="AJ408"/>
  <c r="V408"/>
  <c r="T408" l="1"/>
  <c r="AI408"/>
  <c r="X408"/>
  <c r="Y408" s="1"/>
  <c r="N408"/>
  <c r="AG407"/>
  <c r="AJ407"/>
  <c r="V407"/>
  <c r="T407" l="1"/>
  <c r="AI407"/>
  <c r="X407"/>
  <c r="Y407" s="1"/>
  <c r="N407"/>
  <c r="AG406"/>
  <c r="V406"/>
  <c r="AJ406"/>
  <c r="T406" l="1"/>
  <c r="AI406"/>
  <c r="X406"/>
  <c r="Y406" s="1"/>
  <c r="N406"/>
  <c r="AG405"/>
  <c r="V405"/>
  <c r="AJ405"/>
  <c r="T405" l="1"/>
  <c r="AI405"/>
  <c r="X405"/>
  <c r="Y405" s="1"/>
  <c r="N405"/>
  <c r="AG404"/>
  <c r="V404"/>
  <c r="AJ404"/>
  <c r="T404" l="1"/>
  <c r="AI404"/>
  <c r="X404"/>
  <c r="Y404" s="1"/>
  <c r="N404"/>
  <c r="AG403"/>
  <c r="V403"/>
  <c r="AJ403"/>
  <c r="T403" l="1"/>
  <c r="AI403"/>
  <c r="X403"/>
  <c r="Y403" s="1"/>
  <c r="N403"/>
  <c r="AG402"/>
  <c r="AJ402"/>
  <c r="V402"/>
  <c r="T402" l="1"/>
  <c r="AI402"/>
  <c r="X402"/>
  <c r="Y402" s="1"/>
  <c r="N402"/>
  <c r="AG401"/>
  <c r="V401"/>
  <c r="AJ401"/>
  <c r="T401" l="1"/>
  <c r="AI401"/>
  <c r="X401"/>
  <c r="Y401" s="1"/>
  <c r="N401"/>
  <c r="AG400"/>
  <c r="V400"/>
  <c r="AJ400"/>
  <c r="T400" l="1"/>
  <c r="AI400"/>
  <c r="X400"/>
  <c r="Y400" s="1"/>
  <c r="N400"/>
  <c r="AG399"/>
  <c r="AJ399"/>
  <c r="V399"/>
  <c r="T399" l="1"/>
  <c r="AI399"/>
  <c r="X399"/>
  <c r="Y399" s="1"/>
  <c r="N399"/>
  <c r="AG397" l="1"/>
  <c r="V397"/>
  <c r="AJ397"/>
  <c r="T397" l="1"/>
  <c r="AI397"/>
  <c r="X397"/>
  <c r="Y397" s="1"/>
  <c r="N397"/>
  <c r="AG396"/>
  <c r="AJ396"/>
  <c r="V396"/>
  <c r="T396" l="1"/>
  <c r="AI396"/>
  <c r="X396"/>
  <c r="Y396" s="1"/>
  <c r="N396"/>
  <c r="AG395"/>
  <c r="AJ395"/>
  <c r="V395"/>
  <c r="T395" l="1"/>
  <c r="AI395"/>
  <c r="X395"/>
  <c r="Y395" s="1"/>
  <c r="N395"/>
  <c r="AG394"/>
  <c r="AJ394"/>
  <c r="V394"/>
  <c r="T394" l="1"/>
  <c r="AI394"/>
  <c r="X394"/>
  <c r="Y394" s="1"/>
  <c r="N394"/>
  <c r="AG393"/>
  <c r="AJ393"/>
  <c r="V393"/>
  <c r="T393" l="1"/>
  <c r="AI393"/>
  <c r="X393"/>
  <c r="Y393" s="1"/>
  <c r="N393"/>
  <c r="AG392"/>
  <c r="V392"/>
  <c r="AJ392"/>
  <c r="T392" l="1"/>
  <c r="AI392"/>
  <c r="X392"/>
  <c r="Y392" s="1"/>
  <c r="N392"/>
  <c r="AG390" l="1"/>
  <c r="V390"/>
  <c r="AJ390"/>
  <c r="T390" l="1"/>
  <c r="AI390"/>
  <c r="X390"/>
  <c r="Y390" s="1"/>
  <c r="N390"/>
  <c r="AG389"/>
  <c r="AJ389"/>
  <c r="V389"/>
  <c r="T389" l="1"/>
  <c r="AI389"/>
  <c r="X389"/>
  <c r="Y389" s="1"/>
  <c r="N389"/>
  <c r="AG388"/>
  <c r="AJ388"/>
  <c r="V388"/>
  <c r="T388" l="1"/>
  <c r="AI388"/>
  <c r="X388"/>
  <c r="Y388" s="1"/>
  <c r="AG387"/>
  <c r="AJ387"/>
  <c r="V387"/>
  <c r="T387" l="1"/>
  <c r="AI387"/>
  <c r="X387"/>
  <c r="Y387" s="1"/>
  <c r="N387"/>
  <c r="AG386"/>
  <c r="AJ386"/>
  <c r="V386"/>
  <c r="T386" l="1"/>
  <c r="AI386"/>
  <c r="X386"/>
  <c r="Y386" s="1"/>
  <c r="N386"/>
  <c r="AG385"/>
  <c r="V385"/>
  <c r="AJ385"/>
  <c r="T385" l="1"/>
  <c r="AI385"/>
  <c r="X385"/>
  <c r="Y385" s="1"/>
  <c r="N385"/>
  <c r="AG384"/>
  <c r="V384"/>
  <c r="AJ384"/>
  <c r="T384" l="1"/>
  <c r="AI384"/>
  <c r="X384"/>
  <c r="Y384" s="1"/>
  <c r="N384"/>
  <c r="AG383"/>
  <c r="AJ383"/>
  <c r="V383"/>
  <c r="T383" l="1"/>
  <c r="AI383"/>
  <c r="X383"/>
  <c r="Y383" s="1"/>
  <c r="N383"/>
  <c r="AG381" l="1"/>
  <c r="V381"/>
  <c r="AJ381"/>
  <c r="T381" l="1"/>
  <c r="AI381"/>
  <c r="X381"/>
  <c r="Y381" s="1"/>
  <c r="N381"/>
  <c r="AG379"/>
  <c r="AJ379"/>
  <c r="V379"/>
  <c r="T379" l="1"/>
  <c r="AI379"/>
  <c r="X379"/>
  <c r="Y379" s="1"/>
  <c r="N379"/>
  <c r="AG377" l="1"/>
  <c r="V377"/>
  <c r="AJ377"/>
  <c r="T377" l="1"/>
  <c r="AI377"/>
  <c r="X377"/>
  <c r="Y377" s="1"/>
  <c r="N377"/>
  <c r="AG376"/>
  <c r="AJ376"/>
  <c r="V376"/>
  <c r="T376" l="1"/>
  <c r="AI376"/>
  <c r="X376"/>
  <c r="Y376" s="1"/>
  <c r="N376"/>
  <c r="AG375"/>
  <c r="AJ375"/>
  <c r="V375"/>
  <c r="T375" l="1"/>
  <c r="AI375"/>
  <c r="X375"/>
  <c r="Y375" s="1"/>
  <c r="N375"/>
  <c r="AG374"/>
  <c r="AJ374"/>
  <c r="V374"/>
  <c r="T374" l="1"/>
  <c r="AI374"/>
  <c r="X374"/>
  <c r="Y374" s="1"/>
  <c r="N374"/>
  <c r="AG373"/>
  <c r="AJ373"/>
  <c r="V373"/>
  <c r="T373" l="1"/>
  <c r="AI373"/>
  <c r="X373"/>
  <c r="Y373" s="1"/>
  <c r="N373"/>
  <c r="AG372"/>
  <c r="AJ372"/>
  <c r="V372"/>
  <c r="T372" l="1"/>
  <c r="AI372"/>
  <c r="X372"/>
  <c r="Y372" s="1"/>
  <c r="N372"/>
  <c r="AG371"/>
  <c r="AJ371"/>
  <c r="V371"/>
  <c r="T371" l="1"/>
  <c r="AI371"/>
  <c r="X371"/>
  <c r="Y371" s="1"/>
  <c r="N371"/>
  <c r="AG370"/>
  <c r="AJ370"/>
  <c r="V370"/>
  <c r="T370" l="1"/>
  <c r="AI370"/>
  <c r="X370"/>
  <c r="Y370" s="1"/>
  <c r="N370"/>
  <c r="AG368" l="1"/>
  <c r="AJ368"/>
  <c r="V368"/>
  <c r="T368" l="1"/>
  <c r="AI368"/>
  <c r="X368"/>
  <c r="Y368" s="1"/>
  <c r="N368"/>
  <c r="AG366" l="1"/>
  <c r="AJ366"/>
  <c r="V366"/>
  <c r="T366" l="1"/>
  <c r="AI366"/>
  <c r="X366"/>
  <c r="Y366" s="1"/>
  <c r="N366"/>
  <c r="AG365"/>
  <c r="AJ365"/>
  <c r="V365"/>
  <c r="T365" l="1"/>
  <c r="AI365"/>
  <c r="X365"/>
  <c r="Y365" s="1"/>
  <c r="N365"/>
  <c r="AG364"/>
  <c r="AJ364"/>
  <c r="V364"/>
  <c r="T364" l="1"/>
  <c r="AI364"/>
  <c r="X364"/>
  <c r="Y364" s="1"/>
  <c r="N364"/>
  <c r="AG363"/>
  <c r="AJ363"/>
  <c r="V363"/>
  <c r="T363" l="1"/>
  <c r="AI363"/>
  <c r="X363"/>
  <c r="Y363" s="1"/>
  <c r="N363"/>
  <c r="AG362"/>
  <c r="V362"/>
  <c r="AJ362"/>
  <c r="T362" l="1"/>
  <c r="AI362"/>
  <c r="X362"/>
  <c r="Y362" s="1"/>
  <c r="N362"/>
  <c r="AG360" l="1"/>
  <c r="V360"/>
  <c r="AJ360"/>
  <c r="T360" l="1"/>
  <c r="AI360"/>
  <c r="X360"/>
  <c r="Y360" s="1"/>
  <c r="N360"/>
  <c r="AG359"/>
  <c r="AJ359"/>
  <c r="V359"/>
  <c r="T359" l="1"/>
  <c r="AI359"/>
  <c r="X359"/>
  <c r="Y359" s="1"/>
  <c r="N359"/>
  <c r="AG358"/>
  <c r="AJ358"/>
  <c r="V358"/>
  <c r="T358" l="1"/>
  <c r="AI358"/>
  <c r="X358"/>
  <c r="Y358" s="1"/>
  <c r="N358"/>
  <c r="AG356" l="1"/>
  <c r="V356"/>
  <c r="AJ356"/>
  <c r="T356" l="1"/>
  <c r="AI356"/>
  <c r="X356"/>
  <c r="Y356" s="1"/>
  <c r="N356"/>
  <c r="AG355"/>
  <c r="AJ355"/>
  <c r="V355"/>
  <c r="T355" l="1"/>
  <c r="AI355"/>
  <c r="X355"/>
  <c r="Y355" s="1"/>
  <c r="N355"/>
  <c r="AG354"/>
  <c r="V354"/>
  <c r="AJ354"/>
  <c r="T354" l="1"/>
  <c r="AI354"/>
  <c r="X354"/>
  <c r="Y354" s="1"/>
  <c r="N354"/>
  <c r="AG353"/>
  <c r="V353"/>
  <c r="AJ353"/>
  <c r="T353" l="1"/>
  <c r="AI353"/>
  <c r="X353"/>
  <c r="Y353" s="1"/>
  <c r="N353"/>
  <c r="AG352"/>
  <c r="V352"/>
  <c r="AJ352"/>
  <c r="T352" l="1"/>
  <c r="AI352"/>
  <c r="X352"/>
  <c r="Y352" s="1"/>
  <c r="N352"/>
  <c r="AG350" l="1"/>
  <c r="V350"/>
  <c r="AJ350"/>
  <c r="T350" l="1"/>
  <c r="AI350"/>
  <c r="X350"/>
  <c r="Y350" s="1"/>
  <c r="N350"/>
  <c r="AG349"/>
  <c r="AJ349"/>
  <c r="V349"/>
  <c r="T349" l="1"/>
  <c r="AI349"/>
  <c r="X349"/>
  <c r="Y349" s="1"/>
  <c r="N349"/>
  <c r="AG347" l="1"/>
  <c r="AJ347"/>
  <c r="V347"/>
  <c r="T347" l="1"/>
  <c r="AI347"/>
  <c r="X347"/>
  <c r="Y347" s="1"/>
  <c r="N347"/>
  <c r="AG346"/>
  <c r="V346"/>
  <c r="AJ346"/>
  <c r="T346" l="1"/>
  <c r="AI346"/>
  <c r="X346"/>
  <c r="Y346" s="1"/>
  <c r="N346"/>
  <c r="AG345"/>
  <c r="AJ345"/>
  <c r="V345"/>
  <c r="T345" l="1"/>
  <c r="AI345"/>
  <c r="X345"/>
  <c r="Y345" s="1"/>
  <c r="N345"/>
  <c r="AG344"/>
  <c r="AJ344"/>
  <c r="V344"/>
  <c r="T344" l="1"/>
  <c r="AI344"/>
  <c r="X344"/>
  <c r="Y344" s="1"/>
  <c r="N344"/>
  <c r="AG343"/>
  <c r="V343"/>
  <c r="AJ343"/>
  <c r="T343" l="1"/>
  <c r="AI343"/>
  <c r="X343"/>
  <c r="Y343" s="1"/>
  <c r="N343"/>
  <c r="AG342"/>
  <c r="V342"/>
  <c r="AJ342"/>
  <c r="T342" l="1"/>
  <c r="AI342"/>
  <c r="X342"/>
  <c r="Y342" s="1"/>
  <c r="N342"/>
  <c r="AG341"/>
  <c r="AJ341"/>
  <c r="V341"/>
  <c r="T341" l="1"/>
  <c r="AI341"/>
  <c r="X341"/>
  <c r="Y341" s="1"/>
  <c r="N341"/>
  <c r="AG340"/>
  <c r="AJ340"/>
  <c r="V340"/>
  <c r="T340" l="1"/>
  <c r="AI340"/>
  <c r="X340"/>
  <c r="Y340" s="1"/>
  <c r="N340"/>
  <c r="AG338" l="1"/>
  <c r="V338"/>
  <c r="AJ338"/>
  <c r="T338" l="1"/>
  <c r="AI338"/>
  <c r="X338"/>
  <c r="Y338" s="1"/>
  <c r="N338"/>
  <c r="AG336" l="1"/>
  <c r="V336"/>
  <c r="AJ336"/>
  <c r="T336" l="1"/>
  <c r="AI336"/>
  <c r="X336"/>
  <c r="Y336" s="1"/>
  <c r="N336"/>
  <c r="AG335"/>
  <c r="AJ335"/>
  <c r="V335"/>
  <c r="T335" l="1"/>
  <c r="AI335"/>
  <c r="X335"/>
  <c r="Y335" s="1"/>
  <c r="N335"/>
  <c r="AG334"/>
  <c r="AJ334"/>
  <c r="V334"/>
  <c r="T334" l="1"/>
  <c r="AI334"/>
  <c r="X334"/>
  <c r="Y334" s="1"/>
  <c r="N334"/>
  <c r="AG333"/>
  <c r="AJ333"/>
  <c r="V333"/>
  <c r="T333" l="1"/>
  <c r="AI333"/>
  <c r="X333"/>
  <c r="Y333" s="1"/>
  <c r="N333"/>
  <c r="AG332"/>
  <c r="V332"/>
  <c r="AJ332"/>
  <c r="T332" l="1"/>
  <c r="AI332"/>
  <c r="X332"/>
  <c r="Y332" s="1"/>
  <c r="N332"/>
  <c r="AG330" l="1"/>
  <c r="V330"/>
  <c r="AJ330"/>
  <c r="T330" l="1"/>
  <c r="AI330"/>
  <c r="X330"/>
  <c r="Y330" s="1"/>
  <c r="N330"/>
  <c r="AG328" l="1"/>
  <c r="V328"/>
  <c r="AJ328"/>
  <c r="T328" l="1"/>
  <c r="AI328"/>
  <c r="X328"/>
  <c r="Y328" s="1"/>
  <c r="N328"/>
  <c r="AG327"/>
  <c r="AJ327"/>
  <c r="V327"/>
  <c r="T327" l="1"/>
  <c r="AI327"/>
  <c r="X327"/>
  <c r="Y327" s="1"/>
  <c r="N327"/>
  <c r="AG326"/>
  <c r="V326"/>
  <c r="AJ326"/>
  <c r="T326" l="1"/>
  <c r="AI326"/>
  <c r="X326"/>
  <c r="Y326" s="1"/>
  <c r="N326"/>
  <c r="AG325"/>
  <c r="AJ325"/>
  <c r="V325"/>
  <c r="T325" l="1"/>
  <c r="AI325"/>
  <c r="X325"/>
  <c r="Y325" s="1"/>
  <c r="N325"/>
  <c r="AG324"/>
  <c r="V324"/>
  <c r="AJ324"/>
  <c r="T324" l="1"/>
  <c r="AI324"/>
  <c r="X324"/>
  <c r="Y324" s="1"/>
  <c r="N324"/>
  <c r="AG323"/>
  <c r="AJ323"/>
  <c r="V323"/>
  <c r="T323" l="1"/>
  <c r="AI323"/>
  <c r="X323"/>
  <c r="Y323" s="1"/>
  <c r="N323"/>
  <c r="AG322"/>
  <c r="V322"/>
  <c r="AJ322"/>
  <c r="T322" l="1"/>
  <c r="AI322"/>
  <c r="X322"/>
  <c r="Y322" s="1"/>
  <c r="N322"/>
  <c r="AG321"/>
  <c r="V321"/>
  <c r="AJ321"/>
  <c r="T321" l="1"/>
  <c r="AI321"/>
  <c r="X321"/>
  <c r="Y321" s="1"/>
  <c r="N321"/>
  <c r="AG320"/>
  <c r="AJ320"/>
  <c r="V320"/>
  <c r="T320" l="1"/>
  <c r="AI320"/>
  <c r="X320"/>
  <c r="Y320" s="1"/>
  <c r="N320"/>
  <c r="AG318" l="1"/>
  <c r="V318"/>
  <c r="AJ318"/>
  <c r="T318" l="1"/>
  <c r="AI318"/>
  <c r="X318"/>
  <c r="Y318" s="1"/>
  <c r="N318"/>
  <c r="AG317"/>
  <c r="AJ317"/>
  <c r="V317"/>
  <c r="T317" l="1"/>
  <c r="AI317"/>
  <c r="X317"/>
  <c r="Y317" s="1"/>
  <c r="N317"/>
  <c r="AG316"/>
  <c r="V316"/>
  <c r="AJ316"/>
  <c r="T316" l="1"/>
  <c r="AI316"/>
  <c r="X316"/>
  <c r="Y316" s="1"/>
  <c r="N316"/>
  <c r="AG315"/>
  <c r="V315"/>
  <c r="AJ315"/>
  <c r="T315" l="1"/>
  <c r="AI315"/>
  <c r="X315"/>
  <c r="Y315" s="1"/>
  <c r="N315"/>
  <c r="AG314"/>
  <c r="AJ314"/>
  <c r="V314"/>
  <c r="T314" l="1"/>
  <c r="AI314"/>
  <c r="X314"/>
  <c r="Y314" s="1"/>
  <c r="N314"/>
  <c r="AG313"/>
  <c r="V313"/>
  <c r="AJ313"/>
  <c r="T313" l="1"/>
  <c r="AI313"/>
  <c r="X313"/>
  <c r="Y313" s="1"/>
  <c r="N313"/>
  <c r="AG312"/>
  <c r="AJ312"/>
  <c r="V312"/>
  <c r="T312" l="1"/>
  <c r="AI312"/>
  <c r="X312"/>
  <c r="Y312" s="1"/>
  <c r="N312"/>
  <c r="AG311"/>
  <c r="V311"/>
  <c r="AJ311"/>
  <c r="T311" l="1"/>
  <c r="AI311"/>
  <c r="X311"/>
  <c r="Y311" s="1"/>
  <c r="N311"/>
  <c r="AG310"/>
  <c r="AJ310"/>
  <c r="V310"/>
  <c r="T310" l="1"/>
  <c r="AI310"/>
  <c r="X310"/>
  <c r="Y310" s="1"/>
  <c r="N310"/>
  <c r="AG309"/>
  <c r="AJ309"/>
  <c r="V309"/>
  <c r="T309" l="1"/>
  <c r="AI309"/>
  <c r="X309"/>
  <c r="Y309" s="1"/>
  <c r="N309"/>
  <c r="AG308"/>
  <c r="V308"/>
  <c r="AJ308"/>
  <c r="T308" l="1"/>
  <c r="AI308"/>
  <c r="X308"/>
  <c r="Y308" s="1"/>
  <c r="N308"/>
  <c r="AG307"/>
  <c r="V307"/>
  <c r="AJ307"/>
  <c r="T307" l="1"/>
  <c r="AI307"/>
  <c r="X307"/>
  <c r="Y307" s="1"/>
  <c r="N307"/>
  <c r="AG306"/>
  <c r="V306"/>
  <c r="AJ306"/>
  <c r="T306" l="1"/>
  <c r="AI306"/>
  <c r="X306"/>
  <c r="Y306" s="1"/>
  <c r="N306"/>
  <c r="AG305"/>
  <c r="AJ305"/>
  <c r="V305"/>
  <c r="T305" l="1"/>
  <c r="AI305"/>
  <c r="X305"/>
  <c r="Y305" s="1"/>
  <c r="N305"/>
  <c r="AG304"/>
  <c r="V304"/>
  <c r="AJ304"/>
  <c r="T304" l="1"/>
  <c r="AI304"/>
  <c r="X304"/>
  <c r="Y304" s="1"/>
  <c r="N304"/>
  <c r="AG303"/>
  <c r="V303"/>
  <c r="AJ303"/>
  <c r="T303" l="1"/>
  <c r="AI303"/>
  <c r="X303"/>
  <c r="Y303" s="1"/>
  <c r="N303"/>
  <c r="AG302"/>
  <c r="V302"/>
  <c r="AJ302"/>
  <c r="T302" l="1"/>
  <c r="AI302"/>
  <c r="X302"/>
  <c r="Y302" s="1"/>
  <c r="N302"/>
  <c r="AG300"/>
  <c r="AJ300"/>
  <c r="V300"/>
  <c r="T300" l="1"/>
  <c r="AI300"/>
  <c r="X300"/>
  <c r="Y300" s="1"/>
  <c r="N300"/>
  <c r="AG298" l="1"/>
  <c r="V298"/>
  <c r="AJ298"/>
  <c r="T298" l="1"/>
  <c r="AI298"/>
  <c r="X298"/>
  <c r="Y298" s="1"/>
  <c r="N298"/>
  <c r="AG297"/>
  <c r="AJ297"/>
  <c r="V297"/>
  <c r="T297" l="1"/>
  <c r="AI297"/>
  <c r="X297"/>
  <c r="Y297" s="1"/>
  <c r="N297"/>
  <c r="AG296"/>
  <c r="AJ296"/>
  <c r="V296"/>
  <c r="T296" l="1"/>
  <c r="AI296"/>
  <c r="X296"/>
  <c r="Y296" s="1"/>
  <c r="N296"/>
  <c r="AG295"/>
  <c r="AJ295"/>
  <c r="V295"/>
  <c r="T295" l="1"/>
  <c r="AI295"/>
  <c r="X295"/>
  <c r="Y295" s="1"/>
  <c r="N295"/>
  <c r="AG294"/>
  <c r="AJ294"/>
  <c r="V294"/>
  <c r="T294" l="1"/>
  <c r="AI294"/>
  <c r="X294"/>
  <c r="Y294" s="1"/>
  <c r="N294"/>
  <c r="AG293"/>
  <c r="V293"/>
  <c r="AJ293"/>
  <c r="T293" l="1"/>
  <c r="AI293"/>
  <c r="X293"/>
  <c r="Y293" s="1"/>
  <c r="N293"/>
  <c r="AG291" l="1"/>
  <c r="AJ291"/>
  <c r="V291"/>
  <c r="T291" l="1"/>
  <c r="AI291"/>
  <c r="X291"/>
  <c r="Y291" s="1"/>
  <c r="N291"/>
  <c r="AG290"/>
  <c r="AJ290"/>
  <c r="V290"/>
  <c r="T290" l="1"/>
  <c r="AI290"/>
  <c r="X290"/>
  <c r="Y290" s="1"/>
  <c r="N290"/>
  <c r="AG289"/>
  <c r="AJ289"/>
  <c r="V289"/>
  <c r="T289" l="1"/>
  <c r="AI289"/>
  <c r="X289"/>
  <c r="Y289" s="1"/>
  <c r="N289"/>
  <c r="AG288"/>
  <c r="V288"/>
  <c r="AJ288"/>
  <c r="T288" l="1"/>
  <c r="AI288"/>
  <c r="X288"/>
  <c r="Y288" s="1"/>
  <c r="AG285"/>
  <c r="V285"/>
  <c r="AJ285"/>
  <c r="T285" l="1"/>
  <c r="AI285"/>
  <c r="X285"/>
  <c r="Y285" s="1"/>
  <c r="N285"/>
  <c r="AG284"/>
  <c r="V284"/>
  <c r="AJ284"/>
  <c r="T284" l="1"/>
  <c r="AI284"/>
  <c r="X284"/>
  <c r="Y284" s="1"/>
  <c r="N284"/>
  <c r="AG283"/>
  <c r="V283"/>
  <c r="AJ283"/>
  <c r="T283" l="1"/>
  <c r="AI283"/>
  <c r="X283"/>
  <c r="Y283" s="1"/>
  <c r="AG281"/>
  <c r="AJ281"/>
  <c r="V281"/>
  <c r="T281" l="1"/>
  <c r="AI281"/>
  <c r="X281"/>
  <c r="Y281" s="1"/>
  <c r="N281"/>
  <c r="AG280"/>
  <c r="AJ280"/>
  <c r="V280"/>
  <c r="T280" l="1"/>
  <c r="AI280"/>
  <c r="X280"/>
  <c r="Y280" s="1"/>
  <c r="N280"/>
  <c r="AG279"/>
  <c r="AJ279"/>
  <c r="V279"/>
  <c r="T279" l="1"/>
  <c r="AI279"/>
  <c r="X279"/>
  <c r="Y279" s="1"/>
  <c r="N279"/>
  <c r="AG276" l="1"/>
  <c r="AJ276"/>
  <c r="V276"/>
  <c r="T276" l="1"/>
  <c r="AI276"/>
  <c r="X276"/>
  <c r="Y276" s="1"/>
  <c r="N276"/>
  <c r="AG275"/>
  <c r="V275"/>
  <c r="AJ275"/>
  <c r="T275" l="1"/>
  <c r="AI275"/>
  <c r="X275"/>
  <c r="Y275" s="1"/>
  <c r="N275"/>
  <c r="AG273" l="1"/>
  <c r="AJ273"/>
  <c r="V273"/>
  <c r="T273" l="1"/>
  <c r="AI273"/>
  <c r="X273"/>
  <c r="Y273" s="1"/>
  <c r="N273"/>
  <c r="AG271" l="1"/>
  <c r="V271"/>
  <c r="AJ271"/>
  <c r="T271" l="1"/>
  <c r="AI271"/>
  <c r="X271"/>
  <c r="Y271" s="1"/>
  <c r="N271"/>
  <c r="AG270"/>
  <c r="AJ270"/>
  <c r="V270"/>
  <c r="T270" l="1"/>
  <c r="AI270"/>
  <c r="X270"/>
  <c r="Y270" s="1"/>
  <c r="N270"/>
  <c r="AG269"/>
  <c r="AJ269"/>
  <c r="V269"/>
  <c r="T269" l="1"/>
  <c r="AI269"/>
  <c r="X269"/>
  <c r="Y269" s="1"/>
  <c r="N269"/>
  <c r="AG268"/>
  <c r="AJ268"/>
  <c r="V268"/>
  <c r="T268" l="1"/>
  <c r="AI268"/>
  <c r="X268"/>
  <c r="Y268" s="1"/>
  <c r="N268"/>
  <c r="AG267"/>
  <c r="V267"/>
  <c r="AJ267"/>
  <c r="T267" l="1"/>
  <c r="AI267"/>
  <c r="X267"/>
  <c r="Y267" s="1"/>
  <c r="N267"/>
  <c r="AG266"/>
  <c r="AJ266"/>
  <c r="V266"/>
  <c r="T266" l="1"/>
  <c r="AI266"/>
  <c r="X266"/>
  <c r="Y266" s="1"/>
  <c r="N266"/>
  <c r="AG265"/>
  <c r="AJ265"/>
  <c r="V265"/>
  <c r="T265" l="1"/>
  <c r="AI265"/>
  <c r="X265"/>
  <c r="Y265" s="1"/>
  <c r="N265"/>
  <c r="AG263" l="1"/>
  <c r="AJ263"/>
  <c r="V263"/>
  <c r="T263" l="1"/>
  <c r="AI263"/>
  <c r="X263"/>
  <c r="Y263" s="1"/>
  <c r="N263"/>
  <c r="AG262"/>
  <c r="V262"/>
  <c r="AJ262"/>
  <c r="T262" l="1"/>
  <c r="AI262"/>
  <c r="X262"/>
  <c r="Y262" s="1"/>
  <c r="N262"/>
  <c r="AG261"/>
  <c r="AJ261"/>
  <c r="V261"/>
  <c r="T261" l="1"/>
  <c r="AI261"/>
  <c r="X261"/>
  <c r="Y261" s="1"/>
  <c r="N261"/>
  <c r="AG260"/>
  <c r="V260"/>
  <c r="AJ260"/>
  <c r="T260" l="1"/>
  <c r="AI260"/>
  <c r="X260"/>
  <c r="Y260" s="1"/>
  <c r="N260"/>
  <c r="AG258" l="1"/>
  <c r="AJ258"/>
  <c r="V258"/>
  <c r="T258" l="1"/>
  <c r="AI258"/>
  <c r="X258"/>
  <c r="Y258" s="1"/>
  <c r="N258"/>
  <c r="AG257"/>
  <c r="AJ257"/>
  <c r="V257"/>
  <c r="T257" l="1"/>
  <c r="AI257"/>
  <c r="X257"/>
  <c r="Y257" s="1"/>
  <c r="N257"/>
  <c r="AG256"/>
  <c r="V256"/>
  <c r="AJ256"/>
  <c r="T256" l="1"/>
  <c r="AI256"/>
  <c r="X256"/>
  <c r="Y256" s="1"/>
  <c r="N256"/>
  <c r="AG255"/>
  <c r="V255"/>
  <c r="AJ255"/>
  <c r="T255" l="1"/>
  <c r="AI255"/>
  <c r="X255"/>
  <c r="Y255" s="1"/>
  <c r="N255"/>
  <c r="AG254" l="1"/>
  <c r="AJ254"/>
  <c r="V254"/>
  <c r="T254" l="1"/>
  <c r="AI254"/>
  <c r="X254"/>
  <c r="Y254" s="1"/>
  <c r="N254"/>
  <c r="AG253"/>
  <c r="AJ253"/>
  <c r="V253"/>
  <c r="T253" l="1"/>
  <c r="AI253"/>
  <c r="X253"/>
  <c r="Y253" s="1"/>
  <c r="N253"/>
  <c r="AG252"/>
  <c r="AJ252"/>
  <c r="V252"/>
  <c r="T252" l="1"/>
  <c r="AI252"/>
  <c r="X252"/>
  <c r="Y252" s="1"/>
  <c r="N252"/>
  <c r="AG251"/>
  <c r="V251"/>
  <c r="AJ251"/>
  <c r="T251" l="1"/>
  <c r="AI251"/>
  <c r="X251"/>
  <c r="Y251" s="1"/>
  <c r="N251"/>
  <c r="AG250"/>
  <c r="AJ250"/>
  <c r="V250"/>
  <c r="T250" l="1"/>
  <c r="AI250"/>
  <c r="X250"/>
  <c r="Y250" s="1"/>
  <c r="N250"/>
  <c r="AG249"/>
  <c r="AJ249"/>
  <c r="V249"/>
  <c r="T249" l="1"/>
  <c r="AI249"/>
  <c r="X249"/>
  <c r="Y249" s="1"/>
  <c r="N249"/>
  <c r="AG248"/>
  <c r="V248"/>
  <c r="AJ248"/>
  <c r="T248" l="1"/>
  <c r="AI248"/>
  <c r="X248"/>
  <c r="Y248" s="1"/>
  <c r="N248"/>
  <c r="AG247"/>
  <c r="AJ247"/>
  <c r="V247"/>
  <c r="T247" l="1"/>
  <c r="AI247"/>
  <c r="X247"/>
  <c r="Y247" s="1"/>
  <c r="N247"/>
  <c r="AG245" l="1"/>
  <c r="AJ245"/>
  <c r="V245"/>
  <c r="T245" l="1"/>
  <c r="AI245"/>
  <c r="X245"/>
  <c r="Y245" s="1"/>
  <c r="N245"/>
  <c r="AG244"/>
  <c r="AJ244"/>
  <c r="V244"/>
  <c r="T244" l="1"/>
  <c r="AI244"/>
  <c r="X244"/>
  <c r="Y244" s="1"/>
  <c r="N244"/>
  <c r="AG240" l="1"/>
  <c r="AJ240"/>
  <c r="V240"/>
  <c r="T240" l="1"/>
  <c r="AI240"/>
  <c r="X240"/>
  <c r="Y240" s="1"/>
  <c r="N240"/>
  <c r="AG239"/>
  <c r="AJ239"/>
  <c r="V239"/>
  <c r="T239" l="1"/>
  <c r="AI239"/>
  <c r="X239"/>
  <c r="Y239" s="1"/>
  <c r="N239"/>
  <c r="AG238"/>
  <c r="V238"/>
  <c r="AJ238"/>
  <c r="T238" l="1"/>
  <c r="AI238"/>
  <c r="X238"/>
  <c r="Y238" s="1"/>
  <c r="N238"/>
  <c r="AG237"/>
  <c r="V237"/>
  <c r="AJ237"/>
  <c r="T237" l="1"/>
  <c r="AI237"/>
  <c r="X237"/>
  <c r="Y237" s="1"/>
  <c r="N237"/>
  <c r="AG236"/>
  <c r="V236"/>
  <c r="AJ236"/>
  <c r="T236" l="1"/>
  <c r="AI236"/>
  <c r="X236"/>
  <c r="Y236" s="1"/>
  <c r="N236"/>
  <c r="AG235"/>
  <c r="AJ235"/>
  <c r="V235"/>
  <c r="T235" l="1"/>
  <c r="AI235"/>
  <c r="X235"/>
  <c r="Y235" s="1"/>
  <c r="N235"/>
  <c r="AG234"/>
  <c r="AJ234"/>
  <c r="V234"/>
  <c r="T234" l="1"/>
  <c r="AI234"/>
  <c r="X234"/>
  <c r="Y234" s="1"/>
  <c r="N234"/>
  <c r="AG233"/>
  <c r="AJ233"/>
  <c r="V233"/>
  <c r="T233" l="1"/>
  <c r="AI233"/>
  <c r="X233"/>
  <c r="Y233" s="1"/>
  <c r="N233"/>
  <c r="AG232"/>
  <c r="V232"/>
  <c r="AJ232"/>
  <c r="T232" l="1"/>
  <c r="AI232"/>
  <c r="X232"/>
  <c r="Y232" s="1"/>
  <c r="N232"/>
  <c r="AG231"/>
  <c r="AJ231"/>
  <c r="V231"/>
  <c r="T231" l="1"/>
  <c r="AI231"/>
  <c r="X231"/>
  <c r="Y231" s="1"/>
  <c r="N231"/>
  <c r="AG230"/>
  <c r="AJ230"/>
  <c r="V230"/>
  <c r="T230" l="1"/>
  <c r="AI230"/>
  <c r="X230"/>
  <c r="Y230" s="1"/>
  <c r="N230"/>
  <c r="AG229"/>
  <c r="AJ229"/>
  <c r="V229"/>
  <c r="T229" l="1"/>
  <c r="AI229"/>
  <c r="X229"/>
  <c r="Y229" s="1"/>
  <c r="N229"/>
  <c r="AG228"/>
  <c r="AJ228"/>
  <c r="V228"/>
  <c r="T228" l="1"/>
  <c r="AI228"/>
  <c r="X228"/>
  <c r="Y228" s="1"/>
  <c r="N228"/>
  <c r="AG227"/>
  <c r="AJ227"/>
  <c r="V227"/>
  <c r="T227" l="1"/>
  <c r="AI227"/>
  <c r="X227"/>
  <c r="Y227" s="1"/>
  <c r="N227"/>
  <c r="AG226"/>
  <c r="V226"/>
  <c r="AJ226"/>
  <c r="T226" l="1"/>
  <c r="AI226"/>
  <c r="X226"/>
  <c r="Y226" s="1"/>
  <c r="N226"/>
  <c r="AG225"/>
  <c r="AJ225"/>
  <c r="V225"/>
  <c r="T225" l="1"/>
  <c r="AI225"/>
  <c r="X225"/>
  <c r="Y225" s="1"/>
  <c r="N225"/>
  <c r="AG224"/>
  <c r="AJ224"/>
  <c r="V224"/>
  <c r="T224" l="1"/>
  <c r="AI224"/>
  <c r="X224"/>
  <c r="Y224" s="1"/>
  <c r="AG221"/>
  <c r="AJ221"/>
  <c r="V221"/>
  <c r="T221" l="1"/>
  <c r="AI221"/>
  <c r="X221"/>
  <c r="Y221" s="1"/>
  <c r="N221"/>
  <c r="AG220"/>
  <c r="AJ220"/>
  <c r="V220"/>
  <c r="T220" l="1"/>
  <c r="AI220"/>
  <c r="X220"/>
  <c r="Y220" s="1"/>
  <c r="N220"/>
  <c r="AG219"/>
  <c r="V219"/>
  <c r="AJ219"/>
  <c r="T219" l="1"/>
  <c r="AI219"/>
  <c r="X219"/>
  <c r="Y219" s="1"/>
  <c r="N219"/>
  <c r="AG217" l="1"/>
  <c r="AJ217"/>
  <c r="V217"/>
  <c r="T217" l="1"/>
  <c r="AI217"/>
  <c r="X217"/>
  <c r="Y217" s="1"/>
  <c r="N217"/>
  <c r="AG216"/>
  <c r="AJ216"/>
  <c r="V216"/>
  <c r="T216" l="1"/>
  <c r="AI216"/>
  <c r="X216"/>
  <c r="Y216" s="1"/>
  <c r="N216"/>
  <c r="AG215"/>
  <c r="V215"/>
  <c r="AJ215"/>
  <c r="T215" l="1"/>
  <c r="AI215"/>
  <c r="X215"/>
  <c r="Y215" s="1"/>
  <c r="N215"/>
  <c r="AG214"/>
  <c r="AJ214"/>
  <c r="V214"/>
  <c r="T214" l="1"/>
  <c r="AI214"/>
  <c r="X214"/>
  <c r="Y214" s="1"/>
  <c r="N214"/>
  <c r="AG212"/>
  <c r="AJ212"/>
  <c r="V212"/>
  <c r="T212" l="1"/>
  <c r="AI212"/>
  <c r="X212"/>
  <c r="Y212" s="1"/>
  <c r="N212"/>
  <c r="AG211"/>
  <c r="V211"/>
  <c r="AJ211"/>
  <c r="T211" l="1"/>
  <c r="AI211"/>
  <c r="X211"/>
  <c r="Y211" s="1"/>
  <c r="N211"/>
  <c r="AG210"/>
  <c r="V210"/>
  <c r="AJ210"/>
  <c r="T210" l="1"/>
  <c r="AI210"/>
  <c r="X210"/>
  <c r="Y210" s="1"/>
  <c r="N210"/>
  <c r="AG209"/>
  <c r="AJ209"/>
  <c r="V209"/>
  <c r="T209" l="1"/>
  <c r="AI209"/>
  <c r="X209"/>
  <c r="Y209" s="1"/>
  <c r="N209"/>
  <c r="AG208"/>
  <c r="AJ208"/>
  <c r="V208"/>
  <c r="T208" l="1"/>
  <c r="AI208"/>
  <c r="X208"/>
  <c r="Y208" s="1"/>
  <c r="N208"/>
  <c r="AG206" l="1"/>
  <c r="AJ206"/>
  <c r="V206"/>
  <c r="T206" l="1"/>
  <c r="AI206"/>
  <c r="X206"/>
  <c r="Y206" s="1"/>
  <c r="N206"/>
  <c r="AG205"/>
  <c r="AJ205"/>
  <c r="V205"/>
  <c r="T205" l="1"/>
  <c r="AI205"/>
  <c r="X205"/>
  <c r="Y205" s="1"/>
  <c r="N205"/>
  <c r="AG204"/>
  <c r="AJ204"/>
  <c r="V204"/>
  <c r="T204" l="1"/>
  <c r="AI204"/>
  <c r="X204"/>
  <c r="Y204" s="1"/>
  <c r="N204"/>
  <c r="AG203"/>
  <c r="AJ203"/>
  <c r="V203"/>
  <c r="T203" l="1"/>
  <c r="AI203"/>
  <c r="X203"/>
  <c r="Y203" s="1"/>
  <c r="N203"/>
  <c r="AG201" l="1"/>
  <c r="AJ201"/>
  <c r="V201"/>
  <c r="T201" l="1"/>
  <c r="AI201"/>
  <c r="X201"/>
  <c r="Y201" s="1"/>
  <c r="N201"/>
  <c r="AG200"/>
  <c r="V200"/>
  <c r="AJ200"/>
  <c r="T200" l="1"/>
  <c r="AI200"/>
  <c r="X200"/>
  <c r="Y200" s="1"/>
  <c r="N200"/>
  <c r="AG199"/>
  <c r="V199"/>
  <c r="AJ199"/>
  <c r="T199" l="1"/>
  <c r="AI199"/>
  <c r="X199"/>
  <c r="Y199" s="1"/>
  <c r="AG197" l="1"/>
  <c r="AJ197"/>
  <c r="V197"/>
  <c r="T197" l="1"/>
  <c r="AI197"/>
  <c r="X197"/>
  <c r="Y197" s="1"/>
  <c r="N197"/>
  <c r="AG195"/>
  <c r="V195"/>
  <c r="AJ195"/>
  <c r="T195" l="1"/>
  <c r="AI195"/>
  <c r="X195"/>
  <c r="Y195" s="1"/>
  <c r="N195"/>
  <c r="AG194"/>
  <c r="AJ194"/>
  <c r="V194"/>
  <c r="T194" l="1"/>
  <c r="AI194"/>
  <c r="X194"/>
  <c r="Y194" s="1"/>
  <c r="N194"/>
  <c r="AG193"/>
  <c r="V193"/>
  <c r="AJ193"/>
  <c r="T193" l="1"/>
  <c r="AI193"/>
  <c r="X193"/>
  <c r="Y193" s="1"/>
  <c r="N193"/>
  <c r="AG192"/>
  <c r="AJ192"/>
  <c r="V192"/>
  <c r="T192" l="1"/>
  <c r="AI192"/>
  <c r="X192"/>
  <c r="Y192" s="1"/>
  <c r="N192"/>
  <c r="AG191"/>
  <c r="AJ191"/>
  <c r="V191"/>
  <c r="T191" l="1"/>
  <c r="AI191"/>
  <c r="X191"/>
  <c r="Y191" s="1"/>
  <c r="N191"/>
  <c r="AG190"/>
  <c r="V190"/>
  <c r="AJ190"/>
  <c r="T190" l="1"/>
  <c r="AI190"/>
  <c r="X190"/>
  <c r="Y190" s="1"/>
  <c r="N190"/>
  <c r="AG189"/>
  <c r="AJ189"/>
  <c r="V189"/>
  <c r="T189" l="1"/>
  <c r="AI189"/>
  <c r="X189"/>
  <c r="Y189" s="1"/>
  <c r="N189"/>
  <c r="AG188"/>
  <c r="AJ188"/>
  <c r="V188"/>
  <c r="T188" l="1"/>
  <c r="AI188"/>
  <c r="X188"/>
  <c r="Y188" s="1"/>
  <c r="N188"/>
  <c r="AG187"/>
  <c r="V187"/>
  <c r="AJ187"/>
  <c r="T187" l="1"/>
  <c r="AI187"/>
  <c r="X187"/>
  <c r="Y187" s="1"/>
  <c r="N187"/>
  <c r="AG186"/>
  <c r="AJ186"/>
  <c r="V186"/>
  <c r="T186" l="1"/>
  <c r="AI186"/>
  <c r="X186"/>
  <c r="Y186" s="1"/>
  <c r="N186"/>
  <c r="AG185"/>
  <c r="V185"/>
  <c r="AJ185"/>
  <c r="T185" l="1"/>
  <c r="AI185"/>
  <c r="X185"/>
  <c r="Y185" s="1"/>
  <c r="N185"/>
  <c r="AG184"/>
  <c r="AJ184"/>
  <c r="V184"/>
  <c r="T184" l="1"/>
  <c r="AI184"/>
  <c r="X184"/>
  <c r="Y184" s="1"/>
  <c r="N184"/>
  <c r="AG183"/>
  <c r="AJ183"/>
  <c r="V183"/>
  <c r="T183" l="1"/>
  <c r="AI183"/>
  <c r="X183"/>
  <c r="Y183" s="1"/>
  <c r="N183"/>
  <c r="AG182"/>
  <c r="V182"/>
  <c r="AJ182"/>
  <c r="T182" l="1"/>
  <c r="AI182"/>
  <c r="X182"/>
  <c r="Y182" s="1"/>
  <c r="N182"/>
  <c r="AG181"/>
  <c r="V181"/>
  <c r="AJ181"/>
  <c r="T181" l="1"/>
  <c r="AI181"/>
  <c r="X181"/>
  <c r="Y181" s="1"/>
  <c r="N181"/>
  <c r="AG180"/>
  <c r="V180"/>
  <c r="AJ180"/>
  <c r="T180" l="1"/>
  <c r="AI180"/>
  <c r="X180"/>
  <c r="Y180" s="1"/>
  <c r="N180"/>
  <c r="AG179"/>
  <c r="V179"/>
  <c r="AJ179"/>
  <c r="T179" l="1"/>
  <c r="AI179"/>
  <c r="X179"/>
  <c r="Y179" s="1"/>
  <c r="N179"/>
  <c r="AG178"/>
  <c r="AJ178"/>
  <c r="V178"/>
  <c r="T178" l="1"/>
  <c r="AI178"/>
  <c r="X178"/>
  <c r="Y178" s="1"/>
  <c r="N178"/>
  <c r="AG177"/>
  <c r="AJ177"/>
  <c r="V177"/>
  <c r="T177" l="1"/>
  <c r="AI177"/>
  <c r="X177"/>
  <c r="Y177" s="1"/>
  <c r="N177"/>
  <c r="AG176"/>
  <c r="AJ176"/>
  <c r="V176"/>
  <c r="T176" l="1"/>
  <c r="AI176"/>
  <c r="X176"/>
  <c r="Y176" s="1"/>
  <c r="N176"/>
  <c r="AG175"/>
  <c r="AJ175"/>
  <c r="V175"/>
  <c r="T175" l="1"/>
  <c r="AI175"/>
  <c r="X175"/>
  <c r="Y175" s="1"/>
  <c r="N175"/>
  <c r="AG174"/>
  <c r="AJ174"/>
  <c r="V174"/>
  <c r="T174" l="1"/>
  <c r="AI174"/>
  <c r="X174"/>
  <c r="Y174" s="1"/>
  <c r="N174"/>
  <c r="AG173"/>
  <c r="AJ173"/>
  <c r="V173"/>
  <c r="T173" l="1"/>
  <c r="AI173"/>
  <c r="X173"/>
  <c r="Y173" s="1"/>
  <c r="N173"/>
  <c r="AG172"/>
  <c r="V172"/>
  <c r="AJ172"/>
  <c r="T172" l="1"/>
  <c r="AI172"/>
  <c r="X172"/>
  <c r="Y172" s="1"/>
  <c r="N172"/>
  <c r="AG171"/>
  <c r="AJ171"/>
  <c r="V171"/>
  <c r="T171" l="1"/>
  <c r="AI171"/>
  <c r="X171"/>
  <c r="Y171" s="1"/>
  <c r="N171"/>
  <c r="AG170"/>
  <c r="V170"/>
  <c r="AJ170"/>
  <c r="T170" l="1"/>
  <c r="AI170"/>
  <c r="X170"/>
  <c r="Y170" s="1"/>
  <c r="N170"/>
  <c r="AG169"/>
  <c r="V169"/>
  <c r="AJ169"/>
  <c r="T169" l="1"/>
  <c r="AI169"/>
  <c r="X169"/>
  <c r="Y169" s="1"/>
  <c r="N169"/>
  <c r="AG168"/>
  <c r="V168"/>
  <c r="AJ168"/>
  <c r="T168" l="1"/>
  <c r="AI168"/>
  <c r="X168"/>
  <c r="Y168" s="1"/>
  <c r="N168"/>
  <c r="AG167"/>
  <c r="AJ167"/>
  <c r="V167"/>
  <c r="T167" l="1"/>
  <c r="AI167"/>
  <c r="X167"/>
  <c r="Y167" s="1"/>
  <c r="N167"/>
  <c r="AG166"/>
  <c r="AJ166"/>
  <c r="V166"/>
  <c r="T166" l="1"/>
  <c r="AI166"/>
  <c r="X166"/>
  <c r="Y166" s="1"/>
  <c r="N166"/>
  <c r="AG165"/>
  <c r="V165"/>
  <c r="AJ165"/>
  <c r="T165" l="1"/>
  <c r="AI165"/>
  <c r="X165"/>
  <c r="Y165" s="1"/>
  <c r="N165"/>
  <c r="AG164"/>
  <c r="V164"/>
  <c r="AJ164"/>
  <c r="T164" l="1"/>
  <c r="AI164"/>
  <c r="X164"/>
  <c r="Y164" s="1"/>
  <c r="N164"/>
  <c r="AG163"/>
  <c r="V163"/>
  <c r="AJ163"/>
  <c r="T163" l="1"/>
  <c r="AI163"/>
  <c r="X163"/>
  <c r="Y163" s="1"/>
  <c r="N163"/>
  <c r="AG162"/>
  <c r="AJ162"/>
  <c r="V162"/>
  <c r="T162" l="1"/>
  <c r="AI162"/>
  <c r="X162"/>
  <c r="Y162" s="1"/>
  <c r="N162"/>
  <c r="AG161"/>
  <c r="AJ161"/>
  <c r="V161"/>
  <c r="T161" l="1"/>
  <c r="AI161"/>
  <c r="X161"/>
  <c r="Y161" s="1"/>
  <c r="N161"/>
  <c r="AG160"/>
  <c r="AJ160"/>
  <c r="V160"/>
  <c r="T160" l="1"/>
  <c r="AI160"/>
  <c r="X160"/>
  <c r="Y160" s="1"/>
  <c r="N160"/>
  <c r="AG159"/>
  <c r="V159"/>
  <c r="AJ159"/>
  <c r="T159" l="1"/>
  <c r="AI159"/>
  <c r="X159"/>
  <c r="Y159" s="1"/>
  <c r="N159"/>
  <c r="AG158"/>
  <c r="AJ158"/>
  <c r="V158"/>
  <c r="T158" l="1"/>
  <c r="AI158"/>
  <c r="X158"/>
  <c r="Y158" s="1"/>
  <c r="N158"/>
  <c r="AG157"/>
  <c r="AJ157"/>
  <c r="V157"/>
  <c r="T157" l="1"/>
  <c r="AI157"/>
  <c r="X157"/>
  <c r="Y157" s="1"/>
  <c r="N157"/>
  <c r="AG156"/>
  <c r="V156"/>
  <c r="AJ156"/>
  <c r="T156" l="1"/>
  <c r="AI156"/>
  <c r="X156"/>
  <c r="Y156" s="1"/>
  <c r="N156"/>
  <c r="AG155"/>
  <c r="AJ155"/>
  <c r="V155"/>
  <c r="T155" l="1"/>
  <c r="AI155"/>
  <c r="X155"/>
  <c r="Y155" s="1"/>
  <c r="N155"/>
  <c r="AG154"/>
  <c r="AJ154"/>
  <c r="V154"/>
  <c r="T154" l="1"/>
  <c r="AI154"/>
  <c r="X154"/>
  <c r="Y154" s="1"/>
  <c r="N154"/>
  <c r="AG153"/>
  <c r="AJ153"/>
  <c r="V153"/>
  <c r="T153" l="1"/>
  <c r="AI153"/>
  <c r="X153"/>
  <c r="Y153" s="1"/>
  <c r="N153"/>
  <c r="AG152"/>
  <c r="V152"/>
  <c r="AJ152"/>
  <c r="T152" l="1"/>
  <c r="AI152"/>
  <c r="X152"/>
  <c r="Y152" s="1"/>
  <c r="N152"/>
  <c r="AG150" l="1"/>
  <c r="AJ150"/>
  <c r="V150"/>
  <c r="T150" l="1"/>
  <c r="AI150"/>
  <c r="X150"/>
  <c r="Y150" s="1"/>
  <c r="N150"/>
  <c r="AG149"/>
  <c r="AJ149"/>
  <c r="V149"/>
  <c r="T149" l="1"/>
  <c r="AI149"/>
  <c r="X149"/>
  <c r="Y149" s="1"/>
  <c r="N149"/>
  <c r="AG148"/>
  <c r="V148"/>
  <c r="AJ148"/>
  <c r="T148" l="1"/>
  <c r="AI148"/>
  <c r="X148"/>
  <c r="Y148" s="1"/>
  <c r="N148"/>
  <c r="AG147"/>
  <c r="V147"/>
  <c r="AJ147"/>
  <c r="T147" l="1"/>
  <c r="AI147"/>
  <c r="X147"/>
  <c r="Y147" s="1"/>
  <c r="N147"/>
  <c r="AG146"/>
  <c r="AJ146"/>
  <c r="V146"/>
  <c r="T146" l="1"/>
  <c r="AI146"/>
  <c r="X146"/>
  <c r="Y146" s="1"/>
  <c r="N146"/>
  <c r="AG145"/>
  <c r="AJ145"/>
  <c r="V145"/>
  <c r="T145" l="1"/>
  <c r="AI145"/>
  <c r="X145"/>
  <c r="Y145" s="1"/>
  <c r="N145"/>
  <c r="AG144"/>
  <c r="AJ144"/>
  <c r="V144"/>
  <c r="T144" l="1"/>
  <c r="AI144"/>
  <c r="X144"/>
  <c r="Y144" s="1"/>
  <c r="N144"/>
  <c r="AG143"/>
  <c r="V143"/>
  <c r="AJ143"/>
  <c r="T143" l="1"/>
  <c r="AI143"/>
  <c r="X143"/>
  <c r="Y143" s="1"/>
  <c r="N143"/>
  <c r="AG142"/>
  <c r="AJ142"/>
  <c r="V142"/>
  <c r="T142" l="1"/>
  <c r="AI142"/>
  <c r="X142"/>
  <c r="Y142" s="1"/>
  <c r="N142"/>
  <c r="AG141"/>
  <c r="AJ141"/>
  <c r="V141"/>
  <c r="T141" l="1"/>
  <c r="AI141"/>
  <c r="X141"/>
  <c r="Y141" s="1"/>
  <c r="N141"/>
  <c r="AG140"/>
  <c r="AJ140"/>
  <c r="V140"/>
  <c r="T140" l="1"/>
  <c r="AI140"/>
  <c r="X140"/>
  <c r="Y140" s="1"/>
  <c r="N140"/>
  <c r="AG139"/>
  <c r="AJ139"/>
  <c r="V139"/>
  <c r="T139" l="1"/>
  <c r="AI139"/>
  <c r="X139"/>
  <c r="Y139" s="1"/>
  <c r="N139"/>
  <c r="AG138"/>
  <c r="V138"/>
  <c r="AJ138"/>
  <c r="T138" l="1"/>
  <c r="AI138"/>
  <c r="X138"/>
  <c r="Y138" s="1"/>
  <c r="N138"/>
  <c r="AG137"/>
  <c r="AJ137"/>
  <c r="V137"/>
  <c r="T137" l="1"/>
  <c r="AI137"/>
  <c r="X137"/>
  <c r="Y137" s="1"/>
  <c r="N137"/>
  <c r="AG136"/>
  <c r="V136"/>
  <c r="AJ136"/>
  <c r="T136" l="1"/>
  <c r="AI136"/>
  <c r="X136"/>
  <c r="Y136" s="1"/>
  <c r="N136"/>
  <c r="AG135"/>
  <c r="AJ135"/>
  <c r="V135"/>
  <c r="T135" l="1"/>
  <c r="AI135"/>
  <c r="X135"/>
  <c r="Y135" s="1"/>
  <c r="N135"/>
  <c r="AG134"/>
  <c r="AJ134"/>
  <c r="V134"/>
  <c r="T134" l="1"/>
  <c r="AI134"/>
  <c r="X134"/>
  <c r="Y134" s="1"/>
  <c r="N134"/>
  <c r="AG133"/>
  <c r="V133"/>
  <c r="AJ133"/>
  <c r="T133" l="1"/>
  <c r="AI133"/>
  <c r="X133"/>
  <c r="Y133" s="1"/>
  <c r="N133"/>
  <c r="AG132"/>
  <c r="AJ132"/>
  <c r="V132"/>
  <c r="T132" l="1"/>
  <c r="AI132"/>
  <c r="X132"/>
  <c r="Y132" s="1"/>
  <c r="N132"/>
  <c r="AG131"/>
  <c r="AJ131"/>
  <c r="V131"/>
  <c r="T131" l="1"/>
  <c r="AI131"/>
  <c r="X131"/>
  <c r="Y131" s="1"/>
  <c r="N131"/>
  <c r="AG130"/>
  <c r="AJ130"/>
  <c r="V130"/>
  <c r="T130" l="1"/>
  <c r="AI130"/>
  <c r="X130"/>
  <c r="Y130" s="1"/>
  <c r="N130"/>
  <c r="AG129"/>
  <c r="V129"/>
  <c r="AJ129"/>
  <c r="T129" l="1"/>
  <c r="AI129"/>
  <c r="X129"/>
  <c r="Y129" s="1"/>
  <c r="N129"/>
  <c r="AG128"/>
  <c r="AJ128"/>
  <c r="V128"/>
  <c r="T128" l="1"/>
  <c r="AI128"/>
  <c r="X128"/>
  <c r="Y128" s="1"/>
  <c r="AG125"/>
  <c r="AJ125"/>
  <c r="V125"/>
  <c r="T125" l="1"/>
  <c r="AI125"/>
  <c r="X125"/>
  <c r="Y125" s="1"/>
  <c r="N125"/>
  <c r="AG124"/>
  <c r="V124"/>
  <c r="AJ124"/>
  <c r="T124" l="1"/>
  <c r="AI124"/>
  <c r="X124"/>
  <c r="Y124" s="1"/>
  <c r="N124"/>
  <c r="AG123"/>
  <c r="AJ123"/>
  <c r="V123"/>
  <c r="T123" l="1"/>
  <c r="AI123"/>
  <c r="X123"/>
  <c r="Y123" s="1"/>
  <c r="N123"/>
  <c r="AG122"/>
  <c r="V122"/>
  <c r="AJ122"/>
  <c r="T122" l="1"/>
  <c r="AI122"/>
  <c r="X122"/>
  <c r="Y122" s="1"/>
  <c r="N122"/>
  <c r="AG121"/>
  <c r="V121"/>
  <c r="AJ121"/>
  <c r="T121" l="1"/>
  <c r="AI121"/>
  <c r="X121"/>
  <c r="Y121" s="1"/>
  <c r="N121"/>
  <c r="AG120"/>
  <c r="V120"/>
  <c r="AJ120"/>
  <c r="T120" l="1"/>
  <c r="AI120"/>
  <c r="X120"/>
  <c r="Y120" s="1"/>
  <c r="N120"/>
  <c r="AG119"/>
  <c r="AJ119"/>
  <c r="V119"/>
  <c r="T119" l="1"/>
  <c r="AI119"/>
  <c r="X119"/>
  <c r="Y119" s="1"/>
  <c r="N119"/>
  <c r="AG118"/>
  <c r="AJ118"/>
  <c r="V118"/>
  <c r="T118" l="1"/>
  <c r="AI118"/>
  <c r="X118"/>
  <c r="Y118" s="1"/>
  <c r="N118"/>
  <c r="AG117"/>
  <c r="AJ117"/>
  <c r="V117"/>
  <c r="T117" l="1"/>
  <c r="AI117"/>
  <c r="X117"/>
  <c r="Y117" s="1"/>
  <c r="N117"/>
  <c r="AG116"/>
  <c r="AJ116"/>
  <c r="V116"/>
  <c r="T116" l="1"/>
  <c r="AI116"/>
  <c r="X116"/>
  <c r="Y116" s="1"/>
  <c r="N116"/>
  <c r="AG115"/>
  <c r="AJ115"/>
  <c r="V115"/>
  <c r="T115" l="1"/>
  <c r="AI115"/>
  <c r="X115"/>
  <c r="Y115" s="1"/>
  <c r="N115"/>
  <c r="AG114"/>
  <c r="V114"/>
  <c r="AJ114"/>
  <c r="T114" l="1"/>
  <c r="AI114"/>
  <c r="X114"/>
  <c r="Y114" s="1"/>
  <c r="N114"/>
  <c r="AG113"/>
  <c r="V113"/>
  <c r="AJ113"/>
  <c r="T113" l="1"/>
  <c r="AI113"/>
  <c r="X113"/>
  <c r="Y113" s="1"/>
  <c r="N113"/>
  <c r="AG112"/>
  <c r="AJ112"/>
  <c r="V112"/>
  <c r="T112" l="1"/>
  <c r="AI112"/>
  <c r="X112"/>
  <c r="Y112" s="1"/>
  <c r="N112"/>
  <c r="AG111"/>
  <c r="AJ111"/>
  <c r="V111"/>
  <c r="T111" l="1"/>
  <c r="AI111"/>
  <c r="X111"/>
  <c r="Y111" s="1"/>
  <c r="N111"/>
  <c r="AG110"/>
  <c r="V110"/>
  <c r="AJ110"/>
  <c r="T110" l="1"/>
  <c r="AI110"/>
  <c r="X110"/>
  <c r="Y110" s="1"/>
  <c r="N110"/>
  <c r="AG108" l="1"/>
  <c r="V108"/>
  <c r="AJ108"/>
  <c r="T108" l="1"/>
  <c r="AI108"/>
  <c r="X108"/>
  <c r="Y108" s="1"/>
  <c r="N108"/>
  <c r="AG107"/>
  <c r="AJ107"/>
  <c r="V107"/>
  <c r="T107" l="1"/>
  <c r="AI107"/>
  <c r="X107"/>
  <c r="Y107" s="1"/>
  <c r="N107"/>
  <c r="AG106"/>
  <c r="AJ106"/>
  <c r="V106"/>
  <c r="T106" l="1"/>
  <c r="AI106"/>
  <c r="X106"/>
  <c r="Y106" s="1"/>
  <c r="N106"/>
  <c r="AG105"/>
  <c r="V105"/>
  <c r="AJ105"/>
  <c r="T105" l="1"/>
  <c r="AI105"/>
  <c r="X105"/>
  <c r="Y105" s="1"/>
  <c r="N105"/>
  <c r="AG104"/>
  <c r="AJ104"/>
  <c r="V104"/>
  <c r="T104" l="1"/>
  <c r="AI104"/>
  <c r="X104"/>
  <c r="Y104" s="1"/>
  <c r="N104"/>
  <c r="AG103"/>
  <c r="AJ103"/>
  <c r="V103"/>
  <c r="T103" l="1"/>
  <c r="AI103"/>
  <c r="X103"/>
  <c r="Y103" s="1"/>
  <c r="N103"/>
  <c r="AG102"/>
  <c r="AJ102"/>
  <c r="V102"/>
  <c r="T102" l="1"/>
  <c r="AI102"/>
  <c r="X102"/>
  <c r="Y102" s="1"/>
  <c r="N102"/>
  <c r="AG101"/>
  <c r="AJ101"/>
  <c r="V101"/>
  <c r="T101" l="1"/>
  <c r="AI101"/>
  <c r="X101"/>
  <c r="Y101" s="1"/>
  <c r="N101"/>
  <c r="AG100"/>
  <c r="AJ100"/>
  <c r="V100"/>
  <c r="T100" l="1"/>
  <c r="AI100"/>
  <c r="X100"/>
  <c r="Y100" s="1"/>
  <c r="N100"/>
  <c r="AG99"/>
  <c r="AJ99"/>
  <c r="V99"/>
  <c r="T99" l="1"/>
  <c r="AI99"/>
  <c r="X99"/>
  <c r="Y99" s="1"/>
  <c r="N99"/>
  <c r="AG98"/>
  <c r="AJ98"/>
  <c r="V98"/>
  <c r="T98" l="1"/>
  <c r="AI98"/>
  <c r="X98"/>
  <c r="Y98" s="1"/>
  <c r="N98"/>
  <c r="AG97"/>
  <c r="AJ97"/>
  <c r="V97"/>
  <c r="T97" l="1"/>
  <c r="AI97"/>
  <c r="X97"/>
  <c r="Y97" s="1"/>
  <c r="N97"/>
  <c r="AG96"/>
  <c r="AJ96"/>
  <c r="V96"/>
  <c r="T96" l="1"/>
  <c r="AI96"/>
  <c r="X96"/>
  <c r="Y96" s="1"/>
  <c r="N96"/>
  <c r="AG95"/>
  <c r="V95"/>
  <c r="AJ95"/>
  <c r="T95" l="1"/>
  <c r="AI95"/>
  <c r="X95"/>
  <c r="Y95" s="1"/>
  <c r="N95"/>
  <c r="AG94"/>
  <c r="V94"/>
  <c r="AJ94"/>
  <c r="T94" l="1"/>
  <c r="AI94"/>
  <c r="X94"/>
  <c r="Y94" s="1"/>
  <c r="N94"/>
  <c r="AG93"/>
  <c r="V93"/>
  <c r="AJ93"/>
  <c r="T93" l="1"/>
  <c r="AI93"/>
  <c r="X93"/>
  <c r="Y93" s="1"/>
  <c r="N93"/>
  <c r="AG92"/>
  <c r="AJ92"/>
  <c r="V92"/>
  <c r="T92" l="1"/>
  <c r="AI92"/>
  <c r="X92"/>
  <c r="Y92" s="1"/>
  <c r="N92"/>
  <c r="AG91"/>
  <c r="AJ91"/>
  <c r="V91"/>
  <c r="T91" l="1"/>
  <c r="AI91"/>
  <c r="X91"/>
  <c r="Y91" s="1"/>
  <c r="N91"/>
  <c r="AG90"/>
  <c r="AJ90"/>
  <c r="V90"/>
  <c r="T90" l="1"/>
  <c r="AI90"/>
  <c r="X90"/>
  <c r="Y90" s="1"/>
  <c r="N90"/>
  <c r="AG89"/>
  <c r="AJ89"/>
  <c r="V89"/>
  <c r="T89" l="1"/>
  <c r="AI89"/>
  <c r="X89"/>
  <c r="Y89" s="1"/>
  <c r="N89"/>
  <c r="AG88"/>
  <c r="AJ88"/>
  <c r="V88"/>
  <c r="T88" l="1"/>
  <c r="AI88"/>
  <c r="X88"/>
  <c r="Y88" s="1"/>
  <c r="N88"/>
  <c r="AG87"/>
  <c r="AJ87"/>
  <c r="V87"/>
  <c r="T87" l="1"/>
  <c r="AI87"/>
  <c r="X87"/>
  <c r="Y87" s="1"/>
  <c r="N87"/>
  <c r="AG86"/>
  <c r="AJ86"/>
  <c r="V86"/>
  <c r="T86" l="1"/>
  <c r="AI86"/>
  <c r="X86"/>
  <c r="Y86" s="1"/>
  <c r="N86"/>
  <c r="AG85"/>
  <c r="V85"/>
  <c r="AJ85"/>
  <c r="T85" l="1"/>
  <c r="AI85"/>
  <c r="X85"/>
  <c r="Y85" s="1"/>
  <c r="N85"/>
  <c r="AG84"/>
  <c r="AJ84"/>
  <c r="V84"/>
  <c r="T84" l="1"/>
  <c r="AI84"/>
  <c r="X84"/>
  <c r="Y84" s="1"/>
  <c r="N84"/>
  <c r="AG83"/>
  <c r="V83"/>
  <c r="AJ83"/>
  <c r="T83" l="1"/>
  <c r="AI83"/>
  <c r="X83"/>
  <c r="Y83" s="1"/>
  <c r="N83"/>
  <c r="AG82"/>
  <c r="AJ82"/>
  <c r="V82"/>
  <c r="T82" l="1"/>
  <c r="AI82"/>
  <c r="X82"/>
  <c r="Y82" s="1"/>
  <c r="N82"/>
  <c r="AG81"/>
  <c r="AJ81"/>
  <c r="V81"/>
  <c r="T81" l="1"/>
  <c r="AI81"/>
  <c r="X81"/>
  <c r="Y81" s="1"/>
  <c r="N81"/>
  <c r="AG80"/>
  <c r="AJ80"/>
  <c r="V80"/>
  <c r="T80" l="1"/>
  <c r="AI80"/>
  <c r="X80"/>
  <c r="Y80" s="1"/>
  <c r="N80"/>
  <c r="AG79"/>
  <c r="AJ79"/>
  <c r="V79"/>
  <c r="T79" l="1"/>
  <c r="AI79"/>
  <c r="X79"/>
  <c r="Y79" s="1"/>
  <c r="N79"/>
  <c r="AG78"/>
  <c r="V78"/>
  <c r="AJ78"/>
  <c r="T78" l="1"/>
  <c r="AI78"/>
  <c r="X78"/>
  <c r="Y78" s="1"/>
  <c r="N78"/>
  <c r="AG77"/>
  <c r="AJ77"/>
  <c r="V77"/>
  <c r="T77" l="1"/>
  <c r="AI77"/>
  <c r="X77"/>
  <c r="Y77" s="1"/>
  <c r="N77"/>
  <c r="AG76"/>
  <c r="V76"/>
  <c r="AJ76"/>
  <c r="T76" l="1"/>
  <c r="AI76"/>
  <c r="X76"/>
  <c r="Y76" s="1"/>
  <c r="N76"/>
  <c r="AG75"/>
  <c r="AJ75"/>
  <c r="V75"/>
  <c r="T75" l="1"/>
  <c r="AI75"/>
  <c r="X75"/>
  <c r="Y75" s="1"/>
  <c r="N75"/>
  <c r="AG74"/>
  <c r="V74"/>
  <c r="AJ74"/>
  <c r="T74" l="1"/>
  <c r="AI74"/>
  <c r="X74"/>
  <c r="Y74" s="1"/>
  <c r="N74"/>
  <c r="AG73"/>
  <c r="V73"/>
  <c r="AJ73"/>
  <c r="T73" l="1"/>
  <c r="AI73"/>
  <c r="X73"/>
  <c r="Y73" s="1"/>
  <c r="N73"/>
  <c r="AG72"/>
  <c r="V72"/>
  <c r="AJ72"/>
  <c r="T72" l="1"/>
  <c r="AI72"/>
  <c r="X72"/>
  <c r="Y72" s="1"/>
  <c r="N72"/>
  <c r="AG71"/>
  <c r="V71"/>
  <c r="AJ71"/>
  <c r="T71" l="1"/>
  <c r="AI71"/>
  <c r="X71"/>
  <c r="Y71" s="1"/>
  <c r="N71"/>
  <c r="AG70"/>
  <c r="AJ70"/>
  <c r="V70"/>
  <c r="T70" l="1"/>
  <c r="AI70"/>
  <c r="X70"/>
  <c r="Y70" s="1"/>
  <c r="AJ67"/>
  <c r="V67"/>
  <c r="T67" l="1"/>
  <c r="AI67"/>
  <c r="X67"/>
  <c r="Y67" s="1"/>
  <c r="N67"/>
  <c r="V66"/>
  <c r="AJ66"/>
  <c r="T66" l="1"/>
  <c r="AI66"/>
  <c r="X66"/>
  <c r="Y66" s="1"/>
  <c r="N66"/>
  <c r="V65"/>
  <c r="AJ65"/>
  <c r="T65" l="1"/>
  <c r="AI65"/>
  <c r="X65"/>
  <c r="Y65" s="1"/>
  <c r="N65"/>
  <c r="AJ64"/>
  <c r="V64"/>
  <c r="T64" l="1"/>
  <c r="AI64"/>
  <c r="X64"/>
  <c r="Y64" s="1"/>
  <c r="N64"/>
  <c r="AJ63"/>
  <c r="V63"/>
  <c r="T63" l="1"/>
  <c r="AI63"/>
  <c r="X63"/>
  <c r="Y63" s="1"/>
  <c r="N63"/>
  <c r="AJ62"/>
  <c r="V62"/>
  <c r="T62" l="1"/>
  <c r="AI62"/>
  <c r="X62"/>
  <c r="Y62" s="1"/>
  <c r="N62"/>
  <c r="V61"/>
  <c r="AJ61"/>
  <c r="T61" l="1"/>
  <c r="AI61"/>
  <c r="X61"/>
  <c r="Y61" s="1"/>
  <c r="N61"/>
  <c r="AJ60"/>
  <c r="V60"/>
  <c r="T60" l="1"/>
  <c r="AI60"/>
  <c r="X60"/>
  <c r="Y60" s="1"/>
  <c r="N60"/>
  <c r="V59"/>
  <c r="AJ59"/>
  <c r="T59" l="1"/>
  <c r="AI59"/>
  <c r="X59"/>
  <c r="Y59" s="1"/>
  <c r="N59"/>
  <c r="V56"/>
  <c r="AJ56"/>
  <c r="T56" l="1"/>
  <c r="AI56"/>
  <c r="X56"/>
  <c r="Y56" s="1"/>
  <c r="N56"/>
  <c r="AJ55"/>
  <c r="V55"/>
  <c r="T55" l="1"/>
  <c r="AI55"/>
  <c r="X55"/>
  <c r="Y55" s="1"/>
  <c r="N55"/>
  <c r="V54"/>
  <c r="AJ54"/>
  <c r="T54" l="1"/>
  <c r="AI54"/>
  <c r="X54"/>
  <c r="Y54" s="1"/>
  <c r="N54"/>
  <c r="AJ53"/>
  <c r="V53"/>
  <c r="T53" l="1"/>
  <c r="AI53"/>
  <c r="X53"/>
  <c r="Y53" s="1"/>
  <c r="N53"/>
  <c r="AJ52"/>
  <c r="V52"/>
  <c r="T52" l="1"/>
  <c r="AI52"/>
  <c r="X52"/>
  <c r="Y52" s="1"/>
  <c r="V51"/>
  <c r="AJ51"/>
  <c r="T51" l="1"/>
  <c r="AI51"/>
  <c r="X51"/>
  <c r="Y51" s="1"/>
  <c r="N51"/>
  <c r="V50"/>
  <c r="AJ50"/>
  <c r="T50" l="1"/>
  <c r="AI50"/>
  <c r="X50"/>
  <c r="Y50" s="1"/>
  <c r="N50"/>
  <c r="AJ49"/>
  <c r="V49"/>
  <c r="T49" l="1"/>
  <c r="AI49"/>
  <c r="X49"/>
  <c r="Y49" s="1"/>
  <c r="N49"/>
  <c r="AJ48"/>
  <c r="V48"/>
  <c r="T48" l="1"/>
  <c r="AI48"/>
  <c r="X48"/>
  <c r="Y48" s="1"/>
  <c r="N48"/>
  <c r="AJ47"/>
  <c r="V47"/>
  <c r="T47" l="1"/>
  <c r="AI47"/>
  <c r="X47"/>
  <c r="Y47" s="1"/>
  <c r="N47"/>
  <c r="V46"/>
  <c r="AJ46"/>
  <c r="T46" l="1"/>
  <c r="AI46"/>
  <c r="X46"/>
  <c r="Y46" s="1"/>
  <c r="N46"/>
  <c r="V45"/>
  <c r="AJ45"/>
  <c r="T45" l="1"/>
  <c r="AI45"/>
  <c r="X45"/>
  <c r="Y45" s="1"/>
  <c r="N45"/>
  <c r="V44"/>
  <c r="AJ44"/>
  <c r="T44" l="1"/>
  <c r="AI44"/>
  <c r="X44"/>
  <c r="Y44" s="1"/>
  <c r="N44"/>
  <c r="V39"/>
  <c r="AJ39"/>
  <c r="T39" l="1"/>
  <c r="AI39"/>
  <c r="X39"/>
  <c r="Y39" s="1"/>
  <c r="N39"/>
  <c r="AJ38"/>
  <c r="V38"/>
  <c r="T38" l="1"/>
  <c r="AI38"/>
  <c r="X38"/>
  <c r="Y38" s="1"/>
  <c r="N38"/>
  <c r="V37"/>
  <c r="AJ37"/>
  <c r="T37" l="1"/>
  <c r="AI37"/>
  <c r="X37"/>
  <c r="Y37" s="1"/>
  <c r="N37"/>
  <c r="V36"/>
  <c r="AJ36"/>
  <c r="T36" l="1"/>
  <c r="AI36"/>
  <c r="X36"/>
  <c r="Y36" s="1"/>
  <c r="N36"/>
  <c r="V34"/>
  <c r="AJ34"/>
  <c r="T34" l="1"/>
  <c r="AI34"/>
  <c r="X34"/>
  <c r="Y34" s="1"/>
  <c r="N34"/>
  <c r="AJ33"/>
  <c r="V33"/>
  <c r="T33" l="1"/>
  <c r="AI33"/>
  <c r="X33"/>
  <c r="Y33" s="1"/>
  <c r="N33"/>
  <c r="V32"/>
  <c r="AJ32"/>
  <c r="T32" l="1"/>
  <c r="AI32"/>
  <c r="X32"/>
  <c r="Y32" s="1"/>
  <c r="N32"/>
  <c r="V31"/>
  <c r="AJ31"/>
  <c r="T31" l="1"/>
  <c r="AI31"/>
  <c r="X31"/>
  <c r="Y31" s="1"/>
  <c r="N31"/>
  <c r="V30"/>
  <c r="AJ30"/>
  <c r="T30" l="1"/>
  <c r="AI30"/>
  <c r="X30"/>
  <c r="Y30" s="1"/>
  <c r="N30"/>
  <c r="AJ29"/>
  <c r="V29"/>
  <c r="T29" l="1"/>
  <c r="AI29"/>
  <c r="X29"/>
  <c r="Y29" s="1"/>
  <c r="N29"/>
  <c r="V28"/>
  <c r="AJ28"/>
  <c r="T28" l="1"/>
  <c r="AI28"/>
  <c r="X28"/>
  <c r="Y28" s="1"/>
  <c r="N28"/>
  <c r="AJ27"/>
  <c r="V27"/>
  <c r="T27" l="1"/>
  <c r="AI27"/>
  <c r="X27"/>
  <c r="Y27" s="1"/>
  <c r="N27"/>
  <c r="AJ26"/>
  <c r="V26"/>
  <c r="T26" l="1"/>
  <c r="AI26"/>
  <c r="X26"/>
  <c r="Y26" s="1"/>
  <c r="N26"/>
  <c r="AJ25"/>
  <c r="V25"/>
  <c r="T25" l="1"/>
  <c r="AI25"/>
  <c r="X25"/>
  <c r="Y25" s="1"/>
  <c r="N25"/>
  <c r="V24"/>
  <c r="AJ24"/>
  <c r="T24" l="1"/>
  <c r="AI24"/>
  <c r="X24"/>
  <c r="Y24" s="1"/>
  <c r="N24"/>
  <c r="V23"/>
  <c r="AJ23"/>
  <c r="T23" l="1"/>
  <c r="AI23"/>
  <c r="X23"/>
  <c r="Y23" s="1"/>
  <c r="N23"/>
  <c r="V22"/>
  <c r="AJ22"/>
  <c r="T22" l="1"/>
  <c r="AI22"/>
  <c r="X22"/>
  <c r="Y22" s="1"/>
  <c r="N22"/>
  <c r="AJ21"/>
  <c r="V21"/>
  <c r="T21" l="1"/>
  <c r="AI21"/>
  <c r="X21"/>
  <c r="Y21" s="1"/>
  <c r="N21"/>
  <c r="AJ20"/>
  <c r="V20"/>
  <c r="T20" l="1"/>
  <c r="AI20"/>
  <c r="X20"/>
  <c r="Y20" s="1"/>
  <c r="N20"/>
  <c r="V19"/>
  <c r="AJ19"/>
  <c r="T19" l="1"/>
  <c r="AI19"/>
  <c r="X19"/>
  <c r="Y19" s="1"/>
  <c r="N19"/>
  <c r="V17"/>
  <c r="AJ17"/>
  <c r="T17" l="1"/>
  <c r="AI17"/>
  <c r="X17"/>
  <c r="Y17" s="1"/>
  <c r="N17"/>
  <c r="AJ16"/>
  <c r="V16"/>
  <c r="T16" l="1"/>
  <c r="AI16"/>
  <c r="X16"/>
  <c r="Y16" s="1"/>
  <c r="N16"/>
  <c r="AJ15"/>
  <c r="V15"/>
  <c r="T15" l="1"/>
  <c r="AI15"/>
  <c r="X15"/>
  <c r="Y15" s="1"/>
  <c r="N15"/>
  <c r="AJ14"/>
  <c r="V14"/>
  <c r="T14" l="1"/>
  <c r="AI14"/>
  <c r="X14"/>
  <c r="Y14" s="1"/>
  <c r="N14"/>
  <c r="AJ13"/>
  <c r="V13"/>
  <c r="T13" l="1"/>
  <c r="AI13"/>
  <c r="X13"/>
  <c r="Y13" s="1"/>
  <c r="N13"/>
  <c r="V10"/>
  <c r="AJ10"/>
  <c r="T10" l="1"/>
  <c r="AI10"/>
  <c r="X10"/>
  <c r="N10"/>
  <c r="V9"/>
  <c r="AJ9"/>
  <c r="T9" l="1"/>
  <c r="AI9"/>
  <c r="X9"/>
  <c r="N9"/>
  <c r="AJ8"/>
  <c r="V8"/>
  <c r="T8" l="1"/>
  <c r="AI8"/>
  <c r="X8"/>
  <c r="N8"/>
  <c r="AJ7"/>
  <c r="V7"/>
  <c r="T7" l="1"/>
  <c r="AI7"/>
  <c r="X7"/>
  <c r="N7"/>
  <c r="AJ6"/>
  <c r="V6"/>
  <c r="T6" l="1"/>
  <c r="AI6"/>
  <c r="X6"/>
  <c r="N6"/>
  <c r="V5"/>
  <c r="AJ5"/>
  <c r="T5" l="1"/>
  <c r="AI5"/>
  <c r="X5"/>
  <c r="N5"/>
  <c r="AJ4"/>
  <c r="V4"/>
  <c r="T4" l="1"/>
  <c r="AI4"/>
  <c r="X4"/>
  <c r="AG1"/>
  <c r="V1"/>
  <c r="X1" l="1"/>
  <c r="Y1" s="1"/>
  <c r="N1"/>
  <c r="AG87" i="28" l="1"/>
  <c r="X87" l="1"/>
  <c r="Y87" s="1"/>
  <c r="AM28"/>
  <c r="AL28" l="1"/>
  <c r="T28"/>
  <c r="AJ28"/>
  <c r="AG91" l="1"/>
  <c r="X91" l="1"/>
  <c r="Y91" s="1"/>
  <c r="AG89" l="1"/>
  <c r="X89" l="1"/>
  <c r="Y89" s="1"/>
  <c r="AG88"/>
  <c r="X88" l="1"/>
  <c r="Y88" s="1"/>
  <c r="AG90" l="1"/>
  <c r="X90" l="1"/>
  <c r="Y90" s="1"/>
  <c r="V110" i="22"/>
  <c r="AG92" i="28" l="1"/>
  <c r="X92" l="1"/>
  <c r="Y92" s="1"/>
  <c r="AM13"/>
  <c r="AL13" l="1"/>
  <c r="V13"/>
  <c r="X13" l="1"/>
  <c r="Y13" s="1"/>
  <c r="T13"/>
  <c r="AM16"/>
  <c r="AM38"/>
  <c r="AM19"/>
  <c r="AM22"/>
  <c r="AM23"/>
  <c r="AM11"/>
  <c r="AM32"/>
  <c r="AM20"/>
  <c r="AM30"/>
  <c r="AM36"/>
  <c r="AM37"/>
  <c r="AM35"/>
  <c r="AM26"/>
  <c r="AM31"/>
  <c r="AM29"/>
  <c r="AM25"/>
  <c r="AM34"/>
  <c r="AM24"/>
  <c r="AM17"/>
  <c r="AM21"/>
  <c r="AM18"/>
  <c r="AM39"/>
  <c r="AL35" l="1"/>
  <c r="AL36"/>
  <c r="AL11"/>
  <c r="AL39"/>
  <c r="AL26"/>
  <c r="AL25"/>
  <c r="AL31"/>
  <c r="AL18"/>
  <c r="AL34"/>
  <c r="AL17"/>
  <c r="AL38"/>
  <c r="AL20"/>
  <c r="AL29"/>
  <c r="AL30"/>
  <c r="AL21"/>
  <c r="AL16"/>
  <c r="AL19"/>
  <c r="AL22"/>
  <c r="AL32"/>
  <c r="AL24"/>
  <c r="AL23"/>
  <c r="AL37"/>
  <c r="AG94" l="1"/>
  <c r="X94" l="1"/>
  <c r="Y94" s="1"/>
  <c r="AG93"/>
  <c r="X93" l="1"/>
  <c r="Y93" s="1"/>
  <c r="AG98" l="1"/>
  <c r="X98" l="1"/>
  <c r="Y98" s="1"/>
  <c r="AG97" l="1"/>
  <c r="X97" l="1"/>
  <c r="Y97" s="1"/>
  <c r="AG96"/>
  <c r="X96" l="1"/>
  <c r="Y96" s="1"/>
  <c r="AG95"/>
  <c r="X95" l="1"/>
  <c r="Y95" s="1"/>
  <c r="V3" i="22"/>
  <c r="AG63"/>
  <c r="V63"/>
  <c r="X3" l="1"/>
  <c r="Y3" s="1"/>
  <c r="AD3"/>
  <c r="X63"/>
  <c r="Y63" s="1"/>
  <c r="N63"/>
  <c r="V7"/>
  <c r="AE3" l="1"/>
  <c r="AD7"/>
  <c r="X7"/>
  <c r="Y7" s="1"/>
  <c r="AE7" l="1"/>
  <c r="T24" i="28" l="1"/>
  <c r="AJ24"/>
  <c r="T17" l="1"/>
  <c r="AJ17"/>
  <c r="AG100" l="1"/>
  <c r="X100" l="1"/>
  <c r="Y100" s="1"/>
  <c r="AG99"/>
  <c r="X99" l="1"/>
  <c r="Y99" s="1"/>
  <c r="AG102" l="1"/>
  <c r="X102" l="1"/>
  <c r="Y102" s="1"/>
  <c r="AG101"/>
  <c r="X101" l="1"/>
  <c r="Y101" s="1"/>
  <c r="AG103" l="1"/>
  <c r="X103" l="1"/>
  <c r="Y103" s="1"/>
  <c r="V64" i="22" l="1"/>
  <c r="X64" l="1"/>
  <c r="Y64" s="1"/>
  <c r="AD64"/>
  <c r="AG104" i="28"/>
  <c r="AE64" i="22" l="1"/>
  <c r="X104" i="28"/>
  <c r="Y104" s="1"/>
  <c r="AG59" i="22" l="1"/>
  <c r="V59"/>
  <c r="X59" l="1"/>
  <c r="Y59" s="1"/>
  <c r="N59"/>
  <c r="T22" i="28" l="1"/>
  <c r="AJ22"/>
  <c r="AG106" l="1"/>
  <c r="X106" l="1"/>
  <c r="Y106" s="1"/>
  <c r="AG105" l="1"/>
  <c r="X105" l="1"/>
  <c r="Y105" s="1"/>
  <c r="AG67" i="22" l="1"/>
  <c r="V67"/>
  <c r="X67" l="1"/>
  <c r="Y67" s="1"/>
  <c r="N67"/>
  <c r="AJ50" i="28"/>
  <c r="AJ49"/>
  <c r="AJ48"/>
  <c r="AJ47"/>
  <c r="AJ46"/>
  <c r="AG71" i="22"/>
  <c r="V71"/>
  <c r="X71" l="1"/>
  <c r="Y71" s="1"/>
  <c r="N71"/>
  <c r="T26" i="28" l="1"/>
  <c r="AJ26"/>
  <c r="AG107" l="1"/>
  <c r="X107" l="1"/>
  <c r="Y107" s="1"/>
  <c r="AG108"/>
  <c r="X108" l="1"/>
  <c r="Y108" s="1"/>
  <c r="AG109"/>
  <c r="X109" l="1"/>
  <c r="Y109" s="1"/>
  <c r="V68" i="22" l="1"/>
  <c r="AG95"/>
  <c r="V95"/>
  <c r="X68" l="1"/>
  <c r="Y68" s="1"/>
  <c r="AD68"/>
  <c r="X95"/>
  <c r="Y95" s="1"/>
  <c r="N95"/>
  <c r="AG110" i="28"/>
  <c r="AE68" i="22" l="1"/>
  <c r="X110" i="28"/>
  <c r="Y110" s="1"/>
  <c r="AG114" l="1"/>
  <c r="X114" l="1"/>
  <c r="Y114" s="1"/>
  <c r="AG113"/>
  <c r="X113" l="1"/>
  <c r="Y113" s="1"/>
  <c r="AG112"/>
  <c r="X112" l="1"/>
  <c r="Y112" s="1"/>
  <c r="AG111"/>
  <c r="X111" l="1"/>
  <c r="Y111" s="1"/>
  <c r="AG115" l="1"/>
  <c r="X115" l="1"/>
  <c r="Y115" s="1"/>
  <c r="AG116" l="1"/>
  <c r="X116" l="1"/>
  <c r="Y116" s="1"/>
  <c r="AG118" l="1"/>
  <c r="X118" l="1"/>
  <c r="Y118" s="1"/>
  <c r="K15" i="21" l="1"/>
  <c r="L15" s="1"/>
  <c r="M14"/>
  <c r="M15" s="1"/>
  <c r="N14" l="1"/>
  <c r="N15" s="1"/>
  <c r="L14"/>
  <c r="AG117" i="28" l="1"/>
  <c r="X117" l="1"/>
  <c r="Y117" s="1"/>
  <c r="AG119" l="1"/>
  <c r="X119" l="1"/>
  <c r="Y119" s="1"/>
  <c r="AG120" l="1"/>
  <c r="X120" l="1"/>
  <c r="Y120" s="1"/>
  <c r="AG48" i="22" l="1"/>
  <c r="V48"/>
  <c r="X48" l="1"/>
  <c r="Y48" s="1"/>
  <c r="N48"/>
  <c r="AG47"/>
  <c r="V47"/>
  <c r="X47" l="1"/>
  <c r="Y47" s="1"/>
  <c r="N47"/>
  <c r="AG46"/>
  <c r="V46"/>
  <c r="X46" l="1"/>
  <c r="Y46" s="1"/>
  <c r="N46"/>
  <c r="AG45"/>
  <c r="V45"/>
  <c r="X45" l="1"/>
  <c r="Y45" s="1"/>
  <c r="N45"/>
  <c r="AG44"/>
  <c r="V44"/>
  <c r="X44" l="1"/>
  <c r="Y44" s="1"/>
  <c r="N44"/>
  <c r="AG43"/>
  <c r="V43"/>
  <c r="V49" l="1"/>
  <c r="X43"/>
  <c r="Y43" s="1"/>
  <c r="N43"/>
  <c r="X49" l="1"/>
  <c r="AD49"/>
  <c r="AE49" l="1"/>
  <c r="Y49"/>
  <c r="AG123" i="28" l="1"/>
  <c r="X123" l="1"/>
  <c r="Y123" s="1"/>
  <c r="AG121" l="1"/>
  <c r="X121" l="1"/>
  <c r="Y121" s="1"/>
  <c r="V10"/>
  <c r="T10" l="1"/>
  <c r="X10"/>
  <c r="Y10" s="1"/>
  <c r="AG128" l="1"/>
  <c r="X128" l="1"/>
  <c r="Y128" s="1"/>
  <c r="AG127" l="1"/>
  <c r="X127" l="1"/>
  <c r="Y127" s="1"/>
  <c r="AG126" l="1"/>
  <c r="X126" l="1"/>
  <c r="Y126" s="1"/>
  <c r="AG125"/>
  <c r="X125" l="1"/>
  <c r="Y125" s="1"/>
  <c r="AG124"/>
  <c r="X124" l="1"/>
  <c r="Y124" s="1"/>
  <c r="J28" i="21" l="1"/>
  <c r="I28"/>
  <c r="O28" s="1"/>
  <c r="K17"/>
  <c r="M17"/>
  <c r="N17" l="1"/>
  <c r="L17"/>
  <c r="V162" i="22" l="1"/>
  <c r="AG161"/>
  <c r="X161"/>
  <c r="Y161" s="1"/>
  <c r="N161"/>
  <c r="X162" l="1"/>
  <c r="Y162" s="1"/>
  <c r="AD162"/>
  <c r="AE162" l="1"/>
  <c r="AG129" i="28" l="1"/>
  <c r="X129" l="1"/>
  <c r="Y129" s="1"/>
  <c r="AG132" l="1"/>
  <c r="X132" l="1"/>
  <c r="Y132" s="1"/>
  <c r="AG122"/>
  <c r="X122" l="1"/>
  <c r="Y122" s="1"/>
  <c r="AG130"/>
  <c r="X130" l="1"/>
  <c r="Y130" s="1"/>
  <c r="AG134" l="1"/>
  <c r="X134" l="1"/>
  <c r="Y134" s="1"/>
  <c r="AG133"/>
  <c r="X133" l="1"/>
  <c r="Y133" s="1"/>
  <c r="AG131"/>
  <c r="X131" l="1"/>
  <c r="Y131" s="1"/>
  <c r="AG135" l="1"/>
  <c r="X135" l="1"/>
  <c r="Y135" s="1"/>
  <c r="AG138"/>
  <c r="X138" l="1"/>
  <c r="Y138" s="1"/>
  <c r="AG137" l="1"/>
  <c r="X137" l="1"/>
  <c r="Y137" s="1"/>
  <c r="AG126" i="22"/>
  <c r="V60"/>
  <c r="X60" l="1"/>
  <c r="Y60" s="1"/>
  <c r="AD60"/>
  <c r="AG81"/>
  <c r="V81"/>
  <c r="AE60" l="1"/>
  <c r="X81"/>
  <c r="Y81" s="1"/>
  <c r="N81"/>
  <c r="AG117" l="1"/>
  <c r="V117"/>
  <c r="X117" l="1"/>
  <c r="Y117" s="1"/>
  <c r="N117"/>
  <c r="AG116"/>
  <c r="V116"/>
  <c r="X116" l="1"/>
  <c r="Y116" s="1"/>
  <c r="N116"/>
  <c r="AG115"/>
  <c r="V115"/>
  <c r="X115" l="1"/>
  <c r="Y115" s="1"/>
  <c r="N115"/>
  <c r="AG114"/>
  <c r="V114"/>
  <c r="X114" l="1"/>
  <c r="Y114" s="1"/>
  <c r="N114"/>
  <c r="AG113"/>
  <c r="V113"/>
  <c r="X113" l="1"/>
  <c r="Y113" s="1"/>
  <c r="N113"/>
  <c r="AG112"/>
  <c r="V112"/>
  <c r="X112" l="1"/>
  <c r="Y112" s="1"/>
  <c r="N112"/>
  <c r="AG111"/>
  <c r="V111"/>
  <c r="X111" l="1"/>
  <c r="Y111" s="1"/>
  <c r="N111"/>
  <c r="AG110"/>
  <c r="V118" l="1"/>
  <c r="X110"/>
  <c r="Y110" s="1"/>
  <c r="N110"/>
  <c r="AD118" l="1"/>
  <c r="X118"/>
  <c r="T34" i="28" l="1"/>
  <c r="AE118" i="22"/>
  <c r="Y118"/>
  <c r="AJ34" i="28"/>
  <c r="T29" l="1"/>
  <c r="AJ29"/>
  <c r="AG136" l="1"/>
  <c r="X136" l="1"/>
  <c r="Y136" s="1"/>
  <c r="AG139" l="1"/>
  <c r="X139" l="1"/>
  <c r="Y139" s="1"/>
  <c r="AG142" l="1"/>
  <c r="X142" l="1"/>
  <c r="Y142" s="1"/>
  <c r="AG141"/>
  <c r="X141" l="1"/>
  <c r="Y141" s="1"/>
  <c r="AG140"/>
  <c r="X140" l="1"/>
  <c r="Y140" s="1"/>
  <c r="AG153" i="22"/>
  <c r="X153" l="1"/>
  <c r="Y153" s="1"/>
  <c r="N153"/>
  <c r="AG146" i="28" l="1"/>
  <c r="X146" l="1"/>
  <c r="Y146" s="1"/>
  <c r="AG145" l="1"/>
  <c r="X145" l="1"/>
  <c r="Y145" s="1"/>
  <c r="V126" i="22"/>
  <c r="X126" l="1"/>
  <c r="Y126" s="1"/>
  <c r="N126"/>
  <c r="AG148" i="28" l="1"/>
  <c r="X148" l="1"/>
  <c r="Y148" s="1"/>
  <c r="AG147"/>
  <c r="X147" l="1"/>
  <c r="Y147" s="1"/>
  <c r="AG144"/>
  <c r="X144" l="1"/>
  <c r="Y144" s="1"/>
  <c r="AG143"/>
  <c r="X143" l="1"/>
  <c r="Y143" s="1"/>
  <c r="AG52" i="22" l="1"/>
  <c r="V52"/>
  <c r="X52" l="1"/>
  <c r="Y52" s="1"/>
  <c r="N52"/>
  <c r="V172"/>
  <c r="AG168"/>
  <c r="X168"/>
  <c r="Y168" s="1"/>
  <c r="N168"/>
  <c r="AG167"/>
  <c r="X167"/>
  <c r="Y167" s="1"/>
  <c r="N167"/>
  <c r="AG166"/>
  <c r="X166"/>
  <c r="Y166" s="1"/>
  <c r="N166"/>
  <c r="AG165"/>
  <c r="X165"/>
  <c r="Y165" s="1"/>
  <c r="N165"/>
  <c r="AG149" i="28" l="1"/>
  <c r="X149" l="1"/>
  <c r="Y149" s="1"/>
  <c r="AG150"/>
  <c r="X150" l="1"/>
  <c r="Y150" s="1"/>
  <c r="AG151" l="1"/>
  <c r="X151" l="1"/>
  <c r="Y151" s="1"/>
  <c r="AG152"/>
  <c r="X152" l="1"/>
  <c r="Y152" s="1"/>
  <c r="AG153"/>
  <c r="X153" l="1"/>
  <c r="Y153" s="1"/>
  <c r="AG171" i="22" l="1"/>
  <c r="X171"/>
  <c r="Y171" s="1"/>
  <c r="N171"/>
  <c r="AG170"/>
  <c r="X170"/>
  <c r="Y170" s="1"/>
  <c r="N170"/>
  <c r="AG169"/>
  <c r="N169"/>
  <c r="AD172" l="1"/>
  <c r="X169"/>
  <c r="Y169" s="1"/>
  <c r="X172" l="1"/>
  <c r="Y172" s="1"/>
  <c r="AE172" l="1"/>
  <c r="K18" i="21" l="1"/>
  <c r="M18"/>
  <c r="K19"/>
  <c r="M19"/>
  <c r="L18" l="1"/>
  <c r="N18"/>
  <c r="N19"/>
  <c r="AG154" i="28" l="1"/>
  <c r="X154" l="1"/>
  <c r="Y154" s="1"/>
  <c r="L3" i="85" l="1"/>
  <c r="L4"/>
  <c r="L5"/>
  <c r="L6"/>
  <c r="L7"/>
  <c r="L8"/>
  <c r="L9"/>
  <c r="L10"/>
  <c r="L11"/>
  <c r="L12"/>
  <c r="L13"/>
  <c r="L14"/>
  <c r="L15"/>
  <c r="L16"/>
  <c r="L17"/>
  <c r="L18"/>
  <c r="L19"/>
  <c r="L20"/>
  <c r="L2"/>
  <c r="E11"/>
  <c r="E2"/>
  <c r="E4"/>
  <c r="E5"/>
  <c r="E6"/>
  <c r="E7"/>
  <c r="E8"/>
  <c r="E9"/>
  <c r="E10"/>
  <c r="E12"/>
  <c r="E13"/>
  <c r="E14"/>
  <c r="E15"/>
  <c r="E16"/>
  <c r="E17"/>
  <c r="E18"/>
  <c r="E19"/>
  <c r="E20"/>
  <c r="E21"/>
  <c r="E22"/>
  <c r="E23"/>
  <c r="E24"/>
  <c r="E25"/>
  <c r="E31"/>
  <c r="E26"/>
  <c r="E27"/>
  <c r="E28"/>
  <c r="E29"/>
  <c r="E30"/>
  <c r="E3"/>
  <c r="AG155" i="28" l="1"/>
  <c r="X155" l="1"/>
  <c r="Y155" s="1"/>
  <c r="AG159" l="1"/>
  <c r="X159" l="1"/>
  <c r="Y159" s="1"/>
  <c r="AG158"/>
  <c r="X158" l="1"/>
  <c r="Y158" s="1"/>
  <c r="AG157"/>
  <c r="X157" l="1"/>
  <c r="Y157" s="1"/>
  <c r="AG156"/>
  <c r="X156" l="1"/>
  <c r="Y156" s="1"/>
  <c r="AG160" l="1"/>
  <c r="X160" l="1"/>
  <c r="Y160" s="1"/>
  <c r="AG165" l="1"/>
  <c r="X165" l="1"/>
  <c r="Y165" s="1"/>
  <c r="AG163" l="1"/>
  <c r="X163" l="1"/>
  <c r="Y163" s="1"/>
  <c r="AG162"/>
  <c r="X162" l="1"/>
  <c r="Y162" s="1"/>
  <c r="AG161"/>
  <c r="X161" l="1"/>
  <c r="Y161" s="1"/>
  <c r="AG166" l="1"/>
  <c r="X166" l="1"/>
  <c r="Y166" s="1"/>
  <c r="AG164"/>
  <c r="X164" l="1"/>
  <c r="Y164" s="1"/>
  <c r="AG167" l="1"/>
  <c r="X167" l="1"/>
  <c r="Y167" s="1"/>
  <c r="AG170" l="1"/>
  <c r="X170" l="1"/>
  <c r="Y170" s="1"/>
  <c r="AG169"/>
  <c r="X169" l="1"/>
  <c r="Y169" s="1"/>
  <c r="AG168"/>
  <c r="X168" l="1"/>
  <c r="Y168" s="1"/>
  <c r="AG171" l="1"/>
  <c r="X171" l="1"/>
  <c r="Y171" s="1"/>
  <c r="AG172"/>
  <c r="X172" l="1"/>
  <c r="Y172" s="1"/>
  <c r="AG173" l="1"/>
  <c r="X173" l="1"/>
  <c r="Y173" s="1"/>
  <c r="AG174" l="1"/>
  <c r="X174" l="1"/>
  <c r="Y174" s="1"/>
  <c r="AG77" i="22" l="1"/>
  <c r="V77"/>
  <c r="X77" l="1"/>
  <c r="Y77" s="1"/>
  <c r="N77"/>
  <c r="AG76"/>
  <c r="V76"/>
  <c r="V78" l="1"/>
  <c r="X76"/>
  <c r="Y76" s="1"/>
  <c r="N76"/>
  <c r="X78" l="1"/>
  <c r="AD78"/>
  <c r="Y78" l="1"/>
  <c r="AE78"/>
  <c r="AG127"/>
  <c r="V127"/>
  <c r="X127" l="1"/>
  <c r="Y127" s="1"/>
  <c r="N127"/>
  <c r="AG125"/>
  <c r="V125"/>
  <c r="V128" l="1"/>
  <c r="X125"/>
  <c r="Y125" s="1"/>
  <c r="N125"/>
  <c r="AG55"/>
  <c r="V55"/>
  <c r="X128" l="1"/>
  <c r="AD128"/>
  <c r="X55"/>
  <c r="Y55" s="1"/>
  <c r="N55"/>
  <c r="AG54"/>
  <c r="V54"/>
  <c r="Y128" l="1"/>
  <c r="AE128"/>
  <c r="X54"/>
  <c r="Y54" s="1"/>
  <c r="N54"/>
  <c r="AG53"/>
  <c r="V53"/>
  <c r="V56" l="1"/>
  <c r="X53"/>
  <c r="Y53" s="1"/>
  <c r="N53"/>
  <c r="X56" l="1"/>
  <c r="AD56"/>
  <c r="Y56" l="1"/>
  <c r="AE56"/>
  <c r="AG175" i="28" l="1"/>
  <c r="X175" l="1"/>
  <c r="Y175" s="1"/>
  <c r="AG72" i="22" l="1"/>
  <c r="V72"/>
  <c r="V73" l="1"/>
  <c r="X72"/>
  <c r="Y72" s="1"/>
  <c r="N72"/>
  <c r="AD73" l="1"/>
  <c r="X73"/>
  <c r="AE73" l="1"/>
  <c r="Y73"/>
  <c r="AG176" i="28" l="1"/>
  <c r="X176" l="1"/>
  <c r="Y176" s="1"/>
  <c r="AG177"/>
  <c r="X177" l="1"/>
  <c r="Y177" s="1"/>
  <c r="AG178"/>
  <c r="X178" l="1"/>
  <c r="Y178" s="1"/>
  <c r="AG180"/>
  <c r="V181" i="22" l="1"/>
  <c r="AG175"/>
  <c r="X175" l="1"/>
  <c r="Y175" s="1"/>
  <c r="N175"/>
  <c r="T37" i="28" l="1"/>
  <c r="AJ37"/>
  <c r="T25" l="1"/>
  <c r="AJ25"/>
  <c r="T23" l="1"/>
  <c r="AJ23"/>
  <c r="AG154" i="22"/>
  <c r="X180" i="28" l="1"/>
  <c r="Y180" s="1"/>
  <c r="X154" i="22"/>
  <c r="Y154" s="1"/>
  <c r="N154"/>
  <c r="AG121"/>
  <c r="V121"/>
  <c r="X121" l="1"/>
  <c r="Y121" s="1"/>
  <c r="V122"/>
  <c r="N121"/>
  <c r="X122" l="1"/>
  <c r="AD122"/>
  <c r="AE122" l="1"/>
  <c r="Y122"/>
  <c r="AG181" i="28" l="1"/>
  <c r="X181" l="1"/>
  <c r="Y181" s="1"/>
  <c r="T36" l="1"/>
  <c r="AJ36"/>
  <c r="AG179" l="1"/>
  <c r="X179" l="1"/>
  <c r="Y179" s="1"/>
  <c r="AG183"/>
  <c r="X183" l="1"/>
  <c r="Y183" s="1"/>
  <c r="AG182"/>
  <c r="X182" l="1"/>
  <c r="Y182" s="1"/>
  <c r="N10" i="85"/>
  <c r="G22"/>
  <c r="G12"/>
  <c r="G6"/>
  <c r="G3"/>
  <c r="G5"/>
  <c r="N9"/>
  <c r="T3"/>
  <c r="G4"/>
  <c r="G9"/>
  <c r="N19"/>
  <c r="G24"/>
  <c r="N17"/>
  <c r="G19"/>
  <c r="G14"/>
  <c r="T7"/>
  <c r="N6"/>
  <c r="G13"/>
  <c r="G26"/>
  <c r="G8"/>
  <c r="N11"/>
  <c r="N7"/>
  <c r="T4"/>
  <c r="T2"/>
  <c r="T6"/>
  <c r="N20"/>
  <c r="G7"/>
  <c r="N15"/>
  <c r="G27"/>
  <c r="N4"/>
  <c r="N13"/>
  <c r="N18"/>
  <c r="G15"/>
  <c r="T9"/>
  <c r="N5"/>
  <c r="N16"/>
  <c r="G30"/>
  <c r="G16"/>
  <c r="N12"/>
  <c r="G23"/>
  <c r="N8"/>
  <c r="G17"/>
  <c r="G21"/>
  <c r="G18"/>
  <c r="G20"/>
  <c r="N14"/>
  <c r="N3"/>
  <c r="G10"/>
  <c r="G28"/>
  <c r="T10"/>
  <c r="G29"/>
  <c r="T5"/>
  <c r="G25"/>
  <c r="AG177" i="22" l="1"/>
  <c r="X177" l="1"/>
  <c r="Y177" s="1"/>
  <c r="N177"/>
  <c r="AG176"/>
  <c r="X176" l="1"/>
  <c r="Y176" s="1"/>
  <c r="N176"/>
  <c r="AG178" l="1"/>
  <c r="X178" l="1"/>
  <c r="Y178" s="1"/>
  <c r="N178"/>
  <c r="AG91" l="1"/>
  <c r="V91"/>
  <c r="X91" l="1"/>
  <c r="Y91" s="1"/>
  <c r="N91"/>
  <c r="AG90"/>
  <c r="V90"/>
  <c r="X90" l="1"/>
  <c r="Y90" s="1"/>
  <c r="N90"/>
  <c r="AG89"/>
  <c r="V89"/>
  <c r="V92" l="1"/>
  <c r="X89"/>
  <c r="Y89" s="1"/>
  <c r="N89"/>
  <c r="X92" l="1"/>
  <c r="AD92"/>
  <c r="AG29"/>
  <c r="V29"/>
  <c r="AE92" l="1"/>
  <c r="Y92"/>
  <c r="X29"/>
  <c r="Y29" s="1"/>
  <c r="N29"/>
  <c r="AG28"/>
  <c r="V28"/>
  <c r="X28" l="1"/>
  <c r="Y28" s="1"/>
  <c r="N28"/>
  <c r="AG27"/>
  <c r="V27"/>
  <c r="X27" l="1"/>
  <c r="Y27" s="1"/>
  <c r="N27"/>
  <c r="AG26"/>
  <c r="V26"/>
  <c r="V30" l="1"/>
  <c r="X26"/>
  <c r="Y26" s="1"/>
  <c r="N26"/>
  <c r="X30" l="1"/>
  <c r="AD30"/>
  <c r="AE30" l="1"/>
  <c r="Y30"/>
  <c r="T18" i="28" l="1"/>
  <c r="AJ18"/>
  <c r="AG184" l="1"/>
  <c r="X184" l="1"/>
  <c r="Y184" s="1"/>
  <c r="AG180" i="22" l="1"/>
  <c r="X180" l="1"/>
  <c r="Y180" s="1"/>
  <c r="N180"/>
  <c r="AG179"/>
  <c r="AD182" l="1"/>
  <c r="X179"/>
  <c r="Y179" s="1"/>
  <c r="N179"/>
  <c r="X181" l="1"/>
  <c r="AD181"/>
  <c r="AG106"/>
  <c r="V106"/>
  <c r="Y181" l="1"/>
  <c r="AE181"/>
  <c r="X106"/>
  <c r="Y106" s="1"/>
  <c r="N106"/>
  <c r="AG105"/>
  <c r="V105"/>
  <c r="X105" l="1"/>
  <c r="Y105" s="1"/>
  <c r="N105"/>
  <c r="AG104"/>
  <c r="V104"/>
  <c r="V107" l="1"/>
  <c r="X104"/>
  <c r="Y104" s="1"/>
  <c r="N104"/>
  <c r="AG15"/>
  <c r="V15"/>
  <c r="X107" l="1"/>
  <c r="AD107"/>
  <c r="X15"/>
  <c r="Y15" s="1"/>
  <c r="N15"/>
  <c r="AG14"/>
  <c r="V14"/>
  <c r="Y107" l="1"/>
  <c r="AE107"/>
  <c r="X14"/>
  <c r="Y14" s="1"/>
  <c r="N14"/>
  <c r="AG13"/>
  <c r="V13"/>
  <c r="X13" l="1"/>
  <c r="Y13" s="1"/>
  <c r="N13"/>
  <c r="AG12"/>
  <c r="V12"/>
  <c r="X12" l="1"/>
  <c r="Y12" s="1"/>
  <c r="N12"/>
  <c r="AG11"/>
  <c r="V11"/>
  <c r="X11" l="1"/>
  <c r="Y11" s="1"/>
  <c r="N11"/>
  <c r="AG10"/>
  <c r="V10"/>
  <c r="V16" l="1"/>
  <c r="X10"/>
  <c r="Y10" s="1"/>
  <c r="N10"/>
  <c r="X16" l="1"/>
  <c r="AD16"/>
  <c r="Y16" l="1"/>
  <c r="AE16"/>
  <c r="K20" i="21" l="1"/>
  <c r="M20"/>
  <c r="N20" l="1"/>
  <c r="L20"/>
  <c r="N157" i="22" l="1"/>
  <c r="N156"/>
  <c r="N152" l="1"/>
  <c r="N35"/>
  <c r="N34"/>
  <c r="N33"/>
  <c r="N39"/>
  <c r="N20"/>
  <c r="N21"/>
  <c r="N22"/>
  <c r="N19"/>
  <c r="N132"/>
  <c r="N131"/>
  <c r="N100"/>
  <c r="N99"/>
  <c r="N155"/>
  <c r="N83"/>
  <c r="N84"/>
  <c r="N85"/>
  <c r="N82"/>
  <c r="N137"/>
  <c r="N138"/>
  <c r="N139"/>
  <c r="N136"/>
  <c r="T30" i="28" l="1"/>
  <c r="AJ30"/>
  <c r="T39" l="1"/>
  <c r="AJ39"/>
  <c r="AG185" l="1"/>
  <c r="X185" l="1"/>
  <c r="Y185" s="1"/>
  <c r="AG152" i="22" l="1"/>
  <c r="X152" l="1"/>
  <c r="Y152" s="1"/>
  <c r="V99"/>
  <c r="X99" l="1"/>
  <c r="Y99" s="1"/>
  <c r="V132"/>
  <c r="X132" l="1"/>
  <c r="Y132" s="1"/>
  <c r="V131"/>
  <c r="V133" l="1"/>
  <c r="X131"/>
  <c r="Y131" s="1"/>
  <c r="T38" i="28" l="1"/>
  <c r="X133" i="22"/>
  <c r="AD133"/>
  <c r="AJ38" i="28"/>
  <c r="Y133" i="22" l="1"/>
  <c r="AE133"/>
  <c r="T35" i="28" l="1"/>
  <c r="AJ35"/>
  <c r="T32" l="1"/>
  <c r="AJ32"/>
  <c r="AG139" i="22" l="1"/>
  <c r="V139"/>
  <c r="X139" l="1"/>
  <c r="Y139" s="1"/>
  <c r="AG138"/>
  <c r="V138"/>
  <c r="X138" l="1"/>
  <c r="Y138" s="1"/>
  <c r="AG137"/>
  <c r="V137"/>
  <c r="X137" l="1"/>
  <c r="Y137" s="1"/>
  <c r="AG136"/>
  <c r="V136"/>
  <c r="V140" l="1"/>
  <c r="X136"/>
  <c r="Y136" s="1"/>
  <c r="V100"/>
  <c r="V101" l="1"/>
  <c r="X140"/>
  <c r="AD140"/>
  <c r="X100"/>
  <c r="Y100" s="1"/>
  <c r="AE140" l="1"/>
  <c r="Y140"/>
  <c r="X101"/>
  <c r="AD101"/>
  <c r="Y101" l="1"/>
  <c r="AE101"/>
  <c r="AG35" l="1"/>
  <c r="V35"/>
  <c r="X35" l="1"/>
  <c r="Y35" s="1"/>
  <c r="AG34"/>
  <c r="V34"/>
  <c r="X34" l="1"/>
  <c r="Y34" s="1"/>
  <c r="AG33"/>
  <c r="V33"/>
  <c r="V36" l="1"/>
  <c r="X33"/>
  <c r="Y33" s="1"/>
  <c r="AG39"/>
  <c r="V39"/>
  <c r="X36" l="1"/>
  <c r="AD36"/>
  <c r="X39"/>
  <c r="Y39" s="1"/>
  <c r="V40"/>
  <c r="AG22"/>
  <c r="V22"/>
  <c r="AE36" l="1"/>
  <c r="Y36"/>
  <c r="X40"/>
  <c r="AD40"/>
  <c r="X22"/>
  <c r="Y22" s="1"/>
  <c r="AG21"/>
  <c r="V21"/>
  <c r="AE40" l="1"/>
  <c r="Y40"/>
  <c r="X21"/>
  <c r="Y21" s="1"/>
  <c r="AG20"/>
  <c r="V20"/>
  <c r="X20" l="1"/>
  <c r="Y20" s="1"/>
  <c r="AG19"/>
  <c r="V19"/>
  <c r="V23" l="1"/>
  <c r="X19"/>
  <c r="Y19" s="1"/>
  <c r="T19" i="28" l="1"/>
  <c r="X23" i="22"/>
  <c r="AD23"/>
  <c r="AJ19" i="28"/>
  <c r="T20" l="1"/>
  <c r="Y23" i="22"/>
  <c r="AE23"/>
  <c r="AJ20" i="28"/>
  <c r="T16" l="1"/>
  <c r="AJ16"/>
  <c r="V11"/>
  <c r="X11" l="1"/>
  <c r="Y11" s="1"/>
  <c r="T11"/>
  <c r="AG155" i="22"/>
  <c r="X155" l="1"/>
  <c r="Y155" s="1"/>
  <c r="X158" l="1"/>
  <c r="AD158"/>
  <c r="Y158" l="1"/>
  <c r="AE158"/>
  <c r="V188" l="1"/>
  <c r="AD189" l="1"/>
  <c r="AG185"/>
  <c r="X185" l="1"/>
  <c r="Y185" s="1"/>
  <c r="N185"/>
  <c r="AG186" l="1"/>
  <c r="X186" l="1"/>
  <c r="Y186" s="1"/>
  <c r="N186"/>
  <c r="X188" l="1"/>
  <c r="Y188" s="1"/>
  <c r="AD188"/>
  <c r="AE188" l="1"/>
  <c r="AG187" l="1"/>
  <c r="X187"/>
  <c r="Y187" s="1"/>
  <c r="U187"/>
  <c r="N187"/>
  <c r="AG186" i="28" l="1"/>
  <c r="X186" l="1"/>
  <c r="Y186" s="1"/>
  <c r="K21" i="21" l="1"/>
  <c r="M21"/>
  <c r="N21" l="1"/>
  <c r="L21"/>
  <c r="V252" i="22"/>
  <c r="AG192"/>
  <c r="X192"/>
  <c r="Y192" s="1"/>
  <c r="N192"/>
  <c r="AG193"/>
  <c r="X193"/>
  <c r="Y193" s="1"/>
  <c r="N193"/>
  <c r="AG194"/>
  <c r="X194"/>
  <c r="Y194" s="1"/>
  <c r="N194"/>
  <c r="AG196" l="1"/>
  <c r="X196"/>
  <c r="Y196" s="1"/>
  <c r="U196"/>
  <c r="N196"/>
  <c r="AG195"/>
  <c r="X195"/>
  <c r="Y195" s="1"/>
  <c r="U195"/>
  <c r="N195"/>
  <c r="AG197" l="1"/>
  <c r="X197" l="1"/>
  <c r="Y197" s="1"/>
  <c r="N197"/>
  <c r="AG187" i="28" l="1"/>
  <c r="X187" l="1"/>
  <c r="Y187" s="1"/>
  <c r="AG198" i="22" l="1"/>
  <c r="X198" l="1"/>
  <c r="Y198" s="1"/>
  <c r="N198"/>
  <c r="T31" i="28" l="1"/>
  <c r="AJ31"/>
  <c r="AG199" i="22"/>
  <c r="X199" l="1"/>
  <c r="Y199" s="1"/>
  <c r="U199"/>
  <c r="N199"/>
  <c r="AG188" i="28" l="1"/>
  <c r="X188" l="1"/>
  <c r="Y188" s="1"/>
  <c r="AG189"/>
  <c r="X189" l="1"/>
  <c r="Y189" s="1"/>
  <c r="T21" l="1"/>
  <c r="AJ21"/>
  <c r="AJ40" s="1"/>
  <c r="AJ41" s="1"/>
  <c r="AG156" i="22" l="1"/>
  <c r="X156" l="1"/>
  <c r="Y156" s="1"/>
  <c r="M22" i="21" l="1"/>
  <c r="AG201" i="22"/>
  <c r="X201" l="1"/>
  <c r="Y201" s="1"/>
  <c r="N201"/>
  <c r="AG202"/>
  <c r="X202"/>
  <c r="Y202" s="1"/>
  <c r="N202"/>
  <c r="AG203"/>
  <c r="X203" l="1"/>
  <c r="Y203" s="1"/>
  <c r="N203"/>
  <c r="AD252"/>
  <c r="AG204"/>
  <c r="X204" l="1"/>
  <c r="Y204" s="1"/>
  <c r="N204"/>
  <c r="V96" l="1"/>
  <c r="AD96" s="1"/>
  <c r="X96" l="1"/>
  <c r="AE96" l="1"/>
  <c r="Y96"/>
  <c r="AD253" l="1"/>
  <c r="AG205" l="1"/>
  <c r="X205" l="1"/>
  <c r="Y205" s="1"/>
  <c r="N205"/>
  <c r="AG157"/>
  <c r="AG206"/>
  <c r="X206"/>
  <c r="Y206" s="1"/>
  <c r="N206"/>
  <c r="AG207" l="1"/>
  <c r="X207"/>
  <c r="Y207" s="1"/>
  <c r="N207"/>
  <c r="X157" l="1"/>
  <c r="Y157" s="1"/>
  <c r="AG208" l="1"/>
  <c r="X208"/>
  <c r="Y208" s="1"/>
  <c r="N208"/>
  <c r="AG209"/>
  <c r="X209"/>
  <c r="Y209" s="1"/>
  <c r="N209"/>
  <c r="AG212" l="1"/>
  <c r="X212"/>
  <c r="Y212" s="1"/>
  <c r="N212"/>
  <c r="AG215"/>
  <c r="X215"/>
  <c r="Y215" s="1"/>
  <c r="N215"/>
  <c r="AG214"/>
  <c r="X214"/>
  <c r="Y214" s="1"/>
  <c r="N214"/>
  <c r="AG213"/>
  <c r="X213"/>
  <c r="Y213" s="1"/>
  <c r="N213"/>
  <c r="AG216"/>
  <c r="X216"/>
  <c r="Y216" s="1"/>
  <c r="N216"/>
  <c r="AG218"/>
  <c r="X218"/>
  <c r="Y218" s="1"/>
  <c r="N218"/>
  <c r="AG217"/>
  <c r="X217"/>
  <c r="Y217" s="1"/>
  <c r="N217"/>
  <c r="AG219"/>
  <c r="X219"/>
  <c r="Y219" s="1"/>
  <c r="N219"/>
  <c r="AG200" l="1"/>
  <c r="X200" l="1"/>
  <c r="Y200" s="1"/>
  <c r="N200"/>
  <c r="AG220" l="1"/>
  <c r="X220"/>
  <c r="Y220" s="1"/>
  <c r="N220"/>
  <c r="AG222"/>
  <c r="X222"/>
  <c r="Y222" s="1"/>
  <c r="N222"/>
  <c r="AG221"/>
  <c r="X221"/>
  <c r="Y221" s="1"/>
  <c r="N221"/>
  <c r="AG211" l="1"/>
  <c r="AG210"/>
  <c r="X210" l="1"/>
  <c r="Y210" s="1"/>
  <c r="N210"/>
  <c r="X211" l="1"/>
  <c r="Y211" s="1"/>
  <c r="N211"/>
  <c r="AG225" l="1"/>
  <c r="X225"/>
  <c r="Y225" s="1"/>
  <c r="U225"/>
  <c r="N225"/>
  <c r="AG224"/>
  <c r="X224"/>
  <c r="Y224" s="1"/>
  <c r="U224"/>
  <c r="N224"/>
  <c r="AG223"/>
  <c r="X223"/>
  <c r="Y223" s="1"/>
  <c r="U223"/>
  <c r="N223"/>
  <c r="AG229" l="1"/>
  <c r="X229"/>
  <c r="Y229" s="1"/>
  <c r="N229"/>
  <c r="AG228"/>
  <c r="X228"/>
  <c r="Y228" s="1"/>
  <c r="N228"/>
  <c r="AG227"/>
  <c r="X227"/>
  <c r="Y227" s="1"/>
  <c r="N227"/>
  <c r="AG226"/>
  <c r="X226"/>
  <c r="Y226" s="1"/>
  <c r="N226"/>
  <c r="AG230" l="1"/>
  <c r="X230"/>
  <c r="Y230" s="1"/>
  <c r="U230"/>
  <c r="N230"/>
  <c r="AG232"/>
  <c r="X232"/>
  <c r="Y232" s="1"/>
  <c r="N232"/>
  <c r="AG231"/>
  <c r="X231"/>
  <c r="Y231" s="1"/>
  <c r="N231"/>
  <c r="AG234"/>
  <c r="X234"/>
  <c r="Y234" s="1"/>
  <c r="U234"/>
  <c r="N234"/>
  <c r="AG233"/>
  <c r="X233"/>
  <c r="Y233" s="1"/>
  <c r="U233"/>
  <c r="N233"/>
  <c r="AG238" l="1"/>
  <c r="X238"/>
  <c r="Y238" s="1"/>
  <c r="N238"/>
  <c r="AG237"/>
  <c r="X237"/>
  <c r="Y237" s="1"/>
  <c r="N237"/>
  <c r="AG236"/>
  <c r="X236"/>
  <c r="Y236" s="1"/>
  <c r="N236"/>
  <c r="AG235"/>
  <c r="X235"/>
  <c r="Y235" s="1"/>
  <c r="N235"/>
  <c r="AG241"/>
  <c r="X241"/>
  <c r="Y241" s="1"/>
  <c r="N241"/>
  <c r="AG240"/>
  <c r="X240"/>
  <c r="Y240" s="1"/>
  <c r="N240"/>
  <c r="AG239"/>
  <c r="X239"/>
  <c r="Y239" s="1"/>
  <c r="N239"/>
  <c r="AG244"/>
  <c r="X244"/>
  <c r="Y244" s="1"/>
  <c r="U244"/>
  <c r="N244"/>
  <c r="AG243"/>
  <c r="X243"/>
  <c r="Y243" s="1"/>
  <c r="U243"/>
  <c r="N243"/>
  <c r="AG242"/>
  <c r="X242"/>
  <c r="Y242" s="1"/>
  <c r="U242"/>
  <c r="N242"/>
  <c r="AG246"/>
  <c r="X246"/>
  <c r="Y246" s="1"/>
  <c r="N246"/>
  <c r="AG245"/>
  <c r="X245"/>
  <c r="Y245" s="1"/>
  <c r="N245"/>
  <c r="AG190" i="28" l="1"/>
  <c r="X190" l="1"/>
  <c r="Y190" s="1"/>
  <c r="X252" i="22" l="1"/>
  <c r="Y252" s="1"/>
  <c r="AE252" l="1"/>
  <c r="AG191" i="28" l="1"/>
  <c r="X191" l="1"/>
  <c r="Y191" s="1"/>
  <c r="AG192"/>
  <c r="X192" l="1"/>
  <c r="Y192" s="1"/>
  <c r="AG193"/>
  <c r="X193" l="1"/>
  <c r="Y193" s="1"/>
  <c r="AG247" i="22" l="1"/>
  <c r="X247" l="1"/>
  <c r="Y247" s="1"/>
  <c r="N247"/>
  <c r="K22" i="21" l="1"/>
  <c r="N22" l="1"/>
  <c r="L22"/>
  <c r="AG248" i="22" l="1"/>
  <c r="X248" l="1"/>
  <c r="N248"/>
  <c r="Y248" l="1"/>
  <c r="AG249" l="1"/>
  <c r="X249" l="1"/>
  <c r="N249"/>
  <c r="Y249" l="1"/>
  <c r="AG194" i="28" l="1"/>
  <c r="X194" l="1"/>
  <c r="Y194" s="1"/>
  <c r="AG195" l="1"/>
  <c r="X195" l="1"/>
  <c r="Y195" s="1"/>
  <c r="AG251" i="22" l="1"/>
  <c r="X251" l="1"/>
  <c r="Y251" s="1"/>
  <c r="N251"/>
  <c r="AG256" l="1"/>
  <c r="X256"/>
  <c r="Y256" s="1"/>
  <c r="U256"/>
  <c r="N256"/>
  <c r="AG250" l="1"/>
  <c r="N250"/>
  <c r="U250" l="1"/>
  <c r="X250"/>
  <c r="Y250" s="1"/>
  <c r="AG258" l="1"/>
  <c r="X258"/>
  <c r="Y258" s="1"/>
  <c r="U258"/>
  <c r="N258"/>
  <c r="AG257"/>
  <c r="X257"/>
  <c r="U257"/>
  <c r="N257"/>
  <c r="AG259"/>
  <c r="X259"/>
  <c r="Y259" s="1"/>
  <c r="U259"/>
  <c r="N259"/>
  <c r="Y257" l="1"/>
  <c r="AG263" l="1"/>
  <c r="X263" l="1"/>
  <c r="U263"/>
  <c r="N263"/>
  <c r="Y263" l="1"/>
  <c r="AG261"/>
  <c r="X261" l="1"/>
  <c r="U261"/>
  <c r="N261"/>
  <c r="Y261" l="1"/>
  <c r="AG270"/>
  <c r="X270"/>
  <c r="Y270" s="1"/>
  <c r="U270"/>
  <c r="N270"/>
  <c r="AG269"/>
  <c r="X269"/>
  <c r="Y269" s="1"/>
  <c r="U269"/>
  <c r="N269"/>
  <c r="AG268"/>
  <c r="U268"/>
  <c r="N268"/>
  <c r="AG267"/>
  <c r="X267"/>
  <c r="Y267" s="1"/>
  <c r="U267"/>
  <c r="N267"/>
  <c r="AG266"/>
  <c r="X266"/>
  <c r="Y266" s="1"/>
  <c r="U266"/>
  <c r="N266"/>
  <c r="X268" l="1"/>
  <c r="Y268" s="1"/>
  <c r="AG82" l="1"/>
  <c r="V82"/>
  <c r="X82" l="1"/>
  <c r="Y82" l="1"/>
  <c r="AG196" i="28" l="1"/>
  <c r="X196" l="1"/>
  <c r="Y196" s="1"/>
  <c r="AG197"/>
  <c r="X197" l="1"/>
  <c r="Y197" s="1"/>
  <c r="AG262" i="22" l="1"/>
  <c r="X262" l="1"/>
  <c r="U262"/>
  <c r="N262"/>
  <c r="Y262" l="1"/>
  <c r="AG275" l="1"/>
  <c r="X275" l="1"/>
  <c r="U275"/>
  <c r="N275"/>
  <c r="AG276"/>
  <c r="Y275" l="1"/>
  <c r="X276"/>
  <c r="Y276" s="1"/>
  <c r="U276"/>
  <c r="N276"/>
  <c r="AG280"/>
  <c r="X280"/>
  <c r="Y280" s="1"/>
  <c r="U280"/>
  <c r="N280"/>
  <c r="AG279"/>
  <c r="X279"/>
  <c r="Y279" s="1"/>
  <c r="U279"/>
  <c r="N279"/>
  <c r="AG281"/>
  <c r="X281"/>
  <c r="Y281" s="1"/>
  <c r="U281"/>
  <c r="N281"/>
  <c r="AG83" l="1"/>
  <c r="V83"/>
  <c r="X83" l="1"/>
  <c r="AG282"/>
  <c r="X282"/>
  <c r="Y282" s="1"/>
  <c r="U282"/>
  <c r="N282"/>
  <c r="Y83" l="1"/>
  <c r="AG285" l="1"/>
  <c r="X285"/>
  <c r="Y285" s="1"/>
  <c r="U285"/>
  <c r="N285"/>
  <c r="AG284"/>
  <c r="X284"/>
  <c r="Y284" s="1"/>
  <c r="U284"/>
  <c r="N284"/>
  <c r="AG283"/>
  <c r="X283"/>
  <c r="U283"/>
  <c r="N283"/>
  <c r="AG287"/>
  <c r="Y283" l="1"/>
  <c r="X287"/>
  <c r="Y287" s="1"/>
  <c r="U287"/>
  <c r="N287"/>
  <c r="AG286"/>
  <c r="X286" l="1"/>
  <c r="U286"/>
  <c r="N286"/>
  <c r="Y286" l="1"/>
  <c r="V296" l="1"/>
  <c r="V295"/>
  <c r="V294"/>
  <c r="V293"/>
  <c r="AG264"/>
  <c r="V317" l="1"/>
  <c r="X264"/>
  <c r="U264"/>
  <c r="N264"/>
  <c r="Y264" l="1"/>
  <c r="AG198" i="28" l="1"/>
  <c r="X198" l="1"/>
  <c r="Y198" s="1"/>
  <c r="AG84" i="22" l="1"/>
  <c r="V84"/>
  <c r="X84" l="1"/>
  <c r="AG297"/>
  <c r="X297"/>
  <c r="Y297" s="1"/>
  <c r="U297"/>
  <c r="N297"/>
  <c r="Y84" l="1"/>
  <c r="AG260" l="1"/>
  <c r="N260"/>
  <c r="AG278"/>
  <c r="N278"/>
  <c r="AG277"/>
  <c r="N277"/>
  <c r="AG274"/>
  <c r="N274"/>
  <c r="AG273"/>
  <c r="N273"/>
  <c r="AG272"/>
  <c r="N272"/>
  <c r="AG271"/>
  <c r="N271"/>
  <c r="AG296"/>
  <c r="N296"/>
  <c r="AG295"/>
  <c r="N295"/>
  <c r="AG294"/>
  <c r="N294"/>
  <c r="AG293"/>
  <c r="N293"/>
  <c r="AG292"/>
  <c r="N292"/>
  <c r="AG291"/>
  <c r="N291"/>
  <c r="AG290"/>
  <c r="N290"/>
  <c r="AG289"/>
  <c r="N289"/>
  <c r="AG288"/>
  <c r="N288"/>
  <c r="AG265"/>
  <c r="N265"/>
  <c r="AG85"/>
  <c r="V85"/>
  <c r="V86" l="1"/>
  <c r="AD318"/>
  <c r="U293"/>
  <c r="X293"/>
  <c r="Y293" s="1"/>
  <c r="U289"/>
  <c r="X289"/>
  <c r="Y289" s="1"/>
  <c r="U295"/>
  <c r="X295"/>
  <c r="Y295" s="1"/>
  <c r="X274"/>
  <c r="Y274" s="1"/>
  <c r="U274"/>
  <c r="U290"/>
  <c r="X290"/>
  <c r="Y290" s="1"/>
  <c r="X296"/>
  <c r="Y296" s="1"/>
  <c r="U296"/>
  <c r="U260"/>
  <c r="X260"/>
  <c r="U291"/>
  <c r="X291"/>
  <c r="Y291" s="1"/>
  <c r="U277"/>
  <c r="X277"/>
  <c r="X85"/>
  <c r="U265"/>
  <c r="X265"/>
  <c r="X292"/>
  <c r="Y292" s="1"/>
  <c r="U292"/>
  <c r="U271"/>
  <c r="X271"/>
  <c r="U278"/>
  <c r="X278"/>
  <c r="Y278" s="1"/>
  <c r="U272"/>
  <c r="X272"/>
  <c r="Y272" s="1"/>
  <c r="X288"/>
  <c r="U288"/>
  <c r="X294"/>
  <c r="Y294" s="1"/>
  <c r="U294"/>
  <c r="X273"/>
  <c r="Y273" s="1"/>
  <c r="U273"/>
  <c r="X86" l="1"/>
  <c r="AD86"/>
  <c r="Y260"/>
  <c r="Y271"/>
  <c r="Y277"/>
  <c r="Y85"/>
  <c r="Y288"/>
  <c r="Y265"/>
  <c r="AE86" l="1"/>
  <c r="Y86"/>
  <c r="AG316" l="1"/>
  <c r="X316"/>
  <c r="U316"/>
  <c r="N316"/>
  <c r="AG315"/>
  <c r="X315"/>
  <c r="Y315" s="1"/>
  <c r="U315"/>
  <c r="N315"/>
  <c r="AG314"/>
  <c r="X314"/>
  <c r="Y314" s="1"/>
  <c r="U314"/>
  <c r="N314"/>
  <c r="AG313"/>
  <c r="X313"/>
  <c r="Y313" s="1"/>
  <c r="U313"/>
  <c r="N313"/>
  <c r="AG312"/>
  <c r="X312"/>
  <c r="Y312" s="1"/>
  <c r="U312"/>
  <c r="N312"/>
  <c r="AG311"/>
  <c r="X311"/>
  <c r="Y311" s="1"/>
  <c r="U311"/>
  <c r="N311"/>
  <c r="AG310"/>
  <c r="X310"/>
  <c r="Y310" s="1"/>
  <c r="U310"/>
  <c r="N310"/>
  <c r="AG309"/>
  <c r="X309"/>
  <c r="Y309" s="1"/>
  <c r="U309"/>
  <c r="N309"/>
  <c r="AG308"/>
  <c r="X308"/>
  <c r="Y308" s="1"/>
  <c r="U308"/>
  <c r="N308"/>
  <c r="AG307"/>
  <c r="X307"/>
  <c r="Y307" s="1"/>
  <c r="U307"/>
  <c r="N307"/>
  <c r="AG306"/>
  <c r="X306"/>
  <c r="Y306" s="1"/>
  <c r="U306"/>
  <c r="N306"/>
  <c r="AG305"/>
  <c r="X305"/>
  <c r="Y305" s="1"/>
  <c r="U305"/>
  <c r="N305"/>
  <c r="AG304"/>
  <c r="X304"/>
  <c r="Y304" s="1"/>
  <c r="U304"/>
  <c r="N304"/>
  <c r="AG303"/>
  <c r="X303"/>
  <c r="Y303" s="1"/>
  <c r="U303"/>
  <c r="N303"/>
  <c r="AG302"/>
  <c r="X302"/>
  <c r="Y302" s="1"/>
  <c r="U302"/>
  <c r="N302"/>
  <c r="AG301"/>
  <c r="X301"/>
  <c r="Y301" s="1"/>
  <c r="U301"/>
  <c r="N301"/>
  <c r="AG300"/>
  <c r="X300"/>
  <c r="Y300" s="1"/>
  <c r="U300"/>
  <c r="N300"/>
  <c r="AG299"/>
  <c r="X299"/>
  <c r="Y299" s="1"/>
  <c r="U299"/>
  <c r="N299"/>
  <c r="AG298"/>
  <c r="X298"/>
  <c r="U298"/>
  <c r="N298"/>
  <c r="X317" l="1"/>
  <c r="Y317" s="1"/>
  <c r="Y316"/>
  <c r="AD317"/>
  <c r="Y298"/>
  <c r="AE317" l="1"/>
  <c r="K23" i="21" l="1"/>
  <c r="M23"/>
  <c r="N23" l="1"/>
  <c r="L23"/>
  <c r="AG346" i="22" l="1"/>
  <c r="X346"/>
  <c r="Y346" s="1"/>
  <c r="U346"/>
  <c r="N346"/>
  <c r="AG345"/>
  <c r="X345"/>
  <c r="Y345" s="1"/>
  <c r="U345"/>
  <c r="N345"/>
  <c r="AG344"/>
  <c r="X344"/>
  <c r="Y344" s="1"/>
  <c r="U344"/>
  <c r="N344"/>
  <c r="AG343"/>
  <c r="X343"/>
  <c r="Y343" s="1"/>
  <c r="U343"/>
  <c r="N343"/>
  <c r="AG342"/>
  <c r="X342"/>
  <c r="Y342" s="1"/>
  <c r="U342"/>
  <c r="N342"/>
  <c r="AG341"/>
  <c r="V341"/>
  <c r="U341" s="1"/>
  <c r="N341"/>
  <c r="AG340"/>
  <c r="V340"/>
  <c r="N340"/>
  <c r="AG339"/>
  <c r="X339"/>
  <c r="Y339" s="1"/>
  <c r="U339"/>
  <c r="N339"/>
  <c r="AG338"/>
  <c r="X338"/>
  <c r="Y338" s="1"/>
  <c r="U338"/>
  <c r="N338"/>
  <c r="AG337"/>
  <c r="X337"/>
  <c r="Y337" s="1"/>
  <c r="U337"/>
  <c r="N337"/>
  <c r="AG336"/>
  <c r="X336"/>
  <c r="Y336" s="1"/>
  <c r="U336"/>
  <c r="N336"/>
  <c r="AG335"/>
  <c r="X335"/>
  <c r="Y335" s="1"/>
  <c r="U335"/>
  <c r="N335"/>
  <c r="AG334"/>
  <c r="X334"/>
  <c r="Y334" s="1"/>
  <c r="U334"/>
  <c r="N334"/>
  <c r="AG333"/>
  <c r="X333"/>
  <c r="Y333" s="1"/>
  <c r="U333"/>
  <c r="N333"/>
  <c r="AG332"/>
  <c r="X332"/>
  <c r="Y332" s="1"/>
  <c r="U332"/>
  <c r="N332"/>
  <c r="AG331"/>
  <c r="X331"/>
  <c r="Y331" s="1"/>
  <c r="U331"/>
  <c r="N331"/>
  <c r="AG330"/>
  <c r="X330"/>
  <c r="Y330" s="1"/>
  <c r="U330"/>
  <c r="N330"/>
  <c r="AG329"/>
  <c r="X329"/>
  <c r="Y329" s="1"/>
  <c r="U329"/>
  <c r="N329"/>
  <c r="AG328"/>
  <c r="X328"/>
  <c r="Y328" s="1"/>
  <c r="U328"/>
  <c r="N328"/>
  <c r="AG327"/>
  <c r="X327"/>
  <c r="Y327" s="1"/>
  <c r="U327"/>
  <c r="N327"/>
  <c r="AG326"/>
  <c r="X326"/>
  <c r="Y326" s="1"/>
  <c r="U326"/>
  <c r="N326"/>
  <c r="AG325"/>
  <c r="X325"/>
  <c r="Y325" s="1"/>
  <c r="U325"/>
  <c r="N325"/>
  <c r="AG324"/>
  <c r="X324"/>
  <c r="Y324" s="1"/>
  <c r="U324"/>
  <c r="N324"/>
  <c r="AG323"/>
  <c r="X323"/>
  <c r="Y323" s="1"/>
  <c r="U323"/>
  <c r="N323"/>
  <c r="AG322"/>
  <c r="X322"/>
  <c r="Y322" s="1"/>
  <c r="U322"/>
  <c r="N322"/>
  <c r="AG321"/>
  <c r="X321"/>
  <c r="Y321" s="1"/>
  <c r="U321"/>
  <c r="N321"/>
  <c r="X341" l="1"/>
  <c r="Y341" s="1"/>
  <c r="V347"/>
  <c r="X340"/>
  <c r="Y340" s="1"/>
  <c r="U340"/>
  <c r="AD348" l="1"/>
  <c r="AD347"/>
  <c r="X347"/>
  <c r="AE347" l="1"/>
  <c r="Y347"/>
  <c r="AG199" i="28" l="1"/>
  <c r="X199" l="1"/>
  <c r="Y199" s="1"/>
  <c r="U199"/>
  <c r="AG205" l="1"/>
  <c r="AG64"/>
  <c r="M25" i="21" l="1"/>
  <c r="M26"/>
  <c r="M27"/>
  <c r="M24"/>
  <c r="M28" l="1"/>
  <c r="AG200" i="28"/>
  <c r="U205" l="1"/>
  <c r="X205"/>
  <c r="Y205" s="1"/>
  <c r="X200"/>
  <c r="Y200" s="1"/>
  <c r="U200"/>
  <c r="K24" i="21" l="1"/>
  <c r="K25"/>
  <c r="K26"/>
  <c r="C77"/>
  <c r="B77"/>
  <c r="D76"/>
  <c r="E76" s="1"/>
  <c r="D75"/>
  <c r="E75" s="1"/>
  <c r="D74"/>
  <c r="D73"/>
  <c r="E73" s="1"/>
  <c r="D72"/>
  <c r="E72" s="1"/>
  <c r="D71"/>
  <c r="E71" s="1"/>
  <c r="C68"/>
  <c r="B68"/>
  <c r="D67"/>
  <c r="E67" s="1"/>
  <c r="D68" l="1"/>
  <c r="E68" s="1"/>
  <c r="L26"/>
  <c r="N26"/>
  <c r="L25"/>
  <c r="N25"/>
  <c r="L24"/>
  <c r="N24"/>
  <c r="D77"/>
  <c r="E77" s="1"/>
  <c r="E74"/>
  <c r="AG201" i="28" l="1"/>
  <c r="X201" l="1"/>
  <c r="Y201" s="1"/>
  <c r="U201"/>
  <c r="AG202"/>
  <c r="X202" l="1"/>
  <c r="Y202" s="1"/>
  <c r="U202"/>
  <c r="AG203" l="1"/>
  <c r="X203" l="1"/>
  <c r="Y203" s="1"/>
  <c r="U203"/>
  <c r="AG204" l="1"/>
  <c r="X204" l="1"/>
  <c r="Y204" s="1"/>
  <c r="U204"/>
  <c r="AG206" l="1"/>
  <c r="X206" l="1"/>
  <c r="Y206" s="1"/>
  <c r="U206"/>
  <c r="AG207" l="1"/>
  <c r="X207" l="1"/>
  <c r="Y207" s="1"/>
  <c r="U207"/>
  <c r="V368" i="22" l="1"/>
  <c r="AG367"/>
  <c r="X367"/>
  <c r="Y367" s="1"/>
  <c r="U367"/>
  <c r="N367"/>
  <c r="AG366"/>
  <c r="X366"/>
  <c r="Y366" s="1"/>
  <c r="U366"/>
  <c r="N366"/>
  <c r="AG365"/>
  <c r="X365"/>
  <c r="Y365" s="1"/>
  <c r="U365"/>
  <c r="N365"/>
  <c r="AG364"/>
  <c r="X364"/>
  <c r="Y364" s="1"/>
  <c r="U364"/>
  <c r="N364"/>
  <c r="AG363"/>
  <c r="X363"/>
  <c r="Y363" s="1"/>
  <c r="U363"/>
  <c r="N363"/>
  <c r="AG362"/>
  <c r="X362"/>
  <c r="Y362" s="1"/>
  <c r="U362"/>
  <c r="N362"/>
  <c r="AG361"/>
  <c r="X361"/>
  <c r="Y361" s="1"/>
  <c r="U361"/>
  <c r="N361"/>
  <c r="AG360"/>
  <c r="X360"/>
  <c r="Y360" s="1"/>
  <c r="U360"/>
  <c r="N360"/>
  <c r="AG359"/>
  <c r="X359"/>
  <c r="Y359" s="1"/>
  <c r="U359"/>
  <c r="N359"/>
  <c r="AG358"/>
  <c r="X358"/>
  <c r="Y358" s="1"/>
  <c r="U358"/>
  <c r="N358"/>
  <c r="AG357"/>
  <c r="X357"/>
  <c r="Y357" s="1"/>
  <c r="U357"/>
  <c r="N357"/>
  <c r="AG356"/>
  <c r="X356"/>
  <c r="Y356" s="1"/>
  <c r="U356"/>
  <c r="N356"/>
  <c r="AG355"/>
  <c r="X355"/>
  <c r="Y355" s="1"/>
  <c r="U355"/>
  <c r="N355"/>
  <c r="AG354"/>
  <c r="X354"/>
  <c r="Y354" s="1"/>
  <c r="U354"/>
  <c r="N354"/>
  <c r="AG353"/>
  <c r="X353"/>
  <c r="Y353" s="1"/>
  <c r="U353"/>
  <c r="N353"/>
  <c r="AG352"/>
  <c r="X352"/>
  <c r="Y352" s="1"/>
  <c r="U352"/>
  <c r="N352"/>
  <c r="AG351"/>
  <c r="X351"/>
  <c r="Y351" s="1"/>
  <c r="U351"/>
  <c r="N351"/>
  <c r="X368" l="1"/>
  <c r="AD368"/>
  <c r="AD369" l="1"/>
  <c r="AE368"/>
  <c r="Y368"/>
  <c r="AG208" i="28" l="1"/>
  <c r="X208" l="1"/>
  <c r="Y208" s="1"/>
  <c r="U208"/>
  <c r="U213" l="1"/>
  <c r="V393" i="22" l="1"/>
  <c r="AG392"/>
  <c r="X392"/>
  <c r="Y392" s="1"/>
  <c r="U392"/>
  <c r="N392"/>
  <c r="AG391"/>
  <c r="X391"/>
  <c r="Y391" s="1"/>
  <c r="U391"/>
  <c r="N391"/>
  <c r="AG390"/>
  <c r="X390"/>
  <c r="Y390" s="1"/>
  <c r="U390"/>
  <c r="N390"/>
  <c r="AG389"/>
  <c r="X389"/>
  <c r="Y389" s="1"/>
  <c r="U389"/>
  <c r="N389"/>
  <c r="AG388"/>
  <c r="X388"/>
  <c r="Y388" s="1"/>
  <c r="U388"/>
  <c r="N388"/>
  <c r="AG387"/>
  <c r="X387"/>
  <c r="Y387" s="1"/>
  <c r="U387"/>
  <c r="N387"/>
  <c r="AG386"/>
  <c r="X386"/>
  <c r="Y386" s="1"/>
  <c r="U386"/>
  <c r="N386"/>
  <c r="AG385"/>
  <c r="X385"/>
  <c r="Y385" s="1"/>
  <c r="U385"/>
  <c r="N385"/>
  <c r="AG384"/>
  <c r="X384"/>
  <c r="Y384" s="1"/>
  <c r="U384"/>
  <c r="N384"/>
  <c r="AG383"/>
  <c r="X383"/>
  <c r="Y383" s="1"/>
  <c r="U383"/>
  <c r="N383"/>
  <c r="AG382"/>
  <c r="X382"/>
  <c r="Y382" s="1"/>
  <c r="U382"/>
  <c r="N382"/>
  <c r="AG381"/>
  <c r="X381"/>
  <c r="Y381" s="1"/>
  <c r="U381"/>
  <c r="N381"/>
  <c r="AG380"/>
  <c r="X380"/>
  <c r="Y380" s="1"/>
  <c r="U380"/>
  <c r="N380"/>
  <c r="AG379"/>
  <c r="X379"/>
  <c r="Y379" s="1"/>
  <c r="U379"/>
  <c r="N379"/>
  <c r="AG378"/>
  <c r="X378"/>
  <c r="Y378" s="1"/>
  <c r="U378"/>
  <c r="N378"/>
  <c r="AG377"/>
  <c r="X377"/>
  <c r="Y377" s="1"/>
  <c r="U377"/>
  <c r="N377"/>
  <c r="AG376"/>
  <c r="X376"/>
  <c r="Y376" s="1"/>
  <c r="U376"/>
  <c r="N376"/>
  <c r="AG375"/>
  <c r="X375"/>
  <c r="Y375" s="1"/>
  <c r="U375"/>
  <c r="N375"/>
  <c r="AG374"/>
  <c r="X374"/>
  <c r="Y374" s="1"/>
  <c r="U374"/>
  <c r="N374"/>
  <c r="AG373"/>
  <c r="X373"/>
  <c r="Y373" s="1"/>
  <c r="U373"/>
  <c r="N373"/>
  <c r="AG372"/>
  <c r="X372"/>
  <c r="Y372" s="1"/>
  <c r="U372"/>
  <c r="N372"/>
  <c r="AD393" l="1"/>
  <c r="X393"/>
  <c r="Y393" s="1"/>
  <c r="AE393" l="1"/>
  <c r="AG209" i="28" l="1"/>
  <c r="X209" l="1"/>
  <c r="Y209" s="1"/>
  <c r="U209"/>
  <c r="AG210"/>
  <c r="X210" l="1"/>
  <c r="Y210" s="1"/>
  <c r="U210"/>
  <c r="AG211"/>
  <c r="X211" l="1"/>
  <c r="Y211" s="1"/>
  <c r="U211"/>
  <c r="AG212" l="1"/>
  <c r="X212" l="1"/>
  <c r="Y212" s="1"/>
  <c r="U212"/>
  <c r="AG214"/>
  <c r="X214" l="1"/>
  <c r="Y214" s="1"/>
  <c r="U214"/>
  <c r="AG213" l="1"/>
  <c r="X213" l="1"/>
  <c r="Y213" s="1"/>
  <c r="AG215" l="1"/>
  <c r="X215" l="1"/>
  <c r="Y215" s="1"/>
  <c r="U215"/>
  <c r="AG217" l="1"/>
  <c r="X217" l="1"/>
  <c r="Y217" s="1"/>
  <c r="U217"/>
  <c r="AG216" l="1"/>
  <c r="X216" l="1"/>
  <c r="Y216" s="1"/>
  <c r="U216"/>
  <c r="AG218" l="1"/>
  <c r="X218" l="1"/>
  <c r="Y218" s="1"/>
  <c r="U218"/>
  <c r="AG219" l="1"/>
  <c r="X219" l="1"/>
  <c r="Y219" s="1"/>
  <c r="U219"/>
  <c r="AG220" l="1"/>
  <c r="X220" l="1"/>
  <c r="Y220" s="1"/>
  <c r="U220"/>
  <c r="AG221"/>
  <c r="X221" l="1"/>
  <c r="Y221" s="1"/>
  <c r="U221"/>
  <c r="AG222"/>
  <c r="X222" l="1"/>
  <c r="Y222" s="1"/>
  <c r="U222"/>
  <c r="AG223"/>
  <c r="X223" l="1"/>
  <c r="Y223" s="1"/>
  <c r="U223"/>
  <c r="K27" i="21" l="1"/>
  <c r="K28" s="1"/>
  <c r="L27" l="1"/>
  <c r="N27"/>
  <c r="N28" s="1"/>
  <c r="L28" l="1"/>
  <c r="V399" i="22" l="1"/>
  <c r="AG398"/>
  <c r="X398"/>
  <c r="Y398" s="1"/>
  <c r="U398"/>
  <c r="N398"/>
  <c r="AG397"/>
  <c r="X397"/>
  <c r="Y397" s="1"/>
  <c r="U397"/>
  <c r="N397"/>
  <c r="AG396"/>
  <c r="X396"/>
  <c r="Y396" s="1"/>
  <c r="U396"/>
  <c r="N396"/>
  <c r="AD399" l="1"/>
  <c r="X399"/>
  <c r="Y399" s="1"/>
  <c r="AE399" l="1"/>
  <c r="X234" i="28" l="1"/>
  <c r="Y234" s="1"/>
  <c r="AG234"/>
  <c r="AG224" l="1"/>
  <c r="X224" l="1"/>
  <c r="Y224" s="1"/>
  <c r="U224"/>
  <c r="AG225" l="1"/>
  <c r="X225" l="1"/>
  <c r="Y225" s="1"/>
  <c r="U225"/>
  <c r="AG226" l="1"/>
  <c r="X226" l="1"/>
  <c r="Y226" s="1"/>
  <c r="U226"/>
  <c r="AG227" l="1"/>
  <c r="X227" l="1"/>
  <c r="Y227" s="1"/>
  <c r="U227"/>
  <c r="AG230" l="1"/>
  <c r="X230" l="1"/>
  <c r="Y230" s="1"/>
  <c r="U230"/>
  <c r="AG229" l="1"/>
  <c r="X229" l="1"/>
  <c r="Y229" s="1"/>
  <c r="U229"/>
  <c r="AG228"/>
  <c r="X228" l="1"/>
  <c r="Y228" s="1"/>
  <c r="U228"/>
  <c r="AG235" l="1"/>
  <c r="X235" l="1"/>
  <c r="Y235" s="1"/>
  <c r="U235"/>
  <c r="U234" l="1"/>
  <c r="AG231" l="1"/>
  <c r="X231" l="1"/>
  <c r="Y231" s="1"/>
  <c r="U231"/>
  <c r="AG239" l="1"/>
  <c r="X239" l="1"/>
  <c r="Y239" s="1"/>
  <c r="U239"/>
  <c r="AG233" l="1"/>
  <c r="X233" l="1"/>
  <c r="Y233" s="1"/>
  <c r="U233"/>
  <c r="AG232"/>
  <c r="X232" l="1"/>
  <c r="Y232" s="1"/>
  <c r="U232"/>
  <c r="AG236" l="1"/>
  <c r="X236" l="1"/>
  <c r="Y236" s="1"/>
  <c r="U236"/>
  <c r="AG237"/>
  <c r="X237" l="1"/>
  <c r="Y237" s="1"/>
  <c r="U237"/>
  <c r="AG238"/>
  <c r="X238" l="1"/>
  <c r="Y238" s="1"/>
  <c r="U238"/>
  <c r="AG240"/>
  <c r="X240" l="1"/>
  <c r="Y240" s="1"/>
  <c r="U240"/>
  <c r="AG241"/>
  <c r="X241" l="1"/>
  <c r="Y241" s="1"/>
  <c r="U241"/>
  <c r="AG242"/>
  <c r="X242" l="1"/>
  <c r="Y242" s="1"/>
  <c r="U242"/>
  <c r="AG244" l="1"/>
  <c r="X244" l="1"/>
  <c r="Y244" s="1"/>
  <c r="U244"/>
  <c r="AG243" l="1"/>
  <c r="X243" l="1"/>
  <c r="Y243" s="1"/>
  <c r="U243"/>
  <c r="AG246" l="1"/>
  <c r="X246" l="1"/>
  <c r="Y246" s="1"/>
  <c r="U246"/>
  <c r="AG245" l="1"/>
  <c r="X245" l="1"/>
  <c r="Y245" s="1"/>
  <c r="U245"/>
  <c r="U260"/>
  <c r="AG250" l="1"/>
  <c r="X250" l="1"/>
  <c r="Y250" s="1"/>
  <c r="U250"/>
  <c r="AG248" l="1"/>
  <c r="X248" l="1"/>
  <c r="Y248" s="1"/>
  <c r="U248"/>
  <c r="AG247" l="1"/>
  <c r="X247" l="1"/>
  <c r="Y247" s="1"/>
  <c r="U247"/>
  <c r="AG252" l="1"/>
  <c r="X252" l="1"/>
  <c r="Y252" s="1"/>
  <c r="U252"/>
  <c r="AG249" l="1"/>
  <c r="X249" l="1"/>
  <c r="Y249" s="1"/>
  <c r="U249"/>
  <c r="AG251" l="1"/>
  <c r="X251" l="1"/>
  <c r="Y251" s="1"/>
  <c r="U251"/>
  <c r="AG253" l="1"/>
  <c r="X253" l="1"/>
  <c r="Y253" s="1"/>
  <c r="U253"/>
  <c r="AG254" l="1"/>
  <c r="X254" l="1"/>
  <c r="Y254" s="1"/>
  <c r="U254"/>
  <c r="AG255"/>
  <c r="X255" l="1"/>
  <c r="Y255" s="1"/>
  <c r="U255"/>
  <c r="AG256" l="1"/>
  <c r="X256" l="1"/>
  <c r="Y256" s="1"/>
  <c r="U256"/>
  <c r="AG257" l="1"/>
  <c r="X257" l="1"/>
  <c r="Y257" s="1"/>
  <c r="U257"/>
  <c r="AG258" l="1"/>
  <c r="X258" l="1"/>
  <c r="Y258" s="1"/>
  <c r="U258"/>
  <c r="AG259"/>
  <c r="X259" l="1"/>
  <c r="Y259" s="1"/>
  <c r="U259"/>
  <c r="AG260"/>
  <c r="X260" l="1"/>
  <c r="Y260" s="1"/>
  <c r="AG261"/>
  <c r="X261" l="1"/>
  <c r="Y261" s="1"/>
  <c r="U261"/>
  <c r="X267" l="1"/>
  <c r="Y267" s="1"/>
  <c r="AG267"/>
  <c r="AG262" l="1"/>
  <c r="X262" l="1"/>
  <c r="Y262" s="1"/>
  <c r="U262"/>
  <c r="AG263" l="1"/>
  <c r="X263" l="1"/>
  <c r="Y263" s="1"/>
  <c r="U263"/>
  <c r="AG264" l="1"/>
  <c r="X264" l="1"/>
  <c r="Y264" s="1"/>
  <c r="U264"/>
  <c r="AG265" l="1"/>
  <c r="X265" l="1"/>
  <c r="Y265" s="1"/>
  <c r="U265"/>
  <c r="U275" l="1"/>
  <c r="AG266"/>
  <c r="X266" l="1"/>
  <c r="Y266" s="1"/>
  <c r="U266"/>
  <c r="U267" l="1"/>
  <c r="AG268" l="1"/>
  <c r="X268" l="1"/>
  <c r="Y268" s="1"/>
  <c r="U268"/>
  <c r="AG269" l="1"/>
  <c r="X269" l="1"/>
  <c r="Y269" s="1"/>
  <c r="U269"/>
  <c r="AG270"/>
  <c r="X270" l="1"/>
  <c r="Y270" s="1"/>
  <c r="U270"/>
  <c r="AG271" l="1"/>
  <c r="X271" l="1"/>
  <c r="Y271" s="1"/>
  <c r="U271"/>
  <c r="AG272" l="1"/>
  <c r="X272" l="1"/>
  <c r="Y272" s="1"/>
  <c r="U272"/>
  <c r="AG274"/>
  <c r="X274" l="1"/>
  <c r="Y274" s="1"/>
  <c r="U274"/>
  <c r="AG273" l="1"/>
  <c r="X273" l="1"/>
  <c r="Y273" s="1"/>
  <c r="U273"/>
  <c r="AG275" l="1"/>
  <c r="X275" l="1"/>
  <c r="Y275" s="1"/>
  <c r="AG276" l="1"/>
  <c r="X276" l="1"/>
  <c r="Y276" s="1"/>
  <c r="U276"/>
  <c r="AG277" l="1"/>
  <c r="X277" l="1"/>
  <c r="Y277" s="1"/>
  <c r="U277"/>
  <c r="AG278" l="1"/>
  <c r="X278" l="1"/>
  <c r="Y278" s="1"/>
  <c r="U278"/>
  <c r="AG279" l="1"/>
  <c r="X279" l="1"/>
  <c r="Y279" s="1"/>
  <c r="U279"/>
  <c r="AG280" l="1"/>
  <c r="X280" l="1"/>
  <c r="Y280" s="1"/>
  <c r="U280"/>
  <c r="AG283" l="1"/>
  <c r="X283" l="1"/>
  <c r="Y283" s="1"/>
  <c r="U283"/>
  <c r="AG284" l="1"/>
  <c r="X284" l="1"/>
  <c r="Y284" s="1"/>
  <c r="U284"/>
  <c r="AG281"/>
  <c r="AG282"/>
  <c r="U281" l="1"/>
  <c r="X281"/>
  <c r="Y281" s="1"/>
  <c r="U282"/>
  <c r="X282"/>
  <c r="Y282" s="1"/>
  <c r="AG288" l="1"/>
  <c r="X288" l="1"/>
  <c r="Y288" s="1"/>
  <c r="U288"/>
  <c r="AG285" l="1"/>
  <c r="U285" l="1"/>
  <c r="X285"/>
  <c r="Y285" s="1"/>
  <c r="AG286"/>
  <c r="X286" l="1"/>
  <c r="Y286" s="1"/>
  <c r="U286"/>
  <c r="AG287" l="1"/>
  <c r="X287" l="1"/>
  <c r="Y287" s="1"/>
  <c r="U287"/>
  <c r="AG293" l="1"/>
  <c r="X293"/>
  <c r="Y293" s="1"/>
  <c r="U293"/>
  <c r="AG292"/>
  <c r="X292"/>
  <c r="Y292" s="1"/>
  <c r="U292"/>
  <c r="AG291"/>
  <c r="X291"/>
  <c r="Y291" s="1"/>
  <c r="U291"/>
  <c r="AG289" l="1"/>
  <c r="X289" l="1"/>
  <c r="Y289" s="1"/>
  <c r="U289"/>
  <c r="AG290" l="1"/>
  <c r="X290" l="1"/>
  <c r="Y290" s="1"/>
  <c r="U290"/>
  <c r="AG294" l="1"/>
  <c r="X294" l="1"/>
  <c r="Y294" s="1"/>
  <c r="U294"/>
  <c r="AG295" l="1"/>
  <c r="X295" l="1"/>
  <c r="Y295" s="1"/>
  <c r="U295"/>
  <c r="AG297"/>
  <c r="X297" l="1"/>
  <c r="Y297" s="1"/>
  <c r="U297"/>
  <c r="AG296" l="1"/>
  <c r="U296" l="1"/>
  <c r="X296"/>
  <c r="Y296" s="1"/>
  <c r="AG298" l="1"/>
  <c r="X298" l="1"/>
  <c r="Y298" s="1"/>
  <c r="U298"/>
  <c r="AG299" l="1"/>
  <c r="X299" l="1"/>
  <c r="Y299" s="1"/>
  <c r="U299"/>
  <c r="AG301" l="1"/>
  <c r="X301" l="1"/>
  <c r="Y301" s="1"/>
  <c r="U301"/>
  <c r="AG300" l="1"/>
  <c r="X300" l="1"/>
  <c r="Y300" s="1"/>
  <c r="U300"/>
  <c r="AG302" l="1"/>
  <c r="AG303"/>
  <c r="AG304"/>
  <c r="U302" l="1"/>
  <c r="X302"/>
  <c r="Y302" s="1"/>
  <c r="U303"/>
  <c r="X303"/>
  <c r="Y303" s="1"/>
  <c r="U304"/>
  <c r="X304"/>
  <c r="Y304" s="1"/>
  <c r="AG305" l="1"/>
  <c r="X305" l="1"/>
  <c r="Y305" s="1"/>
  <c r="U305"/>
  <c r="AG306" l="1"/>
  <c r="X306" l="1"/>
  <c r="Y306" s="1"/>
  <c r="U306"/>
  <c r="AG307" l="1"/>
  <c r="X307" l="1"/>
  <c r="Y307" s="1"/>
  <c r="U307"/>
  <c r="U310" l="1"/>
  <c r="X308"/>
  <c r="Y308" s="1"/>
  <c r="U308"/>
  <c r="AG308"/>
  <c r="AG309" l="1"/>
  <c r="X309" l="1"/>
  <c r="Y309" s="1"/>
  <c r="U309"/>
  <c r="AG310"/>
  <c r="X310" l="1"/>
  <c r="Y310" s="1"/>
  <c r="AG311"/>
  <c r="X311" l="1"/>
  <c r="Y311" s="1"/>
  <c r="U311"/>
  <c r="AG312" l="1"/>
  <c r="X312" l="1"/>
  <c r="Y312" s="1"/>
  <c r="U312"/>
  <c r="AG313"/>
  <c r="X313" l="1"/>
  <c r="Y313" s="1"/>
  <c r="U313"/>
  <c r="AG314" l="1"/>
  <c r="X314" l="1"/>
  <c r="Y314" s="1"/>
  <c r="U314"/>
  <c r="V413" i="22" l="1"/>
  <c r="X413" l="1"/>
  <c r="Y413" s="1"/>
  <c r="AG403" l="1"/>
  <c r="X403" l="1"/>
  <c r="Y403" s="1"/>
  <c r="U403"/>
  <c r="N403"/>
  <c r="AG402" l="1"/>
  <c r="X402" l="1"/>
  <c r="Y402" s="1"/>
  <c r="U402"/>
  <c r="N402"/>
  <c r="AG412"/>
  <c r="X412" l="1"/>
  <c r="Y412" s="1"/>
  <c r="U412"/>
  <c r="N412"/>
  <c r="AG315" i="28" l="1"/>
  <c r="X315" l="1"/>
  <c r="Y315" s="1"/>
  <c r="U315"/>
  <c r="X563" i="22" l="1"/>
  <c r="U563"/>
  <c r="N563"/>
  <c r="AG562"/>
  <c r="X562" l="1"/>
  <c r="Y562" s="1"/>
  <c r="U562" l="1"/>
  <c r="N562"/>
  <c r="AG561" l="1"/>
  <c r="X561"/>
  <c r="Y561" l="1"/>
  <c r="U561"/>
  <c r="N561"/>
  <c r="AG560"/>
  <c r="X560"/>
  <c r="U560"/>
  <c r="N560"/>
  <c r="AG559"/>
  <c r="Y560" l="1"/>
  <c r="X559"/>
  <c r="Y559" s="1"/>
  <c r="U559" l="1"/>
  <c r="N559"/>
  <c r="AG558"/>
  <c r="X558" l="1"/>
  <c r="Y558" s="1"/>
  <c r="U558"/>
  <c r="N558"/>
  <c r="AG557"/>
  <c r="X557" l="1"/>
  <c r="X564" s="1"/>
  <c r="Y563" s="1"/>
  <c r="U557"/>
  <c r="Y557" l="1"/>
  <c r="N557"/>
  <c r="V555" l="1"/>
  <c r="AG554"/>
  <c r="X554" l="1"/>
  <c r="Y554" s="1"/>
  <c r="U554"/>
  <c r="N554"/>
  <c r="AG553"/>
  <c r="X553" l="1"/>
  <c r="Y553" s="1"/>
  <c r="U553"/>
  <c r="N553"/>
  <c r="AG552"/>
  <c r="X552"/>
  <c r="Y552" s="1"/>
  <c r="U552"/>
  <c r="N552"/>
  <c r="AG551"/>
  <c r="X551"/>
  <c r="U551"/>
  <c r="N551"/>
  <c r="AG550"/>
  <c r="Y551" l="1"/>
  <c r="X550"/>
  <c r="Y550" s="1"/>
  <c r="U550"/>
  <c r="N550"/>
  <c r="AG549"/>
  <c r="X549"/>
  <c r="Y549" s="1"/>
  <c r="U549"/>
  <c r="N549"/>
  <c r="AG548"/>
  <c r="X548"/>
  <c r="U548"/>
  <c r="N548"/>
  <c r="V546"/>
  <c r="AG545"/>
  <c r="X545"/>
  <c r="Y545" s="1"/>
  <c r="U545"/>
  <c r="N545"/>
  <c r="AG544"/>
  <c r="Y548" l="1"/>
  <c r="X555"/>
  <c r="X544"/>
  <c r="Y544" s="1"/>
  <c r="U544"/>
  <c r="N544"/>
  <c r="AG543"/>
  <c r="Y555" l="1"/>
  <c r="X543"/>
  <c r="Y543" s="1"/>
  <c r="U543"/>
  <c r="N543"/>
  <c r="V541" l="1"/>
  <c r="AG540"/>
  <c r="X540" l="1"/>
  <c r="Y540" s="1"/>
  <c r="U540"/>
  <c r="N540"/>
  <c r="AG539"/>
  <c r="X539" l="1"/>
  <c r="U539"/>
  <c r="N539"/>
  <c r="V537"/>
  <c r="AG536"/>
  <c r="X536"/>
  <c r="U536"/>
  <c r="N536"/>
  <c r="AG535"/>
  <c r="X535"/>
  <c r="Y535" s="1"/>
  <c r="U535"/>
  <c r="N535"/>
  <c r="AG534"/>
  <c r="X541" l="1"/>
  <c r="Y541" s="1"/>
  <c r="Y539"/>
  <c r="Y536"/>
  <c r="X534"/>
  <c r="Y534" s="1"/>
  <c r="U534"/>
  <c r="N534"/>
  <c r="AG533" l="1"/>
  <c r="X533" l="1"/>
  <c r="Y533" s="1"/>
  <c r="U533"/>
  <c r="N533"/>
  <c r="AG532"/>
  <c r="X532" l="1"/>
  <c r="Y532" s="1"/>
  <c r="U532"/>
  <c r="N532"/>
  <c r="AG531" l="1"/>
  <c r="X531" l="1"/>
  <c r="Y531" s="1"/>
  <c r="U531"/>
  <c r="N531"/>
  <c r="AG530"/>
  <c r="X530" l="1"/>
  <c r="Y530" s="1"/>
  <c r="U530"/>
  <c r="N530"/>
  <c r="AG529" l="1"/>
  <c r="U529" l="1"/>
  <c r="N529"/>
  <c r="AG528" l="1"/>
  <c r="X528" l="1"/>
  <c r="Y528" s="1"/>
  <c r="U528"/>
  <c r="N528"/>
  <c r="AG527" l="1"/>
  <c r="X527" l="1"/>
  <c r="Y527" s="1"/>
  <c r="U527"/>
  <c r="N527"/>
  <c r="V525" l="1"/>
  <c r="AG524"/>
  <c r="X524" l="1"/>
  <c r="Y524" s="1"/>
  <c r="U524"/>
  <c r="N524"/>
  <c r="AG523"/>
  <c r="X523" l="1"/>
  <c r="Y523" s="1"/>
  <c r="U523"/>
  <c r="N523"/>
  <c r="AG522"/>
  <c r="X522" l="1"/>
  <c r="Y522" s="1"/>
  <c r="U522"/>
  <c r="N522"/>
  <c r="AG521"/>
  <c r="X521" l="1"/>
  <c r="Y521" s="1"/>
  <c r="U521"/>
  <c r="N521"/>
  <c r="AG520"/>
  <c r="X520" l="1"/>
  <c r="Y520" s="1"/>
  <c r="U520"/>
  <c r="N520"/>
  <c r="AG519"/>
  <c r="X519"/>
  <c r="Y519" s="1"/>
  <c r="U519"/>
  <c r="N519"/>
  <c r="AG518"/>
  <c r="X518" l="1"/>
  <c r="Y518" s="1"/>
  <c r="U518"/>
  <c r="N518"/>
  <c r="AG517"/>
  <c r="X517" l="1"/>
  <c r="Y517" s="1"/>
  <c r="U517"/>
  <c r="N517"/>
  <c r="AG516"/>
  <c r="X516" l="1"/>
  <c r="Y516" s="1"/>
  <c r="U516"/>
  <c r="N516"/>
  <c r="AG515"/>
  <c r="X515" l="1"/>
  <c r="Y515" s="1"/>
  <c r="U515"/>
  <c r="N515"/>
  <c r="V513" l="1"/>
  <c r="AG512"/>
  <c r="X513" l="1"/>
  <c r="Y513" s="1"/>
  <c r="X512"/>
  <c r="Y512" s="1"/>
  <c r="U512"/>
  <c r="N512"/>
  <c r="AG511"/>
  <c r="X511" l="1"/>
  <c r="Y511" s="1"/>
  <c r="U511"/>
  <c r="N511"/>
  <c r="AG510"/>
  <c r="X510" l="1"/>
  <c r="Y510" s="1"/>
  <c r="U510"/>
  <c r="N510"/>
  <c r="AG509"/>
  <c r="X509" l="1"/>
  <c r="Y509" s="1"/>
  <c r="U509"/>
  <c r="N509"/>
  <c r="AG508" l="1"/>
  <c r="X508" l="1"/>
  <c r="Y508" s="1"/>
  <c r="U508"/>
  <c r="N508"/>
  <c r="AG507" l="1"/>
  <c r="X507" l="1"/>
  <c r="Y507" s="1"/>
  <c r="U507"/>
  <c r="N507"/>
  <c r="V505" l="1"/>
  <c r="AG504"/>
  <c r="X504" l="1"/>
  <c r="Y504" s="1"/>
  <c r="U504"/>
  <c r="N504"/>
  <c r="AG503"/>
  <c r="X503" l="1"/>
  <c r="Y503" s="1"/>
  <c r="U503"/>
  <c r="N503"/>
  <c r="AG502"/>
  <c r="X502" l="1"/>
  <c r="Y502" s="1"/>
  <c r="U502"/>
  <c r="N502"/>
  <c r="AG501"/>
  <c r="X501" l="1"/>
  <c r="Y501" s="1"/>
  <c r="U501"/>
  <c r="N501"/>
  <c r="AG500"/>
  <c r="X500" l="1"/>
  <c r="Y500" s="1"/>
  <c r="U500"/>
  <c r="N500"/>
  <c r="AG499"/>
  <c r="X499" l="1"/>
  <c r="Y499" s="1"/>
  <c r="U499"/>
  <c r="N499"/>
  <c r="V497" l="1"/>
  <c r="AG496"/>
  <c r="X496" l="1"/>
  <c r="Y496" s="1"/>
  <c r="U496"/>
  <c r="N496"/>
  <c r="AG495"/>
  <c r="X495" l="1"/>
  <c r="Y495" s="1"/>
  <c r="U495"/>
  <c r="N495"/>
  <c r="AG494" l="1"/>
  <c r="X494" l="1"/>
  <c r="Y494" s="1"/>
  <c r="U494"/>
  <c r="N494"/>
  <c r="V492" l="1"/>
  <c r="X492" s="1"/>
  <c r="Y492" s="1"/>
  <c r="AG491"/>
  <c r="X491" l="1"/>
  <c r="Y491" s="1"/>
  <c r="U491"/>
  <c r="N491"/>
  <c r="AG490" l="1"/>
  <c r="X490" l="1"/>
  <c r="Y490" s="1"/>
  <c r="U490"/>
  <c r="N490"/>
  <c r="AG489"/>
  <c r="X489" l="1"/>
  <c r="Y489" s="1"/>
  <c r="U489"/>
  <c r="N489"/>
  <c r="AG488"/>
  <c r="X488" l="1"/>
  <c r="Y488" s="1"/>
  <c r="U488"/>
  <c r="N488"/>
  <c r="AG487" l="1"/>
  <c r="X487" l="1"/>
  <c r="Y487" s="1"/>
  <c r="U487"/>
  <c r="N487"/>
  <c r="V485" l="1"/>
  <c r="AG484"/>
  <c r="X485" l="1"/>
  <c r="Y485" s="1"/>
  <c r="X484"/>
  <c r="Y484" s="1"/>
  <c r="AG483"/>
  <c r="X483"/>
  <c r="Y483" s="1"/>
  <c r="AG482"/>
  <c r="X482"/>
  <c r="Y482" s="1"/>
  <c r="AG481"/>
  <c r="X481"/>
  <c r="AG480"/>
  <c r="X480"/>
  <c r="V478"/>
  <c r="Y481" l="1"/>
  <c r="Y480"/>
  <c r="AG477"/>
  <c r="X477" l="1"/>
  <c r="Y477" s="1"/>
  <c r="U477"/>
  <c r="N477"/>
  <c r="AG476" l="1"/>
  <c r="X476" l="1"/>
  <c r="Y476" s="1"/>
  <c r="U476"/>
  <c r="N476"/>
  <c r="V474" l="1"/>
  <c r="AG473"/>
  <c r="X473" l="1"/>
  <c r="Y473" s="1"/>
  <c r="U473"/>
  <c r="N473"/>
  <c r="AG472"/>
  <c r="X472"/>
  <c r="U472"/>
  <c r="N472"/>
  <c r="AG471"/>
  <c r="Y472" l="1"/>
  <c r="X471"/>
  <c r="Y471" s="1"/>
  <c r="U471"/>
  <c r="N471"/>
  <c r="AG470"/>
  <c r="X470" l="1"/>
  <c r="Y470" s="1"/>
  <c r="U470"/>
  <c r="N470"/>
  <c r="V468"/>
  <c r="AG467"/>
  <c r="X468" l="1"/>
  <c r="Y468" s="1"/>
  <c r="X467"/>
  <c r="Y467" s="1"/>
  <c r="U467"/>
  <c r="N467"/>
  <c r="AG466"/>
  <c r="X466"/>
  <c r="U466"/>
  <c r="N466"/>
  <c r="Y466" l="1"/>
  <c r="V464"/>
  <c r="AG463"/>
  <c r="X463" l="1"/>
  <c r="Y463" s="1"/>
  <c r="U463"/>
  <c r="N463"/>
  <c r="AG462"/>
  <c r="X462" l="1"/>
  <c r="Y462" s="1"/>
  <c r="U462"/>
  <c r="N462"/>
  <c r="AG461"/>
  <c r="X461" l="1"/>
  <c r="Y461" s="1"/>
  <c r="U461"/>
  <c r="N461"/>
  <c r="AG460"/>
  <c r="X460" l="1"/>
  <c r="Y460" s="1"/>
  <c r="U460"/>
  <c r="N460"/>
  <c r="V458"/>
  <c r="AG457"/>
  <c r="X458" l="1"/>
  <c r="Y458" s="1"/>
  <c r="X457"/>
  <c r="Y457" s="1"/>
  <c r="U457"/>
  <c r="N457"/>
  <c r="AG456"/>
  <c r="X456"/>
  <c r="U456"/>
  <c r="N456"/>
  <c r="AG453"/>
  <c r="Y456" l="1"/>
  <c r="X453"/>
  <c r="Y453" s="1"/>
  <c r="U453"/>
  <c r="N453"/>
  <c r="V451" l="1"/>
  <c r="AG450"/>
  <c r="X450" l="1"/>
  <c r="Y450" s="1"/>
  <c r="U450"/>
  <c r="N450"/>
  <c r="AG449" l="1"/>
  <c r="X449" l="1"/>
  <c r="Y449" s="1"/>
  <c r="U449"/>
  <c r="N449"/>
  <c r="AG448"/>
  <c r="X448" l="1"/>
  <c r="Y448" s="1"/>
  <c r="U448"/>
  <c r="N448"/>
  <c r="AG447"/>
  <c r="X447" l="1"/>
  <c r="Y447" s="1"/>
  <c r="U447"/>
  <c r="N447"/>
  <c r="AG444" l="1"/>
  <c r="X444" l="1"/>
  <c r="Y444" s="1"/>
  <c r="U444"/>
  <c r="N444"/>
  <c r="AG443"/>
  <c r="X443"/>
  <c r="U443"/>
  <c r="N443"/>
  <c r="Y443" l="1"/>
  <c r="AG442"/>
  <c r="X442"/>
  <c r="U442"/>
  <c r="N442"/>
  <c r="AG441"/>
  <c r="Y442" l="1"/>
  <c r="V441"/>
  <c r="N441"/>
  <c r="AG440"/>
  <c r="X440"/>
  <c r="U440"/>
  <c r="N440"/>
  <c r="AG437"/>
  <c r="Y440" l="1"/>
  <c r="V445"/>
  <c r="X441"/>
  <c r="Y441" s="1"/>
  <c r="U441"/>
  <c r="V437"/>
  <c r="X437" l="1"/>
  <c r="Y437" s="1"/>
  <c r="U437"/>
  <c r="N437"/>
  <c r="AG436"/>
  <c r="X436"/>
  <c r="U436"/>
  <c r="N436"/>
  <c r="AG435"/>
  <c r="Y436" l="1"/>
  <c r="X435"/>
  <c r="Y435" s="1"/>
  <c r="U435"/>
  <c r="N435"/>
  <c r="AG434"/>
  <c r="V434" l="1"/>
  <c r="X434" l="1"/>
  <c r="Y434" s="1"/>
  <c r="U434"/>
  <c r="N434"/>
  <c r="AG433"/>
  <c r="V433"/>
  <c r="V438" s="1"/>
  <c r="X438" l="1"/>
  <c r="Y438" s="1"/>
  <c r="U433"/>
  <c r="N433"/>
  <c r="V431"/>
  <c r="AG430"/>
  <c r="X431" l="1"/>
  <c r="Y431" s="1"/>
  <c r="X430"/>
  <c r="Y430" s="1"/>
  <c r="U430"/>
  <c r="N430"/>
  <c r="AG429"/>
  <c r="X429" l="1"/>
  <c r="Y429" s="1"/>
  <c r="U429"/>
  <c r="N429"/>
  <c r="AG428"/>
  <c r="X428"/>
  <c r="U428"/>
  <c r="N428"/>
  <c r="Y428" l="1"/>
  <c r="AG427"/>
  <c r="X427" l="1"/>
  <c r="Y427" s="1"/>
  <c r="U427"/>
  <c r="N427"/>
  <c r="V425"/>
  <c r="AG424"/>
  <c r="X424" l="1"/>
  <c r="Y424" s="1"/>
  <c r="U424"/>
  <c r="N424"/>
  <c r="AG423"/>
  <c r="X423"/>
  <c r="Y423" s="1"/>
  <c r="U423"/>
  <c r="N423"/>
  <c r="AG422"/>
  <c r="X422" l="1"/>
  <c r="Y422" s="1"/>
  <c r="U422"/>
  <c r="N422"/>
  <c r="AG419"/>
  <c r="X419"/>
  <c r="U419"/>
  <c r="N419"/>
  <c r="AG416"/>
  <c r="X416"/>
  <c r="Y416" s="1"/>
  <c r="U416"/>
  <c r="N416"/>
  <c r="Y419" l="1"/>
  <c r="AG409" l="1"/>
  <c r="N409" l="1"/>
  <c r="AG408"/>
  <c r="U409" l="1"/>
  <c r="X409"/>
  <c r="Y409" s="1"/>
  <c r="U408" l="1"/>
  <c r="X408"/>
  <c r="Y408" s="1"/>
  <c r="N408"/>
  <c r="AG407"/>
  <c r="X407" l="1"/>
  <c r="Y407" s="1"/>
  <c r="U407"/>
  <c r="N407"/>
  <c r="AG406"/>
  <c r="N406"/>
  <c r="V410" l="1"/>
  <c r="X410" s="1"/>
  <c r="Y410" s="1"/>
  <c r="X406"/>
  <c r="Y406" s="1"/>
  <c r="U406"/>
  <c r="AG330" i="28" l="1"/>
  <c r="X330" l="1"/>
  <c r="Y330" s="1"/>
  <c r="U330"/>
  <c r="AG329"/>
  <c r="X329" l="1"/>
  <c r="Y329" s="1"/>
  <c r="U329"/>
  <c r="AG328"/>
  <c r="X328"/>
  <c r="Y328" l="1"/>
  <c r="U328"/>
  <c r="AG327" l="1"/>
  <c r="X327"/>
  <c r="U327"/>
  <c r="AG326"/>
  <c r="X326"/>
  <c r="Y326" l="1"/>
  <c r="Y327"/>
  <c r="U326"/>
  <c r="AG325"/>
  <c r="X325"/>
  <c r="Y325" l="1"/>
  <c r="U325"/>
  <c r="AG324"/>
  <c r="X324" l="1"/>
  <c r="Y324" s="1"/>
  <c r="U324"/>
  <c r="AG323" l="1"/>
  <c r="X323" l="1"/>
  <c r="Y323" s="1"/>
  <c r="U323"/>
  <c r="AG322"/>
  <c r="AG321" l="1"/>
  <c r="U322" l="1"/>
  <c r="X322"/>
  <c r="Y322" s="1"/>
  <c r="U321" l="1"/>
  <c r="X321"/>
  <c r="Y321" s="1"/>
  <c r="AG320"/>
  <c r="AG319" l="1"/>
  <c r="U320" l="1"/>
  <c r="X320"/>
  <c r="Y320" s="1"/>
  <c r="AG318"/>
  <c r="U319" l="1"/>
  <c r="X319"/>
  <c r="Y319" s="1"/>
  <c r="AG317"/>
  <c r="U318" l="1"/>
  <c r="X318"/>
  <c r="Y318" s="1"/>
  <c r="U317" l="1"/>
  <c r="X317"/>
  <c r="Y317" s="1"/>
  <c r="AG316"/>
  <c r="X316" l="1"/>
  <c r="Y316" s="1"/>
  <c r="U316"/>
  <c r="X425" i="22" l="1"/>
  <c r="Y425" s="1"/>
  <c r="X433"/>
  <c r="Y433" s="1"/>
  <c r="X445"/>
  <c r="Y445" s="1"/>
  <c r="X451"/>
  <c r="Y451" s="1"/>
  <c r="X464"/>
  <c r="Y464" s="1"/>
  <c r="X474"/>
  <c r="Y474" s="1"/>
  <c r="X478"/>
  <c r="Y478" s="1"/>
  <c r="X497"/>
  <c r="Y497" s="1"/>
  <c r="X505"/>
  <c r="Y505" s="1"/>
  <c r="X525"/>
  <c r="Y525" s="1"/>
  <c r="X529"/>
  <c r="Y529" s="1"/>
  <c r="X537"/>
  <c r="Y537" s="1"/>
  <c r="X546"/>
  <c r="Y546" s="1"/>
</calcChain>
</file>

<file path=xl/sharedStrings.xml><?xml version="1.0" encoding="utf-8"?>
<sst xmlns="http://schemas.openxmlformats.org/spreadsheetml/2006/main" count="23777" uniqueCount="8671">
  <si>
    <t>國賓</t>
    <phoneticPr fontId="1" type="noConversion"/>
  </si>
  <si>
    <t>永豐金</t>
    <phoneticPr fontId="1" type="noConversion"/>
  </si>
  <si>
    <t>現在價</t>
    <phoneticPr fontId="1" type="noConversion"/>
  </si>
  <si>
    <t>損益率</t>
    <phoneticPr fontId="1" type="noConversion"/>
  </si>
  <si>
    <t>鴻海</t>
    <phoneticPr fontId="1" type="noConversion"/>
  </si>
  <si>
    <t>損益</t>
    <phoneticPr fontId="1" type="noConversion"/>
  </si>
  <si>
    <t>南橋</t>
    <phoneticPr fontId="1" type="noConversion"/>
  </si>
  <si>
    <t>辛耘</t>
    <phoneticPr fontId="1" type="noConversion"/>
  </si>
  <si>
    <t>台積電</t>
    <phoneticPr fontId="1" type="noConversion"/>
  </si>
  <si>
    <t>國泰金</t>
    <phoneticPr fontId="1" type="noConversion"/>
  </si>
  <si>
    <t>統一</t>
    <phoneticPr fontId="1" type="noConversion"/>
  </si>
  <si>
    <t>兆豐金</t>
    <phoneticPr fontId="1" type="noConversion"/>
  </si>
  <si>
    <t>日月光</t>
    <phoneticPr fontId="1" type="noConversion"/>
  </si>
  <si>
    <t>和碩</t>
    <phoneticPr fontId="1" type="noConversion"/>
  </si>
  <si>
    <t>和泰車</t>
    <phoneticPr fontId="1" type="noConversion"/>
  </si>
  <si>
    <t>研華</t>
    <phoneticPr fontId="1" type="noConversion"/>
  </si>
  <si>
    <t>鴻準</t>
    <phoneticPr fontId="1" type="noConversion"/>
  </si>
  <si>
    <t>仁寶</t>
    <phoneticPr fontId="1" type="noConversion"/>
  </si>
  <si>
    <t>新光金</t>
    <phoneticPr fontId="1" type="noConversion"/>
  </si>
  <si>
    <t>亞泥</t>
    <phoneticPr fontId="1" type="noConversion"/>
  </si>
  <si>
    <t>英業達</t>
    <phoneticPr fontId="1" type="noConversion"/>
  </si>
  <si>
    <t>上銀</t>
    <phoneticPr fontId="1" type="noConversion"/>
  </si>
  <si>
    <t>力成</t>
    <phoneticPr fontId="1" type="noConversion"/>
  </si>
  <si>
    <t>緯創</t>
    <phoneticPr fontId="1" type="noConversion"/>
  </si>
  <si>
    <t>華航</t>
    <phoneticPr fontId="1" type="noConversion"/>
  </si>
  <si>
    <t>聯強</t>
    <phoneticPr fontId="1" type="noConversion"/>
  </si>
  <si>
    <t>瑞昱</t>
    <phoneticPr fontId="1" type="noConversion"/>
  </si>
  <si>
    <t>臻鼎KY</t>
    <phoneticPr fontId="1" type="noConversion"/>
  </si>
  <si>
    <t>興富發</t>
    <phoneticPr fontId="1" type="noConversion"/>
  </si>
  <si>
    <t>潤泰新</t>
    <phoneticPr fontId="1" type="noConversion"/>
  </si>
  <si>
    <t>裕隆</t>
    <phoneticPr fontId="1" type="noConversion"/>
  </si>
  <si>
    <t>美利達</t>
    <phoneticPr fontId="1" type="noConversion"/>
  </si>
  <si>
    <t>創見</t>
    <phoneticPr fontId="1" type="noConversion"/>
  </si>
  <si>
    <t>世界</t>
    <phoneticPr fontId="1" type="noConversion"/>
  </si>
  <si>
    <t>環球晶</t>
    <phoneticPr fontId="1" type="noConversion"/>
  </si>
  <si>
    <t>新麥</t>
    <phoneticPr fontId="1" type="noConversion"/>
  </si>
  <si>
    <t>力旺</t>
    <phoneticPr fontId="1" type="noConversion"/>
  </si>
  <si>
    <t>智擎</t>
    <phoneticPr fontId="1" type="noConversion"/>
  </si>
  <si>
    <t>泰博</t>
    <phoneticPr fontId="1" type="noConversion"/>
  </si>
  <si>
    <t>桂盟</t>
    <phoneticPr fontId="1" type="noConversion"/>
  </si>
  <si>
    <t>頎邦</t>
    <phoneticPr fontId="1" type="noConversion"/>
  </si>
  <si>
    <t>崑鼎</t>
    <phoneticPr fontId="1" type="noConversion"/>
  </si>
  <si>
    <t>旺宏</t>
    <phoneticPr fontId="1" type="noConversion"/>
  </si>
  <si>
    <t>台勝科</t>
    <phoneticPr fontId="1" type="noConversion"/>
  </si>
  <si>
    <t>致茂</t>
    <phoneticPr fontId="1" type="noConversion"/>
  </si>
  <si>
    <t>旭隼</t>
    <phoneticPr fontId="1" type="noConversion"/>
  </si>
  <si>
    <t>台郡</t>
    <phoneticPr fontId="1" type="noConversion"/>
  </si>
  <si>
    <t>京元電</t>
    <phoneticPr fontId="1" type="noConversion"/>
  </si>
  <si>
    <t>致伸</t>
    <phoneticPr fontId="1" type="noConversion"/>
  </si>
  <si>
    <t>創意</t>
    <phoneticPr fontId="1" type="noConversion"/>
  </si>
  <si>
    <t>神達</t>
    <phoneticPr fontId="1" type="noConversion"/>
  </si>
  <si>
    <t>神基</t>
    <phoneticPr fontId="1" type="noConversion"/>
  </si>
  <si>
    <t>康控KY</t>
    <phoneticPr fontId="1" type="noConversion"/>
  </si>
  <si>
    <t>祥碩</t>
    <phoneticPr fontId="1" type="noConversion"/>
  </si>
  <si>
    <t>群電</t>
    <phoneticPr fontId="1" type="noConversion"/>
  </si>
  <si>
    <t>同欣電</t>
    <phoneticPr fontId="1" type="noConversion"/>
  </si>
  <si>
    <t>藍天</t>
    <phoneticPr fontId="1" type="noConversion"/>
  </si>
  <si>
    <t>義隆</t>
    <phoneticPr fontId="1" type="noConversion"/>
  </si>
  <si>
    <t>聯茂</t>
    <phoneticPr fontId="1" type="noConversion"/>
  </si>
  <si>
    <t>京鼎</t>
    <phoneticPr fontId="1" type="noConversion"/>
  </si>
  <si>
    <t>新日興</t>
    <phoneticPr fontId="1" type="noConversion"/>
  </si>
  <si>
    <t>順德</t>
    <phoneticPr fontId="1" type="noConversion"/>
  </si>
  <si>
    <t>淩華</t>
    <phoneticPr fontId="1" type="noConversion"/>
  </si>
  <si>
    <t>威強電</t>
    <phoneticPr fontId="1" type="noConversion"/>
  </si>
  <si>
    <t>台聚</t>
    <phoneticPr fontId="1" type="noConversion"/>
  </si>
  <si>
    <t>統一實</t>
    <phoneticPr fontId="1" type="noConversion"/>
  </si>
  <si>
    <t>股息</t>
    <phoneticPr fontId="1" type="noConversion"/>
  </si>
  <si>
    <t>台塑</t>
    <phoneticPr fontId="1" type="noConversion"/>
  </si>
  <si>
    <t>富邦金</t>
    <phoneticPr fontId="1" type="noConversion"/>
  </si>
  <si>
    <t>持股</t>
    <phoneticPr fontId="1" type="noConversion"/>
  </si>
  <si>
    <t>泰偉</t>
    <phoneticPr fontId="1" type="noConversion"/>
  </si>
  <si>
    <t>宇峻</t>
    <phoneticPr fontId="1" type="noConversion"/>
  </si>
  <si>
    <t>歐買尬</t>
    <phoneticPr fontId="1" type="noConversion"/>
  </si>
  <si>
    <t>辣椒</t>
    <phoneticPr fontId="1" type="noConversion"/>
  </si>
  <si>
    <t>大宇資</t>
    <phoneticPr fontId="1" type="noConversion"/>
  </si>
  <si>
    <t>昱泉</t>
    <phoneticPr fontId="1" type="noConversion"/>
  </si>
  <si>
    <t>橘子</t>
    <phoneticPr fontId="1" type="noConversion"/>
  </si>
  <si>
    <t>六角</t>
    <phoneticPr fontId="1" type="noConversion"/>
  </si>
  <si>
    <t>台星科</t>
    <phoneticPr fontId="1" type="noConversion"/>
  </si>
  <si>
    <t>協易機</t>
    <phoneticPr fontId="1" type="noConversion"/>
  </si>
  <si>
    <t>高技</t>
    <phoneticPr fontId="1" type="noConversion"/>
  </si>
  <si>
    <t>陸海</t>
    <phoneticPr fontId="1" type="noConversion"/>
  </si>
  <si>
    <t>信昌電</t>
    <phoneticPr fontId="1" type="noConversion"/>
  </si>
  <si>
    <t>智基</t>
    <phoneticPr fontId="1" type="noConversion"/>
  </si>
  <si>
    <t>博智</t>
    <phoneticPr fontId="1" type="noConversion"/>
  </si>
  <si>
    <t>霹靂</t>
    <phoneticPr fontId="1" type="noConversion"/>
  </si>
  <si>
    <t>明安</t>
    <phoneticPr fontId="1" type="noConversion"/>
  </si>
  <si>
    <t>味全</t>
    <phoneticPr fontId="1" type="noConversion"/>
  </si>
  <si>
    <t>台船</t>
    <phoneticPr fontId="1" type="noConversion"/>
  </si>
  <si>
    <t>燦坤</t>
    <phoneticPr fontId="1" type="noConversion"/>
  </si>
  <si>
    <t>王品</t>
    <phoneticPr fontId="1" type="noConversion"/>
  </si>
  <si>
    <t>三商</t>
    <phoneticPr fontId="1" type="noConversion"/>
  </si>
  <si>
    <t>信義</t>
    <phoneticPr fontId="1" type="noConversion"/>
  </si>
  <si>
    <t>精英</t>
    <phoneticPr fontId="1" type="noConversion"/>
  </si>
  <si>
    <t>淩陽</t>
    <phoneticPr fontId="1" type="noConversion"/>
  </si>
  <si>
    <t>晶豪科</t>
    <phoneticPr fontId="1" type="noConversion"/>
  </si>
  <si>
    <t>華立</t>
    <phoneticPr fontId="1" type="noConversion"/>
  </si>
  <si>
    <t>聯陽</t>
    <phoneticPr fontId="1" type="noConversion"/>
  </si>
  <si>
    <t>德律</t>
    <phoneticPr fontId="1" type="noConversion"/>
  </si>
  <si>
    <t>威健</t>
    <phoneticPr fontId="1" type="noConversion"/>
  </si>
  <si>
    <t>訊連</t>
    <phoneticPr fontId="1" type="noConversion"/>
  </si>
  <si>
    <t>帆宣</t>
    <phoneticPr fontId="1" type="noConversion"/>
  </si>
  <si>
    <t>志超</t>
    <phoneticPr fontId="1" type="noConversion"/>
  </si>
  <si>
    <t>詩肯</t>
    <phoneticPr fontId="1" type="noConversion"/>
  </si>
  <si>
    <t>公治</t>
    <phoneticPr fontId="1" type="noConversion"/>
  </si>
  <si>
    <t>成分</t>
    <phoneticPr fontId="1" type="noConversion"/>
  </si>
  <si>
    <t>中電</t>
    <phoneticPr fontId="1" type="noConversion"/>
  </si>
  <si>
    <t>佳世達</t>
    <phoneticPr fontId="1" type="noConversion"/>
  </si>
  <si>
    <t>大同</t>
    <phoneticPr fontId="1" type="noConversion"/>
  </si>
  <si>
    <t>亞聚</t>
    <phoneticPr fontId="1" type="noConversion"/>
  </si>
  <si>
    <t>華新</t>
    <phoneticPr fontId="1" type="noConversion"/>
  </si>
  <si>
    <t>裕日車</t>
    <phoneticPr fontId="1" type="noConversion"/>
  </si>
  <si>
    <t>偉詮電</t>
    <phoneticPr fontId="1" type="noConversion"/>
  </si>
  <si>
    <t>榮運</t>
    <phoneticPr fontId="1" type="noConversion"/>
  </si>
  <si>
    <t>漢翔</t>
    <phoneticPr fontId="1" type="noConversion"/>
  </si>
  <si>
    <t>美食KY</t>
    <phoneticPr fontId="1" type="noConversion"/>
  </si>
  <si>
    <t>三商壽</t>
    <phoneticPr fontId="1" type="noConversion"/>
  </si>
  <si>
    <t>奇鋐</t>
    <phoneticPr fontId="1" type="noConversion"/>
  </si>
  <si>
    <t>新唐</t>
    <phoneticPr fontId="1" type="noConversion"/>
  </si>
  <si>
    <t>盛群</t>
    <phoneticPr fontId="1" type="noConversion"/>
  </si>
  <si>
    <t>至上</t>
    <phoneticPr fontId="1" type="noConversion"/>
  </si>
  <si>
    <t>富邦媒</t>
    <phoneticPr fontId="1" type="noConversion"/>
  </si>
  <si>
    <t>中鼎</t>
    <phoneticPr fontId="1" type="noConversion"/>
  </si>
  <si>
    <t>裕融</t>
    <phoneticPr fontId="1" type="noConversion"/>
  </si>
  <si>
    <t>中石化</t>
    <phoneticPr fontId="1" type="noConversion"/>
  </si>
  <si>
    <t>聚陽</t>
    <phoneticPr fontId="1" type="noConversion"/>
  </si>
  <si>
    <t>和大</t>
    <phoneticPr fontId="1" type="noConversion"/>
  </si>
  <si>
    <t>亞德客KY</t>
    <phoneticPr fontId="1" type="noConversion"/>
  </si>
  <si>
    <t>長興</t>
    <phoneticPr fontId="1" type="noConversion"/>
  </si>
  <si>
    <t>中碳</t>
    <phoneticPr fontId="1" type="noConversion"/>
  </si>
  <si>
    <t>神隆</t>
    <phoneticPr fontId="1" type="noConversion"/>
  </si>
  <si>
    <t>榮成</t>
    <phoneticPr fontId="1" type="noConversion"/>
  </si>
  <si>
    <t>萬海</t>
    <phoneticPr fontId="1" type="noConversion"/>
  </si>
  <si>
    <t>台中銀</t>
    <phoneticPr fontId="1" type="noConversion"/>
  </si>
  <si>
    <t>遠東銀</t>
    <phoneticPr fontId="1" type="noConversion"/>
  </si>
  <si>
    <t>遠雄</t>
    <phoneticPr fontId="1" type="noConversion"/>
  </si>
  <si>
    <t>百和</t>
    <phoneticPr fontId="1" type="noConversion"/>
  </si>
  <si>
    <t>其祥KY</t>
    <phoneticPr fontId="1" type="noConversion"/>
  </si>
  <si>
    <t>生泰</t>
    <phoneticPr fontId="1" type="noConversion"/>
  </si>
  <si>
    <t>世德</t>
    <phoneticPr fontId="1" type="noConversion"/>
  </si>
  <si>
    <t>志豐</t>
    <phoneticPr fontId="1" type="noConversion"/>
  </si>
  <si>
    <t>兆利</t>
    <phoneticPr fontId="1" type="noConversion"/>
  </si>
  <si>
    <t>鐿鈦</t>
    <phoneticPr fontId="1" type="noConversion"/>
  </si>
  <si>
    <t>至興</t>
    <phoneticPr fontId="1" type="noConversion"/>
  </si>
  <si>
    <t>jpp-KY</t>
    <phoneticPr fontId="1" type="noConversion"/>
  </si>
  <si>
    <t>中美晶</t>
    <phoneticPr fontId="1" type="noConversion"/>
  </si>
  <si>
    <t>龍巖</t>
    <phoneticPr fontId="1" type="noConversion"/>
  </si>
  <si>
    <t>寶雅</t>
    <phoneticPr fontId="1" type="noConversion"/>
  </si>
  <si>
    <t>聖暉</t>
    <phoneticPr fontId="1" type="noConversion"/>
  </si>
  <si>
    <t>元大期</t>
    <phoneticPr fontId="1" type="noConversion"/>
  </si>
  <si>
    <t>中碳針</t>
    <phoneticPr fontId="1" type="noConversion"/>
  </si>
  <si>
    <t>實威</t>
    <phoneticPr fontId="1" type="noConversion"/>
  </si>
  <si>
    <t>華研</t>
    <phoneticPr fontId="1" type="noConversion"/>
  </si>
  <si>
    <t>光隆</t>
    <phoneticPr fontId="1" type="noConversion"/>
  </si>
  <si>
    <t>宇隆</t>
    <phoneticPr fontId="1" type="noConversion"/>
  </si>
  <si>
    <t>宜特</t>
    <phoneticPr fontId="1" type="noConversion"/>
  </si>
  <si>
    <t>凡甲</t>
    <phoneticPr fontId="1" type="noConversion"/>
  </si>
  <si>
    <t>西柏</t>
    <phoneticPr fontId="1" type="noConversion"/>
  </si>
  <si>
    <t>閎康</t>
    <phoneticPr fontId="1" type="noConversion"/>
  </si>
  <si>
    <t>茂達</t>
    <phoneticPr fontId="1" type="noConversion"/>
  </si>
  <si>
    <t>良維</t>
    <phoneticPr fontId="1" type="noConversion"/>
  </si>
  <si>
    <t>瑞穎</t>
    <phoneticPr fontId="1" type="noConversion"/>
  </si>
  <si>
    <t>翔名</t>
    <phoneticPr fontId="1" type="noConversion"/>
  </si>
  <si>
    <t>千附</t>
    <phoneticPr fontId="1" type="noConversion"/>
  </si>
  <si>
    <t>中華</t>
    <phoneticPr fontId="1" type="noConversion"/>
  </si>
  <si>
    <t>為升</t>
    <phoneticPr fontId="1" type="noConversion"/>
  </si>
  <si>
    <t>合晶</t>
    <phoneticPr fontId="1" type="noConversion"/>
  </si>
  <si>
    <t>精材</t>
    <phoneticPr fontId="1" type="noConversion"/>
  </si>
  <si>
    <t>尼克森</t>
    <phoneticPr fontId="1" type="noConversion"/>
  </si>
  <si>
    <t>集盛</t>
    <phoneticPr fontId="1" type="noConversion"/>
  </si>
  <si>
    <t>直得</t>
    <phoneticPr fontId="1" type="noConversion"/>
  </si>
  <si>
    <t>康普</t>
    <phoneticPr fontId="1" type="noConversion"/>
  </si>
  <si>
    <t>中砂</t>
    <phoneticPr fontId="1" type="noConversion"/>
  </si>
  <si>
    <t>今國光</t>
    <phoneticPr fontId="1" type="noConversion"/>
  </si>
  <si>
    <t>達邁</t>
    <phoneticPr fontId="1" type="noConversion"/>
  </si>
  <si>
    <t>曜越</t>
    <phoneticPr fontId="1" type="noConversion"/>
  </si>
  <si>
    <t>淩通</t>
    <phoneticPr fontId="1" type="noConversion"/>
  </si>
  <si>
    <t>環宇KY</t>
    <phoneticPr fontId="1" type="noConversion"/>
  </si>
  <si>
    <t>宣德</t>
    <phoneticPr fontId="1" type="noConversion"/>
  </si>
  <si>
    <t>牧德</t>
    <phoneticPr fontId="1" type="noConversion"/>
  </si>
  <si>
    <t>立隆電</t>
    <phoneticPr fontId="1" type="noConversion"/>
  </si>
  <si>
    <t>晶宏</t>
    <phoneticPr fontId="1" type="noConversion"/>
  </si>
  <si>
    <t>國喬</t>
    <phoneticPr fontId="1" type="noConversion"/>
  </si>
  <si>
    <t>強茂</t>
    <phoneticPr fontId="1" type="noConversion"/>
  </si>
  <si>
    <t>年線下變平，準備捕老熊。</t>
    <phoneticPr fontId="1" type="noConversion"/>
  </si>
  <si>
    <t>年線往上拐，回踩堅決買！</t>
  </si>
  <si>
    <t>年線往下行，一定要搞清，</t>
    <phoneticPr fontId="1" type="noConversion"/>
  </si>
  <si>
    <t>如等半年線，暫做壁上觀。</t>
  </si>
  <si>
    <t>深跌破年線，老熊活年半。</t>
    <phoneticPr fontId="1" type="noConversion"/>
  </si>
  <si>
    <t>價穩年線上，千里馬亮相。</t>
  </si>
  <si>
    <t>要問為什么？牛熊一線亡！</t>
    <phoneticPr fontId="1" type="noConversion"/>
  </si>
  <si>
    <t>半年線下穿，千萬不要沾。</t>
  </si>
  <si>
    <t>半年線上拐，堅決果斷買！</t>
    <phoneticPr fontId="1" type="noConversion"/>
  </si>
  <si>
    <t>季線如下穿，後市不樂觀！</t>
  </si>
  <si>
    <t>季線往上走，長期須多頭！</t>
    <phoneticPr fontId="1" type="noConversion"/>
  </si>
  <si>
    <t>月線不下穿，光明就在前！</t>
  </si>
  <si>
    <t>長期往上翹，短期呈纏繞，</t>
    <phoneticPr fontId="1" type="noConversion"/>
  </si>
  <si>
    <t>平臺一做成，股價往上跑！</t>
  </si>
  <si>
    <t>（均線口訣）</t>
    <phoneticPr fontId="1" type="noConversion"/>
  </si>
  <si>
    <t>1年平均線變水平,要準備迎接多頭</t>
  </si>
  <si>
    <t>1年平均線確定往上後,有回檔要買入(俗稱的W底的第2隻腳)</t>
  </si>
  <si>
    <t>1年平均線往下時,一定要小心</t>
  </si>
  <si>
    <t>如發現半年現也往下時,勿在買入,先觀望</t>
  </si>
  <si>
    <t>快速下跌破年線,多頭可能只有半年</t>
  </si>
  <si>
    <t>如發現股價穩定突破年線,可能是黑馬</t>
  </si>
  <si>
    <t>勤美</t>
    <phoneticPr fontId="1" type="noConversion"/>
  </si>
  <si>
    <t>銘旺實</t>
    <phoneticPr fontId="1" type="noConversion"/>
  </si>
  <si>
    <t>50反</t>
    <phoneticPr fontId="1" type="noConversion"/>
  </si>
  <si>
    <t>廣達</t>
    <phoneticPr fontId="1" type="noConversion"/>
  </si>
  <si>
    <t>南亞科</t>
    <phoneticPr fontId="1" type="noConversion"/>
  </si>
  <si>
    <t>友達</t>
    <phoneticPr fontId="1" type="noConversion"/>
  </si>
  <si>
    <t>美律</t>
    <phoneticPr fontId="1" type="noConversion"/>
  </si>
  <si>
    <t>群創</t>
    <phoneticPr fontId="1" type="noConversion"/>
  </si>
  <si>
    <t>樺漢</t>
    <phoneticPr fontId="1" type="noConversion"/>
  </si>
  <si>
    <t>中</t>
    <phoneticPr fontId="1" type="noConversion"/>
  </si>
  <si>
    <t>威剛</t>
    <phoneticPr fontId="1" type="noConversion"/>
  </si>
  <si>
    <t>智崴</t>
    <phoneticPr fontId="1" type="noConversion"/>
  </si>
  <si>
    <t>信驊</t>
    <phoneticPr fontId="1" type="noConversion"/>
  </si>
  <si>
    <t>台半</t>
    <phoneticPr fontId="1" type="noConversion"/>
  </si>
  <si>
    <t>智冠</t>
    <phoneticPr fontId="1" type="noConversion"/>
  </si>
  <si>
    <t>神盾</t>
    <phoneticPr fontId="1" type="noConversion"/>
  </si>
  <si>
    <t>精測</t>
    <phoneticPr fontId="1" type="noConversion"/>
  </si>
  <si>
    <t>金居</t>
    <phoneticPr fontId="1" type="noConversion"/>
  </si>
  <si>
    <t>綠河KY</t>
    <phoneticPr fontId="1" type="noConversion"/>
  </si>
  <si>
    <t>皇田</t>
    <phoneticPr fontId="1" type="noConversion"/>
  </si>
  <si>
    <t>長華</t>
    <phoneticPr fontId="1" type="noConversion"/>
  </si>
  <si>
    <t>訊芯KY</t>
    <phoneticPr fontId="1" type="noConversion"/>
  </si>
  <si>
    <t>新至陞</t>
    <phoneticPr fontId="1" type="noConversion"/>
  </si>
  <si>
    <t>雙鴻</t>
    <phoneticPr fontId="1" type="noConversion"/>
  </si>
  <si>
    <t>東隆興</t>
    <phoneticPr fontId="1" type="noConversion"/>
  </si>
  <si>
    <t>聚鼎</t>
    <phoneticPr fontId="1" type="noConversion"/>
  </si>
  <si>
    <t>陽程</t>
    <phoneticPr fontId="1" type="noConversion"/>
  </si>
  <si>
    <t>點序</t>
    <phoneticPr fontId="1" type="noConversion"/>
  </si>
  <si>
    <t>谷崧</t>
    <phoneticPr fontId="1" type="noConversion"/>
  </si>
  <si>
    <t>精元</t>
    <phoneticPr fontId="1" type="noConversion"/>
  </si>
  <si>
    <t>其他</t>
    <phoneticPr fontId="1" type="noConversion"/>
  </si>
  <si>
    <t>台通</t>
    <phoneticPr fontId="1" type="noConversion"/>
  </si>
  <si>
    <t>瀚宇博</t>
    <phoneticPr fontId="1" type="noConversion"/>
  </si>
  <si>
    <t>精成科</t>
    <phoneticPr fontId="1" type="noConversion"/>
  </si>
  <si>
    <t>精星</t>
    <phoneticPr fontId="1" type="noConversion"/>
  </si>
  <si>
    <t>智伸科</t>
    <phoneticPr fontId="1" type="noConversion"/>
  </si>
  <si>
    <t>康舒</t>
    <phoneticPr fontId="1" type="noConversion"/>
  </si>
  <si>
    <t>六暉KY</t>
    <phoneticPr fontId="1" type="noConversion"/>
  </si>
  <si>
    <t>怡利電</t>
    <phoneticPr fontId="1" type="noConversion"/>
  </si>
  <si>
    <t>橙的</t>
    <phoneticPr fontId="1" type="noConversion"/>
  </si>
  <si>
    <t>長園科</t>
    <phoneticPr fontId="1" type="noConversion"/>
  </si>
  <si>
    <t>嘉晶</t>
    <phoneticPr fontId="1" type="noConversion"/>
  </si>
  <si>
    <t>漢磊</t>
    <phoneticPr fontId="1" type="noConversion"/>
  </si>
  <si>
    <t>震旦行</t>
    <phoneticPr fontId="1" type="noConversion"/>
  </si>
  <si>
    <t>久元</t>
    <phoneticPr fontId="1" type="noConversion"/>
  </si>
  <si>
    <t>鈺創</t>
    <phoneticPr fontId="1" type="noConversion"/>
  </si>
  <si>
    <t>外持</t>
    <phoneticPr fontId="1" type="noConversion"/>
  </si>
  <si>
    <t>大持</t>
    <phoneticPr fontId="1" type="noConversion"/>
  </si>
  <si>
    <t>晶焱</t>
    <phoneticPr fontId="1" type="noConversion"/>
  </si>
  <si>
    <t>上福</t>
    <phoneticPr fontId="1" type="noConversion"/>
  </si>
  <si>
    <t>力達KY</t>
    <phoneticPr fontId="1" type="noConversion"/>
  </si>
  <si>
    <t>福懋</t>
    <phoneticPr fontId="1" type="noConversion"/>
  </si>
  <si>
    <t>中租KY</t>
    <phoneticPr fontId="1" type="noConversion"/>
  </si>
  <si>
    <t>矽力KY</t>
    <phoneticPr fontId="1" type="noConversion"/>
  </si>
  <si>
    <t>億豐</t>
    <phoneticPr fontId="1" type="noConversion"/>
  </si>
  <si>
    <t>穩懋</t>
    <phoneticPr fontId="1" type="noConversion"/>
  </si>
  <si>
    <t>欣銓</t>
    <phoneticPr fontId="1" type="noConversion"/>
  </si>
  <si>
    <t>鈊象</t>
    <phoneticPr fontId="1" type="noConversion"/>
  </si>
  <si>
    <t>數字</t>
    <phoneticPr fontId="1" type="noConversion"/>
  </si>
  <si>
    <t>宏捷科</t>
    <phoneticPr fontId="1" type="noConversion"/>
  </si>
  <si>
    <t>臺企銀</t>
    <phoneticPr fontId="1" type="noConversion"/>
  </si>
  <si>
    <t>長榮</t>
    <phoneticPr fontId="1" type="noConversion"/>
  </si>
  <si>
    <t>遠東新</t>
    <phoneticPr fontId="1" type="noConversion"/>
  </si>
  <si>
    <t>文曄</t>
    <phoneticPr fontId="1" type="noConversion"/>
  </si>
  <si>
    <t>貿聯KY</t>
    <phoneticPr fontId="1" type="noConversion"/>
  </si>
  <si>
    <t>寶成</t>
    <phoneticPr fontId="1" type="noConversion"/>
  </si>
  <si>
    <t>玉山金</t>
    <phoneticPr fontId="1" type="noConversion"/>
  </si>
  <si>
    <t>台新金</t>
    <phoneticPr fontId="1" type="noConversion"/>
  </si>
  <si>
    <t>國票金</t>
    <phoneticPr fontId="1" type="noConversion"/>
  </si>
  <si>
    <t>第一金</t>
    <phoneticPr fontId="1" type="noConversion"/>
  </si>
  <si>
    <t>可成</t>
    <phoneticPr fontId="1" type="noConversion"/>
  </si>
  <si>
    <t>台泥</t>
    <phoneticPr fontId="1" type="noConversion"/>
  </si>
  <si>
    <t>超豐</t>
    <phoneticPr fontId="1" type="noConversion"/>
  </si>
  <si>
    <t>南茂</t>
    <phoneticPr fontId="1" type="noConversion"/>
  </si>
  <si>
    <t>嘉澤</t>
    <phoneticPr fontId="1" type="noConversion"/>
  </si>
  <si>
    <t>南電</t>
    <phoneticPr fontId="1" type="noConversion"/>
  </si>
  <si>
    <t>精誠</t>
    <phoneticPr fontId="1" type="noConversion"/>
  </si>
  <si>
    <t>大成鋼</t>
    <phoneticPr fontId="1" type="noConversion"/>
  </si>
  <si>
    <t>允強</t>
    <phoneticPr fontId="1" type="noConversion"/>
  </si>
  <si>
    <t>融資</t>
    <phoneticPr fontId="1" type="noConversion"/>
  </si>
  <si>
    <t>盈</t>
    <phoneticPr fontId="1" type="noConversion"/>
  </si>
  <si>
    <t>五鼎</t>
    <phoneticPr fontId="1" type="noConversion"/>
  </si>
  <si>
    <t>威盛</t>
    <phoneticPr fontId="1" type="noConversion"/>
  </si>
  <si>
    <t>合一</t>
    <phoneticPr fontId="1" type="noConversion"/>
  </si>
  <si>
    <t>佳邦</t>
    <phoneticPr fontId="1" type="noConversion"/>
  </si>
  <si>
    <t>光罩</t>
    <phoneticPr fontId="1" type="noConversion"/>
  </si>
  <si>
    <t>捷敏KY</t>
    <phoneticPr fontId="1" type="noConversion"/>
  </si>
  <si>
    <t>增</t>
    <phoneticPr fontId="1" type="noConversion"/>
  </si>
  <si>
    <t>水泥</t>
    <phoneticPr fontId="1" type="noConversion"/>
  </si>
  <si>
    <t>食品</t>
    <phoneticPr fontId="1" type="noConversion"/>
  </si>
  <si>
    <t>塑膠</t>
    <phoneticPr fontId="1" type="noConversion"/>
  </si>
  <si>
    <t>紡織</t>
    <phoneticPr fontId="1" type="noConversion"/>
  </si>
  <si>
    <t>電機</t>
    <phoneticPr fontId="1" type="noConversion"/>
  </si>
  <si>
    <t>電器</t>
    <phoneticPr fontId="1" type="noConversion"/>
  </si>
  <si>
    <t>玻陶</t>
    <phoneticPr fontId="1" type="noConversion"/>
  </si>
  <si>
    <t>造紙</t>
    <phoneticPr fontId="1" type="noConversion"/>
  </si>
  <si>
    <t>鋼鐵</t>
    <phoneticPr fontId="1" type="noConversion"/>
  </si>
  <si>
    <t>橡膠</t>
    <phoneticPr fontId="1" type="noConversion"/>
  </si>
  <si>
    <t>汽車</t>
    <phoneticPr fontId="1" type="noConversion"/>
  </si>
  <si>
    <t>航運</t>
    <phoneticPr fontId="1" type="noConversion"/>
  </si>
  <si>
    <t>觀光</t>
    <phoneticPr fontId="1" type="noConversion"/>
  </si>
  <si>
    <t>金融</t>
    <phoneticPr fontId="1" type="noConversion"/>
  </si>
  <si>
    <t>光洋科</t>
    <phoneticPr fontId="1" type="noConversion"/>
  </si>
  <si>
    <t>光電</t>
    <phoneticPr fontId="1" type="noConversion"/>
  </si>
  <si>
    <t>半導</t>
    <phoneticPr fontId="1" type="noConversion"/>
  </si>
  <si>
    <t>組件</t>
    <phoneticPr fontId="1" type="noConversion"/>
  </si>
  <si>
    <t>生醫</t>
    <phoneticPr fontId="1" type="noConversion"/>
  </si>
  <si>
    <t>貿易</t>
    <phoneticPr fontId="1" type="noConversion"/>
  </si>
  <si>
    <t>通信</t>
    <phoneticPr fontId="1" type="noConversion"/>
  </si>
  <si>
    <t>油電</t>
    <phoneticPr fontId="1" type="noConversion"/>
  </si>
  <si>
    <t>資訊</t>
    <phoneticPr fontId="1" type="noConversion"/>
  </si>
  <si>
    <t>他電</t>
    <phoneticPr fontId="1" type="noConversion"/>
  </si>
  <si>
    <t>台達化</t>
    <phoneticPr fontId="1" type="noConversion"/>
  </si>
  <si>
    <t>杰力</t>
  </si>
  <si>
    <t>東聯</t>
    <phoneticPr fontId="1" type="noConversion"/>
  </si>
  <si>
    <t>雷科</t>
    <phoneticPr fontId="1" type="noConversion"/>
  </si>
  <si>
    <t>九豪</t>
    <phoneticPr fontId="1" type="noConversion"/>
  </si>
  <si>
    <t>類股</t>
    <phoneticPr fontId="1" type="noConversion"/>
  </si>
  <si>
    <t>矽統</t>
    <phoneticPr fontId="1" type="noConversion"/>
  </si>
  <si>
    <t>富鼎</t>
    <phoneticPr fontId="1" type="noConversion"/>
  </si>
  <si>
    <t>中工</t>
    <phoneticPr fontId="1" type="noConversion"/>
  </si>
  <si>
    <t>營造</t>
    <phoneticPr fontId="1" type="noConversion"/>
  </si>
  <si>
    <t>佳凌</t>
    <phoneticPr fontId="1" type="noConversion"/>
  </si>
  <si>
    <t>聚積</t>
    <phoneticPr fontId="1" type="noConversion"/>
  </si>
  <si>
    <t>鈞寶</t>
    <phoneticPr fontId="1" type="noConversion"/>
  </si>
  <si>
    <t>尚立</t>
    <phoneticPr fontId="1" type="noConversion"/>
  </si>
  <si>
    <t>電通</t>
    <phoneticPr fontId="1" type="noConversion"/>
  </si>
  <si>
    <t>電商</t>
    <phoneticPr fontId="1" type="noConversion"/>
  </si>
  <si>
    <t>一詮</t>
    <phoneticPr fontId="1" type="noConversion"/>
  </si>
  <si>
    <t>淳安</t>
    <phoneticPr fontId="1" type="noConversion"/>
  </si>
  <si>
    <t>新產</t>
    <phoneticPr fontId="1" type="noConversion"/>
  </si>
  <si>
    <t>中再保</t>
    <phoneticPr fontId="1" type="noConversion"/>
  </si>
  <si>
    <t>統一證</t>
    <phoneticPr fontId="1" type="noConversion"/>
  </si>
  <si>
    <t>王道銀</t>
    <phoneticPr fontId="1" type="noConversion"/>
  </si>
  <si>
    <t>群益期</t>
    <phoneticPr fontId="1" type="noConversion"/>
  </si>
  <si>
    <t>台名</t>
    <phoneticPr fontId="1" type="noConversion"/>
  </si>
  <si>
    <t>宏遠證</t>
    <phoneticPr fontId="1" type="noConversion"/>
  </si>
  <si>
    <t>康和證</t>
    <phoneticPr fontId="1" type="noConversion"/>
  </si>
  <si>
    <t>大慶證</t>
    <phoneticPr fontId="1" type="noConversion"/>
  </si>
  <si>
    <t>福邦證</t>
    <phoneticPr fontId="1" type="noConversion"/>
  </si>
  <si>
    <t>半導體</t>
    <phoneticPr fontId="1" type="noConversion"/>
  </si>
  <si>
    <t>華泰</t>
    <phoneticPr fontId="1" type="noConversion"/>
  </si>
  <si>
    <t>統懋</t>
    <phoneticPr fontId="1" type="noConversion"/>
  </si>
  <si>
    <t>聯傑</t>
    <phoneticPr fontId="1" type="noConversion"/>
  </si>
  <si>
    <t>敦泰</t>
    <phoneticPr fontId="1" type="noConversion"/>
  </si>
  <si>
    <t>通嘉</t>
    <phoneticPr fontId="1" type="noConversion"/>
  </si>
  <si>
    <t>達能</t>
    <phoneticPr fontId="1" type="noConversion"/>
  </si>
  <si>
    <t>立積</t>
    <phoneticPr fontId="1" type="noConversion"/>
  </si>
  <si>
    <t>界霖</t>
    <phoneticPr fontId="1" type="noConversion"/>
  </si>
  <si>
    <t>松翰</t>
    <phoneticPr fontId="1" type="noConversion"/>
  </si>
  <si>
    <t>迅杰</t>
    <phoneticPr fontId="1" type="noConversion"/>
  </si>
  <si>
    <t>愛普</t>
    <phoneticPr fontId="1" type="noConversion"/>
  </si>
  <si>
    <t>易華電</t>
    <phoneticPr fontId="1" type="noConversion"/>
  </si>
  <si>
    <t>虹揚KY</t>
    <phoneticPr fontId="1" type="noConversion"/>
  </si>
  <si>
    <t>致新</t>
    <phoneticPr fontId="1" type="noConversion"/>
  </si>
  <si>
    <t>笙泉</t>
    <phoneticPr fontId="1" type="noConversion"/>
  </si>
  <si>
    <t>亞信</t>
    <phoneticPr fontId="1" type="noConversion"/>
  </si>
  <si>
    <t>鑫創</t>
    <phoneticPr fontId="1" type="noConversion"/>
  </si>
  <si>
    <t>海德威</t>
    <phoneticPr fontId="1" type="noConversion"/>
  </si>
  <si>
    <t>類比科</t>
    <phoneticPr fontId="1" type="noConversion"/>
  </si>
  <si>
    <t>禾瑞亞</t>
    <phoneticPr fontId="1" type="noConversion"/>
  </si>
  <si>
    <t>博磊</t>
    <phoneticPr fontId="1" type="noConversion"/>
  </si>
  <si>
    <t>德微</t>
    <phoneticPr fontId="1" type="noConversion"/>
  </si>
  <si>
    <t>家登</t>
    <phoneticPr fontId="1" type="noConversion"/>
  </si>
  <si>
    <t>廣穎</t>
    <phoneticPr fontId="1" type="noConversion"/>
  </si>
  <si>
    <t>太欣</t>
    <phoneticPr fontId="1" type="noConversion"/>
  </si>
  <si>
    <t>凱鈺</t>
    <phoneticPr fontId="1" type="noConversion"/>
  </si>
  <si>
    <t>通泰</t>
    <phoneticPr fontId="1" type="noConversion"/>
  </si>
  <si>
    <t>合邦</t>
    <phoneticPr fontId="1" type="noConversion"/>
  </si>
  <si>
    <t>創惟</t>
    <phoneticPr fontId="1" type="noConversion"/>
  </si>
  <si>
    <t>凌泰</t>
    <phoneticPr fontId="1" type="noConversion"/>
  </si>
  <si>
    <t>研通</t>
    <phoneticPr fontId="1" type="noConversion"/>
  </si>
  <si>
    <t>旺久</t>
    <phoneticPr fontId="1" type="noConversion"/>
  </si>
  <si>
    <t>驊訊</t>
    <phoneticPr fontId="1" type="noConversion"/>
  </si>
  <si>
    <t>元隆</t>
    <phoneticPr fontId="1" type="noConversion"/>
  </si>
  <si>
    <t>沛亨</t>
    <phoneticPr fontId="1" type="noConversion"/>
  </si>
  <si>
    <t>紘康</t>
    <phoneticPr fontId="1" type="noConversion"/>
  </si>
  <si>
    <t>九齊</t>
    <phoneticPr fontId="1" type="noConversion"/>
  </si>
  <si>
    <t>瑞耘</t>
    <phoneticPr fontId="1" type="noConversion"/>
  </si>
  <si>
    <t>展匯科</t>
    <phoneticPr fontId="1" type="noConversion"/>
  </si>
  <si>
    <t>佑華</t>
    <phoneticPr fontId="1" type="noConversion"/>
  </si>
  <si>
    <t>九暘</t>
    <phoneticPr fontId="1" type="noConversion"/>
  </si>
  <si>
    <t>品安</t>
    <phoneticPr fontId="1" type="noConversion"/>
  </si>
  <si>
    <t>年線</t>
    <phoneticPr fontId="1" type="noConversion"/>
  </si>
  <si>
    <t>金像電</t>
    <phoneticPr fontId="1" type="noConversion"/>
  </si>
  <si>
    <t>全漢</t>
    <phoneticPr fontId="1" type="noConversion"/>
  </si>
  <si>
    <t>同泰</t>
    <phoneticPr fontId="1" type="noConversion"/>
  </si>
  <si>
    <t>台端</t>
    <phoneticPr fontId="1" type="noConversion"/>
  </si>
  <si>
    <t>宏致</t>
    <phoneticPr fontId="1" type="noConversion"/>
  </si>
  <si>
    <t>健策</t>
    <phoneticPr fontId="1" type="noConversion"/>
  </si>
  <si>
    <t>銘鈺</t>
    <phoneticPr fontId="1" type="noConversion"/>
  </si>
  <si>
    <t>競國</t>
    <phoneticPr fontId="1" type="noConversion"/>
  </si>
  <si>
    <t>鎰勝</t>
    <phoneticPr fontId="1" type="noConversion"/>
  </si>
  <si>
    <t>柏承</t>
    <phoneticPr fontId="1" type="noConversion"/>
  </si>
  <si>
    <t>佳必琪</t>
    <phoneticPr fontId="1" type="noConversion"/>
  </si>
  <si>
    <t>詮欣</t>
    <phoneticPr fontId="1" type="noConversion"/>
  </si>
  <si>
    <t>定穎</t>
    <phoneticPr fontId="1" type="noConversion"/>
  </si>
  <si>
    <t>瀚荃</t>
    <phoneticPr fontId="1" type="noConversion"/>
  </si>
  <si>
    <t>菱光</t>
    <phoneticPr fontId="1" type="noConversion"/>
  </si>
  <si>
    <t>優群</t>
    <phoneticPr fontId="1" type="noConversion"/>
  </si>
  <si>
    <t>佳穎</t>
    <phoneticPr fontId="1" type="noConversion"/>
  </si>
  <si>
    <t>斐成</t>
    <phoneticPr fontId="1" type="noConversion"/>
  </si>
  <si>
    <t>建舜電</t>
    <phoneticPr fontId="1" type="noConversion"/>
  </si>
  <si>
    <t>崧騰</t>
    <phoneticPr fontId="1" type="noConversion"/>
  </si>
  <si>
    <t>長盛</t>
    <phoneticPr fontId="1" type="noConversion"/>
  </si>
  <si>
    <t>晟楠</t>
    <phoneticPr fontId="1" type="noConversion"/>
  </si>
  <si>
    <t>科嶠</t>
    <phoneticPr fontId="1" type="noConversion"/>
  </si>
  <si>
    <t>亞電</t>
    <phoneticPr fontId="1" type="noConversion"/>
  </si>
  <si>
    <t>立凱KY</t>
    <phoneticPr fontId="1" type="noConversion"/>
  </si>
  <si>
    <t>邑昇</t>
    <phoneticPr fontId="1" type="noConversion"/>
  </si>
  <si>
    <t>系統電</t>
    <phoneticPr fontId="1" type="noConversion"/>
  </si>
  <si>
    <t>華容</t>
    <phoneticPr fontId="1" type="noConversion"/>
  </si>
  <si>
    <t>建榮</t>
    <phoneticPr fontId="1" type="noConversion"/>
  </si>
  <si>
    <t>天揚</t>
    <phoneticPr fontId="1" type="noConversion"/>
  </si>
  <si>
    <t>主被動元件通路商</t>
    <phoneticPr fontId="1" type="noConversion"/>
  </si>
  <si>
    <t>連展投</t>
    <phoneticPr fontId="1" type="noConversion"/>
  </si>
  <si>
    <t>霖宏</t>
    <phoneticPr fontId="1" type="noConversion"/>
  </si>
  <si>
    <t>德宏</t>
    <phoneticPr fontId="1" type="noConversion"/>
  </si>
  <si>
    <t>松普</t>
    <phoneticPr fontId="1" type="noConversion"/>
  </si>
  <si>
    <t>凱崴</t>
    <phoneticPr fontId="1" type="noConversion"/>
  </si>
  <si>
    <t>PCB鑽頭</t>
    <phoneticPr fontId="1" type="noConversion"/>
  </si>
  <si>
    <t>業強</t>
    <phoneticPr fontId="1" type="noConversion"/>
  </si>
  <si>
    <t>信音</t>
    <phoneticPr fontId="1" type="noConversion"/>
  </si>
  <si>
    <t>01</t>
    <phoneticPr fontId="1" type="noConversion"/>
  </si>
  <si>
    <t>02</t>
    <phoneticPr fontId="1" type="noConversion"/>
  </si>
  <si>
    <t>03</t>
    <phoneticPr fontId="1" type="noConversion"/>
  </si>
  <si>
    <t>松上</t>
    <phoneticPr fontId="1" type="noConversion"/>
  </si>
  <si>
    <t>安碁</t>
    <phoneticPr fontId="1" type="noConversion"/>
  </si>
  <si>
    <t>幃翔</t>
    <phoneticPr fontId="1" type="noConversion"/>
  </si>
  <si>
    <t>育富</t>
    <phoneticPr fontId="1" type="noConversion"/>
  </si>
  <si>
    <t>海韻電</t>
    <phoneticPr fontId="1" type="noConversion"/>
  </si>
  <si>
    <t>日揚</t>
    <phoneticPr fontId="1" type="noConversion"/>
  </si>
  <si>
    <t>慶生</t>
    <phoneticPr fontId="1" type="noConversion"/>
  </si>
  <si>
    <t>泰詠</t>
    <phoneticPr fontId="1" type="noConversion"/>
  </si>
  <si>
    <t>迅德</t>
    <phoneticPr fontId="1" type="noConversion"/>
  </si>
  <si>
    <t>今展科</t>
    <phoneticPr fontId="1" type="noConversion"/>
  </si>
  <si>
    <t>倉和</t>
    <phoneticPr fontId="1" type="noConversion"/>
  </si>
  <si>
    <t>鉅橡</t>
    <phoneticPr fontId="1" type="noConversion"/>
  </si>
  <si>
    <t>博大</t>
    <phoneticPr fontId="1" type="noConversion"/>
  </si>
  <si>
    <t>越峰</t>
    <phoneticPr fontId="1" type="noConversion"/>
  </si>
  <si>
    <t>加高</t>
    <phoneticPr fontId="1" type="noConversion"/>
  </si>
  <si>
    <t>國碩</t>
    <phoneticPr fontId="1" type="noConversion"/>
  </si>
  <si>
    <t>嘉威</t>
    <phoneticPr fontId="1" type="noConversion"/>
  </si>
  <si>
    <t>太極</t>
    <phoneticPr fontId="1" type="noConversion"/>
  </si>
  <si>
    <t>泰鼎KY</t>
    <phoneticPr fontId="1" type="noConversion"/>
  </si>
  <si>
    <t>聯嘉</t>
    <phoneticPr fontId="1" type="noConversion"/>
  </si>
  <si>
    <t>光麗KY</t>
    <phoneticPr fontId="1" type="noConversion"/>
  </si>
  <si>
    <t>元晶</t>
    <phoneticPr fontId="1" type="noConversion"/>
  </si>
  <si>
    <t>安集</t>
    <phoneticPr fontId="1" type="noConversion"/>
  </si>
  <si>
    <t>錦明</t>
    <phoneticPr fontId="1" type="noConversion"/>
  </si>
  <si>
    <t>泰谷</t>
    <phoneticPr fontId="1" type="noConversion"/>
  </si>
  <si>
    <t>光耀</t>
    <phoneticPr fontId="1" type="noConversion"/>
  </si>
  <si>
    <t>全友</t>
    <phoneticPr fontId="1" type="noConversion"/>
  </si>
  <si>
    <t>倫飛</t>
    <phoneticPr fontId="1" type="noConversion"/>
  </si>
  <si>
    <t>友通</t>
    <phoneticPr fontId="1" type="noConversion"/>
  </si>
  <si>
    <t>映泰</t>
    <phoneticPr fontId="1" type="noConversion"/>
  </si>
  <si>
    <t>圓剛</t>
    <phoneticPr fontId="1" type="noConversion"/>
  </si>
  <si>
    <t>隴華</t>
    <phoneticPr fontId="1" type="noConversion"/>
  </si>
  <si>
    <t>承啟</t>
    <phoneticPr fontId="1" type="noConversion"/>
  </si>
  <si>
    <t>喬鼎</t>
    <phoneticPr fontId="1" type="noConversion"/>
  </si>
  <si>
    <t>銘異</t>
    <phoneticPr fontId="1" type="noConversion"/>
  </si>
  <si>
    <t>融程電</t>
    <phoneticPr fontId="1" type="noConversion"/>
  </si>
  <si>
    <t>誠研</t>
    <phoneticPr fontId="1" type="noConversion"/>
  </si>
  <si>
    <t>華擎</t>
    <phoneticPr fontId="1" type="noConversion"/>
  </si>
  <si>
    <t>事欣科</t>
    <phoneticPr fontId="1" type="noConversion"/>
  </si>
  <si>
    <t>科嘉KY</t>
    <phoneticPr fontId="1" type="noConversion"/>
  </si>
  <si>
    <t>虹堡</t>
    <phoneticPr fontId="1" type="noConversion"/>
  </si>
  <si>
    <t>動力KY</t>
    <phoneticPr fontId="1" type="noConversion"/>
  </si>
  <si>
    <t>旭品</t>
    <phoneticPr fontId="1" type="noConversion"/>
  </si>
  <si>
    <t>力致</t>
    <phoneticPr fontId="1" type="noConversion"/>
  </si>
  <si>
    <t>上揚</t>
    <phoneticPr fontId="1" type="noConversion"/>
  </si>
  <si>
    <t>全域</t>
    <phoneticPr fontId="1" type="noConversion"/>
  </si>
  <si>
    <t>岱稜</t>
    <phoneticPr fontId="1" type="noConversion"/>
  </si>
  <si>
    <t>熱映</t>
    <phoneticPr fontId="1" type="noConversion"/>
  </si>
  <si>
    <t>漢科</t>
    <phoneticPr fontId="1" type="noConversion"/>
  </si>
  <si>
    <t>世禾</t>
    <phoneticPr fontId="1" type="noConversion"/>
  </si>
  <si>
    <t>駿熠電</t>
    <phoneticPr fontId="1" type="noConversion"/>
  </si>
  <si>
    <t>金利</t>
    <phoneticPr fontId="1" type="noConversion"/>
  </si>
  <si>
    <t>佶優</t>
    <phoneticPr fontId="1" type="noConversion"/>
  </si>
  <si>
    <t>淇譽電</t>
    <phoneticPr fontId="1" type="noConversion"/>
  </si>
  <si>
    <t>元山</t>
    <phoneticPr fontId="1" type="noConversion"/>
  </si>
  <si>
    <t>迅得</t>
    <phoneticPr fontId="1" type="noConversion"/>
  </si>
  <si>
    <t>啟發電</t>
    <phoneticPr fontId="1" type="noConversion"/>
  </si>
  <si>
    <t>朋億</t>
    <phoneticPr fontId="1" type="noConversion"/>
  </si>
  <si>
    <t>星雲</t>
    <phoneticPr fontId="1" type="noConversion"/>
  </si>
  <si>
    <t>福華</t>
    <phoneticPr fontId="1" type="noConversion"/>
  </si>
  <si>
    <t>建暐</t>
    <phoneticPr fontId="1" type="noConversion"/>
  </si>
  <si>
    <t>大拓</t>
    <phoneticPr fontId="1" type="noConversion"/>
  </si>
  <si>
    <t>金寶</t>
    <phoneticPr fontId="1" type="noConversion"/>
  </si>
  <si>
    <t>所羅門</t>
    <phoneticPr fontId="1" type="noConversion"/>
  </si>
  <si>
    <t>云辰</t>
    <phoneticPr fontId="1" type="noConversion"/>
  </si>
  <si>
    <t>漢唐</t>
    <phoneticPr fontId="1" type="noConversion"/>
  </si>
  <si>
    <t>固緯</t>
    <phoneticPr fontId="1" type="noConversion"/>
  </si>
  <si>
    <t>互盛電</t>
    <phoneticPr fontId="1" type="noConversion"/>
  </si>
  <si>
    <t>光群雷</t>
    <phoneticPr fontId="1" type="noConversion"/>
  </si>
  <si>
    <t>盟立</t>
    <phoneticPr fontId="1" type="noConversion"/>
  </si>
  <si>
    <t>連宇</t>
    <phoneticPr fontId="1" type="noConversion"/>
  </si>
  <si>
    <t>漢平</t>
    <phoneticPr fontId="1" type="noConversion"/>
  </si>
  <si>
    <t>普安</t>
    <phoneticPr fontId="1" type="noConversion"/>
  </si>
  <si>
    <t>同開</t>
    <phoneticPr fontId="1" type="noConversion"/>
  </si>
  <si>
    <t>科風</t>
    <phoneticPr fontId="1" type="noConversion"/>
  </si>
  <si>
    <t>昇貿</t>
    <phoneticPr fontId="1" type="noConversion"/>
  </si>
  <si>
    <t>柏騰</t>
    <phoneticPr fontId="1" type="noConversion"/>
  </si>
  <si>
    <t>碩天</t>
    <phoneticPr fontId="1" type="noConversion"/>
  </si>
  <si>
    <t>東科KY</t>
    <phoneticPr fontId="1" type="noConversion"/>
  </si>
  <si>
    <t>亞翔</t>
    <phoneticPr fontId="1" type="noConversion"/>
  </si>
  <si>
    <t>巨路</t>
    <phoneticPr fontId="1" type="noConversion"/>
  </si>
  <si>
    <t>亞弘電</t>
    <phoneticPr fontId="1" type="noConversion"/>
  </si>
  <si>
    <t>和椿</t>
    <phoneticPr fontId="1" type="noConversion"/>
  </si>
  <si>
    <t>尖點</t>
    <phoneticPr fontId="1" type="noConversion"/>
  </si>
  <si>
    <t>無敵</t>
    <phoneticPr fontId="1" type="noConversion"/>
  </si>
  <si>
    <t>06</t>
    <phoneticPr fontId="1" type="noConversion"/>
  </si>
  <si>
    <t>晶相光</t>
    <phoneticPr fontId="1" type="noConversion"/>
  </si>
  <si>
    <t>力山</t>
    <phoneticPr fontId="1" type="noConversion"/>
  </si>
  <si>
    <t>萬泰科</t>
    <phoneticPr fontId="1" type="noConversion"/>
  </si>
  <si>
    <t>易通展</t>
    <phoneticPr fontId="1" type="noConversion"/>
  </si>
  <si>
    <t>韋僑</t>
    <phoneticPr fontId="1" type="noConversion"/>
  </si>
  <si>
    <t>常珵</t>
    <phoneticPr fontId="1" type="noConversion"/>
  </si>
  <si>
    <t>天宇</t>
    <phoneticPr fontId="1" type="noConversion"/>
  </si>
  <si>
    <t>卓越</t>
    <phoneticPr fontId="1" type="noConversion"/>
  </si>
  <si>
    <t>居易</t>
    <phoneticPr fontId="1" type="noConversion"/>
  </si>
  <si>
    <t>07</t>
    <phoneticPr fontId="1" type="noConversion"/>
  </si>
  <si>
    <t>力肯</t>
    <phoneticPr fontId="1" type="noConversion"/>
  </si>
  <si>
    <t>駿吉KY</t>
    <phoneticPr fontId="1" type="noConversion"/>
  </si>
  <si>
    <t>大甲</t>
    <phoneticPr fontId="1" type="noConversion"/>
  </si>
  <si>
    <t>嘉鋼</t>
    <phoneticPr fontId="1" type="noConversion"/>
  </si>
  <si>
    <t>泰茂</t>
    <phoneticPr fontId="1" type="noConversion"/>
  </si>
  <si>
    <t>謚源</t>
    <phoneticPr fontId="1" type="noConversion"/>
  </si>
  <si>
    <t>精確</t>
    <phoneticPr fontId="1" type="noConversion"/>
  </si>
  <si>
    <t>至寶電</t>
    <phoneticPr fontId="1" type="noConversion"/>
  </si>
  <si>
    <t>彬台</t>
    <phoneticPr fontId="1" type="noConversion"/>
  </si>
  <si>
    <t>台興</t>
    <phoneticPr fontId="1" type="noConversion"/>
  </si>
  <si>
    <t>健信</t>
    <phoneticPr fontId="1" type="noConversion"/>
  </si>
  <si>
    <t>金雨</t>
    <phoneticPr fontId="1" type="noConversion"/>
  </si>
  <si>
    <t>高鋒</t>
    <phoneticPr fontId="1" type="noConversion"/>
  </si>
  <si>
    <t>福裕</t>
    <phoneticPr fontId="1" type="noConversion"/>
  </si>
  <si>
    <t>永彰</t>
    <phoneticPr fontId="1" type="noConversion"/>
  </si>
  <si>
    <t>方土霖</t>
    <phoneticPr fontId="1" type="noConversion"/>
  </si>
  <si>
    <t>宏易</t>
    <phoneticPr fontId="1" type="noConversion"/>
  </si>
  <si>
    <t>慶騰</t>
    <phoneticPr fontId="1" type="noConversion"/>
  </si>
  <si>
    <t>萬在</t>
    <phoneticPr fontId="1" type="noConversion"/>
  </si>
  <si>
    <t>桓達</t>
    <phoneticPr fontId="1" type="noConversion"/>
  </si>
  <si>
    <t>長佳</t>
    <phoneticPr fontId="1" type="noConversion"/>
  </si>
  <si>
    <t>健椿</t>
  </si>
  <si>
    <t>百德</t>
    <phoneticPr fontId="1" type="noConversion"/>
  </si>
  <si>
    <t>擎邦</t>
    <phoneticPr fontId="1" type="noConversion"/>
  </si>
  <si>
    <t>富強鑫</t>
    <phoneticPr fontId="1" type="noConversion"/>
  </si>
  <si>
    <t>龍澤科</t>
    <phoneticPr fontId="1" type="noConversion"/>
  </si>
  <si>
    <t>鈦昇</t>
    <phoneticPr fontId="1" type="noConversion"/>
  </si>
  <si>
    <t>和勤</t>
    <phoneticPr fontId="1" type="noConversion"/>
  </si>
  <si>
    <t>士電</t>
    <phoneticPr fontId="1" type="noConversion"/>
  </si>
  <si>
    <t>正道</t>
    <phoneticPr fontId="1" type="noConversion"/>
  </si>
  <si>
    <t>永大</t>
    <phoneticPr fontId="1" type="noConversion"/>
  </si>
  <si>
    <t>中興電</t>
    <phoneticPr fontId="1" type="noConversion"/>
  </si>
  <si>
    <t>亞力</t>
    <phoneticPr fontId="1" type="noConversion"/>
  </si>
  <si>
    <t>利奇</t>
    <phoneticPr fontId="1" type="noConversion"/>
  </si>
  <si>
    <t>華城</t>
    <phoneticPr fontId="1" type="noConversion"/>
  </si>
  <si>
    <t>日馳</t>
    <phoneticPr fontId="1" type="noConversion"/>
  </si>
  <si>
    <t>鑽全</t>
    <phoneticPr fontId="1" type="noConversion"/>
  </si>
  <si>
    <t>恩德</t>
    <phoneticPr fontId="1" type="noConversion"/>
  </si>
  <si>
    <t>樂士</t>
    <phoneticPr fontId="1" type="noConversion"/>
  </si>
  <si>
    <t>亞崴</t>
    <phoneticPr fontId="1" type="noConversion"/>
  </si>
  <si>
    <t>高林股</t>
    <phoneticPr fontId="1" type="noConversion"/>
  </si>
  <si>
    <t>中宇</t>
    <phoneticPr fontId="1" type="noConversion"/>
  </si>
  <si>
    <t>廣隆</t>
    <phoneticPr fontId="1" type="noConversion"/>
  </si>
  <si>
    <t>正峰新</t>
    <phoneticPr fontId="1" type="noConversion"/>
  </si>
  <si>
    <t>巨庭</t>
    <phoneticPr fontId="1" type="noConversion"/>
  </si>
  <si>
    <t>喬福</t>
    <phoneticPr fontId="1" type="noConversion"/>
  </si>
  <si>
    <t>錩泰</t>
    <phoneticPr fontId="1" type="noConversion"/>
  </si>
  <si>
    <t>伸興</t>
    <phoneticPr fontId="1" type="noConversion"/>
  </si>
  <si>
    <t>程泰</t>
    <phoneticPr fontId="1" type="noConversion"/>
  </si>
  <si>
    <t>永冠KY</t>
    <phoneticPr fontId="1" type="noConversion"/>
  </si>
  <si>
    <t>劍麟</t>
    <phoneticPr fontId="1" type="noConversion"/>
  </si>
  <si>
    <t>百達</t>
    <phoneticPr fontId="1" type="noConversion"/>
  </si>
  <si>
    <t>麗清</t>
    <phoneticPr fontId="1" type="noConversion"/>
  </si>
  <si>
    <t>東台</t>
    <phoneticPr fontId="1" type="noConversion"/>
  </si>
  <si>
    <t>瑞智</t>
    <phoneticPr fontId="1" type="noConversion"/>
  </si>
  <si>
    <t>氣立</t>
    <phoneticPr fontId="1" type="noConversion"/>
  </si>
  <si>
    <t>永新KY</t>
    <phoneticPr fontId="1" type="noConversion"/>
  </si>
  <si>
    <t>強信KY</t>
    <phoneticPr fontId="1" type="noConversion"/>
  </si>
  <si>
    <t>穎漢</t>
    <phoneticPr fontId="1" type="noConversion"/>
  </si>
  <si>
    <t>豐祥KY</t>
    <phoneticPr fontId="1" type="noConversion"/>
  </si>
  <si>
    <t>寶一</t>
    <phoneticPr fontId="1" type="noConversion"/>
  </si>
  <si>
    <t>羅昇</t>
    <phoneticPr fontId="1" type="noConversion"/>
  </si>
  <si>
    <t>高力</t>
    <phoneticPr fontId="1" type="noConversion"/>
  </si>
  <si>
    <t>08</t>
    <phoneticPr fontId="1" type="noConversion"/>
  </si>
  <si>
    <t>信立</t>
    <phoneticPr fontId="1" type="noConversion"/>
  </si>
  <si>
    <t>勝昱</t>
    <phoneticPr fontId="1" type="noConversion"/>
  </si>
  <si>
    <t>世坤</t>
    <phoneticPr fontId="1" type="noConversion"/>
  </si>
  <si>
    <t>冠好</t>
    <phoneticPr fontId="1" type="noConversion"/>
  </si>
  <si>
    <t>萬國通</t>
    <phoneticPr fontId="1" type="noConversion"/>
  </si>
  <si>
    <t>華夏</t>
    <phoneticPr fontId="1" type="noConversion"/>
  </si>
  <si>
    <t>三芳</t>
    <phoneticPr fontId="1" type="noConversion"/>
  </si>
  <si>
    <t>台苯</t>
    <phoneticPr fontId="1" type="noConversion"/>
  </si>
  <si>
    <t>聯成</t>
    <phoneticPr fontId="1" type="noConversion"/>
  </si>
  <si>
    <t>達新</t>
    <phoneticPr fontId="1" type="noConversion"/>
  </si>
  <si>
    <t>大洋</t>
    <phoneticPr fontId="1" type="noConversion"/>
  </si>
  <si>
    <t>永裕</t>
    <phoneticPr fontId="1" type="noConversion"/>
  </si>
  <si>
    <t>地球</t>
    <phoneticPr fontId="1" type="noConversion"/>
  </si>
  <si>
    <t>恆大</t>
    <phoneticPr fontId="1" type="noConversion"/>
  </si>
  <si>
    <t>再生KY</t>
    <phoneticPr fontId="1" type="noConversion"/>
  </si>
  <si>
    <t>勝悅KY</t>
    <phoneticPr fontId="1" type="noConversion"/>
  </si>
  <si>
    <t>炎洲</t>
    <phoneticPr fontId="1" type="noConversion"/>
  </si>
  <si>
    <t>祺驊</t>
    <phoneticPr fontId="1" type="noConversion"/>
  </si>
  <si>
    <t>合世</t>
    <phoneticPr fontId="1" type="noConversion"/>
  </si>
  <si>
    <t>寶利徠</t>
    <phoneticPr fontId="1" type="noConversion"/>
  </si>
  <si>
    <t>永日</t>
    <phoneticPr fontId="1" type="noConversion"/>
  </si>
  <si>
    <t>優盛</t>
    <phoneticPr fontId="1" type="noConversion"/>
  </si>
  <si>
    <t>中天</t>
    <phoneticPr fontId="1" type="noConversion"/>
  </si>
  <si>
    <t>健亞</t>
    <phoneticPr fontId="1" type="noConversion"/>
  </si>
  <si>
    <t>台微體</t>
    <phoneticPr fontId="1" type="noConversion"/>
  </si>
  <si>
    <t>醣聯</t>
    <phoneticPr fontId="1" type="noConversion"/>
  </si>
  <si>
    <t>久裕</t>
    <phoneticPr fontId="1" type="noConversion"/>
  </si>
  <si>
    <t>永昕</t>
    <phoneticPr fontId="1" type="noConversion"/>
  </si>
  <si>
    <t>豪展</t>
    <phoneticPr fontId="1" type="noConversion"/>
  </si>
  <si>
    <t>藥華藥</t>
    <phoneticPr fontId="1" type="noConversion"/>
  </si>
  <si>
    <t>益得</t>
    <phoneticPr fontId="1" type="noConversion"/>
  </si>
  <si>
    <t>保瑞</t>
    <phoneticPr fontId="1" type="noConversion"/>
  </si>
  <si>
    <t>生華科</t>
    <phoneticPr fontId="1" type="noConversion"/>
  </si>
  <si>
    <t>達爾膚</t>
    <phoneticPr fontId="1" type="noConversion"/>
  </si>
  <si>
    <t>順藥</t>
    <phoneticPr fontId="1" type="noConversion"/>
  </si>
  <si>
    <t>霈方</t>
  </si>
  <si>
    <t>逸達</t>
    <phoneticPr fontId="1" type="noConversion"/>
  </si>
  <si>
    <t>商之器</t>
    <phoneticPr fontId="1" type="noConversion"/>
  </si>
  <si>
    <t>岱宇</t>
    <phoneticPr fontId="1" type="noConversion"/>
  </si>
  <si>
    <t>寶齡富錦</t>
    <phoneticPr fontId="1" type="noConversion"/>
  </si>
  <si>
    <t>佳醫</t>
    <phoneticPr fontId="1" type="noConversion"/>
  </si>
  <si>
    <t>雃博</t>
  </si>
  <si>
    <t>懷特</t>
    <phoneticPr fontId="1" type="noConversion"/>
  </si>
  <si>
    <t>國光生</t>
    <phoneticPr fontId="1" type="noConversion"/>
  </si>
  <si>
    <t>訊映</t>
    <phoneticPr fontId="1" type="noConversion"/>
  </si>
  <si>
    <t>承業醫</t>
    <phoneticPr fontId="1" type="noConversion"/>
  </si>
  <si>
    <t>台耀</t>
    <phoneticPr fontId="1" type="noConversion"/>
  </si>
  <si>
    <t>泰福KY</t>
    <phoneticPr fontId="1" type="noConversion"/>
  </si>
  <si>
    <t>精剛</t>
    <phoneticPr fontId="1" type="noConversion"/>
  </si>
  <si>
    <t>太普高</t>
    <phoneticPr fontId="1" type="noConversion"/>
  </si>
  <si>
    <t>耀億</t>
    <phoneticPr fontId="1" type="noConversion"/>
  </si>
  <si>
    <t>淳紳</t>
    <phoneticPr fontId="1" type="noConversion"/>
  </si>
  <si>
    <t>晟田</t>
    <phoneticPr fontId="1" type="noConversion"/>
  </si>
  <si>
    <t>旭然</t>
    <phoneticPr fontId="1" type="noConversion"/>
  </si>
  <si>
    <t>牧東</t>
    <phoneticPr fontId="1" type="noConversion"/>
  </si>
  <si>
    <t>達輝KY</t>
    <phoneticPr fontId="1" type="noConversion"/>
  </si>
  <si>
    <t>亞通</t>
    <phoneticPr fontId="1" type="noConversion"/>
  </si>
  <si>
    <t>天品</t>
    <phoneticPr fontId="1" type="noConversion"/>
  </si>
  <si>
    <t>康呈</t>
    <phoneticPr fontId="1" type="noConversion"/>
  </si>
  <si>
    <t>特昇KY</t>
    <phoneticPr fontId="1" type="noConversion"/>
  </si>
  <si>
    <t>益張</t>
    <phoneticPr fontId="1" type="noConversion"/>
  </si>
  <si>
    <t>金益鼎</t>
    <phoneticPr fontId="1" type="noConversion"/>
  </si>
  <si>
    <t>白紗科</t>
    <phoneticPr fontId="1" type="noConversion"/>
  </si>
  <si>
    <t>旭源</t>
    <phoneticPr fontId="1" type="noConversion"/>
  </si>
  <si>
    <t>保綠KY</t>
    <phoneticPr fontId="1" type="noConversion"/>
  </si>
  <si>
    <t>紅木KY</t>
    <phoneticPr fontId="1" type="noConversion"/>
  </si>
  <si>
    <t>鉅邁</t>
    <phoneticPr fontId="1" type="noConversion"/>
  </si>
  <si>
    <t>大地KY</t>
    <phoneticPr fontId="1" type="noConversion"/>
  </si>
  <si>
    <t>綠電</t>
    <phoneticPr fontId="1" type="noConversion"/>
  </si>
  <si>
    <t>台境</t>
    <phoneticPr fontId="1" type="noConversion"/>
  </si>
  <si>
    <t>裕國</t>
    <phoneticPr fontId="1" type="noConversion"/>
  </si>
  <si>
    <t>花王</t>
    <phoneticPr fontId="1" type="noConversion"/>
  </si>
  <si>
    <t>沈氏</t>
    <phoneticPr fontId="1" type="noConversion"/>
  </si>
  <si>
    <t>大田</t>
    <phoneticPr fontId="1" type="noConversion"/>
  </si>
  <si>
    <t>鉅明</t>
    <phoneticPr fontId="1" type="noConversion"/>
  </si>
  <si>
    <t>富堡</t>
    <phoneticPr fontId="1" type="noConversion"/>
  </si>
  <si>
    <t>宏大</t>
    <phoneticPr fontId="1" type="noConversion"/>
  </si>
  <si>
    <t>愛地雅</t>
    <phoneticPr fontId="1" type="noConversion"/>
  </si>
  <si>
    <t>邦泰</t>
    <phoneticPr fontId="1" type="noConversion"/>
  </si>
  <si>
    <t>國統</t>
    <phoneticPr fontId="1" type="noConversion"/>
  </si>
  <si>
    <t>合騏</t>
    <phoneticPr fontId="1" type="noConversion"/>
  </si>
  <si>
    <t>中福</t>
    <phoneticPr fontId="1" type="noConversion"/>
  </si>
  <si>
    <t>勤益控</t>
    <phoneticPr fontId="1" type="noConversion"/>
  </si>
  <si>
    <t>川飛</t>
    <phoneticPr fontId="1" type="noConversion"/>
  </si>
  <si>
    <t>橋椿</t>
  </si>
  <si>
    <t>海悅</t>
    <phoneticPr fontId="1" type="noConversion"/>
  </si>
  <si>
    <t>廷鑫</t>
    <phoneticPr fontId="1" type="noConversion"/>
  </si>
  <si>
    <t>龍邦</t>
    <phoneticPr fontId="1" type="noConversion"/>
  </si>
  <si>
    <t>匯僑</t>
    <phoneticPr fontId="1" type="noConversion"/>
  </si>
  <si>
    <t>遠見</t>
    <phoneticPr fontId="1" type="noConversion"/>
  </si>
  <si>
    <t>拓凱</t>
    <phoneticPr fontId="1" type="noConversion"/>
  </si>
  <si>
    <t>大豐電</t>
    <phoneticPr fontId="1" type="noConversion"/>
  </si>
  <si>
    <t>台數科</t>
    <phoneticPr fontId="1" type="noConversion"/>
  </si>
  <si>
    <t>南六</t>
    <phoneticPr fontId="1" type="noConversion"/>
  </si>
  <si>
    <t>鋼聯</t>
    <phoneticPr fontId="1" type="noConversion"/>
  </si>
  <si>
    <t>必應</t>
    <phoneticPr fontId="1" type="noConversion"/>
  </si>
  <si>
    <t>雷虎</t>
    <phoneticPr fontId="1" type="noConversion"/>
  </si>
  <si>
    <t>日友</t>
    <phoneticPr fontId="1" type="noConversion"/>
  </si>
  <si>
    <t>福貞KY</t>
    <phoneticPr fontId="1" type="noConversion"/>
  </si>
  <si>
    <t>可寧衛</t>
    <phoneticPr fontId="1" type="noConversion"/>
  </si>
  <si>
    <t>潤泰材</t>
    <phoneticPr fontId="1" type="noConversion"/>
  </si>
  <si>
    <t>波力KY</t>
    <phoneticPr fontId="1" type="noConversion"/>
  </si>
  <si>
    <t>山林水</t>
    <phoneticPr fontId="1" type="noConversion"/>
  </si>
  <si>
    <t>泰昇KY</t>
    <phoneticPr fontId="1" type="noConversion"/>
  </si>
  <si>
    <t>政伸</t>
    <phoneticPr fontId="1" type="noConversion"/>
  </si>
  <si>
    <t>吉源KY</t>
    <phoneticPr fontId="1" type="noConversion"/>
  </si>
  <si>
    <t>台火</t>
    <phoneticPr fontId="1" type="noConversion"/>
  </si>
  <si>
    <t>大華</t>
    <phoneticPr fontId="1" type="noConversion"/>
  </si>
  <si>
    <t>櫻花</t>
    <phoneticPr fontId="1" type="noConversion"/>
  </si>
  <si>
    <t>康那香</t>
    <phoneticPr fontId="1" type="noConversion"/>
  </si>
  <si>
    <t>福興</t>
    <phoneticPr fontId="1" type="noConversion"/>
  </si>
  <si>
    <t>泰銘</t>
    <phoneticPr fontId="1" type="noConversion"/>
  </si>
  <si>
    <t>中視</t>
    <phoneticPr fontId="1" type="noConversion"/>
  </si>
  <si>
    <t>秋雨</t>
    <phoneticPr fontId="1" type="noConversion"/>
  </si>
  <si>
    <t>成霖</t>
    <phoneticPr fontId="1" type="noConversion"/>
  </si>
  <si>
    <t>慶豐富</t>
    <phoneticPr fontId="1" type="noConversion"/>
  </si>
  <si>
    <t>宏全</t>
    <phoneticPr fontId="1" type="noConversion"/>
  </si>
  <si>
    <t>茂順</t>
    <phoneticPr fontId="1" type="noConversion"/>
  </si>
  <si>
    <t>新麗</t>
    <phoneticPr fontId="1" type="noConversion"/>
  </si>
  <si>
    <t>佳龍</t>
    <phoneticPr fontId="1" type="noConversion"/>
  </si>
  <si>
    <t>威宏KY</t>
    <phoneticPr fontId="1" type="noConversion"/>
  </si>
  <si>
    <t>11</t>
    <phoneticPr fontId="1" type="noConversion"/>
  </si>
  <si>
    <t>福大</t>
    <phoneticPr fontId="1" type="noConversion"/>
  </si>
  <si>
    <t>新昕纖</t>
    <phoneticPr fontId="1" type="noConversion"/>
  </si>
  <si>
    <t>金洲</t>
    <phoneticPr fontId="1" type="noConversion"/>
  </si>
  <si>
    <t>元勝</t>
    <phoneticPr fontId="1" type="noConversion"/>
  </si>
  <si>
    <t>光明</t>
    <phoneticPr fontId="1" type="noConversion"/>
  </si>
  <si>
    <t>聚紡</t>
    <phoneticPr fontId="1" type="noConversion"/>
  </si>
  <si>
    <t>興采</t>
    <phoneticPr fontId="1" type="noConversion"/>
  </si>
  <si>
    <t>新纖</t>
    <phoneticPr fontId="1" type="noConversion"/>
  </si>
  <si>
    <t>南染</t>
    <phoneticPr fontId="1" type="noConversion"/>
  </si>
  <si>
    <t>宏洲</t>
    <phoneticPr fontId="1" type="noConversion"/>
  </si>
  <si>
    <t>東和</t>
    <phoneticPr fontId="1" type="noConversion"/>
  </si>
  <si>
    <t>廣豐</t>
    <phoneticPr fontId="1" type="noConversion"/>
  </si>
  <si>
    <t>嘉裕</t>
    <phoneticPr fontId="1" type="noConversion"/>
  </si>
  <si>
    <t>東華</t>
    <phoneticPr fontId="1" type="noConversion"/>
  </si>
  <si>
    <t>新紡</t>
    <phoneticPr fontId="1" type="noConversion"/>
  </si>
  <si>
    <t>利華</t>
    <phoneticPr fontId="1" type="noConversion"/>
  </si>
  <si>
    <t>中和</t>
    <phoneticPr fontId="1" type="noConversion"/>
  </si>
  <si>
    <t>南紡</t>
    <phoneticPr fontId="1" type="noConversion"/>
  </si>
  <si>
    <t>大東</t>
    <phoneticPr fontId="1" type="noConversion"/>
  </si>
  <si>
    <t>立益</t>
    <phoneticPr fontId="1" type="noConversion"/>
  </si>
  <si>
    <t>大宇</t>
    <phoneticPr fontId="1" type="noConversion"/>
  </si>
  <si>
    <t>宏和</t>
    <phoneticPr fontId="1" type="noConversion"/>
  </si>
  <si>
    <t>力鵬</t>
    <phoneticPr fontId="1" type="noConversion"/>
  </si>
  <si>
    <t>佳和</t>
    <phoneticPr fontId="1" type="noConversion"/>
  </si>
  <si>
    <t>年興</t>
    <phoneticPr fontId="1" type="noConversion"/>
  </si>
  <si>
    <t>宏益</t>
    <phoneticPr fontId="1" type="noConversion"/>
  </si>
  <si>
    <t>大將</t>
    <phoneticPr fontId="1" type="noConversion"/>
  </si>
  <si>
    <t>台富</t>
    <phoneticPr fontId="1" type="noConversion"/>
  </si>
  <si>
    <t>怡華</t>
    <phoneticPr fontId="1" type="noConversion"/>
  </si>
  <si>
    <t>宜進</t>
    <phoneticPr fontId="1" type="noConversion"/>
  </si>
  <si>
    <t>聯發</t>
    <phoneticPr fontId="1" type="noConversion"/>
  </si>
  <si>
    <t>宏遠</t>
    <phoneticPr fontId="1" type="noConversion"/>
  </si>
  <si>
    <t>強盛</t>
    <phoneticPr fontId="1" type="noConversion"/>
  </si>
  <si>
    <t>得力</t>
    <phoneticPr fontId="1" type="noConversion"/>
  </si>
  <si>
    <t>偉全</t>
    <phoneticPr fontId="1" type="noConversion"/>
  </si>
  <si>
    <t>聚隆</t>
    <phoneticPr fontId="1" type="noConversion"/>
  </si>
  <si>
    <t>南緯</t>
    <phoneticPr fontId="1" type="noConversion"/>
  </si>
  <si>
    <t>昶和</t>
    <phoneticPr fontId="1" type="noConversion"/>
  </si>
  <si>
    <t>三洋紡</t>
    <phoneticPr fontId="1" type="noConversion"/>
  </si>
  <si>
    <t>台南</t>
    <phoneticPr fontId="1" type="noConversion"/>
  </si>
  <si>
    <t>弘裕</t>
    <phoneticPr fontId="1" type="noConversion"/>
  </si>
  <si>
    <t>如興</t>
    <phoneticPr fontId="1" type="noConversion"/>
  </si>
  <si>
    <t>利勤</t>
    <phoneticPr fontId="1" type="noConversion"/>
  </si>
  <si>
    <t>廣越</t>
    <phoneticPr fontId="1" type="noConversion"/>
  </si>
  <si>
    <t>化工</t>
    <phoneticPr fontId="1" type="noConversion"/>
  </si>
  <si>
    <t>1316</t>
    <phoneticPr fontId="1" type="noConversion"/>
  </si>
  <si>
    <t>上曜</t>
    <phoneticPr fontId="1" type="noConversion"/>
  </si>
  <si>
    <t>東鹼</t>
    <phoneticPr fontId="1" type="noConversion"/>
  </si>
  <si>
    <t>和益</t>
    <phoneticPr fontId="1" type="noConversion"/>
  </si>
  <si>
    <t>永光</t>
    <phoneticPr fontId="1" type="noConversion"/>
  </si>
  <si>
    <t>興農</t>
    <phoneticPr fontId="1" type="noConversion"/>
  </si>
  <si>
    <t>國化</t>
    <phoneticPr fontId="1" type="noConversion"/>
  </si>
  <si>
    <t>和桐</t>
    <phoneticPr fontId="1" type="noConversion"/>
  </si>
  <si>
    <t>中纖</t>
    <phoneticPr fontId="1" type="noConversion"/>
  </si>
  <si>
    <t>三晃</t>
    <phoneticPr fontId="1" type="noConversion"/>
  </si>
  <si>
    <t>元禎</t>
  </si>
  <si>
    <t>毛寶</t>
    <phoneticPr fontId="1" type="noConversion"/>
  </si>
  <si>
    <t>三福化</t>
    <phoneticPr fontId="1" type="noConversion"/>
  </si>
  <si>
    <t>13</t>
    <phoneticPr fontId="1" type="noConversion"/>
  </si>
  <si>
    <t>德麥</t>
    <phoneticPr fontId="1" type="noConversion"/>
  </si>
  <si>
    <t>中華食</t>
    <phoneticPr fontId="1" type="noConversion"/>
  </si>
  <si>
    <t>環泰</t>
    <phoneticPr fontId="1" type="noConversion"/>
  </si>
  <si>
    <t>味王</t>
    <phoneticPr fontId="1" type="noConversion"/>
  </si>
  <si>
    <t>大成</t>
    <phoneticPr fontId="1" type="noConversion"/>
  </si>
  <si>
    <t>1213</t>
    <phoneticPr fontId="1" type="noConversion"/>
  </si>
  <si>
    <t>大飲</t>
    <phoneticPr fontId="1" type="noConversion"/>
  </si>
  <si>
    <t>卜蜂</t>
    <phoneticPr fontId="1" type="noConversion"/>
  </si>
  <si>
    <t>愛之味</t>
    <phoneticPr fontId="1" type="noConversion"/>
  </si>
  <si>
    <t>泰山</t>
    <phoneticPr fontId="1" type="noConversion"/>
  </si>
  <si>
    <t>福壽</t>
    <phoneticPr fontId="1" type="noConversion"/>
  </si>
  <si>
    <t>台榮</t>
    <phoneticPr fontId="1" type="noConversion"/>
  </si>
  <si>
    <t>福懋油</t>
    <phoneticPr fontId="1" type="noConversion"/>
  </si>
  <si>
    <t>聯華</t>
    <phoneticPr fontId="1" type="noConversion"/>
  </si>
  <si>
    <t>聯華食</t>
    <phoneticPr fontId="1" type="noConversion"/>
  </si>
  <si>
    <t>大統益</t>
    <phoneticPr fontId="1" type="noConversion"/>
  </si>
  <si>
    <t>天仁</t>
    <phoneticPr fontId="1" type="noConversion"/>
  </si>
  <si>
    <t>黑松</t>
    <phoneticPr fontId="1" type="noConversion"/>
  </si>
  <si>
    <t>興泰</t>
    <phoneticPr fontId="1" type="noConversion"/>
  </si>
  <si>
    <t>宏亞</t>
    <phoneticPr fontId="1" type="noConversion"/>
  </si>
  <si>
    <t>鮮活果汁KY</t>
    <phoneticPr fontId="1" type="noConversion"/>
  </si>
  <si>
    <t>臺鹽</t>
    <phoneticPr fontId="1" type="noConversion"/>
  </si>
  <si>
    <t>14</t>
    <phoneticPr fontId="1" type="noConversion"/>
  </si>
  <si>
    <t>滿心</t>
    <phoneticPr fontId="1" type="noConversion"/>
  </si>
  <si>
    <t>東凌KY</t>
    <phoneticPr fontId="1" type="noConversion"/>
  </si>
  <si>
    <t>集雅社</t>
    <phoneticPr fontId="1" type="noConversion"/>
  </si>
  <si>
    <t>新洲</t>
    <phoneticPr fontId="1" type="noConversion"/>
  </si>
  <si>
    <t>德記</t>
    <phoneticPr fontId="1" type="noConversion"/>
  </si>
  <si>
    <t>南仁湖</t>
    <phoneticPr fontId="1" type="noConversion"/>
  </si>
  <si>
    <t>來思達</t>
    <phoneticPr fontId="1" type="noConversion"/>
  </si>
  <si>
    <t>關中</t>
    <phoneticPr fontId="1" type="noConversion"/>
  </si>
  <si>
    <t>邁達康</t>
    <phoneticPr fontId="1" type="noConversion"/>
  </si>
  <si>
    <t>大魯閣</t>
    <phoneticPr fontId="1" type="noConversion"/>
  </si>
  <si>
    <t>東森</t>
    <phoneticPr fontId="1" type="noConversion"/>
  </si>
  <si>
    <t>欣欣</t>
    <phoneticPr fontId="1" type="noConversion"/>
  </si>
  <si>
    <t>遠百</t>
    <phoneticPr fontId="1" type="noConversion"/>
  </si>
  <si>
    <t>高林</t>
    <phoneticPr fontId="1" type="noConversion"/>
  </si>
  <si>
    <t>特力</t>
    <phoneticPr fontId="1" type="noConversion"/>
  </si>
  <si>
    <t>統領</t>
    <phoneticPr fontId="1" type="noConversion"/>
  </si>
  <si>
    <t>麗嬰房</t>
    <phoneticPr fontId="1" type="noConversion"/>
  </si>
  <si>
    <t>農林</t>
    <phoneticPr fontId="1" type="noConversion"/>
  </si>
  <si>
    <t>凱羿KY</t>
    <phoneticPr fontId="1" type="noConversion"/>
  </si>
  <si>
    <t>日成KY</t>
    <phoneticPr fontId="1" type="noConversion"/>
  </si>
  <si>
    <t>台南KY</t>
    <phoneticPr fontId="1" type="noConversion"/>
  </si>
  <si>
    <t>大洋KY</t>
    <phoneticPr fontId="1" type="noConversion"/>
  </si>
  <si>
    <t>金麗KY</t>
    <phoneticPr fontId="1" type="noConversion"/>
  </si>
  <si>
    <t>阿瘦</t>
    <phoneticPr fontId="1" type="noConversion"/>
  </si>
  <si>
    <t>三顧</t>
    <phoneticPr fontId="1" type="noConversion"/>
  </si>
  <si>
    <t>昱捷</t>
    <phoneticPr fontId="1" type="noConversion"/>
  </si>
  <si>
    <t>利機</t>
    <phoneticPr fontId="1" type="noConversion"/>
  </si>
  <si>
    <t>亞矽</t>
    <phoneticPr fontId="1" type="noConversion"/>
  </si>
  <si>
    <t>建達</t>
    <phoneticPr fontId="1" type="noConversion"/>
  </si>
  <si>
    <t>順發</t>
    <phoneticPr fontId="1" type="noConversion"/>
  </si>
  <si>
    <t>茂綸</t>
    <phoneticPr fontId="1" type="noConversion"/>
  </si>
  <si>
    <t>方土昶</t>
    <phoneticPr fontId="1" type="noConversion"/>
  </si>
  <si>
    <t>倍微</t>
    <phoneticPr fontId="1" type="noConversion"/>
  </si>
  <si>
    <t>光菱</t>
    <phoneticPr fontId="1" type="noConversion"/>
  </si>
  <si>
    <t>志旭</t>
    <phoneticPr fontId="1" type="noConversion"/>
  </si>
  <si>
    <t>全達</t>
    <phoneticPr fontId="1" type="noConversion"/>
  </si>
  <si>
    <t>巨虹</t>
    <phoneticPr fontId="1" type="noConversion"/>
  </si>
  <si>
    <t>擎亞</t>
    <phoneticPr fontId="1" type="noConversion"/>
  </si>
  <si>
    <t>精技</t>
    <phoneticPr fontId="1" type="noConversion"/>
  </si>
  <si>
    <t>敦吉</t>
    <phoneticPr fontId="1" type="noConversion"/>
  </si>
  <si>
    <t>增你強</t>
    <phoneticPr fontId="1" type="noConversion"/>
  </si>
  <si>
    <t>益登</t>
    <phoneticPr fontId="1" type="noConversion"/>
  </si>
  <si>
    <t>蔚華科</t>
    <phoneticPr fontId="1" type="noConversion"/>
  </si>
  <si>
    <t>全科</t>
    <phoneticPr fontId="1" type="noConversion"/>
  </si>
  <si>
    <t>弘憶股</t>
    <phoneticPr fontId="1" type="noConversion"/>
  </si>
  <si>
    <t>安馳</t>
    <phoneticPr fontId="1" type="noConversion"/>
  </si>
  <si>
    <t>豐藝</t>
    <phoneticPr fontId="1" type="noConversion"/>
  </si>
  <si>
    <t>全國電</t>
    <phoneticPr fontId="1" type="noConversion"/>
  </si>
  <si>
    <t>陞泰</t>
    <phoneticPr fontId="1" type="noConversion"/>
  </si>
  <si>
    <t>16</t>
    <phoneticPr fontId="1" type="noConversion"/>
  </si>
  <si>
    <t>久陽</t>
    <phoneticPr fontId="1" type="noConversion"/>
  </si>
  <si>
    <t>沛波</t>
    <phoneticPr fontId="1" type="noConversion"/>
  </si>
  <si>
    <t>元大</t>
    <phoneticPr fontId="1" type="noConversion"/>
  </si>
  <si>
    <t>華南</t>
    <phoneticPr fontId="1" type="noConversion"/>
  </si>
  <si>
    <t>sukibayashi</t>
    <phoneticPr fontId="1" type="noConversion"/>
  </si>
  <si>
    <t>9100bo</t>
    <phoneticPr fontId="1" type="noConversion"/>
  </si>
  <si>
    <t>珠</t>
    <phoneticPr fontId="1" type="noConversion"/>
  </si>
  <si>
    <t>斌</t>
    <phoneticPr fontId="1" type="noConversion"/>
  </si>
  <si>
    <t>博</t>
    <phoneticPr fontId="1" type="noConversion"/>
  </si>
  <si>
    <t>ju54186</t>
    <phoneticPr fontId="1" type="noConversion"/>
  </si>
  <si>
    <t>ju54186755</t>
    <phoneticPr fontId="1" type="noConversion"/>
  </si>
  <si>
    <t>運錩</t>
    <phoneticPr fontId="1" type="noConversion"/>
  </si>
  <si>
    <t>東明KY</t>
    <phoneticPr fontId="1" type="noConversion"/>
  </si>
  <si>
    <t>17</t>
    <phoneticPr fontId="1" type="noConversion"/>
  </si>
  <si>
    <t>嘉泥</t>
    <phoneticPr fontId="1" type="noConversion"/>
  </si>
  <si>
    <t>環泥</t>
    <phoneticPr fontId="1" type="noConversion"/>
  </si>
  <si>
    <t>幸福</t>
    <phoneticPr fontId="1" type="noConversion"/>
  </si>
  <si>
    <t>信大</t>
    <phoneticPr fontId="1" type="noConversion"/>
  </si>
  <si>
    <t>東泥</t>
    <phoneticPr fontId="1" type="noConversion"/>
  </si>
  <si>
    <t>18</t>
    <phoneticPr fontId="1" type="noConversion"/>
  </si>
  <si>
    <t>正德</t>
    <phoneticPr fontId="1" type="noConversion"/>
  </si>
  <si>
    <t>捷迅</t>
    <phoneticPr fontId="1" type="noConversion"/>
  </si>
  <si>
    <t>台聯櫃</t>
    <phoneticPr fontId="1" type="noConversion"/>
  </si>
  <si>
    <t>中連貨</t>
    <phoneticPr fontId="1" type="noConversion"/>
  </si>
  <si>
    <t>中菲行</t>
    <phoneticPr fontId="1" type="noConversion"/>
  </si>
  <si>
    <t>新興</t>
    <phoneticPr fontId="1" type="noConversion"/>
  </si>
  <si>
    <t>陽明</t>
    <phoneticPr fontId="1" type="noConversion"/>
  </si>
  <si>
    <t>志信</t>
    <phoneticPr fontId="1" type="noConversion"/>
  </si>
  <si>
    <t>中航</t>
    <phoneticPr fontId="1" type="noConversion"/>
  </si>
  <si>
    <t>中櫃</t>
    <phoneticPr fontId="1" type="noConversion"/>
  </si>
  <si>
    <t>台航</t>
    <phoneticPr fontId="1" type="noConversion"/>
  </si>
  <si>
    <t>亞航</t>
    <phoneticPr fontId="1" type="noConversion"/>
  </si>
  <si>
    <t>慧洋KY</t>
    <phoneticPr fontId="1" type="noConversion"/>
  </si>
  <si>
    <t>宅配通</t>
    <phoneticPr fontId="1" type="noConversion"/>
  </si>
  <si>
    <t>遠雄港</t>
    <phoneticPr fontId="1" type="noConversion"/>
  </si>
  <si>
    <t>四維航</t>
    <phoneticPr fontId="1" type="noConversion"/>
  </si>
  <si>
    <t>營建</t>
    <phoneticPr fontId="1" type="noConversion"/>
  </si>
  <si>
    <t>19</t>
    <phoneticPr fontId="1" type="noConversion"/>
  </si>
  <si>
    <t>綠意</t>
    <phoneticPr fontId="1" type="noConversion"/>
  </si>
  <si>
    <t>鑫龍騰</t>
    <phoneticPr fontId="1" type="noConversion"/>
  </si>
  <si>
    <t>森寶</t>
    <phoneticPr fontId="1" type="noConversion"/>
  </si>
  <si>
    <t>聯上</t>
    <phoneticPr fontId="1" type="noConversion"/>
  </si>
  <si>
    <t>三圓</t>
    <phoneticPr fontId="1" type="noConversion"/>
  </si>
  <si>
    <t>富宇</t>
    <phoneticPr fontId="1" type="noConversion"/>
  </si>
  <si>
    <t>坤悅</t>
    <phoneticPr fontId="1" type="noConversion"/>
  </si>
  <si>
    <t>亞昕</t>
    <phoneticPr fontId="1" type="noConversion"/>
  </si>
  <si>
    <t>士開</t>
    <phoneticPr fontId="1" type="noConversion"/>
  </si>
  <si>
    <t>德昌</t>
    <phoneticPr fontId="1" type="noConversion"/>
  </si>
  <si>
    <t>三豐</t>
    <phoneticPr fontId="1" type="noConversion"/>
  </si>
  <si>
    <t>雙喜</t>
    <phoneticPr fontId="1" type="noConversion"/>
  </si>
  <si>
    <t>力泰</t>
    <phoneticPr fontId="1" type="noConversion"/>
  </si>
  <si>
    <t>豐謙</t>
    <phoneticPr fontId="1" type="noConversion"/>
  </si>
  <si>
    <t>志嘉</t>
    <phoneticPr fontId="1" type="noConversion"/>
  </si>
  <si>
    <t>新潤</t>
    <phoneticPr fontId="1" type="noConversion"/>
  </si>
  <si>
    <t>理銘</t>
    <phoneticPr fontId="1" type="noConversion"/>
  </si>
  <si>
    <t>富旺</t>
    <phoneticPr fontId="1" type="noConversion"/>
  </si>
  <si>
    <t>富裔</t>
    <phoneticPr fontId="1" type="noConversion"/>
  </si>
  <si>
    <t>惠普</t>
    <phoneticPr fontId="1" type="noConversion"/>
  </si>
  <si>
    <t>華友聯</t>
    <phoneticPr fontId="1" type="noConversion"/>
  </si>
  <si>
    <t>名軒</t>
    <phoneticPr fontId="1" type="noConversion"/>
  </si>
  <si>
    <t>寶徠</t>
    <phoneticPr fontId="1" type="noConversion"/>
  </si>
  <si>
    <t>潤隆</t>
    <phoneticPr fontId="1" type="noConversion"/>
  </si>
  <si>
    <t>國建</t>
    <phoneticPr fontId="1" type="noConversion"/>
  </si>
  <si>
    <t>國產</t>
    <phoneticPr fontId="1" type="noConversion"/>
  </si>
  <si>
    <t>國揚</t>
    <phoneticPr fontId="1" type="noConversion"/>
  </si>
  <si>
    <t>太設</t>
    <phoneticPr fontId="1" type="noConversion"/>
  </si>
  <si>
    <t>全坤建</t>
    <phoneticPr fontId="1" type="noConversion"/>
  </si>
  <si>
    <t>太子</t>
    <phoneticPr fontId="1" type="noConversion"/>
  </si>
  <si>
    <t>新建</t>
    <phoneticPr fontId="1" type="noConversion"/>
  </si>
  <si>
    <t>冠德</t>
    <phoneticPr fontId="1" type="noConversion"/>
  </si>
  <si>
    <t>京城</t>
    <phoneticPr fontId="1" type="noConversion"/>
  </si>
  <si>
    <t>宏璟</t>
    <phoneticPr fontId="1" type="noConversion"/>
  </si>
  <si>
    <t>皇普</t>
    <phoneticPr fontId="1" type="noConversion"/>
  </si>
  <si>
    <t>華建</t>
    <phoneticPr fontId="1" type="noConversion"/>
  </si>
  <si>
    <t>宏盛</t>
    <phoneticPr fontId="1" type="noConversion"/>
  </si>
  <si>
    <t>達欣工</t>
    <phoneticPr fontId="1" type="noConversion"/>
  </si>
  <si>
    <t>宏普</t>
    <phoneticPr fontId="1" type="noConversion"/>
  </si>
  <si>
    <t>聨上發</t>
    <phoneticPr fontId="1" type="noConversion"/>
  </si>
  <si>
    <t>基泰</t>
    <phoneticPr fontId="1" type="noConversion"/>
  </si>
  <si>
    <t>櫻花建</t>
    <phoneticPr fontId="1" type="noConversion"/>
  </si>
  <si>
    <t>愛山林</t>
    <phoneticPr fontId="1" type="noConversion"/>
  </si>
  <si>
    <t>皇昌</t>
    <phoneticPr fontId="1" type="noConversion"/>
  </si>
  <si>
    <t>皇翔</t>
    <phoneticPr fontId="1" type="noConversion"/>
  </si>
  <si>
    <t>根基</t>
    <phoneticPr fontId="1" type="noConversion"/>
  </si>
  <si>
    <t>日勝生</t>
    <phoneticPr fontId="1" type="noConversion"/>
  </si>
  <si>
    <t>華固</t>
    <phoneticPr fontId="1" type="noConversion"/>
  </si>
  <si>
    <t>潤弘</t>
    <phoneticPr fontId="1" type="noConversion"/>
  </si>
  <si>
    <t>台開</t>
    <phoneticPr fontId="1" type="noConversion"/>
  </si>
  <si>
    <t>夆典</t>
    <phoneticPr fontId="1" type="noConversion"/>
  </si>
  <si>
    <t>總太</t>
    <phoneticPr fontId="1" type="noConversion"/>
  </si>
  <si>
    <t>昇陽</t>
    <phoneticPr fontId="1" type="noConversion"/>
  </si>
  <si>
    <t>建國</t>
    <phoneticPr fontId="1" type="noConversion"/>
  </si>
  <si>
    <t>隆大</t>
    <phoneticPr fontId="1" type="noConversion"/>
  </si>
  <si>
    <t>工信</t>
    <phoneticPr fontId="1" type="noConversion"/>
  </si>
  <si>
    <t>順天</t>
    <phoneticPr fontId="1" type="noConversion"/>
  </si>
  <si>
    <t>鄉林</t>
    <phoneticPr fontId="1" type="noConversion"/>
  </si>
  <si>
    <t>皇鼎</t>
    <phoneticPr fontId="1" type="noConversion"/>
  </si>
  <si>
    <t>長虹</t>
    <phoneticPr fontId="1" type="noConversion"/>
  </si>
  <si>
    <t>達麗</t>
    <phoneticPr fontId="1" type="noConversion"/>
  </si>
  <si>
    <t>欣巴巴</t>
    <phoneticPr fontId="1" type="noConversion"/>
  </si>
  <si>
    <t>鼎固KY</t>
    <phoneticPr fontId="1" type="noConversion"/>
  </si>
  <si>
    <t>20</t>
    <phoneticPr fontId="1" type="noConversion"/>
  </si>
  <si>
    <t>21</t>
    <phoneticPr fontId="1" type="noConversion"/>
  </si>
  <si>
    <t>風青</t>
    <phoneticPr fontId="1" type="noConversion"/>
  </si>
  <si>
    <t>唐鋒</t>
    <phoneticPr fontId="1" type="noConversion"/>
  </si>
  <si>
    <t>華電</t>
    <phoneticPr fontId="1" type="noConversion"/>
  </si>
  <si>
    <t>聲寶</t>
    <phoneticPr fontId="1" type="noConversion"/>
  </si>
  <si>
    <t>華榮</t>
    <phoneticPr fontId="1" type="noConversion"/>
  </si>
  <si>
    <t>大亞</t>
    <phoneticPr fontId="1" type="noConversion"/>
  </si>
  <si>
    <t>宏泰</t>
    <phoneticPr fontId="1" type="noConversion"/>
  </si>
  <si>
    <t>三洋電</t>
    <phoneticPr fontId="1" type="noConversion"/>
  </si>
  <si>
    <t>大山</t>
    <phoneticPr fontId="1" type="noConversion"/>
  </si>
  <si>
    <t>億泰</t>
    <phoneticPr fontId="1" type="noConversion"/>
  </si>
  <si>
    <t>榮星</t>
    <phoneticPr fontId="1" type="noConversion"/>
  </si>
  <si>
    <t>合機</t>
    <phoneticPr fontId="1" type="noConversion"/>
  </si>
  <si>
    <t>燦星網</t>
    <phoneticPr fontId="1" type="noConversion"/>
  </si>
  <si>
    <t>英利KY</t>
    <phoneticPr fontId="1" type="noConversion"/>
  </si>
  <si>
    <t>宏旭KY</t>
    <phoneticPr fontId="1" type="noConversion"/>
  </si>
  <si>
    <t>23</t>
    <phoneticPr fontId="1" type="noConversion"/>
  </si>
  <si>
    <t>安心</t>
    <phoneticPr fontId="1" type="noConversion"/>
  </si>
  <si>
    <t>漢來美食</t>
    <phoneticPr fontId="1" type="noConversion"/>
  </si>
  <si>
    <t>晶悅</t>
    <phoneticPr fontId="1" type="noConversion"/>
  </si>
  <si>
    <t>燦星旅</t>
    <phoneticPr fontId="1" type="noConversion"/>
  </si>
  <si>
    <t>富驛KY</t>
    <phoneticPr fontId="1" type="noConversion"/>
  </si>
  <si>
    <t>雅茗KY</t>
    <phoneticPr fontId="1" type="noConversion"/>
  </si>
  <si>
    <t>易飛網</t>
    <phoneticPr fontId="1" type="noConversion"/>
  </si>
  <si>
    <t>高野</t>
    <phoneticPr fontId="1" type="noConversion"/>
  </si>
  <si>
    <t>天蔥</t>
    <phoneticPr fontId="1" type="noConversion"/>
  </si>
  <si>
    <t>五福</t>
    <phoneticPr fontId="1" type="noConversion"/>
  </si>
  <si>
    <t>萬企</t>
    <phoneticPr fontId="1" type="noConversion"/>
  </si>
  <si>
    <t>華園</t>
    <phoneticPr fontId="1" type="noConversion"/>
  </si>
  <si>
    <t>六福</t>
    <phoneticPr fontId="1" type="noConversion"/>
  </si>
  <si>
    <t>第一店</t>
    <phoneticPr fontId="1" type="noConversion"/>
  </si>
  <si>
    <t>晶華</t>
    <phoneticPr fontId="1" type="noConversion"/>
  </si>
  <si>
    <t>遠雄來</t>
    <phoneticPr fontId="1" type="noConversion"/>
  </si>
  <si>
    <t>夏都</t>
    <phoneticPr fontId="1" type="noConversion"/>
  </si>
  <si>
    <t>雄獅</t>
    <phoneticPr fontId="1" type="noConversion"/>
  </si>
  <si>
    <t>寒舍</t>
    <phoneticPr fontId="1" type="noConversion"/>
  </si>
  <si>
    <t>雲品</t>
    <phoneticPr fontId="1" type="noConversion"/>
  </si>
  <si>
    <t>24</t>
    <phoneticPr fontId="1" type="noConversion"/>
  </si>
  <si>
    <t>欣雄</t>
    <phoneticPr fontId="1" type="noConversion"/>
  </si>
  <si>
    <t>欣泰</t>
    <phoneticPr fontId="1" type="noConversion"/>
  </si>
  <si>
    <t>北基</t>
    <phoneticPr fontId="1" type="noConversion"/>
  </si>
  <si>
    <t>大汽電</t>
    <phoneticPr fontId="1" type="noConversion"/>
  </si>
  <si>
    <t>山隆</t>
    <phoneticPr fontId="1" type="noConversion"/>
  </si>
  <si>
    <t>台汽電</t>
    <phoneticPr fontId="1" type="noConversion"/>
  </si>
  <si>
    <t>大台北</t>
    <phoneticPr fontId="1" type="noConversion"/>
  </si>
  <si>
    <t>欣天然</t>
    <phoneticPr fontId="1" type="noConversion"/>
  </si>
  <si>
    <t>新海</t>
    <phoneticPr fontId="1" type="noConversion"/>
  </si>
  <si>
    <t>欣高</t>
    <phoneticPr fontId="1" type="noConversion"/>
  </si>
  <si>
    <t>全國</t>
    <phoneticPr fontId="1" type="noConversion"/>
  </si>
  <si>
    <t>26</t>
    <phoneticPr fontId="1" type="noConversion"/>
  </si>
  <si>
    <t>新零售</t>
    <phoneticPr fontId="1" type="noConversion"/>
  </si>
  <si>
    <t>3147</t>
    <phoneticPr fontId="1" type="noConversion"/>
  </si>
  <si>
    <t>大綜電腦</t>
    <phoneticPr fontId="1" type="noConversion"/>
  </si>
  <si>
    <t>大塚</t>
    <phoneticPr fontId="1" type="noConversion"/>
  </si>
  <si>
    <t>緯軟</t>
    <phoneticPr fontId="1" type="noConversion"/>
  </si>
  <si>
    <t>凱衛</t>
    <phoneticPr fontId="1" type="noConversion"/>
  </si>
  <si>
    <t>力新</t>
    <phoneticPr fontId="1" type="noConversion"/>
  </si>
  <si>
    <t>新鼎</t>
    <phoneticPr fontId="1" type="noConversion"/>
  </si>
  <si>
    <t>寶碩</t>
    <phoneticPr fontId="1" type="noConversion"/>
  </si>
  <si>
    <t>蒙恬</t>
    <phoneticPr fontId="1" type="noConversion"/>
  </si>
  <si>
    <t>凌網</t>
    <phoneticPr fontId="1" type="noConversion"/>
  </si>
  <si>
    <t>天剛</t>
    <phoneticPr fontId="1" type="noConversion"/>
  </si>
  <si>
    <t>中菲</t>
    <phoneticPr fontId="1" type="noConversion"/>
  </si>
  <si>
    <t>國眾</t>
    <phoneticPr fontId="1" type="noConversion"/>
  </si>
  <si>
    <t>訊達</t>
    <phoneticPr fontId="1" type="noConversion"/>
  </si>
  <si>
    <t>驊宏資</t>
    <phoneticPr fontId="1" type="noConversion"/>
  </si>
  <si>
    <t>晉泰</t>
    <phoneticPr fontId="1" type="noConversion"/>
  </si>
  <si>
    <t>系微</t>
    <phoneticPr fontId="1" type="noConversion"/>
  </si>
  <si>
    <t>松崗</t>
    <phoneticPr fontId="1" type="noConversion"/>
  </si>
  <si>
    <t>通訊KY</t>
    <phoneticPr fontId="1" type="noConversion"/>
  </si>
  <si>
    <t>台灣銘板</t>
    <phoneticPr fontId="1" type="noConversion"/>
  </si>
  <si>
    <t>大世科</t>
    <phoneticPr fontId="1" type="noConversion"/>
  </si>
  <si>
    <t>三商電</t>
    <phoneticPr fontId="1" type="noConversion"/>
  </si>
  <si>
    <t>凌群</t>
    <phoneticPr fontId="1" type="noConversion"/>
  </si>
  <si>
    <t>華經</t>
    <phoneticPr fontId="1" type="noConversion"/>
  </si>
  <si>
    <t>資通</t>
    <phoneticPr fontId="1" type="noConversion"/>
  </si>
  <si>
    <t>敦陽科</t>
    <phoneticPr fontId="1" type="noConversion"/>
  </si>
  <si>
    <t>零壹</t>
    <phoneticPr fontId="1" type="noConversion"/>
  </si>
  <si>
    <t>一零四</t>
    <phoneticPr fontId="1" type="noConversion"/>
  </si>
  <si>
    <t>傳奇</t>
    <phoneticPr fontId="1" type="noConversion"/>
  </si>
  <si>
    <t>聚碩</t>
    <phoneticPr fontId="1" type="noConversion"/>
  </si>
  <si>
    <t>關貿</t>
    <phoneticPr fontId="1" type="noConversion"/>
  </si>
  <si>
    <t>29</t>
    <phoneticPr fontId="1" type="noConversion"/>
  </si>
  <si>
    <t>文創</t>
    <phoneticPr fontId="1" type="noConversion"/>
  </si>
  <si>
    <t>昇華</t>
    <phoneticPr fontId="1" type="noConversion"/>
  </si>
  <si>
    <t>寬魚國際</t>
    <phoneticPr fontId="1" type="noConversion"/>
  </si>
  <si>
    <t>得利影</t>
    <phoneticPr fontId="1" type="noConversion"/>
  </si>
  <si>
    <t>弘煜科</t>
    <phoneticPr fontId="1" type="noConversion"/>
  </si>
  <si>
    <t>寬宏藝術</t>
    <phoneticPr fontId="1" type="noConversion"/>
  </si>
  <si>
    <t>三貝德</t>
    <phoneticPr fontId="1" type="noConversion"/>
  </si>
  <si>
    <t>時報</t>
    <phoneticPr fontId="1" type="noConversion"/>
  </si>
  <si>
    <t>琉園</t>
    <phoneticPr fontId="1" type="noConversion"/>
  </si>
  <si>
    <t>30</t>
    <phoneticPr fontId="1" type="noConversion"/>
  </si>
  <si>
    <t>尚凡</t>
    <phoneticPr fontId="1" type="noConversion"/>
  </si>
  <si>
    <t>夠麻吉</t>
    <phoneticPr fontId="1" type="noConversion"/>
  </si>
  <si>
    <t>創業家</t>
    <phoneticPr fontId="1" type="noConversion"/>
  </si>
  <si>
    <t>農科</t>
    <phoneticPr fontId="1" type="noConversion"/>
  </si>
  <si>
    <t>瑞基</t>
    <phoneticPr fontId="1" type="noConversion"/>
  </si>
  <si>
    <t>惠光</t>
    <phoneticPr fontId="1" type="noConversion"/>
  </si>
  <si>
    <t>加權</t>
    <phoneticPr fontId="1" type="noConversion"/>
  </si>
  <si>
    <t>上櫃</t>
    <phoneticPr fontId="1" type="noConversion"/>
  </si>
  <si>
    <t>電子通路</t>
    <phoneticPr fontId="1" type="noConversion"/>
  </si>
  <si>
    <t>PCB</t>
    <phoneticPr fontId="1" type="noConversion"/>
  </si>
  <si>
    <t>銅箔基板</t>
    <phoneticPr fontId="1" type="noConversion"/>
  </si>
  <si>
    <t>電池材料磷酸鐵鋰電池正極材料廠商</t>
    <phoneticPr fontId="1" type="noConversion"/>
  </si>
  <si>
    <t>泰碩</t>
    <phoneticPr fontId="1" type="noConversion"/>
  </si>
  <si>
    <t>工業電腦研華旗下</t>
    <phoneticPr fontId="1" type="noConversion"/>
  </si>
  <si>
    <t>PCB仁寶旗下</t>
    <phoneticPr fontId="1" type="noConversion"/>
  </si>
  <si>
    <t>軟板欣興,台表科轉投資</t>
    <phoneticPr fontId="1" type="noConversion"/>
  </si>
  <si>
    <t>手機晶片</t>
    <phoneticPr fontId="1" type="noConversion"/>
  </si>
  <si>
    <t>NB代工</t>
    <phoneticPr fontId="1" type="noConversion"/>
  </si>
  <si>
    <t>PCB玻纖布</t>
    <phoneticPr fontId="1" type="noConversion"/>
  </si>
  <si>
    <t>內部人</t>
    <phoneticPr fontId="1" type="noConversion"/>
  </si>
  <si>
    <t>ASUS Vi3</t>
    <phoneticPr fontId="1" type="noConversion"/>
  </si>
  <si>
    <t>Surface Pro</t>
    <phoneticPr fontId="1" type="noConversion"/>
  </si>
  <si>
    <t>ASUS Vi5</t>
    <phoneticPr fontId="1" type="noConversion"/>
  </si>
  <si>
    <t>封測華新旗下東芝轉投資</t>
    <phoneticPr fontId="1" type="noConversion"/>
  </si>
  <si>
    <t>南亞</t>
    <phoneticPr fontId="1" type="noConversion"/>
  </si>
  <si>
    <t>籌碼</t>
    <phoneticPr fontId="1" type="noConversion"/>
  </si>
  <si>
    <t>營益率</t>
    <phoneticPr fontId="1" type="noConversion"/>
  </si>
  <si>
    <t>昇陽半導體</t>
    <phoneticPr fontId="1" type="noConversion"/>
  </si>
  <si>
    <t>天鈺</t>
    <phoneticPr fontId="1" type="noConversion"/>
  </si>
  <si>
    <t>立衛</t>
    <phoneticPr fontId="1" type="noConversion"/>
  </si>
  <si>
    <t>均華</t>
    <phoneticPr fontId="1" type="noConversion"/>
  </si>
  <si>
    <t>興能高</t>
    <phoneticPr fontId="1" type="noConversion"/>
  </si>
  <si>
    <t>皇龍</t>
    <phoneticPr fontId="1" type="noConversion"/>
  </si>
  <si>
    <t>群翊</t>
    <phoneticPr fontId="1" type="noConversion"/>
  </si>
  <si>
    <t>尚茂</t>
    <phoneticPr fontId="1" type="noConversion"/>
  </si>
  <si>
    <t>聯合再生</t>
    <phoneticPr fontId="1" type="noConversion"/>
  </si>
  <si>
    <t>永崴投控</t>
    <phoneticPr fontId="1" type="noConversion"/>
  </si>
  <si>
    <t>美隆電</t>
    <phoneticPr fontId="1" type="noConversion"/>
  </si>
  <si>
    <t>中茂</t>
    <phoneticPr fontId="1" type="noConversion"/>
  </si>
  <si>
    <t>天正國際</t>
    <phoneticPr fontId="1" type="noConversion"/>
  </si>
  <si>
    <t>信紘科</t>
    <phoneticPr fontId="1" type="noConversion"/>
  </si>
  <si>
    <t>大拓KY</t>
    <phoneticPr fontId="1" type="noConversion"/>
  </si>
  <si>
    <t>全球傳動</t>
    <phoneticPr fontId="1" type="noConversion"/>
  </si>
  <si>
    <t>商億KY</t>
    <phoneticPr fontId="1" type="noConversion"/>
  </si>
  <si>
    <t>三發地產</t>
    <phoneticPr fontId="1" type="noConversion"/>
  </si>
  <si>
    <t>永信建</t>
    <phoneticPr fontId="1" type="noConversion"/>
  </si>
  <si>
    <t>科際精密</t>
    <phoneticPr fontId="1" type="noConversion"/>
  </si>
  <si>
    <t>DELL</t>
    <phoneticPr fontId="1" type="noConversion"/>
  </si>
  <si>
    <t>中揚光</t>
    <phoneticPr fontId="1" type="noConversion"/>
  </si>
  <si>
    <t>時碩工業</t>
    <phoneticPr fontId="1" type="noConversion"/>
  </si>
  <si>
    <t>精湛</t>
    <phoneticPr fontId="1" type="noConversion"/>
  </si>
  <si>
    <t>公準</t>
    <phoneticPr fontId="1" type="noConversion"/>
  </si>
  <si>
    <t>富50</t>
    <phoneticPr fontId="1" type="noConversion"/>
  </si>
  <si>
    <t>星寶國際</t>
    <phoneticPr fontId="1" type="noConversion"/>
  </si>
  <si>
    <t>高端疫苗</t>
    <phoneticPr fontId="1" type="noConversion"/>
  </si>
  <si>
    <t>基士德KY</t>
    <phoneticPr fontId="1" type="noConversion"/>
  </si>
  <si>
    <t>科定</t>
    <phoneticPr fontId="1" type="noConversion"/>
  </si>
  <si>
    <t>復盛應用</t>
    <phoneticPr fontId="1" type="noConversion"/>
  </si>
  <si>
    <t>三能KY</t>
    <phoneticPr fontId="1" type="noConversion"/>
  </si>
  <si>
    <t>百和興業KY</t>
    <phoneticPr fontId="1" type="noConversion"/>
  </si>
  <si>
    <t>美吉吉KY</t>
    <phoneticPr fontId="1" type="noConversion"/>
  </si>
  <si>
    <t>東哥遊艇</t>
    <phoneticPr fontId="1" type="noConversion"/>
  </si>
  <si>
    <t>鈺齊KY</t>
    <phoneticPr fontId="1" type="noConversion"/>
  </si>
  <si>
    <t>中聯資源</t>
    <phoneticPr fontId="1" type="noConversion"/>
  </si>
  <si>
    <t>捷必勝KY</t>
    <phoneticPr fontId="1" type="noConversion"/>
  </si>
  <si>
    <t>1.8GHZ</t>
    <phoneticPr fontId="1" type="noConversion"/>
  </si>
  <si>
    <t>家用</t>
    <phoneticPr fontId="1" type="noConversion"/>
  </si>
  <si>
    <t>1.7GHZ</t>
    <phoneticPr fontId="1" type="noConversion"/>
  </si>
  <si>
    <t>I5-3317U</t>
    <phoneticPr fontId="1" type="noConversion"/>
  </si>
  <si>
    <t>2.2GHZ</t>
    <phoneticPr fontId="1" type="noConversion"/>
  </si>
  <si>
    <t>專業</t>
    <phoneticPr fontId="1" type="noConversion"/>
  </si>
  <si>
    <t>大統新創</t>
    <phoneticPr fontId="1" type="noConversion"/>
  </si>
  <si>
    <t>飛寶企業</t>
    <phoneticPr fontId="1" type="noConversion"/>
  </si>
  <si>
    <t>ASUS NB17</t>
    <phoneticPr fontId="1" type="noConversion"/>
  </si>
  <si>
    <t>ASUS NB15</t>
    <phoneticPr fontId="1" type="noConversion"/>
  </si>
  <si>
    <t>PT N3540</t>
    <phoneticPr fontId="1" type="noConversion"/>
  </si>
  <si>
    <t>2.16GHZ</t>
    <phoneticPr fontId="1" type="noConversion"/>
  </si>
  <si>
    <t>家用</t>
    <phoneticPr fontId="1" type="noConversion"/>
  </si>
  <si>
    <t>I5-8400</t>
    <phoneticPr fontId="1" type="noConversion"/>
  </si>
  <si>
    <t>2.8GHZ</t>
    <phoneticPr fontId="1" type="noConversion"/>
  </si>
  <si>
    <t>金穎生技</t>
    <phoneticPr fontId="1" type="noConversion"/>
  </si>
  <si>
    <t>客思達KY</t>
    <phoneticPr fontId="1" type="noConversion"/>
  </si>
  <si>
    <t>嘉里大榮</t>
    <phoneticPr fontId="1" type="noConversion"/>
  </si>
  <si>
    <t>台灣高鐵</t>
    <phoneticPr fontId="1" type="noConversion"/>
  </si>
  <si>
    <t>艾美特KY</t>
    <phoneticPr fontId="1" type="noConversion"/>
  </si>
  <si>
    <t>三陽工業</t>
    <phoneticPr fontId="1" type="noConversion"/>
  </si>
  <si>
    <t>茂生農經</t>
    <phoneticPr fontId="1" type="noConversion"/>
  </si>
  <si>
    <t>達邦蛋白</t>
    <phoneticPr fontId="1" type="noConversion"/>
  </si>
  <si>
    <t>1</t>
    <phoneticPr fontId="1" type="noConversion"/>
  </si>
  <si>
    <t>4</t>
    <phoneticPr fontId="1" type="noConversion"/>
  </si>
  <si>
    <t>32</t>
    <phoneticPr fontId="1" type="noConversion"/>
  </si>
  <si>
    <t>上海商銀</t>
    <phoneticPr fontId="1" type="noConversion"/>
  </si>
  <si>
    <t>民營銀行</t>
    <phoneticPr fontId="1" type="noConversion"/>
  </si>
  <si>
    <t>judy珠珠</t>
    <phoneticPr fontId="1" type="noConversion"/>
  </si>
  <si>
    <t>1552571904</t>
    <phoneticPr fontId="1" type="noConversion"/>
  </si>
  <si>
    <t>judy54186755</t>
    <phoneticPr fontId="1" type="noConversion"/>
  </si>
  <si>
    <t>Angel Yun</t>
    <phoneticPr fontId="1" type="noConversion"/>
  </si>
  <si>
    <t>741695249</t>
    <phoneticPr fontId="1" type="noConversion"/>
  </si>
  <si>
    <t>yun54193806</t>
    <phoneticPr fontId="1" type="noConversion"/>
  </si>
  <si>
    <t>yuezhujudy@hotmail.com</t>
    <phoneticPr fontId="1" type="noConversion"/>
  </si>
  <si>
    <t>F130735049</t>
    <phoneticPr fontId="1" type="noConversion"/>
  </si>
  <si>
    <t>F221806528</t>
    <phoneticPr fontId="1" type="noConversion"/>
  </si>
  <si>
    <t>巴菲珠</t>
    <phoneticPr fontId="1" type="noConversion"/>
  </si>
  <si>
    <t>2940791032</t>
    <phoneticPr fontId="1" type="noConversion"/>
  </si>
  <si>
    <t>雪之戀</t>
    <phoneticPr fontId="1" type="noConversion"/>
  </si>
  <si>
    <t>971553601</t>
    <phoneticPr fontId="1" type="noConversion"/>
  </si>
  <si>
    <t>同花順繁體</t>
    <phoneticPr fontId="1" type="noConversion"/>
  </si>
  <si>
    <t>secretshop</t>
    <phoneticPr fontId="1" type="noConversion"/>
  </si>
  <si>
    <t>ju54186755</t>
    <phoneticPr fontId="1" type="noConversion"/>
  </si>
  <si>
    <t>13901788889</t>
    <phoneticPr fontId="1" type="noConversion"/>
  </si>
  <si>
    <t>碩博士論文</t>
    <phoneticPr fontId="1" type="noConversion"/>
  </si>
  <si>
    <t>judyyuezhu@hotmail.com</t>
    <phoneticPr fontId="1" type="noConversion"/>
  </si>
  <si>
    <t>電腦</t>
    <phoneticPr fontId="1" type="noConversion"/>
  </si>
  <si>
    <t>中型</t>
    <phoneticPr fontId="1" type="noConversion"/>
  </si>
  <si>
    <t>8G四核</t>
    <phoneticPr fontId="1" type="noConversion"/>
  </si>
  <si>
    <t>8G六核</t>
    <phoneticPr fontId="1" type="noConversion"/>
  </si>
  <si>
    <t>4G雙核</t>
    <phoneticPr fontId="1" type="noConversion"/>
  </si>
  <si>
    <t>法人</t>
    <phoneticPr fontId="1" type="noConversion"/>
  </si>
  <si>
    <t>I7-8700</t>
    <phoneticPr fontId="1" type="noConversion"/>
  </si>
  <si>
    <t>3.2GHZ</t>
    <phoneticPr fontId="1" type="noConversion"/>
  </si>
  <si>
    <t>I3-3217U</t>
    <phoneticPr fontId="1" type="noConversion"/>
  </si>
  <si>
    <t>8G雙核</t>
    <phoneticPr fontId="1" type="noConversion"/>
  </si>
  <si>
    <t>名稱</t>
    <phoneticPr fontId="1" type="noConversion"/>
  </si>
  <si>
    <t>賣出日期</t>
    <phoneticPr fontId="1" type="noConversion"/>
  </si>
  <si>
    <t>天數</t>
    <phoneticPr fontId="1" type="noConversion"/>
  </si>
  <si>
    <t>600EX-RT</t>
    <phoneticPr fontId="1" type="noConversion"/>
  </si>
  <si>
    <t>580EX II</t>
    <phoneticPr fontId="1" type="noConversion"/>
  </si>
  <si>
    <t>機器有BUG,TTL跳不回去ETTL,相機內設定或長按C.Fn菜單選擇</t>
    <phoneticPr fontId="1" type="noConversion"/>
  </si>
  <si>
    <t>430EX II</t>
    <phoneticPr fontId="1" type="noConversion"/>
  </si>
  <si>
    <t>只能在P檔進行ETTL</t>
    <phoneticPr fontId="1" type="noConversion"/>
  </si>
  <si>
    <t>EW-83H</t>
    <phoneticPr fontId="1" type="noConversion"/>
  </si>
  <si>
    <t>320EX</t>
    <phoneticPr fontId="1" type="noConversion"/>
  </si>
  <si>
    <t>ET-87</t>
    <phoneticPr fontId="1" type="noConversion"/>
  </si>
  <si>
    <t>90EX</t>
    <phoneticPr fontId="1" type="noConversion"/>
  </si>
  <si>
    <t>EW-78C</t>
    <phoneticPr fontId="1" type="noConversion"/>
  </si>
  <si>
    <t>ET-65III</t>
    <phoneticPr fontId="1" type="noConversion"/>
  </si>
  <si>
    <t>內閃在對焦時會一直頻閃是相機的輔助對焦功能，</t>
  </si>
  <si>
    <t>ET-73</t>
    <phoneticPr fontId="1" type="noConversion"/>
  </si>
  <si>
    <t>在昏暗場景發出頻閃光讓相機可以順利地自動對焦。</t>
  </si>
  <si>
    <t>ET-78II</t>
    <phoneticPr fontId="1" type="noConversion"/>
  </si>
  <si>
    <t>若不想要相機發出頻閃光，在相機 MENU 的「自訂功能設定]中可以將它關閉。</t>
  </si>
  <si>
    <t>C.Fn III -4 自動對焦輔助光閃光</t>
  </si>
  <si>
    <t>驅螞蟻</t>
    <phoneticPr fontId="1" type="noConversion"/>
  </si>
  <si>
    <t>驅蚊</t>
    <phoneticPr fontId="1" type="noConversion"/>
  </si>
  <si>
    <t>羅勒</t>
    <phoneticPr fontId="1" type="noConversion"/>
  </si>
  <si>
    <t>薄荷</t>
    <phoneticPr fontId="1" type="noConversion"/>
  </si>
  <si>
    <t>百里香</t>
    <phoneticPr fontId="1" type="noConversion"/>
  </si>
  <si>
    <t>驅蟲（綜合）</t>
    <phoneticPr fontId="1" type="noConversion"/>
  </si>
  <si>
    <t>防蚊木;崗松</t>
    <phoneticPr fontId="1" type="noConversion"/>
  </si>
  <si>
    <t>驅蟑螂</t>
    <phoneticPr fontId="1" type="noConversion"/>
  </si>
  <si>
    <t>檸檬桉;檸檬尤加利</t>
    <phoneticPr fontId="1" type="noConversion"/>
  </si>
  <si>
    <t>藍桉</t>
    <phoneticPr fontId="1" type="noConversion"/>
  </si>
  <si>
    <t>驅蟲</t>
    <phoneticPr fontId="1" type="noConversion"/>
  </si>
  <si>
    <t>驅蟲蠅</t>
    <phoneticPr fontId="1" type="noConversion"/>
  </si>
  <si>
    <t>檸檬天竺葵</t>
    <phoneticPr fontId="1" type="noConversion"/>
  </si>
  <si>
    <t>驅蠅</t>
    <phoneticPr fontId="1" type="noConversion"/>
  </si>
  <si>
    <t>刺芫荽</t>
    <phoneticPr fontId="1" type="noConversion"/>
  </si>
  <si>
    <t>驅蛇</t>
    <phoneticPr fontId="1" type="noConversion"/>
  </si>
  <si>
    <t>芸香</t>
    <phoneticPr fontId="1" type="noConversion"/>
  </si>
  <si>
    <t>魚腥草;蕺（ji）菜</t>
    <phoneticPr fontId="1" type="noConversion"/>
  </si>
  <si>
    <t>荊芥;貓穗草</t>
    <phoneticPr fontId="1" type="noConversion"/>
  </si>
  <si>
    <t>驅甲蟲跳蚤</t>
    <phoneticPr fontId="1" type="noConversion"/>
  </si>
  <si>
    <t>驅蛇鼠</t>
    <phoneticPr fontId="1" type="noConversion"/>
  </si>
  <si>
    <t>驅鼠</t>
    <phoneticPr fontId="1" type="noConversion"/>
  </si>
  <si>
    <t>缺點貓愛</t>
    <phoneticPr fontId="1" type="noConversion"/>
  </si>
  <si>
    <t>備註</t>
    <phoneticPr fontId="1" type="noConversion"/>
  </si>
  <si>
    <t>科西嘉薄荷</t>
    <phoneticPr fontId="1" type="noConversion"/>
  </si>
  <si>
    <t>驅跳蚤</t>
    <phoneticPr fontId="1" type="noConversion"/>
  </si>
  <si>
    <t>紫蘇</t>
    <phoneticPr fontId="1" type="noConversion"/>
  </si>
  <si>
    <t>艾草</t>
    <phoneticPr fontId="1" type="noConversion"/>
  </si>
  <si>
    <t>檸檬香茅;香水茅</t>
    <phoneticPr fontId="1" type="noConversion"/>
  </si>
  <si>
    <t>驅螞蟻白</t>
    <phoneticPr fontId="1" type="noConversion"/>
  </si>
  <si>
    <t>印加萬壽菊</t>
    <phoneticPr fontId="1" type="noConversion"/>
  </si>
  <si>
    <t>雜草殺手</t>
    <phoneticPr fontId="1" type="noConversion"/>
  </si>
  <si>
    <t>馬郁蘭</t>
    <phoneticPr fontId="1" type="noConversion"/>
  </si>
  <si>
    <t>金銀花</t>
    <phoneticPr fontId="1" type="noConversion"/>
  </si>
  <si>
    <t>制菌消毒</t>
    <phoneticPr fontId="1" type="noConversion"/>
  </si>
  <si>
    <t>迷迭香</t>
    <phoneticPr fontId="1" type="noConversion"/>
  </si>
  <si>
    <t>鼠尾草</t>
    <phoneticPr fontId="1" type="noConversion"/>
  </si>
  <si>
    <t>馬努卡</t>
    <phoneticPr fontId="1" type="noConversion"/>
  </si>
  <si>
    <t>薰衣草</t>
    <phoneticPr fontId="1" type="noConversion"/>
  </si>
  <si>
    <t>艾草;神仙草</t>
    <phoneticPr fontId="1" type="noConversion"/>
  </si>
  <si>
    <t>香草茶</t>
    <phoneticPr fontId="1" type="noConversion"/>
  </si>
  <si>
    <t>紫蘇;Perilla</t>
    <phoneticPr fontId="1" type="noConversion"/>
  </si>
  <si>
    <t>甜菊;Stevia</t>
    <phoneticPr fontId="1" type="noConversion"/>
  </si>
  <si>
    <t>迷迭香;Rosemary</t>
    <phoneticPr fontId="1" type="noConversion"/>
  </si>
  <si>
    <t>芳香萬壽菊;Lemon Mint Marigold</t>
    <phoneticPr fontId="1" type="noConversion"/>
  </si>
  <si>
    <t>德國甘菊;Annual Chamomile</t>
    <phoneticPr fontId="1" type="noConversion"/>
  </si>
  <si>
    <t>檸檬香茅;Lemon Grass</t>
    <phoneticPr fontId="1" type="noConversion"/>
  </si>
  <si>
    <t>馬郁蘭;Marjoram</t>
    <phoneticPr fontId="1" type="noConversion"/>
  </si>
  <si>
    <t>荊芥;貓穗草;Catnip</t>
    <phoneticPr fontId="1" type="noConversion"/>
  </si>
  <si>
    <t>玫瑰天竺葵;Rose Geranium</t>
    <phoneticPr fontId="1" type="noConversion"/>
  </si>
  <si>
    <t>香蜂草;Lemon Balm</t>
    <phoneticPr fontId="1" type="noConversion"/>
  </si>
  <si>
    <t>天使薔薇</t>
    <phoneticPr fontId="1" type="noConversion"/>
  </si>
  <si>
    <t>檸檬百里香;Lemon Thyme</t>
    <phoneticPr fontId="1" type="noConversion"/>
  </si>
  <si>
    <t>薄荷;Mint;歐洲人喜歡胡椒薄荷</t>
    <phoneticPr fontId="1" type="noConversion"/>
  </si>
  <si>
    <t>鳳梨鼠尾草;Pineapple Sage</t>
    <phoneticPr fontId="1" type="noConversion"/>
  </si>
  <si>
    <t>艾草;Mug wort</t>
    <phoneticPr fontId="1" type="noConversion"/>
  </si>
  <si>
    <t>雷公根;積雪草;蚶殼草;Gota kola</t>
    <phoneticPr fontId="1" type="noConversion"/>
  </si>
  <si>
    <t>小地榆;Burnet</t>
    <phoneticPr fontId="1" type="noConversion"/>
  </si>
  <si>
    <t>茴藿香;Anise Hyssop</t>
    <phoneticPr fontId="1" type="noConversion"/>
  </si>
  <si>
    <t>蜂香薄荷;Bergamot;佛手柑味,伯爵</t>
    <phoneticPr fontId="1" type="noConversion"/>
  </si>
  <si>
    <t>白鶴靈芝</t>
    <phoneticPr fontId="1" type="noConversion"/>
  </si>
  <si>
    <t>魚腥草</t>
    <phoneticPr fontId="1" type="noConversion"/>
  </si>
  <si>
    <t>七葉膽;五葉參;南方人參;絞股藍</t>
    <phoneticPr fontId="1" type="noConversion"/>
  </si>
  <si>
    <t>刺五加;西伯利亞人參</t>
    <phoneticPr fontId="1" type="noConversion"/>
  </si>
  <si>
    <t>仙草</t>
    <phoneticPr fontId="1" type="noConversion"/>
  </si>
  <si>
    <t>金銀花;忍冬;Soneysuckle</t>
    <phoneticPr fontId="1" type="noConversion"/>
  </si>
  <si>
    <t>薰衣草;Lavender;台灣1號狹葉特選</t>
    <phoneticPr fontId="1" type="noConversion"/>
  </si>
  <si>
    <t>已種植</t>
    <phoneticPr fontId="1" type="noConversion"/>
  </si>
  <si>
    <t>香花類</t>
    <phoneticPr fontId="1" type="noConversion"/>
  </si>
  <si>
    <t>桂花</t>
    <phoneticPr fontId="1" type="noConversion"/>
  </si>
  <si>
    <t>名稱</t>
    <phoneticPr fontId="1" type="noConversion"/>
  </si>
  <si>
    <t>數量</t>
    <phoneticPr fontId="1" type="noConversion"/>
  </si>
  <si>
    <t>玉蘭花</t>
    <phoneticPr fontId="1" type="noConversion"/>
  </si>
  <si>
    <t>香草類</t>
    <phoneticPr fontId="1" type="noConversion"/>
  </si>
  <si>
    <t>香茅</t>
    <phoneticPr fontId="1" type="noConversion"/>
  </si>
  <si>
    <t>檸檬桉</t>
    <phoneticPr fontId="1" type="noConversion"/>
  </si>
  <si>
    <t>綠咖喱樹;可因氏月橘;Curry leaf</t>
    <phoneticPr fontId="1" type="noConversion"/>
  </si>
  <si>
    <t>左手香（3種）</t>
    <phoneticPr fontId="1" type="noConversion"/>
  </si>
  <si>
    <t>檀香柏</t>
    <phoneticPr fontId="1" type="noConversion"/>
  </si>
  <si>
    <t>黃金扁柏</t>
    <phoneticPr fontId="1" type="noConversion"/>
  </si>
  <si>
    <t>龍柏</t>
    <phoneticPr fontId="1" type="noConversion"/>
  </si>
  <si>
    <t>水蜜桃（熱帶）</t>
    <phoneticPr fontId="1" type="noConversion"/>
  </si>
  <si>
    <t>棗子</t>
    <phoneticPr fontId="1" type="noConversion"/>
  </si>
  <si>
    <t>觀賞</t>
    <phoneticPr fontId="1" type="noConversion"/>
  </si>
  <si>
    <t>迷你椰子</t>
    <phoneticPr fontId="1" type="noConversion"/>
  </si>
  <si>
    <t>柏類樹材</t>
    <phoneticPr fontId="1" type="noConversion"/>
  </si>
  <si>
    <t>小葉紫檀</t>
    <phoneticPr fontId="1" type="noConversion"/>
  </si>
  <si>
    <t>七里香;月橘</t>
    <phoneticPr fontId="1" type="noConversion"/>
  </si>
  <si>
    <t>泰國南薑</t>
    <phoneticPr fontId="1" type="noConversion"/>
  </si>
  <si>
    <t>八仙山甜肉桂</t>
    <phoneticPr fontId="1" type="noConversion"/>
  </si>
  <si>
    <t>2018/2/10</t>
    <phoneticPr fontId="1" type="noConversion"/>
  </si>
  <si>
    <t>40公分</t>
    <phoneticPr fontId="1" type="noConversion"/>
  </si>
  <si>
    <t>鎂鈣肥20公斤115元</t>
    <phoneticPr fontId="1" type="noConversion"/>
  </si>
  <si>
    <t>酸性土壤改良聖品</t>
    <phoneticPr fontId="1" type="noConversion"/>
  </si>
  <si>
    <t>海南黃花梨</t>
    <phoneticPr fontId="1" type="noConversion"/>
  </si>
  <si>
    <t>金萱茶</t>
    <phoneticPr fontId="1" type="noConversion"/>
  </si>
  <si>
    <t>塔苔</t>
    <phoneticPr fontId="1" type="noConversion"/>
  </si>
  <si>
    <t>苔蘚植物名</t>
    <phoneticPr fontId="1" type="noConversion"/>
  </si>
  <si>
    <t>白髮苔</t>
    <phoneticPr fontId="1" type="noConversion"/>
  </si>
  <si>
    <t>三裂鞭蘚</t>
    <phoneticPr fontId="1" type="noConversion"/>
  </si>
  <si>
    <t>蔓苔</t>
    <phoneticPr fontId="1" type="noConversion"/>
  </si>
  <si>
    <t>叢苔科</t>
    <phoneticPr fontId="1" type="noConversion"/>
  </si>
  <si>
    <t>耳葉蘚</t>
    <phoneticPr fontId="1" type="noConversion"/>
  </si>
  <si>
    <t>苔類比較圓條直立形的，蘚類比較平鋪貼著它的生長基質</t>
    <phoneticPr fontId="1" type="noConversion"/>
  </si>
  <si>
    <t>全世界2萬3千多種，台灣1千3百多種（有7%是特有種）</t>
    <phoneticPr fontId="1" type="noConversion"/>
  </si>
  <si>
    <t>焰苔</t>
    <phoneticPr fontId="1" type="noConversion"/>
  </si>
  <si>
    <t>台灣地錢</t>
    <phoneticPr fontId="1" type="noConversion"/>
  </si>
  <si>
    <t>鞭蘚</t>
    <phoneticPr fontId="1" type="noConversion"/>
  </si>
  <si>
    <t>細鱗蘚科</t>
    <phoneticPr fontId="1" type="noConversion"/>
  </si>
  <si>
    <t>葉生薄鱗蘚</t>
    <phoneticPr fontId="1" type="noConversion"/>
  </si>
  <si>
    <t>金髮苔</t>
    <phoneticPr fontId="1" type="noConversion"/>
  </si>
  <si>
    <t>曲尾苔</t>
    <phoneticPr fontId="1" type="noConversion"/>
  </si>
  <si>
    <t>泥炭苔</t>
    <phoneticPr fontId="1" type="noConversion"/>
  </si>
  <si>
    <t>檜苔</t>
    <phoneticPr fontId="1" type="noConversion"/>
  </si>
  <si>
    <t>懸苔</t>
    <phoneticPr fontId="1" type="noConversion"/>
  </si>
  <si>
    <t>蛇蘚</t>
    <phoneticPr fontId="1" type="noConversion"/>
  </si>
  <si>
    <t>濕地苔</t>
    <phoneticPr fontId="1" type="noConversion"/>
  </si>
  <si>
    <t>真苔</t>
    <phoneticPr fontId="1" type="noConversion"/>
  </si>
  <si>
    <t>立碗苔</t>
    <phoneticPr fontId="1" type="noConversion"/>
  </si>
  <si>
    <t>平苔</t>
    <phoneticPr fontId="1" type="noConversion"/>
  </si>
  <si>
    <t>植物界中的小圓柏</t>
    <phoneticPr fontId="1" type="noConversion"/>
  </si>
  <si>
    <t>陋室銘：苔痕上階綠，草色入簾青</t>
    <phoneticPr fontId="1" type="noConversion"/>
  </si>
  <si>
    <t>3大族群，苔類、蘚類和角苔蘚，最原始的陸生植物（綠藻演化而來）</t>
    <phoneticPr fontId="1" type="noConversion"/>
  </si>
  <si>
    <t>檜葉白髮蘚;應用最多微景觀</t>
    <phoneticPr fontId="1" type="noConversion"/>
  </si>
  <si>
    <t>尖葉匍燈蘚;喜陰,園林綠化常用</t>
    <phoneticPr fontId="1" type="noConversion"/>
  </si>
  <si>
    <t>大灰蘚;喜陽,園林綠化常用</t>
    <phoneticPr fontId="1" type="noConversion"/>
  </si>
  <si>
    <t>大羽蘚;喜陰濕</t>
    <phoneticPr fontId="1" type="noConversion"/>
  </si>
  <si>
    <t>鳳尾蘚;喜陰濕;水分要求高,植物墻</t>
    <phoneticPr fontId="1" type="noConversion"/>
  </si>
  <si>
    <t>細葉小羽蘚;青苔,環境不利整體變黃</t>
    <phoneticPr fontId="1" type="noConversion"/>
  </si>
  <si>
    <t>粗枝青蘚;苔玉球,微景觀,水陸缸鋪面</t>
    <phoneticPr fontId="1" type="noConversion"/>
  </si>
  <si>
    <t>東亞砂蘚;喜高光見乾見濕,屋頂綠化</t>
    <phoneticPr fontId="1" type="noConversion"/>
  </si>
  <si>
    <t>溫室設備：遮光簾(電動),濕簾和風機,架子,育苗盆</t>
    <phoneticPr fontId="1" type="noConversion"/>
  </si>
  <si>
    <t>直立生長的苔蘚：分株繁殖</t>
    <phoneticPr fontId="1" type="noConversion"/>
  </si>
  <si>
    <t>匍匐生長的苔蘚：斷莖繁殖</t>
    <phoneticPr fontId="1" type="noConversion"/>
  </si>
  <si>
    <t>苔蘚喜歡偏酸性土壤,如泥炭土</t>
    <phoneticPr fontId="1" type="noConversion"/>
  </si>
  <si>
    <t>人工繁殖（熱帶和亞熱帶的品種）</t>
    <phoneticPr fontId="1" type="noConversion"/>
  </si>
  <si>
    <t>溫度高不超過30度,低不超過10度,濕度保持80%以上</t>
    <phoneticPr fontId="1" type="noConversion"/>
  </si>
  <si>
    <t>苔蘚變黃2個原因：一是新老交替,二是逆環境下,犧牲頂端,頂端變枯黃</t>
    <phoneticPr fontId="1" type="noConversion"/>
  </si>
  <si>
    <t>虎尾蘚</t>
    <phoneticPr fontId="1" type="noConversion"/>
  </si>
  <si>
    <t>粗葉白髮蘚</t>
    <phoneticPr fontId="1" type="noConversion"/>
  </si>
  <si>
    <t>小仙鶴蘚</t>
    <phoneticPr fontId="1" type="noConversion"/>
  </si>
  <si>
    <t>過濾層又叫隔離層：乾水苔也就是曬乾泥炭蘚（過濾水分防止土層沉澱,提高通氣作用）</t>
    <phoneticPr fontId="1" type="noConversion"/>
  </si>
  <si>
    <t>培土營養層：弱酸性,無粉層,不板結的泥炭土</t>
    <phoneticPr fontId="1" type="noConversion"/>
  </si>
  <si>
    <t>鋪面點綴層：鹿沼土（由下層火山土生成）</t>
    <phoneticPr fontId="1" type="noConversion"/>
  </si>
  <si>
    <t>直立形苔蘚：白髮蘚,翁苔蘚,山苔蘚</t>
    <phoneticPr fontId="1" type="noConversion"/>
  </si>
  <si>
    <t>狼尾蕨,銀線蕨,網紋草,羅漢松,袖珍椰子,花葉絡石,合果芋,紅網紋</t>
    <phoneticPr fontId="1" type="noConversion"/>
  </si>
  <si>
    <t>短植絨</t>
    <phoneticPr fontId="1" type="noConversion"/>
  </si>
  <si>
    <t>苔球盆栽（日文苔玉Kokedama）</t>
    <phoneticPr fontId="1" type="noConversion"/>
  </si>
  <si>
    <t>形態</t>
    <phoneticPr fontId="1" type="noConversion"/>
  </si>
  <si>
    <t>組合植栽型</t>
    <phoneticPr fontId="1" type="noConversion"/>
  </si>
  <si>
    <t>35公分</t>
    <phoneticPr fontId="1" type="noConversion"/>
  </si>
  <si>
    <t>高殖</t>
    <phoneticPr fontId="1" type="noConversion"/>
  </si>
  <si>
    <t>樹形創作技巧</t>
    <phoneticPr fontId="1" type="noConversion"/>
  </si>
  <si>
    <t>模樣木型</t>
    <phoneticPr fontId="1" type="noConversion"/>
  </si>
  <si>
    <t>王道的樹型</t>
    <phoneticPr fontId="1" type="noConversion"/>
  </si>
  <si>
    <t>直幹型</t>
    <phoneticPr fontId="1" type="noConversion"/>
  </si>
  <si>
    <t>原生林的針葉樹形態</t>
    <phoneticPr fontId="1" type="noConversion"/>
  </si>
  <si>
    <t>斜幹型</t>
    <phoneticPr fontId="1" type="noConversion"/>
  </si>
  <si>
    <t>樹木往空間中伸展的姿態</t>
    <phoneticPr fontId="1" type="noConversion"/>
  </si>
  <si>
    <t>雙幹型</t>
    <phoneticPr fontId="1" type="noConversion"/>
  </si>
  <si>
    <t>相依相偎一起生長的親子主幹</t>
    <phoneticPr fontId="1" type="noConversion"/>
  </si>
  <si>
    <t>叢生型</t>
    <phoneticPr fontId="1" type="noConversion"/>
  </si>
  <si>
    <t>一棵樹木分出枝幹後形成森林</t>
    <phoneticPr fontId="1" type="noConversion"/>
  </si>
  <si>
    <t>由樹梢上灑落的和煦陽光</t>
    <phoneticPr fontId="1" type="noConversion"/>
  </si>
  <si>
    <t>懸崖型</t>
    <phoneticPr fontId="1" type="noConversion"/>
  </si>
  <si>
    <t>不畏逆境,謳歌生命</t>
    <phoneticPr fontId="1" type="noConversion"/>
  </si>
  <si>
    <t>風飄型</t>
    <phoneticPr fontId="1" type="noConversion"/>
  </si>
  <si>
    <t>不畏風吹堅強生存</t>
    <phoneticPr fontId="1" type="noConversion"/>
  </si>
  <si>
    <t>姿態溫文爾雅的樹形</t>
    <phoneticPr fontId="1" type="noConversion"/>
  </si>
  <si>
    <t>文人型</t>
    <phoneticPr fontId="1" type="noConversion"/>
  </si>
  <si>
    <t>纖細主幹,翩翩起舞般樹形</t>
    <phoneticPr fontId="1" type="noConversion"/>
  </si>
  <si>
    <t>松柏類</t>
    <phoneticPr fontId="1" type="noConversion"/>
  </si>
  <si>
    <t>五葉松</t>
    <phoneticPr fontId="1" type="noConversion"/>
  </si>
  <si>
    <t>黑松</t>
    <phoneticPr fontId="1" type="noConversion"/>
  </si>
  <si>
    <t>赤松</t>
    <phoneticPr fontId="1" type="noConversion"/>
  </si>
  <si>
    <t>真柏(圓柏的變種)</t>
    <phoneticPr fontId="1" type="noConversion"/>
  </si>
  <si>
    <t>魚鱗雲杉</t>
    <phoneticPr fontId="1" type="noConversion"/>
  </si>
  <si>
    <t>杜松</t>
    <phoneticPr fontId="1" type="noConversion"/>
  </si>
  <si>
    <t>杉木</t>
    <phoneticPr fontId="1" type="noConversion"/>
  </si>
  <si>
    <t>檜木</t>
    <phoneticPr fontId="1" type="noConversion"/>
  </si>
  <si>
    <t>紅豆杉</t>
    <phoneticPr fontId="1" type="noConversion"/>
  </si>
  <si>
    <t>雜木類</t>
    <phoneticPr fontId="1" type="noConversion"/>
  </si>
  <si>
    <t>日本紫莖</t>
    <phoneticPr fontId="1" type="noConversion"/>
  </si>
  <si>
    <t>鵝耳櫪</t>
    <phoneticPr fontId="1" type="noConversion"/>
  </si>
  <si>
    <t>野漆樹</t>
    <phoneticPr fontId="1" type="noConversion"/>
  </si>
  <si>
    <t>枹櫟</t>
    <phoneticPr fontId="1" type="noConversion"/>
  </si>
  <si>
    <t>班葉絡石</t>
    <phoneticPr fontId="1" type="noConversion"/>
  </si>
  <si>
    <t>花卉類</t>
    <phoneticPr fontId="1" type="noConversion"/>
  </si>
  <si>
    <t>梅花</t>
    <phoneticPr fontId="1" type="noConversion"/>
  </si>
  <si>
    <t>櫻花</t>
    <phoneticPr fontId="1" type="noConversion"/>
  </si>
  <si>
    <t>茶花</t>
    <phoneticPr fontId="1" type="noConversion"/>
  </si>
  <si>
    <t>長壽梅</t>
    <phoneticPr fontId="1" type="noConversion"/>
  </si>
  <si>
    <t>連翹</t>
    <phoneticPr fontId="1" type="noConversion"/>
  </si>
  <si>
    <t>條通樹;木五倍子</t>
    <phoneticPr fontId="1" type="noConversion"/>
  </si>
  <si>
    <t>果實類</t>
    <phoneticPr fontId="1" type="noConversion"/>
  </si>
  <si>
    <t>落霜紅</t>
    <phoneticPr fontId="1" type="noConversion"/>
  </si>
  <si>
    <t>小葉石楠</t>
    <phoneticPr fontId="1" type="noConversion"/>
  </si>
  <si>
    <t>山橘</t>
    <phoneticPr fontId="1" type="noConversion"/>
  </si>
  <si>
    <t>梔子花</t>
    <phoneticPr fontId="1" type="noConversion"/>
  </si>
  <si>
    <t>紫珠</t>
    <phoneticPr fontId="1" type="noConversion"/>
  </si>
  <si>
    <t>山楂</t>
    <phoneticPr fontId="1" type="noConversion"/>
  </si>
  <si>
    <t>海棠果</t>
    <phoneticPr fontId="1" type="noConversion"/>
  </si>
  <si>
    <t>土檸檬</t>
    <phoneticPr fontId="1" type="noConversion"/>
  </si>
  <si>
    <t>法國龍艾</t>
    <phoneticPr fontId="1" type="noConversion"/>
  </si>
  <si>
    <t>檸檬百里香</t>
    <phoneticPr fontId="1" type="noConversion"/>
  </si>
  <si>
    <t>芳香萬壽菊</t>
    <phoneticPr fontId="1" type="noConversion"/>
  </si>
  <si>
    <t>貓穗草</t>
    <phoneticPr fontId="1" type="noConversion"/>
  </si>
  <si>
    <t>奧勒岡</t>
    <phoneticPr fontId="1" type="noConversion"/>
  </si>
  <si>
    <t>鳳梨鼠尾草</t>
    <phoneticPr fontId="1" type="noConversion"/>
  </si>
  <si>
    <t>檸檬馬鞭草</t>
    <phoneticPr fontId="1" type="noConversion"/>
  </si>
  <si>
    <t>枸杞</t>
    <phoneticPr fontId="1" type="noConversion"/>
  </si>
  <si>
    <t>薄荷</t>
    <phoneticPr fontId="1" type="noConversion"/>
  </si>
  <si>
    <t>月桂</t>
    <phoneticPr fontId="1" type="noConversion"/>
  </si>
  <si>
    <t>白鶴靈芝</t>
    <phoneticPr fontId="1" type="noConversion"/>
  </si>
  <si>
    <t>絞股藍</t>
    <phoneticPr fontId="1" type="noConversion"/>
  </si>
  <si>
    <t>蜂香薄荷</t>
    <phoneticPr fontId="1" type="noConversion"/>
  </si>
  <si>
    <t>冬季薄荷</t>
    <phoneticPr fontId="1" type="noConversion"/>
  </si>
  <si>
    <t>胡椒薄荷</t>
    <phoneticPr fontId="1" type="noConversion"/>
  </si>
  <si>
    <t>馬蜂橙</t>
    <phoneticPr fontId="1" type="noConversion"/>
  </si>
  <si>
    <t>葡萄柚薄荷</t>
    <phoneticPr fontId="1" type="noConversion"/>
  </si>
  <si>
    <t>資科</t>
    <phoneticPr fontId="1" type="noConversion"/>
  </si>
  <si>
    <t>摩台</t>
    <phoneticPr fontId="1" type="noConversion"/>
  </si>
  <si>
    <t>長科</t>
    <phoneticPr fontId="1" type="noConversion"/>
  </si>
  <si>
    <t>買賣價</t>
    <phoneticPr fontId="1" type="noConversion"/>
  </si>
  <si>
    <t>買進日期</t>
    <phoneticPr fontId="1" type="noConversion"/>
  </si>
  <si>
    <t>多媒體IC設計</t>
    <phoneticPr fontId="1" type="noConversion"/>
  </si>
  <si>
    <t>甜萬壽菊（墨西哥龍艾）</t>
    <phoneticPr fontId="1" type="noConversion"/>
  </si>
  <si>
    <t>一珠</t>
    <phoneticPr fontId="1" type="noConversion"/>
  </si>
  <si>
    <t>南斌</t>
    <phoneticPr fontId="1" type="noConversion"/>
  </si>
  <si>
    <t>二極體橋式整流器製造商</t>
    <phoneticPr fontId="1" type="noConversion"/>
  </si>
  <si>
    <t>不見長黑不落底</t>
    <phoneticPr fontId="1" type="noConversion"/>
  </si>
  <si>
    <t>石英元件日本大真空轉投資</t>
    <phoneticPr fontId="1" type="noConversion"/>
  </si>
  <si>
    <t>石英震蕩器</t>
    <phoneticPr fontId="1" type="noConversion"/>
  </si>
  <si>
    <t>8G四核</t>
    <phoneticPr fontId="1" type="noConversion"/>
  </si>
  <si>
    <t>4G四核</t>
    <phoneticPr fontId="1" type="noConversion"/>
  </si>
  <si>
    <t>EG遠東旗下</t>
    <phoneticPr fontId="1" type="noConversion"/>
  </si>
  <si>
    <t>多角化經營</t>
    <phoneticPr fontId="1" type="noConversion"/>
  </si>
  <si>
    <t>NISSAN裕隆集團</t>
    <phoneticPr fontId="1" type="noConversion"/>
  </si>
  <si>
    <t>記憶體模組</t>
    <phoneticPr fontId="1" type="noConversion"/>
  </si>
  <si>
    <t>環保控股中鼎旗下</t>
    <phoneticPr fontId="1" type="noConversion"/>
  </si>
  <si>
    <t>髮飾梳鏡</t>
    <phoneticPr fontId="1" type="noConversion"/>
  </si>
  <si>
    <t>唱片歌手經紀人</t>
    <phoneticPr fontId="1" type="noConversion"/>
  </si>
  <si>
    <t>窗簾</t>
    <phoneticPr fontId="1" type="noConversion"/>
  </si>
  <si>
    <t>羽絨</t>
    <phoneticPr fontId="1" type="noConversion"/>
  </si>
  <si>
    <t>運動鞋</t>
    <phoneticPr fontId="1" type="noConversion"/>
  </si>
  <si>
    <t>房仲</t>
    <phoneticPr fontId="1" type="noConversion"/>
  </si>
  <si>
    <t>營建霖園旗下</t>
    <phoneticPr fontId="1" type="noConversion"/>
  </si>
  <si>
    <t>高速鐵路</t>
    <phoneticPr fontId="1" type="noConversion"/>
  </si>
  <si>
    <t>記憶體任天堂</t>
    <phoneticPr fontId="1" type="noConversion"/>
  </si>
  <si>
    <t>電池材料中鋼旗下</t>
    <phoneticPr fontId="1" type="noConversion"/>
  </si>
  <si>
    <t>不鏽鋼管全美大</t>
    <phoneticPr fontId="1" type="noConversion"/>
  </si>
  <si>
    <t>記憶體華新旗下</t>
    <phoneticPr fontId="1" type="noConversion"/>
  </si>
  <si>
    <t>飛機發動機機匣</t>
    <phoneticPr fontId="1" type="noConversion"/>
  </si>
  <si>
    <t>中纖大股東</t>
    <phoneticPr fontId="1" type="noConversion"/>
  </si>
  <si>
    <t>公股銀行</t>
    <phoneticPr fontId="1" type="noConversion"/>
  </si>
  <si>
    <t>林榮三三重幫大股東</t>
    <phoneticPr fontId="1" type="noConversion"/>
  </si>
  <si>
    <t>遠東集團旗下</t>
    <phoneticPr fontId="1" type="noConversion"/>
  </si>
  <si>
    <t>統一集團旗下</t>
    <phoneticPr fontId="1" type="noConversion"/>
  </si>
  <si>
    <t>元大寶來證劵台大</t>
    <phoneticPr fontId="1" type="noConversion"/>
  </si>
  <si>
    <t>半導體設備鴻海旗下</t>
    <phoneticPr fontId="1" type="noConversion"/>
  </si>
  <si>
    <t>電磁閥</t>
    <phoneticPr fontId="1" type="noConversion"/>
  </si>
  <si>
    <t>自動化設備</t>
    <phoneticPr fontId="1" type="noConversion"/>
  </si>
  <si>
    <t>電源管理IC</t>
    <phoneticPr fontId="1" type="noConversion"/>
  </si>
  <si>
    <t>期貨台大</t>
    <phoneticPr fontId="1" type="noConversion"/>
  </si>
  <si>
    <t>期貨台前4</t>
    <phoneticPr fontId="1" type="noConversion"/>
  </si>
  <si>
    <t>UPS</t>
    <phoneticPr fontId="1" type="noConversion"/>
  </si>
  <si>
    <t>指紋辨識宏碁投資</t>
    <phoneticPr fontId="1" type="noConversion"/>
  </si>
  <si>
    <t>晶圓測試中華電旗下</t>
    <phoneticPr fontId="1" type="noConversion"/>
  </si>
  <si>
    <t>砷化鎵晶圓全前3</t>
    <phoneticPr fontId="1" type="noConversion"/>
  </si>
  <si>
    <t>無塵室</t>
    <phoneticPr fontId="1" type="noConversion"/>
  </si>
  <si>
    <t>南山人壽</t>
    <phoneticPr fontId="1" type="noConversion"/>
  </si>
  <si>
    <t>醣質標靶尖端醫投資</t>
    <phoneticPr fontId="1" type="noConversion"/>
  </si>
  <si>
    <t>運動服</t>
    <phoneticPr fontId="1" type="noConversion"/>
  </si>
  <si>
    <t>醫療廢棄物潤泰旗下</t>
    <phoneticPr fontId="1" type="noConversion"/>
  </si>
  <si>
    <t>銀行證券投信永豐餘旗下</t>
    <phoneticPr fontId="1" type="noConversion"/>
  </si>
  <si>
    <t>新光人壽前5大新光旗下</t>
    <phoneticPr fontId="1" type="noConversion"/>
  </si>
  <si>
    <t>自動化設備鴻海旗下</t>
    <phoneticPr fontId="1" type="noConversion"/>
  </si>
  <si>
    <t>晶圓代工台積電旗下</t>
    <phoneticPr fontId="1" type="noConversion"/>
  </si>
  <si>
    <t>晶圓代工華新麗華旗下</t>
    <phoneticPr fontId="1" type="noConversion"/>
  </si>
  <si>
    <t>頭部特征就是專殺權值股，用中小型貼補點數</t>
    <phoneticPr fontId="1" type="noConversion"/>
  </si>
  <si>
    <t>上市28類</t>
    <phoneticPr fontId="1" type="noConversion"/>
  </si>
  <si>
    <t>上櫃18類</t>
    <phoneticPr fontId="1" type="noConversion"/>
  </si>
  <si>
    <t>機上盒單晶片</t>
    <phoneticPr fontId="1" type="noConversion"/>
  </si>
  <si>
    <t>7.14</t>
    <phoneticPr fontId="1" type="noConversion"/>
  </si>
  <si>
    <t>銅箔基板全前10</t>
    <phoneticPr fontId="1" type="noConversion"/>
  </si>
  <si>
    <t>大戶</t>
    <phoneticPr fontId="1" type="noConversion"/>
  </si>
  <si>
    <t>44.81</t>
    <phoneticPr fontId="1" type="noConversion"/>
  </si>
  <si>
    <t>南珠</t>
    <phoneticPr fontId="1" type="noConversion"/>
  </si>
  <si>
    <t>2019年7月</t>
    <phoneticPr fontId="1" type="noConversion"/>
  </si>
  <si>
    <t>零股價</t>
    <phoneticPr fontId="1" type="noConversion"/>
  </si>
  <si>
    <t>零股數</t>
    <phoneticPr fontId="1" type="noConversion"/>
  </si>
  <si>
    <t>收益</t>
    <phoneticPr fontId="1" type="noConversion"/>
  </si>
  <si>
    <t>日期</t>
    <phoneticPr fontId="1" type="noConversion"/>
  </si>
  <si>
    <t>賣出價</t>
    <phoneticPr fontId="1" type="noConversion"/>
  </si>
  <si>
    <t>買進價</t>
    <phoneticPr fontId="1" type="noConversion"/>
  </si>
  <si>
    <t>損益率</t>
    <phoneticPr fontId="1" type="noConversion"/>
  </si>
  <si>
    <t>總金額</t>
    <phoneticPr fontId="1" type="noConversion"/>
  </si>
  <si>
    <t>零股交易</t>
    <phoneticPr fontId="1" type="noConversion"/>
  </si>
  <si>
    <t>41.53</t>
    <phoneticPr fontId="1" type="noConversion"/>
  </si>
  <si>
    <t>17.07</t>
    <phoneticPr fontId="1" type="noConversion"/>
  </si>
  <si>
    <t>20.32</t>
    <phoneticPr fontId="1" type="noConversion"/>
  </si>
  <si>
    <t>2.59</t>
    <phoneticPr fontId="1" type="noConversion"/>
  </si>
  <si>
    <t>6.20</t>
    <phoneticPr fontId="1" type="noConversion"/>
  </si>
  <si>
    <t>2019全年</t>
    <phoneticPr fontId="1" type="noConversion"/>
  </si>
  <si>
    <t>6.58</t>
    <phoneticPr fontId="1" type="noConversion"/>
  </si>
  <si>
    <t>上市</t>
    <phoneticPr fontId="1" type="noConversion"/>
  </si>
  <si>
    <t>指數</t>
    <phoneticPr fontId="1" type="noConversion"/>
  </si>
  <si>
    <t>4.73</t>
    <phoneticPr fontId="1" type="noConversion"/>
  </si>
  <si>
    <t>2.67</t>
    <phoneticPr fontId="1" type="noConversion"/>
  </si>
  <si>
    <t>3.39</t>
    <phoneticPr fontId="1" type="noConversion"/>
  </si>
  <si>
    <t>4.79</t>
    <phoneticPr fontId="1" type="noConversion"/>
  </si>
  <si>
    <t>7.42</t>
    <phoneticPr fontId="1" type="noConversion"/>
  </si>
  <si>
    <t>7.2</t>
    <phoneticPr fontId="1" type="noConversion"/>
  </si>
  <si>
    <t>2019年8月</t>
    <phoneticPr fontId="1" type="noConversion"/>
  </si>
  <si>
    <t>2019年9月</t>
    <phoneticPr fontId="1" type="noConversion"/>
  </si>
  <si>
    <t>2019年10月</t>
    <phoneticPr fontId="1" type="noConversion"/>
  </si>
  <si>
    <t>2019年11月</t>
    <phoneticPr fontId="1" type="noConversion"/>
  </si>
  <si>
    <t>2019年12月</t>
    <phoneticPr fontId="1" type="noConversion"/>
  </si>
  <si>
    <t>8.33</t>
    <phoneticPr fontId="1" type="noConversion"/>
  </si>
  <si>
    <t>0.94</t>
    <phoneticPr fontId="1" type="noConversion"/>
  </si>
  <si>
    <t>投報率</t>
    <phoneticPr fontId="1" type="noConversion"/>
  </si>
  <si>
    <t>sp500反</t>
    <phoneticPr fontId="1" type="noConversion"/>
  </si>
  <si>
    <t>7.22</t>
    <phoneticPr fontId="1" type="noConversion"/>
  </si>
  <si>
    <t>元珠</t>
    <phoneticPr fontId="1" type="noConversion"/>
  </si>
  <si>
    <t>2.55</t>
    <phoneticPr fontId="1" type="noConversion"/>
  </si>
  <si>
    <t>9.15</t>
    <phoneticPr fontId="1" type="noConversion"/>
  </si>
  <si>
    <t>財報公佈</t>
    <phoneticPr fontId="1" type="noConversion"/>
  </si>
  <si>
    <t>DELL 3470</t>
    <phoneticPr fontId="1" type="noConversion"/>
  </si>
  <si>
    <t>I5-6400T</t>
    <phoneticPr fontId="1" type="noConversion"/>
  </si>
  <si>
    <t>3.2</t>
    <phoneticPr fontId="1" type="noConversion"/>
  </si>
  <si>
    <t>0</t>
    <phoneticPr fontId="1" type="noConversion"/>
  </si>
  <si>
    <t>騰輝電子KY</t>
    <phoneticPr fontId="1" type="noConversion"/>
  </si>
  <si>
    <t>2</t>
    <phoneticPr fontId="1" type="noConversion"/>
  </si>
  <si>
    <t>三商銀之一</t>
    <phoneticPr fontId="1" type="noConversion"/>
  </si>
  <si>
    <t>繪圖卡</t>
    <phoneticPr fontId="1" type="noConversion"/>
  </si>
  <si>
    <t>大眾集團控股公司</t>
    <phoneticPr fontId="1" type="noConversion"/>
  </si>
  <si>
    <t>工業電腦鴻海轉投資,旗下沅聖,瑞祺電</t>
    <phoneticPr fontId="1" type="noConversion"/>
  </si>
  <si>
    <t>風扇散熱導管廠商</t>
    <phoneticPr fontId="1" type="noConversion"/>
  </si>
  <si>
    <t>顯示器車載娛樂系統和OEM自行車花鼓零件製造商</t>
    <phoneticPr fontId="1" type="noConversion"/>
  </si>
  <si>
    <t>PCB自動化設備供應商</t>
    <phoneticPr fontId="1" type="noConversion"/>
  </si>
  <si>
    <t>滾珠螺桿</t>
    <phoneticPr fontId="1" type="noConversion"/>
  </si>
  <si>
    <t>網通代理服務</t>
    <phoneticPr fontId="1" type="noConversion"/>
  </si>
  <si>
    <t>洗腎相關儀器耗材代理商</t>
    <phoneticPr fontId="1" type="noConversion"/>
  </si>
  <si>
    <t>血糖儀血糖試片居家醫療器材廠</t>
    <phoneticPr fontId="1" type="noConversion"/>
  </si>
  <si>
    <t>微脂體技術研發新藥廠商</t>
    <phoneticPr fontId="1" type="noConversion"/>
  </si>
  <si>
    <t>紅血球增生癥藥物研發商</t>
    <phoneticPr fontId="1" type="noConversion"/>
  </si>
  <si>
    <t>改良劑新藥研發</t>
    <phoneticPr fontId="1" type="noConversion"/>
  </si>
  <si>
    <t>抗癌新藥特殊原料藥研發商</t>
    <phoneticPr fontId="1" type="noConversion"/>
  </si>
  <si>
    <t>男性西服裕隆旗下</t>
    <phoneticPr fontId="1" type="noConversion"/>
  </si>
  <si>
    <t>毛條</t>
    <phoneticPr fontId="1" type="noConversion"/>
  </si>
  <si>
    <t>棉紡</t>
    <phoneticPr fontId="1" type="noConversion"/>
  </si>
  <si>
    <t>加工絲</t>
    <phoneticPr fontId="1" type="noConversion"/>
  </si>
  <si>
    <t>長織布廠</t>
    <phoneticPr fontId="1" type="noConversion"/>
  </si>
  <si>
    <t>尼龍長織布廠</t>
    <phoneticPr fontId="1" type="noConversion"/>
  </si>
  <si>
    <t>3D立體織物</t>
    <phoneticPr fontId="1" type="noConversion"/>
  </si>
  <si>
    <t>肥料純鹼大廠</t>
    <phoneticPr fontId="1" type="noConversion"/>
  </si>
  <si>
    <t>烷化品大廠唯一氫化石油樹脂</t>
    <phoneticPr fontId="1" type="noConversion"/>
  </si>
  <si>
    <t>蘋果西打</t>
    <phoneticPr fontId="1" type="noConversion"/>
  </si>
  <si>
    <t>飲料罐頭</t>
    <phoneticPr fontId="1" type="noConversion"/>
  </si>
  <si>
    <t>嬰幼童服飾</t>
    <phoneticPr fontId="1" type="noConversion"/>
  </si>
  <si>
    <t>陸運加油站營建飯店業務</t>
    <phoneticPr fontId="1" type="noConversion"/>
  </si>
  <si>
    <t>輕型散裝船</t>
    <phoneticPr fontId="1" type="noConversion"/>
  </si>
  <si>
    <t>航空貨運海運報關業務承攬物流業者</t>
    <phoneticPr fontId="1" type="noConversion"/>
  </si>
  <si>
    <t>建商市地重畫</t>
    <phoneticPr fontId="1" type="noConversion"/>
  </si>
  <si>
    <t>建商寶徠花園廣場</t>
    <phoneticPr fontId="1" type="noConversion"/>
  </si>
  <si>
    <t>建設百貨休閒</t>
    <phoneticPr fontId="1" type="noConversion"/>
  </si>
  <si>
    <t>建商大台北</t>
    <phoneticPr fontId="1" type="noConversion"/>
  </si>
  <si>
    <t>建商統一旗下</t>
    <phoneticPr fontId="1" type="noConversion"/>
  </si>
  <si>
    <t>建築工程廠商威京旗下</t>
    <phoneticPr fontId="1" type="noConversion"/>
  </si>
  <si>
    <t>營造商承攬公共工程</t>
    <phoneticPr fontId="1" type="noConversion"/>
  </si>
  <si>
    <t>建商日月光旗下</t>
    <phoneticPr fontId="1" type="noConversion"/>
  </si>
  <si>
    <t>工程整合服務廠商</t>
    <phoneticPr fontId="1" type="noConversion"/>
  </si>
  <si>
    <t>仰德旗下建設飯店文創經營</t>
    <phoneticPr fontId="1" type="noConversion"/>
  </si>
  <si>
    <t>旅行社</t>
    <phoneticPr fontId="1" type="noConversion"/>
  </si>
  <si>
    <t>資安</t>
    <phoneticPr fontId="1" type="noConversion"/>
  </si>
  <si>
    <t>出版社</t>
    <phoneticPr fontId="1" type="noConversion"/>
  </si>
  <si>
    <t>交友社群網站台灣最大愛情公寓</t>
    <phoneticPr fontId="1" type="noConversion"/>
  </si>
  <si>
    <t>產險業歷史最悠久</t>
    <phoneticPr fontId="1" type="noConversion"/>
  </si>
  <si>
    <t>隆力集團入主中小型銀行</t>
    <phoneticPr fontId="1" type="noConversion"/>
  </si>
  <si>
    <t>新光集團旗下前3大產險公司</t>
    <phoneticPr fontId="1" type="noConversion"/>
  </si>
  <si>
    <t>前10大產險公司</t>
    <phoneticPr fontId="1" type="noConversion"/>
  </si>
  <si>
    <t>3</t>
    <phoneticPr fontId="1" type="noConversion"/>
  </si>
  <si>
    <t>山頂上玩有誰能贏，底部進場不贏也難（魚頭菜販策略）</t>
    <phoneticPr fontId="1" type="noConversion"/>
  </si>
  <si>
    <t>-7.74</t>
    <phoneticPr fontId="1" type="noConversion"/>
  </si>
  <si>
    <t>8.42</t>
    <phoneticPr fontId="1" type="noConversion"/>
  </si>
  <si>
    <t>12.7</t>
    <phoneticPr fontId="1" type="noConversion"/>
  </si>
  <si>
    <t>DELL 3670</t>
    <phoneticPr fontId="1" type="noConversion"/>
  </si>
  <si>
    <t>I7-9700</t>
    <phoneticPr fontId="1" type="noConversion"/>
  </si>
  <si>
    <t>12G八核</t>
    <phoneticPr fontId="1" type="noConversion"/>
  </si>
  <si>
    <t>PCHOME</t>
    <phoneticPr fontId="1" type="noConversion"/>
  </si>
  <si>
    <t>secretshop@163.com</t>
    <phoneticPr fontId="1" type="noConversion"/>
  </si>
  <si>
    <t>04280428</t>
    <phoneticPr fontId="1" type="noConversion"/>
  </si>
  <si>
    <t>家中網路</t>
    <phoneticPr fontId="1" type="noConversion"/>
  </si>
  <si>
    <t>9033bin</t>
    <phoneticPr fontId="1" type="noConversion"/>
  </si>
  <si>
    <t>03180318</t>
    <phoneticPr fontId="1" type="noConversion"/>
  </si>
  <si>
    <t>pin0428</t>
    <phoneticPr fontId="1" type="noConversion"/>
  </si>
  <si>
    <t>3.0GHZ</t>
    <phoneticPr fontId="1" type="noConversion"/>
  </si>
  <si>
    <t>利空不會成頭</t>
    <phoneticPr fontId="1" type="noConversion"/>
  </si>
  <si>
    <t>彌補</t>
    <phoneticPr fontId="1" type="noConversion"/>
  </si>
  <si>
    <t>4.09</t>
    <phoneticPr fontId="1" type="noConversion"/>
  </si>
  <si>
    <t>9.59</t>
    <phoneticPr fontId="1" type="noConversion"/>
  </si>
  <si>
    <t>8.05</t>
    <phoneticPr fontId="1" type="noConversion"/>
  </si>
  <si>
    <t>3.57</t>
    <phoneticPr fontId="1" type="noConversion"/>
  </si>
  <si>
    <t>6.05</t>
    <phoneticPr fontId="1" type="noConversion"/>
  </si>
  <si>
    <t>敦泰彌補</t>
    <phoneticPr fontId="1" type="noConversion"/>
  </si>
  <si>
    <t>6.94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</si>
  <si>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</si>
  <si>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</si>
  <si>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</si>
  <si>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</si>
  <si>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3.01</t>
    <phoneticPr fontId="1" type="noConversion"/>
  </si>
  <si>
    <t>7月19年</t>
    <phoneticPr fontId="1" type="noConversion"/>
  </si>
  <si>
    <t>8月19年</t>
    <phoneticPr fontId="1" type="noConversion"/>
  </si>
  <si>
    <t>9月19年</t>
    <phoneticPr fontId="1" type="noConversion"/>
  </si>
  <si>
    <t>2.33</t>
    <phoneticPr fontId="1" type="noConversion"/>
  </si>
  <si>
    <t>2.22</t>
    <phoneticPr fontId="1" type="noConversion"/>
  </si>
  <si>
    <t>-4.59</t>
    <phoneticPr fontId="1" type="noConversion"/>
  </si>
  <si>
    <t>1402</t>
    <phoneticPr fontId="1" type="noConversion"/>
  </si>
  <si>
    <t>9.89</t>
    <phoneticPr fontId="1" type="noConversion"/>
  </si>
  <si>
    <t>4.26</t>
    <phoneticPr fontId="1" type="noConversion"/>
  </si>
  <si>
    <t>5.1</t>
    <phoneticPr fontId="1" type="noConversion"/>
  </si>
  <si>
    <t>7.53</t>
    <phoneticPr fontId="1" type="noConversion"/>
  </si>
  <si>
    <t>6.01</t>
    <phoneticPr fontId="1" type="noConversion"/>
  </si>
  <si>
    <t>-17.61</t>
    <phoneticPr fontId="1" type="noConversion"/>
  </si>
  <si>
    <t>-17.14</t>
    <phoneticPr fontId="1" type="noConversion"/>
  </si>
  <si>
    <t>-3.11</t>
    <phoneticPr fontId="1" type="noConversion"/>
  </si>
  <si>
    <t>3.97</t>
    <phoneticPr fontId="1" type="noConversion"/>
  </si>
  <si>
    <t>3.15</t>
    <phoneticPr fontId="1" type="noConversion"/>
  </si>
  <si>
    <t>3.15</t>
    <phoneticPr fontId="1" type="noConversion"/>
  </si>
  <si>
    <t>-1.69</t>
    <phoneticPr fontId="1" type="noConversion"/>
  </si>
  <si>
    <t>1.38</t>
    <phoneticPr fontId="1" type="noConversion"/>
  </si>
  <si>
    <t>5.01</t>
    <phoneticPr fontId="1" type="noConversion"/>
  </si>
  <si>
    <t>6.67</t>
    <phoneticPr fontId="1" type="noConversion"/>
  </si>
  <si>
    <t>5.5</t>
    <phoneticPr fontId="1" type="noConversion"/>
  </si>
  <si>
    <t>3</t>
    <phoneticPr fontId="1" type="noConversion"/>
  </si>
  <si>
    <t>6.32</t>
    <phoneticPr fontId="1" type="noConversion"/>
  </si>
  <si>
    <t>3</t>
    <phoneticPr fontId="1" type="noConversion"/>
  </si>
  <si>
    <t>1</t>
    <phoneticPr fontId="1" type="noConversion"/>
  </si>
  <si>
    <t>零股</t>
    <phoneticPr fontId="1" type="noConversion"/>
  </si>
  <si>
    <t>1.71</t>
    <phoneticPr fontId="1" type="noConversion"/>
  </si>
  <si>
    <t>M31</t>
    <phoneticPr fontId="1" type="noConversion"/>
  </si>
  <si>
    <t>7.62</t>
    <phoneticPr fontId="1" type="noConversion"/>
  </si>
  <si>
    <t>1</t>
    <phoneticPr fontId="1" type="noConversion"/>
  </si>
  <si>
    <t>3</t>
    <phoneticPr fontId="1" type="noConversion"/>
  </si>
  <si>
    <t>世豐、榮剛、尚凡、上奇、富旺、霈方、華研、譜瑞-KY、大峽谷-KY上世等 9 家。</t>
  </si>
  <si>
    <t>雙鍵、禾聯碩、遠雄、大豐電、佳必琪、矽格、台數科、長華、鮮活果汁-KY、材料-KY、豐祥-Kㄚ等 35 家。</t>
  </si>
  <si>
    <t>▶ 上市公司季季配</t>
  </si>
  <si>
    <t>▶ 上市公司半年配</t>
  </si>
  <si>
    <t>▶ 上櫃公司季季配</t>
  </si>
  <si>
    <t>▶ 上櫃公司半年配</t>
  </si>
  <si>
    <t>3</t>
    <phoneticPr fontId="1" type="noConversion"/>
  </si>
  <si>
    <t>信昌電彌補</t>
    <phoneticPr fontId="1" type="noConversion"/>
  </si>
  <si>
    <t>-9.67</t>
    <phoneticPr fontId="1" type="noConversion"/>
  </si>
  <si>
    <t>1.42</t>
    <phoneticPr fontId="1" type="noConversion"/>
  </si>
  <si>
    <t>1.78</t>
    <phoneticPr fontId="1" type="noConversion"/>
  </si>
  <si>
    <t>5.15</t>
    <phoneticPr fontId="1" type="noConversion"/>
  </si>
  <si>
    <t>5.73</t>
    <phoneticPr fontId="1" type="noConversion"/>
  </si>
  <si>
    <t>3.16</t>
    <phoneticPr fontId="1" type="noConversion"/>
  </si>
  <si>
    <t>4.47</t>
    <phoneticPr fontId="1" type="noConversion"/>
  </si>
  <si>
    <t>56/1/17</t>
    <phoneticPr fontId="1" type="noConversion"/>
  </si>
  <si>
    <t>85/3/18</t>
    <phoneticPr fontId="1" type="noConversion"/>
  </si>
  <si>
    <t>87/9/13</t>
    <phoneticPr fontId="1" type="noConversion"/>
  </si>
  <si>
    <t>2.53</t>
    <phoneticPr fontId="1" type="noConversion"/>
  </si>
  <si>
    <t>4</t>
    <phoneticPr fontId="1" type="noConversion"/>
  </si>
  <si>
    <t>年線下變平，準備捕老熊。年線往上拐，回踩堅決買！</t>
  </si>
  <si>
    <t>年線往下行，一定要搞清，如等半年線，暫做壁上觀。</t>
  </si>
  <si>
    <t>深跌破年線，老熊活年半。價穩年線上，千里馬亮相。</t>
  </si>
  <si>
    <t>要問為什么？牛熊一線亡！半年線下穿，千萬不要沾。</t>
  </si>
  <si>
    <t>半年線上拐，堅決果斷買！季線如下穿，後市不樂觀！</t>
  </si>
  <si>
    <t>季線往上走，長期須多頭！月線不下穿，光明就在前！</t>
  </si>
  <si>
    <t>股價踩季線，入市做波段。季線如被破，眼前就有禍，</t>
  </si>
  <si>
    <t>月線上穿季，買進等獲利。月線如下行，本波已完成！</t>
  </si>
  <si>
    <t>價跌月線平，底部已探明。2 0 線走平，觀望暫做空。</t>
  </si>
  <si>
    <t>2 0線上翹，猶如衝鋒號。突然呈加速，離頂查一步！</t>
  </si>
  <si>
    <t>10天莊成本，不破不走人。短線看 3天，破掉你就竄！</t>
  </si>
  <si>
    <t>長期往上翹，短期呈纏繞，平臺一做成，股價往上跑</t>
  </si>
  <si>
    <t>鍵盤3雄茂林精元科嘉</t>
    <phoneticPr fontId="1" type="noConversion"/>
  </si>
  <si>
    <t>10月19年</t>
    <phoneticPr fontId="1" type="noConversion"/>
  </si>
  <si>
    <t>勿回補帶量實體紅K缺口。如回補。整理時間㑹拉長。如拉長時間裡。主力順勢緩慢出貨。需格外小心。</t>
    <phoneticPr fontId="1" type="noConversion"/>
  </si>
  <si>
    <t>18.9</t>
    <phoneticPr fontId="1" type="noConversion"/>
  </si>
  <si>
    <t>7.61</t>
    <phoneticPr fontId="1" type="noConversion"/>
  </si>
  <si>
    <t>3.44</t>
    <phoneticPr fontId="1" type="noConversion"/>
  </si>
  <si>
    <t>2.89</t>
    <phoneticPr fontId="1" type="noConversion"/>
  </si>
  <si>
    <t>8.38</t>
    <phoneticPr fontId="1" type="noConversion"/>
  </si>
  <si>
    <t>-0.67</t>
    <phoneticPr fontId="1" type="noConversion"/>
  </si>
  <si>
    <t xml:space="preserve">人臉辨識新唐 (4919) 、鈺創 (5351) 、原相 (3227) </t>
    <phoneticPr fontId="1" type="noConversion"/>
  </si>
  <si>
    <t>指紋辨識義隆 (2458) 、神盾 (6462) 、敦泰 (3545) 、聯詠 (3034)</t>
    <phoneticPr fontId="1" type="noConversion"/>
  </si>
  <si>
    <t>mosfet廠雙位數衰退,如大中,富鼎</t>
    <phoneticPr fontId="1" type="noConversion"/>
  </si>
  <si>
    <t>中小型利基訂單雙位數成長,如杰立,尼克森</t>
    <phoneticPr fontId="1" type="noConversion"/>
  </si>
  <si>
    <t>電源管理IC的致新,矽力美中貿易戰轉單受惠</t>
    <phoneticPr fontId="1" type="noConversion"/>
  </si>
  <si>
    <t>4.12</t>
    <phoneticPr fontId="1" type="noConversion"/>
  </si>
  <si>
    <t>8.18</t>
    <phoneticPr fontId="1" type="noConversion"/>
  </si>
  <si>
    <t>5.48</t>
    <phoneticPr fontId="1" type="noConversion"/>
  </si>
  <si>
    <t>3.94</t>
    <phoneticPr fontId="1" type="noConversion"/>
  </si>
  <si>
    <t>7.26</t>
    <phoneticPr fontId="1" type="noConversion"/>
  </si>
  <si>
    <t>7.25</t>
    <phoneticPr fontId="1" type="noConversion"/>
  </si>
  <si>
    <t>568</t>
    <phoneticPr fontId="1" type="noConversion"/>
  </si>
  <si>
    <t>110</t>
    <phoneticPr fontId="1" type="noConversion"/>
  </si>
  <si>
    <t>636</t>
    <phoneticPr fontId="1" type="noConversion"/>
  </si>
  <si>
    <t>793</t>
    <phoneticPr fontId="1" type="noConversion"/>
  </si>
  <si>
    <t>586</t>
    <phoneticPr fontId="1" type="noConversion"/>
  </si>
  <si>
    <t>27.4</t>
    <phoneticPr fontId="1" type="noConversion"/>
  </si>
  <si>
    <t>5.04</t>
    <phoneticPr fontId="1" type="noConversion"/>
  </si>
  <si>
    <t>8.12</t>
    <phoneticPr fontId="1" type="noConversion"/>
  </si>
  <si>
    <t>13.6</t>
    <phoneticPr fontId="1" type="noConversion"/>
  </si>
  <si>
    <t>30.9</t>
    <phoneticPr fontId="1" type="noConversion"/>
  </si>
  <si>
    <t>54.6</t>
    <phoneticPr fontId="1" type="noConversion"/>
  </si>
  <si>
    <t>12.2</t>
    <phoneticPr fontId="1" type="noConversion"/>
  </si>
  <si>
    <t>1386</t>
    <phoneticPr fontId="1" type="noConversion"/>
  </si>
  <si>
    <t>42.9</t>
    <phoneticPr fontId="1" type="noConversion"/>
  </si>
  <si>
    <t>2593</t>
    <phoneticPr fontId="1" type="noConversion"/>
  </si>
  <si>
    <t>386</t>
    <phoneticPr fontId="1" type="noConversion"/>
  </si>
  <si>
    <t>26.3</t>
    <phoneticPr fontId="1" type="noConversion"/>
  </si>
  <si>
    <t>30.3</t>
    <phoneticPr fontId="1" type="noConversion"/>
  </si>
  <si>
    <t>1359</t>
    <phoneticPr fontId="1" type="noConversion"/>
  </si>
  <si>
    <t>1949</t>
    <phoneticPr fontId="1" type="noConversion"/>
  </si>
  <si>
    <t>13.4</t>
    <phoneticPr fontId="1" type="noConversion"/>
  </si>
  <si>
    <t>23.1</t>
    <phoneticPr fontId="1" type="noConversion"/>
  </si>
  <si>
    <t>24.8</t>
    <phoneticPr fontId="1" type="noConversion"/>
  </si>
  <si>
    <t>42.4</t>
    <phoneticPr fontId="1" type="noConversion"/>
  </si>
  <si>
    <t>7.41</t>
    <phoneticPr fontId="1" type="noConversion"/>
  </si>
  <si>
    <t>4.24</t>
    <phoneticPr fontId="1" type="noConversion"/>
  </si>
  <si>
    <t>18.5</t>
    <phoneticPr fontId="1" type="noConversion"/>
  </si>
  <si>
    <t>25.2</t>
    <phoneticPr fontId="1" type="noConversion"/>
  </si>
  <si>
    <t>14.6</t>
    <phoneticPr fontId="1" type="noConversion"/>
  </si>
  <si>
    <t>17.2</t>
    <phoneticPr fontId="1" type="noConversion"/>
  </si>
  <si>
    <t>1.88</t>
    <phoneticPr fontId="1" type="noConversion"/>
  </si>
  <si>
    <t>163</t>
    <phoneticPr fontId="1" type="noConversion"/>
  </si>
  <si>
    <t>18.1</t>
    <phoneticPr fontId="1" type="noConversion"/>
  </si>
  <si>
    <t>16.9</t>
    <phoneticPr fontId="1" type="noConversion"/>
  </si>
  <si>
    <t>58.6</t>
    <phoneticPr fontId="1" type="noConversion"/>
  </si>
  <si>
    <t>21.7</t>
    <phoneticPr fontId="1" type="noConversion"/>
  </si>
  <si>
    <t>17.5</t>
    <phoneticPr fontId="1" type="noConversion"/>
  </si>
  <si>
    <t>18.6</t>
    <phoneticPr fontId="1" type="noConversion"/>
  </si>
  <si>
    <t>22.6</t>
    <phoneticPr fontId="1" type="noConversion"/>
  </si>
  <si>
    <t>12.4</t>
    <phoneticPr fontId="1" type="noConversion"/>
  </si>
  <si>
    <t>43.7</t>
    <phoneticPr fontId="1" type="noConversion"/>
  </si>
  <si>
    <t>952</t>
    <phoneticPr fontId="1" type="noConversion"/>
  </si>
  <si>
    <t>3.13</t>
    <phoneticPr fontId="1" type="noConversion"/>
  </si>
  <si>
    <t>17.4</t>
    <phoneticPr fontId="1" type="noConversion"/>
  </si>
  <si>
    <t>3.02</t>
    <phoneticPr fontId="1" type="noConversion"/>
  </si>
  <si>
    <t>4.98</t>
    <phoneticPr fontId="1" type="noConversion"/>
  </si>
  <si>
    <t>27.1</t>
    <phoneticPr fontId="1" type="noConversion"/>
  </si>
  <si>
    <t>19.7</t>
    <phoneticPr fontId="1" type="noConversion"/>
  </si>
  <si>
    <t>29.3</t>
    <phoneticPr fontId="1" type="noConversion"/>
  </si>
  <si>
    <t>13.5</t>
    <phoneticPr fontId="1" type="noConversion"/>
  </si>
  <si>
    <t>37.5</t>
    <phoneticPr fontId="1" type="noConversion"/>
  </si>
  <si>
    <t>14.5</t>
    <phoneticPr fontId="1" type="noConversion"/>
  </si>
  <si>
    <t>13.2</t>
    <phoneticPr fontId="1" type="noConversion"/>
  </si>
  <si>
    <t>13.8</t>
    <phoneticPr fontId="1" type="noConversion"/>
  </si>
  <si>
    <t>資本</t>
    <phoneticPr fontId="1" type="noConversion"/>
  </si>
  <si>
    <t>1.52</t>
    <phoneticPr fontId="1" type="noConversion"/>
  </si>
  <si>
    <t>10.3</t>
    <phoneticPr fontId="1" type="noConversion"/>
  </si>
  <si>
    <t>35.3</t>
    <phoneticPr fontId="1" type="noConversion"/>
  </si>
  <si>
    <t>16.7</t>
    <phoneticPr fontId="1" type="noConversion"/>
  </si>
  <si>
    <t>16.1</t>
    <phoneticPr fontId="1" type="noConversion"/>
  </si>
  <si>
    <t>5.09</t>
    <phoneticPr fontId="1" type="noConversion"/>
  </si>
  <si>
    <t>13.1</t>
    <phoneticPr fontId="1" type="noConversion"/>
  </si>
  <si>
    <t>鈺太</t>
    <phoneticPr fontId="1" type="noConversion"/>
  </si>
  <si>
    <t>雍智科技</t>
    <phoneticPr fontId="1" type="noConversion"/>
  </si>
  <si>
    <t>6.13</t>
    <phoneticPr fontId="1" type="noConversion"/>
  </si>
  <si>
    <t>8.13</t>
    <phoneticPr fontId="1" type="noConversion"/>
  </si>
  <si>
    <t>15.3</t>
    <phoneticPr fontId="1" type="noConversion"/>
  </si>
  <si>
    <t>12.8</t>
    <phoneticPr fontId="1" type="noConversion"/>
  </si>
  <si>
    <t>8</t>
    <phoneticPr fontId="1" type="noConversion"/>
  </si>
  <si>
    <t>富致</t>
    <phoneticPr fontId="1" type="noConversion"/>
  </si>
  <si>
    <t>-8.43</t>
    <phoneticPr fontId="1" type="noConversion"/>
  </si>
  <si>
    <t>-2.08</t>
    <phoneticPr fontId="1" type="noConversion"/>
  </si>
  <si>
    <t>8.84</t>
    <phoneticPr fontId="1" type="noConversion"/>
  </si>
  <si>
    <t>11月19年</t>
    <phoneticPr fontId="1" type="noConversion"/>
  </si>
  <si>
    <t>6.21</t>
    <phoneticPr fontId="1" type="noConversion"/>
  </si>
  <si>
    <t>10.8</t>
    <phoneticPr fontId="1" type="noConversion"/>
  </si>
  <si>
    <t>禾聯碩</t>
    <phoneticPr fontId="1" type="noConversion"/>
  </si>
  <si>
    <t>4.74</t>
    <phoneticPr fontId="1" type="noConversion"/>
  </si>
  <si>
    <t>17.8</t>
    <phoneticPr fontId="1" type="noConversion"/>
  </si>
  <si>
    <t>3.93</t>
    <phoneticPr fontId="1" type="noConversion"/>
  </si>
  <si>
    <t>3.98</t>
    <phoneticPr fontId="1" type="noConversion"/>
  </si>
  <si>
    <t>26.9</t>
    <phoneticPr fontId="1" type="noConversion"/>
  </si>
  <si>
    <t>14.8</t>
    <phoneticPr fontId="1" type="noConversion"/>
  </si>
  <si>
    <t>鈞興KY</t>
    <phoneticPr fontId="1" type="noConversion"/>
  </si>
  <si>
    <t>駐龍</t>
    <phoneticPr fontId="1" type="noConversion"/>
  </si>
  <si>
    <t>6.03</t>
    <phoneticPr fontId="1" type="noConversion"/>
  </si>
  <si>
    <t>3.85</t>
    <phoneticPr fontId="1" type="noConversion"/>
  </si>
  <si>
    <t>3.64</t>
    <phoneticPr fontId="1" type="noConversion"/>
  </si>
  <si>
    <t>3.37</t>
    <phoneticPr fontId="1" type="noConversion"/>
  </si>
  <si>
    <t>1.4</t>
    <phoneticPr fontId="1" type="noConversion"/>
  </si>
  <si>
    <t>2.92</t>
    <phoneticPr fontId="1" type="noConversion"/>
  </si>
  <si>
    <t>2.14</t>
    <phoneticPr fontId="1" type="noConversion"/>
  </si>
  <si>
    <t>豆府</t>
    <phoneticPr fontId="1" type="noConversion"/>
  </si>
  <si>
    <t>3.78</t>
    <phoneticPr fontId="1" type="noConversion"/>
  </si>
  <si>
    <t>矽利光代理</t>
    <phoneticPr fontId="1" type="noConversion"/>
  </si>
  <si>
    <t>1.44</t>
    <phoneticPr fontId="1" type="noConversion"/>
  </si>
  <si>
    <t>3.19</t>
    <phoneticPr fontId="1" type="noConversion"/>
  </si>
  <si>
    <t>4.67</t>
    <phoneticPr fontId="1" type="noConversion"/>
  </si>
  <si>
    <t>急拉的股票，就是高過高，低不破低，一旦破低，很可能這波急拉就結束了，要休息或整理</t>
    <phoneticPr fontId="1" type="noConversion"/>
  </si>
  <si>
    <t>-17.47</t>
    <phoneticPr fontId="1" type="noConversion"/>
  </si>
  <si>
    <t>靜電放電防護IC設計</t>
    <phoneticPr fontId="1" type="noConversion"/>
  </si>
  <si>
    <t>11.6</t>
    <phoneticPr fontId="1" type="noConversion"/>
  </si>
  <si>
    <t>10.4</t>
    <phoneticPr fontId="1" type="noConversion"/>
  </si>
  <si>
    <t>14.1</t>
    <phoneticPr fontId="1" type="noConversion"/>
  </si>
  <si>
    <t>16.2</t>
    <phoneticPr fontId="1" type="noConversion"/>
  </si>
  <si>
    <t>連接線正崴旗下</t>
    <phoneticPr fontId="1" type="noConversion"/>
  </si>
  <si>
    <t>7.44</t>
    <phoneticPr fontId="1" type="noConversion"/>
  </si>
  <si>
    <t>10.6</t>
    <phoneticPr fontId="1" type="noConversion"/>
  </si>
  <si>
    <t>19.5</t>
    <phoneticPr fontId="1" type="noConversion"/>
  </si>
  <si>
    <t>3.17</t>
    <phoneticPr fontId="1" type="noConversion"/>
  </si>
  <si>
    <t>記憶體封測台塑旗下</t>
    <phoneticPr fontId="1" type="noConversion"/>
  </si>
  <si>
    <t>補南斌</t>
    <phoneticPr fontId="1" type="noConversion"/>
  </si>
  <si>
    <t>9</t>
    <phoneticPr fontId="1" type="noConversion"/>
  </si>
  <si>
    <t>博</t>
  </si>
  <si>
    <t>24.9</t>
    <phoneticPr fontId="1" type="noConversion"/>
  </si>
  <si>
    <t>網版</t>
    <phoneticPr fontId="1" type="noConversion"/>
  </si>
  <si>
    <t>4.19</t>
    <phoneticPr fontId="1" type="noConversion"/>
  </si>
  <si>
    <t>-14.79</t>
    <phoneticPr fontId="1" type="noConversion"/>
  </si>
  <si>
    <t>11.85</t>
    <phoneticPr fontId="1" type="noConversion"/>
  </si>
  <si>
    <t>12.55</t>
    <phoneticPr fontId="1" type="noConversion"/>
  </si>
  <si>
    <t>13.26</t>
    <phoneticPr fontId="1" type="noConversion"/>
  </si>
  <si>
    <t>PCB光學檢測設備台大</t>
    <phoneticPr fontId="1" type="noConversion"/>
  </si>
  <si>
    <t>工業用布</t>
    <phoneticPr fontId="1" type="noConversion"/>
  </si>
  <si>
    <t>消息</t>
    <phoneticPr fontId="1" type="noConversion"/>
  </si>
  <si>
    <t>18.2</t>
    <phoneticPr fontId="1" type="noConversion"/>
  </si>
  <si>
    <t>恐慌會見底</t>
    <phoneticPr fontId="1" type="noConversion"/>
  </si>
  <si>
    <t>樂觀會見頭</t>
    <phoneticPr fontId="1" type="noConversion"/>
  </si>
  <si>
    <t>光罩晶圓載具</t>
    <phoneticPr fontId="1" type="noConversion"/>
  </si>
  <si>
    <t>十銓</t>
    <phoneticPr fontId="1" type="noConversion"/>
  </si>
  <si>
    <t>37.8</t>
    <phoneticPr fontId="1" type="noConversion"/>
  </si>
  <si>
    <t>石英元件</t>
    <phoneticPr fontId="1" type="noConversion"/>
  </si>
  <si>
    <t>10.2</t>
    <phoneticPr fontId="1" type="noConversion"/>
  </si>
  <si>
    <t>10.7</t>
    <phoneticPr fontId="1" type="noConversion"/>
  </si>
  <si>
    <t>6.97</t>
    <phoneticPr fontId="1" type="noConversion"/>
  </si>
  <si>
    <t>MLCC原料華新旗下</t>
    <phoneticPr fontId="1" type="noConversion"/>
  </si>
  <si>
    <t>中保科</t>
    <phoneticPr fontId="1" type="noConversion"/>
  </si>
  <si>
    <t>高爾夫球明安旗下</t>
    <phoneticPr fontId="1" type="noConversion"/>
  </si>
  <si>
    <t>4.5</t>
    <phoneticPr fontId="1" type="noConversion"/>
  </si>
  <si>
    <t>165</t>
    <phoneticPr fontId="1" type="noConversion"/>
  </si>
  <si>
    <t>6.45</t>
    <phoneticPr fontId="1" type="noConversion"/>
  </si>
  <si>
    <t>37.4</t>
    <phoneticPr fontId="1" type="noConversion"/>
  </si>
  <si>
    <t>和潤企業</t>
    <phoneticPr fontId="1" type="noConversion"/>
  </si>
  <si>
    <t>266</t>
    <phoneticPr fontId="1" type="noConversion"/>
  </si>
  <si>
    <t>24.1</t>
    <phoneticPr fontId="1" type="noConversion"/>
  </si>
  <si>
    <t>0.34</t>
    <phoneticPr fontId="1" type="noConversion"/>
  </si>
  <si>
    <t>-0.34</t>
    <phoneticPr fontId="1" type="noConversion"/>
  </si>
  <si>
    <t>1.37</t>
    <phoneticPr fontId="1" type="noConversion"/>
  </si>
  <si>
    <t>5.36</t>
    <phoneticPr fontId="1" type="noConversion"/>
  </si>
  <si>
    <t>惠特</t>
    <phoneticPr fontId="1" type="noConversion"/>
  </si>
  <si>
    <t>51.5</t>
    <phoneticPr fontId="1" type="noConversion"/>
  </si>
  <si>
    <t>12月19年</t>
    <phoneticPr fontId="1" type="noConversion"/>
  </si>
  <si>
    <t>2.4</t>
    <phoneticPr fontId="1" type="noConversion"/>
  </si>
  <si>
    <t>1.06</t>
    <phoneticPr fontId="1" type="noConversion"/>
  </si>
  <si>
    <t>股3</t>
    <phoneticPr fontId="1" type="noConversion"/>
  </si>
  <si>
    <t>半導體自動化聖暉子公司</t>
    <phoneticPr fontId="1" type="noConversion"/>
  </si>
  <si>
    <t>海力士2666</t>
    <phoneticPr fontId="1" type="noConversion"/>
  </si>
  <si>
    <t>三星2666</t>
    <phoneticPr fontId="1" type="noConversion"/>
  </si>
  <si>
    <t>电脑型号: 戴尔 Inspiron 3470 台式电脑</t>
  </si>
  <si>
    <t>操作系统: Windows 10 64位</t>
  </si>
  <si>
    <t>电脑型号: 戴尔 Inspiron 3670 台式电脑</t>
  </si>
  <si>
    <t>操作系统: Windows 10 64位</t>
  </si>
  <si>
    <t>  处理器: 英特尔 Core i7-9700 @ 3.00GHz 八核</t>
  </si>
  <si>
    <t>    主板: 戴尔 0R6JMP</t>
  </si>
  <si>
    <t>    内存: 12 GB ( 海力士 DDR4 2666MHz )</t>
  </si>
  <si>
    <t>  主硬盘: BC501 NVMe SK hynix 256GB ( 256 GB )</t>
  </si>
  <si>
    <t>    显卡: 英特尔 UHD Graphics 630 ( 128 MB / 戴尔 )</t>
  </si>
  <si>
    <t>  显示器: 戴尔 DELA07A DELL U2412M ( 24.1 英寸  )</t>
  </si>
  <si>
    <t>    光驱: PLDS DVD+-RW DU-8A5LH DVD刻录机</t>
  </si>
  <si>
    <t>    声卡: 瑞昱  @ 英特尔 High Definition Audio 控制器</t>
  </si>
  <si>
    <t>    网卡: 瑞昱 RTL8168/8111/8112 Gigabit Ethernet Controller / 戴尔</t>
  </si>
  <si>
    <t>主板: 戴尔 0D02VH</t>
    <phoneticPr fontId="1" type="noConversion"/>
  </si>
  <si>
    <t>处理器: 英特尔 Core i5-8400 @ 2.80GHz 六核</t>
    <phoneticPr fontId="1" type="noConversion"/>
  </si>
  <si>
    <t>内存: 8 GB ( 三星 DDR4 2666MHz )</t>
    <phoneticPr fontId="1" type="noConversion"/>
  </si>
  <si>
    <t>主硬盘: 西数 WDC WDS500G2B0A ( 500 GB / 固态硬盘 )</t>
    <phoneticPr fontId="1" type="noConversion"/>
  </si>
  <si>
    <t>显卡: 英特尔 视频控制器 ( 128 MB / 戴尔 )</t>
    <phoneticPr fontId="1" type="noConversion"/>
  </si>
  <si>
    <t>显示器: 戴尔 DELA07A DELL U2412M ( 24.1 英寸  )</t>
    <phoneticPr fontId="1" type="noConversion"/>
  </si>
  <si>
    <t>声卡: 瑞昱  @ 英特尔 High Definition Audio 控制器</t>
    <phoneticPr fontId="1" type="noConversion"/>
  </si>
  <si>
    <t>网卡: 瑞昱 RTL8168/8111/8112 Gigabit Ethernet Controller / 戴尔</t>
    <phoneticPr fontId="1" type="noConversion"/>
  </si>
  <si>
    <t>富林KY</t>
    <phoneticPr fontId="1" type="noConversion"/>
  </si>
  <si>
    <t>6.76</t>
    <phoneticPr fontId="1" type="noConversion"/>
  </si>
  <si>
    <t>融資租賃和泰旗下</t>
    <phoneticPr fontId="1" type="noConversion"/>
  </si>
  <si>
    <t>6.78</t>
    <phoneticPr fontId="1" type="noConversion"/>
  </si>
  <si>
    <t>旭暉應材</t>
    <phoneticPr fontId="1" type="noConversion"/>
  </si>
  <si>
    <t>建新國際</t>
    <phoneticPr fontId="1" type="noConversion"/>
  </si>
  <si>
    <t>貨櫃場</t>
    <phoneticPr fontId="1" type="noConversion"/>
  </si>
  <si>
    <t>19.9</t>
    <phoneticPr fontId="1" type="noConversion"/>
  </si>
  <si>
    <t>7.47</t>
    <phoneticPr fontId="1" type="noConversion"/>
  </si>
  <si>
    <t>3.56</t>
    <phoneticPr fontId="1" type="noConversion"/>
  </si>
  <si>
    <t>捷流閥業</t>
    <phoneticPr fontId="1" type="noConversion"/>
  </si>
  <si>
    <t>閥門龍頭</t>
    <phoneticPr fontId="1" type="noConversion"/>
  </si>
  <si>
    <t>冠星KY</t>
    <phoneticPr fontId="1" type="noConversion"/>
  </si>
  <si>
    <t>13.25</t>
    <phoneticPr fontId="1" type="noConversion"/>
  </si>
  <si>
    <t>Micro LED霸主是未上市的錼創。應該是明後年台股的獨角獸，錸寶持股10%</t>
    <phoneticPr fontId="1" type="noConversion"/>
  </si>
  <si>
    <t>16.6</t>
    <phoneticPr fontId="1" type="noConversion"/>
  </si>
  <si>
    <t>6.75</t>
    <phoneticPr fontId="1" type="noConversion"/>
  </si>
  <si>
    <t>11.5</t>
    <phoneticPr fontId="1" type="noConversion"/>
  </si>
  <si>
    <t>健身器材出口</t>
    <phoneticPr fontId="1" type="noConversion"/>
  </si>
  <si>
    <t>2020全年</t>
    <phoneticPr fontId="1" type="noConversion"/>
  </si>
  <si>
    <t>2020年1月</t>
    <phoneticPr fontId="1" type="noConversion"/>
  </si>
  <si>
    <t>撼訊</t>
    <phoneticPr fontId="1" type="noConversion"/>
  </si>
  <si>
    <t>8.12</t>
    <phoneticPr fontId="1" type="noConversion"/>
  </si>
  <si>
    <t>10.1</t>
    <phoneticPr fontId="1" type="noConversion"/>
  </si>
  <si>
    <t>1月20年</t>
    <phoneticPr fontId="1" type="noConversion"/>
  </si>
  <si>
    <t>-2.9</t>
    <phoneticPr fontId="1" type="noConversion"/>
  </si>
  <si>
    <t>11.7</t>
    <phoneticPr fontId="1" type="noConversion"/>
  </si>
  <si>
    <t>162</t>
    <phoneticPr fontId="1" type="noConversion"/>
  </si>
  <si>
    <t>17.6</t>
    <phoneticPr fontId="1" type="noConversion"/>
  </si>
  <si>
    <t>27.9</t>
    <phoneticPr fontId="1" type="noConversion"/>
  </si>
  <si>
    <t>台康生技</t>
    <phoneticPr fontId="1" type="noConversion"/>
  </si>
  <si>
    <t>藥品委託開發生產</t>
    <phoneticPr fontId="1" type="noConversion"/>
  </si>
  <si>
    <t>33.3</t>
    <phoneticPr fontId="1" type="noConversion"/>
  </si>
  <si>
    <t>勤崴國際</t>
    <phoneticPr fontId="1" type="noConversion"/>
  </si>
  <si>
    <t>圖資中華電旗下</t>
    <phoneticPr fontId="1" type="noConversion"/>
  </si>
  <si>
    <t>15.6</t>
    <phoneticPr fontId="1" type="noConversion"/>
  </si>
  <si>
    <t>4.16</t>
    <phoneticPr fontId="1" type="noConversion"/>
  </si>
  <si>
    <t>13.6</t>
    <phoneticPr fontId="1" type="noConversion"/>
  </si>
  <si>
    <t>晶圓代工</t>
    <phoneticPr fontId="1" type="noConversion"/>
  </si>
  <si>
    <t>6.1</t>
    <phoneticPr fontId="1" type="noConversion"/>
  </si>
  <si>
    <t>64.1</t>
    <phoneticPr fontId="1" type="noConversion"/>
  </si>
  <si>
    <t>69.55</t>
    <phoneticPr fontId="1" type="noConversion"/>
  </si>
  <si>
    <t>-0.25</t>
    <phoneticPr fontId="1" type="noConversion"/>
  </si>
  <si>
    <t>14.14</t>
    <phoneticPr fontId="1" type="noConversion"/>
  </si>
  <si>
    <t>26.42</t>
    <phoneticPr fontId="1" type="noConversion"/>
  </si>
  <si>
    <t>18.89</t>
    <phoneticPr fontId="1" type="noConversion"/>
  </si>
  <si>
    <t>2.06</t>
    <phoneticPr fontId="1" type="noConversion"/>
  </si>
  <si>
    <t>33.75</t>
    <phoneticPr fontId="1" type="noConversion"/>
  </si>
  <si>
    <t>7.05</t>
    <phoneticPr fontId="1" type="noConversion"/>
  </si>
  <si>
    <t>14.9</t>
    <phoneticPr fontId="1" type="noConversion"/>
  </si>
  <si>
    <t>山富</t>
    <phoneticPr fontId="1" type="noConversion"/>
  </si>
  <si>
    <t>映興</t>
    <phoneticPr fontId="1" type="noConversion"/>
  </si>
  <si>
    <t>光隆精密</t>
    <phoneticPr fontId="1" type="noConversion"/>
  </si>
  <si>
    <t>大銀微系統</t>
    <phoneticPr fontId="1" type="noConversion"/>
  </si>
  <si>
    <t>30年歷任股王</t>
    <phoneticPr fontId="1" type="noConversion"/>
  </si>
  <si>
    <t>70年代</t>
    <phoneticPr fontId="1" type="noConversion"/>
  </si>
  <si>
    <t>2882</t>
    <phoneticPr fontId="1" type="noConversion"/>
  </si>
  <si>
    <t>國壽</t>
    <phoneticPr fontId="1" type="noConversion"/>
  </si>
  <si>
    <t>2702</t>
    <phoneticPr fontId="1" type="noConversion"/>
  </si>
  <si>
    <t>華園</t>
    <phoneticPr fontId="1" type="noConversion"/>
  </si>
  <si>
    <t>欣欣</t>
    <phoneticPr fontId="1" type="noConversion"/>
  </si>
  <si>
    <t>2901</t>
    <phoneticPr fontId="1" type="noConversion"/>
  </si>
  <si>
    <t>80年代</t>
    <phoneticPr fontId="1" type="noConversion"/>
  </si>
  <si>
    <t>2330</t>
    <phoneticPr fontId="1" type="noConversion"/>
  </si>
  <si>
    <t>2303</t>
    <phoneticPr fontId="1" type="noConversion"/>
  </si>
  <si>
    <t>2357</t>
    <phoneticPr fontId="1" type="noConversion"/>
  </si>
  <si>
    <t>3035</t>
    <phoneticPr fontId="1" type="noConversion"/>
  </si>
  <si>
    <t>2313</t>
    <phoneticPr fontId="1" type="noConversion"/>
  </si>
  <si>
    <t>台積電</t>
    <phoneticPr fontId="1" type="noConversion"/>
  </si>
  <si>
    <t>華碩</t>
    <phoneticPr fontId="1" type="noConversion"/>
  </si>
  <si>
    <t>智原</t>
    <phoneticPr fontId="1" type="noConversion"/>
  </si>
  <si>
    <t>華通</t>
    <phoneticPr fontId="1" type="noConversion"/>
  </si>
  <si>
    <t>2382</t>
    <phoneticPr fontId="1" type="noConversion"/>
  </si>
  <si>
    <t>聯電</t>
    <phoneticPr fontId="1" type="noConversion"/>
  </si>
  <si>
    <t>2388</t>
    <phoneticPr fontId="1" type="noConversion"/>
  </si>
  <si>
    <t>廣達</t>
    <phoneticPr fontId="1" type="noConversion"/>
  </si>
  <si>
    <t>威盛</t>
    <phoneticPr fontId="1" type="noConversion"/>
  </si>
  <si>
    <t>3008</t>
    <phoneticPr fontId="1" type="noConversion"/>
  </si>
  <si>
    <t>2498</t>
    <phoneticPr fontId="1" type="noConversion"/>
  </si>
  <si>
    <t>6244</t>
    <phoneticPr fontId="1" type="noConversion"/>
  </si>
  <si>
    <t>3452</t>
    <phoneticPr fontId="1" type="noConversion"/>
  </si>
  <si>
    <t>2707</t>
    <phoneticPr fontId="1" type="noConversion"/>
  </si>
  <si>
    <t>8076</t>
    <phoneticPr fontId="1" type="noConversion"/>
  </si>
  <si>
    <t>聯發科</t>
    <phoneticPr fontId="1" type="noConversion"/>
  </si>
  <si>
    <t>大立光</t>
    <phoneticPr fontId="1" type="noConversion"/>
  </si>
  <si>
    <t>宏達電</t>
    <phoneticPr fontId="1" type="noConversion"/>
  </si>
  <si>
    <t>茂迪</t>
    <phoneticPr fontId="1" type="noConversion"/>
  </si>
  <si>
    <t>益通</t>
    <phoneticPr fontId="1" type="noConversion"/>
  </si>
  <si>
    <t>晶華</t>
    <phoneticPr fontId="1" type="noConversion"/>
  </si>
  <si>
    <t>伍豐</t>
    <phoneticPr fontId="1" type="noConversion"/>
  </si>
  <si>
    <t>100年代</t>
    <phoneticPr fontId="1" type="noConversion"/>
  </si>
  <si>
    <t>15.4</t>
    <phoneticPr fontId="1" type="noConversion"/>
  </si>
  <si>
    <t>23.5</t>
    <phoneticPr fontId="1" type="noConversion"/>
  </si>
  <si>
    <t>斌</t>
    <phoneticPr fontId="1" type="noConversion"/>
  </si>
  <si>
    <t>5.93</t>
    <phoneticPr fontId="1" type="noConversion"/>
  </si>
  <si>
    <t>29.43</t>
    <phoneticPr fontId="1" type="noConversion"/>
  </si>
  <si>
    <t>車鑄件零組件</t>
    <phoneticPr fontId="1" type="noConversion"/>
  </si>
  <si>
    <t>汽車</t>
    <phoneticPr fontId="1" type="noConversion"/>
  </si>
  <si>
    <t>“急漲急跌，非底部”，底部的形成只有以下4種情況，沒有例外：</t>
    <phoneticPr fontId="1" type="noConversion"/>
  </si>
  <si>
    <t>1.曲終人散，量能急凍：這是最常見的一種，幾乎沒有人在關心股市。</t>
    <phoneticPr fontId="1" type="noConversion"/>
  </si>
  <si>
    <t>4.底部晨星，多空扭轉：第一種情況延續一段時間後，底部出現晨星破曉的技術K棒，也是明顯的“底部訊號”。</t>
    <phoneticPr fontId="1" type="noConversion"/>
  </si>
  <si>
    <t>-38.18</t>
    <phoneticPr fontId="1" type="noConversion"/>
  </si>
  <si>
    <t>54</t>
    <phoneticPr fontId="1" type="noConversion"/>
  </si>
  <si>
    <t>221</t>
    <phoneticPr fontId="1" type="noConversion"/>
  </si>
  <si>
    <t>3.51</t>
    <phoneticPr fontId="1" type="noConversion"/>
  </si>
  <si>
    <t>-29.95</t>
    <phoneticPr fontId="1" type="noConversion"/>
  </si>
  <si>
    <t>-0.64</t>
    <phoneticPr fontId="1" type="noConversion"/>
  </si>
  <si>
    <t>14.2</t>
    <phoneticPr fontId="1" type="noConversion"/>
  </si>
  <si>
    <t>-29.11</t>
    <phoneticPr fontId="1" type="noConversion"/>
  </si>
  <si>
    <t>159</t>
    <phoneticPr fontId="1" type="noConversion"/>
  </si>
  <si>
    <t>-6.0</t>
    <phoneticPr fontId="1" type="noConversion"/>
  </si>
  <si>
    <t>織布佳和旗下</t>
    <phoneticPr fontId="1" type="noConversion"/>
  </si>
  <si>
    <t>4.06</t>
    <phoneticPr fontId="1" type="noConversion"/>
  </si>
  <si>
    <t>6.87</t>
    <phoneticPr fontId="1" type="noConversion"/>
  </si>
  <si>
    <t>LED設備鼎元旗下同業致茂</t>
    <phoneticPr fontId="1" type="noConversion"/>
  </si>
  <si>
    <t>應廣</t>
    <phoneticPr fontId="1" type="noConversion"/>
  </si>
  <si>
    <t>散熱風扇微控制器台大</t>
    <phoneticPr fontId="1" type="noConversion"/>
  </si>
  <si>
    <t>25</t>
    <phoneticPr fontId="1" type="noConversion"/>
  </si>
  <si>
    <t>維他命D全前3</t>
    <phoneticPr fontId="1" type="noConversion"/>
  </si>
  <si>
    <t>加工機</t>
    <phoneticPr fontId="1" type="noConversion"/>
  </si>
  <si>
    <t>21</t>
    <phoneticPr fontId="1" type="noConversion"/>
  </si>
  <si>
    <t>14.88</t>
    <phoneticPr fontId="1" type="noConversion"/>
  </si>
  <si>
    <t>46.6</t>
    <phoneticPr fontId="1" type="noConversion"/>
  </si>
  <si>
    <t>2.08</t>
    <phoneticPr fontId="1" type="noConversion"/>
  </si>
  <si>
    <t>3月20年</t>
    <phoneticPr fontId="1" type="noConversion"/>
  </si>
  <si>
    <t>-0.15</t>
    <phoneticPr fontId="1" type="noConversion"/>
  </si>
  <si>
    <t>7.81</t>
    <phoneticPr fontId="1" type="noConversion"/>
  </si>
  <si>
    <t>3.92</t>
    <phoneticPr fontId="1" type="noConversion"/>
  </si>
  <si>
    <t>6.26</t>
    <phoneticPr fontId="1" type="noConversion"/>
  </si>
  <si>
    <t>光電</t>
    <phoneticPr fontId="1" type="noConversion"/>
  </si>
  <si>
    <t>面板沖壓件</t>
    <phoneticPr fontId="1" type="noConversion"/>
  </si>
  <si>
    <t>州巧</t>
    <phoneticPr fontId="1" type="noConversion"/>
  </si>
  <si>
    <t>29.8</t>
    <phoneticPr fontId="1" type="noConversion"/>
  </si>
  <si>
    <t>電子秤</t>
    <phoneticPr fontId="1" type="noConversion"/>
  </si>
  <si>
    <t>A128461593</t>
    <phoneticPr fontId="1" type="noConversion"/>
  </si>
  <si>
    <t>電子零組件代理</t>
    <phoneticPr fontId="1" type="noConversion"/>
  </si>
  <si>
    <t>18</t>
    <phoneticPr fontId="1" type="noConversion"/>
  </si>
  <si>
    <t>7.76</t>
    <phoneticPr fontId="1" type="noConversion"/>
  </si>
  <si>
    <t>16.3</t>
    <phoneticPr fontId="1" type="noConversion"/>
  </si>
  <si>
    <t>活塞汽車鍛件</t>
    <phoneticPr fontId="1" type="noConversion"/>
  </si>
  <si>
    <t>59.1</t>
    <phoneticPr fontId="1" type="noConversion"/>
  </si>
  <si>
    <t>股3消</t>
    <phoneticPr fontId="1" type="noConversion"/>
  </si>
  <si>
    <t>8.53</t>
    <phoneticPr fontId="1" type="noConversion"/>
  </si>
  <si>
    <t>7.46</t>
    <phoneticPr fontId="1" type="noConversion"/>
  </si>
  <si>
    <t>光隆精密KY</t>
    <phoneticPr fontId="1" type="noConversion"/>
  </si>
  <si>
    <t>31.6</t>
    <phoneticPr fontId="1" type="noConversion"/>
  </si>
  <si>
    <t>1302</t>
    <phoneticPr fontId="1" type="noConversion"/>
  </si>
  <si>
    <t>30.5</t>
    <phoneticPr fontId="1" type="noConversion"/>
  </si>
  <si>
    <t>-2.11</t>
    <phoneticPr fontId="1" type="noConversion"/>
  </si>
  <si>
    <t>-18</t>
    <phoneticPr fontId="1" type="noConversion"/>
  </si>
  <si>
    <t>23.7</t>
    <phoneticPr fontId="1" type="noConversion"/>
  </si>
  <si>
    <t>20.4</t>
    <phoneticPr fontId="1" type="noConversion"/>
  </si>
  <si>
    <t>製程設備真空元件供應商台大</t>
    <phoneticPr fontId="1" type="noConversion"/>
  </si>
  <si>
    <t>藥品經銷物流佳醫旗下</t>
    <phoneticPr fontId="1" type="noConversion"/>
  </si>
  <si>
    <t>三竹</t>
    <phoneticPr fontId="1" type="noConversion"/>
  </si>
  <si>
    <t>金融服務軟體</t>
    <phoneticPr fontId="1" type="noConversion"/>
  </si>
  <si>
    <t>基亞旗下腸病毒流感疫苗</t>
    <phoneticPr fontId="1" type="noConversion"/>
  </si>
  <si>
    <t>永固KY</t>
    <phoneticPr fontId="1" type="noConversion"/>
  </si>
  <si>
    <t>19.8</t>
    <phoneticPr fontId="1" type="noConversion"/>
  </si>
  <si>
    <t>5.87</t>
    <phoneticPr fontId="1" type="noConversion"/>
  </si>
  <si>
    <t>連接器</t>
    <phoneticPr fontId="1" type="noConversion"/>
  </si>
  <si>
    <t>安碁資訊</t>
    <phoneticPr fontId="1" type="noConversion"/>
  </si>
  <si>
    <t>安全管理宏碁旗下</t>
    <phoneticPr fontId="1" type="noConversion"/>
  </si>
  <si>
    <t>PCB全前3華新旗下</t>
    <phoneticPr fontId="1" type="noConversion"/>
  </si>
  <si>
    <t>30.33</t>
    <phoneticPr fontId="1" type="noConversion"/>
  </si>
  <si>
    <t>25.5</t>
    <phoneticPr fontId="1" type="noConversion"/>
  </si>
  <si>
    <t>53.28</t>
    <phoneticPr fontId="1" type="noConversion"/>
  </si>
  <si>
    <t>57.56</t>
    <phoneticPr fontId="1" type="noConversion"/>
  </si>
  <si>
    <t>3.46</t>
    <phoneticPr fontId="1" type="noConversion"/>
  </si>
  <si>
    <t>7.67</t>
    <phoneticPr fontId="1" type="noConversion"/>
  </si>
  <si>
    <t>預拌混凝土重慶</t>
    <phoneticPr fontId="1" type="noConversion"/>
  </si>
  <si>
    <t>5月20年</t>
    <phoneticPr fontId="1" type="noConversion"/>
  </si>
  <si>
    <t>4.42</t>
    <phoneticPr fontId="1" type="noConversion"/>
  </si>
  <si>
    <t>4.89</t>
    <phoneticPr fontId="1" type="noConversion"/>
  </si>
  <si>
    <t>-13.04</t>
    <phoneticPr fontId="1" type="noConversion"/>
  </si>
  <si>
    <t>-13.04</t>
    <phoneticPr fontId="1" type="noConversion"/>
  </si>
  <si>
    <t>昇佳電子</t>
    <phoneticPr fontId="1" type="noConversion"/>
  </si>
  <si>
    <t>4.63</t>
    <phoneticPr fontId="1" type="noConversion"/>
  </si>
  <si>
    <t>3.89</t>
    <phoneticPr fontId="1" type="noConversion"/>
  </si>
  <si>
    <t>ABC-KY</t>
    <phoneticPr fontId="1" type="noConversion"/>
  </si>
  <si>
    <t>醫療檢測宏碁旗下</t>
    <phoneticPr fontId="1" type="noConversion"/>
  </si>
  <si>
    <t>52.8</t>
    <phoneticPr fontId="1" type="noConversion"/>
  </si>
  <si>
    <t>台驊投控</t>
    <phoneticPr fontId="1" type="noConversion"/>
  </si>
  <si>
    <t>嘉基</t>
    <phoneticPr fontId="1" type="noConversion"/>
  </si>
  <si>
    <t>連接線嘉澤轉投資</t>
    <phoneticPr fontId="1" type="noConversion"/>
  </si>
  <si>
    <t>IC記憶體</t>
    <phoneticPr fontId="1" type="noConversion"/>
  </si>
  <si>
    <t>IC消費性</t>
    <phoneticPr fontId="1" type="noConversion"/>
  </si>
  <si>
    <t>4.14</t>
    <phoneticPr fontId="1" type="noConversion"/>
  </si>
  <si>
    <t>感測器IC矽創旗下</t>
    <phoneticPr fontId="1" type="noConversion"/>
  </si>
  <si>
    <t>59.64</t>
    <phoneticPr fontId="1" type="noConversion"/>
  </si>
  <si>
    <t>140.6</t>
    <phoneticPr fontId="1" type="noConversion"/>
  </si>
  <si>
    <t>31.1</t>
    <phoneticPr fontId="1" type="noConversion"/>
  </si>
  <si>
    <t>89</t>
    <phoneticPr fontId="1" type="noConversion"/>
  </si>
  <si>
    <t>28.5</t>
    <phoneticPr fontId="1" type="noConversion"/>
  </si>
  <si>
    <t>太陽能矽晶圓台第3轉投資碩禾</t>
    <phoneticPr fontId="1" type="noConversion"/>
  </si>
  <si>
    <t>工業電腦華碩旗下</t>
    <phoneticPr fontId="1" type="noConversion"/>
  </si>
  <si>
    <t>東典</t>
    <phoneticPr fontId="1" type="noConversion"/>
  </si>
  <si>
    <t>東典光電</t>
    <phoneticPr fontId="1" type="noConversion"/>
  </si>
  <si>
    <t>光通訊濾光片東鹹旗下</t>
    <phoneticPr fontId="1" type="noConversion"/>
  </si>
  <si>
    <t>9.69</t>
    <phoneticPr fontId="1" type="noConversion"/>
  </si>
  <si>
    <t>8.4</t>
    <phoneticPr fontId="1" type="noConversion"/>
  </si>
  <si>
    <t>122.1</t>
    <phoneticPr fontId="1" type="noConversion"/>
  </si>
  <si>
    <t>32.5</t>
    <phoneticPr fontId="1" type="noConversion"/>
  </si>
  <si>
    <t>6.54</t>
    <phoneticPr fontId="1" type="noConversion"/>
  </si>
  <si>
    <t>15.63</t>
    <phoneticPr fontId="1" type="noConversion"/>
  </si>
  <si>
    <t>6.66</t>
    <phoneticPr fontId="1" type="noConversion"/>
  </si>
  <si>
    <t>18.7</t>
    <phoneticPr fontId="1" type="noConversion"/>
  </si>
  <si>
    <t>3.41</t>
    <phoneticPr fontId="1" type="noConversion"/>
  </si>
  <si>
    <t>航空器修護</t>
    <phoneticPr fontId="1" type="noConversion"/>
  </si>
  <si>
    <t>9.49</t>
    <phoneticPr fontId="1" type="noConversion"/>
  </si>
  <si>
    <t>4.06</t>
    <phoneticPr fontId="1" type="noConversion"/>
  </si>
  <si>
    <t>氣壓零組件</t>
    <phoneticPr fontId="1" type="noConversion"/>
  </si>
  <si>
    <t>11.4</t>
    <phoneticPr fontId="1" type="noConversion"/>
  </si>
  <si>
    <t>8.07</t>
    <phoneticPr fontId="1" type="noConversion"/>
  </si>
  <si>
    <t>電子代工金仁寶旗下</t>
    <phoneticPr fontId="1" type="noConversion"/>
  </si>
  <si>
    <t>10.34</t>
    <phoneticPr fontId="1" type="noConversion"/>
  </si>
  <si>
    <t>泰式料理</t>
    <phoneticPr fontId="1" type="noConversion"/>
  </si>
  <si>
    <t>功能鞋</t>
    <phoneticPr fontId="1" type="noConversion"/>
  </si>
  <si>
    <t>19.1</t>
    <phoneticPr fontId="1" type="noConversion"/>
  </si>
  <si>
    <t>類比電源管理IC</t>
    <phoneticPr fontId="1" type="noConversion"/>
  </si>
  <si>
    <t>NB樞紐全大</t>
    <phoneticPr fontId="1" type="noConversion"/>
  </si>
  <si>
    <t>太陽能電池</t>
    <phoneticPr fontId="1" type="noConversion"/>
  </si>
  <si>
    <t>汽電共生</t>
    <phoneticPr fontId="1" type="noConversion"/>
  </si>
  <si>
    <t>光罩載具</t>
    <phoneticPr fontId="1" type="noConversion"/>
  </si>
  <si>
    <t>4.23</t>
    <phoneticPr fontId="1" type="noConversion"/>
  </si>
  <si>
    <t>預拌混凝土</t>
    <phoneticPr fontId="1" type="noConversion"/>
  </si>
  <si>
    <t>軟體緯創旗下</t>
    <phoneticPr fontId="1" type="noConversion"/>
  </si>
  <si>
    <t>匯僑設計</t>
    <phoneticPr fontId="1" type="noConversion"/>
  </si>
  <si>
    <t>其他</t>
    <phoneticPr fontId="1" type="noConversion"/>
  </si>
  <si>
    <t>室內設計</t>
    <phoneticPr fontId="1" type="noConversion"/>
  </si>
  <si>
    <t>9.01</t>
    <phoneticPr fontId="1" type="noConversion"/>
  </si>
  <si>
    <t>建商台鐵高鐵捷運沿線</t>
    <phoneticPr fontId="1" type="noConversion"/>
  </si>
  <si>
    <t>34.4</t>
    <phoneticPr fontId="1" type="noConversion"/>
  </si>
  <si>
    <t>艾姆勒</t>
    <phoneticPr fontId="1" type="noConversion"/>
  </si>
  <si>
    <t>Samsung代理</t>
    <phoneticPr fontId="1" type="noConversion"/>
  </si>
  <si>
    <t>運動器材零件</t>
    <phoneticPr fontId="1" type="noConversion"/>
  </si>
  <si>
    <t>金屬2次加工</t>
    <phoneticPr fontId="1" type="noConversion"/>
  </si>
  <si>
    <t>19.6</t>
    <phoneticPr fontId="1" type="noConversion"/>
  </si>
  <si>
    <t>鋁質電容被動元件</t>
    <phoneticPr fontId="1" type="noConversion"/>
  </si>
  <si>
    <t>塑膠模具</t>
    <phoneticPr fontId="1" type="noConversion"/>
  </si>
  <si>
    <t>電動車逆變器散熱</t>
    <phoneticPr fontId="1" type="noConversion"/>
  </si>
  <si>
    <t>8.69</t>
    <phoneticPr fontId="1" type="noConversion"/>
  </si>
  <si>
    <t>穿戴式鋰電池</t>
    <phoneticPr fontId="1" type="noConversion"/>
  </si>
  <si>
    <t>14.0</t>
    <phoneticPr fontId="1" type="noConversion"/>
  </si>
  <si>
    <t>健身器材</t>
    <phoneticPr fontId="1" type="noConversion"/>
  </si>
  <si>
    <t>13.0</t>
    <phoneticPr fontId="1" type="noConversion"/>
  </si>
  <si>
    <t>電力變壓器</t>
    <phoneticPr fontId="1" type="noConversion"/>
  </si>
  <si>
    <t>33.2</t>
    <phoneticPr fontId="1" type="noConversion"/>
  </si>
  <si>
    <t>25.56</t>
    <phoneticPr fontId="1" type="noConversion"/>
  </si>
  <si>
    <t>2020年8月16日設魚缸</t>
    <phoneticPr fontId="1" type="noConversion"/>
  </si>
  <si>
    <t>微型泵浦</t>
    <phoneticPr fontId="1" type="noConversion"/>
  </si>
  <si>
    <t>3.95</t>
    <phoneticPr fontId="1" type="noConversion"/>
  </si>
  <si>
    <t>29.6</t>
    <phoneticPr fontId="1" type="noConversion"/>
  </si>
  <si>
    <t>半導體測試聯電旗下</t>
    <phoneticPr fontId="1" type="noConversion"/>
  </si>
  <si>
    <t>3.73</t>
    <phoneticPr fontId="1" type="noConversion"/>
  </si>
  <si>
    <t>演唱會</t>
    <phoneticPr fontId="1" type="noConversion"/>
  </si>
  <si>
    <t>30.43</t>
    <phoneticPr fontId="1" type="noConversion"/>
  </si>
  <si>
    <t>12.65</t>
    <phoneticPr fontId="1" type="noConversion"/>
  </si>
  <si>
    <t>齒輪</t>
    <phoneticPr fontId="1" type="noConversion"/>
  </si>
  <si>
    <t>42.5</t>
    <phoneticPr fontId="1" type="noConversion"/>
  </si>
  <si>
    <t>20.0</t>
    <phoneticPr fontId="1" type="noConversion"/>
  </si>
  <si>
    <t>建築統包</t>
    <phoneticPr fontId="1" type="noConversion"/>
  </si>
  <si>
    <t>太陽能電池遠雄轉投資</t>
    <phoneticPr fontId="1" type="noConversion"/>
  </si>
  <si>
    <t>電機仰德旗下</t>
    <phoneticPr fontId="1" type="noConversion"/>
  </si>
  <si>
    <t>證券</t>
    <phoneticPr fontId="1" type="noConversion"/>
  </si>
  <si>
    <t>聚光片光群雷轉投資</t>
    <phoneticPr fontId="1" type="noConversion"/>
  </si>
  <si>
    <t>PC散熱風扇</t>
    <phoneticPr fontId="1" type="noConversion"/>
  </si>
  <si>
    <t>32.0</t>
    <phoneticPr fontId="1" type="noConversion"/>
  </si>
  <si>
    <t>汽車結構件</t>
    <phoneticPr fontId="1" type="noConversion"/>
  </si>
  <si>
    <t>37.27</t>
    <phoneticPr fontId="1" type="noConversion"/>
  </si>
  <si>
    <t>滾珠螺桿全3</t>
    <phoneticPr fontId="1" type="noConversion"/>
  </si>
  <si>
    <t>材料驗證</t>
    <phoneticPr fontId="1" type="noConversion"/>
  </si>
  <si>
    <t>8.97</t>
    <phoneticPr fontId="1" type="noConversion"/>
  </si>
  <si>
    <t>6.6</t>
    <phoneticPr fontId="1" type="noConversion"/>
  </si>
  <si>
    <t>聚酯加工絲台10大</t>
    <phoneticPr fontId="1" type="noConversion"/>
  </si>
  <si>
    <t>不鏽鋼加工</t>
    <phoneticPr fontId="1" type="noConversion"/>
  </si>
  <si>
    <t>1.33</t>
    <phoneticPr fontId="1" type="noConversion"/>
  </si>
  <si>
    <t>8.51</t>
    <phoneticPr fontId="1" type="noConversion"/>
  </si>
  <si>
    <t>4.44</t>
    <phoneticPr fontId="1" type="noConversion"/>
  </si>
  <si>
    <t>309</t>
    <phoneticPr fontId="1" type="noConversion"/>
  </si>
  <si>
    <t>亞洲藏壽司</t>
    <phoneticPr fontId="1" type="noConversion"/>
  </si>
  <si>
    <t>迴轉壽司</t>
    <phoneticPr fontId="1" type="noConversion"/>
  </si>
  <si>
    <t>10.0</t>
    <phoneticPr fontId="1" type="noConversion"/>
  </si>
  <si>
    <t>資安軟硬體</t>
    <phoneticPr fontId="1" type="noConversion"/>
  </si>
  <si>
    <t>再生晶圓</t>
    <phoneticPr fontId="1" type="noConversion"/>
  </si>
  <si>
    <t>康全電訊</t>
    <phoneticPr fontId="1" type="noConversion"/>
  </si>
  <si>
    <t>網路設備訊舟轉投資</t>
    <phoneticPr fontId="1" type="noConversion"/>
  </si>
  <si>
    <t>砷化鎵射頻IC</t>
    <phoneticPr fontId="1" type="noConversion"/>
  </si>
  <si>
    <t>85度C</t>
    <phoneticPr fontId="1" type="noConversion"/>
  </si>
  <si>
    <t>2.36</t>
    <phoneticPr fontId="1" type="noConversion"/>
  </si>
  <si>
    <t>2.83</t>
    <phoneticPr fontId="1" type="noConversion"/>
  </si>
  <si>
    <t>遊戲智冠旗下</t>
    <phoneticPr fontId="1" type="noConversion"/>
  </si>
  <si>
    <t>42.0</t>
    <phoneticPr fontId="1" type="noConversion"/>
  </si>
  <si>
    <t>29.0</t>
    <phoneticPr fontId="1" type="noConversion"/>
  </si>
  <si>
    <t>建商</t>
    <phoneticPr fontId="1" type="noConversion"/>
  </si>
  <si>
    <t>電子詞典英業達旗下</t>
    <phoneticPr fontId="1" type="noConversion"/>
  </si>
  <si>
    <t>海運物流</t>
    <phoneticPr fontId="1" type="noConversion"/>
  </si>
  <si>
    <t>散裝船</t>
    <phoneticPr fontId="1" type="noConversion"/>
  </si>
  <si>
    <t>票券證劵</t>
    <phoneticPr fontId="1" type="noConversion"/>
  </si>
  <si>
    <t>營建地產遠雄集團</t>
    <phoneticPr fontId="1" type="noConversion"/>
  </si>
  <si>
    <t>19.0</t>
    <phoneticPr fontId="1" type="noConversion"/>
  </si>
  <si>
    <t>96.4</t>
    <phoneticPr fontId="1" type="noConversion"/>
  </si>
  <si>
    <t>97.5</t>
    <phoneticPr fontId="1" type="noConversion"/>
  </si>
  <si>
    <t>太陽能電池廣運轉投資</t>
    <phoneticPr fontId="1" type="noConversion"/>
  </si>
  <si>
    <t>織染布</t>
    <phoneticPr fontId="1" type="noConversion"/>
  </si>
  <si>
    <t>牛仔成衣</t>
    <phoneticPr fontId="1" type="noConversion"/>
  </si>
  <si>
    <t>水泥通路</t>
    <phoneticPr fontId="1" type="noConversion"/>
  </si>
  <si>
    <t>票券</t>
    <phoneticPr fontId="1" type="noConversion"/>
  </si>
  <si>
    <t>車用LED</t>
    <phoneticPr fontId="1" type="noConversion"/>
  </si>
  <si>
    <t>工業銀行第1家</t>
    <phoneticPr fontId="1" type="noConversion"/>
  </si>
  <si>
    <t>39.3</t>
    <phoneticPr fontId="1" type="noConversion"/>
  </si>
  <si>
    <t>5.64</t>
    <phoneticPr fontId="1" type="noConversion"/>
  </si>
  <si>
    <t>木工具機</t>
    <phoneticPr fontId="1" type="noConversion"/>
  </si>
  <si>
    <t>普鴻</t>
    <phoneticPr fontId="1" type="noConversion"/>
  </si>
  <si>
    <t>金融加密</t>
    <phoneticPr fontId="1" type="noConversion"/>
  </si>
  <si>
    <t>光學鏡頭</t>
    <phoneticPr fontId="1" type="noConversion"/>
  </si>
  <si>
    <t>汎德永業</t>
    <phoneticPr fontId="1" type="noConversion"/>
  </si>
  <si>
    <t>進口車</t>
    <phoneticPr fontId="1" type="noConversion"/>
  </si>
  <si>
    <t>9.02</t>
    <phoneticPr fontId="1" type="noConversion"/>
  </si>
  <si>
    <t>7.50</t>
    <phoneticPr fontId="1" type="noConversion"/>
  </si>
  <si>
    <t>購物中心</t>
    <phoneticPr fontId="1" type="noConversion"/>
  </si>
  <si>
    <t>宅配東元與日本通運合資</t>
    <phoneticPr fontId="1" type="noConversion"/>
  </si>
  <si>
    <t>3.43</t>
    <phoneticPr fontId="1" type="noConversion"/>
  </si>
  <si>
    <t>網路CPU</t>
    <phoneticPr fontId="1" type="noConversion"/>
  </si>
  <si>
    <t>11.0</t>
    <phoneticPr fontId="1" type="noConversion"/>
  </si>
  <si>
    <t>4.33</t>
    <phoneticPr fontId="1" type="noConversion"/>
  </si>
  <si>
    <t>面膜美妝</t>
    <phoneticPr fontId="1" type="noConversion"/>
  </si>
  <si>
    <t>軒郁</t>
    <phoneticPr fontId="1" type="noConversion"/>
  </si>
  <si>
    <t>273</t>
    <phoneticPr fontId="1" type="noConversion"/>
  </si>
  <si>
    <t>45.33</t>
    <phoneticPr fontId="1" type="noConversion"/>
  </si>
  <si>
    <t>大陸建設</t>
    <phoneticPr fontId="1" type="noConversion"/>
  </si>
  <si>
    <t>記憶卡</t>
    <phoneticPr fontId="1" type="noConversion"/>
  </si>
  <si>
    <t>58.61</t>
    <phoneticPr fontId="1" type="noConversion"/>
  </si>
  <si>
    <t>17.23</t>
    <phoneticPr fontId="1" type="noConversion"/>
  </si>
  <si>
    <t>建商甲山林旗下</t>
    <phoneticPr fontId="1" type="noConversion"/>
  </si>
  <si>
    <t>4.70</t>
    <phoneticPr fontId="1" type="noConversion"/>
  </si>
  <si>
    <t>影像處理</t>
    <phoneticPr fontId="1" type="noConversion"/>
  </si>
  <si>
    <t>美妝</t>
    <phoneticPr fontId="1" type="noConversion"/>
  </si>
  <si>
    <t>自由貿易港區海陸空聯運</t>
    <phoneticPr fontId="1" type="noConversion"/>
  </si>
  <si>
    <t>多媒體影音</t>
    <phoneticPr fontId="1" type="noConversion"/>
  </si>
  <si>
    <t>意德士</t>
    <phoneticPr fontId="1" type="noConversion"/>
  </si>
  <si>
    <t>廠務工程製程設備</t>
    <phoneticPr fontId="1" type="noConversion"/>
  </si>
  <si>
    <t>精密零組件材料製程設備</t>
    <phoneticPr fontId="1" type="noConversion"/>
  </si>
  <si>
    <t>4.20</t>
    <phoneticPr fontId="1" type="noConversion"/>
  </si>
  <si>
    <t>7.00</t>
    <phoneticPr fontId="1" type="noConversion"/>
  </si>
  <si>
    <t>16.88</t>
    <phoneticPr fontId="1" type="noConversion"/>
  </si>
  <si>
    <t>24.87</t>
    <phoneticPr fontId="1" type="noConversion"/>
  </si>
  <si>
    <t>傳輸晶片華碩旗下</t>
    <phoneticPr fontId="1" type="noConversion"/>
  </si>
  <si>
    <t>新晶投控</t>
    <phoneticPr fontId="1" type="noConversion"/>
  </si>
  <si>
    <t>大潤發潤泰旗下</t>
    <phoneticPr fontId="1" type="noConversion"/>
  </si>
  <si>
    <t>貿易商</t>
    <phoneticPr fontId="1" type="noConversion"/>
  </si>
  <si>
    <t>貨櫃士林旗下</t>
    <phoneticPr fontId="1" type="noConversion"/>
  </si>
  <si>
    <t>LCD明基友達旗下</t>
    <phoneticPr fontId="1" type="noConversion"/>
  </si>
  <si>
    <t>X86IC設計</t>
    <phoneticPr fontId="1" type="noConversion"/>
  </si>
  <si>
    <t>包材炎洲旗下</t>
    <phoneticPr fontId="1" type="noConversion"/>
  </si>
  <si>
    <t>35.0</t>
    <phoneticPr fontId="1" type="noConversion"/>
  </si>
  <si>
    <t>甲級營造</t>
    <phoneticPr fontId="1" type="noConversion"/>
  </si>
  <si>
    <t>20.45</t>
    <phoneticPr fontId="1" type="noConversion"/>
  </si>
  <si>
    <t>21.67</t>
    <phoneticPr fontId="1" type="noConversion"/>
  </si>
  <si>
    <t>26.7</t>
    <phoneticPr fontId="1" type="noConversion"/>
  </si>
  <si>
    <t>13.7</t>
    <phoneticPr fontId="1" type="noConversion"/>
  </si>
  <si>
    <t>銅纜光纜鴻海轉投資</t>
    <phoneticPr fontId="1" type="noConversion"/>
  </si>
  <si>
    <t>24.47</t>
    <phoneticPr fontId="1" type="noConversion"/>
  </si>
  <si>
    <t>11.21</t>
    <phoneticPr fontId="1" type="noConversion"/>
  </si>
  <si>
    <t>21.1</t>
    <phoneticPr fontId="1" type="noConversion"/>
  </si>
  <si>
    <t>127</t>
    <phoneticPr fontId="1" type="noConversion"/>
  </si>
  <si>
    <t>33.0</t>
    <phoneticPr fontId="1" type="noConversion"/>
  </si>
  <si>
    <t>陞逹科技</t>
    <phoneticPr fontId="1" type="noConversion"/>
  </si>
  <si>
    <t>4.49</t>
    <phoneticPr fontId="1" type="noConversion"/>
  </si>
  <si>
    <t>娛樂製作台大</t>
    <phoneticPr fontId="1" type="noConversion"/>
  </si>
  <si>
    <t>38.0</t>
    <phoneticPr fontId="1" type="noConversion"/>
  </si>
  <si>
    <t>風扇驅動IC</t>
    <phoneticPr fontId="1" type="noConversion"/>
  </si>
  <si>
    <t>八貫</t>
    <phoneticPr fontId="1" type="noConversion"/>
  </si>
  <si>
    <t>機能性布薄膜</t>
    <phoneticPr fontId="1" type="noConversion"/>
  </si>
  <si>
    <t>63.2</t>
    <phoneticPr fontId="1" type="noConversion"/>
  </si>
  <si>
    <t>5.25</t>
    <phoneticPr fontId="1" type="noConversion"/>
  </si>
  <si>
    <t>32.9</t>
    <phoneticPr fontId="1" type="noConversion"/>
  </si>
  <si>
    <t>28.87</t>
    <phoneticPr fontId="1" type="noConversion"/>
  </si>
  <si>
    <t>新藥新劑型</t>
    <phoneticPr fontId="1" type="noConversion"/>
  </si>
  <si>
    <t>亞泰金屬</t>
    <phoneticPr fontId="1" type="noConversion"/>
  </si>
  <si>
    <t>塗佈設備</t>
    <phoneticPr fontId="1" type="noConversion"/>
  </si>
  <si>
    <t>44.5</t>
    <phoneticPr fontId="1" type="noConversion"/>
  </si>
  <si>
    <t>食品添加劑電子化材</t>
    <phoneticPr fontId="1" type="noConversion"/>
  </si>
  <si>
    <t>3.66</t>
    <phoneticPr fontId="1" type="noConversion"/>
  </si>
  <si>
    <t>97.7</t>
    <phoneticPr fontId="1" type="noConversion"/>
  </si>
  <si>
    <t>15.13</t>
    <phoneticPr fontId="1" type="noConversion"/>
  </si>
  <si>
    <t>車燈</t>
    <phoneticPr fontId="1" type="noConversion"/>
  </si>
  <si>
    <t>PCB華新旗下瀚宇博轉投資</t>
    <phoneticPr fontId="1" type="noConversion"/>
  </si>
  <si>
    <t>19.27</t>
    <phoneticPr fontId="1" type="noConversion"/>
  </si>
  <si>
    <t>10.67</t>
    <phoneticPr fontId="1" type="noConversion"/>
  </si>
  <si>
    <t>26.37</t>
    <phoneticPr fontId="1" type="noConversion"/>
  </si>
  <si>
    <t>電子材料</t>
    <phoneticPr fontId="1" type="noConversion"/>
  </si>
  <si>
    <t>萬年清</t>
    <phoneticPr fontId="1" type="noConversion"/>
  </si>
  <si>
    <t>廢水處理</t>
    <phoneticPr fontId="1" type="noConversion"/>
  </si>
  <si>
    <t>泰金KY</t>
    <phoneticPr fontId="1" type="noConversion"/>
  </si>
  <si>
    <t>3.55</t>
    <phoneticPr fontId="1" type="noConversion"/>
  </si>
  <si>
    <t>家飾鑄件</t>
    <phoneticPr fontId="1" type="noConversion"/>
  </si>
  <si>
    <t>250</t>
    <phoneticPr fontId="1" type="noConversion"/>
  </si>
  <si>
    <t>東捷資訊</t>
    <phoneticPr fontId="1" type="noConversion"/>
  </si>
  <si>
    <t>ERP東元旗下</t>
    <phoneticPr fontId="1" type="noConversion"/>
  </si>
  <si>
    <t>叡揚資訊</t>
    <phoneticPr fontId="1" type="noConversion"/>
  </si>
  <si>
    <t>血壓計全3</t>
    <phoneticPr fontId="1" type="noConversion"/>
  </si>
  <si>
    <t>7.93</t>
    <phoneticPr fontId="1" type="noConversion"/>
  </si>
  <si>
    <t>94.7</t>
    <phoneticPr fontId="1" type="noConversion"/>
  </si>
  <si>
    <t>數位看板緯創轉投資</t>
    <phoneticPr fontId="1" type="noConversion"/>
  </si>
  <si>
    <t>消費IC淩陽轉投資</t>
    <phoneticPr fontId="1" type="noConversion"/>
  </si>
  <si>
    <t>散裝航運</t>
    <phoneticPr fontId="1" type="noConversion"/>
  </si>
  <si>
    <t>21.78</t>
    <phoneticPr fontId="1" type="noConversion"/>
  </si>
  <si>
    <t>網球拍</t>
    <phoneticPr fontId="1" type="noConversion"/>
  </si>
  <si>
    <t>融資裕隆旗下</t>
    <phoneticPr fontId="1" type="noConversion"/>
  </si>
  <si>
    <t>安普新</t>
    <phoneticPr fontId="1" type="noConversion"/>
  </si>
  <si>
    <t>耀登</t>
    <phoneticPr fontId="1" type="noConversion"/>
  </si>
  <si>
    <t>天線儀器代理</t>
    <phoneticPr fontId="1" type="noConversion"/>
  </si>
  <si>
    <t>鑽孔機</t>
    <phoneticPr fontId="1" type="noConversion"/>
  </si>
  <si>
    <t>5.85</t>
    <phoneticPr fontId="1" type="noConversion"/>
  </si>
  <si>
    <t>34.09</t>
    <phoneticPr fontId="1" type="noConversion"/>
  </si>
  <si>
    <t>揚秦</t>
    <phoneticPr fontId="1" type="noConversion"/>
  </si>
  <si>
    <t>麥味登</t>
    <phoneticPr fontId="1" type="noConversion"/>
  </si>
  <si>
    <t>52.0</t>
    <phoneticPr fontId="1" type="noConversion"/>
  </si>
  <si>
    <t>建商聨上旗下</t>
    <phoneticPr fontId="1" type="noConversion"/>
  </si>
  <si>
    <t>58.72</t>
    <phoneticPr fontId="1" type="noConversion"/>
  </si>
  <si>
    <t>逹亞</t>
    <phoneticPr fontId="1" type="noConversion"/>
  </si>
  <si>
    <t>415</t>
    <phoneticPr fontId="1" type="noConversion"/>
  </si>
  <si>
    <t>耳機</t>
    <phoneticPr fontId="1" type="noConversion"/>
  </si>
  <si>
    <t>企業e化</t>
    <phoneticPr fontId="1" type="noConversion"/>
  </si>
  <si>
    <t>醫療器材益安旗下</t>
    <phoneticPr fontId="1" type="noConversion"/>
  </si>
  <si>
    <t>相機鏡片</t>
    <phoneticPr fontId="1" type="noConversion"/>
  </si>
  <si>
    <t>8.46</t>
    <phoneticPr fontId="1" type="noConversion"/>
  </si>
  <si>
    <t>電腦機殼電源供應器</t>
    <phoneticPr fontId="1" type="noConversion"/>
  </si>
  <si>
    <t>免疫癌症</t>
    <phoneticPr fontId="1" type="noConversion"/>
  </si>
  <si>
    <t>9.11</t>
    <phoneticPr fontId="1" type="noConversion"/>
  </si>
  <si>
    <t>8.21</t>
    <phoneticPr fontId="1" type="noConversion"/>
  </si>
  <si>
    <t>空氣壓縮機</t>
    <phoneticPr fontId="1" type="noConversion"/>
  </si>
  <si>
    <t>記憶體IC</t>
    <phoneticPr fontId="1" type="noConversion"/>
  </si>
  <si>
    <t>4.50</t>
    <phoneticPr fontId="1" type="noConversion"/>
  </si>
  <si>
    <t>89.1</t>
    <phoneticPr fontId="1" type="noConversion"/>
  </si>
  <si>
    <t>30.38</t>
    <phoneticPr fontId="1" type="noConversion"/>
  </si>
  <si>
    <t>2.1</t>
    <phoneticPr fontId="1" type="noConversion"/>
  </si>
  <si>
    <t>威鋒電子</t>
    <phoneticPr fontId="1" type="noConversion"/>
  </si>
  <si>
    <t>USB晶片威盛旗下</t>
    <phoneticPr fontId="1" type="noConversion"/>
  </si>
  <si>
    <t>5.68</t>
    <phoneticPr fontId="1" type="noConversion"/>
  </si>
  <si>
    <t>影音訊號台大</t>
    <phoneticPr fontId="1" type="noConversion"/>
  </si>
  <si>
    <t>工業紙台3大</t>
    <phoneticPr fontId="1" type="noConversion"/>
  </si>
  <si>
    <t>車載影音</t>
    <phoneticPr fontId="1" type="noConversion"/>
  </si>
  <si>
    <t>30.77</t>
    <phoneticPr fontId="1" type="noConversion"/>
  </si>
  <si>
    <t>智聯服務</t>
    <phoneticPr fontId="1" type="noConversion"/>
  </si>
  <si>
    <t>IT服務宏碁旗下</t>
    <phoneticPr fontId="1" type="noConversion"/>
  </si>
  <si>
    <t>上洋</t>
    <phoneticPr fontId="1" type="noConversion"/>
  </si>
  <si>
    <t>商用洗衣機</t>
    <phoneticPr fontId="1" type="noConversion"/>
  </si>
  <si>
    <t>2.00</t>
    <phoneticPr fontId="1" type="noConversion"/>
  </si>
  <si>
    <t>2.71</t>
    <phoneticPr fontId="1" type="noConversion"/>
  </si>
  <si>
    <t>資訊工程中鼎旗下</t>
    <phoneticPr fontId="1" type="noConversion"/>
  </si>
  <si>
    <t>網路IC聯電旗下</t>
    <phoneticPr fontId="1" type="noConversion"/>
  </si>
  <si>
    <t>18.82</t>
    <phoneticPr fontId="1" type="noConversion"/>
  </si>
  <si>
    <t>STN IC元太轉投資</t>
    <phoneticPr fontId="1" type="noConversion"/>
  </si>
  <si>
    <t>14.67</t>
    <phoneticPr fontId="1" type="noConversion"/>
  </si>
  <si>
    <t>靜電IC</t>
    <phoneticPr fontId="1" type="noConversion"/>
  </si>
  <si>
    <t>8.00</t>
    <phoneticPr fontId="1" type="noConversion"/>
  </si>
  <si>
    <t>不鏽鋼管亞大</t>
    <phoneticPr fontId="1" type="noConversion"/>
  </si>
  <si>
    <t>飲料酒品</t>
    <phoneticPr fontId="1" type="noConversion"/>
  </si>
  <si>
    <t>新藥晟德旗下</t>
    <phoneticPr fontId="1" type="noConversion"/>
  </si>
  <si>
    <t>類股</t>
    <phoneticPr fontId="1" type="noConversion"/>
  </si>
  <si>
    <t>1</t>
    <phoneticPr fontId="35" type="noConversion"/>
  </si>
  <si>
    <t>8.68</t>
    <phoneticPr fontId="1" type="noConversion"/>
  </si>
  <si>
    <t>-0.18</t>
    <phoneticPr fontId="1" type="noConversion"/>
  </si>
  <si>
    <t>5.86</t>
    <phoneticPr fontId="1" type="noConversion"/>
  </si>
  <si>
    <t>再生晶圓設備搶弘塑訂單</t>
    <phoneticPr fontId="1" type="noConversion"/>
  </si>
  <si>
    <t>前7大壽險三商集團旗下</t>
    <phoneticPr fontId="1" type="noConversion"/>
  </si>
  <si>
    <t>汽車扣件</t>
    <phoneticPr fontId="1" type="noConversion"/>
  </si>
  <si>
    <t>CNC加工機</t>
    <phoneticPr fontId="1" type="noConversion"/>
  </si>
  <si>
    <t>2.07</t>
    <phoneticPr fontId="1" type="noConversion"/>
  </si>
  <si>
    <t>5.72</t>
    <phoneticPr fontId="1" type="noConversion"/>
  </si>
  <si>
    <t>3.80</t>
    <phoneticPr fontId="1" type="noConversion"/>
  </si>
  <si>
    <t>BIOS</t>
    <phoneticPr fontId="1" type="noConversion"/>
  </si>
  <si>
    <t>5.39</t>
    <phoneticPr fontId="1" type="noConversion"/>
  </si>
  <si>
    <t>8.16</t>
    <phoneticPr fontId="1" type="noConversion"/>
  </si>
  <si>
    <t>胎壓偵測</t>
    <phoneticPr fontId="1" type="noConversion"/>
  </si>
  <si>
    <t>磊晶</t>
    <phoneticPr fontId="1" type="noConversion"/>
  </si>
  <si>
    <t>EUV設備</t>
    <phoneticPr fontId="1" type="noConversion"/>
  </si>
  <si>
    <t>包袋</t>
    <phoneticPr fontId="1" type="noConversion"/>
  </si>
  <si>
    <t>太陽能矽晶園</t>
    <phoneticPr fontId="1" type="noConversion"/>
  </si>
  <si>
    <t>矽晶圓</t>
    <phoneticPr fontId="1" type="noConversion"/>
  </si>
  <si>
    <t>60.12</t>
    <phoneticPr fontId="1" type="noConversion"/>
  </si>
  <si>
    <t>22.17</t>
    <phoneticPr fontId="1" type="noConversion"/>
  </si>
  <si>
    <t>47.17</t>
    <phoneticPr fontId="1" type="noConversion"/>
  </si>
  <si>
    <t>27.67</t>
    <phoneticPr fontId="1" type="noConversion"/>
  </si>
  <si>
    <t>0.91</t>
    <phoneticPr fontId="1" type="noConversion"/>
  </si>
  <si>
    <t>90.26</t>
    <phoneticPr fontId="1" type="noConversion"/>
  </si>
  <si>
    <t>MOSFET茂達旗下</t>
    <phoneticPr fontId="1" type="noConversion"/>
  </si>
  <si>
    <t>MOSFET</t>
    <phoneticPr fontId="1" type="noConversion"/>
  </si>
  <si>
    <t>3.30</t>
    <phoneticPr fontId="1" type="noConversion"/>
  </si>
  <si>
    <t>茶葉</t>
    <phoneticPr fontId="1" type="noConversion"/>
  </si>
  <si>
    <t>二極體製造商</t>
    <phoneticPr fontId="1" type="noConversion"/>
  </si>
  <si>
    <t>高雄市政府第1大股東區域性銀行</t>
    <phoneticPr fontId="1" type="noConversion"/>
  </si>
  <si>
    <t>長聖</t>
    <phoneticPr fontId="1" type="noConversion"/>
  </si>
  <si>
    <t>5.63</t>
    <phoneticPr fontId="1" type="noConversion"/>
  </si>
  <si>
    <t>細胞療法</t>
    <phoneticPr fontId="1" type="noConversion"/>
  </si>
  <si>
    <t>軟板欣興台表科轉投資</t>
    <phoneticPr fontId="1" type="noConversion"/>
  </si>
  <si>
    <t>導線架</t>
    <phoneticPr fontId="1" type="noConversion"/>
  </si>
  <si>
    <t>7.71</t>
    <phoneticPr fontId="1" type="noConversion"/>
  </si>
  <si>
    <t>二極體</t>
    <phoneticPr fontId="1" type="noConversion"/>
  </si>
  <si>
    <t>22.89</t>
    <phoneticPr fontId="1" type="noConversion"/>
  </si>
  <si>
    <t>57.43</t>
    <phoneticPr fontId="1" type="noConversion"/>
  </si>
  <si>
    <t>車用連接器</t>
    <phoneticPr fontId="1" type="noConversion"/>
  </si>
  <si>
    <t>5.04</t>
    <phoneticPr fontId="1" type="noConversion"/>
  </si>
  <si>
    <t>保護鏡片</t>
    <phoneticPr fontId="1" type="noConversion"/>
  </si>
  <si>
    <t>39.35</t>
    <phoneticPr fontId="1" type="noConversion"/>
  </si>
  <si>
    <t>5.19</t>
    <phoneticPr fontId="1" type="noConversion"/>
  </si>
  <si>
    <t>9.03</t>
    <phoneticPr fontId="1" type="noConversion"/>
  </si>
  <si>
    <t>無人機</t>
    <phoneticPr fontId="1" type="noConversion"/>
  </si>
  <si>
    <t>Type-C</t>
    <phoneticPr fontId="1" type="noConversion"/>
  </si>
  <si>
    <t>券商三商壽轉投資</t>
    <phoneticPr fontId="1" type="noConversion"/>
  </si>
  <si>
    <t>券商</t>
    <phoneticPr fontId="1" type="noConversion"/>
  </si>
  <si>
    <t>18.79</t>
    <phoneticPr fontId="1" type="noConversion"/>
  </si>
  <si>
    <t>42.75</t>
    <phoneticPr fontId="1" type="noConversion"/>
  </si>
  <si>
    <t>被動元件設備</t>
    <phoneticPr fontId="1" type="noConversion"/>
  </si>
  <si>
    <t>工具機</t>
    <phoneticPr fontId="1" type="noConversion"/>
  </si>
  <si>
    <t>1.30</t>
    <phoneticPr fontId="1" type="noConversion"/>
  </si>
  <si>
    <t>2.30</t>
    <phoneticPr fontId="1" type="noConversion"/>
  </si>
  <si>
    <t>濱川</t>
    <phoneticPr fontId="1" type="noConversion"/>
  </si>
  <si>
    <t>協禧</t>
    <phoneticPr fontId="1" type="noConversion"/>
  </si>
  <si>
    <t>艾訊</t>
    <phoneticPr fontId="1" type="noConversion"/>
  </si>
  <si>
    <t>茂訊</t>
    <phoneticPr fontId="1" type="noConversion"/>
  </si>
  <si>
    <t>東碩</t>
    <phoneticPr fontId="1" type="noConversion"/>
  </si>
  <si>
    <t>廣寰科</t>
    <phoneticPr fontId="1" type="noConversion"/>
  </si>
  <si>
    <t>8.03</t>
    <phoneticPr fontId="1" type="noConversion"/>
  </si>
  <si>
    <t>加百裕</t>
    <phoneticPr fontId="1" type="noConversion"/>
  </si>
  <si>
    <t>安勤</t>
    <phoneticPr fontId="1" type="noConversion"/>
  </si>
  <si>
    <t>鴻翊</t>
    <phoneticPr fontId="1" type="noConversion"/>
  </si>
  <si>
    <t>泓格</t>
    <phoneticPr fontId="1" type="noConversion"/>
  </si>
  <si>
    <t>磐儀</t>
    <phoneticPr fontId="1" type="noConversion"/>
  </si>
  <si>
    <t>鼎翰</t>
    <phoneticPr fontId="1" type="noConversion"/>
  </si>
  <si>
    <t>西勝</t>
    <phoneticPr fontId="1" type="noConversion"/>
  </si>
  <si>
    <t>電池模組</t>
    <phoneticPr fontId="1" type="noConversion"/>
  </si>
  <si>
    <t>精聯</t>
    <phoneticPr fontId="1" type="noConversion"/>
  </si>
  <si>
    <t>營邦</t>
    <phoneticPr fontId="1" type="noConversion"/>
  </si>
  <si>
    <t>伺服器機殼</t>
    <phoneticPr fontId="1" type="noConversion"/>
  </si>
  <si>
    <t>鑫聯大投控</t>
    <phoneticPr fontId="1" type="noConversion"/>
  </si>
  <si>
    <t>欣厚KY</t>
    <phoneticPr fontId="1" type="noConversion"/>
  </si>
  <si>
    <t>科誠</t>
    <phoneticPr fontId="1" type="noConversion"/>
  </si>
  <si>
    <t>安力KY</t>
    <phoneticPr fontId="1" type="noConversion"/>
  </si>
  <si>
    <t>協益</t>
    <phoneticPr fontId="1" type="noConversion"/>
  </si>
  <si>
    <t>電子零組件周邊</t>
    <phoneticPr fontId="1" type="noConversion"/>
  </si>
  <si>
    <t>青雲</t>
    <phoneticPr fontId="1" type="noConversion"/>
  </si>
  <si>
    <t>振發</t>
    <phoneticPr fontId="1" type="noConversion"/>
  </si>
  <si>
    <t>東友</t>
    <phoneticPr fontId="1" type="noConversion"/>
  </si>
  <si>
    <t>富驊</t>
    <phoneticPr fontId="1" type="noConversion"/>
  </si>
  <si>
    <t>聰泰</t>
    <phoneticPr fontId="1" type="noConversion"/>
  </si>
  <si>
    <t>同亨</t>
    <phoneticPr fontId="1" type="noConversion"/>
  </si>
  <si>
    <t>上奇</t>
    <phoneticPr fontId="1" type="noConversion"/>
  </si>
  <si>
    <t>欣技</t>
    <phoneticPr fontId="1" type="noConversion"/>
  </si>
  <si>
    <t>捷波</t>
    <phoneticPr fontId="1" type="noConversion"/>
  </si>
  <si>
    <t>工業電腦</t>
    <phoneticPr fontId="1" type="noConversion"/>
  </si>
  <si>
    <t>USB控制IC</t>
    <phoneticPr fontId="1" type="noConversion"/>
  </si>
  <si>
    <t>RF晶片</t>
    <phoneticPr fontId="1" type="noConversion"/>
  </si>
  <si>
    <t>-3.71</t>
    <phoneticPr fontId="1" type="noConversion"/>
  </si>
  <si>
    <t>15.0</t>
    <phoneticPr fontId="1" type="noConversion"/>
  </si>
  <si>
    <t>背光板華映旗下</t>
    <phoneticPr fontId="1" type="noConversion"/>
  </si>
  <si>
    <t>亨泰光</t>
    <phoneticPr fontId="1" type="noConversion"/>
  </si>
  <si>
    <t>台星科</t>
    <phoneticPr fontId="1" type="noConversion"/>
  </si>
  <si>
    <t>鉛酸電池</t>
    <phoneticPr fontId="1" type="noConversion"/>
  </si>
  <si>
    <t>13.55</t>
    <phoneticPr fontId="1" type="noConversion"/>
  </si>
  <si>
    <t>67.1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</si>
  <si>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</si>
  <si>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</si>
  <si>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</si>
  <si>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</si>
  <si>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</si>
  <si>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</si>
  <si>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持股</t>
    <phoneticPr fontId="1" type="noConversion"/>
  </si>
  <si>
    <t>大戶</t>
    <phoneticPr fontId="1" type="noConversion"/>
  </si>
  <si>
    <t>法人</t>
    <phoneticPr fontId="1" type="noConversion"/>
  </si>
  <si>
    <t>融資</t>
    <phoneticPr fontId="1" type="noConversion"/>
  </si>
  <si>
    <t>籌碼</t>
    <phoneticPr fontId="1" type="noConversion"/>
  </si>
  <si>
    <t>損益</t>
    <phoneticPr fontId="1" type="noConversion"/>
  </si>
  <si>
    <t>損益率</t>
    <phoneticPr fontId="1" type="noConversion"/>
  </si>
  <si>
    <t>成分</t>
    <phoneticPr fontId="1" type="noConversion"/>
  </si>
  <si>
    <t>類股</t>
    <phoneticPr fontId="1" type="noConversion"/>
  </si>
  <si>
    <t>買進日期</t>
    <phoneticPr fontId="1" type="noConversion"/>
  </si>
  <si>
    <t>賣出日期</t>
    <phoneticPr fontId="1" type="noConversion"/>
  </si>
  <si>
    <t>天數</t>
    <phoneticPr fontId="1" type="noConversion"/>
  </si>
  <si>
    <t>南珠</t>
    <phoneticPr fontId="1" type="noConversion"/>
  </si>
  <si>
    <t>1</t>
    <phoneticPr fontId="1" type="noConversion"/>
  </si>
  <si>
    <t>12月20年</t>
    <phoneticPr fontId="1" type="noConversion"/>
  </si>
  <si>
    <t>14.0</t>
    <phoneticPr fontId="1" type="noConversion"/>
  </si>
  <si>
    <t>佳邦</t>
    <phoneticPr fontId="1" type="noConversion"/>
  </si>
  <si>
    <t>7.98</t>
    <phoneticPr fontId="1" type="noConversion"/>
  </si>
  <si>
    <t>驊訊</t>
    <phoneticPr fontId="1" type="noConversion"/>
  </si>
  <si>
    <t>1</t>
    <phoneticPr fontId="35" type="noConversion"/>
  </si>
  <si>
    <t>穎崴</t>
    <phoneticPr fontId="1" type="noConversion"/>
  </si>
  <si>
    <t>螺栓台鋼旗下</t>
    <phoneticPr fontId="1" type="noConversion"/>
  </si>
  <si>
    <t>晶圓檢測探針</t>
    <phoneticPr fontId="1" type="noConversion"/>
  </si>
  <si>
    <t>7.20</t>
    <phoneticPr fontId="1" type="noConversion"/>
  </si>
  <si>
    <t>薄膜靶材</t>
    <phoneticPr fontId="1" type="noConversion"/>
  </si>
  <si>
    <t>25</t>
    <phoneticPr fontId="1" type="noConversion"/>
  </si>
  <si>
    <t>中信旗下旗下凱基證劵銀行</t>
    <phoneticPr fontId="1" type="noConversion"/>
  </si>
  <si>
    <t>4.29</t>
    <phoneticPr fontId="1" type="noConversion"/>
  </si>
  <si>
    <t>27.7</t>
    <phoneticPr fontId="1" type="noConversion"/>
  </si>
  <si>
    <t>資訊商大同旗下</t>
    <phoneticPr fontId="1" type="noConversion"/>
  </si>
  <si>
    <t>前新股</t>
    <phoneticPr fontId="1" type="noConversion"/>
  </si>
  <si>
    <t>之前發行新股</t>
    <phoneticPr fontId="1" type="noConversion"/>
  </si>
  <si>
    <t>22.5</t>
    <phoneticPr fontId="1" type="noConversion"/>
  </si>
  <si>
    <t>散熱風扇</t>
    <phoneticPr fontId="1" type="noConversion"/>
  </si>
  <si>
    <t>PCB e-bike</t>
    <phoneticPr fontId="1" type="noConversion"/>
  </si>
  <si>
    <t>顯示器模組</t>
    <phoneticPr fontId="1" type="noConversion"/>
  </si>
  <si>
    <t>新股</t>
    <phoneticPr fontId="1" type="noConversion"/>
  </si>
  <si>
    <t>發行新股</t>
    <phoneticPr fontId="1" type="noConversion"/>
  </si>
  <si>
    <t>台微醫</t>
    <phoneticPr fontId="1" type="noConversion"/>
  </si>
  <si>
    <t>隱形眼鏡</t>
    <phoneticPr fontId="1" type="noConversion"/>
  </si>
  <si>
    <t>手術產品鐿鈦旗下</t>
    <phoneticPr fontId="1" type="noConversion"/>
  </si>
  <si>
    <t>剪刀腳3雄</t>
    <phoneticPr fontId="1" type="noConversion"/>
  </si>
  <si>
    <t>-0.67</t>
    <phoneticPr fontId="1" type="noConversion"/>
  </si>
  <si>
    <t>電纜不銹鋼華新麗華集團</t>
    <phoneticPr fontId="1" type="noConversion"/>
  </si>
  <si>
    <t>6.22</t>
    <phoneticPr fontId="1" type="noConversion"/>
  </si>
  <si>
    <t>工業電腦仁寶旗下</t>
    <phoneticPr fontId="1" type="noConversion"/>
  </si>
  <si>
    <t>威健生技</t>
    <phoneticPr fontId="1" type="noConversion"/>
  </si>
  <si>
    <t>生物晶片</t>
    <phoneticPr fontId="1" type="noConversion"/>
  </si>
  <si>
    <t>電池材料</t>
    <phoneticPr fontId="1" type="noConversion"/>
  </si>
  <si>
    <t>驅動IC封測</t>
    <phoneticPr fontId="1" type="noConversion"/>
  </si>
  <si>
    <t>PCB設備</t>
    <phoneticPr fontId="1" type="noConversion"/>
  </si>
  <si>
    <t>博晟生醫</t>
    <phoneticPr fontId="1" type="noConversion"/>
  </si>
  <si>
    <t>骨材晟德旗下</t>
    <phoneticPr fontId="1" type="noConversion"/>
  </si>
  <si>
    <t>電容上游鋁箔</t>
    <phoneticPr fontId="1" type="noConversion"/>
  </si>
  <si>
    <t>CIS封測國巨旗下</t>
    <phoneticPr fontId="1" type="noConversion"/>
  </si>
  <si>
    <t>Sip封測鴻海旗下</t>
    <phoneticPr fontId="1" type="noConversion"/>
  </si>
  <si>
    <t>封測</t>
    <phoneticPr fontId="1" type="noConversion"/>
  </si>
  <si>
    <t>連接元件</t>
    <phoneticPr fontId="1" type="noConversion"/>
  </si>
  <si>
    <t>車用IC</t>
    <phoneticPr fontId="1" type="noConversion"/>
  </si>
  <si>
    <t>機殼鴻海旗下</t>
    <phoneticPr fontId="1" type="noConversion"/>
  </si>
  <si>
    <t>紙帶被動元件</t>
    <phoneticPr fontId="1" type="noConversion"/>
  </si>
  <si>
    <t>PCB4雄</t>
    <phoneticPr fontId="1" type="noConversion"/>
  </si>
  <si>
    <t>PCB4雄鴻海旗下</t>
    <phoneticPr fontId="1" type="noConversion"/>
  </si>
  <si>
    <t>PCB4雄台塑旗下</t>
    <phoneticPr fontId="1" type="noConversion"/>
  </si>
  <si>
    <t>探針</t>
    <phoneticPr fontId="1" type="noConversion"/>
  </si>
  <si>
    <t>電阻上游陶瓷基板</t>
    <phoneticPr fontId="1" type="noConversion"/>
  </si>
  <si>
    <t>掌上型電腦</t>
    <phoneticPr fontId="1" type="noConversion"/>
  </si>
  <si>
    <t>半導體設備</t>
    <phoneticPr fontId="1" type="noConversion"/>
  </si>
  <si>
    <t>矽晶圓漢磊旗下</t>
    <phoneticPr fontId="1" type="noConversion"/>
  </si>
  <si>
    <t>電池線Tesla</t>
    <phoneticPr fontId="1" type="noConversion"/>
  </si>
  <si>
    <t>CIS聯電旗下</t>
    <phoneticPr fontId="1" type="noConversion"/>
  </si>
  <si>
    <t>CIS力晶Omni Vision合資</t>
    <phoneticPr fontId="1" type="noConversion"/>
  </si>
  <si>
    <t>IP聯發科旗下</t>
    <phoneticPr fontId="1" type="noConversion"/>
  </si>
  <si>
    <t>IP聯電旗下</t>
    <phoneticPr fontId="1" type="noConversion"/>
  </si>
  <si>
    <t>散熱</t>
    <phoneticPr fontId="1" type="noConversion"/>
  </si>
  <si>
    <t>麗寶集團旗下</t>
    <phoneticPr fontId="1" type="noConversion"/>
  </si>
  <si>
    <t>PCB鑽孔機</t>
    <phoneticPr fontId="1" type="noConversion"/>
  </si>
  <si>
    <t>遊戲</t>
    <phoneticPr fontId="1" type="noConversion"/>
  </si>
  <si>
    <t>建商巴巴旗下</t>
    <phoneticPr fontId="1" type="noConversion"/>
  </si>
  <si>
    <t>減速齒輪Tesla</t>
    <phoneticPr fontId="1" type="noConversion"/>
  </si>
  <si>
    <t>封測台積電旗下</t>
    <phoneticPr fontId="1" type="noConversion"/>
  </si>
  <si>
    <t>濺鍍蝕刻</t>
    <phoneticPr fontId="1" type="noConversion"/>
  </si>
  <si>
    <t>記憶體模組金士頓轉投資</t>
    <phoneticPr fontId="1" type="noConversion"/>
  </si>
  <si>
    <t>砷化鎵3雄</t>
    <phoneticPr fontId="1" type="noConversion"/>
  </si>
  <si>
    <t>環景偵測Tesla</t>
    <phoneticPr fontId="1" type="noConversion"/>
  </si>
  <si>
    <t>沖壓Tesla</t>
    <phoneticPr fontId="1" type="noConversion"/>
  </si>
  <si>
    <t>汽車EMS華新旗下</t>
    <phoneticPr fontId="1" type="noConversion"/>
  </si>
  <si>
    <t>胎壓偵測Tesla</t>
    <phoneticPr fontId="1" type="noConversion"/>
  </si>
  <si>
    <t>電容</t>
    <phoneticPr fontId="1" type="noConversion"/>
  </si>
  <si>
    <t>封測設備</t>
    <phoneticPr fontId="1" type="noConversion"/>
  </si>
  <si>
    <t>IT通路威盛旗下</t>
    <phoneticPr fontId="1" type="noConversion"/>
  </si>
  <si>
    <t>重電</t>
    <phoneticPr fontId="1" type="noConversion"/>
  </si>
  <si>
    <t>面板遮罩義隆轉投資</t>
    <phoneticPr fontId="1" type="noConversion"/>
  </si>
  <si>
    <t>類比IC封測</t>
    <phoneticPr fontId="1" type="noConversion"/>
  </si>
  <si>
    <t>定位系統</t>
    <phoneticPr fontId="1" type="noConversion"/>
  </si>
  <si>
    <t>全宇昕</t>
    <phoneticPr fontId="1" type="noConversion"/>
  </si>
  <si>
    <t>新藥美吾華旗下</t>
    <phoneticPr fontId="1" type="noConversion"/>
  </si>
  <si>
    <t>39.5</t>
    <phoneticPr fontId="1" type="noConversion"/>
  </si>
  <si>
    <t>29.5</t>
    <phoneticPr fontId="1" type="noConversion"/>
  </si>
  <si>
    <t>車用二極體光寶旗下</t>
    <phoneticPr fontId="1" type="noConversion"/>
  </si>
  <si>
    <t>IC測試旺宏子公司</t>
    <phoneticPr fontId="1" type="noConversion"/>
  </si>
  <si>
    <t>傳動系統</t>
    <phoneticPr fontId="1" type="noConversion"/>
  </si>
  <si>
    <t>觸控IC</t>
    <phoneticPr fontId="1" type="noConversion"/>
  </si>
  <si>
    <t>麥克風晶片</t>
    <phoneticPr fontId="1" type="noConversion"/>
  </si>
  <si>
    <t>電玩機台</t>
    <phoneticPr fontId="1" type="noConversion"/>
  </si>
  <si>
    <t>誠品</t>
    <phoneticPr fontId="1" type="noConversion"/>
  </si>
  <si>
    <t>遊戲代理</t>
    <phoneticPr fontId="1" type="noConversion"/>
  </si>
  <si>
    <t>電視劇</t>
    <phoneticPr fontId="1" type="noConversion"/>
  </si>
  <si>
    <t>探針卡</t>
    <phoneticPr fontId="1" type="noConversion"/>
  </si>
  <si>
    <t>太陽能長晶</t>
    <phoneticPr fontId="1" type="noConversion"/>
  </si>
  <si>
    <t>MCU</t>
    <phoneticPr fontId="1" type="noConversion"/>
  </si>
  <si>
    <t>麥克風IC</t>
    <phoneticPr fontId="1" type="noConversion"/>
  </si>
  <si>
    <t>消費性IC</t>
    <phoneticPr fontId="1" type="noConversion"/>
  </si>
  <si>
    <t>感測元件封裝</t>
    <phoneticPr fontId="1" type="noConversion"/>
  </si>
  <si>
    <t>LED驅動IC</t>
    <phoneticPr fontId="1" type="noConversion"/>
  </si>
  <si>
    <t>觸控IC禾伸堂旗下</t>
    <phoneticPr fontId="1" type="noConversion"/>
  </si>
  <si>
    <t>伺服器IC宏正投資</t>
    <phoneticPr fontId="1" type="noConversion"/>
  </si>
  <si>
    <t>記憶體兆豐和矽創投資</t>
    <phoneticPr fontId="1" type="noConversion"/>
  </si>
  <si>
    <t>高速訊號IC</t>
    <phoneticPr fontId="1" type="noConversion"/>
  </si>
  <si>
    <t>光通信IC鈺創轉投資</t>
    <phoneticPr fontId="1" type="noConversion"/>
  </si>
  <si>
    <t>CD Discman IC</t>
    <phoneticPr fontId="1" type="noConversion"/>
  </si>
  <si>
    <t>視訊記憶體</t>
    <phoneticPr fontId="1" type="noConversion"/>
  </si>
  <si>
    <t>電源IC</t>
    <phoneticPr fontId="1" type="noConversion"/>
  </si>
  <si>
    <t>記憶體IC金士頓轉投資</t>
    <phoneticPr fontId="1" type="noConversion"/>
  </si>
  <si>
    <t>語音IC新唐轉投資</t>
    <phoneticPr fontId="1" type="noConversion"/>
  </si>
  <si>
    <t>射頻晶片</t>
    <phoneticPr fontId="1" type="noConversion"/>
  </si>
  <si>
    <t>USB控制IC安國轉投資</t>
    <phoneticPr fontId="1" type="noConversion"/>
  </si>
  <si>
    <t>半導體設備均豪子公司</t>
    <phoneticPr fontId="1" type="noConversion"/>
  </si>
  <si>
    <t>製程設備</t>
    <phoneticPr fontId="1" type="noConversion"/>
  </si>
  <si>
    <t>玩具語音IC</t>
    <phoneticPr fontId="1" type="noConversion"/>
  </si>
  <si>
    <t>自行車</t>
    <phoneticPr fontId="1" type="noConversion"/>
  </si>
  <si>
    <t>電源供應器</t>
    <phoneticPr fontId="1" type="noConversion"/>
  </si>
  <si>
    <t>同軸線</t>
    <phoneticPr fontId="1" type="noConversion"/>
  </si>
  <si>
    <t>電聲元件</t>
    <phoneticPr fontId="1" type="noConversion"/>
  </si>
  <si>
    <t>電感</t>
    <phoneticPr fontId="1" type="noConversion"/>
  </si>
  <si>
    <t>被動元件代理高木集團</t>
    <phoneticPr fontId="1" type="noConversion"/>
  </si>
  <si>
    <t>軟板基材</t>
    <phoneticPr fontId="1" type="noConversion"/>
  </si>
  <si>
    <t>MOSFET華碩轉投資</t>
    <phoneticPr fontId="1" type="noConversion"/>
  </si>
  <si>
    <t>電梯</t>
    <phoneticPr fontId="1" type="noConversion"/>
  </si>
  <si>
    <t>PU合成皮</t>
    <phoneticPr fontId="1" type="noConversion"/>
  </si>
  <si>
    <t>成衣</t>
    <phoneticPr fontId="1" type="noConversion"/>
  </si>
  <si>
    <t>針織布</t>
    <phoneticPr fontId="1" type="noConversion"/>
  </si>
  <si>
    <t>成衣年興轉投資</t>
    <phoneticPr fontId="1" type="noConversion"/>
  </si>
  <si>
    <t>短纖布</t>
    <phoneticPr fontId="1" type="noConversion"/>
  </si>
  <si>
    <t>提花</t>
    <phoneticPr fontId="1" type="noConversion"/>
  </si>
  <si>
    <t>PP纖維</t>
    <phoneticPr fontId="1" type="noConversion"/>
  </si>
  <si>
    <t>染整</t>
    <phoneticPr fontId="1" type="noConversion"/>
  </si>
  <si>
    <t>房屋代銷</t>
    <phoneticPr fontId="1" type="noConversion"/>
  </si>
  <si>
    <t>封測日月光集團</t>
    <phoneticPr fontId="1" type="noConversion"/>
  </si>
  <si>
    <t>鍵盤IC</t>
    <phoneticPr fontId="1" type="noConversion"/>
  </si>
  <si>
    <t>功率封測</t>
    <phoneticPr fontId="1" type="noConversion"/>
  </si>
  <si>
    <t>碳粉匣</t>
    <phoneticPr fontId="1" type="noConversion"/>
  </si>
  <si>
    <t>機殼</t>
    <phoneticPr fontId="1" type="noConversion"/>
  </si>
  <si>
    <t>POS</t>
    <phoneticPr fontId="1" type="noConversion"/>
  </si>
  <si>
    <t>影像IC</t>
    <phoneticPr fontId="1" type="noConversion"/>
  </si>
  <si>
    <t>通訊IC裕隆旗下</t>
    <phoneticPr fontId="1" type="noConversion"/>
  </si>
  <si>
    <t>邏輯IC威盛轉投資</t>
    <phoneticPr fontId="1" type="noConversion"/>
  </si>
  <si>
    <t>冬蟲夏草</t>
    <phoneticPr fontId="1" type="noConversion"/>
  </si>
  <si>
    <t>軟板</t>
    <phoneticPr fontId="1" type="noConversion"/>
  </si>
  <si>
    <t>充電器</t>
    <phoneticPr fontId="1" type="noConversion"/>
  </si>
  <si>
    <t>散熱片</t>
    <phoneticPr fontId="1" type="noConversion"/>
  </si>
  <si>
    <t>連接線</t>
    <phoneticPr fontId="1" type="noConversion"/>
  </si>
  <si>
    <t>松下被動元件代理</t>
    <phoneticPr fontId="1" type="noConversion"/>
  </si>
  <si>
    <t>NB樞紐</t>
    <phoneticPr fontId="1" type="noConversion"/>
  </si>
  <si>
    <t>電子安定器</t>
    <phoneticPr fontId="1" type="noConversion"/>
  </si>
  <si>
    <t>電阻薄膜</t>
    <phoneticPr fontId="1" type="noConversion"/>
  </si>
  <si>
    <t>錫條</t>
    <phoneticPr fontId="1" type="noConversion"/>
  </si>
  <si>
    <t>CIS</t>
    <phoneticPr fontId="1" type="noConversion"/>
  </si>
  <si>
    <t>軟板友嘉旗下</t>
    <phoneticPr fontId="1" type="noConversion"/>
  </si>
  <si>
    <t>電容器</t>
    <phoneticPr fontId="1" type="noConversion"/>
  </si>
  <si>
    <t>PCB玻纖布日商</t>
    <phoneticPr fontId="1" type="noConversion"/>
  </si>
  <si>
    <t>LED散熱鋁基板</t>
    <phoneticPr fontId="1" type="noConversion"/>
  </si>
  <si>
    <t>多層壓合基板</t>
    <phoneticPr fontId="1" type="noConversion"/>
  </si>
  <si>
    <t>沖壓模具</t>
    <phoneticPr fontId="1" type="noConversion"/>
  </si>
  <si>
    <t>線材</t>
    <phoneticPr fontId="1" type="noConversion"/>
  </si>
  <si>
    <t>電子材料代理</t>
    <phoneticPr fontId="1" type="noConversion"/>
  </si>
  <si>
    <t>熱導管</t>
    <phoneticPr fontId="1" type="noConversion"/>
  </si>
  <si>
    <t>PCB磁性元件</t>
    <phoneticPr fontId="1" type="noConversion"/>
  </si>
  <si>
    <t>電阻</t>
    <phoneticPr fontId="1" type="noConversion"/>
  </si>
  <si>
    <t>電磁波</t>
    <phoneticPr fontId="1" type="noConversion"/>
  </si>
  <si>
    <t>SMT加工</t>
    <phoneticPr fontId="1" type="noConversion"/>
  </si>
  <si>
    <t>變壓器</t>
    <phoneticPr fontId="1" type="noConversion"/>
  </si>
  <si>
    <t>MLCC太陽誘電代理</t>
    <phoneticPr fontId="1" type="noConversion"/>
  </si>
  <si>
    <t>事務機零件</t>
    <phoneticPr fontId="1" type="noConversion"/>
  </si>
  <si>
    <t>PCB墊板</t>
    <phoneticPr fontId="1" type="noConversion"/>
  </si>
  <si>
    <t>電容代理</t>
    <phoneticPr fontId="1" type="noConversion"/>
  </si>
  <si>
    <t>離子植入機</t>
    <phoneticPr fontId="1" type="noConversion"/>
  </si>
  <si>
    <t>電源</t>
    <phoneticPr fontId="1" type="noConversion"/>
  </si>
  <si>
    <t>電感台聚旗下</t>
    <phoneticPr fontId="1" type="noConversion"/>
  </si>
  <si>
    <t>銅箔光寶旗下</t>
    <phoneticPr fontId="1" type="noConversion"/>
  </si>
  <si>
    <t>模具</t>
    <phoneticPr fontId="1" type="noConversion"/>
  </si>
  <si>
    <t>磊晶片</t>
    <phoneticPr fontId="1" type="noConversion"/>
  </si>
  <si>
    <t>設備</t>
    <phoneticPr fontId="1" type="noConversion"/>
  </si>
  <si>
    <t>監控</t>
    <phoneticPr fontId="1" type="noConversion"/>
  </si>
  <si>
    <t>NB鍵盤支架</t>
    <phoneticPr fontId="1" type="noConversion"/>
  </si>
  <si>
    <t>NB強固型</t>
    <phoneticPr fontId="1" type="noConversion"/>
  </si>
  <si>
    <t>電視卡</t>
    <phoneticPr fontId="1" type="noConversion"/>
  </si>
  <si>
    <t>機殼電源供應器</t>
    <phoneticPr fontId="1" type="noConversion"/>
  </si>
  <si>
    <t>ADC資料收集</t>
    <phoneticPr fontId="1" type="noConversion"/>
  </si>
  <si>
    <t>通路代理商</t>
    <phoneticPr fontId="1" type="noConversion"/>
  </si>
  <si>
    <t>條碼標籤</t>
    <phoneticPr fontId="1" type="noConversion"/>
  </si>
  <si>
    <t>視訊解碼器</t>
    <phoneticPr fontId="1" type="noConversion"/>
  </si>
  <si>
    <t>事務機</t>
    <phoneticPr fontId="1" type="noConversion"/>
  </si>
  <si>
    <t>機殼神達轉投資</t>
    <phoneticPr fontId="1" type="noConversion"/>
  </si>
  <si>
    <t>主機板</t>
    <phoneticPr fontId="1" type="noConversion"/>
  </si>
  <si>
    <t>音響</t>
    <phoneticPr fontId="1" type="noConversion"/>
  </si>
  <si>
    <t>IC封裝設備</t>
    <phoneticPr fontId="1" type="noConversion"/>
  </si>
  <si>
    <t>驗證服務</t>
    <phoneticPr fontId="1" type="noConversion"/>
  </si>
  <si>
    <t>原料藥</t>
    <phoneticPr fontId="1" type="noConversion"/>
  </si>
  <si>
    <t>保健品</t>
    <phoneticPr fontId="1" type="noConversion"/>
  </si>
  <si>
    <t>哮喘健喬旗下</t>
    <phoneticPr fontId="1" type="noConversion"/>
  </si>
  <si>
    <t>醫美</t>
    <phoneticPr fontId="1" type="noConversion"/>
  </si>
  <si>
    <t>藥品開發</t>
    <phoneticPr fontId="1" type="noConversion"/>
  </si>
  <si>
    <t>PACS廠</t>
    <phoneticPr fontId="1" type="noConversion"/>
  </si>
  <si>
    <t>計程車隊</t>
    <phoneticPr fontId="1" type="noConversion"/>
  </si>
  <si>
    <t>感光平板</t>
    <phoneticPr fontId="1" type="noConversion"/>
  </si>
  <si>
    <t>不鏽鋼焊接管</t>
    <phoneticPr fontId="1" type="noConversion"/>
  </si>
  <si>
    <t>合金鋼榮鋼旗下</t>
    <phoneticPr fontId="1" type="noConversion"/>
  </si>
  <si>
    <t>釣魚線</t>
    <phoneticPr fontId="1" type="noConversion"/>
  </si>
  <si>
    <t>電動車</t>
    <phoneticPr fontId="1" type="noConversion"/>
  </si>
  <si>
    <t>飛機起落架</t>
    <phoneticPr fontId="1" type="noConversion"/>
  </si>
  <si>
    <t>工業過濾</t>
    <phoneticPr fontId="1" type="noConversion"/>
  </si>
  <si>
    <t>刀具</t>
    <phoneticPr fontId="1" type="noConversion"/>
  </si>
  <si>
    <t>安全座椅奐鑫旗下</t>
    <phoneticPr fontId="1" type="noConversion"/>
  </si>
  <si>
    <t>鏈條</t>
    <phoneticPr fontId="1" type="noConversion"/>
  </si>
  <si>
    <t>殯葬</t>
    <phoneticPr fontId="1" type="noConversion"/>
  </si>
  <si>
    <t>電廠工程</t>
    <phoneticPr fontId="1" type="noConversion"/>
  </si>
  <si>
    <t>基督徒塔位</t>
    <phoneticPr fontId="1" type="noConversion"/>
  </si>
  <si>
    <t>家具</t>
    <phoneticPr fontId="1" type="noConversion"/>
  </si>
  <si>
    <t>展示架</t>
    <phoneticPr fontId="1" type="noConversion"/>
  </si>
  <si>
    <t>印刷</t>
    <phoneticPr fontId="1" type="noConversion"/>
  </si>
  <si>
    <t>設備租賃</t>
    <phoneticPr fontId="1" type="noConversion"/>
  </si>
  <si>
    <t>飲料標籤</t>
    <phoneticPr fontId="1" type="noConversion"/>
  </si>
  <si>
    <t>再生膠粒</t>
    <phoneticPr fontId="1" type="noConversion"/>
  </si>
  <si>
    <t>裝潢承包</t>
    <phoneticPr fontId="1" type="noConversion"/>
  </si>
  <si>
    <t>水處理藥劑</t>
    <phoneticPr fontId="1" type="noConversion"/>
  </si>
  <si>
    <t>幼教</t>
    <phoneticPr fontId="1" type="noConversion"/>
  </si>
  <si>
    <t>廢品回收</t>
    <phoneticPr fontId="1" type="noConversion"/>
  </si>
  <si>
    <t>塑和板</t>
    <phoneticPr fontId="1" type="noConversion"/>
  </si>
  <si>
    <t>環保工程</t>
    <phoneticPr fontId="1" type="noConversion"/>
  </si>
  <si>
    <t>冷凍冷藏倉儲</t>
    <phoneticPr fontId="1" type="noConversion"/>
  </si>
  <si>
    <t>印製</t>
    <phoneticPr fontId="1" type="noConversion"/>
  </si>
  <si>
    <t>印刷永豐餘旗下</t>
    <phoneticPr fontId="1" type="noConversion"/>
  </si>
  <si>
    <t>紙尿褲</t>
    <phoneticPr fontId="1" type="noConversion"/>
  </si>
  <si>
    <t>拉鏈</t>
    <phoneticPr fontId="1" type="noConversion"/>
  </si>
  <si>
    <t>鞋材</t>
    <phoneticPr fontId="1" type="noConversion"/>
  </si>
  <si>
    <t>休閒車</t>
    <phoneticPr fontId="1" type="noConversion"/>
  </si>
  <si>
    <t>鋁塑複合板</t>
    <phoneticPr fontId="1" type="noConversion"/>
  </si>
  <si>
    <t>真空鍍膜</t>
    <phoneticPr fontId="1" type="noConversion"/>
  </si>
  <si>
    <t>汽車零組件大億旗下</t>
    <phoneticPr fontId="1" type="noConversion"/>
  </si>
  <si>
    <t>軸承</t>
    <phoneticPr fontId="1" type="noConversion"/>
  </si>
  <si>
    <t>塑膠射出機</t>
    <phoneticPr fontId="1" type="noConversion"/>
  </si>
  <si>
    <t>工程承攬</t>
    <phoneticPr fontId="1" type="noConversion"/>
  </si>
  <si>
    <t>主軸</t>
    <phoneticPr fontId="1" type="noConversion"/>
  </si>
  <si>
    <t>機電整合</t>
    <phoneticPr fontId="1" type="noConversion"/>
  </si>
  <si>
    <t>自動化製程</t>
    <phoneticPr fontId="1" type="noConversion"/>
  </si>
  <si>
    <t>引擎冷卻零件</t>
    <phoneticPr fontId="1" type="noConversion"/>
  </si>
  <si>
    <t>沖壓零件</t>
    <phoneticPr fontId="1" type="noConversion"/>
  </si>
  <si>
    <t>沖床</t>
    <phoneticPr fontId="1" type="noConversion"/>
  </si>
  <si>
    <t>釘槍</t>
    <phoneticPr fontId="1" type="noConversion"/>
  </si>
  <si>
    <t>烘培設備</t>
    <phoneticPr fontId="1" type="noConversion"/>
  </si>
  <si>
    <t>槍釘</t>
    <phoneticPr fontId="1" type="noConversion"/>
  </si>
  <si>
    <t>線性滑軌</t>
    <phoneticPr fontId="1" type="noConversion"/>
  </si>
  <si>
    <t>機車</t>
    <phoneticPr fontId="1" type="noConversion"/>
  </si>
  <si>
    <t>鑄件</t>
    <phoneticPr fontId="1" type="noConversion"/>
  </si>
  <si>
    <t>緊固件設備</t>
    <phoneticPr fontId="1" type="noConversion"/>
  </si>
  <si>
    <t>活塞環</t>
    <phoneticPr fontId="1" type="noConversion"/>
  </si>
  <si>
    <t>車用水箱風扇堤維西大股東</t>
    <phoneticPr fontId="1" type="noConversion"/>
  </si>
  <si>
    <t>LED車燈</t>
    <phoneticPr fontId="1" type="noConversion"/>
  </si>
  <si>
    <t>食品機械</t>
    <phoneticPr fontId="1" type="noConversion"/>
  </si>
  <si>
    <t>汽車鋼圈</t>
    <phoneticPr fontId="1" type="noConversion"/>
  </si>
  <si>
    <t>自動販賣機</t>
    <phoneticPr fontId="1" type="noConversion"/>
  </si>
  <si>
    <t>切削機</t>
    <phoneticPr fontId="1" type="noConversion"/>
  </si>
  <si>
    <t>磨床</t>
    <phoneticPr fontId="1" type="noConversion"/>
  </si>
  <si>
    <t>汽車空調永大轉投資</t>
    <phoneticPr fontId="1" type="noConversion"/>
  </si>
  <si>
    <t>冰水主機</t>
    <phoneticPr fontId="1" type="noConversion"/>
  </si>
  <si>
    <t>特殊氣體輸配</t>
    <phoneticPr fontId="1" type="noConversion"/>
  </si>
  <si>
    <t>電鍍表面</t>
    <phoneticPr fontId="1" type="noConversion"/>
  </si>
  <si>
    <t>影音訊號</t>
    <phoneticPr fontId="1" type="noConversion"/>
  </si>
  <si>
    <t>按鍵</t>
    <phoneticPr fontId="1" type="noConversion"/>
  </si>
  <si>
    <t>濺鍍靶材中鋼旗下</t>
    <phoneticPr fontId="1" type="noConversion"/>
  </si>
  <si>
    <t>車隊管理系統</t>
    <phoneticPr fontId="1" type="noConversion"/>
  </si>
  <si>
    <t>模具建德旗下</t>
    <phoneticPr fontId="1" type="noConversion"/>
  </si>
  <si>
    <t>塑化電子材料</t>
    <phoneticPr fontId="1" type="noConversion"/>
  </si>
  <si>
    <t>NEC晶圓代理</t>
    <phoneticPr fontId="1" type="noConversion"/>
  </si>
  <si>
    <t>汽車複合材料</t>
    <phoneticPr fontId="1" type="noConversion"/>
  </si>
  <si>
    <t>喇叭</t>
    <phoneticPr fontId="1" type="noConversion"/>
  </si>
  <si>
    <t>訊號延長器</t>
    <phoneticPr fontId="1" type="noConversion"/>
  </si>
  <si>
    <t>廠務工程</t>
    <phoneticPr fontId="1" type="noConversion"/>
  </si>
  <si>
    <t>電腦割字機</t>
    <phoneticPr fontId="1" type="noConversion"/>
  </si>
  <si>
    <t>IC封裝模具</t>
    <phoneticPr fontId="1" type="noConversion"/>
  </si>
  <si>
    <t>表面電鍍</t>
    <phoneticPr fontId="1" type="noConversion"/>
  </si>
  <si>
    <t>日系產品代理</t>
    <phoneticPr fontId="1" type="noConversion"/>
  </si>
  <si>
    <t>不織布</t>
    <phoneticPr fontId="1" type="noConversion"/>
  </si>
  <si>
    <t>氣動工具機</t>
    <phoneticPr fontId="1" type="noConversion"/>
  </si>
  <si>
    <t>軟板長華轉投資</t>
    <phoneticPr fontId="1" type="noConversion"/>
  </si>
  <si>
    <t>濕紙巾</t>
    <phoneticPr fontId="1" type="noConversion"/>
  </si>
  <si>
    <t>導電漿</t>
    <phoneticPr fontId="1" type="noConversion"/>
  </si>
  <si>
    <t>感測IC矽創旗下</t>
    <phoneticPr fontId="1" type="noConversion"/>
  </si>
  <si>
    <t>連接器立訊分身</t>
    <phoneticPr fontId="1" type="noConversion"/>
  </si>
  <si>
    <t>三星IC通路商</t>
    <phoneticPr fontId="1" type="noConversion"/>
  </si>
  <si>
    <t>汽車捲簾大億旗下</t>
    <phoneticPr fontId="1" type="noConversion"/>
  </si>
  <si>
    <t>8.47</t>
    <phoneticPr fontId="1" type="noConversion"/>
  </si>
  <si>
    <t>7.26</t>
    <phoneticPr fontId="1" type="noConversion"/>
  </si>
  <si>
    <t>旅館</t>
    <phoneticPr fontId="1" type="noConversion"/>
  </si>
  <si>
    <t>保護元件</t>
    <phoneticPr fontId="1" type="noConversion"/>
  </si>
  <si>
    <t>電源供應器群光旗下</t>
    <phoneticPr fontId="1" type="noConversion"/>
  </si>
  <si>
    <t>光電板</t>
    <phoneticPr fontId="1" type="noConversion"/>
  </si>
  <si>
    <t>手持裝置</t>
    <phoneticPr fontId="1" type="noConversion"/>
  </si>
  <si>
    <t>39.66</t>
    <phoneticPr fontId="1" type="noConversion"/>
  </si>
  <si>
    <t>PE台聚集團</t>
    <phoneticPr fontId="1" type="noConversion"/>
  </si>
  <si>
    <t>合成皮</t>
    <phoneticPr fontId="1" type="noConversion"/>
  </si>
  <si>
    <t>電池</t>
    <phoneticPr fontId="1" type="noConversion"/>
  </si>
  <si>
    <t>網通IC聯發科旗下</t>
    <phoneticPr fontId="1" type="noConversion"/>
  </si>
  <si>
    <t>電池模組鴻海旗下</t>
    <phoneticPr fontId="1" type="noConversion"/>
  </si>
  <si>
    <t>晶圓代工旗下嘉晶</t>
    <phoneticPr fontId="1" type="noConversion"/>
  </si>
  <si>
    <t>晶圓代工台積電集團</t>
    <phoneticPr fontId="1" type="noConversion"/>
  </si>
  <si>
    <t>晶圓代工聯電集團</t>
    <phoneticPr fontId="1" type="noConversion"/>
  </si>
  <si>
    <t>記憶體台塑旗下</t>
    <phoneticPr fontId="1" type="noConversion"/>
  </si>
  <si>
    <t>網路IC</t>
    <phoneticPr fontId="1" type="noConversion"/>
  </si>
  <si>
    <t>面板驅動IC聯電旗下</t>
    <phoneticPr fontId="1" type="noConversion"/>
  </si>
  <si>
    <t>矽晶圓日商勝高SUMCO旗下</t>
    <phoneticPr fontId="1" type="noConversion"/>
  </si>
  <si>
    <t>電子代工鴻海集團</t>
    <phoneticPr fontId="1" type="noConversion"/>
  </si>
  <si>
    <t>辦公家具</t>
    <phoneticPr fontId="1" type="noConversion"/>
  </si>
  <si>
    <t>防盜器</t>
    <phoneticPr fontId="1" type="noConversion"/>
  </si>
  <si>
    <t>量測儀器</t>
    <phoneticPr fontId="1" type="noConversion"/>
  </si>
  <si>
    <t>代理理光</t>
    <phoneticPr fontId="1" type="noConversion"/>
  </si>
  <si>
    <t>防偽包裝</t>
    <phoneticPr fontId="1" type="noConversion"/>
  </si>
  <si>
    <t>音箱</t>
    <phoneticPr fontId="1" type="noConversion"/>
  </si>
  <si>
    <t>讀卡機</t>
    <phoneticPr fontId="1" type="noConversion"/>
  </si>
  <si>
    <t>音訊產品</t>
    <phoneticPr fontId="1" type="noConversion"/>
  </si>
  <si>
    <t>磁碟陣列</t>
    <phoneticPr fontId="1" type="noConversion"/>
  </si>
  <si>
    <t>機電工程</t>
    <phoneticPr fontId="1" type="noConversion"/>
  </si>
  <si>
    <t>電路板設備</t>
    <phoneticPr fontId="1" type="noConversion"/>
  </si>
  <si>
    <t>太陽能</t>
    <phoneticPr fontId="1" type="noConversion"/>
  </si>
  <si>
    <t>封裝材料</t>
    <phoneticPr fontId="1" type="noConversion"/>
  </si>
  <si>
    <t>真空濺鍍</t>
    <phoneticPr fontId="1" type="noConversion"/>
  </si>
  <si>
    <t>揚聲器</t>
    <phoneticPr fontId="1" type="noConversion"/>
  </si>
  <si>
    <t>材料通路</t>
    <phoneticPr fontId="1" type="noConversion"/>
  </si>
  <si>
    <t>小家電</t>
    <phoneticPr fontId="1" type="noConversion"/>
  </si>
  <si>
    <t>薄膜鍵盤</t>
    <phoneticPr fontId="1" type="noConversion"/>
  </si>
  <si>
    <t>鑽針</t>
    <phoneticPr fontId="1" type="noConversion"/>
  </si>
  <si>
    <t>面板明基友達集團</t>
    <phoneticPr fontId="1" type="noConversion"/>
  </si>
  <si>
    <t>LED導線架</t>
    <phoneticPr fontId="1" type="noConversion"/>
  </si>
  <si>
    <t>沖壓</t>
    <phoneticPr fontId="1" type="noConversion"/>
  </si>
  <si>
    <t>CPU Socket</t>
    <phoneticPr fontId="1" type="noConversion"/>
  </si>
  <si>
    <t>傳輸線材</t>
    <phoneticPr fontId="1" type="noConversion"/>
  </si>
  <si>
    <t>塑膠成型</t>
    <phoneticPr fontId="1" type="noConversion"/>
  </si>
  <si>
    <t>塑膠表面處理</t>
    <phoneticPr fontId="1" type="noConversion"/>
  </si>
  <si>
    <t>聚硫亞胺薄膜</t>
    <phoneticPr fontId="1" type="noConversion"/>
  </si>
  <si>
    <t>磁碟機音圈馬達銘異轉投資</t>
    <phoneticPr fontId="1" type="noConversion"/>
  </si>
  <si>
    <t>聲學元件</t>
    <phoneticPr fontId="1" type="noConversion"/>
  </si>
  <si>
    <t>筆電樞紐</t>
    <phoneticPr fontId="1" type="noConversion"/>
  </si>
  <si>
    <t>PCB華新旗下</t>
    <phoneticPr fontId="1" type="noConversion"/>
  </si>
  <si>
    <t>CMOS載板</t>
    <phoneticPr fontId="1" type="noConversion"/>
  </si>
  <si>
    <t>電源線材</t>
    <phoneticPr fontId="1" type="noConversion"/>
  </si>
  <si>
    <t>輕油台塑旗下</t>
    <phoneticPr fontId="1" type="noConversion"/>
  </si>
  <si>
    <t>EG台塑旗下</t>
    <phoneticPr fontId="1" type="noConversion"/>
  </si>
  <si>
    <t>金控霖園旗下</t>
    <phoneticPr fontId="1" type="noConversion"/>
  </si>
  <si>
    <t>金控富邦集團</t>
    <phoneticPr fontId="1" type="noConversion"/>
  </si>
  <si>
    <t>聯貸銀行</t>
    <phoneticPr fontId="1" type="noConversion"/>
  </si>
  <si>
    <t>消費金融</t>
    <phoneticPr fontId="1" type="noConversion"/>
  </si>
  <si>
    <t>新光人壽新光旗下</t>
    <phoneticPr fontId="1" type="noConversion"/>
  </si>
  <si>
    <t>資產</t>
    <phoneticPr fontId="1" type="noConversion"/>
  </si>
  <si>
    <t>期貨</t>
    <phoneticPr fontId="1" type="noConversion"/>
  </si>
  <si>
    <t>味精</t>
    <phoneticPr fontId="1" type="noConversion"/>
  </si>
  <si>
    <t>肉雞飼料</t>
    <phoneticPr fontId="1" type="noConversion"/>
  </si>
  <si>
    <t>油脂轉投資全家便利超商</t>
    <phoneticPr fontId="1" type="noConversion"/>
  </si>
  <si>
    <t>寵物飼料</t>
    <phoneticPr fontId="1" type="noConversion"/>
  </si>
  <si>
    <t>果糖</t>
    <phoneticPr fontId="1" type="noConversion"/>
  </si>
  <si>
    <t>油脂飼料</t>
    <phoneticPr fontId="1" type="noConversion"/>
  </si>
  <si>
    <t>穀物油品</t>
    <phoneticPr fontId="1" type="noConversion"/>
  </si>
  <si>
    <t>麵粉聯華神通集團</t>
    <phoneticPr fontId="1" type="noConversion"/>
  </si>
  <si>
    <t>休閒食品</t>
    <phoneticPr fontId="1" type="noConversion"/>
  </si>
  <si>
    <t>黃豆油</t>
    <phoneticPr fontId="1" type="noConversion"/>
  </si>
  <si>
    <t>飼料</t>
    <phoneticPr fontId="1" type="noConversion"/>
  </si>
  <si>
    <t>七七巧克力</t>
    <phoneticPr fontId="1" type="noConversion"/>
  </si>
  <si>
    <t>濃縮果汁</t>
    <phoneticPr fontId="1" type="noConversion"/>
  </si>
  <si>
    <t>烘培油脂</t>
    <phoneticPr fontId="1" type="noConversion"/>
  </si>
  <si>
    <t>生技</t>
    <phoneticPr fontId="1" type="noConversion"/>
  </si>
  <si>
    <t>發卡銀行中信集團</t>
    <phoneticPr fontId="1" type="noConversion"/>
  </si>
  <si>
    <t>TOYOTA</t>
    <phoneticPr fontId="1" type="noConversion"/>
  </si>
  <si>
    <t>便利店</t>
    <phoneticPr fontId="1" type="noConversion"/>
  </si>
  <si>
    <t>網路通訊</t>
    <phoneticPr fontId="1" type="noConversion"/>
  </si>
  <si>
    <t>RFID Tag</t>
    <phoneticPr fontId="1" type="noConversion"/>
  </si>
  <si>
    <t>雲端</t>
    <phoneticPr fontId="1" type="noConversion"/>
  </si>
  <si>
    <t>植毛絨布</t>
    <phoneticPr fontId="1" type="noConversion"/>
  </si>
  <si>
    <t>EMI屏蔽材料</t>
    <phoneticPr fontId="1" type="noConversion"/>
  </si>
  <si>
    <t>PVC軟質膠布</t>
    <phoneticPr fontId="1" type="noConversion"/>
  </si>
  <si>
    <t>特殊商標</t>
    <phoneticPr fontId="1" type="noConversion"/>
  </si>
  <si>
    <t>旅行箱</t>
    <phoneticPr fontId="1" type="noConversion"/>
  </si>
  <si>
    <t>尼龍線紗</t>
    <phoneticPr fontId="1" type="noConversion"/>
  </si>
  <si>
    <t>尼龍絲</t>
    <phoneticPr fontId="1" type="noConversion"/>
  </si>
  <si>
    <t>長織布</t>
    <phoneticPr fontId="1" type="noConversion"/>
  </si>
  <si>
    <t>漁網</t>
    <phoneticPr fontId="1" type="noConversion"/>
  </si>
  <si>
    <t>新娘禮服布</t>
    <phoneticPr fontId="1" type="noConversion"/>
  </si>
  <si>
    <t>防水布</t>
    <phoneticPr fontId="1" type="noConversion"/>
  </si>
  <si>
    <t>染料</t>
    <phoneticPr fontId="1" type="noConversion"/>
  </si>
  <si>
    <t>樹脂</t>
    <phoneticPr fontId="1" type="noConversion"/>
  </si>
  <si>
    <t>雞肉</t>
    <phoneticPr fontId="1" type="noConversion"/>
  </si>
  <si>
    <t>烘培原物料</t>
    <phoneticPr fontId="1" type="noConversion"/>
  </si>
  <si>
    <t>豆腐</t>
    <phoneticPr fontId="1" type="noConversion"/>
  </si>
  <si>
    <t>過堂廠</t>
    <phoneticPr fontId="1" type="noConversion"/>
  </si>
  <si>
    <t>服飾代理</t>
    <phoneticPr fontId="1" type="noConversion"/>
  </si>
  <si>
    <t>嬰童產品</t>
    <phoneticPr fontId="1" type="noConversion"/>
  </si>
  <si>
    <t>家電通路商</t>
    <phoneticPr fontId="1" type="noConversion"/>
  </si>
  <si>
    <t>貿易商統一旗下</t>
    <phoneticPr fontId="1" type="noConversion"/>
  </si>
  <si>
    <t>高速公路休息站</t>
    <phoneticPr fontId="1" type="noConversion"/>
  </si>
  <si>
    <t>B2B家具</t>
    <phoneticPr fontId="1" type="noConversion"/>
  </si>
  <si>
    <t>烤肉爐</t>
    <phoneticPr fontId="1" type="noConversion"/>
  </si>
  <si>
    <t>高爾夫球網站</t>
    <phoneticPr fontId="1" type="noConversion"/>
  </si>
  <si>
    <t>電子材料批發</t>
    <phoneticPr fontId="1" type="noConversion"/>
  </si>
  <si>
    <t>IC通路商</t>
    <phoneticPr fontId="1" type="noConversion"/>
  </si>
  <si>
    <t>電子材料通路</t>
    <phoneticPr fontId="1" type="noConversion"/>
  </si>
  <si>
    <t>半導體零件代理</t>
    <phoneticPr fontId="1" type="noConversion"/>
  </si>
  <si>
    <t>3C通路售</t>
    <phoneticPr fontId="1" type="noConversion"/>
  </si>
  <si>
    <t>Nor Flash通路商</t>
    <phoneticPr fontId="1" type="noConversion"/>
  </si>
  <si>
    <t>三菱代理商</t>
    <phoneticPr fontId="1" type="noConversion"/>
  </si>
  <si>
    <t>多媒體電腦</t>
    <phoneticPr fontId="1" type="noConversion"/>
  </si>
  <si>
    <t>IC通路商威盛旗下</t>
    <phoneticPr fontId="1" type="noConversion"/>
  </si>
  <si>
    <t>鋼筋</t>
    <phoneticPr fontId="1" type="noConversion"/>
  </si>
  <si>
    <t>報關</t>
    <phoneticPr fontId="1" type="noConversion"/>
  </si>
  <si>
    <t>貨櫃集散</t>
    <phoneticPr fontId="1" type="noConversion"/>
  </si>
  <si>
    <t>貨櫃運輸</t>
    <phoneticPr fontId="1" type="noConversion"/>
  </si>
  <si>
    <t>貨運</t>
    <phoneticPr fontId="1" type="noConversion"/>
  </si>
  <si>
    <t>不動產</t>
    <phoneticPr fontId="1" type="noConversion"/>
  </si>
  <si>
    <t>國民住宅</t>
    <phoneticPr fontId="1" type="noConversion"/>
  </si>
  <si>
    <t>建築開發富宇旗下</t>
    <phoneticPr fontId="1" type="noConversion"/>
  </si>
  <si>
    <t>飯店仰德旗下</t>
    <phoneticPr fontId="1" type="noConversion"/>
  </si>
  <si>
    <t>混凝土</t>
    <phoneticPr fontId="1" type="noConversion"/>
  </si>
  <si>
    <t>漆包線</t>
    <phoneticPr fontId="1" type="noConversion"/>
  </si>
  <si>
    <t>摩斯東元旗下</t>
    <phoneticPr fontId="1" type="noConversion"/>
  </si>
  <si>
    <t>餐飲</t>
    <phoneticPr fontId="1" type="noConversion"/>
  </si>
  <si>
    <t>旅遊公司燦坤旗下</t>
    <phoneticPr fontId="1" type="noConversion"/>
  </si>
  <si>
    <t>商務酒店</t>
    <phoneticPr fontId="1" type="noConversion"/>
  </si>
  <si>
    <t>快樂檸檬</t>
    <phoneticPr fontId="1" type="noConversion"/>
  </si>
  <si>
    <t>旅遊業</t>
    <phoneticPr fontId="1" type="noConversion"/>
  </si>
  <si>
    <t>溫泉飯店</t>
    <phoneticPr fontId="1" type="noConversion"/>
  </si>
  <si>
    <t>牛排連鎖餐廳</t>
    <phoneticPr fontId="1" type="noConversion"/>
  </si>
  <si>
    <t>韓式連鎖餐廳</t>
    <phoneticPr fontId="1" type="noConversion"/>
  </si>
  <si>
    <t>珠寶</t>
    <phoneticPr fontId="1" type="noConversion"/>
  </si>
  <si>
    <t>飯店</t>
    <phoneticPr fontId="1" type="noConversion"/>
  </si>
  <si>
    <t>天然氣</t>
    <phoneticPr fontId="1" type="noConversion"/>
  </si>
  <si>
    <t>加油站</t>
    <phoneticPr fontId="1" type="noConversion"/>
  </si>
  <si>
    <t>電腦軟硬體</t>
    <phoneticPr fontId="1" type="noConversion"/>
  </si>
  <si>
    <t>證券金融</t>
    <phoneticPr fontId="1" type="noConversion"/>
  </si>
  <si>
    <t>手寫辨識</t>
    <phoneticPr fontId="1" type="noConversion"/>
  </si>
  <si>
    <t>系統整合</t>
    <phoneticPr fontId="1" type="noConversion"/>
  </si>
  <si>
    <t>系統整合大眾轉投資</t>
    <phoneticPr fontId="1" type="noConversion"/>
  </si>
  <si>
    <t>電子商務</t>
    <phoneticPr fontId="1" type="noConversion"/>
  </si>
  <si>
    <t>資訊圖書</t>
    <phoneticPr fontId="1" type="noConversion"/>
  </si>
  <si>
    <t>信用卡製卡</t>
    <phoneticPr fontId="1" type="noConversion"/>
  </si>
  <si>
    <t>3D軟硬體</t>
    <phoneticPr fontId="1" type="noConversion"/>
  </si>
  <si>
    <t>體感遊戲潤泰旗下</t>
    <phoneticPr fontId="1" type="noConversion"/>
  </si>
  <si>
    <t>電影版權</t>
    <phoneticPr fontId="1" type="noConversion"/>
  </si>
  <si>
    <t>美商8大片商</t>
    <phoneticPr fontId="1" type="noConversion"/>
  </si>
  <si>
    <t>補教</t>
    <phoneticPr fontId="1" type="noConversion"/>
  </si>
  <si>
    <t>遊戲智冠宇峻轉投資</t>
    <phoneticPr fontId="1" type="noConversion"/>
  </si>
  <si>
    <t>布袋戲</t>
    <phoneticPr fontId="1" type="noConversion"/>
  </si>
  <si>
    <t>數位教學</t>
    <phoneticPr fontId="1" type="noConversion"/>
  </si>
  <si>
    <t>琉璃</t>
    <phoneticPr fontId="1" type="noConversion"/>
  </si>
  <si>
    <t>交友社群</t>
    <phoneticPr fontId="1" type="noConversion"/>
  </si>
  <si>
    <t>平台</t>
    <phoneticPr fontId="1" type="noConversion"/>
  </si>
  <si>
    <t>蝦類檢測</t>
    <phoneticPr fontId="1" type="noConversion"/>
  </si>
  <si>
    <t>農地膜</t>
    <phoneticPr fontId="1" type="noConversion"/>
  </si>
  <si>
    <t>保險經紀</t>
    <phoneticPr fontId="1" type="noConversion"/>
  </si>
  <si>
    <t>券商大慶建設轉投資</t>
    <phoneticPr fontId="1" type="noConversion"/>
  </si>
  <si>
    <t>光學鏡片模具鴻海旗下</t>
    <phoneticPr fontId="1" type="noConversion"/>
  </si>
  <si>
    <t>電子公司光寶集團</t>
    <phoneticPr fontId="1" type="noConversion"/>
  </si>
  <si>
    <t>掃描器</t>
    <phoneticPr fontId="1" type="noConversion"/>
  </si>
  <si>
    <t>NB代工金仁寶集團</t>
    <phoneticPr fontId="1" type="noConversion"/>
  </si>
  <si>
    <t>主機板大同旗下</t>
    <phoneticPr fontId="1" type="noConversion"/>
  </si>
  <si>
    <t>NB宏碁集團</t>
    <phoneticPr fontId="1" type="noConversion"/>
  </si>
  <si>
    <t>百腦匯</t>
    <phoneticPr fontId="1" type="noConversion"/>
  </si>
  <si>
    <t>軍工NB</t>
    <phoneticPr fontId="1" type="noConversion"/>
  </si>
  <si>
    <t>滑鼠</t>
    <phoneticPr fontId="1" type="noConversion"/>
  </si>
  <si>
    <t>NB代工廣達集團</t>
    <phoneticPr fontId="1" type="noConversion"/>
  </si>
  <si>
    <t>矽酸鈣板國產集團旗下</t>
    <phoneticPr fontId="1" type="noConversion"/>
  </si>
  <si>
    <t>板卡比特幣</t>
    <phoneticPr fontId="1" type="noConversion"/>
  </si>
  <si>
    <t>板卡比特幣華碩旗下</t>
    <phoneticPr fontId="1" type="noConversion"/>
  </si>
  <si>
    <t>車載多媒體</t>
    <phoneticPr fontId="1" type="noConversion"/>
  </si>
  <si>
    <t>車用顯示器</t>
    <phoneticPr fontId="1" type="noConversion"/>
  </si>
  <si>
    <t>發電機</t>
    <phoneticPr fontId="1" type="noConversion"/>
  </si>
  <si>
    <t>軍工電腦聯華神通旗下</t>
    <phoneticPr fontId="1" type="noConversion"/>
  </si>
  <si>
    <t>電腦機殼</t>
    <phoneticPr fontId="1" type="noConversion"/>
  </si>
  <si>
    <t>工業電腦旗下威聯通</t>
    <phoneticPr fontId="1" type="noConversion"/>
  </si>
  <si>
    <t>RAID控制器</t>
    <phoneticPr fontId="1" type="noConversion"/>
  </si>
  <si>
    <t>硬碟零件</t>
    <phoneticPr fontId="1" type="noConversion"/>
  </si>
  <si>
    <t>NB代工緯創集團</t>
    <phoneticPr fontId="1" type="noConversion"/>
  </si>
  <si>
    <t>印表機</t>
    <phoneticPr fontId="1" type="noConversion"/>
  </si>
  <si>
    <t>GPS聯華神通旗下</t>
    <phoneticPr fontId="1" type="noConversion"/>
  </si>
  <si>
    <t>控股公司勁永,崴強,光耀科合併成立</t>
    <phoneticPr fontId="1" type="noConversion"/>
  </si>
  <si>
    <t>NB代工華碩旗下</t>
    <phoneticPr fontId="1" type="noConversion"/>
  </si>
  <si>
    <t>電梯永大集團</t>
    <phoneticPr fontId="1" type="noConversion"/>
  </si>
  <si>
    <t>汽車活塞</t>
    <phoneticPr fontId="1" type="noConversion"/>
  </si>
  <si>
    <t>配電盤</t>
    <phoneticPr fontId="1" type="noConversion"/>
  </si>
  <si>
    <t>自行車剎車</t>
    <phoneticPr fontId="1" type="noConversion"/>
  </si>
  <si>
    <t>自行車變速</t>
    <phoneticPr fontId="1" type="noConversion"/>
  </si>
  <si>
    <t>工業用縫紉機</t>
    <phoneticPr fontId="1" type="noConversion"/>
  </si>
  <si>
    <t>鑄鐵</t>
    <phoneticPr fontId="1" type="noConversion"/>
  </si>
  <si>
    <t>環保工程中鋼旗下</t>
    <phoneticPr fontId="1" type="noConversion"/>
  </si>
  <si>
    <t>線鋸機</t>
    <phoneticPr fontId="1" type="noConversion"/>
  </si>
  <si>
    <t>縫紉機</t>
    <phoneticPr fontId="1" type="noConversion"/>
  </si>
  <si>
    <t>CNC轉投資亞崴</t>
    <phoneticPr fontId="1" type="noConversion"/>
  </si>
  <si>
    <t>金屬加工</t>
    <phoneticPr fontId="1" type="noConversion"/>
  </si>
  <si>
    <t>土地</t>
    <phoneticPr fontId="1" type="noConversion"/>
  </si>
  <si>
    <t>壓縮機</t>
    <phoneticPr fontId="1" type="noConversion"/>
  </si>
  <si>
    <t>縫紉機零配件</t>
    <phoneticPr fontId="1" type="noConversion"/>
  </si>
  <si>
    <t>彎管機</t>
    <phoneticPr fontId="1" type="noConversion"/>
  </si>
  <si>
    <t>飛機引擎</t>
    <phoneticPr fontId="1" type="noConversion"/>
  </si>
  <si>
    <t>汽機車零件</t>
    <phoneticPr fontId="1" type="noConversion"/>
  </si>
  <si>
    <t>航空零組件</t>
    <phoneticPr fontId="1" type="noConversion"/>
  </si>
  <si>
    <t>自動化零組件</t>
    <phoneticPr fontId="1" type="noConversion"/>
  </si>
  <si>
    <t>PE</t>
    <phoneticPr fontId="1" type="noConversion"/>
  </si>
  <si>
    <t>SM</t>
    <phoneticPr fontId="1" type="noConversion"/>
  </si>
  <si>
    <t>CPL威京旗下</t>
    <phoneticPr fontId="1" type="noConversion"/>
  </si>
  <si>
    <t>雨衣</t>
    <phoneticPr fontId="1" type="noConversion"/>
  </si>
  <si>
    <t>PVC</t>
    <phoneticPr fontId="1" type="noConversion"/>
  </si>
  <si>
    <t>塑膠瓶</t>
    <phoneticPr fontId="1" type="noConversion"/>
  </si>
  <si>
    <t>PVC膠帶</t>
    <phoneticPr fontId="1" type="noConversion"/>
  </si>
  <si>
    <t>EVA發泡</t>
    <phoneticPr fontId="1" type="noConversion"/>
  </si>
  <si>
    <t>人造皮革</t>
    <phoneticPr fontId="1" type="noConversion"/>
  </si>
  <si>
    <t>膠帶</t>
    <phoneticPr fontId="1" type="noConversion"/>
  </si>
  <si>
    <t>聚酯棉</t>
    <phoneticPr fontId="1" type="noConversion"/>
  </si>
  <si>
    <t>加工絲遠東旗下</t>
    <phoneticPr fontId="1" type="noConversion"/>
  </si>
  <si>
    <t>混紡</t>
    <phoneticPr fontId="1" type="noConversion"/>
  </si>
  <si>
    <t>亞克力棉</t>
    <phoneticPr fontId="1" type="noConversion"/>
  </si>
  <si>
    <t>平織布新光旗下</t>
    <phoneticPr fontId="1" type="noConversion"/>
  </si>
  <si>
    <t>輪胎布台塑旗下</t>
    <phoneticPr fontId="1" type="noConversion"/>
  </si>
  <si>
    <t>棉紡紗</t>
    <phoneticPr fontId="1" type="noConversion"/>
  </si>
  <si>
    <t>織布</t>
    <phoneticPr fontId="1" type="noConversion"/>
  </si>
  <si>
    <t>長短織</t>
    <phoneticPr fontId="1" type="noConversion"/>
  </si>
  <si>
    <t>混紡紗</t>
    <phoneticPr fontId="1" type="noConversion"/>
  </si>
  <si>
    <t>絲織布</t>
    <phoneticPr fontId="1" type="noConversion"/>
  </si>
  <si>
    <t>紡織元邦旗下</t>
    <phoneticPr fontId="1" type="noConversion"/>
  </si>
  <si>
    <t>感測顯示IC</t>
    <phoneticPr fontId="1" type="noConversion"/>
  </si>
  <si>
    <t>5.08</t>
    <phoneticPr fontId="1" type="noConversion"/>
  </si>
  <si>
    <t>人力資源</t>
    <phoneticPr fontId="1" type="noConversion"/>
  </si>
  <si>
    <t>財政部</t>
    <phoneticPr fontId="1" type="noConversion"/>
  </si>
  <si>
    <t>商場租賃</t>
    <phoneticPr fontId="1" type="noConversion"/>
  </si>
  <si>
    <t>觀光飯店</t>
    <phoneticPr fontId="1" type="noConversion"/>
  </si>
  <si>
    <t>遊樂園</t>
    <phoneticPr fontId="1" type="noConversion"/>
  </si>
  <si>
    <t>飯店萬華旗下</t>
    <phoneticPr fontId="1" type="noConversion"/>
  </si>
  <si>
    <t>飯店遠雄旗下</t>
    <phoneticPr fontId="1" type="noConversion"/>
  </si>
  <si>
    <t>飯店官田鋼轉投資</t>
    <phoneticPr fontId="1" type="noConversion"/>
  </si>
  <si>
    <t>氣門嘴</t>
    <phoneticPr fontId="1" type="noConversion"/>
  </si>
  <si>
    <t>三菱裕隆旗下</t>
    <phoneticPr fontId="1" type="noConversion"/>
  </si>
  <si>
    <t>現代汽車</t>
    <phoneticPr fontId="1" type="noConversion"/>
  </si>
  <si>
    <t>NISSAN裕隆旗下</t>
    <phoneticPr fontId="1" type="noConversion"/>
  </si>
  <si>
    <t>汽車氣囊</t>
    <phoneticPr fontId="1" type="noConversion"/>
  </si>
  <si>
    <t>汽車開關</t>
    <phoneticPr fontId="1" type="noConversion"/>
  </si>
  <si>
    <t>噴油嘴</t>
    <phoneticPr fontId="1" type="noConversion"/>
  </si>
  <si>
    <t>汽車零件</t>
    <phoneticPr fontId="1" type="noConversion"/>
  </si>
  <si>
    <t>車身模具</t>
    <phoneticPr fontId="1" type="noConversion"/>
  </si>
  <si>
    <t>汽車分泵</t>
    <phoneticPr fontId="1" type="noConversion"/>
  </si>
  <si>
    <t>車鑄件</t>
    <phoneticPr fontId="1" type="noConversion"/>
  </si>
  <si>
    <t>電線電纜</t>
    <phoneticPr fontId="1" type="noConversion"/>
  </si>
  <si>
    <t>家電</t>
    <phoneticPr fontId="1" type="noConversion"/>
  </si>
  <si>
    <t>高壓電力</t>
    <phoneticPr fontId="1" type="noConversion"/>
  </si>
  <si>
    <t>電力電纜</t>
    <phoneticPr fontId="1" type="noConversion"/>
  </si>
  <si>
    <t>東亞照明</t>
    <phoneticPr fontId="1" type="noConversion"/>
  </si>
  <si>
    <t>小家電燦坤旗下</t>
    <phoneticPr fontId="1" type="noConversion"/>
  </si>
  <si>
    <t>智慧家電</t>
    <phoneticPr fontId="1" type="noConversion"/>
  </si>
  <si>
    <t>治具Tesla</t>
    <phoneticPr fontId="1" type="noConversion"/>
  </si>
  <si>
    <t>軟硬體Adobe</t>
    <phoneticPr fontId="1" type="noConversion"/>
  </si>
  <si>
    <t>IC導線架長華電旗下</t>
    <phoneticPr fontId="1" type="noConversion"/>
  </si>
  <si>
    <t>封測轉投資台星科收購聯測</t>
    <phoneticPr fontId="1" type="noConversion"/>
  </si>
  <si>
    <t>海空貨運承攬</t>
    <phoneticPr fontId="1" type="noConversion"/>
  </si>
  <si>
    <t>二極體聯電投資</t>
    <phoneticPr fontId="1" type="noConversion"/>
  </si>
  <si>
    <t>腎臟病</t>
    <phoneticPr fontId="1" type="noConversion"/>
  </si>
  <si>
    <t>肥料</t>
    <phoneticPr fontId="1" type="noConversion"/>
  </si>
  <si>
    <t>倉儲</t>
    <phoneticPr fontId="1" type="noConversion"/>
  </si>
  <si>
    <t>投資公司</t>
    <phoneticPr fontId="1" type="noConversion"/>
  </si>
  <si>
    <t>生煤</t>
    <phoneticPr fontId="1" type="noConversion"/>
  </si>
  <si>
    <t>水龍頭零件</t>
    <phoneticPr fontId="1" type="noConversion"/>
  </si>
  <si>
    <t>鋁合金</t>
    <phoneticPr fontId="1" type="noConversion"/>
  </si>
  <si>
    <t>港區物流</t>
    <phoneticPr fontId="1" type="noConversion"/>
  </si>
  <si>
    <t>陳立補習班</t>
    <phoneticPr fontId="1" type="noConversion"/>
  </si>
  <si>
    <t>石化倉儲</t>
    <phoneticPr fontId="1" type="noConversion"/>
  </si>
  <si>
    <t>孵化創業</t>
    <phoneticPr fontId="1" type="noConversion"/>
  </si>
  <si>
    <t>機構件</t>
    <phoneticPr fontId="1" type="noConversion"/>
  </si>
  <si>
    <t>租賃中信旗下</t>
    <phoneticPr fontId="1" type="noConversion"/>
  </si>
  <si>
    <t>有線電視</t>
    <phoneticPr fontId="1" type="noConversion"/>
  </si>
  <si>
    <t>電弧爐</t>
    <phoneticPr fontId="1" type="noConversion"/>
  </si>
  <si>
    <t>娛樂製作</t>
    <phoneticPr fontId="1" type="noConversion"/>
  </si>
  <si>
    <t>水處理環保</t>
    <phoneticPr fontId="1" type="noConversion"/>
  </si>
  <si>
    <t>木板</t>
    <phoneticPr fontId="1" type="noConversion"/>
  </si>
  <si>
    <t>烘培器具</t>
    <phoneticPr fontId="1" type="noConversion"/>
  </si>
  <si>
    <t>黏釦帶</t>
    <phoneticPr fontId="1" type="noConversion"/>
  </si>
  <si>
    <t>制罐</t>
    <phoneticPr fontId="1" type="noConversion"/>
  </si>
  <si>
    <t>廢棄物處理</t>
    <phoneticPr fontId="1" type="noConversion"/>
  </si>
  <si>
    <t>水泥預拌潤泰旗下</t>
    <phoneticPr fontId="1" type="noConversion"/>
  </si>
  <si>
    <t>塑膠地磚</t>
    <phoneticPr fontId="1" type="noConversion"/>
  </si>
  <si>
    <t>水處理力騏旗下</t>
    <phoneticPr fontId="1" type="noConversion"/>
  </si>
  <si>
    <t>遊艇</t>
    <phoneticPr fontId="1" type="noConversion"/>
  </si>
  <si>
    <t>貼標印刷</t>
    <phoneticPr fontId="1" type="noConversion"/>
  </si>
  <si>
    <t>飲料包材</t>
    <phoneticPr fontId="1" type="noConversion"/>
  </si>
  <si>
    <t>營建開發</t>
    <phoneticPr fontId="1" type="noConversion"/>
  </si>
  <si>
    <t>食品包裝</t>
    <phoneticPr fontId="1" type="noConversion"/>
  </si>
  <si>
    <t>馬口鐵</t>
    <phoneticPr fontId="1" type="noConversion"/>
  </si>
  <si>
    <t>廚具</t>
    <phoneticPr fontId="1" type="noConversion"/>
  </si>
  <si>
    <t>保全SIGMU旗下</t>
    <phoneticPr fontId="1" type="noConversion"/>
  </si>
  <si>
    <t>門鎖</t>
    <phoneticPr fontId="1" type="noConversion"/>
  </si>
  <si>
    <t>保全公司</t>
    <phoneticPr fontId="1" type="noConversion"/>
  </si>
  <si>
    <t>鉛</t>
    <phoneticPr fontId="1" type="noConversion"/>
  </si>
  <si>
    <t>電視台</t>
    <phoneticPr fontId="1" type="noConversion"/>
  </si>
  <si>
    <t>爐石粉</t>
    <phoneticPr fontId="1" type="noConversion"/>
  </si>
  <si>
    <t>統包中鼎集團</t>
    <phoneticPr fontId="1" type="noConversion"/>
  </si>
  <si>
    <t>水龍頭</t>
    <phoneticPr fontId="1" type="noConversion"/>
  </si>
  <si>
    <t>黏扣帶</t>
    <phoneticPr fontId="1" type="noConversion"/>
  </si>
  <si>
    <t>密封元件</t>
    <phoneticPr fontId="1" type="noConversion"/>
  </si>
  <si>
    <t>樹脂棉</t>
    <phoneticPr fontId="1" type="noConversion"/>
  </si>
  <si>
    <t>農藥</t>
    <phoneticPr fontId="1" type="noConversion"/>
  </si>
  <si>
    <t>保險粉</t>
    <phoneticPr fontId="1" type="noConversion"/>
  </si>
  <si>
    <t>正烷</t>
    <phoneticPr fontId="1" type="noConversion"/>
  </si>
  <si>
    <t>光阻劑</t>
    <phoneticPr fontId="1" type="noConversion"/>
  </si>
  <si>
    <t>油墨處理劑</t>
    <phoneticPr fontId="1" type="noConversion"/>
  </si>
  <si>
    <t>碼頭倉儲</t>
    <phoneticPr fontId="1" type="noConversion"/>
  </si>
  <si>
    <t>百貨業</t>
    <phoneticPr fontId="1" type="noConversion"/>
  </si>
  <si>
    <t>百貨遠東旗下</t>
    <phoneticPr fontId="1" type="noConversion"/>
  </si>
  <si>
    <t>食衣住行</t>
    <phoneticPr fontId="1" type="noConversion"/>
  </si>
  <si>
    <t>家居用品</t>
    <phoneticPr fontId="1" type="noConversion"/>
  </si>
  <si>
    <t>百貨公司</t>
    <phoneticPr fontId="1" type="noConversion"/>
  </si>
  <si>
    <t>超商統一旗下</t>
    <phoneticPr fontId="1" type="noConversion"/>
  </si>
  <si>
    <t>家具批發</t>
    <phoneticPr fontId="1" type="noConversion"/>
  </si>
  <si>
    <t>生活用品</t>
    <phoneticPr fontId="1" type="noConversion"/>
  </si>
  <si>
    <t>TONY wear</t>
    <phoneticPr fontId="1" type="noConversion"/>
  </si>
  <si>
    <t>百貨益航投資</t>
    <phoneticPr fontId="1" type="noConversion"/>
  </si>
  <si>
    <t>品牌服飾</t>
    <phoneticPr fontId="1" type="noConversion"/>
  </si>
  <si>
    <t>鞋業</t>
    <phoneticPr fontId="1" type="noConversion"/>
  </si>
  <si>
    <t>網購富邦旗下</t>
    <phoneticPr fontId="1" type="noConversion"/>
  </si>
  <si>
    <t>通路聯華旗下</t>
    <phoneticPr fontId="1" type="noConversion"/>
  </si>
  <si>
    <t>資訊通路</t>
    <phoneticPr fontId="1" type="noConversion"/>
  </si>
  <si>
    <t>連鎖通路</t>
    <phoneticPr fontId="1" type="noConversion"/>
  </si>
  <si>
    <t>電子零件</t>
    <phoneticPr fontId="1" type="noConversion"/>
  </si>
  <si>
    <t>半導體元件</t>
    <phoneticPr fontId="1" type="noConversion"/>
  </si>
  <si>
    <t>電子零組件</t>
    <phoneticPr fontId="1" type="noConversion"/>
  </si>
  <si>
    <t>IC通路</t>
    <phoneticPr fontId="1" type="noConversion"/>
  </si>
  <si>
    <t>Xcerra代理</t>
    <phoneticPr fontId="1" type="noConversion"/>
  </si>
  <si>
    <t>通訊元件</t>
    <phoneticPr fontId="1" type="noConversion"/>
  </si>
  <si>
    <t>半導體零件</t>
    <phoneticPr fontId="1" type="noConversion"/>
  </si>
  <si>
    <t>晶圓日本信越</t>
    <phoneticPr fontId="1" type="noConversion"/>
  </si>
  <si>
    <t>3C通路</t>
    <phoneticPr fontId="1" type="noConversion"/>
  </si>
  <si>
    <t>IC封裝材料</t>
    <phoneticPr fontId="1" type="noConversion"/>
  </si>
  <si>
    <t>DVR安控</t>
    <phoneticPr fontId="1" type="noConversion"/>
  </si>
  <si>
    <t>19.81</t>
    <phoneticPr fontId="1" type="noConversion"/>
  </si>
  <si>
    <t>57.2</t>
    <phoneticPr fontId="1" type="noConversion"/>
  </si>
  <si>
    <t>散熱機構件</t>
    <phoneticPr fontId="1" type="noConversion"/>
  </si>
  <si>
    <t>連接器連展科、連騰、連訊、連淨生技</t>
    <phoneticPr fontId="1" type="noConversion"/>
  </si>
  <si>
    <t>條碼印表機台半投資</t>
    <phoneticPr fontId="1" type="noConversion"/>
  </si>
  <si>
    <t>軸承MacPro</t>
    <phoneticPr fontId="1" type="noConversion"/>
  </si>
  <si>
    <t>汽車鍛壓件</t>
    <phoneticPr fontId="1" type="noConversion"/>
  </si>
  <si>
    <t>半導體鐳射設備</t>
    <phoneticPr fontId="1" type="noConversion"/>
  </si>
  <si>
    <t>網通IC聯發科入股</t>
    <phoneticPr fontId="1" type="noConversion"/>
  </si>
  <si>
    <t>手工具</t>
    <phoneticPr fontId="1" type="noConversion"/>
  </si>
  <si>
    <t>損益</t>
    <phoneticPr fontId="1" type="noConversion"/>
  </si>
  <si>
    <t>損益率</t>
    <phoneticPr fontId="1" type="noConversion"/>
  </si>
  <si>
    <t>成分</t>
    <phoneticPr fontId="1" type="noConversion"/>
  </si>
  <si>
    <t>持股</t>
    <phoneticPr fontId="1" type="noConversion"/>
  </si>
  <si>
    <t>類股</t>
    <phoneticPr fontId="1" type="noConversion"/>
  </si>
  <si>
    <t>買進日期</t>
    <phoneticPr fontId="1" type="noConversion"/>
  </si>
  <si>
    <t>賣出日期</t>
    <phoneticPr fontId="1" type="noConversion"/>
  </si>
  <si>
    <t>天數</t>
    <phoneticPr fontId="1" type="noConversion"/>
  </si>
  <si>
    <t>01月21年</t>
    <phoneticPr fontId="1" type="noConversion"/>
  </si>
  <si>
    <t>54.6</t>
    <phoneticPr fontId="1" type="noConversion"/>
  </si>
  <si>
    <t>金像電</t>
    <phoneticPr fontId="1" type="noConversion"/>
  </si>
  <si>
    <t>南珠</t>
    <phoneticPr fontId="1" type="noConversion"/>
  </si>
  <si>
    <t>1</t>
    <phoneticPr fontId="35" type="noConversion"/>
  </si>
  <si>
    <t>568</t>
    <phoneticPr fontId="1" type="noConversion"/>
  </si>
  <si>
    <t>統一</t>
    <phoneticPr fontId="1" type="noConversion"/>
  </si>
  <si>
    <t>8.60</t>
    <phoneticPr fontId="1" type="noConversion"/>
  </si>
  <si>
    <t>高技</t>
    <phoneticPr fontId="1" type="noConversion"/>
  </si>
  <si>
    <t>1</t>
    <phoneticPr fontId="1" type="noConversion"/>
  </si>
  <si>
    <t>49.0</t>
    <phoneticPr fontId="1" type="noConversion"/>
  </si>
  <si>
    <t>欣銓</t>
    <phoneticPr fontId="1" type="noConversion"/>
  </si>
  <si>
    <t>67.1</t>
    <phoneticPr fontId="1" type="noConversion"/>
  </si>
  <si>
    <t>頎邦</t>
    <phoneticPr fontId="1" type="noConversion"/>
  </si>
  <si>
    <t>150</t>
    <phoneticPr fontId="1" type="noConversion"/>
  </si>
  <si>
    <t>欣興</t>
    <phoneticPr fontId="1" type="noConversion"/>
  </si>
  <si>
    <t>25.2</t>
    <phoneticPr fontId="1" type="noConversion"/>
  </si>
  <si>
    <t>金居</t>
    <phoneticPr fontId="1" type="noConversion"/>
  </si>
  <si>
    <t>南珠</t>
    <phoneticPr fontId="1" type="noConversion"/>
  </si>
  <si>
    <t>1</t>
    <phoneticPr fontId="1" type="noConversion"/>
  </si>
  <si>
    <t>25.2</t>
    <phoneticPr fontId="1" type="noConversion"/>
  </si>
  <si>
    <t>日本CNC車床</t>
    <phoneticPr fontId="1" type="noConversion"/>
  </si>
  <si>
    <t>IP矽智財</t>
    <phoneticPr fontId="1" type="noConversion"/>
  </si>
  <si>
    <t>散熱1</t>
    <phoneticPr fontId="1" type="noConversion"/>
  </si>
  <si>
    <t>散熱4</t>
    <phoneticPr fontId="1" type="noConversion"/>
  </si>
  <si>
    <t>散熱5旗下富世逹軸承</t>
    <phoneticPr fontId="1" type="noConversion"/>
  </si>
  <si>
    <t>散熱6</t>
    <phoneticPr fontId="1" type="noConversion"/>
  </si>
  <si>
    <t>11.43</t>
    <phoneticPr fontId="1" type="noConversion"/>
  </si>
  <si>
    <t>21.8</t>
    <phoneticPr fontId="1" type="noConversion"/>
  </si>
  <si>
    <t>日出茶太</t>
    <phoneticPr fontId="1" type="noConversion"/>
  </si>
  <si>
    <t>法人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</si>
  <si>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</si>
  <si>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</si>
  <si>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</si>
  <si>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年</t>
    <phoneticPr fontId="1" type="noConversion"/>
  </si>
  <si>
    <t>營益率</t>
    <phoneticPr fontId="1" type="noConversion"/>
  </si>
  <si>
    <t>2.42</t>
    <phoneticPr fontId="1" type="noConversion"/>
  </si>
  <si>
    <t>44.47</t>
    <phoneticPr fontId="1" type="noConversion"/>
  </si>
  <si>
    <t>3.36</t>
    <phoneticPr fontId="1" type="noConversion"/>
  </si>
  <si>
    <t>電腦周邊</t>
    <phoneticPr fontId="1" type="noConversion"/>
  </si>
  <si>
    <t>網通線材</t>
    <phoneticPr fontId="1" type="noConversion"/>
  </si>
  <si>
    <t>二極體美國達爾大股東旗下晶圓廠亞昕</t>
    <phoneticPr fontId="1" type="noConversion"/>
  </si>
  <si>
    <t>33.33</t>
    <phoneticPr fontId="1" type="noConversion"/>
  </si>
  <si>
    <t>半導體設備真空</t>
    <phoneticPr fontId="1" type="noConversion"/>
  </si>
  <si>
    <t>IC測試</t>
    <phoneticPr fontId="1" type="noConversion"/>
  </si>
  <si>
    <t>2.91</t>
    <phoneticPr fontId="1" type="noConversion"/>
  </si>
  <si>
    <t>13.53</t>
    <phoneticPr fontId="1" type="noConversion"/>
  </si>
  <si>
    <t>58.09</t>
    <phoneticPr fontId="1" type="noConversion"/>
  </si>
  <si>
    <t>3.76</t>
    <phoneticPr fontId="1" type="noConversion"/>
  </si>
  <si>
    <t>投報率大</t>
    <phoneticPr fontId="1" type="noConversion"/>
  </si>
  <si>
    <t>現在價法</t>
    <phoneticPr fontId="1" type="noConversion"/>
  </si>
  <si>
    <t>股息券</t>
    <phoneticPr fontId="1" type="noConversion"/>
  </si>
  <si>
    <t>買賣價資</t>
    <phoneticPr fontId="1" type="noConversion"/>
  </si>
  <si>
    <t>冶金粉末件車用縫紉</t>
    <phoneticPr fontId="1" type="noConversion"/>
  </si>
  <si>
    <t>8.41</t>
    <phoneticPr fontId="1" type="noConversion"/>
  </si>
  <si>
    <t>檢測驗證</t>
    <phoneticPr fontId="1" type="noConversion"/>
  </si>
  <si>
    <t>4938</t>
    <phoneticPr fontId="1" type="noConversion"/>
  </si>
  <si>
    <t>倚強股份</t>
    <phoneticPr fontId="1" type="noConversion"/>
  </si>
  <si>
    <t>3.34</t>
    <phoneticPr fontId="1" type="noConversion"/>
  </si>
  <si>
    <t>重鵬</t>
    <phoneticPr fontId="1" type="noConversion"/>
  </si>
  <si>
    <t>2.78</t>
    <phoneticPr fontId="1" type="noConversion"/>
  </si>
  <si>
    <t>2.38</t>
    <phoneticPr fontId="1" type="noConversion"/>
  </si>
  <si>
    <t>3.26</t>
    <phoneticPr fontId="1" type="noConversion"/>
  </si>
  <si>
    <t>9.88</t>
    <phoneticPr fontId="1" type="noConversion"/>
  </si>
  <si>
    <t>進泰電子</t>
    <phoneticPr fontId="1" type="noConversion"/>
  </si>
  <si>
    <t>4.88</t>
    <phoneticPr fontId="1" type="noConversion"/>
  </si>
  <si>
    <t>華盈</t>
    <phoneticPr fontId="1" type="noConversion"/>
  </si>
  <si>
    <t>4.75</t>
    <phoneticPr fontId="1" type="noConversion"/>
  </si>
  <si>
    <t>7.11</t>
    <phoneticPr fontId="1" type="noConversion"/>
  </si>
  <si>
    <t>5.37</t>
    <phoneticPr fontId="1" type="noConversion"/>
  </si>
  <si>
    <t>5.00</t>
    <phoneticPr fontId="1" type="noConversion"/>
  </si>
  <si>
    <t>詠昇</t>
    <phoneticPr fontId="1" type="noConversion"/>
  </si>
  <si>
    <t>能率網通</t>
    <phoneticPr fontId="1" type="noConversion"/>
  </si>
  <si>
    <t>4.03</t>
    <phoneticPr fontId="1" type="noConversion"/>
  </si>
  <si>
    <t>永利聯合</t>
    <phoneticPr fontId="1" type="noConversion"/>
  </si>
  <si>
    <t>3.54</t>
    <phoneticPr fontId="1" type="noConversion"/>
  </si>
  <si>
    <t>3.70</t>
    <phoneticPr fontId="1" type="noConversion"/>
  </si>
  <si>
    <t>3.08</t>
    <phoneticPr fontId="1" type="noConversion"/>
  </si>
  <si>
    <t>10.9</t>
    <phoneticPr fontId="1" type="noConversion"/>
  </si>
  <si>
    <t>4.40</t>
    <phoneticPr fontId="1" type="noConversion"/>
  </si>
  <si>
    <t>7.12</t>
    <phoneticPr fontId="1" type="noConversion"/>
  </si>
  <si>
    <t>新盛力</t>
    <phoneticPr fontId="1" type="noConversion"/>
  </si>
  <si>
    <t>鋰電池模組</t>
    <phoneticPr fontId="1" type="noConversion"/>
  </si>
  <si>
    <t>3.72</t>
    <phoneticPr fontId="1" type="noConversion"/>
  </si>
  <si>
    <t>11.2</t>
    <phoneticPr fontId="1" type="noConversion"/>
  </si>
  <si>
    <t>POS刷卡機</t>
    <phoneticPr fontId="1" type="noConversion"/>
  </si>
  <si>
    <t>7.35</t>
    <phoneticPr fontId="1" type="noConversion"/>
  </si>
  <si>
    <t>1.93</t>
    <phoneticPr fontId="1" type="noConversion"/>
  </si>
  <si>
    <t>4.45</t>
    <phoneticPr fontId="1" type="noConversion"/>
  </si>
  <si>
    <t>2.60</t>
    <phoneticPr fontId="1" type="noConversion"/>
  </si>
  <si>
    <t>6.43</t>
    <phoneticPr fontId="1" type="noConversion"/>
  </si>
  <si>
    <t>大詠城</t>
    <phoneticPr fontId="1" type="noConversion"/>
  </si>
  <si>
    <t>工具機鑄件</t>
    <phoneticPr fontId="1" type="noConversion"/>
  </si>
  <si>
    <t>易發</t>
    <phoneticPr fontId="1" type="noConversion"/>
  </si>
  <si>
    <t>7.85</t>
    <phoneticPr fontId="1" type="noConversion"/>
  </si>
  <si>
    <t>8.89</t>
    <phoneticPr fontId="1" type="noConversion"/>
  </si>
  <si>
    <t>4.46</t>
    <phoneticPr fontId="1" type="noConversion"/>
  </si>
  <si>
    <t>4.83</t>
    <phoneticPr fontId="1" type="noConversion"/>
  </si>
  <si>
    <t>蛋白質藥晟德旗下</t>
    <phoneticPr fontId="1" type="noConversion"/>
  </si>
  <si>
    <t>5.45</t>
    <phoneticPr fontId="1" type="noConversion"/>
  </si>
  <si>
    <t>9.22</t>
    <phoneticPr fontId="1" type="noConversion"/>
  </si>
  <si>
    <t>7.74</t>
    <phoneticPr fontId="1" type="noConversion"/>
  </si>
  <si>
    <t>慕康生醫</t>
    <phoneticPr fontId="1" type="noConversion"/>
  </si>
  <si>
    <t>南良</t>
    <phoneticPr fontId="1" type="noConversion"/>
  </si>
  <si>
    <t>新華</t>
    <phoneticPr fontId="1" type="noConversion"/>
  </si>
  <si>
    <t>醫材代理</t>
    <phoneticPr fontId="1" type="noConversion"/>
  </si>
  <si>
    <t>特殊紡織品</t>
    <phoneticPr fontId="1" type="noConversion"/>
  </si>
  <si>
    <t>芝麻街英語</t>
    <phoneticPr fontId="1" type="noConversion"/>
  </si>
  <si>
    <t>6.11</t>
    <phoneticPr fontId="1" type="noConversion"/>
  </si>
  <si>
    <t>SONY.SHARP代理</t>
    <phoneticPr fontId="1" type="noConversion"/>
  </si>
  <si>
    <t>6.48</t>
    <phoneticPr fontId="1" type="noConversion"/>
  </si>
  <si>
    <t>7.83</t>
    <phoneticPr fontId="1" type="noConversion"/>
  </si>
  <si>
    <t>昇益</t>
    <phoneticPr fontId="1" type="noConversion"/>
  </si>
  <si>
    <t>建材買賣</t>
    <phoneticPr fontId="1" type="noConversion"/>
  </si>
  <si>
    <t>桓鼎KY</t>
    <phoneticPr fontId="1" type="noConversion"/>
  </si>
  <si>
    <t>金屬建材</t>
    <phoneticPr fontId="1" type="noConversion"/>
  </si>
  <si>
    <t>3.20</t>
    <phoneticPr fontId="1" type="noConversion"/>
  </si>
  <si>
    <t>連鎖餐飲</t>
    <phoneticPr fontId="1" type="noConversion"/>
  </si>
  <si>
    <t>CAD繪圖軟體</t>
    <phoneticPr fontId="1" type="noConversion"/>
  </si>
  <si>
    <t>叡揚</t>
    <phoneticPr fontId="1" type="noConversion"/>
  </si>
  <si>
    <t>地心引力</t>
    <phoneticPr fontId="1" type="noConversion"/>
  </si>
  <si>
    <t>手機遊戲</t>
    <phoneticPr fontId="1" type="noConversion"/>
  </si>
  <si>
    <t>15.2</t>
    <phoneticPr fontId="1" type="noConversion"/>
  </si>
  <si>
    <t>9.40</t>
    <phoneticPr fontId="1" type="noConversion"/>
  </si>
  <si>
    <t>9.30</t>
    <phoneticPr fontId="1" type="noConversion"/>
  </si>
  <si>
    <t>20.2</t>
    <phoneticPr fontId="1" type="noConversion"/>
  </si>
  <si>
    <t>8.81</t>
    <phoneticPr fontId="1" type="noConversion"/>
  </si>
  <si>
    <t>24.6</t>
    <phoneticPr fontId="1" type="noConversion"/>
  </si>
  <si>
    <t>元翎</t>
    <phoneticPr fontId="1" type="noConversion"/>
  </si>
  <si>
    <t>高壓鋼瓶</t>
    <phoneticPr fontId="1" type="noConversion"/>
  </si>
  <si>
    <t>7.51</t>
    <phoneticPr fontId="1" type="noConversion"/>
  </si>
  <si>
    <t>大宗物資</t>
    <phoneticPr fontId="1" type="noConversion"/>
  </si>
  <si>
    <t>6.08</t>
    <phoneticPr fontId="1" type="noConversion"/>
  </si>
  <si>
    <t>6.60</t>
    <phoneticPr fontId="1" type="noConversion"/>
  </si>
  <si>
    <t>4.95</t>
    <phoneticPr fontId="1" type="noConversion"/>
  </si>
  <si>
    <t>業旺</t>
    <phoneticPr fontId="1" type="noConversion"/>
  </si>
  <si>
    <t>羽絨服</t>
    <phoneticPr fontId="1" type="noConversion"/>
  </si>
  <si>
    <t>6.68</t>
    <phoneticPr fontId="1" type="noConversion"/>
  </si>
  <si>
    <t>三地開發</t>
    <phoneticPr fontId="1" type="noConversion"/>
  </si>
  <si>
    <t>153</t>
    <phoneticPr fontId="1" type="noConversion"/>
  </si>
  <si>
    <t>35.2</t>
    <phoneticPr fontId="1" type="noConversion"/>
  </si>
  <si>
    <t>大陸房地產日月光轉投資</t>
    <phoneticPr fontId="1" type="noConversion"/>
  </si>
  <si>
    <t>營造潤泰旗下</t>
    <phoneticPr fontId="1" type="noConversion"/>
  </si>
  <si>
    <t>營造冠德旗下</t>
    <phoneticPr fontId="1" type="noConversion"/>
  </si>
  <si>
    <t>建商帝寶宏泰旗下</t>
    <phoneticPr fontId="1" type="noConversion"/>
  </si>
  <si>
    <t>5.31</t>
    <phoneticPr fontId="1" type="noConversion"/>
  </si>
  <si>
    <t>車用導線架同業順德</t>
    <phoneticPr fontId="1" type="noConversion"/>
  </si>
  <si>
    <t>MCU封測力成投資</t>
    <phoneticPr fontId="1" type="noConversion"/>
  </si>
  <si>
    <t>MCU封測華新麗華旗下</t>
    <phoneticPr fontId="1" type="noConversion"/>
  </si>
  <si>
    <t>MCU封測聯電旗下</t>
    <phoneticPr fontId="1" type="noConversion"/>
  </si>
  <si>
    <t>2.09</t>
    <phoneticPr fontId="1" type="noConversion"/>
  </si>
  <si>
    <t>2.87</t>
    <phoneticPr fontId="1" type="noConversion"/>
  </si>
  <si>
    <t>-0.3</t>
    <phoneticPr fontId="1" type="noConversion"/>
  </si>
  <si>
    <t>1.05</t>
    <phoneticPr fontId="1" type="noConversion"/>
  </si>
  <si>
    <t>7.77</t>
    <phoneticPr fontId="1" type="noConversion"/>
  </si>
  <si>
    <t>-1.77</t>
    <phoneticPr fontId="1" type="noConversion"/>
  </si>
  <si>
    <t>-3.81</t>
    <phoneticPr fontId="1" type="noConversion"/>
  </si>
  <si>
    <t>2.21</t>
    <phoneticPr fontId="1" type="noConversion"/>
  </si>
  <si>
    <t>4.43</t>
    <phoneticPr fontId="1" type="noConversion"/>
  </si>
  <si>
    <t>0.3</t>
    <phoneticPr fontId="1" type="noConversion"/>
  </si>
  <si>
    <t>0.4</t>
    <phoneticPr fontId="1" type="noConversion"/>
  </si>
  <si>
    <t>10.79</t>
    <phoneticPr fontId="1" type="noConversion"/>
  </si>
  <si>
    <t>-1.11</t>
    <phoneticPr fontId="1" type="noConversion"/>
  </si>
  <si>
    <t>14.33</t>
    <phoneticPr fontId="1" type="noConversion"/>
  </si>
  <si>
    <t>25.98</t>
    <phoneticPr fontId="1" type="noConversion"/>
  </si>
  <si>
    <t>17.84</t>
    <phoneticPr fontId="1" type="noConversion"/>
  </si>
  <si>
    <t>半導</t>
    <phoneticPr fontId="1" type="noConversion"/>
  </si>
  <si>
    <t>現在價</t>
    <phoneticPr fontId="1" type="noConversion"/>
  </si>
  <si>
    <t>ASIC比特幣</t>
    <phoneticPr fontId="1" type="noConversion"/>
  </si>
  <si>
    <t>龍門機CNC</t>
    <phoneticPr fontId="1" type="noConversion"/>
  </si>
  <si>
    <t>聯德控股KY</t>
    <phoneticPr fontId="1" type="noConversion"/>
  </si>
  <si>
    <t>污水處理海水淡化</t>
    <phoneticPr fontId="1" type="noConversion"/>
  </si>
  <si>
    <t>貴金屬再生</t>
    <phoneticPr fontId="1" type="noConversion"/>
  </si>
  <si>
    <t>Type-C MacPro SD</t>
    <phoneticPr fontId="1" type="noConversion"/>
  </si>
  <si>
    <t>574</t>
    <phoneticPr fontId="1" type="noConversion"/>
  </si>
  <si>
    <t>台橡</t>
    <phoneticPr fontId="1" type="noConversion"/>
  </si>
  <si>
    <t>02月21年</t>
    <phoneticPr fontId="1" type="noConversion"/>
  </si>
  <si>
    <t>-0.7</t>
    <phoneticPr fontId="1" type="noConversion"/>
  </si>
  <si>
    <t>-2.42</t>
    <phoneticPr fontId="1" type="noConversion"/>
  </si>
  <si>
    <t>6.72</t>
    <phoneticPr fontId="1" type="noConversion"/>
  </si>
  <si>
    <t>-1.08</t>
    <phoneticPr fontId="1" type="noConversion"/>
  </si>
  <si>
    <t>2.68</t>
    <phoneticPr fontId="1" type="noConversion"/>
  </si>
  <si>
    <t>7.5</t>
    <phoneticPr fontId="1" type="noConversion"/>
  </si>
  <si>
    <t>2.9</t>
    <phoneticPr fontId="1" type="noConversion"/>
  </si>
  <si>
    <t>無塵室海水淡化</t>
    <phoneticPr fontId="1" type="noConversion"/>
  </si>
  <si>
    <t>5.69</t>
    <phoneticPr fontId="1" type="noConversion"/>
  </si>
  <si>
    <t>-0.52</t>
    <phoneticPr fontId="1" type="noConversion"/>
  </si>
  <si>
    <t>高球桿頭4雄</t>
    <phoneticPr fontId="1" type="noConversion"/>
  </si>
  <si>
    <t>記憶體IC VR商機</t>
    <phoneticPr fontId="1" type="noConversion"/>
  </si>
  <si>
    <t>音效IC VR商機</t>
    <phoneticPr fontId="1" type="noConversion"/>
  </si>
  <si>
    <t>測試設備電動車3雄</t>
    <phoneticPr fontId="1" type="noConversion"/>
  </si>
  <si>
    <t>03月21年</t>
    <phoneticPr fontId="1" type="noConversion"/>
  </si>
  <si>
    <t>紅外線量測</t>
    <phoneticPr fontId="1" type="noConversion"/>
  </si>
  <si>
    <t>封測矽格旗下比特幣概念</t>
    <phoneticPr fontId="1" type="noConversion"/>
  </si>
  <si>
    <t>熱交換器 綠色氫氣</t>
    <phoneticPr fontId="1" type="noConversion"/>
  </si>
  <si>
    <t>電源供應器金仁寶旗下 綠色氫氣</t>
    <phoneticPr fontId="1" type="noConversion"/>
  </si>
  <si>
    <t>遊戲雙雄</t>
    <phoneticPr fontId="1" type="noConversion"/>
  </si>
  <si>
    <t>23.02</t>
    <phoneticPr fontId="1" type="noConversion"/>
  </si>
  <si>
    <t>4.92</t>
    <phoneticPr fontId="1" type="noConversion"/>
  </si>
  <si>
    <t>92.3</t>
    <phoneticPr fontId="1" type="noConversion"/>
  </si>
  <si>
    <t>保護元件3大廠</t>
    <phoneticPr fontId="1" type="noConversion"/>
  </si>
  <si>
    <t>保護元件3大廠保險絲</t>
    <phoneticPr fontId="1" type="noConversion"/>
  </si>
  <si>
    <t>統計</t>
    <phoneticPr fontId="1" type="noConversion"/>
  </si>
  <si>
    <t>直得、訊聯、世德、台星科、家登、聿新科、光明、永捷、達威、三聯、晉泰、保瑞、</t>
    <phoneticPr fontId="1" type="noConversion"/>
  </si>
  <si>
    <t>長科、英格爾、駿吉-KY、東凌-KY、VHQ-KY、特昇-KY等 18 家。</t>
  </si>
  <si>
    <t>台積電、晶電、晶華、光寶科、昆盈、光群雷、閎暉、敦泰、三福化、傳奇、華興、</t>
    <phoneticPr fontId="1" type="noConversion"/>
  </si>
  <si>
    <t>宏正科、興富發、聯德控股-KY、福貞-KY、波力-KY、泰昇-KY等 17 家。</t>
  </si>
  <si>
    <t>幸福、上曜、宏州、宜進、寶隆、榮成、南港、國巨、精英、華邦電、所羅門、虹光、浩鑫、鼎元、可成、瑞軒、皇普、</t>
    <phoneticPr fontId="1" type="noConversion"/>
  </si>
  <si>
    <t>聯邦銀、和鑫、正達、玉晶光、牧德、碩天、如興、</t>
    <phoneticPr fontId="1" type="noConversion"/>
  </si>
  <si>
    <t>低檔爆量打不下去是好事。高檔爆量留實體黑K或上引線。出貨意謂濃厚。</t>
    <phoneticPr fontId="1" type="noConversion"/>
  </si>
  <si>
    <t>左右手做量。製造買盤氣氛。順便嘎前些日子卷單。往後幾個交易日。</t>
  </si>
  <si>
    <t>2.長黑趕底破底翻：一般出現在第一種情況之後，</t>
    <phoneticPr fontId="1" type="noConversion"/>
  </si>
  <si>
    <t>底部出現一根超長的帶量長黑，把最後還抱希望的人全部洗光。之後才開始緩步走揚。</t>
  </si>
  <si>
    <t>3.日出東方，長紅突破：也是第一種情況之後，在底部出現一根超級帶量長紅。</t>
    <phoneticPr fontId="1" type="noConversion"/>
  </si>
  <si>
    <t>正式宣告空頭結束。之後量能逐步放大開始下一波多頭。</t>
  </si>
  <si>
    <t>QQ號</t>
    <phoneticPr fontId="1" type="noConversion"/>
  </si>
  <si>
    <t>XQ帳號</t>
    <phoneticPr fontId="1" type="noConversion"/>
  </si>
  <si>
    <t>sukibayashi/第一珠/華南斌</t>
    <phoneticPr fontId="1" type="noConversion"/>
  </si>
  <si>
    <t>buffettdong/第一斌/華南珠</t>
    <phoneticPr fontId="1" type="noConversion"/>
  </si>
  <si>
    <t>鋼鐵</t>
    <phoneticPr fontId="1" type="noConversion"/>
  </si>
  <si>
    <t>展碁國際</t>
    <phoneticPr fontId="1" type="noConversion"/>
  </si>
  <si>
    <t>AES-KY</t>
    <phoneticPr fontId="1" type="noConversion"/>
  </si>
  <si>
    <t>股息</t>
    <phoneticPr fontId="1" type="noConversion"/>
  </si>
  <si>
    <t>費稅</t>
    <phoneticPr fontId="1" type="noConversion"/>
  </si>
  <si>
    <t>獲利</t>
    <phoneticPr fontId="1" type="noConversion"/>
  </si>
  <si>
    <t>179.2</t>
    <phoneticPr fontId="1" type="noConversion"/>
  </si>
  <si>
    <t>8.54</t>
    <phoneticPr fontId="1" type="noConversion"/>
  </si>
  <si>
    <t>鋰電池模組新普旗下</t>
    <phoneticPr fontId="1" type="noConversion"/>
  </si>
  <si>
    <t>0981189079</t>
    <phoneticPr fontId="1" type="noConversion"/>
  </si>
  <si>
    <t>0960900916</t>
    <phoneticPr fontId="1" type="noConversion"/>
  </si>
  <si>
    <t>0960905918</t>
    <phoneticPr fontId="1" type="noConversion"/>
  </si>
  <si>
    <t>0916009079</t>
    <phoneticPr fontId="1" type="noConversion"/>
  </si>
  <si>
    <t>東</t>
    <phoneticPr fontId="1" type="noConversion"/>
  </si>
  <si>
    <t>buffettju/華南博/華南斌</t>
    <phoneticPr fontId="1" type="noConversion"/>
  </si>
  <si>
    <t>生日</t>
    <phoneticPr fontId="1" type="noConversion"/>
  </si>
  <si>
    <t>長榮鋼</t>
    <phoneticPr fontId="1" type="noConversion"/>
  </si>
  <si>
    <t>鋼結構長榮旗下</t>
    <phoneticPr fontId="1" type="noConversion"/>
  </si>
  <si>
    <t>33.81</t>
    <phoneticPr fontId="1" type="noConversion"/>
  </si>
  <si>
    <t>台燿</t>
    <phoneticPr fontId="1" type="noConversion"/>
  </si>
  <si>
    <t>1</t>
    <phoneticPr fontId="1" type="noConversion"/>
  </si>
  <si>
    <t>67.1</t>
    <phoneticPr fontId="1" type="noConversion"/>
  </si>
  <si>
    <t>頎邦</t>
    <phoneticPr fontId="1" type="noConversion"/>
  </si>
  <si>
    <t>26.7</t>
    <phoneticPr fontId="1" type="noConversion"/>
  </si>
  <si>
    <t>台燿</t>
    <phoneticPr fontId="1" type="noConversion"/>
  </si>
  <si>
    <t>宏捷科</t>
    <phoneticPr fontId="1" type="noConversion"/>
  </si>
  <si>
    <t>3</t>
    <phoneticPr fontId="1" type="noConversion"/>
  </si>
  <si>
    <t>03月21年</t>
    <phoneticPr fontId="1" type="noConversion"/>
  </si>
  <si>
    <t>16.9</t>
    <phoneticPr fontId="1" type="noConversion"/>
  </si>
  <si>
    <t>宣德</t>
    <phoneticPr fontId="1" type="noConversion"/>
  </si>
  <si>
    <t>南珠</t>
    <phoneticPr fontId="1" type="noConversion"/>
  </si>
  <si>
    <t>1</t>
    <phoneticPr fontId="35" type="noConversion"/>
  </si>
  <si>
    <t>19.9</t>
    <phoneticPr fontId="1" type="noConversion"/>
  </si>
  <si>
    <t>9.27</t>
    <phoneticPr fontId="1" type="noConversion"/>
  </si>
  <si>
    <t>8.36</t>
    <phoneticPr fontId="1" type="noConversion"/>
  </si>
  <si>
    <t>8.51</t>
    <phoneticPr fontId="1" type="noConversion"/>
  </si>
  <si>
    <t>568</t>
    <phoneticPr fontId="1" type="noConversion"/>
  </si>
  <si>
    <t>統一</t>
    <phoneticPr fontId="1" type="noConversion"/>
  </si>
  <si>
    <t>0.59</t>
    <phoneticPr fontId="35" type="noConversion"/>
  </si>
  <si>
    <t>0.44</t>
    <phoneticPr fontId="35" type="noConversion"/>
  </si>
  <si>
    <t>0.29</t>
    <phoneticPr fontId="35" type="noConversion"/>
  </si>
  <si>
    <t>0.73</t>
    <phoneticPr fontId="35" type="noConversion"/>
  </si>
  <si>
    <t>82.5</t>
    <phoneticPr fontId="1" type="noConversion"/>
  </si>
  <si>
    <t>台橡</t>
    <phoneticPr fontId="1" type="noConversion"/>
  </si>
  <si>
    <t>1.83</t>
    <phoneticPr fontId="1" type="noConversion"/>
  </si>
  <si>
    <t>橡膠</t>
    <phoneticPr fontId="1" type="noConversion"/>
  </si>
  <si>
    <t>瑞軒</t>
    <phoneticPr fontId="1" type="noConversion"/>
  </si>
  <si>
    <t>-39.08</t>
    <phoneticPr fontId="1" type="noConversion"/>
  </si>
  <si>
    <t>瑞軒</t>
    <phoneticPr fontId="1" type="noConversion"/>
  </si>
  <si>
    <t>南斌</t>
    <phoneticPr fontId="1" type="noConversion"/>
  </si>
  <si>
    <t>-5.7</t>
    <phoneticPr fontId="1" type="noConversion"/>
  </si>
  <si>
    <t>-0.93</t>
    <phoneticPr fontId="1" type="noConversion"/>
  </si>
  <si>
    <t>15.38</t>
    <phoneticPr fontId="1" type="noConversion"/>
  </si>
  <si>
    <t>15.91</t>
    <phoneticPr fontId="1" type="noConversion"/>
  </si>
  <si>
    <t>5</t>
    <phoneticPr fontId="1" type="noConversion"/>
  </si>
  <si>
    <t>16.44</t>
    <phoneticPr fontId="1" type="noConversion"/>
  </si>
  <si>
    <t>瑞軒</t>
    <phoneticPr fontId="1" type="noConversion"/>
  </si>
  <si>
    <t>南斌</t>
    <phoneticPr fontId="1" type="noConversion"/>
  </si>
  <si>
    <t>1</t>
    <phoneticPr fontId="1" type="noConversion"/>
  </si>
  <si>
    <t>19.16</t>
    <phoneticPr fontId="1" type="noConversion"/>
  </si>
  <si>
    <t>19.72</t>
    <phoneticPr fontId="1" type="noConversion"/>
  </si>
  <si>
    <t>67.1</t>
    <phoneticPr fontId="1" type="noConversion"/>
  </si>
  <si>
    <t>頎邦</t>
    <phoneticPr fontId="1" type="noConversion"/>
  </si>
  <si>
    <t>4.38</t>
    <phoneticPr fontId="1" type="noConversion"/>
  </si>
  <si>
    <t>南珠</t>
    <phoneticPr fontId="1" type="noConversion"/>
  </si>
  <si>
    <t>0.26</t>
    <phoneticPr fontId="1" type="noConversion"/>
  </si>
  <si>
    <t>178.8</t>
    <phoneticPr fontId="1" type="noConversion"/>
  </si>
  <si>
    <t>04月21年</t>
    <phoneticPr fontId="1" type="noConversion"/>
  </si>
  <si>
    <t>手機</t>
    <phoneticPr fontId="1" type="noConversion"/>
  </si>
  <si>
    <t>天方能源</t>
    <phoneticPr fontId="1" type="noConversion"/>
  </si>
  <si>
    <t>太陽能電廠</t>
    <phoneticPr fontId="1" type="noConversion"/>
  </si>
  <si>
    <t>13.82</t>
    <phoneticPr fontId="1" type="noConversion"/>
  </si>
  <si>
    <t>8.99</t>
    <phoneticPr fontId="1" type="noConversion"/>
  </si>
  <si>
    <t>1.65</t>
    <phoneticPr fontId="1" type="noConversion"/>
  </si>
  <si>
    <t>-3.55</t>
    <phoneticPr fontId="1" type="noConversion"/>
  </si>
  <si>
    <t>-8.97</t>
    <phoneticPr fontId="1" type="noConversion"/>
  </si>
  <si>
    <t>1.29</t>
    <phoneticPr fontId="1" type="noConversion"/>
  </si>
  <si>
    <t>12.15</t>
    <phoneticPr fontId="1" type="noConversion"/>
  </si>
  <si>
    <t>7.72</t>
    <phoneticPr fontId="1" type="noConversion"/>
  </si>
  <si>
    <t>土地開發</t>
    <phoneticPr fontId="1" type="noConversion"/>
  </si>
  <si>
    <t>9.22</t>
    <phoneticPr fontId="1" type="noConversion"/>
  </si>
  <si>
    <t>73.9</t>
    <phoneticPr fontId="1" type="noConversion"/>
  </si>
  <si>
    <t>51.03</t>
    <phoneticPr fontId="1" type="noConversion"/>
  </si>
  <si>
    <t>紡織</t>
    <phoneticPr fontId="1" type="noConversion"/>
  </si>
  <si>
    <t>大億金茂</t>
    <phoneticPr fontId="1" type="noConversion"/>
  </si>
  <si>
    <t>25.44</t>
    <phoneticPr fontId="1" type="noConversion"/>
  </si>
  <si>
    <t>10.65</t>
    <phoneticPr fontId="1" type="noConversion"/>
  </si>
  <si>
    <t>TSE</t>
    <phoneticPr fontId="1" type="noConversion"/>
  </si>
  <si>
    <t>加權指</t>
    <phoneticPr fontId="1" type="noConversion"/>
  </si>
  <si>
    <t>SAR</t>
    <phoneticPr fontId="1" type="noConversion"/>
  </si>
  <si>
    <t>OTC</t>
    <phoneticPr fontId="1" type="noConversion"/>
  </si>
  <si>
    <t>櫃買指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</si>
  <si>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</si>
  <si>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</si>
  <si>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</si>
  <si>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</si>
  <si>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</si>
  <si>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</si>
  <si>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持股</t>
    <phoneticPr fontId="1" type="noConversion"/>
  </si>
  <si>
    <t>損益</t>
    <phoneticPr fontId="1" type="noConversion"/>
  </si>
  <si>
    <t>損益率</t>
    <phoneticPr fontId="1" type="noConversion"/>
  </si>
  <si>
    <t>和碩</t>
    <phoneticPr fontId="1" type="noConversion"/>
  </si>
  <si>
    <t>南橋</t>
    <phoneticPr fontId="1" type="noConversion"/>
  </si>
  <si>
    <t>期</t>
    <phoneticPr fontId="1" type="noConversion"/>
  </si>
  <si>
    <t>持股</t>
    <phoneticPr fontId="1" type="noConversion"/>
  </si>
  <si>
    <t>大戶</t>
    <phoneticPr fontId="1" type="noConversion"/>
  </si>
  <si>
    <t>天數</t>
    <phoneticPr fontId="1" type="noConversion"/>
  </si>
  <si>
    <t>-0.28</t>
    <phoneticPr fontId="1" type="noConversion"/>
  </si>
  <si>
    <t>2</t>
    <phoneticPr fontId="1" type="noConversion"/>
  </si>
  <si>
    <t>-51.64</t>
    <phoneticPr fontId="1" type="noConversion"/>
  </si>
  <si>
    <t>-34.15</t>
    <phoneticPr fontId="1" type="noConversion"/>
  </si>
  <si>
    <t>-14.44</t>
    <phoneticPr fontId="1" type="noConversion"/>
  </si>
  <si>
    <t>-10.74</t>
    <phoneticPr fontId="1" type="noConversion"/>
  </si>
  <si>
    <t>266</t>
    <phoneticPr fontId="1" type="noConversion"/>
  </si>
  <si>
    <t>統一實</t>
    <phoneticPr fontId="1" type="noConversion"/>
  </si>
  <si>
    <t>南博</t>
    <phoneticPr fontId="1" type="noConversion"/>
  </si>
  <si>
    <t>4</t>
    <phoneticPr fontId="1" type="noConversion"/>
  </si>
  <si>
    <t>中華化</t>
    <phoneticPr fontId="1" type="noConversion"/>
  </si>
  <si>
    <t>18.9</t>
    <phoneticPr fontId="1" type="noConversion"/>
  </si>
  <si>
    <t>泰鼎KY</t>
    <phoneticPr fontId="1" type="noConversion"/>
  </si>
  <si>
    <t>26.9</t>
    <phoneticPr fontId="1" type="noConversion"/>
  </si>
  <si>
    <t>精誠</t>
    <phoneticPr fontId="1" type="noConversion"/>
  </si>
  <si>
    <t>電腦Win 10</t>
    <phoneticPr fontId="1" type="noConversion"/>
  </si>
  <si>
    <t>浪凡</t>
    <phoneticPr fontId="1" type="noConversion"/>
  </si>
  <si>
    <t>億麗</t>
    <phoneticPr fontId="1" type="noConversion"/>
  </si>
  <si>
    <t>志強KY</t>
    <phoneticPr fontId="1" type="noConversion"/>
  </si>
  <si>
    <t>足球鞋</t>
    <phoneticPr fontId="1" type="noConversion"/>
  </si>
  <si>
    <t>-10.51</t>
    <phoneticPr fontId="1" type="noConversion"/>
  </si>
  <si>
    <t>0.92</t>
    <phoneticPr fontId="1" type="noConversion"/>
  </si>
  <si>
    <t>9.96</t>
    <phoneticPr fontId="1" type="noConversion"/>
  </si>
  <si>
    <t>10.42</t>
    <phoneticPr fontId="1" type="noConversion"/>
  </si>
  <si>
    <t>造船</t>
    <phoneticPr fontId="1" type="noConversion"/>
  </si>
  <si>
    <t>電通</t>
    <phoneticPr fontId="1" type="noConversion"/>
  </si>
  <si>
    <t>76.83</t>
    <phoneticPr fontId="1" type="noConversion"/>
  </si>
  <si>
    <t>13.16</t>
    <phoneticPr fontId="1" type="noConversion"/>
  </si>
  <si>
    <t>11.48</t>
    <phoneticPr fontId="1" type="noConversion"/>
  </si>
  <si>
    <t>1.66</t>
    <phoneticPr fontId="1" type="noConversion"/>
  </si>
  <si>
    <t>3.81</t>
    <phoneticPr fontId="1" type="noConversion"/>
  </si>
  <si>
    <t>-10.17</t>
    <phoneticPr fontId="1" type="noConversion"/>
  </si>
  <si>
    <t>1.95</t>
    <phoneticPr fontId="1" type="noConversion"/>
  </si>
  <si>
    <t>0.81</t>
    <phoneticPr fontId="1" type="noConversion"/>
  </si>
  <si>
    <t>1.79</t>
    <phoneticPr fontId="1" type="noConversion"/>
  </si>
  <si>
    <t>-0.12</t>
    <phoneticPr fontId="1" type="noConversion"/>
  </si>
  <si>
    <t>月營收每月10日前</t>
    <phoneticPr fontId="1" type="noConversion"/>
  </si>
  <si>
    <t>去年度和第四季3月31日前</t>
    <phoneticPr fontId="1" type="noConversion"/>
  </si>
  <si>
    <t>第一季5月15日前</t>
    <phoneticPr fontId="1" type="noConversion"/>
  </si>
  <si>
    <t>第二季8月14日前</t>
    <phoneticPr fontId="1" type="noConversion"/>
  </si>
  <si>
    <t>第三季11月14日前</t>
    <phoneticPr fontId="1" type="noConversion"/>
  </si>
  <si>
    <t>生醫指</t>
    <phoneticPr fontId="1" type="noConversion"/>
  </si>
  <si>
    <t>臺慶科</t>
    <phoneticPr fontId="1" type="noConversion"/>
  </si>
  <si>
    <t>電感股王</t>
    <phoneticPr fontId="1" type="noConversion"/>
  </si>
  <si>
    <t>單腳島狀反轉通常一波到頂，抱緊</t>
    <phoneticPr fontId="1" type="noConversion"/>
  </si>
  <si>
    <t>量騙不了人</t>
    <phoneticPr fontId="1" type="noConversion"/>
  </si>
  <si>
    <t>2個跳空缺口，算強勢反彈，不用考慮量的問題</t>
    <phoneticPr fontId="1" type="noConversion"/>
  </si>
  <si>
    <t>勤凱</t>
    <phoneticPr fontId="1" type="noConversion"/>
  </si>
  <si>
    <t>0.15</t>
    <phoneticPr fontId="1" type="noConversion"/>
  </si>
  <si>
    <t>-3.05</t>
    <phoneticPr fontId="1" type="noConversion"/>
  </si>
  <si>
    <t>9.43</t>
    <phoneticPr fontId="1" type="noConversion"/>
  </si>
  <si>
    <t>金融指</t>
    <phoneticPr fontId="1" type="noConversion"/>
  </si>
  <si>
    <t>13.96</t>
    <phoneticPr fontId="1" type="noConversion"/>
  </si>
  <si>
    <t>14.44</t>
    <phoneticPr fontId="1" type="noConversion"/>
  </si>
  <si>
    <t>11.96</t>
    <phoneticPr fontId="1" type="noConversion"/>
  </si>
  <si>
    <t>15.36</t>
    <phoneticPr fontId="1" type="noConversion"/>
  </si>
  <si>
    <t>1.49</t>
    <phoneticPr fontId="1" type="noConversion"/>
  </si>
  <si>
    <t>-0.17</t>
    <phoneticPr fontId="1" type="noConversion"/>
  </si>
  <si>
    <t>0.67</t>
    <phoneticPr fontId="1" type="noConversion"/>
  </si>
  <si>
    <t>2.18</t>
    <phoneticPr fontId="1" type="noConversion"/>
  </si>
  <si>
    <t>9.12</t>
    <phoneticPr fontId="1" type="noConversion"/>
  </si>
  <si>
    <t>6.63</t>
    <phoneticPr fontId="1" type="noConversion"/>
  </si>
  <si>
    <t>63.06</t>
    <phoneticPr fontId="1" type="noConversion"/>
  </si>
  <si>
    <t>26.5</t>
    <phoneticPr fontId="1" type="noConversion"/>
  </si>
  <si>
    <t>面板設備對手迅得</t>
    <phoneticPr fontId="1" type="noConversion"/>
  </si>
  <si>
    <t>非金電</t>
    <phoneticPr fontId="1" type="noConversion"/>
  </si>
  <si>
    <t>-1.87</t>
    <phoneticPr fontId="1" type="noConversion"/>
  </si>
  <si>
    <t>不鏽鋼管</t>
    <phoneticPr fontId="1" type="noConversion"/>
  </si>
  <si>
    <t>不鏽鋼緊固件</t>
    <phoneticPr fontId="1" type="noConversion"/>
  </si>
  <si>
    <t>水泥和信旗下</t>
    <phoneticPr fontId="1" type="noConversion"/>
  </si>
  <si>
    <t>水泥遠東旗下</t>
    <phoneticPr fontId="1" type="noConversion"/>
  </si>
  <si>
    <t>石膏板</t>
    <phoneticPr fontId="1" type="noConversion"/>
  </si>
  <si>
    <t>貨櫃</t>
    <phoneticPr fontId="1" type="noConversion"/>
  </si>
  <si>
    <t>航運遠東旗下</t>
    <phoneticPr fontId="1" type="noConversion"/>
  </si>
  <si>
    <t>貨櫃運輸倉儲長榮旗下</t>
    <phoneticPr fontId="1" type="noConversion"/>
  </si>
  <si>
    <t>貨運嘉里物流最大股東</t>
    <phoneticPr fontId="1" type="noConversion"/>
  </si>
  <si>
    <t>航空</t>
    <phoneticPr fontId="1" type="noConversion"/>
  </si>
  <si>
    <t>散裝航運中航大股東</t>
    <phoneticPr fontId="1" type="noConversion"/>
  </si>
  <si>
    <t>航空公司長榮旗下</t>
    <phoneticPr fontId="1" type="noConversion"/>
  </si>
  <si>
    <t>盈4</t>
    <phoneticPr fontId="1" type="noConversion"/>
  </si>
  <si>
    <t>48.59</t>
    <phoneticPr fontId="1" type="noConversion"/>
  </si>
  <si>
    <t>直播平台</t>
    <phoneticPr fontId="1" type="noConversion"/>
  </si>
  <si>
    <t>46.08</t>
    <phoneticPr fontId="1" type="noConversion"/>
  </si>
  <si>
    <t>05月21年</t>
    <phoneticPr fontId="1" type="noConversion"/>
  </si>
  <si>
    <t>銅箔基板4大</t>
    <phoneticPr fontId="1" type="noConversion"/>
  </si>
  <si>
    <t>建商興富發旗下</t>
    <phoneticPr fontId="1" type="noConversion"/>
  </si>
  <si>
    <t>N</t>
    <phoneticPr fontId="1" type="noConversion"/>
  </si>
  <si>
    <t>39.2</t>
    <phoneticPr fontId="1" type="noConversion"/>
  </si>
  <si>
    <t>42.8</t>
    <phoneticPr fontId="1" type="noConversion"/>
  </si>
  <si>
    <t>記憶體封測結盟頎邦</t>
    <phoneticPr fontId="1" type="noConversion"/>
  </si>
  <si>
    <t>9033bin</t>
    <phoneticPr fontId="1" type="noConversion"/>
  </si>
  <si>
    <t>2.72</t>
    <phoneticPr fontId="1" type="noConversion"/>
  </si>
  <si>
    <t>天</t>
    <phoneticPr fontId="1" type="noConversion"/>
  </si>
  <si>
    <t>16.18</t>
    <phoneticPr fontId="1" type="noConversion"/>
  </si>
  <si>
    <t>11.67</t>
    <phoneticPr fontId="1" type="noConversion"/>
  </si>
  <si>
    <t>11.23</t>
    <phoneticPr fontId="1" type="noConversion"/>
  </si>
  <si>
    <t>11.16</t>
    <phoneticPr fontId="1" type="noConversion"/>
  </si>
  <si>
    <t>9.28</t>
    <phoneticPr fontId="1" type="noConversion"/>
  </si>
  <si>
    <t>10.94</t>
    <phoneticPr fontId="1" type="noConversion"/>
  </si>
  <si>
    <t>5.2</t>
    <phoneticPr fontId="1" type="noConversion"/>
  </si>
  <si>
    <t>5.9</t>
    <phoneticPr fontId="1" type="noConversion"/>
  </si>
  <si>
    <t>6</t>
    <phoneticPr fontId="1" type="noConversion"/>
  </si>
  <si>
    <t>5.24</t>
    <phoneticPr fontId="1" type="noConversion"/>
  </si>
  <si>
    <t>4.07</t>
    <phoneticPr fontId="1" type="noConversion"/>
  </si>
  <si>
    <t>榮科</t>
    <phoneticPr fontId="1" type="noConversion"/>
  </si>
  <si>
    <t>銅箔榮化轉投資</t>
    <phoneticPr fontId="1" type="noConversion"/>
  </si>
  <si>
    <t>14.79</t>
    <phoneticPr fontId="1" type="noConversion"/>
  </si>
  <si>
    <t>14.77</t>
    <phoneticPr fontId="1" type="noConversion"/>
  </si>
  <si>
    <t>-11.84</t>
    <phoneticPr fontId="1" type="noConversion"/>
  </si>
  <si>
    <t>87.43</t>
    <phoneticPr fontId="1" type="noConversion"/>
  </si>
  <si>
    <t>0.49</t>
    <phoneticPr fontId="1" type="noConversion"/>
  </si>
  <si>
    <t>0.65</t>
    <phoneticPr fontId="1" type="noConversion"/>
  </si>
  <si>
    <t>1.61</t>
    <phoneticPr fontId="1" type="noConversion"/>
  </si>
  <si>
    <t>2.49</t>
    <phoneticPr fontId="1" type="noConversion"/>
  </si>
  <si>
    <t>1.07</t>
    <phoneticPr fontId="1" type="noConversion"/>
  </si>
  <si>
    <t>-1.92</t>
    <phoneticPr fontId="1" type="noConversion"/>
  </si>
  <si>
    <t>-1.93</t>
    <phoneticPr fontId="1" type="noConversion"/>
  </si>
  <si>
    <t>20.16</t>
    <phoneticPr fontId="1" type="noConversion"/>
  </si>
  <si>
    <t>2.62</t>
    <phoneticPr fontId="1" type="noConversion"/>
  </si>
  <si>
    <t>0.33</t>
    <phoneticPr fontId="1" type="noConversion"/>
  </si>
  <si>
    <t>1.51</t>
    <phoneticPr fontId="1" type="noConversion"/>
  </si>
  <si>
    <t>-2.21</t>
    <phoneticPr fontId="1" type="noConversion"/>
  </si>
  <si>
    <t>16.56</t>
    <phoneticPr fontId="1" type="noConversion"/>
  </si>
  <si>
    <t>IP台積電旗下</t>
    <phoneticPr fontId="1" type="noConversion"/>
  </si>
  <si>
    <t>2.74</t>
    <phoneticPr fontId="1" type="noConversion"/>
  </si>
  <si>
    <t>1.45</t>
    <phoneticPr fontId="1" type="noConversion"/>
  </si>
  <si>
    <t>0.99</t>
    <phoneticPr fontId="1" type="noConversion"/>
  </si>
  <si>
    <t>1.21</t>
    <phoneticPr fontId="1" type="noConversion"/>
  </si>
  <si>
    <t>-1.66</t>
    <phoneticPr fontId="1" type="noConversion"/>
  </si>
  <si>
    <t>1.35</t>
    <phoneticPr fontId="1" type="noConversion"/>
  </si>
  <si>
    <t>-2.0</t>
    <phoneticPr fontId="1" type="noConversion"/>
  </si>
  <si>
    <t>漲停</t>
    <phoneticPr fontId="1" type="noConversion"/>
  </si>
  <si>
    <t>汽車輪圈</t>
    <phoneticPr fontId="1" type="noConversion"/>
  </si>
  <si>
    <t>電子指</t>
    <phoneticPr fontId="1" type="noConversion"/>
  </si>
  <si>
    <t>咖啡紗防護衣</t>
    <phoneticPr fontId="1" type="noConversion"/>
  </si>
  <si>
    <t>40.0</t>
    <phoneticPr fontId="1" type="noConversion"/>
  </si>
  <si>
    <t>0.53</t>
    <phoneticPr fontId="1" type="noConversion"/>
  </si>
  <si>
    <t>塑膠</t>
    <phoneticPr fontId="1" type="noConversion"/>
  </si>
  <si>
    <t>91APPKY</t>
    <phoneticPr fontId="1" type="noConversion"/>
  </si>
  <si>
    <t>總數</t>
    <phoneticPr fontId="1" type="noConversion"/>
  </si>
  <si>
    <t>長短織布防護衣遠東旗下</t>
    <phoneticPr fontId="1" type="noConversion"/>
  </si>
  <si>
    <t>成衣防護衣</t>
    <phoneticPr fontId="1" type="noConversion"/>
  </si>
  <si>
    <t>2.32</t>
    <phoneticPr fontId="1" type="noConversion"/>
  </si>
  <si>
    <t>24.3</t>
    <phoneticPr fontId="1" type="noConversion"/>
  </si>
  <si>
    <t>5.6</t>
    <phoneticPr fontId="1" type="noConversion"/>
  </si>
  <si>
    <t>新零售服務</t>
    <phoneticPr fontId="1" type="noConversion"/>
  </si>
  <si>
    <t>526</t>
    <phoneticPr fontId="1" type="noConversion"/>
  </si>
  <si>
    <t>平均交易額</t>
    <phoneticPr fontId="1" type="noConversion"/>
  </si>
  <si>
    <t>券資比</t>
    <phoneticPr fontId="1" type="noConversion"/>
  </si>
  <si>
    <t>大</t>
    <phoneticPr fontId="1" type="noConversion"/>
  </si>
  <si>
    <t>8.45</t>
    <phoneticPr fontId="1" type="noConversion"/>
  </si>
  <si>
    <t>3.49</t>
    <phoneticPr fontId="1" type="noConversion"/>
  </si>
  <si>
    <t>7.81</t>
    <phoneticPr fontId="1" type="noConversion"/>
  </si>
  <si>
    <t>-4.35</t>
    <phoneticPr fontId="1" type="noConversion"/>
  </si>
  <si>
    <t>06月21年</t>
    <phoneticPr fontId="1" type="noConversion"/>
  </si>
  <si>
    <t>109.2</t>
    <phoneticPr fontId="1" type="noConversion"/>
  </si>
  <si>
    <t>2.70</t>
    <phoneticPr fontId="1" type="noConversion"/>
  </si>
  <si>
    <t>車用沖壓件日本</t>
    <phoneticPr fontId="1" type="noConversion"/>
  </si>
  <si>
    <t>21.92</t>
    <phoneticPr fontId="1" type="noConversion"/>
  </si>
  <si>
    <t>0.83</t>
    <phoneticPr fontId="1" type="noConversion"/>
  </si>
  <si>
    <t>IKKA-KY</t>
    <phoneticPr fontId="1" type="noConversion"/>
  </si>
  <si>
    <t>18.34</t>
    <phoneticPr fontId="1" type="noConversion"/>
  </si>
  <si>
    <t>機能布醫療氣墊逃生滑梯</t>
    <phoneticPr fontId="1" type="noConversion"/>
  </si>
  <si>
    <t>-45.35</t>
    <phoneticPr fontId="1" type="noConversion"/>
  </si>
  <si>
    <t>-33.94</t>
    <phoneticPr fontId="1" type="noConversion"/>
  </si>
  <si>
    <t>他電</t>
    <phoneticPr fontId="1" type="noConversion"/>
  </si>
  <si>
    <t>-3.38</t>
    <phoneticPr fontId="1" type="noConversion"/>
  </si>
  <si>
    <t>電機</t>
    <phoneticPr fontId="1" type="noConversion"/>
  </si>
  <si>
    <t>漲在題材、盤在營收、跌在盈餘</t>
    <phoneticPr fontId="1" type="noConversion"/>
  </si>
  <si>
    <t>10.28</t>
    <phoneticPr fontId="1" type="noConversion"/>
  </si>
  <si>
    <t>庫存</t>
    <phoneticPr fontId="1" type="noConversion"/>
  </si>
  <si>
    <t>25.19</t>
    <phoneticPr fontId="1" type="noConversion"/>
  </si>
  <si>
    <t>預估量</t>
    <phoneticPr fontId="1" type="noConversion"/>
  </si>
  <si>
    <t>耳機TWS</t>
    <phoneticPr fontId="1" type="noConversion"/>
  </si>
  <si>
    <t>07月21年</t>
    <phoneticPr fontId="1" type="noConversion"/>
  </si>
  <si>
    <t>華南銀行珠</t>
    <phoneticPr fontId="1" type="noConversion"/>
  </si>
  <si>
    <t>華南銀行斌</t>
    <phoneticPr fontId="1" type="noConversion"/>
  </si>
  <si>
    <t>7月29日除息</t>
    <phoneticPr fontId="1" type="noConversion"/>
  </si>
  <si>
    <t>7月6日除息</t>
    <phoneticPr fontId="1" type="noConversion"/>
  </si>
  <si>
    <t>28.4</t>
    <phoneticPr fontId="1" type="noConversion"/>
  </si>
  <si>
    <t>導線架Tesla</t>
    <phoneticPr fontId="1" type="noConversion"/>
  </si>
  <si>
    <t>16.69</t>
    <phoneticPr fontId="1" type="noConversion"/>
  </si>
  <si>
    <t>16.46</t>
    <phoneticPr fontId="1" type="noConversion"/>
  </si>
  <si>
    <t>27.93</t>
    <phoneticPr fontId="1" type="noConversion"/>
  </si>
  <si>
    <t>15.61</t>
    <phoneticPr fontId="1" type="noConversion"/>
  </si>
  <si>
    <t>同買</t>
    <phoneticPr fontId="1" type="noConversion"/>
  </si>
  <si>
    <t>同賣</t>
    <phoneticPr fontId="1" type="noConversion"/>
  </si>
  <si>
    <t>-35.9</t>
    <phoneticPr fontId="1" type="noConversion"/>
  </si>
  <si>
    <t>349</t>
    <phoneticPr fontId="1" type="noConversion"/>
  </si>
  <si>
    <t>GMAIL帳號</t>
    <phoneticPr fontId="1" type="noConversion"/>
  </si>
  <si>
    <t>pandong0428</t>
    <phoneticPr fontId="1" type="noConversion"/>
  </si>
  <si>
    <t>密碼</t>
    <phoneticPr fontId="1" type="noConversion"/>
  </si>
  <si>
    <t>pan04280428</t>
    <phoneticPr fontId="1" type="noConversion"/>
  </si>
  <si>
    <t>23.36</t>
    <phoneticPr fontId="1" type="noConversion"/>
  </si>
  <si>
    <t>263</t>
    <phoneticPr fontId="1" type="noConversion"/>
  </si>
  <si>
    <t>3.87</t>
    <phoneticPr fontId="1" type="noConversion"/>
  </si>
  <si>
    <t>微星</t>
    <phoneticPr fontId="1" type="noConversion"/>
  </si>
  <si>
    <t>16G八核</t>
    <phoneticPr fontId="1" type="noConversion"/>
  </si>
  <si>
    <t>AMD3700X</t>
    <phoneticPr fontId="1" type="noConversion"/>
  </si>
  <si>
    <t>凌陽創新</t>
    <phoneticPr fontId="1" type="noConversion"/>
  </si>
  <si>
    <t>MCU網路攝影機晶片凌陽旗下</t>
    <phoneticPr fontId="1" type="noConversion"/>
  </si>
  <si>
    <t>N</t>
    <phoneticPr fontId="1" type="noConversion"/>
  </si>
  <si>
    <t>19.24</t>
    <phoneticPr fontId="1" type="noConversion"/>
  </si>
  <si>
    <t>22.77</t>
    <phoneticPr fontId="1" type="noConversion"/>
  </si>
  <si>
    <t>529</t>
    <phoneticPr fontId="1" type="noConversion"/>
  </si>
  <si>
    <t>54.64</t>
    <phoneticPr fontId="1" type="noConversion"/>
  </si>
  <si>
    <t>組件</t>
    <phoneticPr fontId="1" type="noConversion"/>
  </si>
  <si>
    <t>24.14</t>
    <phoneticPr fontId="1" type="noConversion"/>
  </si>
  <si>
    <t>40.31</t>
    <phoneticPr fontId="1" type="noConversion"/>
  </si>
  <si>
    <t>50.59</t>
    <phoneticPr fontId="1" type="noConversion"/>
  </si>
  <si>
    <t>11.33</t>
    <phoneticPr fontId="1" type="noConversion"/>
  </si>
  <si>
    <t>安格</t>
    <phoneticPr fontId="1" type="noConversion"/>
  </si>
  <si>
    <t>視訊晶片安國旗下</t>
    <phoneticPr fontId="1" type="noConversion"/>
  </si>
  <si>
    <t>08月21年</t>
    <phoneticPr fontId="1" type="noConversion"/>
  </si>
  <si>
    <t>ptt帳號</t>
    <phoneticPr fontId="1" type="noConversion"/>
  </si>
  <si>
    <t>hanna711</t>
    <phoneticPr fontId="1" type="noConversion"/>
  </si>
  <si>
    <t>ju54193806</t>
    <phoneticPr fontId="1" type="noConversion"/>
  </si>
  <si>
    <t>密碼</t>
    <phoneticPr fontId="1" type="noConversion"/>
  </si>
  <si>
    <t>長榮集團旗下</t>
    <phoneticPr fontId="1" type="noConversion"/>
  </si>
  <si>
    <t>15.10</t>
    <phoneticPr fontId="1" type="noConversion"/>
  </si>
  <si>
    <t>28.97</t>
    <phoneticPr fontId="1" type="noConversion"/>
  </si>
  <si>
    <t>5.75</t>
    <phoneticPr fontId="1" type="noConversion"/>
  </si>
  <si>
    <t>7.10</t>
    <phoneticPr fontId="1" type="noConversion"/>
  </si>
  <si>
    <t>餐飲用品貿易商</t>
    <phoneticPr fontId="1" type="noConversion"/>
  </si>
  <si>
    <t>2.45</t>
    <phoneticPr fontId="1" type="noConversion"/>
  </si>
  <si>
    <t>-2.50</t>
    <phoneticPr fontId="1" type="noConversion"/>
  </si>
  <si>
    <t>4.57</t>
    <phoneticPr fontId="1" type="noConversion"/>
  </si>
  <si>
    <t>28.6</t>
    <phoneticPr fontId="1" type="noConversion"/>
  </si>
  <si>
    <t>3.90</t>
    <phoneticPr fontId="1" type="noConversion"/>
  </si>
  <si>
    <t>3.91</t>
    <phoneticPr fontId="1" type="noConversion"/>
  </si>
  <si>
    <t>M800</t>
    <phoneticPr fontId="1" type="noConversion"/>
  </si>
  <si>
    <t>CZ75</t>
    <phoneticPr fontId="1" type="noConversion"/>
  </si>
  <si>
    <t>44 AUTOMAG</t>
    <phoneticPr fontId="1" type="noConversion"/>
  </si>
  <si>
    <t>Y</t>
    <phoneticPr fontId="1" type="noConversion"/>
  </si>
  <si>
    <t>KP85 RUGER</t>
    <phoneticPr fontId="1" type="noConversion"/>
  </si>
  <si>
    <t>48.04</t>
    <phoneticPr fontId="1" type="noConversion"/>
  </si>
  <si>
    <t>顯示器驅動IC鴻海旗下</t>
    <phoneticPr fontId="1" type="noConversion"/>
  </si>
  <si>
    <t>造紙</t>
    <phoneticPr fontId="1" type="noConversion"/>
  </si>
  <si>
    <t>外盤</t>
    <phoneticPr fontId="1" type="noConversion"/>
  </si>
  <si>
    <t>主力</t>
    <phoneticPr fontId="1" type="noConversion"/>
  </si>
  <si>
    <t>零組件</t>
    <phoneticPr fontId="1" type="noConversion"/>
  </si>
  <si>
    <t>人造化纖EG</t>
    <phoneticPr fontId="1" type="noConversion"/>
  </si>
  <si>
    <t>14.53</t>
    <phoneticPr fontId="1" type="noConversion"/>
  </si>
  <si>
    <t>38.3</t>
    <phoneticPr fontId="1" type="noConversion"/>
  </si>
  <si>
    <t>5.56</t>
    <phoneticPr fontId="1" type="noConversion"/>
  </si>
  <si>
    <t>10.85</t>
    <phoneticPr fontId="1" type="noConversion"/>
  </si>
  <si>
    <t>八方雲集</t>
    <phoneticPr fontId="1" type="noConversion"/>
  </si>
  <si>
    <t>N</t>
    <phoneticPr fontId="1" type="noConversion"/>
  </si>
  <si>
    <t>非金電</t>
    <phoneticPr fontId="1" type="noConversion"/>
  </si>
  <si>
    <t>7.4</t>
    <phoneticPr fontId="1" type="noConversion"/>
  </si>
  <si>
    <t>強勢股、出量出價，必出行情</t>
    <phoneticPr fontId="1" type="noConversion"/>
  </si>
  <si>
    <t>3天2缺口的強勢走勢</t>
    <phoneticPr fontId="1" type="noConversion"/>
  </si>
  <si>
    <t>09月21年</t>
    <phoneticPr fontId="1" type="noConversion"/>
  </si>
  <si>
    <t>8.3</t>
    <phoneticPr fontId="1" type="noConversion"/>
  </si>
  <si>
    <t>19.21</t>
    <phoneticPr fontId="1" type="noConversion"/>
  </si>
  <si>
    <t>20.1</t>
    <phoneticPr fontId="1" type="noConversion"/>
  </si>
  <si>
    <t>69.4</t>
    <phoneticPr fontId="1" type="noConversion"/>
  </si>
  <si>
    <t>244</t>
    <phoneticPr fontId="1" type="noConversion"/>
  </si>
  <si>
    <t>25.45</t>
    <phoneticPr fontId="1" type="noConversion"/>
  </si>
  <si>
    <t>7.59</t>
    <phoneticPr fontId="1" type="noConversion"/>
  </si>
  <si>
    <t>29.63</t>
    <phoneticPr fontId="1" type="noConversion"/>
  </si>
  <si>
    <t>9.65</t>
    <phoneticPr fontId="1" type="noConversion"/>
  </si>
  <si>
    <t>18.92</t>
    <phoneticPr fontId="1" type="noConversion"/>
  </si>
  <si>
    <t>19.58</t>
    <phoneticPr fontId="1" type="noConversion"/>
  </si>
  <si>
    <t>15.23</t>
    <phoneticPr fontId="1" type="noConversion"/>
  </si>
  <si>
    <t>資訊</t>
    <phoneticPr fontId="1" type="noConversion"/>
  </si>
  <si>
    <t>3.74</t>
    <phoneticPr fontId="1" type="noConversion"/>
  </si>
  <si>
    <t>6.80</t>
    <phoneticPr fontId="1" type="noConversion"/>
  </si>
  <si>
    <t>22.6</t>
    <phoneticPr fontId="1" type="noConversion"/>
  </si>
  <si>
    <t>8.57</t>
    <phoneticPr fontId="1" type="noConversion"/>
  </si>
  <si>
    <t>成衣代工Wal-mart</t>
    <phoneticPr fontId="1" type="noConversion"/>
  </si>
  <si>
    <t>永豐實</t>
    <phoneticPr fontId="1" type="noConversion"/>
  </si>
  <si>
    <t>N</t>
    <phoneticPr fontId="1" type="noConversion"/>
  </si>
  <si>
    <t>家庭用紙</t>
    <phoneticPr fontId="1" type="noConversion"/>
  </si>
  <si>
    <t>華景電</t>
    <phoneticPr fontId="1" type="noConversion"/>
  </si>
  <si>
    <t>晶圓設備</t>
    <phoneticPr fontId="1" type="noConversion"/>
  </si>
  <si>
    <t>1.70</t>
    <phoneticPr fontId="1" type="noConversion"/>
  </si>
  <si>
    <t>季線</t>
    <phoneticPr fontId="1" type="noConversion"/>
  </si>
  <si>
    <t>合計</t>
    <phoneticPr fontId="1" type="noConversion"/>
  </si>
  <si>
    <t>SIG P228</t>
    <phoneticPr fontId="1" type="noConversion"/>
  </si>
  <si>
    <t xml:space="preserve">COLT M1911A </t>
    <phoneticPr fontId="1" type="noConversion"/>
  </si>
  <si>
    <t>COLT DOUBLE EAGLE</t>
    <phoneticPr fontId="1" type="noConversion"/>
  </si>
  <si>
    <t>S &amp; W PC365</t>
    <phoneticPr fontId="1" type="noConversion"/>
  </si>
  <si>
    <t xml:space="preserve">HK USP </t>
    <phoneticPr fontId="1" type="noConversion"/>
  </si>
  <si>
    <t>HK MK23</t>
    <phoneticPr fontId="1" type="noConversion"/>
  </si>
  <si>
    <t xml:space="preserve">GLOCK 17L HG </t>
    <phoneticPr fontId="1" type="noConversion"/>
  </si>
  <si>
    <t>GLOCK 17 HG</t>
    <phoneticPr fontId="1" type="noConversion"/>
  </si>
  <si>
    <t xml:space="preserve">HK P7M13 </t>
    <phoneticPr fontId="1" type="noConversion"/>
  </si>
  <si>
    <t>3.0</t>
    <phoneticPr fontId="1" type="noConversion"/>
  </si>
  <si>
    <t>鋁電池盒客戶福斯敏實集團旗下</t>
    <phoneticPr fontId="1" type="noConversion"/>
  </si>
  <si>
    <t>33.56</t>
    <phoneticPr fontId="1" type="noConversion"/>
  </si>
  <si>
    <t>振宇五金</t>
    <phoneticPr fontId="1" type="noConversion"/>
  </si>
  <si>
    <t>五金賣場</t>
    <phoneticPr fontId="1" type="noConversion"/>
  </si>
  <si>
    <t>Goole</t>
    <phoneticPr fontId="1" type="noConversion"/>
  </si>
  <si>
    <t>Apple東</t>
    <phoneticPr fontId="1" type="noConversion"/>
  </si>
  <si>
    <t>Apple珠</t>
    <phoneticPr fontId="1" type="noConversion"/>
  </si>
  <si>
    <t>Pan04280428</t>
    <phoneticPr fontId="1" type="noConversion"/>
  </si>
  <si>
    <t>robertpandong@icloud.com</t>
    <phoneticPr fontId="1" type="noConversion"/>
  </si>
  <si>
    <t>secretshop@163.com</t>
    <phoneticPr fontId="1" type="noConversion"/>
  </si>
  <si>
    <t>JUDY54186755a</t>
    <phoneticPr fontId="1" type="noConversion"/>
  </si>
  <si>
    <t>2020/1/20起開始建立XQ新聞資料</t>
    <phoneticPr fontId="1" type="noConversion"/>
  </si>
  <si>
    <t>2021/8/18起開始建立主力買進資料</t>
    <phoneticPr fontId="1" type="noConversion"/>
  </si>
  <si>
    <t>9.47</t>
    <phoneticPr fontId="1" type="noConversion"/>
  </si>
  <si>
    <t>9.41</t>
    <phoneticPr fontId="1" type="noConversion"/>
  </si>
  <si>
    <t>珠</t>
    <phoneticPr fontId="1" type="noConversion"/>
  </si>
  <si>
    <t>25.48</t>
    <phoneticPr fontId="1" type="noConversion"/>
  </si>
  <si>
    <t>0.29</t>
    <phoneticPr fontId="1" type="noConversion"/>
  </si>
  <si>
    <t>-2.63</t>
    <phoneticPr fontId="1" type="noConversion"/>
  </si>
  <si>
    <t>54.8</t>
    <phoneticPr fontId="1" type="noConversion"/>
  </si>
  <si>
    <t>7.31</t>
    <phoneticPr fontId="1" type="noConversion"/>
  </si>
  <si>
    <t>8.98</t>
    <phoneticPr fontId="1" type="noConversion"/>
  </si>
  <si>
    <t>54.0</t>
    <phoneticPr fontId="1" type="noConversion"/>
  </si>
  <si>
    <t>12</t>
    <phoneticPr fontId="1" type="noConversion"/>
  </si>
  <si>
    <t>15.88</t>
    <phoneticPr fontId="1" type="noConversion"/>
  </si>
  <si>
    <t>0.12</t>
    <phoneticPr fontId="1" type="noConversion"/>
  </si>
  <si>
    <t>8.85</t>
    <phoneticPr fontId="1" type="noConversion"/>
  </si>
  <si>
    <t>Loss aversion損失趨避心裡</t>
    <phoneticPr fontId="1" type="noConversion"/>
  </si>
  <si>
    <t>更愛避免損失，而非追求獲利</t>
    <phoneticPr fontId="1" type="noConversion"/>
  </si>
  <si>
    <t>5.89</t>
    <phoneticPr fontId="1" type="noConversion"/>
  </si>
  <si>
    <t>-2.5</t>
    <phoneticPr fontId="1" type="noConversion"/>
  </si>
  <si>
    <t>7.92</t>
    <phoneticPr fontId="1" type="noConversion"/>
  </si>
  <si>
    <t>帳號</t>
    <phoneticPr fontId="1" type="noConversion"/>
  </si>
  <si>
    <t>密碼</t>
    <phoneticPr fontId="1" type="noConversion"/>
  </si>
  <si>
    <t>JUDY54186755a</t>
    <phoneticPr fontId="1" type="noConversion"/>
  </si>
  <si>
    <t>手機號</t>
    <phoneticPr fontId="1" type="noConversion"/>
  </si>
  <si>
    <t>富途牛牛</t>
    <phoneticPr fontId="1" type="noConversion"/>
  </si>
  <si>
    <t>0050</t>
    <phoneticPr fontId="1" type="noConversion"/>
  </si>
  <si>
    <t>台灣50</t>
    <phoneticPr fontId="1" type="noConversion"/>
  </si>
  <si>
    <t>40.63</t>
    <phoneticPr fontId="1" type="noConversion"/>
  </si>
  <si>
    <t>1180</t>
    <phoneticPr fontId="1" type="noConversion"/>
  </si>
  <si>
    <t>145</t>
    <phoneticPr fontId="1" type="noConversion"/>
  </si>
  <si>
    <t>10月21年</t>
    <phoneticPr fontId="1" type="noConversion"/>
  </si>
  <si>
    <t>3.47</t>
    <phoneticPr fontId="1" type="noConversion"/>
  </si>
  <si>
    <t>16.49</t>
    <phoneticPr fontId="1" type="noConversion"/>
  </si>
  <si>
    <t>全訊</t>
    <phoneticPr fontId="1" type="noConversion"/>
  </si>
  <si>
    <t>宜新實業</t>
    <phoneticPr fontId="1" type="noConversion"/>
  </si>
  <si>
    <t>14.9</t>
    <phoneticPr fontId="1" type="noConversion"/>
  </si>
  <si>
    <t>200</t>
    <phoneticPr fontId="1" type="noConversion"/>
  </si>
  <si>
    <t>功率放大器</t>
    <phoneticPr fontId="1" type="noConversion"/>
  </si>
  <si>
    <t>彈性紗</t>
    <phoneticPr fontId="1" type="noConversion"/>
  </si>
  <si>
    <t>N</t>
    <phoneticPr fontId="1" type="noConversion"/>
  </si>
  <si>
    <t>華南期貨</t>
    <phoneticPr fontId="1" type="noConversion"/>
  </si>
  <si>
    <t>9.23</t>
    <phoneticPr fontId="1" type="noConversion"/>
  </si>
  <si>
    <t>31.67</t>
    <phoneticPr fontId="1" type="noConversion"/>
  </si>
  <si>
    <t>電器</t>
    <phoneticPr fontId="1" type="noConversion"/>
  </si>
  <si>
    <t>4.87</t>
    <phoneticPr fontId="1" type="noConversion"/>
  </si>
  <si>
    <t>18.25</t>
    <phoneticPr fontId="1" type="noConversion"/>
  </si>
  <si>
    <t>33.02</t>
    <phoneticPr fontId="1" type="noConversion"/>
  </si>
  <si>
    <t>24.96</t>
    <phoneticPr fontId="1" type="noConversion"/>
  </si>
  <si>
    <t>34.33</t>
    <phoneticPr fontId="1" type="noConversion"/>
  </si>
  <si>
    <t>12.98</t>
    <phoneticPr fontId="1" type="noConversion"/>
  </si>
  <si>
    <t>13.33</t>
    <phoneticPr fontId="1" type="noConversion"/>
  </si>
  <si>
    <t>73.22</t>
    <phoneticPr fontId="1" type="noConversion"/>
  </si>
  <si>
    <t>15.79</t>
    <phoneticPr fontId="1" type="noConversion"/>
  </si>
  <si>
    <t>7.75</t>
    <phoneticPr fontId="1" type="noConversion"/>
  </si>
  <si>
    <t>穩得</t>
    <phoneticPr fontId="1" type="noConversion"/>
  </si>
  <si>
    <t>EMC電磁相容</t>
    <phoneticPr fontId="1" type="noConversion"/>
  </si>
  <si>
    <t>10.89</t>
    <phoneticPr fontId="1" type="noConversion"/>
  </si>
  <si>
    <t>太陽能4大模組</t>
  </si>
  <si>
    <t>45.18</t>
    <phoneticPr fontId="1" type="noConversion"/>
  </si>
  <si>
    <t>森崴能源</t>
    <phoneticPr fontId="1" type="noConversion"/>
  </si>
  <si>
    <t>能源工程正崴旗下</t>
    <phoneticPr fontId="1" type="noConversion"/>
  </si>
  <si>
    <t>3.75</t>
    <phoneticPr fontId="1" type="noConversion"/>
  </si>
  <si>
    <t>醫美醫藥採購</t>
    <phoneticPr fontId="1" type="noConversion"/>
  </si>
  <si>
    <t>142.6</t>
    <phoneticPr fontId="1" type="noConversion"/>
  </si>
  <si>
    <t>64.5</t>
    <phoneticPr fontId="1" type="noConversion"/>
  </si>
  <si>
    <t>5.34</t>
    <phoneticPr fontId="1" type="noConversion"/>
  </si>
  <si>
    <t>12.07</t>
    <phoneticPr fontId="1" type="noConversion"/>
  </si>
  <si>
    <t>三商家購</t>
    <phoneticPr fontId="1" type="noConversion"/>
  </si>
  <si>
    <t>超市三商旗下</t>
    <phoneticPr fontId="1" type="noConversion"/>
  </si>
  <si>
    <t>-0.22</t>
    <phoneticPr fontId="1" type="noConversion"/>
  </si>
  <si>
    <t>2.39</t>
    <phoneticPr fontId="1" type="noConversion"/>
  </si>
  <si>
    <t>72.78</t>
    <phoneticPr fontId="1" type="noConversion"/>
  </si>
  <si>
    <t>81.84</t>
    <phoneticPr fontId="1" type="noConversion"/>
  </si>
  <si>
    <t>電競周邊</t>
    <phoneticPr fontId="1" type="noConversion"/>
  </si>
  <si>
    <t>大城地產</t>
    <phoneticPr fontId="1" type="noConversion"/>
  </si>
  <si>
    <t>全聯福利卡號</t>
    <phoneticPr fontId="1" type="noConversion"/>
  </si>
  <si>
    <t>1999001645938590</t>
    <phoneticPr fontId="1" type="noConversion"/>
  </si>
  <si>
    <t>2021//11/24新聞主力改為累積數據</t>
    <phoneticPr fontId="1" type="noConversion"/>
  </si>
  <si>
    <t>力積電</t>
    <phoneticPr fontId="1" type="noConversion"/>
  </si>
  <si>
    <t>2.86</t>
    <phoneticPr fontId="1" type="noConversion"/>
  </si>
  <si>
    <t>-36.07</t>
    <phoneticPr fontId="1" type="noConversion"/>
  </si>
  <si>
    <t>新低量必有新低價</t>
    <phoneticPr fontId="1" type="noConversion"/>
  </si>
  <si>
    <t>詠業</t>
    <phoneticPr fontId="1" type="noConversion"/>
  </si>
  <si>
    <t>4.27</t>
    <phoneticPr fontId="1" type="noConversion"/>
  </si>
  <si>
    <t>天線陶瓷元件達方旗下</t>
    <phoneticPr fontId="1" type="noConversion"/>
  </si>
  <si>
    <t>5大泛用樹脂台聚旗下</t>
    <phoneticPr fontId="1" type="noConversion"/>
  </si>
  <si>
    <t>5大泛用樹脂台塑集團</t>
    <phoneticPr fontId="1" type="noConversion"/>
  </si>
  <si>
    <t>5大泛用樹脂轉投資台氯</t>
    <phoneticPr fontId="1" type="noConversion"/>
  </si>
  <si>
    <t>5大泛用樹脂</t>
  </si>
  <si>
    <t>5大泛用樹脂</t>
    <phoneticPr fontId="1" type="noConversion"/>
  </si>
  <si>
    <t>5大泛用樹脂台塑旗下</t>
    <phoneticPr fontId="1" type="noConversion"/>
  </si>
  <si>
    <t>1.84</t>
    <phoneticPr fontId="1" type="noConversion"/>
  </si>
  <si>
    <t>4.01</t>
    <phoneticPr fontId="1" type="noConversion"/>
  </si>
  <si>
    <t>天線保護元件衛星華新旗下</t>
    <phoneticPr fontId="1" type="noConversion"/>
  </si>
  <si>
    <t>17.01</t>
    <phoneticPr fontId="1" type="noConversion"/>
  </si>
  <si>
    <t>19.23</t>
    <phoneticPr fontId="1" type="noConversion"/>
  </si>
  <si>
    <t>21.74</t>
    <phoneticPr fontId="1" type="noConversion"/>
  </si>
  <si>
    <t>9.05</t>
    <phoneticPr fontId="1" type="noConversion"/>
  </si>
  <si>
    <t>飯店日月潭溫泉</t>
    <phoneticPr fontId="1" type="noConversion"/>
  </si>
  <si>
    <t>準</t>
    <phoneticPr fontId="1" type="noConversion"/>
  </si>
  <si>
    <t>資</t>
    <phoneticPr fontId="1" type="noConversion"/>
  </si>
  <si>
    <t>外</t>
    <phoneticPr fontId="1" type="noConversion"/>
  </si>
  <si>
    <t>自</t>
    <phoneticPr fontId="1" type="noConversion"/>
  </si>
  <si>
    <t>投</t>
    <phoneticPr fontId="1" type="noConversion"/>
  </si>
  <si>
    <t>6.88</t>
    <phoneticPr fontId="1" type="noConversion"/>
  </si>
  <si>
    <t>52.17</t>
    <phoneticPr fontId="1" type="noConversion"/>
  </si>
  <si>
    <t>富消息</t>
    <phoneticPr fontId="1" type="noConversion"/>
  </si>
  <si>
    <t>富股3消</t>
    <phoneticPr fontId="1" type="noConversion"/>
  </si>
  <si>
    <t>國股3消</t>
    <phoneticPr fontId="1" type="noConversion"/>
  </si>
  <si>
    <t>國消息</t>
    <phoneticPr fontId="1" type="noConversion"/>
  </si>
  <si>
    <t>-8.32</t>
    <phoneticPr fontId="1" type="noConversion"/>
  </si>
  <si>
    <t>104.1</t>
    <phoneticPr fontId="1" type="noConversion"/>
  </si>
  <si>
    <t>22.15</t>
    <phoneticPr fontId="1" type="noConversion"/>
  </si>
  <si>
    <t>1.0</t>
    <phoneticPr fontId="1" type="noConversion"/>
  </si>
  <si>
    <t>上品</t>
    <phoneticPr fontId="1" type="noConversion"/>
  </si>
  <si>
    <t>378</t>
    <phoneticPr fontId="1" type="noConversion"/>
  </si>
  <si>
    <t>9.00</t>
    <phoneticPr fontId="1" type="noConversion"/>
  </si>
  <si>
    <t>元股3消</t>
    <phoneticPr fontId="1" type="noConversion"/>
  </si>
  <si>
    <t>453</t>
    <phoneticPr fontId="1" type="noConversion"/>
  </si>
  <si>
    <t>籌碼內</t>
    <phoneticPr fontId="1" type="noConversion"/>
  </si>
  <si>
    <t>大戶增減1%用星星</t>
    <phoneticPr fontId="1" type="noConversion"/>
  </si>
  <si>
    <t>借券</t>
    <phoneticPr fontId="1" type="noConversion"/>
  </si>
  <si>
    <t>借融比</t>
    <phoneticPr fontId="1" type="noConversion"/>
  </si>
  <si>
    <t>2021/12/10起將券資比改為借融比</t>
    <phoneticPr fontId="1" type="noConversion"/>
  </si>
  <si>
    <t>2021/12/10起增加內部人籌碼統計</t>
    <phoneticPr fontId="1" type="noConversion"/>
  </si>
  <si>
    <t>2021/12/10起新聞主力量大強勢合計</t>
    <phoneticPr fontId="1" type="noConversion"/>
  </si>
  <si>
    <t>2021/12/10券資比改為借融比</t>
    <phoneticPr fontId="1" type="noConversion"/>
  </si>
  <si>
    <t>2021/12/13起只做資本額20億以下的公司</t>
    <phoneticPr fontId="1" type="noConversion"/>
  </si>
  <si>
    <t>7</t>
    <phoneticPr fontId="1" type="noConversion"/>
  </si>
  <si>
    <t>大盈4</t>
    <phoneticPr fontId="1" type="noConversion"/>
  </si>
  <si>
    <t>2021/12/13起XQ雙螢幕</t>
    <phoneticPr fontId="1" type="noConversion"/>
  </si>
  <si>
    <t>出量就會帶出趨勢</t>
    <phoneticPr fontId="1" type="noConversion"/>
  </si>
  <si>
    <t>是“股死燈滅”</t>
    <phoneticPr fontId="1" type="noConversion"/>
  </si>
  <si>
    <t>還是“黎明前最後的黑暗”</t>
    <phoneticPr fontId="1" type="noConversion"/>
  </si>
  <si>
    <t>籌碼會給答案！</t>
    <phoneticPr fontId="1" type="noConversion"/>
  </si>
  <si>
    <t>電動樁無人支付新零售</t>
    <phoneticPr fontId="1" type="noConversion"/>
  </si>
  <si>
    <t>博弈機台新零售</t>
    <phoneticPr fontId="1" type="noConversion"/>
  </si>
  <si>
    <t>預周</t>
    <phoneticPr fontId="1" type="noConversion"/>
  </si>
  <si>
    <t>3.69</t>
    <phoneticPr fontId="1" type="noConversion"/>
  </si>
  <si>
    <t>11.0</t>
    <phoneticPr fontId="1" type="noConversion"/>
  </si>
  <si>
    <t>8.75</t>
    <phoneticPr fontId="1" type="noConversion"/>
  </si>
  <si>
    <t>電源風扇IC旗下大中</t>
    <phoneticPr fontId="1" type="noConversion"/>
  </si>
  <si>
    <t>快充電競MCU</t>
    <phoneticPr fontId="1" type="noConversion"/>
  </si>
  <si>
    <t>快充Type-C電源管理IC</t>
    <phoneticPr fontId="1" type="noConversion"/>
  </si>
  <si>
    <t>新手看價，老手看量，高手看籌碼</t>
    <phoneticPr fontId="1" type="noConversion"/>
  </si>
  <si>
    <t>法現在價</t>
    <phoneticPr fontId="1" type="noConversion"/>
  </si>
  <si>
    <t>12.89</t>
    <phoneticPr fontId="1" type="noConversion"/>
  </si>
  <si>
    <t>15.59</t>
    <phoneticPr fontId="1" type="noConversion"/>
  </si>
  <si>
    <t>353</t>
    <phoneticPr fontId="1" type="noConversion"/>
  </si>
  <si>
    <t>3.23</t>
    <phoneticPr fontId="1" type="noConversion"/>
  </si>
  <si>
    <t>台北通</t>
    <phoneticPr fontId="1" type="noConversion"/>
  </si>
  <si>
    <t>Pan04280428</t>
    <phoneticPr fontId="1" type="noConversion"/>
  </si>
  <si>
    <t>18.88</t>
    <phoneticPr fontId="1" type="noConversion"/>
  </si>
  <si>
    <t>洋基工程</t>
    <phoneticPr fontId="1" type="noConversion"/>
  </si>
  <si>
    <t>無塵室機電</t>
    <phoneticPr fontId="1" type="noConversion"/>
  </si>
  <si>
    <t>量縮到底，接下來就是帶量沖</t>
    <phoneticPr fontId="1" type="noConversion"/>
  </si>
  <si>
    <t>51.81</t>
    <phoneticPr fontId="1" type="noConversion"/>
  </si>
  <si>
    <t>7.79</t>
    <phoneticPr fontId="1" type="noConversion"/>
  </si>
  <si>
    <t>5.99</t>
    <phoneticPr fontId="1" type="noConversion"/>
  </si>
  <si>
    <t>7.73</t>
    <phoneticPr fontId="1" type="noConversion"/>
  </si>
  <si>
    <t>5.96</t>
    <phoneticPr fontId="1" type="noConversion"/>
  </si>
  <si>
    <t>瑞鼎</t>
    <phoneticPr fontId="1" type="noConversion"/>
  </si>
  <si>
    <t>N</t>
    <phoneticPr fontId="1" type="noConversion"/>
  </si>
  <si>
    <t>驅動IC友達旗下</t>
    <phoneticPr fontId="1" type="noConversion"/>
  </si>
  <si>
    <t>化工</t>
    <phoneticPr fontId="1" type="noConversion"/>
  </si>
  <si>
    <t>19</t>
    <phoneticPr fontId="1" type="noConversion"/>
  </si>
  <si>
    <t>低檔出量，低基期</t>
    <phoneticPr fontId="1" type="noConversion"/>
  </si>
  <si>
    <t>水泥</t>
    <phoneticPr fontId="1" type="noConversion"/>
  </si>
  <si>
    <t>食品</t>
    <phoneticPr fontId="1" type="noConversion"/>
  </si>
  <si>
    <t>佳格</t>
    <phoneticPr fontId="1" type="noConversion"/>
  </si>
  <si>
    <t>台聚</t>
    <phoneticPr fontId="1" type="noConversion"/>
  </si>
  <si>
    <t>台達化</t>
    <phoneticPr fontId="1" type="noConversion"/>
  </si>
  <si>
    <t>中石化</t>
    <phoneticPr fontId="1" type="noConversion"/>
  </si>
  <si>
    <t>台化</t>
    <phoneticPr fontId="1" type="noConversion"/>
  </si>
  <si>
    <t>力麗</t>
    <phoneticPr fontId="1" type="noConversion"/>
  </si>
  <si>
    <t>儒鴻</t>
    <phoneticPr fontId="1" type="noConversion"/>
  </si>
  <si>
    <t>聚陽</t>
    <phoneticPr fontId="1" type="noConversion"/>
  </si>
  <si>
    <t>銘旺實</t>
    <phoneticPr fontId="1" type="noConversion"/>
  </si>
  <si>
    <t>東元</t>
    <phoneticPr fontId="1" type="noConversion"/>
  </si>
  <si>
    <t>亞德客KY</t>
    <phoneticPr fontId="1" type="noConversion"/>
  </si>
  <si>
    <t>宏佳騰</t>
    <phoneticPr fontId="1" type="noConversion"/>
  </si>
  <si>
    <t>大量</t>
    <phoneticPr fontId="1" type="noConversion"/>
  </si>
  <si>
    <t>崇友</t>
    <phoneticPr fontId="1" type="noConversion"/>
  </si>
  <si>
    <t>江興鍛</t>
    <phoneticPr fontId="1" type="noConversion"/>
  </si>
  <si>
    <t>朋程</t>
    <phoneticPr fontId="1" type="noConversion"/>
  </si>
  <si>
    <t>華新</t>
    <phoneticPr fontId="1" type="noConversion"/>
  </si>
  <si>
    <t>台肥</t>
    <phoneticPr fontId="1" type="noConversion"/>
  </si>
  <si>
    <t>石化原料</t>
    <phoneticPr fontId="1" type="noConversion"/>
  </si>
  <si>
    <t>永記</t>
    <phoneticPr fontId="1" type="noConversion"/>
  </si>
  <si>
    <t>油漆</t>
    <phoneticPr fontId="1" type="noConversion"/>
  </si>
  <si>
    <t>中華化</t>
    <phoneticPr fontId="1" type="noConversion"/>
  </si>
  <si>
    <t>硫酸電子級</t>
    <phoneticPr fontId="1" type="noConversion"/>
  </si>
  <si>
    <t>花仙子</t>
    <phoneticPr fontId="1" type="noConversion"/>
  </si>
  <si>
    <t>日用品</t>
    <phoneticPr fontId="1" type="noConversion"/>
  </si>
  <si>
    <t>毛寶</t>
    <phoneticPr fontId="1" type="noConversion"/>
  </si>
  <si>
    <t>清潔用品</t>
    <phoneticPr fontId="1" type="noConversion"/>
  </si>
  <si>
    <t>日勝化</t>
    <phoneticPr fontId="1" type="noConversion"/>
  </si>
  <si>
    <t>台蠟</t>
    <phoneticPr fontId="1" type="noConversion"/>
  </si>
  <si>
    <t>蠟品</t>
    <phoneticPr fontId="1" type="noConversion"/>
  </si>
  <si>
    <t>勝一</t>
    <phoneticPr fontId="1" type="noConversion"/>
  </si>
  <si>
    <t>溶劑</t>
    <phoneticPr fontId="1" type="noConversion"/>
  </si>
  <si>
    <t>展宇</t>
    <phoneticPr fontId="1" type="noConversion"/>
  </si>
  <si>
    <t>PU硬化劑</t>
    <phoneticPr fontId="1" type="noConversion"/>
  </si>
  <si>
    <t>9.35</t>
    <phoneticPr fontId="1" type="noConversion"/>
  </si>
  <si>
    <t>上緯投控</t>
    <phoneticPr fontId="1" type="noConversion"/>
  </si>
  <si>
    <t>環氧樹脂</t>
    <phoneticPr fontId="1" type="noConversion"/>
  </si>
  <si>
    <t>中美實</t>
    <phoneticPr fontId="1" type="noConversion"/>
  </si>
  <si>
    <t>大恭</t>
    <phoneticPr fontId="1" type="noConversion"/>
  </si>
  <si>
    <t>顏料</t>
    <phoneticPr fontId="1" type="noConversion"/>
  </si>
  <si>
    <t>磐亞</t>
    <phoneticPr fontId="1" type="noConversion"/>
  </si>
  <si>
    <t>界面活性劑</t>
    <phoneticPr fontId="1" type="noConversion"/>
  </si>
  <si>
    <t>永純</t>
    <phoneticPr fontId="1" type="noConversion"/>
  </si>
  <si>
    <t>永捷</t>
    <phoneticPr fontId="1" type="noConversion"/>
  </si>
  <si>
    <t>PU樹脂</t>
    <phoneticPr fontId="1" type="noConversion"/>
  </si>
  <si>
    <t>大立</t>
    <phoneticPr fontId="1" type="noConversion"/>
  </si>
  <si>
    <t>德淵</t>
    <phoneticPr fontId="1" type="noConversion"/>
  </si>
  <si>
    <t>熱熔膠</t>
    <phoneticPr fontId="1" type="noConversion"/>
  </si>
  <si>
    <t>美琪瑪</t>
    <phoneticPr fontId="1" type="noConversion"/>
  </si>
  <si>
    <t>國精化</t>
    <phoneticPr fontId="1" type="noConversion"/>
  </si>
  <si>
    <t>不飽和聚酯</t>
    <phoneticPr fontId="1" type="noConversion"/>
  </si>
  <si>
    <t>康普</t>
    <phoneticPr fontId="1" type="noConversion"/>
  </si>
  <si>
    <t>泓瀚</t>
    <phoneticPr fontId="1" type="noConversion"/>
  </si>
  <si>
    <t>打印墨水</t>
    <phoneticPr fontId="1" type="noConversion"/>
  </si>
  <si>
    <t>國碳科</t>
    <phoneticPr fontId="1" type="noConversion"/>
  </si>
  <si>
    <t>防火材料</t>
    <phoneticPr fontId="1" type="noConversion"/>
  </si>
  <si>
    <t>食品添加劑</t>
    <phoneticPr fontId="1" type="noConversion"/>
  </si>
  <si>
    <t>材料KY</t>
    <phoneticPr fontId="1" type="noConversion"/>
  </si>
  <si>
    <t>纖維絲</t>
    <phoneticPr fontId="1" type="noConversion"/>
  </si>
  <si>
    <t>雙鍵</t>
    <phoneticPr fontId="1" type="noConversion"/>
  </si>
  <si>
    <t>光固化</t>
    <phoneticPr fontId="1" type="noConversion"/>
  </si>
  <si>
    <t>南寶</t>
    <phoneticPr fontId="1" type="noConversion"/>
  </si>
  <si>
    <t>接著劑</t>
    <phoneticPr fontId="1" type="noConversion"/>
  </si>
  <si>
    <t>誠泰科技</t>
    <phoneticPr fontId="1" type="noConversion"/>
  </si>
  <si>
    <t>熱溶膠</t>
    <phoneticPr fontId="1" type="noConversion"/>
  </si>
  <si>
    <t>上品</t>
    <phoneticPr fontId="1" type="noConversion"/>
  </si>
  <si>
    <t>雙邦</t>
    <phoneticPr fontId="1" type="noConversion"/>
  </si>
  <si>
    <t>特用化學原料</t>
    <phoneticPr fontId="1" type="noConversion"/>
  </si>
  <si>
    <t>聚合</t>
    <phoneticPr fontId="1" type="noConversion"/>
  </si>
  <si>
    <t>自黏便條紙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</si>
  <si>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</si>
  <si>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</si>
  <si>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</si>
  <si>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</si>
  <si>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</si>
  <si>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</si>
  <si>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09</t>
    <phoneticPr fontId="1" type="noConversion"/>
  </si>
  <si>
    <t>生技醫療</t>
    <phoneticPr fontId="1" type="noConversion"/>
  </si>
  <si>
    <t>大戶</t>
    <phoneticPr fontId="1" type="noConversion"/>
  </si>
  <si>
    <t>法人</t>
    <phoneticPr fontId="1" type="noConversion"/>
  </si>
  <si>
    <t>融資</t>
    <phoneticPr fontId="1" type="noConversion"/>
  </si>
  <si>
    <t>內部人</t>
    <phoneticPr fontId="1" type="noConversion"/>
  </si>
  <si>
    <t>股息</t>
    <phoneticPr fontId="1" type="noConversion"/>
  </si>
  <si>
    <t>盈4</t>
    <phoneticPr fontId="1" type="noConversion"/>
  </si>
  <si>
    <t>現在價</t>
    <phoneticPr fontId="1" type="noConversion"/>
  </si>
  <si>
    <t>買賣價</t>
    <phoneticPr fontId="1" type="noConversion"/>
  </si>
  <si>
    <t>損益</t>
    <phoneticPr fontId="1" type="noConversion"/>
  </si>
  <si>
    <t>損益率</t>
    <phoneticPr fontId="1" type="noConversion"/>
  </si>
  <si>
    <t>買進日期</t>
    <phoneticPr fontId="1" type="noConversion"/>
  </si>
  <si>
    <t>賣出日期</t>
    <phoneticPr fontId="1" type="noConversion"/>
  </si>
  <si>
    <t>天數</t>
    <phoneticPr fontId="1" type="noConversion"/>
  </si>
  <si>
    <t>預周</t>
    <phoneticPr fontId="1" type="noConversion"/>
  </si>
  <si>
    <t>預估量</t>
    <phoneticPr fontId="1" type="noConversion"/>
  </si>
  <si>
    <t>精華</t>
    <phoneticPr fontId="1" type="noConversion"/>
  </si>
  <si>
    <t>隱形眼鏡3雄</t>
    <phoneticPr fontId="1" type="noConversion"/>
  </si>
  <si>
    <t>祺驊</t>
    <phoneticPr fontId="1" type="noConversion"/>
  </si>
  <si>
    <t>岱宇</t>
    <phoneticPr fontId="1" type="noConversion"/>
  </si>
  <si>
    <t>6%庫藏股健身器材</t>
    <phoneticPr fontId="1" type="noConversion"/>
  </si>
  <si>
    <t>中化</t>
    <phoneticPr fontId="1" type="noConversion"/>
  </si>
  <si>
    <t>製劑</t>
    <phoneticPr fontId="1" type="noConversion"/>
  </si>
  <si>
    <t>葡萄王</t>
    <phoneticPr fontId="1" type="noConversion"/>
  </si>
  <si>
    <t>保健食品</t>
    <phoneticPr fontId="1" type="noConversion"/>
  </si>
  <si>
    <t>生達</t>
    <phoneticPr fontId="1" type="noConversion"/>
  </si>
  <si>
    <t>學名藥</t>
    <phoneticPr fontId="1" type="noConversion"/>
  </si>
  <si>
    <t>美吾華</t>
    <phoneticPr fontId="1" type="noConversion"/>
  </si>
  <si>
    <t>染髮劑</t>
    <phoneticPr fontId="1" type="noConversion"/>
  </si>
  <si>
    <t>五鼎</t>
    <phoneticPr fontId="1" type="noConversion"/>
  </si>
  <si>
    <t>血糖儀</t>
    <phoneticPr fontId="1" type="noConversion"/>
  </si>
  <si>
    <t>杏輝</t>
    <phoneticPr fontId="1" type="noConversion"/>
  </si>
  <si>
    <t>喬山</t>
    <phoneticPr fontId="1" type="noConversion"/>
  </si>
  <si>
    <t>南光</t>
    <phoneticPr fontId="1" type="noConversion"/>
  </si>
  <si>
    <t>針劑</t>
    <phoneticPr fontId="1" type="noConversion"/>
  </si>
  <si>
    <t>中化生</t>
    <phoneticPr fontId="1" type="noConversion"/>
  </si>
  <si>
    <t>原料藥中化旗下</t>
    <phoneticPr fontId="1" type="noConversion"/>
  </si>
  <si>
    <t>生泰</t>
    <phoneticPr fontId="1" type="noConversion"/>
  </si>
  <si>
    <t>合世</t>
    <phoneticPr fontId="1" type="noConversion"/>
  </si>
  <si>
    <t>血壓計</t>
    <phoneticPr fontId="1" type="noConversion"/>
  </si>
  <si>
    <t>和康生</t>
    <phoneticPr fontId="1" type="noConversion"/>
  </si>
  <si>
    <t>膠原蛋白</t>
    <phoneticPr fontId="1" type="noConversion"/>
  </si>
  <si>
    <t>訊聯</t>
    <phoneticPr fontId="1" type="noConversion"/>
  </si>
  <si>
    <t>臍帶血</t>
    <phoneticPr fontId="1" type="noConversion"/>
  </si>
  <si>
    <t>科妍</t>
    <phoneticPr fontId="1" type="noConversion"/>
  </si>
  <si>
    <t>玻尿酸</t>
    <phoneticPr fontId="1" type="noConversion"/>
  </si>
  <si>
    <t>杏昌</t>
    <phoneticPr fontId="1" type="noConversion"/>
  </si>
  <si>
    <t>醫療器材代理</t>
    <phoneticPr fontId="1" type="noConversion"/>
  </si>
  <si>
    <t>神隆</t>
    <phoneticPr fontId="1" type="noConversion"/>
  </si>
  <si>
    <t>原料藥統一旗下</t>
    <phoneticPr fontId="1" type="noConversion"/>
  </si>
  <si>
    <t>美時</t>
    <phoneticPr fontId="1" type="noConversion"/>
  </si>
  <si>
    <t>學名藥Alvogen持股7成</t>
    <phoneticPr fontId="1" type="noConversion"/>
  </si>
  <si>
    <t>易威</t>
    <phoneticPr fontId="1" type="noConversion"/>
  </si>
  <si>
    <t>寶利徠</t>
    <phoneticPr fontId="1" type="noConversion"/>
  </si>
  <si>
    <t>光學鏡片</t>
    <phoneticPr fontId="1" type="noConversion"/>
  </si>
  <si>
    <t>進階</t>
    <phoneticPr fontId="1" type="noConversion"/>
  </si>
  <si>
    <t>生醫通路公司</t>
    <phoneticPr fontId="1" type="noConversion"/>
  </si>
  <si>
    <t>景岳</t>
    <phoneticPr fontId="1" type="noConversion"/>
  </si>
  <si>
    <t>益生菌</t>
    <phoneticPr fontId="1" type="noConversion"/>
  </si>
  <si>
    <t>基亞</t>
    <phoneticPr fontId="1" type="noConversion"/>
  </si>
  <si>
    <t>肝癌新藥</t>
    <phoneticPr fontId="1" type="noConversion"/>
  </si>
  <si>
    <t>佰研</t>
    <phoneticPr fontId="1" type="noConversion"/>
  </si>
  <si>
    <t>克緹直銷</t>
    <phoneticPr fontId="1" type="noConversion"/>
  </si>
  <si>
    <t>大學光</t>
    <phoneticPr fontId="1" type="noConversion"/>
  </si>
  <si>
    <t>眼科醫療</t>
    <phoneticPr fontId="1" type="noConversion"/>
  </si>
  <si>
    <t>永信</t>
    <phoneticPr fontId="1" type="noConversion"/>
  </si>
  <si>
    <t>製藥</t>
    <phoneticPr fontId="1" type="noConversion"/>
  </si>
  <si>
    <t>永日</t>
    <phoneticPr fontId="1" type="noConversion"/>
  </si>
  <si>
    <t>原料藥永信旗下</t>
    <phoneticPr fontId="1" type="noConversion"/>
  </si>
  <si>
    <t>佳醫</t>
    <phoneticPr fontId="1" type="noConversion"/>
  </si>
  <si>
    <t>洗腎</t>
    <phoneticPr fontId="1" type="noConversion"/>
  </si>
  <si>
    <t>東洋</t>
    <phoneticPr fontId="1" type="noConversion"/>
  </si>
  <si>
    <t>抗癌東洋集團</t>
    <phoneticPr fontId="1" type="noConversion"/>
  </si>
  <si>
    <t>雃博</t>
    <phoneticPr fontId="1" type="noConversion"/>
  </si>
  <si>
    <t>防褥瘡床</t>
    <phoneticPr fontId="1" type="noConversion"/>
  </si>
  <si>
    <t>邦特</t>
    <phoneticPr fontId="1" type="noConversion"/>
  </si>
  <si>
    <t>血液耗材</t>
    <phoneticPr fontId="1" type="noConversion"/>
  </si>
  <si>
    <t>懷特</t>
    <phoneticPr fontId="1" type="noConversion"/>
  </si>
  <si>
    <t>穆拉德加捷</t>
    <phoneticPr fontId="1" type="noConversion"/>
  </si>
  <si>
    <t>甲魚</t>
    <phoneticPr fontId="1" type="noConversion"/>
  </si>
  <si>
    <t>濟生</t>
    <phoneticPr fontId="1" type="noConversion"/>
  </si>
  <si>
    <t>血液透析</t>
    <phoneticPr fontId="1" type="noConversion"/>
  </si>
  <si>
    <t>健喬</t>
    <phoneticPr fontId="1" type="noConversion"/>
  </si>
  <si>
    <t>鼻噴劑</t>
    <phoneticPr fontId="1" type="noConversion"/>
  </si>
  <si>
    <t>明基醫</t>
    <phoneticPr fontId="1" type="noConversion"/>
  </si>
  <si>
    <t>醫療器材明基旗下</t>
    <phoneticPr fontId="1" type="noConversion"/>
  </si>
  <si>
    <t>旭富</t>
    <phoneticPr fontId="1" type="noConversion"/>
  </si>
  <si>
    <t>友華</t>
    <phoneticPr fontId="1" type="noConversion"/>
  </si>
  <si>
    <t>優盛</t>
    <phoneticPr fontId="1" type="noConversion"/>
  </si>
  <si>
    <t>晟德</t>
    <phoneticPr fontId="1" type="noConversion"/>
  </si>
  <si>
    <t>生技投控旗下HK澳優乳業,豐華生技,順藥,益安,東曜</t>
    <phoneticPr fontId="1" type="noConversion"/>
  </si>
  <si>
    <t>太醫</t>
    <phoneticPr fontId="1" type="noConversion"/>
  </si>
  <si>
    <t>醫療耗材</t>
    <phoneticPr fontId="1" type="noConversion"/>
  </si>
  <si>
    <t>天良</t>
    <phoneticPr fontId="1" type="noConversion"/>
  </si>
  <si>
    <t>中天</t>
    <phoneticPr fontId="1" type="noConversion"/>
  </si>
  <si>
    <t>GMP中藥</t>
    <phoneticPr fontId="1" type="noConversion"/>
  </si>
  <si>
    <t>聯合</t>
    <phoneticPr fontId="1" type="noConversion"/>
  </si>
  <si>
    <t>骨科器材</t>
    <phoneticPr fontId="1" type="noConversion"/>
  </si>
  <si>
    <t>健亞</t>
    <phoneticPr fontId="1" type="noConversion"/>
  </si>
  <si>
    <t>學名藥旗下6575心悅、6567生控、6479瑞寶、6872浩宇生醫</t>
    <phoneticPr fontId="1" type="noConversion"/>
  </si>
  <si>
    <t>晶宇</t>
    <phoneticPr fontId="1" type="noConversion"/>
  </si>
  <si>
    <t>生物檢驗晶片</t>
    <phoneticPr fontId="1" type="noConversion"/>
  </si>
  <si>
    <t>亞諾法</t>
    <phoneticPr fontId="1" type="noConversion"/>
  </si>
  <si>
    <t>抗體蛋白</t>
    <phoneticPr fontId="1" type="noConversion"/>
  </si>
  <si>
    <t>麗豐KY</t>
    <phoneticPr fontId="1" type="noConversion"/>
  </si>
  <si>
    <t>克麗緹娜</t>
    <phoneticPr fontId="1" type="noConversion"/>
  </si>
  <si>
    <t>曜亞</t>
    <phoneticPr fontId="1" type="noConversion"/>
  </si>
  <si>
    <t>醫美器材佳醫旗下</t>
    <phoneticPr fontId="1" type="noConversion"/>
  </si>
  <si>
    <t>馬光KY</t>
    <phoneticPr fontId="1" type="noConversion"/>
  </si>
  <si>
    <t>中醫連鎖</t>
    <phoneticPr fontId="1" type="noConversion"/>
  </si>
  <si>
    <t>龍燈KY</t>
    <phoneticPr fontId="1" type="noConversion"/>
  </si>
  <si>
    <t>植物保護劑</t>
    <phoneticPr fontId="1" type="noConversion"/>
  </si>
  <si>
    <t>國光生</t>
    <phoneticPr fontId="1" type="noConversion"/>
  </si>
  <si>
    <t>流感疫苗</t>
    <phoneticPr fontId="1" type="noConversion"/>
  </si>
  <si>
    <t>中裕</t>
    <phoneticPr fontId="1" type="noConversion"/>
  </si>
  <si>
    <t>愛滋藥潤泰旗下</t>
    <phoneticPr fontId="1" type="noConversion"/>
  </si>
  <si>
    <t>全宇生技KY</t>
    <phoneticPr fontId="1" type="noConversion"/>
  </si>
  <si>
    <t>鈺緯</t>
    <phoneticPr fontId="1" type="noConversion"/>
  </si>
  <si>
    <t>醫療顯示器</t>
    <phoneticPr fontId="1" type="noConversion"/>
  </si>
  <si>
    <t>康樂KY</t>
    <phoneticPr fontId="1" type="noConversion"/>
  </si>
  <si>
    <t>機能性飲品</t>
    <phoneticPr fontId="1" type="noConversion"/>
  </si>
  <si>
    <t>訊映</t>
    <phoneticPr fontId="1" type="noConversion"/>
  </si>
  <si>
    <t>0.01</t>
    <phoneticPr fontId="1" type="noConversion"/>
  </si>
  <si>
    <t>太景KY</t>
    <phoneticPr fontId="1" type="noConversion"/>
  </si>
  <si>
    <t>新藥</t>
    <phoneticPr fontId="1" type="noConversion"/>
  </si>
  <si>
    <t>創源</t>
    <phoneticPr fontId="1" type="noConversion"/>
  </si>
  <si>
    <t>基因檢測訊聯旗下</t>
    <phoneticPr fontId="1" type="noConversion"/>
  </si>
  <si>
    <t>聿新科</t>
    <phoneticPr fontId="1" type="noConversion"/>
  </si>
  <si>
    <t>血糖測試</t>
    <phoneticPr fontId="1" type="noConversion"/>
  </si>
  <si>
    <t>2.05%庫藏股胰臟癌東洋旗下</t>
    <phoneticPr fontId="1" type="noConversion"/>
  </si>
  <si>
    <t>鐿鈦</t>
    <phoneticPr fontId="1" type="noConversion"/>
  </si>
  <si>
    <t>富股3</t>
    <phoneticPr fontId="1" type="noConversion"/>
  </si>
  <si>
    <t>醫療機械</t>
    <phoneticPr fontId="1" type="noConversion"/>
  </si>
  <si>
    <t>承業醫</t>
    <phoneticPr fontId="1" type="noConversion"/>
  </si>
  <si>
    <t>腫瘤設備</t>
    <phoneticPr fontId="1" type="noConversion"/>
  </si>
  <si>
    <t>松瑞藥</t>
    <phoneticPr fontId="1" type="noConversion"/>
  </si>
  <si>
    <t>醣聯</t>
    <phoneticPr fontId="1" type="noConversion"/>
  </si>
  <si>
    <t>久裕</t>
    <phoneticPr fontId="1" type="noConversion"/>
  </si>
  <si>
    <t>藥品物流佳醫旗下</t>
    <phoneticPr fontId="1" type="noConversion"/>
  </si>
  <si>
    <t>浩鼎</t>
    <phoneticPr fontId="1" type="noConversion"/>
  </si>
  <si>
    <t>醣基新藥潤泰旗下</t>
    <phoneticPr fontId="1" type="noConversion"/>
  </si>
  <si>
    <t>杏一</t>
    <phoneticPr fontId="1" type="noConversion"/>
  </si>
  <si>
    <t>醫療連鎖通路</t>
    <phoneticPr fontId="1" type="noConversion"/>
  </si>
  <si>
    <t>福永生技</t>
    <phoneticPr fontId="1" type="noConversion"/>
  </si>
  <si>
    <t>安克</t>
    <phoneticPr fontId="1" type="noConversion"/>
  </si>
  <si>
    <t>電腦診斷美吾華懷特旗下</t>
    <phoneticPr fontId="1" type="noConversion"/>
  </si>
  <si>
    <t>佐登KY</t>
    <phoneticPr fontId="1" type="noConversion"/>
  </si>
  <si>
    <t>美容集團</t>
    <phoneticPr fontId="1" type="noConversion"/>
  </si>
  <si>
    <t>杏國</t>
    <phoneticPr fontId="1" type="noConversion"/>
  </si>
  <si>
    <t>新藥杏輝旗下</t>
    <phoneticPr fontId="1" type="noConversion"/>
  </si>
  <si>
    <t>欣大健康</t>
    <phoneticPr fontId="1" type="noConversion"/>
  </si>
  <si>
    <t>X光機</t>
    <phoneticPr fontId="1" type="noConversion"/>
  </si>
  <si>
    <t>永昕</t>
    <phoneticPr fontId="1" type="noConversion"/>
  </si>
  <si>
    <t>雙美</t>
    <phoneticPr fontId="1" type="noConversion"/>
  </si>
  <si>
    <t>豪展</t>
    <phoneticPr fontId="1" type="noConversion"/>
  </si>
  <si>
    <t>耳溫槍</t>
    <phoneticPr fontId="1" type="noConversion"/>
  </si>
  <si>
    <t>泰博</t>
    <phoneticPr fontId="1" type="noConversion"/>
  </si>
  <si>
    <t>體溫血糖</t>
    <phoneticPr fontId="1" type="noConversion"/>
  </si>
  <si>
    <t>華廣</t>
    <phoneticPr fontId="1" type="noConversion"/>
  </si>
  <si>
    <t>糖尿病中天轉投資</t>
    <phoneticPr fontId="1" type="noConversion"/>
  </si>
  <si>
    <t>皇將</t>
    <phoneticPr fontId="1" type="noConversion"/>
  </si>
  <si>
    <t>製藥設備</t>
    <phoneticPr fontId="1" type="noConversion"/>
  </si>
  <si>
    <t>合富KY</t>
    <phoneticPr fontId="1" type="noConversion"/>
  </si>
  <si>
    <t>醫療通路</t>
    <phoneticPr fontId="1" type="noConversion"/>
  </si>
  <si>
    <t>台耀</t>
    <phoneticPr fontId="1" type="noConversion"/>
  </si>
  <si>
    <t>維他命D</t>
    <phoneticPr fontId="1" type="noConversion"/>
  </si>
  <si>
    <t>強生</t>
    <phoneticPr fontId="1" type="noConversion"/>
  </si>
  <si>
    <t>德英</t>
    <phoneticPr fontId="1" type="noConversion"/>
  </si>
  <si>
    <t>抗癌</t>
    <phoneticPr fontId="1" type="noConversion"/>
  </si>
  <si>
    <t>寶島科</t>
    <phoneticPr fontId="1" type="noConversion"/>
  </si>
  <si>
    <t>眼鏡通路</t>
    <phoneticPr fontId="1" type="noConversion"/>
  </si>
  <si>
    <t>星寶國際</t>
    <phoneticPr fontId="1" type="noConversion"/>
  </si>
  <si>
    <t>立康</t>
    <phoneticPr fontId="1" type="noConversion"/>
  </si>
  <si>
    <t>中草藥</t>
    <phoneticPr fontId="1" type="noConversion"/>
  </si>
  <si>
    <t>紅血球增生</t>
    <phoneticPr fontId="1" type="noConversion"/>
  </si>
  <si>
    <t>益得</t>
    <phoneticPr fontId="1" type="noConversion"/>
  </si>
  <si>
    <t>大樹</t>
    <phoneticPr fontId="1" type="noConversion"/>
  </si>
  <si>
    <t>連鎖藥局</t>
    <phoneticPr fontId="1" type="noConversion"/>
  </si>
  <si>
    <t>保瑞</t>
    <phoneticPr fontId="1" type="noConversion"/>
  </si>
  <si>
    <t>晶碩</t>
    <phoneticPr fontId="1" type="noConversion"/>
  </si>
  <si>
    <t>隱形眼鏡3雄和碩轉投資</t>
    <phoneticPr fontId="1" type="noConversion"/>
  </si>
  <si>
    <t>生華科</t>
    <phoneticPr fontId="1" type="noConversion"/>
  </si>
  <si>
    <t>抗癌新藥</t>
    <phoneticPr fontId="1" type="noConversion"/>
  </si>
  <si>
    <t>科懋</t>
    <phoneticPr fontId="1" type="noConversion"/>
  </si>
  <si>
    <t>檢驗試劑</t>
    <phoneticPr fontId="1" type="noConversion"/>
  </si>
  <si>
    <t>益安</t>
    <phoneticPr fontId="1" type="noConversion"/>
  </si>
  <si>
    <t>內視鏡心導管</t>
    <phoneticPr fontId="1" type="noConversion"/>
  </si>
  <si>
    <t>達爾膚</t>
    <phoneticPr fontId="1" type="noConversion"/>
  </si>
  <si>
    <t>明達醫</t>
    <phoneticPr fontId="1" type="noConversion"/>
  </si>
  <si>
    <t>眼科儀器</t>
    <phoneticPr fontId="1" type="noConversion"/>
  </si>
  <si>
    <t>順藥</t>
    <phoneticPr fontId="1" type="noConversion"/>
  </si>
  <si>
    <t>元消息</t>
    <phoneticPr fontId="1" type="noConversion"/>
  </si>
  <si>
    <t>泰福KY</t>
    <phoneticPr fontId="1" type="noConversion"/>
  </si>
  <si>
    <t>高端疫苗</t>
    <phoneticPr fontId="1" type="noConversion"/>
  </si>
  <si>
    <t>流感疫苗基亞旗下</t>
    <phoneticPr fontId="1" type="noConversion"/>
  </si>
  <si>
    <t>醫揚</t>
    <phoneticPr fontId="1" type="noConversion"/>
  </si>
  <si>
    <t>醫療電腦華碩旗下</t>
    <phoneticPr fontId="1" type="noConversion"/>
  </si>
  <si>
    <t>保養品</t>
    <phoneticPr fontId="1" type="noConversion"/>
  </si>
  <si>
    <t>逸達</t>
    <phoneticPr fontId="1" type="noConversion"/>
  </si>
  <si>
    <t>台康生技</t>
    <phoneticPr fontId="1" type="noConversion"/>
  </si>
  <si>
    <t>ABC-KY</t>
    <phoneticPr fontId="1" type="noConversion"/>
  </si>
  <si>
    <t>奈米醫材</t>
    <phoneticPr fontId="1" type="noConversion"/>
  </si>
  <si>
    <t>人工水晶體</t>
    <phoneticPr fontId="1" type="noConversion"/>
  </si>
  <si>
    <t>慧智</t>
    <phoneticPr fontId="1" type="noConversion"/>
  </si>
  <si>
    <t>基因檢測</t>
    <phoneticPr fontId="1" type="noConversion"/>
  </si>
  <si>
    <t>台生材</t>
    <phoneticPr fontId="1" type="noConversion"/>
  </si>
  <si>
    <t>人工腦膜</t>
    <phoneticPr fontId="1" type="noConversion"/>
  </si>
  <si>
    <t>威健生技</t>
    <phoneticPr fontId="1" type="noConversion"/>
  </si>
  <si>
    <t>樂斯科</t>
    <phoneticPr fontId="1" type="noConversion"/>
  </si>
  <si>
    <t>實驗鼠</t>
    <phoneticPr fontId="1" type="noConversion"/>
  </si>
  <si>
    <t>羅麗芬KY</t>
    <phoneticPr fontId="1" type="noConversion"/>
  </si>
  <si>
    <t>美妝面部</t>
    <phoneticPr fontId="1" type="noConversion"/>
  </si>
  <si>
    <t>軒郁</t>
    <phoneticPr fontId="1" type="noConversion"/>
  </si>
  <si>
    <t>長聖</t>
    <phoneticPr fontId="1" type="noConversion"/>
  </si>
  <si>
    <t>博晟生醫</t>
    <phoneticPr fontId="1" type="noConversion"/>
  </si>
  <si>
    <t>N</t>
    <phoneticPr fontId="1" type="noConversion"/>
  </si>
  <si>
    <t>亨泰光</t>
    <phoneticPr fontId="1" type="noConversion"/>
  </si>
  <si>
    <t>逹亞</t>
    <phoneticPr fontId="1" type="noConversion"/>
  </si>
  <si>
    <t>台微醫</t>
    <phoneticPr fontId="1" type="noConversion"/>
  </si>
  <si>
    <t>脊椎醫材鐿鈦旗下</t>
    <phoneticPr fontId="1" type="noConversion"/>
  </si>
  <si>
    <t>生展</t>
    <phoneticPr fontId="1" type="noConversion"/>
  </si>
  <si>
    <t>原料藥生達旗下</t>
    <phoneticPr fontId="1" type="noConversion"/>
  </si>
  <si>
    <t>盛弘</t>
    <phoneticPr fontId="1" type="noConversion"/>
  </si>
  <si>
    <t>醫藥流通敏盛醫旗下</t>
    <phoneticPr fontId="1" type="noConversion"/>
  </si>
  <si>
    <t>金可KY</t>
    <phoneticPr fontId="1" type="noConversion"/>
  </si>
  <si>
    <t>商之器</t>
    <phoneticPr fontId="1" type="noConversion"/>
  </si>
  <si>
    <t>東生華</t>
    <phoneticPr fontId="1" type="noConversion"/>
  </si>
  <si>
    <t>新藥東洋旗下</t>
    <phoneticPr fontId="1" type="noConversion"/>
  </si>
  <si>
    <t>大江</t>
    <phoneticPr fontId="1" type="noConversion"/>
  </si>
  <si>
    <t>面膜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</si>
  <si>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</si>
  <si>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</si>
  <si>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</si>
  <si>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</si>
  <si>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</si>
  <si>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</si>
  <si>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27</t>
    <phoneticPr fontId="1" type="noConversion"/>
  </si>
  <si>
    <t>玻陶</t>
    <phoneticPr fontId="1" type="noConversion"/>
  </si>
  <si>
    <t>大戶</t>
    <phoneticPr fontId="1" type="noConversion"/>
  </si>
  <si>
    <t>法人</t>
    <phoneticPr fontId="1" type="noConversion"/>
  </si>
  <si>
    <t>融資</t>
    <phoneticPr fontId="1" type="noConversion"/>
  </si>
  <si>
    <t>內部人</t>
    <phoneticPr fontId="1" type="noConversion"/>
  </si>
  <si>
    <t>股息</t>
    <phoneticPr fontId="1" type="noConversion"/>
  </si>
  <si>
    <t>盈4</t>
    <phoneticPr fontId="1" type="noConversion"/>
  </si>
  <si>
    <t>現在價</t>
    <phoneticPr fontId="1" type="noConversion"/>
  </si>
  <si>
    <t>買賣價</t>
    <phoneticPr fontId="1" type="noConversion"/>
  </si>
  <si>
    <t>損益</t>
    <phoneticPr fontId="1" type="noConversion"/>
  </si>
  <si>
    <t>損益率</t>
    <phoneticPr fontId="1" type="noConversion"/>
  </si>
  <si>
    <t>買進日期</t>
    <phoneticPr fontId="1" type="noConversion"/>
  </si>
  <si>
    <t>賣出日期</t>
    <phoneticPr fontId="1" type="noConversion"/>
  </si>
  <si>
    <t>天數</t>
    <phoneticPr fontId="1" type="noConversion"/>
  </si>
  <si>
    <t>預周</t>
    <phoneticPr fontId="1" type="noConversion"/>
  </si>
  <si>
    <t>預估量</t>
    <phoneticPr fontId="1" type="noConversion"/>
  </si>
  <si>
    <t>台玻</t>
    <phoneticPr fontId="1" type="noConversion"/>
  </si>
  <si>
    <t>玻璃</t>
    <phoneticPr fontId="1" type="noConversion"/>
  </si>
  <si>
    <t>冠軍</t>
    <phoneticPr fontId="1" type="noConversion"/>
  </si>
  <si>
    <t>瓷磚</t>
    <phoneticPr fontId="1" type="noConversion"/>
  </si>
  <si>
    <t>中釉</t>
    <phoneticPr fontId="1" type="noConversion"/>
  </si>
  <si>
    <t>釉料</t>
    <phoneticPr fontId="1" type="noConversion"/>
  </si>
  <si>
    <t>和成</t>
    <phoneticPr fontId="1" type="noConversion"/>
  </si>
  <si>
    <t>衛浴</t>
    <phoneticPr fontId="1" type="noConversion"/>
  </si>
  <si>
    <t>凱撒衛</t>
    <phoneticPr fontId="1" type="noConversion"/>
  </si>
  <si>
    <t>造紙</t>
    <phoneticPr fontId="1" type="noConversion"/>
  </si>
  <si>
    <t>士紙</t>
    <phoneticPr fontId="1" type="noConversion"/>
  </si>
  <si>
    <t>白紙板</t>
    <phoneticPr fontId="1" type="noConversion"/>
  </si>
  <si>
    <t>正隆</t>
    <phoneticPr fontId="1" type="noConversion"/>
  </si>
  <si>
    <t>工紙3雄</t>
    <phoneticPr fontId="1" type="noConversion"/>
  </si>
  <si>
    <t>華紙</t>
    <phoneticPr fontId="1" type="noConversion"/>
  </si>
  <si>
    <t>紙漿</t>
    <phoneticPr fontId="1" type="noConversion"/>
  </si>
  <si>
    <t>寶隆</t>
    <phoneticPr fontId="1" type="noConversion"/>
  </si>
  <si>
    <t>工業紙</t>
    <phoneticPr fontId="1" type="noConversion"/>
  </si>
  <si>
    <t>永豐餘</t>
    <phoneticPr fontId="1" type="noConversion"/>
  </si>
  <si>
    <t>榮成</t>
    <phoneticPr fontId="1" type="noConversion"/>
  </si>
  <si>
    <t>16</t>
    <phoneticPr fontId="1" type="noConversion"/>
  </si>
  <si>
    <t>鋼鐵</t>
    <phoneticPr fontId="1" type="noConversion"/>
  </si>
  <si>
    <t>1573</t>
    <phoneticPr fontId="1" type="noConversion"/>
  </si>
  <si>
    <t>中鋼</t>
    <phoneticPr fontId="1" type="noConversion"/>
  </si>
  <si>
    <t>東和鋼鐵</t>
    <phoneticPr fontId="1" type="noConversion"/>
  </si>
  <si>
    <t>型鋼鋼筋</t>
    <phoneticPr fontId="1" type="noConversion"/>
  </si>
  <si>
    <t>燁興</t>
    <phoneticPr fontId="1" type="noConversion"/>
  </si>
  <si>
    <t>不鏽鋼線材</t>
    <phoneticPr fontId="1" type="noConversion"/>
  </si>
  <si>
    <t>高興昌</t>
    <phoneticPr fontId="1" type="noConversion"/>
  </si>
  <si>
    <t>制管雙雄</t>
    <phoneticPr fontId="1" type="noConversion"/>
  </si>
  <si>
    <t>第一銅</t>
    <phoneticPr fontId="1" type="noConversion"/>
  </si>
  <si>
    <t>銅產品</t>
    <phoneticPr fontId="1" type="noConversion"/>
  </si>
  <si>
    <t>春源</t>
    <phoneticPr fontId="1" type="noConversion"/>
  </si>
  <si>
    <t>鋼鐵剪裁通路</t>
    <phoneticPr fontId="1" type="noConversion"/>
  </si>
  <si>
    <t>春雨</t>
    <phoneticPr fontId="1" type="noConversion"/>
  </si>
  <si>
    <t>線材螺絲</t>
    <phoneticPr fontId="1" type="noConversion"/>
  </si>
  <si>
    <t>中鋼構</t>
    <phoneticPr fontId="1" type="noConversion"/>
  </si>
  <si>
    <t>鋼結構中鋼旗下</t>
    <phoneticPr fontId="1" type="noConversion"/>
  </si>
  <si>
    <t>中鴻</t>
    <phoneticPr fontId="1" type="noConversion"/>
  </si>
  <si>
    <t>熱軋中鋼旗下</t>
    <phoneticPr fontId="1" type="noConversion"/>
  </si>
  <si>
    <t>豐興</t>
    <phoneticPr fontId="1" type="noConversion"/>
  </si>
  <si>
    <t>官田鋼</t>
    <phoneticPr fontId="1" type="noConversion"/>
  </si>
  <si>
    <t>盤元和鐵絲</t>
    <phoneticPr fontId="1" type="noConversion"/>
  </si>
  <si>
    <t>美亞</t>
    <phoneticPr fontId="1" type="noConversion"/>
  </si>
  <si>
    <t>聚亨</t>
    <phoneticPr fontId="1" type="noConversion"/>
  </si>
  <si>
    <t>線材盤元</t>
    <phoneticPr fontId="1" type="noConversion"/>
  </si>
  <si>
    <t>燁輝</t>
    <phoneticPr fontId="1" type="noConversion"/>
  </si>
  <si>
    <t>鍍鋅烤漆義聯集團</t>
    <phoneticPr fontId="1" type="noConversion"/>
  </si>
  <si>
    <t>志聯</t>
    <phoneticPr fontId="1" type="noConversion"/>
  </si>
  <si>
    <t>鋼棒鋼線</t>
    <phoneticPr fontId="1" type="noConversion"/>
  </si>
  <si>
    <t>千興</t>
    <phoneticPr fontId="1" type="noConversion"/>
  </si>
  <si>
    <t>冷軋</t>
    <phoneticPr fontId="1" type="noConversion"/>
  </si>
  <si>
    <t>大成鋼</t>
    <phoneticPr fontId="1" type="noConversion"/>
  </si>
  <si>
    <t>威致</t>
    <phoneticPr fontId="1" type="noConversion"/>
  </si>
  <si>
    <t>盛餘</t>
    <phoneticPr fontId="1" type="noConversion"/>
  </si>
  <si>
    <t>鋼卷</t>
    <phoneticPr fontId="1" type="noConversion"/>
  </si>
  <si>
    <t>彰源</t>
    <phoneticPr fontId="1" type="noConversion"/>
  </si>
  <si>
    <t>新光鋼</t>
    <phoneticPr fontId="1" type="noConversion"/>
  </si>
  <si>
    <t>鋼剪裁</t>
    <phoneticPr fontId="1" type="noConversion"/>
  </si>
  <si>
    <t>新鋼</t>
    <phoneticPr fontId="1" type="noConversion"/>
  </si>
  <si>
    <t>不鏽鋼剪裁</t>
    <phoneticPr fontId="1" type="noConversion"/>
  </si>
  <si>
    <t>佳大</t>
    <phoneticPr fontId="1" type="noConversion"/>
  </si>
  <si>
    <t>鋼線鋼纜產品</t>
    <phoneticPr fontId="1" type="noConversion"/>
  </si>
  <si>
    <t>允強</t>
    <phoneticPr fontId="1" type="noConversion"/>
  </si>
  <si>
    <t>唐榮</t>
    <phoneticPr fontId="1" type="noConversion"/>
  </si>
  <si>
    <t>不鏽鋼</t>
    <phoneticPr fontId="1" type="noConversion"/>
  </si>
  <si>
    <t>海光</t>
    <phoneticPr fontId="1" type="noConversion"/>
  </si>
  <si>
    <t>世鎧</t>
    <phoneticPr fontId="1" type="noConversion"/>
  </si>
  <si>
    <t>螺絲</t>
    <phoneticPr fontId="1" type="noConversion"/>
  </si>
  <si>
    <t>晉椿</t>
    <phoneticPr fontId="1" type="noConversion"/>
  </si>
  <si>
    <t>棒鋼</t>
    <phoneticPr fontId="1" type="noConversion"/>
  </si>
  <si>
    <t>5.26</t>
    <phoneticPr fontId="1" type="noConversion"/>
  </si>
  <si>
    <t>世豐</t>
    <phoneticPr fontId="1" type="noConversion"/>
  </si>
  <si>
    <t>運錩</t>
    <phoneticPr fontId="1" type="noConversion"/>
  </si>
  <si>
    <t>長榮鋼</t>
    <phoneticPr fontId="1" type="noConversion"/>
  </si>
  <si>
    <t>豐達科</t>
    <phoneticPr fontId="1" type="noConversion"/>
  </si>
  <si>
    <t>航太扣件</t>
    <phoneticPr fontId="1" type="noConversion"/>
  </si>
  <si>
    <t>三星</t>
    <phoneticPr fontId="1" type="noConversion"/>
  </si>
  <si>
    <t>螺帽</t>
    <phoneticPr fontId="1" type="noConversion"/>
  </si>
  <si>
    <t>榮剛</t>
    <phoneticPr fontId="1" type="noConversion"/>
  </si>
  <si>
    <t>合金棒鋼台灣鋼鐵旗下</t>
    <phoneticPr fontId="1" type="noConversion"/>
  </si>
  <si>
    <t>久陽</t>
    <phoneticPr fontId="1" type="noConversion"/>
  </si>
  <si>
    <t>螺絲帽台鋼旗下</t>
    <phoneticPr fontId="1" type="noConversion"/>
  </si>
  <si>
    <t>強新</t>
    <phoneticPr fontId="1" type="noConversion"/>
  </si>
  <si>
    <t>拋光管件</t>
    <phoneticPr fontId="1" type="noConversion"/>
  </si>
  <si>
    <t>建錩</t>
    <phoneticPr fontId="1" type="noConversion"/>
  </si>
  <si>
    <t>不鏽鋼板裁剪</t>
    <phoneticPr fontId="1" type="noConversion"/>
  </si>
  <si>
    <t>華祺</t>
    <phoneticPr fontId="1" type="noConversion"/>
  </si>
  <si>
    <t>松和</t>
    <phoneticPr fontId="1" type="noConversion"/>
  </si>
  <si>
    <t>鋼纜</t>
    <phoneticPr fontId="1" type="noConversion"/>
  </si>
  <si>
    <t>東明KY</t>
    <phoneticPr fontId="1" type="noConversion"/>
  </si>
  <si>
    <t>沛波</t>
    <phoneticPr fontId="1" type="noConversion"/>
  </si>
  <si>
    <t>恒耀</t>
    <phoneticPr fontId="1" type="noConversion"/>
  </si>
  <si>
    <t>扣件車用</t>
    <phoneticPr fontId="1" type="noConversion"/>
  </si>
  <si>
    <t>大國鋼</t>
    <phoneticPr fontId="1" type="noConversion"/>
  </si>
  <si>
    <t>螺絲大成鋼投資</t>
    <phoneticPr fontId="1" type="noConversion"/>
  </si>
  <si>
    <t>青鋼</t>
    <phoneticPr fontId="1" type="noConversion"/>
  </si>
  <si>
    <t>輕鋼架</t>
    <phoneticPr fontId="1" type="noConversion"/>
  </si>
  <si>
    <t>世紀鋼</t>
    <phoneticPr fontId="1" type="noConversion"/>
  </si>
  <si>
    <t>鋼構工程</t>
    <phoneticPr fontId="1" type="noConversion"/>
  </si>
  <si>
    <t>有益</t>
    <phoneticPr fontId="1" type="noConversion"/>
  </si>
  <si>
    <t>不鏽鋼厚板</t>
    <phoneticPr fontId="1" type="noConversion"/>
  </si>
  <si>
    <t>橡膠</t>
    <phoneticPr fontId="1" type="noConversion"/>
  </si>
  <si>
    <t>南港</t>
    <phoneticPr fontId="1" type="noConversion"/>
  </si>
  <si>
    <t>輪胎土地</t>
    <phoneticPr fontId="1" type="noConversion"/>
  </si>
  <si>
    <t>泰豐</t>
    <phoneticPr fontId="1" type="noConversion"/>
  </si>
  <si>
    <t>輪胎</t>
    <phoneticPr fontId="1" type="noConversion"/>
  </si>
  <si>
    <t>台橡</t>
    <phoneticPr fontId="1" type="noConversion"/>
  </si>
  <si>
    <t>國際中橡</t>
    <phoneticPr fontId="1" type="noConversion"/>
  </si>
  <si>
    <t>碳煙和信旗下</t>
    <phoneticPr fontId="1" type="noConversion"/>
  </si>
  <si>
    <t>正新</t>
    <phoneticPr fontId="1" type="noConversion"/>
  </si>
  <si>
    <t>建大</t>
    <phoneticPr fontId="1" type="noConversion"/>
  </si>
  <si>
    <t>厚生</t>
    <phoneticPr fontId="1" type="noConversion"/>
  </si>
  <si>
    <t>營建</t>
    <phoneticPr fontId="1" type="noConversion"/>
  </si>
  <si>
    <t>南帝</t>
    <phoneticPr fontId="1" type="noConversion"/>
  </si>
  <si>
    <t>乳膠</t>
    <phoneticPr fontId="1" type="noConversion"/>
  </si>
  <si>
    <t>華豐</t>
    <phoneticPr fontId="1" type="noConversion"/>
  </si>
  <si>
    <t>7.09</t>
    <phoneticPr fontId="1" type="noConversion"/>
  </si>
  <si>
    <t>鑫永銓</t>
    <phoneticPr fontId="1" type="noConversion"/>
  </si>
  <si>
    <t>橡膠輸送帶</t>
    <phoneticPr fontId="1" type="noConversion"/>
  </si>
  <si>
    <t>富強</t>
    <phoneticPr fontId="1" type="noConversion"/>
  </si>
  <si>
    <t>再生胎</t>
    <phoneticPr fontId="1" type="noConversion"/>
  </si>
  <si>
    <t>申豐</t>
    <phoneticPr fontId="1" type="noConversion"/>
  </si>
  <si>
    <t>乳膠永豐余旗下</t>
    <phoneticPr fontId="1" type="noConversion"/>
  </si>
  <si>
    <t>22</t>
    <phoneticPr fontId="1" type="noConversion"/>
  </si>
  <si>
    <t>汽車</t>
    <phoneticPr fontId="1" type="noConversion"/>
  </si>
  <si>
    <t>東陽</t>
    <phoneticPr fontId="1" type="noConversion"/>
  </si>
  <si>
    <t>汽車塑件</t>
    <phoneticPr fontId="1" type="noConversion"/>
  </si>
  <si>
    <t>廣華KY</t>
    <phoneticPr fontId="1" type="noConversion"/>
  </si>
  <si>
    <t>塑膠內飾</t>
    <phoneticPr fontId="1" type="noConversion"/>
  </si>
  <si>
    <t>昭輝</t>
    <phoneticPr fontId="1" type="noConversion"/>
  </si>
  <si>
    <t>瑞利</t>
    <phoneticPr fontId="1" type="noConversion"/>
  </si>
  <si>
    <t>汽車鈑金</t>
    <phoneticPr fontId="1" type="noConversion"/>
  </si>
  <si>
    <t>大億</t>
    <phoneticPr fontId="1" type="noConversion"/>
  </si>
  <si>
    <t>堤維西</t>
    <phoneticPr fontId="1" type="noConversion"/>
  </si>
  <si>
    <t>耿鼎</t>
    <phoneticPr fontId="1" type="noConversion"/>
  </si>
  <si>
    <t>鈑金件</t>
    <phoneticPr fontId="1" type="noConversion"/>
  </si>
  <si>
    <t>江申</t>
    <phoneticPr fontId="1" type="noConversion"/>
  </si>
  <si>
    <t>車底盤</t>
    <phoneticPr fontId="1" type="noConversion"/>
  </si>
  <si>
    <t>車王電</t>
    <phoneticPr fontId="1" type="noConversion"/>
  </si>
  <si>
    <t>車用電子零件</t>
    <phoneticPr fontId="1" type="noConversion"/>
  </si>
  <si>
    <t>和大</t>
    <phoneticPr fontId="1" type="noConversion"/>
  </si>
  <si>
    <t>減速齒輪Tesla電動車3雄</t>
    <phoneticPr fontId="1" type="noConversion"/>
  </si>
  <si>
    <t>倉佑</t>
    <phoneticPr fontId="1" type="noConversion"/>
  </si>
  <si>
    <t>變速箱零件</t>
    <phoneticPr fontId="1" type="noConversion"/>
  </si>
  <si>
    <t>吉茂</t>
    <phoneticPr fontId="1" type="noConversion"/>
  </si>
  <si>
    <t>汽車水箱</t>
    <phoneticPr fontId="1" type="noConversion"/>
  </si>
  <si>
    <t>帝寶</t>
    <phoneticPr fontId="1" type="noConversion"/>
  </si>
  <si>
    <t>麗正</t>
    <phoneticPr fontId="1" type="noConversion"/>
  </si>
  <si>
    <t>茂矽</t>
    <phoneticPr fontId="1" type="noConversion"/>
  </si>
  <si>
    <t>華邦電</t>
    <phoneticPr fontId="1" type="noConversion"/>
  </si>
  <si>
    <t>菱生</t>
    <phoneticPr fontId="1" type="noConversion"/>
  </si>
  <si>
    <t>聯詠</t>
    <phoneticPr fontId="1" type="noConversion"/>
  </si>
  <si>
    <t>揚智</t>
    <phoneticPr fontId="1" type="noConversion"/>
  </si>
  <si>
    <t>立萬利</t>
    <phoneticPr fontId="1" type="noConversion"/>
  </si>
  <si>
    <t>景碩</t>
    <phoneticPr fontId="1" type="noConversion"/>
  </si>
  <si>
    <t>原相</t>
    <phoneticPr fontId="1" type="noConversion"/>
  </si>
  <si>
    <t>金麗科</t>
    <phoneticPr fontId="1" type="noConversion"/>
  </si>
  <si>
    <t>虹冠電</t>
    <phoneticPr fontId="1" type="noConversion"/>
  </si>
  <si>
    <t>鑫創</t>
    <phoneticPr fontId="1" type="noConversion"/>
  </si>
  <si>
    <t>典範</t>
    <phoneticPr fontId="1" type="noConversion"/>
  </si>
  <si>
    <t>誠創</t>
    <phoneticPr fontId="1" type="noConversion"/>
  </si>
  <si>
    <t>逸昌</t>
    <phoneticPr fontId="1" type="noConversion"/>
  </si>
  <si>
    <t>世芯KY</t>
    <phoneticPr fontId="1" type="noConversion"/>
  </si>
  <si>
    <t>漢磊</t>
    <phoneticPr fontId="1" type="noConversion"/>
  </si>
  <si>
    <t>譜瑞KY</t>
    <phoneticPr fontId="1" type="noConversion"/>
  </si>
  <si>
    <t>IET-KY</t>
    <phoneticPr fontId="1" type="noConversion"/>
  </si>
  <si>
    <t>笙科</t>
    <phoneticPr fontId="1" type="noConversion"/>
  </si>
  <si>
    <t>世紀</t>
    <phoneticPr fontId="1" type="noConversion"/>
  </si>
  <si>
    <t>凱鈺</t>
    <phoneticPr fontId="1" type="noConversion"/>
  </si>
  <si>
    <t>松翰</t>
    <phoneticPr fontId="1" type="noConversion"/>
  </si>
  <si>
    <t>普誠</t>
    <phoneticPr fontId="1" type="noConversion"/>
  </si>
  <si>
    <t>旺矽</t>
    <phoneticPr fontId="1" type="noConversion"/>
  </si>
  <si>
    <t>矽格</t>
    <phoneticPr fontId="1" type="noConversion"/>
  </si>
  <si>
    <t>大中</t>
    <phoneticPr fontId="1" type="noConversion"/>
  </si>
  <si>
    <t>晶心科</t>
    <phoneticPr fontId="1" type="noConversion"/>
  </si>
  <si>
    <t>宏觀</t>
    <phoneticPr fontId="1" type="noConversion"/>
  </si>
  <si>
    <t>展匯科</t>
    <phoneticPr fontId="1" type="noConversion"/>
  </si>
  <si>
    <t>矽創</t>
    <phoneticPr fontId="1" type="noConversion"/>
  </si>
  <si>
    <t>安國</t>
    <phoneticPr fontId="1" type="noConversion"/>
  </si>
  <si>
    <t>華東</t>
    <phoneticPr fontId="1" type="noConversion"/>
  </si>
  <si>
    <t>福懋科</t>
    <phoneticPr fontId="1" type="noConversion"/>
  </si>
  <si>
    <t>宇瞻</t>
    <phoneticPr fontId="1" type="noConversion"/>
  </si>
  <si>
    <t>商丞</t>
    <phoneticPr fontId="1" type="noConversion"/>
  </si>
  <si>
    <t>群聯</t>
    <phoneticPr fontId="1" type="noConversion"/>
  </si>
  <si>
    <t>04</t>
    <phoneticPr fontId="1" type="noConversion"/>
  </si>
  <si>
    <t>光寶科</t>
    <phoneticPr fontId="1" type="noConversion"/>
  </si>
  <si>
    <t>宏碁</t>
    <phoneticPr fontId="1" type="noConversion"/>
  </si>
  <si>
    <t>昆盈</t>
    <phoneticPr fontId="1" type="noConversion"/>
  </si>
  <si>
    <t>技嘉</t>
    <phoneticPr fontId="1" type="noConversion"/>
  </si>
  <si>
    <t>虹光</t>
    <phoneticPr fontId="1" type="noConversion"/>
  </si>
  <si>
    <t>浩鑫</t>
    <phoneticPr fontId="1" type="noConversion"/>
  </si>
  <si>
    <t>新美齊</t>
    <phoneticPr fontId="1" type="noConversion"/>
  </si>
  <si>
    <t>麗台</t>
    <phoneticPr fontId="1" type="noConversion"/>
  </si>
  <si>
    <t>歐格</t>
    <phoneticPr fontId="1" type="noConversion"/>
  </si>
  <si>
    <t>晟銘電</t>
    <phoneticPr fontId="1" type="noConversion"/>
  </si>
  <si>
    <t>建碁</t>
    <phoneticPr fontId="1" type="noConversion"/>
  </si>
  <si>
    <t>順達</t>
    <phoneticPr fontId="1" type="noConversion"/>
  </si>
  <si>
    <t>曜越</t>
    <phoneticPr fontId="1" type="noConversion"/>
  </si>
  <si>
    <t>大眾控</t>
    <phoneticPr fontId="1" type="noConversion"/>
  </si>
  <si>
    <t>科嘉KY</t>
    <phoneticPr fontId="1" type="noConversion"/>
  </si>
  <si>
    <t>宜鼎</t>
    <phoneticPr fontId="1" type="noConversion"/>
  </si>
  <si>
    <t>迎廣</t>
    <phoneticPr fontId="1" type="noConversion"/>
  </si>
  <si>
    <t>新普</t>
    <phoneticPr fontId="1" type="noConversion"/>
  </si>
  <si>
    <t>廣明</t>
    <phoneticPr fontId="1" type="noConversion"/>
  </si>
  <si>
    <t>SSD代工廣達旗下</t>
    <phoneticPr fontId="1" type="noConversion"/>
  </si>
  <si>
    <t>飛捷</t>
    <phoneticPr fontId="1" type="noConversion"/>
  </si>
  <si>
    <t>POS新零售</t>
    <phoneticPr fontId="1" type="noConversion"/>
  </si>
  <si>
    <t>全譜</t>
    <phoneticPr fontId="1" type="noConversion"/>
  </si>
  <si>
    <t>生物影像</t>
    <phoneticPr fontId="1" type="noConversion"/>
  </si>
  <si>
    <t>尼得科超眾</t>
    <phoneticPr fontId="1" type="noConversion"/>
  </si>
  <si>
    <t>散熱3</t>
    <phoneticPr fontId="1" type="noConversion"/>
  </si>
  <si>
    <t>華孚</t>
    <phoneticPr fontId="1" type="noConversion"/>
  </si>
  <si>
    <t>NB外殼</t>
    <phoneticPr fontId="1" type="noConversion"/>
  </si>
  <si>
    <t>安鈦克</t>
    <phoneticPr fontId="1" type="noConversion"/>
  </si>
  <si>
    <t>宏正</t>
    <phoneticPr fontId="1" type="noConversion"/>
  </si>
  <si>
    <t>KVM</t>
    <phoneticPr fontId="1" type="noConversion"/>
  </si>
  <si>
    <t>廣錠</t>
    <phoneticPr fontId="1" type="noConversion"/>
  </si>
  <si>
    <t>博弈廣積旗下</t>
    <phoneticPr fontId="1" type="noConversion"/>
  </si>
  <si>
    <t>維田</t>
    <phoneticPr fontId="1" type="noConversion"/>
  </si>
  <si>
    <t>勁豐</t>
    <phoneticPr fontId="1" type="noConversion"/>
  </si>
  <si>
    <t>工業電腦豐藝旗下</t>
    <phoneticPr fontId="1" type="noConversion"/>
  </si>
  <si>
    <t>研揚</t>
    <phoneticPr fontId="1" type="noConversion"/>
  </si>
  <si>
    <t>緯穎</t>
    <phoneticPr fontId="1" type="noConversion"/>
  </si>
  <si>
    <t>雲端緯創旗下</t>
    <phoneticPr fontId="1" type="noConversion"/>
  </si>
  <si>
    <t>鑫創電子</t>
    <phoneticPr fontId="1" type="noConversion"/>
  </si>
  <si>
    <t>車載電腦</t>
    <phoneticPr fontId="1" type="noConversion"/>
  </si>
  <si>
    <t>廣積</t>
    <phoneticPr fontId="1" type="noConversion"/>
  </si>
  <si>
    <t>伍豐</t>
    <phoneticPr fontId="1" type="noConversion"/>
  </si>
  <si>
    <t>賭場新零售</t>
    <phoneticPr fontId="1" type="noConversion"/>
  </si>
  <si>
    <t>振樺電</t>
    <phoneticPr fontId="1" type="noConversion"/>
  </si>
  <si>
    <t>達方</t>
    <phoneticPr fontId="1" type="noConversion"/>
  </si>
  <si>
    <t>鍵盤明基友達旗下</t>
    <phoneticPr fontId="1" type="noConversion"/>
  </si>
  <si>
    <t>勤誠</t>
    <phoneticPr fontId="1" type="noConversion"/>
  </si>
  <si>
    <t>新漢</t>
    <phoneticPr fontId="1" type="noConversion"/>
  </si>
  <si>
    <t>森田</t>
    <phoneticPr fontId="1" type="noConversion"/>
  </si>
  <si>
    <t>熱轉印</t>
    <phoneticPr fontId="1" type="noConversion"/>
  </si>
  <si>
    <t>偉聯</t>
    <phoneticPr fontId="1" type="noConversion"/>
  </si>
  <si>
    <t>顯示器</t>
    <phoneticPr fontId="1" type="noConversion"/>
  </si>
  <si>
    <t>光電</t>
    <phoneticPr fontId="1" type="noConversion"/>
  </si>
  <si>
    <t>中環</t>
    <phoneticPr fontId="1" type="noConversion"/>
  </si>
  <si>
    <t>光碟片</t>
    <phoneticPr fontId="1" type="noConversion"/>
  </si>
  <si>
    <t>光磊</t>
    <phoneticPr fontId="1" type="noConversion"/>
  </si>
  <si>
    <t>LED晶粒日亞化授權</t>
    <phoneticPr fontId="1" type="noConversion"/>
  </si>
  <si>
    <t>錸德</t>
    <phoneticPr fontId="1" type="noConversion"/>
  </si>
  <si>
    <t>佳能</t>
    <phoneticPr fontId="1" type="noConversion"/>
  </si>
  <si>
    <t>相機組裝</t>
    <phoneticPr fontId="1" type="noConversion"/>
  </si>
  <si>
    <t>億光</t>
    <phoneticPr fontId="1" type="noConversion"/>
  </si>
  <si>
    <t>太陽能矽晶圓轉投資碩禾</t>
    <phoneticPr fontId="1" type="noConversion"/>
  </si>
  <si>
    <t>鼎元</t>
    <phoneticPr fontId="1" type="noConversion"/>
  </si>
  <si>
    <t>LED晶粒</t>
    <phoneticPr fontId="1" type="noConversion"/>
  </si>
  <si>
    <t>翔耀</t>
    <phoneticPr fontId="1" type="noConversion"/>
  </si>
  <si>
    <t>玻璃基板</t>
    <phoneticPr fontId="1" type="noConversion"/>
  </si>
  <si>
    <t>冠西電</t>
    <phoneticPr fontId="1" type="noConversion"/>
  </si>
  <si>
    <t>光纖耦合器</t>
    <phoneticPr fontId="1" type="noConversion"/>
  </si>
  <si>
    <t>一詮</t>
    <phoneticPr fontId="1" type="noConversion"/>
  </si>
  <si>
    <t>瑞軒</t>
    <phoneticPr fontId="1" type="noConversion"/>
  </si>
  <si>
    <t>電視</t>
    <phoneticPr fontId="1" type="noConversion"/>
  </si>
  <si>
    <t>吉祥全</t>
    <phoneticPr fontId="1" type="noConversion"/>
  </si>
  <si>
    <t>LED照明</t>
    <phoneticPr fontId="1" type="noConversion"/>
  </si>
  <si>
    <t>手機鏡頭</t>
    <phoneticPr fontId="1" type="noConversion"/>
  </si>
  <si>
    <t>亞光</t>
    <phoneticPr fontId="1" type="noConversion"/>
  </si>
  <si>
    <t>憶聲</t>
    <phoneticPr fontId="1" type="noConversion"/>
  </si>
  <si>
    <t>家電歌林轉投資</t>
    <phoneticPr fontId="1" type="noConversion"/>
  </si>
  <si>
    <t>佰鴻</t>
    <phoneticPr fontId="1" type="noConversion"/>
  </si>
  <si>
    <t>LED封裝</t>
    <phoneticPr fontId="1" type="noConversion"/>
  </si>
  <si>
    <t>全台</t>
    <phoneticPr fontId="1" type="noConversion"/>
  </si>
  <si>
    <t>面板模組</t>
    <phoneticPr fontId="1" type="noConversion"/>
  </si>
  <si>
    <t>和鑫</t>
    <phoneticPr fontId="1" type="noConversion"/>
  </si>
  <si>
    <t>觸控面板華新旗下彩晶轉投資</t>
    <phoneticPr fontId="1" type="noConversion"/>
  </si>
  <si>
    <t>鈺德</t>
    <phoneticPr fontId="1" type="noConversion"/>
  </si>
  <si>
    <t>太陽能錸德旗下</t>
    <phoneticPr fontId="1" type="noConversion"/>
  </si>
  <si>
    <t>力特</t>
    <phoneticPr fontId="1" type="noConversion"/>
  </si>
  <si>
    <t>偏光板</t>
    <phoneticPr fontId="1" type="noConversion"/>
  </si>
  <si>
    <t>華晶科</t>
    <phoneticPr fontId="1" type="noConversion"/>
  </si>
  <si>
    <t>數位影像</t>
    <phoneticPr fontId="1" type="noConversion"/>
  </si>
  <si>
    <t>李洲</t>
    <phoneticPr fontId="1" type="noConversion"/>
  </si>
  <si>
    <t>昇銳</t>
    <phoneticPr fontId="1" type="noConversion"/>
  </si>
  <si>
    <t>安控</t>
    <phoneticPr fontId="1" type="noConversion"/>
  </si>
  <si>
    <t>正達</t>
    <phoneticPr fontId="1" type="noConversion"/>
  </si>
  <si>
    <t>玻璃加工鴻海旗下</t>
    <phoneticPr fontId="1" type="noConversion"/>
  </si>
  <si>
    <t>錦明</t>
    <phoneticPr fontId="1" type="noConversion"/>
  </si>
  <si>
    <t>杭特</t>
    <phoneticPr fontId="1" type="noConversion"/>
  </si>
  <si>
    <t>安全監控</t>
    <phoneticPr fontId="1" type="noConversion"/>
  </si>
  <si>
    <t>泰谷</t>
    <phoneticPr fontId="1" type="noConversion"/>
  </si>
  <si>
    <t>奇偶</t>
    <phoneticPr fontId="1" type="noConversion"/>
  </si>
  <si>
    <t>先進光</t>
    <phoneticPr fontId="1" type="noConversion"/>
  </si>
  <si>
    <t>IT鏡頭</t>
    <phoneticPr fontId="1" type="noConversion"/>
  </si>
  <si>
    <t>新世紀</t>
    <phoneticPr fontId="1" type="noConversion"/>
  </si>
  <si>
    <t>LED晶粒群光旗下</t>
    <phoneticPr fontId="1" type="noConversion"/>
  </si>
  <si>
    <t>玉晶光</t>
    <phoneticPr fontId="1" type="noConversion"/>
  </si>
  <si>
    <t>鏡頭3D感測</t>
    <phoneticPr fontId="1" type="noConversion"/>
  </si>
  <si>
    <t>哲固</t>
    <phoneticPr fontId="1" type="noConversion"/>
  </si>
  <si>
    <t>榮創</t>
    <phoneticPr fontId="1" type="noConversion"/>
  </si>
  <si>
    <t>LED封裝鴻海旗下</t>
    <phoneticPr fontId="1" type="noConversion"/>
  </si>
  <si>
    <t>聯一光</t>
    <phoneticPr fontId="1" type="noConversion"/>
  </si>
  <si>
    <t>光學鏡頭上游</t>
    <phoneticPr fontId="1" type="noConversion"/>
  </si>
  <si>
    <t>晶睿</t>
    <phoneticPr fontId="1" type="noConversion"/>
  </si>
  <si>
    <t>IP Camera</t>
    <phoneticPr fontId="1" type="noConversion"/>
  </si>
  <si>
    <t>由田</t>
    <phoneticPr fontId="1" type="noConversion"/>
  </si>
  <si>
    <t>面板鴻海旗下</t>
    <phoneticPr fontId="1" type="noConversion"/>
  </si>
  <si>
    <t>單井</t>
    <phoneticPr fontId="1" type="noConversion"/>
  </si>
  <si>
    <t>半導體封裝模具</t>
    <phoneticPr fontId="1" type="noConversion"/>
  </si>
  <si>
    <t>揚名光</t>
    <phoneticPr fontId="1" type="noConversion"/>
  </si>
  <si>
    <t>微投影</t>
    <phoneticPr fontId="1" type="noConversion"/>
  </si>
  <si>
    <t>亞帝歐</t>
    <phoneticPr fontId="1" type="noConversion"/>
  </si>
  <si>
    <t>先益</t>
    <phoneticPr fontId="1" type="noConversion"/>
  </si>
  <si>
    <t>背光模組</t>
    <phoneticPr fontId="1" type="noConversion"/>
  </si>
  <si>
    <t>晶彩科</t>
    <phoneticPr fontId="1" type="noConversion"/>
  </si>
  <si>
    <t>檢測設備</t>
    <phoneticPr fontId="1" type="noConversion"/>
  </si>
  <si>
    <t>州巧</t>
    <phoneticPr fontId="1" type="noConversion"/>
  </si>
  <si>
    <t>牧德</t>
    <phoneticPr fontId="1" type="noConversion"/>
  </si>
  <si>
    <t>光學檢測</t>
    <phoneticPr fontId="1" type="noConversion"/>
  </si>
  <si>
    <t>聯合再生</t>
    <phoneticPr fontId="1" type="noConversion"/>
  </si>
  <si>
    <t>太陽能4大模組</t>
    <phoneticPr fontId="1" type="noConversion"/>
  </si>
  <si>
    <t>艾笛森</t>
    <phoneticPr fontId="1" type="noConversion"/>
  </si>
  <si>
    <t>LED產品</t>
    <phoneticPr fontId="1" type="noConversion"/>
  </si>
  <si>
    <t>安可</t>
    <phoneticPr fontId="1" type="noConversion"/>
  </si>
  <si>
    <t>導電玻璃錸德轉投資</t>
    <phoneticPr fontId="1" type="noConversion"/>
  </si>
  <si>
    <t>洋華</t>
    <phoneticPr fontId="1" type="noConversion"/>
  </si>
  <si>
    <t>觸控面板健身器材</t>
    <phoneticPr fontId="1" type="noConversion"/>
  </si>
  <si>
    <t>富晶通</t>
    <phoneticPr fontId="1" type="noConversion"/>
  </si>
  <si>
    <t>觸控面板中環與富士通合資</t>
    <phoneticPr fontId="1" type="noConversion"/>
  </si>
  <si>
    <t>新钜科</t>
    <phoneticPr fontId="1" type="noConversion"/>
  </si>
  <si>
    <t>感測鏡頭</t>
    <phoneticPr fontId="1" type="noConversion"/>
  </si>
  <si>
    <t>光學膜/菱鏡片光群雷轉投資</t>
    <phoneticPr fontId="1" type="noConversion"/>
  </si>
  <si>
    <t>圓展</t>
    <phoneticPr fontId="1" type="noConversion"/>
  </si>
  <si>
    <t>攝影機圓剛轉投資</t>
    <phoneticPr fontId="1" type="noConversion"/>
  </si>
  <si>
    <t>TPK-KY</t>
    <phoneticPr fontId="1" type="noConversion"/>
  </si>
  <si>
    <t>觸控模組</t>
    <phoneticPr fontId="1" type="noConversion"/>
  </si>
  <si>
    <t>元創精密</t>
    <phoneticPr fontId="1" type="noConversion"/>
  </si>
  <si>
    <t>車用導光板</t>
    <phoneticPr fontId="1" type="noConversion"/>
  </si>
  <si>
    <t>碩禾</t>
    <phoneticPr fontId="1" type="noConversion"/>
  </si>
  <si>
    <t>太陽能導電漿國碩旗下</t>
    <phoneticPr fontId="1" type="noConversion"/>
  </si>
  <si>
    <t>新晶投控</t>
    <phoneticPr fontId="1" type="noConversion"/>
  </si>
  <si>
    <t>太陽能控股持股頂晶科</t>
    <phoneticPr fontId="1" type="noConversion"/>
  </si>
  <si>
    <t>富采投控</t>
    <phoneticPr fontId="1" type="noConversion"/>
  </si>
  <si>
    <t>熒茂</t>
    <phoneticPr fontId="1" type="noConversion"/>
  </si>
  <si>
    <t>觸控面板強茂轉投資</t>
    <phoneticPr fontId="1" type="noConversion"/>
  </si>
  <si>
    <t>友輝</t>
    <phoneticPr fontId="1" type="noConversion"/>
  </si>
  <si>
    <t>光學膜新纖轉投資</t>
    <phoneticPr fontId="1" type="noConversion"/>
  </si>
  <si>
    <t>太極</t>
    <phoneticPr fontId="1" type="noConversion"/>
  </si>
  <si>
    <t>茂林KY</t>
    <phoneticPr fontId="1" type="noConversion"/>
  </si>
  <si>
    <t>嘉彰</t>
    <phoneticPr fontId="1" type="noConversion"/>
  </si>
  <si>
    <t>兆遠</t>
    <phoneticPr fontId="1" type="noConversion"/>
  </si>
  <si>
    <t>LED藍寶石基板</t>
    <phoneticPr fontId="1" type="noConversion"/>
  </si>
  <si>
    <t>光鋐</t>
    <phoneticPr fontId="1" type="noConversion"/>
  </si>
  <si>
    <t>LED磊晶可成轉投資</t>
    <phoneticPr fontId="1" type="noConversion"/>
  </si>
  <si>
    <t>誠美材</t>
    <phoneticPr fontId="1" type="noConversion"/>
  </si>
  <si>
    <t>湯石照明</t>
    <phoneticPr fontId="1" type="noConversion"/>
  </si>
  <si>
    <t>LED燈具</t>
    <phoneticPr fontId="1" type="noConversion"/>
  </si>
  <si>
    <t>佳凌</t>
    <phoneticPr fontId="1" type="noConversion"/>
  </si>
  <si>
    <t>4.18</t>
    <phoneticPr fontId="1" type="noConversion"/>
  </si>
  <si>
    <t>晶達</t>
    <phoneticPr fontId="1" type="noConversion"/>
  </si>
  <si>
    <t>面板</t>
    <phoneticPr fontId="1" type="noConversion"/>
  </si>
  <si>
    <t>萬達光電</t>
    <phoneticPr fontId="1" type="noConversion"/>
  </si>
  <si>
    <t>萬達光</t>
    <phoneticPr fontId="1" type="noConversion"/>
  </si>
  <si>
    <t>觸控面板</t>
    <phoneticPr fontId="1" type="noConversion"/>
  </si>
  <si>
    <t>雷笛克</t>
    <phoneticPr fontId="1" type="noConversion"/>
  </si>
  <si>
    <t>LED透鏡</t>
    <phoneticPr fontId="1" type="noConversion"/>
  </si>
  <si>
    <t>達興材料</t>
    <phoneticPr fontId="1" type="noConversion"/>
  </si>
  <si>
    <t>化學材料友達大股東</t>
    <phoneticPr fontId="1" type="noConversion"/>
  </si>
  <si>
    <t>乙盛KY</t>
    <phoneticPr fontId="1" type="noConversion"/>
  </si>
  <si>
    <t>模具鴻海旗下</t>
    <phoneticPr fontId="1" type="noConversion"/>
  </si>
  <si>
    <t>智晶</t>
    <phoneticPr fontId="1" type="noConversion"/>
  </si>
  <si>
    <t>PMOLED</t>
    <phoneticPr fontId="1" type="noConversion"/>
  </si>
  <si>
    <t>天鉞電</t>
    <phoneticPr fontId="1" type="noConversion"/>
  </si>
  <si>
    <t>大峽谷KY</t>
    <phoneticPr fontId="1" type="noConversion"/>
  </si>
  <si>
    <t>光聯</t>
    <phoneticPr fontId="1" type="noConversion"/>
  </si>
  <si>
    <t>中光電</t>
    <phoneticPr fontId="1" type="noConversion"/>
  </si>
  <si>
    <t>應華</t>
    <phoneticPr fontId="1" type="noConversion"/>
  </si>
  <si>
    <t>機殼佳能轉投資</t>
    <phoneticPr fontId="1" type="noConversion"/>
  </si>
  <si>
    <t>達威</t>
    <phoneticPr fontId="1" type="noConversion"/>
  </si>
  <si>
    <t>均豪</t>
    <phoneticPr fontId="1" type="noConversion"/>
  </si>
  <si>
    <t>6.81</t>
    <phoneticPr fontId="1" type="noConversion"/>
  </si>
  <si>
    <t>慧友</t>
    <phoneticPr fontId="1" type="noConversion"/>
  </si>
  <si>
    <t>DVR</t>
    <phoneticPr fontId="1" type="noConversion"/>
  </si>
  <si>
    <t>彩晶</t>
    <phoneticPr fontId="1" type="noConversion"/>
  </si>
  <si>
    <t>觸控面板華新旗下</t>
    <phoneticPr fontId="1" type="noConversion"/>
  </si>
  <si>
    <t>達運</t>
    <phoneticPr fontId="1" type="noConversion"/>
  </si>
  <si>
    <t>背光模組友達旗下</t>
    <phoneticPr fontId="1" type="noConversion"/>
  </si>
  <si>
    <t>廣運</t>
    <phoneticPr fontId="1" type="noConversion"/>
  </si>
  <si>
    <t>華興</t>
    <phoneticPr fontId="1" type="noConversion"/>
  </si>
  <si>
    <t>LED照明元件和模組廠</t>
    <phoneticPr fontId="1" type="noConversion"/>
  </si>
  <si>
    <t>久正</t>
    <phoneticPr fontId="1" type="noConversion"/>
  </si>
  <si>
    <t>宏齊</t>
    <phoneticPr fontId="1" type="noConversion"/>
  </si>
  <si>
    <t>瑞儀</t>
    <phoneticPr fontId="1" type="noConversion"/>
  </si>
  <si>
    <t>今國光</t>
    <phoneticPr fontId="1" type="noConversion"/>
  </si>
  <si>
    <t>上揚</t>
    <phoneticPr fontId="1" type="noConversion"/>
  </si>
  <si>
    <t>天瀚</t>
    <phoneticPr fontId="1" type="noConversion"/>
  </si>
  <si>
    <t>DSC和DV</t>
    <phoneticPr fontId="1" type="noConversion"/>
  </si>
  <si>
    <t>光鼎</t>
    <phoneticPr fontId="1" type="noConversion"/>
  </si>
  <si>
    <t>高僑</t>
    <phoneticPr fontId="1" type="noConversion"/>
  </si>
  <si>
    <t>茂迪</t>
    <phoneticPr fontId="1" type="noConversion"/>
  </si>
  <si>
    <t>臺龍</t>
    <phoneticPr fontId="1" type="noConversion"/>
  </si>
  <si>
    <t>29.2</t>
    <phoneticPr fontId="1" type="noConversion"/>
  </si>
  <si>
    <t>台表科</t>
    <phoneticPr fontId="1" type="noConversion"/>
  </si>
  <si>
    <t>SMT代工</t>
    <phoneticPr fontId="1" type="noConversion"/>
  </si>
  <si>
    <t>華上</t>
    <phoneticPr fontId="1" type="noConversion"/>
  </si>
  <si>
    <t>LED晶粒磊晶片</t>
    <phoneticPr fontId="1" type="noConversion"/>
  </si>
  <si>
    <t>悅城</t>
    <phoneticPr fontId="1" type="noConversion"/>
  </si>
  <si>
    <t>京晨科</t>
    <phoneticPr fontId="1" type="noConversion"/>
  </si>
  <si>
    <t>光麗KY</t>
    <phoneticPr fontId="1" type="noConversion"/>
  </si>
  <si>
    <t>元晶</t>
    <phoneticPr fontId="1" type="noConversion"/>
  </si>
  <si>
    <t>太陽能4大模組遠雄轉投資</t>
    <phoneticPr fontId="1" type="noConversion"/>
  </si>
  <si>
    <t>GIS-KY</t>
    <phoneticPr fontId="1" type="noConversion"/>
  </si>
  <si>
    <t>觸控模組鴻海旗下</t>
    <phoneticPr fontId="1" type="noConversion"/>
  </si>
  <si>
    <t>勝品</t>
    <phoneticPr fontId="1" type="noConversion"/>
  </si>
  <si>
    <t>監控崇越電通旗下</t>
    <phoneticPr fontId="1" type="noConversion"/>
  </si>
  <si>
    <t>欣普羅</t>
    <phoneticPr fontId="1" type="noConversion"/>
  </si>
  <si>
    <t>中揚光</t>
    <phoneticPr fontId="1" type="noConversion"/>
  </si>
  <si>
    <t>邑錡</t>
    <phoneticPr fontId="1" type="noConversion"/>
  </si>
  <si>
    <t>縮時攝影機</t>
    <phoneticPr fontId="1" type="noConversion"/>
  </si>
  <si>
    <t>晶采</t>
    <phoneticPr fontId="1" type="noConversion"/>
  </si>
  <si>
    <t>液晶模組</t>
    <phoneticPr fontId="1" type="noConversion"/>
  </si>
  <si>
    <t>東捷</t>
    <phoneticPr fontId="1" type="noConversion"/>
  </si>
  <si>
    <t>設備鴻海旗下群創轉投資</t>
    <phoneticPr fontId="1" type="noConversion"/>
  </si>
  <si>
    <t>114</t>
    <phoneticPr fontId="1" type="noConversion"/>
  </si>
  <si>
    <t>元太</t>
    <phoneticPr fontId="1" type="noConversion"/>
  </si>
  <si>
    <t>電子紙永豐餘旗下</t>
    <phoneticPr fontId="1" type="noConversion"/>
  </si>
  <si>
    <t>華鎂鑫</t>
    <phoneticPr fontId="1" type="noConversion"/>
  </si>
  <si>
    <t>碟片預錄</t>
    <phoneticPr fontId="1" type="noConversion"/>
  </si>
  <si>
    <t>錸寶</t>
    <phoneticPr fontId="1" type="noConversion"/>
  </si>
  <si>
    <t>PMOLED錸德轉投資</t>
    <phoneticPr fontId="1" type="noConversion"/>
  </si>
  <si>
    <t>淩巨</t>
    <phoneticPr fontId="1" type="noConversion"/>
  </si>
  <si>
    <t>顯示模組華映旗下</t>
    <phoneticPr fontId="1" type="noConversion"/>
  </si>
  <si>
    <t>立碁</t>
    <phoneticPr fontId="1" type="noConversion"/>
  </si>
  <si>
    <t>LED元件</t>
    <phoneticPr fontId="1" type="noConversion"/>
  </si>
  <si>
    <t>明基材</t>
    <phoneticPr fontId="1" type="noConversion"/>
  </si>
  <si>
    <t>華宏</t>
    <phoneticPr fontId="1" type="noConversion"/>
  </si>
  <si>
    <t>光學膜片</t>
    <phoneticPr fontId="1" type="noConversion"/>
  </si>
  <si>
    <t>通信</t>
    <phoneticPr fontId="1" type="noConversion"/>
  </si>
  <si>
    <t>台揚</t>
    <phoneticPr fontId="1" type="noConversion"/>
  </si>
  <si>
    <t>衛星鴻海轉投資</t>
    <phoneticPr fontId="1" type="noConversion"/>
  </si>
  <si>
    <t>東訊</t>
    <phoneticPr fontId="1" type="noConversion"/>
  </si>
  <si>
    <t>通訊設備東元轉投資</t>
    <phoneticPr fontId="1" type="noConversion"/>
  </si>
  <si>
    <t>友訊</t>
    <phoneticPr fontId="1" type="noConversion"/>
  </si>
  <si>
    <t>網通設備</t>
    <phoneticPr fontId="1" type="noConversion"/>
  </si>
  <si>
    <t>智邦</t>
    <phoneticPr fontId="1" type="noConversion"/>
  </si>
  <si>
    <t>網絡交換器</t>
    <phoneticPr fontId="1" type="noConversion"/>
  </si>
  <si>
    <t>775</t>
    <phoneticPr fontId="1" type="noConversion"/>
  </si>
  <si>
    <t>中華電</t>
    <phoneticPr fontId="1" type="noConversion"/>
  </si>
  <si>
    <t>電信</t>
    <phoneticPr fontId="1" type="noConversion"/>
  </si>
  <si>
    <t>仲琦</t>
    <phoneticPr fontId="1" type="noConversion"/>
  </si>
  <si>
    <t>Cable CPE</t>
    <phoneticPr fontId="1" type="noConversion"/>
  </si>
  <si>
    <t>美律</t>
    <phoneticPr fontId="1" type="noConversion"/>
  </si>
  <si>
    <t>兆勁</t>
    <phoneticPr fontId="1" type="noConversion"/>
  </si>
  <si>
    <t>通路代理中華電信轉投資</t>
    <phoneticPr fontId="1" type="noConversion"/>
  </si>
  <si>
    <t>神腦</t>
    <phoneticPr fontId="1" type="noConversion"/>
  </si>
  <si>
    <t>通路代理</t>
    <phoneticPr fontId="1" type="noConversion"/>
  </si>
  <si>
    <t>全新</t>
    <phoneticPr fontId="1" type="noConversion"/>
  </si>
  <si>
    <t>兆赫</t>
    <phoneticPr fontId="1" type="noConversion"/>
  </si>
  <si>
    <t>機上盒LNB</t>
    <phoneticPr fontId="1" type="noConversion"/>
  </si>
  <si>
    <t>HTC威盛旗下</t>
    <phoneticPr fontId="1" type="noConversion"/>
  </si>
  <si>
    <t>星通</t>
    <phoneticPr fontId="1" type="noConversion"/>
  </si>
  <si>
    <t>電信局設備</t>
    <phoneticPr fontId="1" type="noConversion"/>
  </si>
  <si>
    <t>盛達</t>
    <phoneticPr fontId="1" type="noConversion"/>
  </si>
  <si>
    <t>通訊設備</t>
    <phoneticPr fontId="1" type="noConversion"/>
  </si>
  <si>
    <t>351</t>
    <phoneticPr fontId="1" type="noConversion"/>
  </si>
  <si>
    <t>台灣大</t>
    <phoneticPr fontId="1" type="noConversion"/>
  </si>
  <si>
    <t>電信富邦旗下</t>
    <phoneticPr fontId="1" type="noConversion"/>
  </si>
  <si>
    <t>訊舟</t>
    <phoneticPr fontId="1" type="noConversion"/>
  </si>
  <si>
    <t>建漢</t>
    <phoneticPr fontId="1" type="noConversion"/>
  </si>
  <si>
    <t>無線設備鴻海旗下</t>
    <phoneticPr fontId="1" type="noConversion"/>
  </si>
  <si>
    <t>聯亞</t>
    <phoneticPr fontId="1" type="noConversion"/>
  </si>
  <si>
    <t>磊晶片光通訊</t>
    <phoneticPr fontId="1" type="noConversion"/>
  </si>
  <si>
    <t>及成</t>
    <phoneticPr fontId="1" type="noConversion"/>
  </si>
  <si>
    <t>天線</t>
    <phoneticPr fontId="1" type="noConversion"/>
  </si>
  <si>
    <t>璟德</t>
    <phoneticPr fontId="1" type="noConversion"/>
  </si>
  <si>
    <t>高頻被動元件</t>
    <phoneticPr fontId="1" type="noConversion"/>
  </si>
  <si>
    <t>波若威</t>
    <phoneticPr fontId="1" type="noConversion"/>
  </si>
  <si>
    <t>光通訊器件</t>
    <phoneticPr fontId="1" type="noConversion"/>
  </si>
  <si>
    <t>台嘉碩</t>
    <phoneticPr fontId="1" type="noConversion"/>
  </si>
  <si>
    <t>濾波器石英元件</t>
    <phoneticPr fontId="1" type="noConversion"/>
  </si>
  <si>
    <t>光環</t>
    <phoneticPr fontId="1" type="noConversion"/>
  </si>
  <si>
    <t>光收發模組</t>
    <phoneticPr fontId="1" type="noConversion"/>
  </si>
  <si>
    <t>鼎天</t>
    <phoneticPr fontId="1" type="noConversion"/>
  </si>
  <si>
    <t>GPS廣達轉投資</t>
    <phoneticPr fontId="1" type="noConversion"/>
  </si>
  <si>
    <t>閎暉</t>
    <phoneticPr fontId="1" type="noConversion"/>
  </si>
  <si>
    <t>手機按鍵華新旗下</t>
    <phoneticPr fontId="1" type="noConversion"/>
  </si>
  <si>
    <t>上詮</t>
    <phoneticPr fontId="1" type="noConversion"/>
  </si>
  <si>
    <t>光纖被動元件</t>
    <phoneticPr fontId="1" type="noConversion"/>
  </si>
  <si>
    <t>明泰</t>
    <phoneticPr fontId="1" type="noConversion"/>
  </si>
  <si>
    <t>譁裕</t>
    <phoneticPr fontId="1" type="noConversion"/>
  </si>
  <si>
    <t>致振</t>
    <phoneticPr fontId="1" type="noConversion"/>
  </si>
  <si>
    <t>機上盒</t>
    <phoneticPr fontId="1" type="noConversion"/>
  </si>
  <si>
    <t>昇達科</t>
    <phoneticPr fontId="1" type="noConversion"/>
  </si>
  <si>
    <t>微波通訊</t>
    <phoneticPr fontId="1" type="noConversion"/>
  </si>
  <si>
    <t>環天科</t>
    <phoneticPr fontId="1" type="noConversion"/>
  </si>
  <si>
    <t>GPS</t>
    <phoneticPr fontId="1" type="noConversion"/>
  </si>
  <si>
    <t>4.91</t>
    <phoneticPr fontId="1" type="noConversion"/>
  </si>
  <si>
    <t>神準</t>
    <phoneticPr fontId="1" type="noConversion"/>
  </si>
  <si>
    <t>網路神腦投資</t>
    <phoneticPr fontId="1" type="noConversion"/>
  </si>
  <si>
    <t>其陽</t>
    <phoneticPr fontId="1" type="noConversion"/>
  </si>
  <si>
    <t>智易</t>
    <phoneticPr fontId="1" type="noConversion"/>
  </si>
  <si>
    <t>網通設備仁寶轉投資</t>
    <phoneticPr fontId="1" type="noConversion"/>
  </si>
  <si>
    <t>研勤</t>
    <phoneticPr fontId="1" type="noConversion"/>
  </si>
  <si>
    <t>導航軟體</t>
    <phoneticPr fontId="1" type="noConversion"/>
  </si>
  <si>
    <t>安瑞KY</t>
    <phoneticPr fontId="1" type="noConversion"/>
  </si>
  <si>
    <t>雲端ADC</t>
    <phoneticPr fontId="1" type="noConversion"/>
  </si>
  <si>
    <t>康聯訊</t>
    <phoneticPr fontId="1" type="noConversion"/>
  </si>
  <si>
    <t>光纖</t>
    <phoneticPr fontId="1" type="noConversion"/>
  </si>
  <si>
    <t>亞太電</t>
    <phoneticPr fontId="1" type="noConversion"/>
  </si>
  <si>
    <t>電信鴻海旗下</t>
    <phoneticPr fontId="1" type="noConversion"/>
  </si>
  <si>
    <t>榮昌</t>
    <phoneticPr fontId="1" type="noConversion"/>
  </si>
  <si>
    <t>海華</t>
    <phoneticPr fontId="1" type="noConversion"/>
  </si>
  <si>
    <t>無線網絡華碩旗下</t>
    <phoneticPr fontId="1" type="noConversion"/>
  </si>
  <si>
    <t>合勤控</t>
    <phoneticPr fontId="1" type="noConversion"/>
  </si>
  <si>
    <t>聯光通</t>
    <phoneticPr fontId="1" type="noConversion"/>
  </si>
  <si>
    <t>光通訊</t>
    <phoneticPr fontId="1" type="noConversion"/>
  </si>
  <si>
    <t>遠傳</t>
    <phoneticPr fontId="1" type="noConversion"/>
  </si>
  <si>
    <t>電信遠東旗下</t>
    <phoneticPr fontId="1" type="noConversion"/>
  </si>
  <si>
    <t>正文</t>
    <phoneticPr fontId="1" type="noConversion"/>
  </si>
  <si>
    <t>區域網路</t>
    <phoneticPr fontId="1" type="noConversion"/>
  </si>
  <si>
    <t>前鼎</t>
    <phoneticPr fontId="1" type="noConversion"/>
  </si>
  <si>
    <t>新復興</t>
    <phoneticPr fontId="1" type="noConversion"/>
  </si>
  <si>
    <t>衛星降頻器</t>
    <phoneticPr fontId="1" type="noConversion"/>
  </si>
  <si>
    <t>眾達KY</t>
    <phoneticPr fontId="1" type="noConversion"/>
  </si>
  <si>
    <t>華星光</t>
    <phoneticPr fontId="1" type="noConversion"/>
  </si>
  <si>
    <t>系通</t>
    <phoneticPr fontId="1" type="noConversion"/>
  </si>
  <si>
    <t>台林</t>
    <phoneticPr fontId="1" type="noConversion"/>
  </si>
  <si>
    <t>中磊</t>
    <phoneticPr fontId="1" type="noConversion"/>
  </si>
  <si>
    <t>亞元</t>
    <phoneticPr fontId="1" type="noConversion"/>
  </si>
  <si>
    <t>富爾特</t>
    <phoneticPr fontId="1" type="noConversion"/>
  </si>
  <si>
    <t>訂票服務</t>
    <phoneticPr fontId="1" type="noConversion"/>
  </si>
  <si>
    <t>友勁</t>
    <phoneticPr fontId="1" type="noConversion"/>
  </si>
  <si>
    <t>無線產品友訊轉投資虧損減資</t>
    <phoneticPr fontId="1" type="noConversion"/>
  </si>
  <si>
    <t>振曜</t>
    <phoneticPr fontId="1" type="noConversion"/>
  </si>
  <si>
    <t>電子紙同業元太</t>
    <phoneticPr fontId="1" type="noConversion"/>
  </si>
  <si>
    <t>百一</t>
    <phoneticPr fontId="1" type="noConversion"/>
  </si>
  <si>
    <t>STB,LNB,LTE</t>
    <phoneticPr fontId="1" type="noConversion"/>
  </si>
  <si>
    <t>華電網</t>
    <phoneticPr fontId="1" type="noConversion"/>
  </si>
  <si>
    <t>電信系統</t>
    <phoneticPr fontId="1" type="noConversion"/>
  </si>
  <si>
    <t>統振</t>
    <phoneticPr fontId="1" type="noConversion"/>
  </si>
  <si>
    <t>自行車電池</t>
    <phoneticPr fontId="1" type="noConversion"/>
  </si>
  <si>
    <t>萬泰科</t>
    <phoneticPr fontId="1" type="noConversion"/>
  </si>
  <si>
    <t>居易</t>
    <phoneticPr fontId="1" type="noConversion"/>
  </si>
  <si>
    <t>豪勉</t>
    <phoneticPr fontId="1" type="noConversion"/>
  </si>
  <si>
    <t>半導體封測設備</t>
    <phoneticPr fontId="1" type="noConversion"/>
  </si>
  <si>
    <t>易通展</t>
    <phoneticPr fontId="1" type="noConversion"/>
  </si>
  <si>
    <t>立端</t>
    <phoneticPr fontId="1" type="noConversion"/>
  </si>
  <si>
    <t>資安工業電腦</t>
    <phoneticPr fontId="1" type="noConversion"/>
  </si>
  <si>
    <t>普萊德</t>
    <phoneticPr fontId="1" type="noConversion"/>
  </si>
  <si>
    <t>啟碁</t>
    <phoneticPr fontId="1" type="noConversion"/>
  </si>
  <si>
    <t>衛星緯創旗下</t>
    <phoneticPr fontId="1" type="noConversion"/>
  </si>
  <si>
    <t>瑞祺電通</t>
    <phoneticPr fontId="1" type="noConversion"/>
  </si>
  <si>
    <t>資安鴻海樺漢旗下</t>
    <phoneticPr fontId="1" type="noConversion"/>
  </si>
  <si>
    <t>韋僑</t>
    <phoneticPr fontId="1" type="noConversion"/>
  </si>
  <si>
    <t>統新</t>
    <phoneticPr fontId="1" type="noConversion"/>
  </si>
  <si>
    <t>濾光鏡光通訊南寶樹脂旗下</t>
    <phoneticPr fontId="1" type="noConversion"/>
  </si>
  <si>
    <t>光聖</t>
    <phoneticPr fontId="1" type="noConversion"/>
  </si>
  <si>
    <t>宇智</t>
    <phoneticPr fontId="1" type="noConversion"/>
  </si>
  <si>
    <t>網路設備聯電轉投資</t>
    <phoneticPr fontId="1" type="noConversion"/>
  </si>
  <si>
    <t>3.88</t>
    <phoneticPr fontId="1" type="noConversion"/>
  </si>
  <si>
    <t>互動</t>
    <phoneticPr fontId="1" type="noConversion"/>
  </si>
  <si>
    <t>電信系統仲琦旗下</t>
    <phoneticPr fontId="1" type="noConversion"/>
  </si>
  <si>
    <t>芮特KY</t>
    <phoneticPr fontId="1" type="noConversion"/>
  </si>
  <si>
    <t>天線昇達旗下</t>
    <phoneticPr fontId="1" type="noConversion"/>
  </si>
  <si>
    <t>創威</t>
    <phoneticPr fontId="1" type="noConversion"/>
  </si>
  <si>
    <t>是方</t>
    <phoneticPr fontId="1" type="noConversion"/>
  </si>
  <si>
    <t>電信中華電投資</t>
    <phoneticPr fontId="1" type="noConversion"/>
  </si>
  <si>
    <t>東典光電</t>
    <phoneticPr fontId="1" type="noConversion"/>
  </si>
  <si>
    <t>東典</t>
    <phoneticPr fontId="1" type="noConversion"/>
  </si>
  <si>
    <t>鋐寶科技</t>
    <phoneticPr fontId="1" type="noConversion"/>
  </si>
  <si>
    <t>Cable Modem仁寶轉投資</t>
    <phoneticPr fontId="1" type="noConversion"/>
  </si>
  <si>
    <t>詠業</t>
    <phoneticPr fontId="1" type="noConversion"/>
  </si>
  <si>
    <t>台通</t>
    <phoneticPr fontId="1" type="noConversion"/>
  </si>
  <si>
    <t>光纜鴻海轉投資</t>
    <phoneticPr fontId="1" type="noConversion"/>
  </si>
  <si>
    <t>榮群</t>
    <phoneticPr fontId="1" type="noConversion"/>
  </si>
  <si>
    <t>網路設備</t>
    <phoneticPr fontId="1" type="noConversion"/>
  </si>
  <si>
    <t>德勝</t>
    <phoneticPr fontId="1" type="noConversion"/>
  </si>
  <si>
    <t>光纖設備</t>
    <phoneticPr fontId="1" type="noConversion"/>
  </si>
  <si>
    <t>凱碩</t>
    <phoneticPr fontId="1" type="noConversion"/>
  </si>
  <si>
    <t>Cable Modem新金寶轉投資</t>
    <phoneticPr fontId="1" type="noConversion"/>
  </si>
  <si>
    <t>康全電訊</t>
    <phoneticPr fontId="1" type="noConversion"/>
  </si>
  <si>
    <t>常珵</t>
    <phoneticPr fontId="1" type="noConversion"/>
  </si>
  <si>
    <t>華冠</t>
    <phoneticPr fontId="1" type="noConversion"/>
  </si>
  <si>
    <t>手機代工華宇旗下</t>
    <phoneticPr fontId="1" type="noConversion"/>
  </si>
  <si>
    <t>天宇</t>
    <phoneticPr fontId="1" type="noConversion"/>
  </si>
  <si>
    <t>智捷</t>
    <phoneticPr fontId="1" type="noConversion"/>
  </si>
  <si>
    <t>組件</t>
    <phoneticPr fontId="1" type="noConversion"/>
  </si>
  <si>
    <t>台瀚</t>
    <phoneticPr fontId="1" type="noConversion"/>
  </si>
  <si>
    <t>模具宣德大股東</t>
    <phoneticPr fontId="1" type="noConversion"/>
  </si>
  <si>
    <t>首利</t>
    <phoneticPr fontId="1" type="noConversion"/>
  </si>
  <si>
    <t>信錦</t>
    <phoneticPr fontId="1" type="noConversion"/>
  </si>
  <si>
    <t>LCD樞軸</t>
    <phoneticPr fontId="1" type="noConversion"/>
  </si>
  <si>
    <t>川寶</t>
    <phoneticPr fontId="1" type="noConversion"/>
  </si>
  <si>
    <t>PCB曝光機</t>
    <phoneticPr fontId="1" type="noConversion"/>
  </si>
  <si>
    <t>富喬</t>
    <phoneticPr fontId="1" type="noConversion"/>
  </si>
  <si>
    <t>川湖</t>
    <phoneticPr fontId="1" type="noConversion"/>
  </si>
  <si>
    <t>伺服器導軌</t>
    <phoneticPr fontId="1" type="noConversion"/>
  </si>
  <si>
    <t>259</t>
    <phoneticPr fontId="1" type="noConversion"/>
  </si>
  <si>
    <t>台達電</t>
    <phoneticPr fontId="1" type="noConversion"/>
  </si>
  <si>
    <t>電源供應器台達電集團電動車3雄</t>
    <phoneticPr fontId="1" type="noConversion"/>
  </si>
  <si>
    <t>華通</t>
    <phoneticPr fontId="1" type="noConversion"/>
  </si>
  <si>
    <t>PCB硬板</t>
    <phoneticPr fontId="1" type="noConversion"/>
  </si>
  <si>
    <t>楠梓電</t>
    <phoneticPr fontId="1" type="noConversion"/>
  </si>
  <si>
    <t>PCB轉投資滬電股份深交所掛牌</t>
    <phoneticPr fontId="1" type="noConversion"/>
  </si>
  <si>
    <t>國巨</t>
    <phoneticPr fontId="1" type="noConversion"/>
  </si>
  <si>
    <t>電容電阻國巨集團</t>
    <phoneticPr fontId="1" type="noConversion"/>
  </si>
  <si>
    <t>廣宇</t>
    <phoneticPr fontId="1" type="noConversion"/>
  </si>
  <si>
    <t>連接器鴻海旗下</t>
    <phoneticPr fontId="1" type="noConversion"/>
  </si>
  <si>
    <t>敬鵬</t>
    <phoneticPr fontId="1" type="noConversion"/>
  </si>
  <si>
    <t>車用PCB</t>
    <phoneticPr fontId="1" type="noConversion"/>
  </si>
  <si>
    <t>燿華</t>
    <phoneticPr fontId="1" type="noConversion"/>
  </si>
  <si>
    <t>金像電</t>
    <phoneticPr fontId="1" type="noConversion"/>
  </si>
  <si>
    <t>凱美</t>
    <phoneticPr fontId="1" type="noConversion"/>
  </si>
  <si>
    <t>電容國巨旗下</t>
    <phoneticPr fontId="1" type="noConversion"/>
  </si>
  <si>
    <t>台光電</t>
    <phoneticPr fontId="1" type="noConversion"/>
  </si>
  <si>
    <t>群光</t>
    <phoneticPr fontId="1" type="noConversion"/>
  </si>
  <si>
    <t>鍵盤群光藍天集團</t>
    <phoneticPr fontId="1" type="noConversion"/>
  </si>
  <si>
    <t>正崴</t>
    <phoneticPr fontId="1" type="noConversion"/>
  </si>
  <si>
    <t>連接器正崴集團</t>
    <phoneticPr fontId="1" type="noConversion"/>
  </si>
  <si>
    <t>毅嘉</t>
    <phoneticPr fontId="1" type="noConversion"/>
  </si>
  <si>
    <t>軟板FPC</t>
    <phoneticPr fontId="1" type="noConversion"/>
  </si>
  <si>
    <t>環科</t>
    <phoneticPr fontId="1" type="noConversion"/>
  </si>
  <si>
    <t>錩新</t>
    <phoneticPr fontId="1" type="noConversion"/>
  </si>
  <si>
    <t>揚聲器鍛造</t>
    <phoneticPr fontId="1" type="noConversion"/>
  </si>
  <si>
    <t>新巨</t>
    <phoneticPr fontId="1" type="noConversion"/>
  </si>
  <si>
    <t>25.0</t>
    <phoneticPr fontId="1" type="noConversion"/>
  </si>
  <si>
    <t>建準</t>
    <phoneticPr fontId="1" type="noConversion"/>
  </si>
  <si>
    <t>興勤</t>
    <phoneticPr fontId="1" type="noConversion"/>
  </si>
  <si>
    <t>保護元件3大廠熱敏電阻</t>
    <phoneticPr fontId="1" type="noConversion"/>
  </si>
  <si>
    <t>銘旺科</t>
    <phoneticPr fontId="1" type="noConversion"/>
  </si>
  <si>
    <t>聯昌</t>
    <phoneticPr fontId="1" type="noConversion"/>
  </si>
  <si>
    <t>電源供應器東元轉投資</t>
    <phoneticPr fontId="1" type="noConversion"/>
  </si>
  <si>
    <t>太空梭</t>
    <phoneticPr fontId="1" type="noConversion"/>
  </si>
  <si>
    <t>絞銅線</t>
    <phoneticPr fontId="1" type="noConversion"/>
  </si>
  <si>
    <t>飛宏</t>
    <phoneticPr fontId="1" type="noConversion"/>
  </si>
  <si>
    <t>建通</t>
    <phoneticPr fontId="1" type="noConversion"/>
  </si>
  <si>
    <t>良得電</t>
    <phoneticPr fontId="1" type="noConversion"/>
  </si>
  <si>
    <t>電源線</t>
    <phoneticPr fontId="1" type="noConversion"/>
  </si>
  <si>
    <t>志聖</t>
    <phoneticPr fontId="1" type="noConversion"/>
  </si>
  <si>
    <t>光熱設備</t>
    <phoneticPr fontId="1" type="noConversion"/>
  </si>
  <si>
    <t>立隆電</t>
    <phoneticPr fontId="1" type="noConversion"/>
  </si>
  <si>
    <t>鉅祥</t>
    <phoneticPr fontId="1" type="noConversion"/>
  </si>
  <si>
    <t>大毅</t>
    <phoneticPr fontId="1" type="noConversion"/>
  </si>
  <si>
    <t>晶片電阻</t>
    <phoneticPr fontId="1" type="noConversion"/>
  </si>
  <si>
    <t>百容</t>
    <phoneticPr fontId="1" type="noConversion"/>
  </si>
  <si>
    <t>程式開關</t>
    <phoneticPr fontId="1" type="noConversion"/>
  </si>
  <si>
    <t>希華</t>
    <phoneticPr fontId="1" type="noConversion"/>
  </si>
  <si>
    <t>華新科</t>
    <phoneticPr fontId="1" type="noConversion"/>
  </si>
  <si>
    <t>MLCC華新旗下</t>
    <phoneticPr fontId="1" type="noConversion"/>
  </si>
  <si>
    <t>揚博</t>
    <phoneticPr fontId="1" type="noConversion"/>
  </si>
  <si>
    <t>PCB濕製程</t>
    <phoneticPr fontId="1" type="noConversion"/>
  </si>
  <si>
    <t>健和興</t>
    <phoneticPr fontId="1" type="noConversion"/>
  </si>
  <si>
    <t>端子Tesla</t>
    <phoneticPr fontId="1" type="noConversion"/>
  </si>
  <si>
    <t>今皓</t>
    <phoneticPr fontId="1" type="noConversion"/>
  </si>
  <si>
    <t>鴻名</t>
    <phoneticPr fontId="1" type="noConversion"/>
  </si>
  <si>
    <t>信邦</t>
    <phoneticPr fontId="1" type="noConversion"/>
  </si>
  <si>
    <t>線材連接元件</t>
    <phoneticPr fontId="1" type="noConversion"/>
  </si>
  <si>
    <t>禾伸堂</t>
    <phoneticPr fontId="1" type="noConversion"/>
  </si>
  <si>
    <t>MLCC</t>
    <phoneticPr fontId="1" type="noConversion"/>
  </si>
  <si>
    <t>偉訓</t>
    <phoneticPr fontId="1" type="noConversion"/>
  </si>
  <si>
    <t>PCB4雄聯電旗下</t>
    <phoneticPr fontId="1" type="noConversion"/>
  </si>
  <si>
    <t>晶技</t>
    <phoneticPr fontId="1" type="noConversion"/>
  </si>
  <si>
    <t>健鼎</t>
    <phoneticPr fontId="1" type="noConversion"/>
  </si>
  <si>
    <t>立德</t>
    <phoneticPr fontId="1" type="noConversion"/>
  </si>
  <si>
    <t>充電樁</t>
    <phoneticPr fontId="1" type="noConversion"/>
  </si>
  <si>
    <t>僑威</t>
    <phoneticPr fontId="1" type="noConversion"/>
  </si>
  <si>
    <t>日電貿</t>
    <phoneticPr fontId="1" type="noConversion"/>
  </si>
  <si>
    <t>被動元件代理商</t>
    <phoneticPr fontId="1" type="noConversion"/>
  </si>
  <si>
    <t>鴻碩</t>
    <phoneticPr fontId="1" type="noConversion"/>
  </si>
  <si>
    <t>好得</t>
    <phoneticPr fontId="1" type="noConversion"/>
  </si>
  <si>
    <t>電子零件商</t>
    <phoneticPr fontId="1" type="noConversion"/>
  </si>
  <si>
    <t>寶島極</t>
    <phoneticPr fontId="1" type="noConversion"/>
  </si>
  <si>
    <t>PCB檢測</t>
    <phoneticPr fontId="1" type="noConversion"/>
  </si>
  <si>
    <t>和進</t>
    <phoneticPr fontId="1" type="noConversion"/>
  </si>
  <si>
    <t>變壓器線架</t>
    <phoneticPr fontId="1" type="noConversion"/>
  </si>
  <si>
    <t>樺晟</t>
    <phoneticPr fontId="1" type="noConversion"/>
  </si>
  <si>
    <t>線材離岸風電世紀鋼</t>
    <phoneticPr fontId="1" type="noConversion"/>
  </si>
  <si>
    <t>志豐</t>
    <phoneticPr fontId="1" type="noConversion"/>
  </si>
  <si>
    <t>耀勝</t>
    <phoneticPr fontId="1" type="noConversion"/>
  </si>
  <si>
    <t>電感線圈</t>
    <phoneticPr fontId="1" type="noConversion"/>
  </si>
  <si>
    <t>優群</t>
    <phoneticPr fontId="1" type="noConversion"/>
  </si>
  <si>
    <t>連接器對手嘉澤</t>
    <phoneticPr fontId="1" type="noConversion"/>
  </si>
  <si>
    <t>晟鈦</t>
    <phoneticPr fontId="1" type="noConversion"/>
  </si>
  <si>
    <t>千如</t>
    <phoneticPr fontId="1" type="noConversion"/>
  </si>
  <si>
    <t>宇環</t>
    <phoneticPr fontId="1" type="noConversion"/>
  </si>
  <si>
    <t>軟板志超轉投資</t>
    <phoneticPr fontId="1" type="noConversion"/>
  </si>
  <si>
    <t>點晶</t>
    <phoneticPr fontId="1" type="noConversion"/>
  </si>
  <si>
    <t>馬達驅動IC</t>
    <phoneticPr fontId="1" type="noConversion"/>
  </si>
  <si>
    <t>東浦</t>
    <phoneticPr fontId="1" type="noConversion"/>
  </si>
  <si>
    <t>英濟</t>
    <phoneticPr fontId="1" type="noConversion"/>
  </si>
  <si>
    <t>塑膠零組件</t>
    <phoneticPr fontId="1" type="noConversion"/>
  </si>
  <si>
    <t>勝德</t>
    <phoneticPr fontId="1" type="noConversion"/>
  </si>
  <si>
    <t>電源保護器</t>
    <phoneticPr fontId="1" type="noConversion"/>
  </si>
  <si>
    <t>聯德</t>
    <phoneticPr fontId="1" type="noConversion"/>
  </si>
  <si>
    <t>聯德</t>
    <phoneticPr fontId="1" type="noConversion"/>
  </si>
  <si>
    <t>幸康</t>
    <phoneticPr fontId="1" type="noConversion"/>
  </si>
  <si>
    <t>律勝</t>
    <phoneticPr fontId="1" type="noConversion"/>
  </si>
  <si>
    <t>崇越電</t>
    <phoneticPr fontId="1" type="noConversion"/>
  </si>
  <si>
    <t>旭軟</t>
    <phoneticPr fontId="1" type="noConversion"/>
  </si>
  <si>
    <t>維熹</t>
    <phoneticPr fontId="1" type="noConversion"/>
  </si>
  <si>
    <t>矽瑪</t>
    <phoneticPr fontId="1" type="noConversion"/>
  </si>
  <si>
    <t>嘉澤</t>
    <phoneticPr fontId="1" type="noConversion"/>
  </si>
  <si>
    <t>堡達</t>
    <phoneticPr fontId="1" type="noConversion"/>
  </si>
  <si>
    <t>聯穎</t>
    <phoneticPr fontId="1" type="noConversion"/>
  </si>
  <si>
    <t>力銘</t>
    <phoneticPr fontId="1" type="noConversion"/>
  </si>
  <si>
    <t>東林</t>
    <phoneticPr fontId="1" type="noConversion"/>
  </si>
  <si>
    <t>光頡</t>
    <phoneticPr fontId="1" type="noConversion"/>
  </si>
  <si>
    <t>艾恩特</t>
    <phoneticPr fontId="1" type="noConversion"/>
  </si>
  <si>
    <t>湧德</t>
    <phoneticPr fontId="1" type="noConversion"/>
  </si>
  <si>
    <t>科嶠</t>
    <phoneticPr fontId="1" type="noConversion"/>
  </si>
  <si>
    <t>亞泰</t>
    <phoneticPr fontId="1" type="noConversion"/>
  </si>
  <si>
    <t>鑫禾</t>
    <phoneticPr fontId="1" type="noConversion"/>
  </si>
  <si>
    <t>友銓</t>
    <phoneticPr fontId="1" type="noConversion"/>
  </si>
  <si>
    <t>佳總</t>
    <phoneticPr fontId="1" type="noConversion"/>
  </si>
  <si>
    <t>合正</t>
    <phoneticPr fontId="1" type="noConversion"/>
  </si>
  <si>
    <t>同協</t>
    <phoneticPr fontId="1" type="noConversion"/>
  </si>
  <si>
    <t>競國</t>
    <phoneticPr fontId="1" type="noConversion"/>
  </si>
  <si>
    <t>久威</t>
    <phoneticPr fontId="1" type="noConversion"/>
  </si>
  <si>
    <t>金橋</t>
    <phoneticPr fontId="1" type="noConversion"/>
  </si>
  <si>
    <t>萬旭</t>
    <phoneticPr fontId="1" type="noConversion"/>
  </si>
  <si>
    <t>嘉聯益</t>
    <phoneticPr fontId="1" type="noConversion"/>
  </si>
  <si>
    <t>禾昌</t>
    <phoneticPr fontId="1" type="noConversion"/>
  </si>
  <si>
    <t>立敦</t>
    <phoneticPr fontId="1" type="noConversion"/>
  </si>
  <si>
    <t>艾華</t>
    <phoneticPr fontId="1" type="noConversion"/>
  </si>
  <si>
    <t>日揚</t>
    <phoneticPr fontId="1" type="noConversion"/>
  </si>
  <si>
    <t>岳豐</t>
    <phoneticPr fontId="1" type="noConversion"/>
  </si>
  <si>
    <t>百徽</t>
    <phoneticPr fontId="1" type="noConversion"/>
  </si>
  <si>
    <t>胡連</t>
    <phoneticPr fontId="1" type="noConversion"/>
  </si>
  <si>
    <t>鈺邦</t>
    <phoneticPr fontId="1" type="noConversion"/>
  </si>
  <si>
    <t>台虹</t>
    <phoneticPr fontId="1" type="noConversion"/>
  </si>
  <si>
    <t>金山電</t>
    <phoneticPr fontId="1" type="noConversion"/>
  </si>
  <si>
    <t>蜜望實</t>
    <phoneticPr fontId="1" type="noConversion"/>
  </si>
  <si>
    <t>保銳</t>
    <phoneticPr fontId="1" type="noConversion"/>
  </si>
  <si>
    <t>正凌</t>
    <phoneticPr fontId="1" type="noConversion"/>
  </si>
  <si>
    <t>泰藝</t>
    <phoneticPr fontId="1" type="noConversion"/>
  </si>
  <si>
    <t>大聯大</t>
    <phoneticPr fontId="1" type="noConversion"/>
  </si>
  <si>
    <t>崇越</t>
    <phoneticPr fontId="1" type="noConversion"/>
  </si>
  <si>
    <t>大車隊</t>
    <phoneticPr fontId="1" type="noConversion"/>
  </si>
  <si>
    <t>明揚</t>
    <phoneticPr fontId="1" type="noConversion"/>
  </si>
  <si>
    <t>綠河KY</t>
    <phoneticPr fontId="1" type="noConversion"/>
  </si>
  <si>
    <t>鼎炫KY</t>
    <phoneticPr fontId="1" type="noConversion"/>
  </si>
  <si>
    <t>森钜</t>
    <phoneticPr fontId="1" type="noConversion"/>
  </si>
  <si>
    <t>豐泰</t>
    <phoneticPr fontId="1" type="noConversion"/>
  </si>
  <si>
    <t>巨大</t>
    <phoneticPr fontId="1" type="noConversion"/>
  </si>
  <si>
    <t>新保</t>
    <phoneticPr fontId="1" type="noConversion"/>
  </si>
  <si>
    <t>欣陸</t>
    <phoneticPr fontId="1" type="noConversion"/>
  </si>
  <si>
    <t>力麒</t>
    <phoneticPr fontId="1" type="noConversion"/>
  </si>
  <si>
    <t>裕民</t>
    <phoneticPr fontId="1" type="noConversion"/>
  </si>
  <si>
    <t>長榮航</t>
    <phoneticPr fontId="1" type="noConversion"/>
  </si>
  <si>
    <t>瓦城</t>
    <phoneticPr fontId="1" type="noConversion"/>
  </si>
  <si>
    <t>海灣</t>
    <phoneticPr fontId="1" type="noConversion"/>
  </si>
  <si>
    <t>觀光開發</t>
    <phoneticPr fontId="1" type="noConversion"/>
  </si>
  <si>
    <t>御頂</t>
    <phoneticPr fontId="1" type="noConversion"/>
  </si>
  <si>
    <t>大略KY</t>
    <phoneticPr fontId="1" type="noConversion"/>
  </si>
  <si>
    <t>婚禮服務</t>
    <phoneticPr fontId="1" type="noConversion"/>
  </si>
  <si>
    <t>寶得利</t>
    <phoneticPr fontId="1" type="noConversion"/>
  </si>
  <si>
    <t>力麗店</t>
    <phoneticPr fontId="1" type="noConversion"/>
  </si>
  <si>
    <t>劍湖山</t>
    <phoneticPr fontId="1" type="noConversion"/>
  </si>
  <si>
    <t>遊樂園百貨飯店</t>
    <phoneticPr fontId="1" type="noConversion"/>
  </si>
  <si>
    <t>亞都</t>
    <phoneticPr fontId="1" type="noConversion"/>
  </si>
  <si>
    <t>老爺知</t>
    <phoneticPr fontId="1" type="noConversion"/>
  </si>
  <si>
    <t>鳳凰</t>
    <phoneticPr fontId="1" type="noConversion"/>
  </si>
  <si>
    <t>洛碁</t>
    <phoneticPr fontId="1" type="noConversion"/>
  </si>
  <si>
    <t>柏文</t>
    <phoneticPr fontId="1" type="noConversion"/>
  </si>
  <si>
    <t>健身</t>
    <phoneticPr fontId="1" type="noConversion"/>
  </si>
  <si>
    <t>新天地</t>
    <phoneticPr fontId="1" type="noConversion"/>
  </si>
  <si>
    <t>婚宴</t>
    <phoneticPr fontId="1" type="noConversion"/>
  </si>
  <si>
    <t>好樂迪</t>
    <phoneticPr fontId="1" type="noConversion"/>
  </si>
  <si>
    <t>KTV業</t>
    <phoneticPr fontId="1" type="noConversion"/>
  </si>
  <si>
    <t>金融</t>
    <phoneticPr fontId="1" type="noConversion"/>
  </si>
  <si>
    <t>彰銀</t>
    <phoneticPr fontId="1" type="noConversion"/>
  </si>
  <si>
    <t>京城銀</t>
    <phoneticPr fontId="1" type="noConversion"/>
  </si>
  <si>
    <t>京城建設入主台南</t>
    <phoneticPr fontId="1" type="noConversion"/>
  </si>
  <si>
    <t>台中銀</t>
    <phoneticPr fontId="1" type="noConversion"/>
  </si>
  <si>
    <t>旺旺保</t>
    <phoneticPr fontId="1" type="noConversion"/>
  </si>
  <si>
    <t>產險業第一家上市公司</t>
    <phoneticPr fontId="1" type="noConversion"/>
  </si>
  <si>
    <t>華票</t>
    <phoneticPr fontId="1" type="noConversion"/>
  </si>
  <si>
    <t>前3大票劵商</t>
    <phoneticPr fontId="1" type="noConversion"/>
  </si>
  <si>
    <t>台產</t>
    <phoneticPr fontId="1" type="noConversion"/>
  </si>
  <si>
    <t>高雄銀</t>
    <phoneticPr fontId="1" type="noConversion"/>
  </si>
  <si>
    <t>聯邦銀</t>
    <phoneticPr fontId="1" type="noConversion"/>
  </si>
  <si>
    <t>安泰銀</t>
    <phoneticPr fontId="1" type="noConversion"/>
  </si>
  <si>
    <t>第一保</t>
    <phoneticPr fontId="1" type="noConversion"/>
  </si>
  <si>
    <t>華南金</t>
    <phoneticPr fontId="1" type="noConversion"/>
  </si>
  <si>
    <t>開發金</t>
    <phoneticPr fontId="1" type="noConversion"/>
  </si>
  <si>
    <t>元大金</t>
    <phoneticPr fontId="1" type="noConversion"/>
  </si>
  <si>
    <t>新光金</t>
    <phoneticPr fontId="1" type="noConversion"/>
  </si>
  <si>
    <t>永豐金</t>
    <phoneticPr fontId="1" type="noConversion"/>
  </si>
  <si>
    <t>中信金</t>
    <phoneticPr fontId="1" type="noConversion"/>
  </si>
  <si>
    <t>日盛金</t>
    <phoneticPr fontId="1" type="noConversion"/>
  </si>
  <si>
    <t>致和證</t>
    <phoneticPr fontId="1" type="noConversion"/>
  </si>
  <si>
    <t>合庫金</t>
    <phoneticPr fontId="1" type="noConversion"/>
  </si>
  <si>
    <t>群益證</t>
    <phoneticPr fontId="1" type="noConversion"/>
  </si>
  <si>
    <t>大展證</t>
    <phoneticPr fontId="1" type="noConversion"/>
  </si>
  <si>
    <t>益航</t>
    <phoneticPr fontId="1" type="noConversion"/>
  </si>
  <si>
    <t>統一超</t>
    <phoneticPr fontId="1" type="noConversion"/>
  </si>
  <si>
    <t>潤泰全</t>
    <phoneticPr fontId="1" type="noConversion"/>
  </si>
  <si>
    <t>全家</t>
    <phoneticPr fontId="1" type="noConversion"/>
  </si>
  <si>
    <t>弘帆</t>
    <phoneticPr fontId="1" type="noConversion"/>
  </si>
  <si>
    <t>台塑化</t>
    <phoneticPr fontId="1" type="noConversion"/>
  </si>
  <si>
    <t>05</t>
    <phoneticPr fontId="1" type="noConversion"/>
  </si>
  <si>
    <t>鴻準</t>
    <phoneticPr fontId="1" type="noConversion"/>
  </si>
  <si>
    <t>港建</t>
    <phoneticPr fontId="1" type="noConversion"/>
  </si>
  <si>
    <t>弘塑</t>
    <phoneticPr fontId="1" type="noConversion"/>
  </si>
  <si>
    <t>微端</t>
    <phoneticPr fontId="1" type="noConversion"/>
  </si>
  <si>
    <t>聯鈞</t>
    <phoneticPr fontId="1" type="noConversion"/>
  </si>
  <si>
    <t>位速</t>
    <phoneticPr fontId="1" type="noConversion"/>
  </si>
  <si>
    <t>同致</t>
    <phoneticPr fontId="1" type="noConversion"/>
  </si>
  <si>
    <t>友威科</t>
    <phoneticPr fontId="1" type="noConversion"/>
  </si>
  <si>
    <t>盈正</t>
    <phoneticPr fontId="1" type="noConversion"/>
  </si>
  <si>
    <t>鑫科</t>
    <phoneticPr fontId="1" type="noConversion"/>
  </si>
  <si>
    <t>彩富</t>
    <phoneticPr fontId="1" type="noConversion"/>
  </si>
  <si>
    <t>三聯</t>
    <phoneticPr fontId="1" type="noConversion"/>
  </si>
  <si>
    <t>耕興</t>
    <phoneticPr fontId="1" type="noConversion"/>
  </si>
  <si>
    <t>晉倫</t>
    <phoneticPr fontId="1" type="noConversion"/>
  </si>
  <si>
    <t>萬潤</t>
    <phoneticPr fontId="1" type="noConversion"/>
  </si>
  <si>
    <t>迅得</t>
    <phoneticPr fontId="1" type="noConversion"/>
  </si>
  <si>
    <t>匯鑽科</t>
    <phoneticPr fontId="1" type="noConversion"/>
  </si>
  <si>
    <t>28</t>
    <phoneticPr fontId="1" type="noConversion"/>
  </si>
  <si>
    <t>誠品生活</t>
    <phoneticPr fontId="1" type="noConversion"/>
  </si>
  <si>
    <t>網龍</t>
    <phoneticPr fontId="1" type="noConversion"/>
  </si>
  <si>
    <t>華義</t>
    <phoneticPr fontId="1" type="noConversion"/>
  </si>
  <si>
    <t>隆中</t>
    <phoneticPr fontId="1" type="noConversion"/>
  </si>
  <si>
    <t>網家</t>
    <phoneticPr fontId="1" type="noConversion"/>
  </si>
  <si>
    <t>31.11</t>
    <phoneticPr fontId="1" type="noConversion"/>
  </si>
  <si>
    <t>聯發國際</t>
    <phoneticPr fontId="1" type="noConversion"/>
  </si>
  <si>
    <t>力智</t>
    <phoneticPr fontId="1" type="noConversion"/>
  </si>
  <si>
    <t>茶飲連鎖</t>
    <phoneticPr fontId="1" type="noConversion"/>
  </si>
  <si>
    <t>電源IC華碩轉投資</t>
    <phoneticPr fontId="1" type="noConversion"/>
  </si>
  <si>
    <t>7.78</t>
    <phoneticPr fontId="1" type="noConversion"/>
  </si>
  <si>
    <t>最高周</t>
    <phoneticPr fontId="1" type="noConversion"/>
  </si>
  <si>
    <t>1月22年</t>
    <phoneticPr fontId="1" type="noConversion"/>
  </si>
  <si>
    <t>30.51</t>
    <phoneticPr fontId="1" type="noConversion"/>
  </si>
  <si>
    <t>12.11</t>
    <phoneticPr fontId="1" type="noConversion"/>
  </si>
  <si>
    <t>23.25</t>
    <phoneticPr fontId="1" type="noConversion"/>
  </si>
  <si>
    <t>41.54</t>
    <phoneticPr fontId="1" type="noConversion"/>
  </si>
  <si>
    <t>33.23</t>
    <phoneticPr fontId="1" type="noConversion"/>
  </si>
  <si>
    <t>當沖藍色</t>
    <phoneticPr fontId="1" type="noConversion"/>
  </si>
  <si>
    <t>選股</t>
    <phoneticPr fontId="1" type="noConversion"/>
  </si>
  <si>
    <t>2022/1/6程式交易（當沖為主）</t>
    <phoneticPr fontId="1" type="noConversion"/>
  </si>
  <si>
    <t>籌130</t>
    <phoneticPr fontId="1" type="noConversion"/>
  </si>
  <si>
    <t>弘凱</t>
    <phoneticPr fontId="1" type="noConversion"/>
  </si>
  <si>
    <t>N</t>
    <phoneticPr fontId="1" type="noConversion"/>
  </si>
  <si>
    <t>70.78</t>
    <phoneticPr fontId="1" type="noConversion"/>
  </si>
  <si>
    <t>資本額30億以下</t>
    <phoneticPr fontId="1" type="noConversion"/>
  </si>
  <si>
    <t>日期2.48%紅色</t>
    <phoneticPr fontId="1" type="noConversion"/>
  </si>
  <si>
    <t>15</t>
    <phoneticPr fontId="1" type="noConversion"/>
  </si>
  <si>
    <t>10</t>
    <phoneticPr fontId="1" type="noConversion"/>
  </si>
  <si>
    <t>航運</t>
    <phoneticPr fontId="1" type="noConversion"/>
  </si>
  <si>
    <t>電商</t>
    <phoneticPr fontId="1" type="noConversion"/>
  </si>
  <si>
    <t>營造</t>
    <phoneticPr fontId="1" type="noConversion"/>
  </si>
  <si>
    <t>排行</t>
    <phoneticPr fontId="1" type="noConversion"/>
  </si>
  <si>
    <t>周轉</t>
    <phoneticPr fontId="1" type="noConversion"/>
  </si>
  <si>
    <t>LED雙雄</t>
    <phoneticPr fontId="1" type="noConversion"/>
  </si>
  <si>
    <t>ju54193806</t>
    <phoneticPr fontId="1" type="noConversion"/>
  </si>
  <si>
    <t>融</t>
    <phoneticPr fontId="1" type="noConversion"/>
  </si>
  <si>
    <t>35.82</t>
    <phoneticPr fontId="1" type="noConversion"/>
  </si>
  <si>
    <t>6.79</t>
    <phoneticPr fontId="1" type="noConversion"/>
  </si>
  <si>
    <t>-17.48</t>
    <phoneticPr fontId="1" type="noConversion"/>
  </si>
  <si>
    <t>-22.53</t>
    <phoneticPr fontId="1" type="noConversion"/>
  </si>
  <si>
    <t>54.19</t>
    <phoneticPr fontId="1" type="noConversion"/>
  </si>
  <si>
    <t>券資比增減5%用圓圈7</t>
    <phoneticPr fontId="1" type="noConversion"/>
  </si>
  <si>
    <t>生醫</t>
    <phoneticPr fontId="1" type="noConversion"/>
  </si>
  <si>
    <t>內</t>
    <phoneticPr fontId="1" type="noConversion"/>
  </si>
  <si>
    <t>方向正確：路再長，不覺其遠</t>
    <phoneticPr fontId="1" type="noConversion"/>
  </si>
  <si>
    <t>策略正確：指數跌，不見恐慌</t>
    <phoneticPr fontId="1" type="noConversion"/>
  </si>
  <si>
    <t>市場氣氛，對利多反應只有60%</t>
    <phoneticPr fontId="1" type="noConversion"/>
  </si>
  <si>
    <t>對利空反應卻是120%，這就是“情緒”</t>
    <phoneticPr fontId="1" type="noConversion"/>
  </si>
  <si>
    <t>殖利</t>
    <phoneticPr fontId="1" type="noConversion"/>
  </si>
  <si>
    <t>借</t>
    <phoneticPr fontId="1" type="noConversion"/>
  </si>
  <si>
    <t>內部人增減0.5%用正四方形</t>
    <phoneticPr fontId="1" type="noConversion"/>
  </si>
  <si>
    <t>新</t>
    <phoneticPr fontId="1" type="noConversion"/>
  </si>
  <si>
    <t>29.27</t>
    <phoneticPr fontId="1" type="noConversion"/>
  </si>
  <si>
    <t>ju54186</t>
    <phoneticPr fontId="1" type="noConversion"/>
  </si>
  <si>
    <t>ju54193</t>
    <phoneticPr fontId="1" type="noConversion"/>
  </si>
  <si>
    <t>0916009079</t>
    <phoneticPr fontId="1" type="noConversion"/>
  </si>
  <si>
    <t>新</t>
    <phoneticPr fontId="1" type="noConversion"/>
  </si>
  <si>
    <t>散熱片設計製造商</t>
    <phoneticPr fontId="1" type="noConversion"/>
  </si>
  <si>
    <t>股利2元15%</t>
    <phoneticPr fontId="1" type="noConversion"/>
  </si>
  <si>
    <t>源</t>
    <phoneticPr fontId="1" type="noConversion"/>
  </si>
  <si>
    <t>雙</t>
    <phoneticPr fontId="1" type="noConversion"/>
  </si>
  <si>
    <t>15.06</t>
    <phoneticPr fontId="1" type="noConversion"/>
  </si>
  <si>
    <t>加工絲新光旗下</t>
    <phoneticPr fontId="1" type="noConversion"/>
  </si>
  <si>
    <t>加工絲力麗旗下</t>
    <phoneticPr fontId="1" type="noConversion"/>
  </si>
  <si>
    <t>2/7雙比股利1元</t>
    <phoneticPr fontId="1" type="noConversion"/>
  </si>
  <si>
    <t>雙</t>
    <phoneticPr fontId="1" type="noConversion"/>
  </si>
  <si>
    <t>-16.67</t>
    <phoneticPr fontId="1" type="noConversion"/>
  </si>
  <si>
    <t>2022年1月</t>
    <phoneticPr fontId="1" type="noConversion"/>
  </si>
  <si>
    <t>2022年2月</t>
    <phoneticPr fontId="1" type="noConversion"/>
  </si>
  <si>
    <t>三</t>
    <phoneticPr fontId="1" type="noConversion"/>
  </si>
  <si>
    <t>新</t>
    <phoneticPr fontId="1" type="noConversion"/>
  </si>
  <si>
    <t>自</t>
    <phoneticPr fontId="1" type="noConversion"/>
  </si>
  <si>
    <t>新聞2/8結束</t>
    <phoneticPr fontId="1" type="noConversion"/>
  </si>
  <si>
    <t>重</t>
    <phoneticPr fontId="1" type="noConversion"/>
  </si>
  <si>
    <t>4.30</t>
    <phoneticPr fontId="1" type="noConversion"/>
  </si>
  <si>
    <t>廣閎科</t>
    <phoneticPr fontId="1" type="noConversion"/>
  </si>
  <si>
    <t>8.77</t>
    <phoneticPr fontId="1" type="noConversion"/>
  </si>
  <si>
    <t>半導體設計茂迪轉投資</t>
    <phoneticPr fontId="1" type="noConversion"/>
  </si>
  <si>
    <t>沒有跌幅季線或SAR條件只有股利2元</t>
    <phoneticPr fontId="1" type="noConversion"/>
  </si>
  <si>
    <t>單</t>
    <phoneticPr fontId="1" type="noConversion"/>
  </si>
  <si>
    <t>雙準單準</t>
    <phoneticPr fontId="1" type="noConversion"/>
  </si>
  <si>
    <t>廠牌</t>
    <phoneticPr fontId="1" type="noConversion"/>
  </si>
  <si>
    <t>苗數</t>
    <phoneticPr fontId="1" type="noConversion"/>
  </si>
  <si>
    <t>定植日</t>
    <phoneticPr fontId="1" type="noConversion"/>
  </si>
  <si>
    <t>發芽日</t>
    <phoneticPr fontId="1" type="noConversion"/>
  </si>
  <si>
    <t>發芽天數</t>
    <phoneticPr fontId="1" type="noConversion"/>
  </si>
  <si>
    <t>定植天數</t>
    <phoneticPr fontId="1" type="noConversion"/>
  </si>
  <si>
    <t>開花天數</t>
    <phoneticPr fontId="1" type="noConversion"/>
  </si>
  <si>
    <t>百日草</t>
    <phoneticPr fontId="1" type="noConversion"/>
  </si>
  <si>
    <t>翠筠</t>
    <phoneticPr fontId="1" type="noConversion"/>
  </si>
  <si>
    <t>開花日</t>
    <phoneticPr fontId="1" type="noConversion"/>
  </si>
  <si>
    <t>種植日</t>
    <phoneticPr fontId="1" type="noConversion"/>
  </si>
  <si>
    <t>孔雀草</t>
    <phoneticPr fontId="1" type="noConversion"/>
  </si>
  <si>
    <t>勛章菊</t>
    <phoneticPr fontId="1" type="noConversion"/>
  </si>
  <si>
    <t>2月22年</t>
    <phoneticPr fontId="1" type="noConversion"/>
  </si>
  <si>
    <t>人送</t>
    <phoneticPr fontId="1" type="noConversion"/>
  </si>
  <si>
    <t>天星牌</t>
    <phoneticPr fontId="1" type="noConversion"/>
  </si>
  <si>
    <t>中文名稱</t>
    <phoneticPr fontId="1" type="noConversion"/>
  </si>
  <si>
    <t>英文名稱</t>
    <phoneticPr fontId="1" type="noConversion"/>
  </si>
  <si>
    <t>Rosemary</t>
    <phoneticPr fontId="1" type="noConversion"/>
  </si>
  <si>
    <t>Zinnia</t>
    <phoneticPr fontId="1" type="noConversion"/>
  </si>
  <si>
    <t>Aztec marigold</t>
    <phoneticPr fontId="1" type="noConversion"/>
  </si>
  <si>
    <t>English lavender</t>
    <phoneticPr fontId="1" type="noConversion"/>
  </si>
  <si>
    <t>Treasure flower</t>
    <phoneticPr fontId="1" type="noConversion"/>
  </si>
  <si>
    <t>波斯菊</t>
    <phoneticPr fontId="1" type="noConversion"/>
  </si>
  <si>
    <t>戶外播種</t>
    <phoneticPr fontId="1" type="noConversion"/>
  </si>
  <si>
    <t>11.79</t>
    <phoneticPr fontId="1" type="noConversion"/>
  </si>
  <si>
    <t>23.8</t>
    <phoneticPr fontId="1" type="noConversion"/>
  </si>
  <si>
    <t>四</t>
    <phoneticPr fontId="1" type="noConversion"/>
  </si>
  <si>
    <t>8.7</t>
    <phoneticPr fontId="1" type="noConversion"/>
  </si>
  <si>
    <t>-10.97</t>
    <phoneticPr fontId="1" type="noConversion"/>
  </si>
  <si>
    <t>非洲菊</t>
    <phoneticPr fontId="1" type="noConversion"/>
  </si>
  <si>
    <t>三色堇</t>
    <phoneticPr fontId="1" type="noConversion"/>
  </si>
  <si>
    <t>Garden pansy</t>
    <phoneticPr fontId="1" type="noConversion"/>
  </si>
  <si>
    <t>Gerdbera</t>
    <phoneticPr fontId="1" type="noConversion"/>
  </si>
  <si>
    <t>3月22年</t>
    <phoneticPr fontId="1" type="noConversion"/>
  </si>
  <si>
    <t>2022年3月</t>
    <phoneticPr fontId="1" type="noConversion"/>
  </si>
  <si>
    <t>3月22年</t>
    <phoneticPr fontId="1" type="noConversion"/>
  </si>
  <si>
    <t>17.37</t>
    <phoneticPr fontId="1" type="noConversion"/>
  </si>
  <si>
    <t>25.65</t>
    <phoneticPr fontId="1" type="noConversion"/>
  </si>
  <si>
    <t>-1.2</t>
    <phoneticPr fontId="1" type="noConversion"/>
  </si>
  <si>
    <t>融</t>
    <phoneticPr fontId="1" type="noConversion"/>
  </si>
  <si>
    <t>千附精密</t>
    <phoneticPr fontId="1" type="noConversion"/>
  </si>
  <si>
    <t>昶昕</t>
    <phoneticPr fontId="1" type="noConversion"/>
  </si>
  <si>
    <t>力士</t>
    <phoneticPr fontId="1" type="noConversion"/>
  </si>
  <si>
    <t>綠界科技</t>
    <phoneticPr fontId="1" type="noConversion"/>
  </si>
  <si>
    <t>第3方支付歐買尬旗下</t>
    <phoneticPr fontId="1" type="noConversion"/>
  </si>
  <si>
    <t>MOSFET斐成轉投資</t>
    <phoneticPr fontId="1" type="noConversion"/>
  </si>
  <si>
    <t>PCB廢液處理</t>
    <phoneticPr fontId="1" type="noConversion"/>
  </si>
  <si>
    <t>機密科技千附旗下</t>
    <phoneticPr fontId="1" type="noConversion"/>
  </si>
  <si>
    <t>寶緯</t>
    <phoneticPr fontId="1" type="noConversion"/>
  </si>
  <si>
    <t>鋁窗</t>
    <phoneticPr fontId="1" type="noConversion"/>
  </si>
  <si>
    <t>寶德</t>
    <phoneticPr fontId="1" type="noConversion"/>
  </si>
  <si>
    <t>滑鼠</t>
    <phoneticPr fontId="1" type="noConversion"/>
  </si>
  <si>
    <t>1.25</t>
    <phoneticPr fontId="1" type="noConversion"/>
  </si>
  <si>
    <t>11.36</t>
    <phoneticPr fontId="1" type="noConversion"/>
  </si>
  <si>
    <t>0.56</t>
    <phoneticPr fontId="1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</si>
  <si>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</si>
  <si>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</si>
  <si>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</si>
  <si>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</si>
  <si>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</si>
  <si>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</si>
  <si>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</si>
  <si>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</si>
  <si>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</si>
  <si>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</si>
  <si>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</si>
  <si>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</si>
  <si>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</si>
  <si>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</si>
  <si>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</si>
  <si>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</si>
  <si>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</si>
  <si>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</si>
  <si>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</si>
  <si>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</si>
  <si>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</si>
  <si>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</si>
  <si>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</si>
  <si>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</si>
  <si>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</si>
  <si>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</si>
  <si>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</si>
  <si>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</si>
  <si>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德麥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</si>
  <si>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</si>
  <si>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</si>
  <si>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</si>
  <si>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</si>
  <si>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</si>
  <si>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</si>
  <si>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</si>
  <si>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</si>
  <si>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</si>
  <si>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</si>
  <si>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</si>
  <si>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</si>
  <si>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</si>
  <si>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</si>
  <si>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</si>
  <si>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</si>
  <si>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</si>
  <si>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</si>
  <si>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</si>
  <si>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</si>
  <si>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</si>
  <si>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</si>
  <si>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</si>
  <si>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</si>
  <si>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八貫</t>
  </si>
  <si>
    <t>遠東新</t>
  </si>
  <si>
    <t>新纖</t>
  </si>
  <si>
    <t>南染</t>
  </si>
  <si>
    <t>東和</t>
  </si>
  <si>
    <t>廣豐</t>
  </si>
  <si>
    <t>嘉裕</t>
  </si>
  <si>
    <t>新紡</t>
  </si>
  <si>
    <t>利華</t>
  </si>
  <si>
    <t>福懋</t>
  </si>
  <si>
    <t>華友聯</t>
  </si>
  <si>
    <t>勤益控</t>
  </si>
  <si>
    <t>三地開發</t>
  </si>
  <si>
    <t>中和</t>
  </si>
  <si>
    <t>南紡</t>
  </si>
  <si>
    <t>名軒</t>
  </si>
  <si>
    <t>力麗</t>
  </si>
  <si>
    <t>大宇</t>
  </si>
  <si>
    <t>宏和</t>
  </si>
  <si>
    <t>力鵬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</si>
  <si>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</si>
  <si>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</si>
  <si>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</si>
  <si>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</si>
  <si>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</si>
  <si>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</si>
  <si>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</si>
  <si>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</si>
  <si>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強盛</t>
  </si>
  <si>
    <t>得力</t>
  </si>
  <si>
    <t>偉全</t>
  </si>
  <si>
    <t>聚隆</t>
  </si>
  <si>
    <t>南緯</t>
  </si>
  <si>
    <t>大統新創</t>
  </si>
  <si>
    <t>台南</t>
  </si>
  <si>
    <t>弘裕</t>
  </si>
  <si>
    <t>儒鴻</t>
  </si>
  <si>
    <t>聚陽</t>
  </si>
  <si>
    <t>士電</t>
  </si>
  <si>
    <t>東元</t>
  </si>
  <si>
    <t>永大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</si>
  <si>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</si>
  <si>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</si>
  <si>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</si>
  <si>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</si>
  <si>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</si>
  <si>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</si>
  <si>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</si>
  <si>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</si>
  <si>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</si>
  <si>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</si>
  <si>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</si>
  <si>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</si>
  <si>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</si>
  <si>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</si>
  <si>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</si>
  <si>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</si>
  <si>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</si>
  <si>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</si>
  <si>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</si>
  <si>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</si>
  <si>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</si>
  <si>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</si>
  <si>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</si>
  <si>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</si>
  <si>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</si>
  <si>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</si>
  <si>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</si>
  <si>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</si>
  <si>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</si>
  <si>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</si>
  <si>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</si>
  <si>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</si>
  <si>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</si>
  <si>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</si>
  <si>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</si>
  <si>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</si>
  <si>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</si>
  <si>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</si>
  <si>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</si>
  <si>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</si>
  <si>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</si>
  <si>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</si>
  <si>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</si>
  <si>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</si>
  <si>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</si>
  <si>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</si>
  <si>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</si>
  <si>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</si>
  <si>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</si>
  <si>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</si>
  <si>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</si>
  <si>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</si>
  <si>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</si>
  <si>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</si>
  <si>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</si>
  <si>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</si>
  <si>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</si>
  <si>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</si>
  <si>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</si>
  <si>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</si>
  <si>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</si>
  <si>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</si>
  <si>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</si>
  <si>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</si>
  <si>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</si>
  <si>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</si>
  <si>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</si>
  <si>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</si>
  <si>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</si>
  <si>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</si>
  <si>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</si>
  <si>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</si>
  <si>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</si>
  <si>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</si>
  <si>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</si>
  <si>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</si>
  <si>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</si>
  <si>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</si>
  <si>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</si>
  <si>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</si>
  <si>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</si>
  <si>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</si>
  <si>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</si>
  <si>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</si>
  <si>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</si>
  <si>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</si>
  <si>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</si>
  <si>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</si>
  <si>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和康生</t>
  </si>
  <si>
    <t>訊聯</t>
  </si>
  <si>
    <t>光洋科</t>
  </si>
  <si>
    <t>科妍</t>
  </si>
  <si>
    <t>杏昌</t>
  </si>
  <si>
    <t>神隆</t>
  </si>
  <si>
    <t>美時</t>
  </si>
  <si>
    <t>台玻</t>
  </si>
  <si>
    <t>冠軍</t>
  </si>
  <si>
    <t>潤隆</t>
  </si>
  <si>
    <t>中釉</t>
  </si>
  <si>
    <t>和成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</si>
  <si>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</si>
  <si>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</si>
  <si>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</si>
  <si>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</si>
  <si>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</si>
  <si>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</si>
  <si>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</si>
  <si>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</si>
  <si>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</si>
  <si>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</si>
  <si>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</si>
  <si>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</si>
  <si>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</si>
  <si>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</si>
  <si>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</si>
  <si>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</si>
  <si>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</si>
  <si>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</si>
  <si>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</si>
  <si>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</si>
  <si>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燁輝</t>
  </si>
  <si>
    <t>志聯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</si>
  <si>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</si>
  <si>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</si>
  <si>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</si>
  <si>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</si>
  <si>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</si>
  <si>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</si>
  <si>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</si>
  <si>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</si>
  <si>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</si>
  <si>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</si>
  <si>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</si>
  <si>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</si>
  <si>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晉椿</t>
  </si>
  <si>
    <t>世豐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</si>
  <si>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</si>
  <si>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</si>
  <si>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</si>
  <si>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</si>
  <si>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</si>
  <si>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</si>
  <si>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</si>
  <si>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</si>
  <si>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</si>
  <si>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</si>
  <si>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</si>
  <si>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</si>
  <si>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</si>
  <si>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</si>
  <si>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</si>
  <si>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</si>
  <si>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</si>
  <si>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</si>
  <si>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</si>
  <si>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</si>
  <si>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劍麟</t>
  </si>
  <si>
    <t>泰茂</t>
  </si>
  <si>
    <t>為升</t>
  </si>
  <si>
    <t>宇隆</t>
  </si>
  <si>
    <t>百達-KY</t>
  </si>
  <si>
    <t>英利-KY</t>
  </si>
  <si>
    <t>艾姆勒</t>
  </si>
  <si>
    <t>宏旭-KY</t>
  </si>
  <si>
    <t>汎德永業</t>
  </si>
  <si>
    <t>IKKA-KY</t>
  </si>
  <si>
    <t>光寶科</t>
  </si>
  <si>
    <t>麗正</t>
  </si>
  <si>
    <t>聯電</t>
  </si>
  <si>
    <t>全友</t>
  </si>
  <si>
    <t>台達電</t>
  </si>
  <si>
    <t>金寶</t>
  </si>
  <si>
    <t>華通</t>
  </si>
  <si>
    <t>楠梓電</t>
  </si>
  <si>
    <t>鴻海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</si>
  <si>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</si>
  <si>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</si>
  <si>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</si>
  <si>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</si>
  <si>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</si>
  <si>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</si>
  <si>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</si>
  <si>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</si>
  <si>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</si>
  <si>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</si>
  <si>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台亞</t>
  </si>
  <si>
    <t>茂矽</t>
  </si>
  <si>
    <t>華邦電</t>
  </si>
  <si>
    <t>智邦</t>
  </si>
  <si>
    <t>聯強</t>
  </si>
  <si>
    <t>海悅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</si>
  <si>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</si>
  <si>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</si>
  <si>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</si>
  <si>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</si>
  <si>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</si>
  <si>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</si>
  <si>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</si>
  <si>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</si>
  <si>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</si>
  <si>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</si>
  <si>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</si>
  <si>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</si>
  <si>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</si>
  <si>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</si>
  <si>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</si>
  <si>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</si>
  <si>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</si>
  <si>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</si>
  <si>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</si>
  <si>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</si>
  <si>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</si>
  <si>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</si>
  <si>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</si>
  <si>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</si>
  <si>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</si>
  <si>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</si>
  <si>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</si>
  <si>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</si>
  <si>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</si>
  <si>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</si>
  <si>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</si>
  <si>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</si>
  <si>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</si>
  <si>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</si>
  <si>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</si>
  <si>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</si>
  <si>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</si>
  <si>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</si>
  <si>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</si>
  <si>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</si>
  <si>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</si>
  <si>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</si>
  <si>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</si>
  <si>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</si>
  <si>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</si>
  <si>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</si>
  <si>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</si>
  <si>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</si>
  <si>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</si>
  <si>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承啟</t>
  </si>
  <si>
    <t>鼎元</t>
  </si>
  <si>
    <t>三商電</t>
  </si>
  <si>
    <t>興勤</t>
  </si>
  <si>
    <t>燦坤</t>
  </si>
  <si>
    <t>聯昌</t>
  </si>
  <si>
    <t>互盛電</t>
  </si>
  <si>
    <t>統懋</t>
  </si>
  <si>
    <t>偉詮電</t>
  </si>
  <si>
    <t>美律</t>
  </si>
  <si>
    <t>超豐</t>
  </si>
  <si>
    <t>新美齊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</si>
  <si>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</si>
  <si>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</si>
  <si>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</si>
  <si>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</si>
  <si>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</si>
  <si>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</si>
  <si>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</si>
  <si>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</si>
  <si>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</si>
  <si>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</si>
  <si>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</si>
  <si>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</si>
  <si>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</si>
  <si>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</si>
  <si>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</si>
  <si>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</si>
  <si>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</si>
  <si>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</si>
  <si>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</si>
  <si>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</si>
  <si>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</si>
  <si>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</si>
  <si>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</si>
  <si>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</si>
  <si>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</si>
  <si>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</si>
  <si>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</si>
  <si>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</si>
  <si>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</si>
  <si>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</si>
  <si>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</si>
  <si>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</si>
  <si>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</si>
  <si>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</si>
  <si>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</si>
  <si>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</si>
  <si>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</si>
  <si>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</si>
  <si>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</si>
  <si>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</si>
  <si>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</si>
  <si>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</si>
  <si>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</si>
  <si>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</si>
  <si>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</si>
  <si>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</si>
  <si>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</si>
  <si>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</si>
  <si>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</si>
  <si>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</si>
  <si>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</si>
  <si>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</si>
  <si>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</si>
  <si>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</si>
  <si>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</si>
  <si>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</si>
  <si>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</si>
  <si>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</si>
  <si>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</si>
  <si>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</si>
  <si>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</si>
  <si>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</si>
  <si>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</si>
  <si>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</si>
  <si>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</si>
  <si>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</si>
  <si>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</si>
  <si>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</si>
  <si>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</si>
  <si>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</si>
  <si>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</si>
  <si>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</si>
  <si>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</si>
  <si>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</si>
  <si>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</si>
  <si>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</si>
  <si>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</si>
  <si>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</si>
  <si>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</si>
  <si>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</si>
  <si>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</si>
  <si>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</si>
  <si>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</si>
  <si>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</si>
  <si>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</si>
  <si>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</si>
  <si>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</si>
  <si>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</si>
  <si>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</si>
  <si>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</si>
  <si>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國賓</t>
  </si>
  <si>
    <t>六福</t>
  </si>
  <si>
    <t>第一店</t>
  </si>
  <si>
    <t>晶華</t>
  </si>
  <si>
    <t>遠雄來</t>
  </si>
  <si>
    <t>夏都</t>
  </si>
  <si>
    <t>美食-KY</t>
  </si>
  <si>
    <t>雅茗-KY</t>
  </si>
  <si>
    <t>王品</t>
  </si>
  <si>
    <t>雄獅</t>
  </si>
  <si>
    <t>六角</t>
  </si>
  <si>
    <t>富野</t>
  </si>
  <si>
    <t>寒舍</t>
  </si>
  <si>
    <t>山富</t>
  </si>
  <si>
    <t>雲品</t>
  </si>
  <si>
    <t>亞洲藏壽司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</si>
  <si>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</si>
  <si>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</si>
  <si>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</si>
  <si>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</si>
  <si>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</si>
  <si>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</si>
  <si>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</si>
  <si>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</si>
  <si>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</si>
  <si>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</si>
  <si>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</si>
  <si>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</si>
  <si>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</si>
  <si>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</si>
  <si>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</si>
  <si>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</si>
  <si>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</si>
  <si>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</si>
  <si>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</si>
  <si>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</si>
  <si>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</si>
  <si>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</si>
  <si>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</si>
  <si>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</si>
  <si>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</si>
  <si>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</si>
  <si>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</si>
  <si>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</si>
  <si>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</si>
  <si>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</si>
  <si>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</si>
  <si>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</si>
  <si>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</si>
  <si>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</si>
  <si>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</si>
  <si>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</si>
  <si>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</si>
  <si>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</si>
  <si>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</si>
  <si>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</si>
  <si>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</si>
  <si>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</si>
  <si>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誠品生活</t>
  </si>
  <si>
    <t>淘帝-KY</t>
  </si>
  <si>
    <t>客思達-KY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</si>
  <si>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</si>
  <si>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</si>
  <si>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</si>
  <si>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</si>
  <si>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</si>
  <si>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</si>
  <si>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</si>
  <si>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</si>
  <si>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</si>
  <si>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</si>
  <si>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</si>
  <si>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</si>
  <si>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</si>
  <si>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</si>
  <si>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</si>
  <si>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</si>
  <si>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</si>
  <si>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</si>
  <si>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</si>
  <si>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</si>
  <si>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</si>
  <si>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</si>
  <si>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</si>
  <si>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</si>
  <si>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</si>
  <si>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</si>
  <si>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</si>
  <si>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</si>
  <si>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</si>
  <si>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</si>
  <si>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</si>
  <si>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</si>
  <si>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</si>
  <si>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</si>
  <si>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健鼎</t>
  </si>
  <si>
    <t>台灣大</t>
  </si>
  <si>
    <t>訊舟</t>
  </si>
  <si>
    <t>益登</t>
  </si>
  <si>
    <t>和鑫</t>
  </si>
  <si>
    <t>鈺德</t>
  </si>
  <si>
    <t>夆典</t>
  </si>
  <si>
    <t>立萬利</t>
  </si>
  <si>
    <t>蔚華科</t>
  </si>
  <si>
    <t>總太</t>
  </si>
  <si>
    <t>立德</t>
  </si>
  <si>
    <t>華晶科</t>
  </si>
  <si>
    <t>銘異</t>
  </si>
  <si>
    <t>建漢</t>
  </si>
  <si>
    <t>協禧</t>
  </si>
  <si>
    <t>僑威</t>
  </si>
  <si>
    <t>聯亞</t>
  </si>
  <si>
    <t>網龍</t>
  </si>
  <si>
    <t>華義</t>
  </si>
  <si>
    <t>艾訊</t>
  </si>
  <si>
    <t>日電貿</t>
  </si>
  <si>
    <t>鴻碩</t>
  </si>
  <si>
    <t>聯傑</t>
  </si>
  <si>
    <t>穩懋</t>
  </si>
  <si>
    <t>好德</t>
  </si>
  <si>
    <t>進階</t>
  </si>
  <si>
    <t>笙泉</t>
  </si>
  <si>
    <t>昇銳</t>
  </si>
  <si>
    <t>一零四</t>
  </si>
  <si>
    <t>耀登</t>
  </si>
  <si>
    <t>晶宏</t>
  </si>
  <si>
    <t>大綜</t>
  </si>
  <si>
    <t>璟德</t>
  </si>
  <si>
    <t>精確</t>
  </si>
  <si>
    <t>波若威</t>
  </si>
  <si>
    <t>景岳</t>
  </si>
  <si>
    <t>大量</t>
  </si>
  <si>
    <t>亞信</t>
  </si>
  <si>
    <t>新洲</t>
  </si>
  <si>
    <t>公準</t>
  </si>
  <si>
    <t>鑫龍騰</t>
  </si>
  <si>
    <t>景碩</t>
  </si>
  <si>
    <t>樺晟</t>
  </si>
  <si>
    <t>佰研</t>
  </si>
  <si>
    <t>耀勝</t>
  </si>
  <si>
    <t>全科</t>
  </si>
  <si>
    <t>順達</t>
  </si>
  <si>
    <t>茂訊</t>
  </si>
  <si>
    <t>優群</t>
  </si>
  <si>
    <t>大學光</t>
  </si>
  <si>
    <t>倚強科</t>
  </si>
  <si>
    <t>台嘉碩</t>
  </si>
  <si>
    <t>三顧</t>
  </si>
  <si>
    <t>原相</t>
  </si>
  <si>
    <t>錦明</t>
  </si>
  <si>
    <t>緯創</t>
  </si>
  <si>
    <t>昱捷</t>
  </si>
  <si>
    <t>光環</t>
  </si>
  <si>
    <t>千如</t>
  </si>
  <si>
    <t>海灣</t>
  </si>
  <si>
    <t>虹冠電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</si>
  <si>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</si>
  <si>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</si>
  <si>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</si>
  <si>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</si>
  <si>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</si>
  <si>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</si>
  <si>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</si>
  <si>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</si>
  <si>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</si>
  <si>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</si>
  <si>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</si>
  <si>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</si>
  <si>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</si>
  <si>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</si>
  <si>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</si>
  <si>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</si>
  <si>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</si>
  <si>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佳穎</t>
  </si>
  <si>
    <t>閎暉</t>
  </si>
  <si>
    <t>弘憶股</t>
  </si>
  <si>
    <t>尼克森</t>
  </si>
  <si>
    <t>加百裕</t>
  </si>
  <si>
    <t>雙鴻</t>
  </si>
  <si>
    <t>旭品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</si>
  <si>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</si>
  <si>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</si>
  <si>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</si>
  <si>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</si>
  <si>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</si>
  <si>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</si>
  <si>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</si>
  <si>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</si>
  <si>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</si>
  <si>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</si>
  <si>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</si>
  <si>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</si>
  <si>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</si>
  <si>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</si>
  <si>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</si>
  <si>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</si>
  <si>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</si>
  <si>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</si>
  <si>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</si>
  <si>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</si>
  <si>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</si>
  <si>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</si>
  <si>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</si>
  <si>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</si>
  <si>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</si>
  <si>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</si>
  <si>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</si>
  <si>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</si>
  <si>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</si>
  <si>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</si>
  <si>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</si>
  <si>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</si>
  <si>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</si>
  <si>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</si>
  <si>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</si>
  <si>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</si>
  <si>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</si>
  <si>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</si>
  <si>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</si>
  <si>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</si>
  <si>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</si>
  <si>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陽程</t>
  </si>
  <si>
    <t>環天科</t>
  </si>
  <si>
    <t>維熹</t>
  </si>
  <si>
    <t>揚明光</t>
  </si>
  <si>
    <t>位速</t>
  </si>
  <si>
    <t>矽瑪</t>
  </si>
  <si>
    <t>華擎</t>
  </si>
  <si>
    <t>柏騰</t>
  </si>
  <si>
    <t>鴻翊</t>
  </si>
  <si>
    <t>凡甲</t>
  </si>
  <si>
    <t>聚積</t>
  </si>
  <si>
    <t>安馳</t>
  </si>
  <si>
    <t>力旺</t>
  </si>
  <si>
    <t>晶相光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</si>
  <si>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</si>
  <si>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</si>
  <si>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</si>
  <si>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</si>
  <si>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</si>
  <si>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</si>
  <si>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</si>
  <si>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</si>
  <si>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</si>
  <si>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</si>
  <si>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</si>
  <si>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</si>
  <si>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</si>
  <si>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</si>
  <si>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</si>
  <si>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</si>
  <si>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</si>
  <si>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逸昌</t>
  </si>
  <si>
    <t>泓格</t>
  </si>
  <si>
    <t>友威科</t>
  </si>
  <si>
    <t>博磊</t>
  </si>
  <si>
    <t>辛耘</t>
  </si>
  <si>
    <t>閎康</t>
  </si>
  <si>
    <t>通嘉</t>
  </si>
  <si>
    <t>艾笛森</t>
  </si>
  <si>
    <t>磐儀</t>
  </si>
  <si>
    <t>智易</t>
  </si>
  <si>
    <t>映興</t>
  </si>
  <si>
    <t>宏致</t>
  </si>
  <si>
    <t>谷崧</t>
  </si>
  <si>
    <t>三一東林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</si>
  <si>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</si>
  <si>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</si>
  <si>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</si>
  <si>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</si>
  <si>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</si>
  <si>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</si>
  <si>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</si>
  <si>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</si>
  <si>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新鉅科</t>
  </si>
  <si>
    <t>晟楠</t>
  </si>
  <si>
    <t>達邁</t>
  </si>
  <si>
    <t>艾恩特</t>
  </si>
  <si>
    <t>精聯</t>
  </si>
  <si>
    <t>健策</t>
  </si>
  <si>
    <t>世芯-KY</t>
  </si>
  <si>
    <t>鑫科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</si>
  <si>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</si>
  <si>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</si>
  <si>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</si>
  <si>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</si>
  <si>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</si>
  <si>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</si>
  <si>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</si>
  <si>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</si>
  <si>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元創精密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</si>
  <si>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</si>
  <si>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</si>
  <si>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</si>
  <si>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</si>
  <si>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</si>
  <si>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</si>
  <si>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</si>
  <si>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</si>
  <si>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</si>
  <si>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</si>
  <si>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</si>
  <si>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</si>
  <si>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</si>
  <si>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日月光投控</t>
  </si>
  <si>
    <t>永崴投控</t>
  </si>
  <si>
    <t>富采</t>
  </si>
  <si>
    <t>永日</t>
  </si>
  <si>
    <t>佳醫</t>
  </si>
  <si>
    <t>東洋</t>
  </si>
  <si>
    <t>邦特</t>
  </si>
  <si>
    <t>懷特</t>
  </si>
  <si>
    <t>加捷生醫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</si>
  <si>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</si>
  <si>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</si>
  <si>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</si>
  <si>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</si>
  <si>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</si>
  <si>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</si>
  <si>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</si>
  <si>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</si>
  <si>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中天</t>
  </si>
  <si>
    <t>聯合</t>
  </si>
  <si>
    <t>健亞</t>
  </si>
  <si>
    <t>亞諾法</t>
  </si>
  <si>
    <t>麗豐-KY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</si>
  <si>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</si>
  <si>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</si>
  <si>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</si>
  <si>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</si>
  <si>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</si>
  <si>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</si>
  <si>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</si>
  <si>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</si>
  <si>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</si>
  <si>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</si>
  <si>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</si>
  <si>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</si>
  <si>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</si>
  <si>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</si>
  <si>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</si>
  <si>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</si>
  <si>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</si>
  <si>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</si>
  <si>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佐登-KY</t>
  </si>
  <si>
    <t>環泰</t>
  </si>
  <si>
    <t>信立</t>
  </si>
  <si>
    <t>炎洲</t>
  </si>
  <si>
    <t>東隆興</t>
  </si>
  <si>
    <t>新昕纖</t>
  </si>
  <si>
    <t>如興</t>
  </si>
  <si>
    <t>金洲</t>
  </si>
  <si>
    <t>利勤</t>
  </si>
  <si>
    <t>耀億</t>
  </si>
  <si>
    <t>銘旺實</t>
  </si>
  <si>
    <t>興采</t>
  </si>
  <si>
    <t>廣越</t>
  </si>
  <si>
    <t>冠星-KY</t>
  </si>
  <si>
    <t>金雨</t>
  </si>
  <si>
    <t>崇友</t>
  </si>
  <si>
    <t>高鋒</t>
  </si>
  <si>
    <t>福裕</t>
  </si>
  <si>
    <t>東台</t>
  </si>
  <si>
    <t>淳紳</t>
  </si>
  <si>
    <t>瑞智</t>
  </si>
  <si>
    <t>協易機</t>
  </si>
  <si>
    <t>慶騰</t>
  </si>
  <si>
    <t>拓凱</t>
  </si>
  <si>
    <t>全球傳動</t>
  </si>
  <si>
    <t>晟田</t>
  </si>
  <si>
    <t>萬在</t>
  </si>
  <si>
    <t>銘鈺</t>
  </si>
  <si>
    <t>桓達</t>
  </si>
  <si>
    <t>智伸科</t>
  </si>
  <si>
    <t>力達-KY</t>
  </si>
  <si>
    <t>氣立</t>
  </si>
  <si>
    <t>永新-KY</t>
  </si>
  <si>
    <t>強信-KY</t>
  </si>
  <si>
    <t>穎漢</t>
  </si>
  <si>
    <t>元翎</t>
  </si>
  <si>
    <t>時碩工業</t>
  </si>
  <si>
    <t>鈞興-KY</t>
  </si>
  <si>
    <t>駐龍</t>
  </si>
  <si>
    <t>大銀微系統</t>
  </si>
  <si>
    <t>捷流閥業</t>
  </si>
  <si>
    <t>光隆精密-KY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</si>
  <si>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</si>
  <si>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</si>
  <si>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</si>
  <si>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</si>
  <si>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</si>
  <si>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</si>
  <si>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</si>
  <si>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</si>
  <si>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</si>
  <si>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雙美</t>
  </si>
  <si>
    <t>豪展</t>
  </si>
  <si>
    <t>泰博</t>
  </si>
  <si>
    <t>華廣</t>
  </si>
  <si>
    <t>康普</t>
  </si>
  <si>
    <t>皇將</t>
  </si>
  <si>
    <t>合富-KY</t>
  </si>
  <si>
    <t>台耀</t>
  </si>
  <si>
    <t>三福化</t>
  </si>
  <si>
    <t>勤凱</t>
  </si>
  <si>
    <t>材料-KY</t>
  </si>
  <si>
    <t>雙鍵</t>
  </si>
  <si>
    <t>南寶</t>
  </si>
  <si>
    <t>大略-KY</t>
  </si>
  <si>
    <t>日成-KY</t>
  </si>
  <si>
    <t>遠傳</t>
  </si>
  <si>
    <t>正文</t>
  </si>
  <si>
    <t>前鼎</t>
  </si>
  <si>
    <t>新復興</t>
  </si>
  <si>
    <t>聯德控股-KY</t>
  </si>
  <si>
    <t>致伸</t>
  </si>
  <si>
    <t>事欣科</t>
  </si>
  <si>
    <t>新唐</t>
  </si>
  <si>
    <t>泰鼎-KY</t>
  </si>
  <si>
    <t>新盛力</t>
  </si>
  <si>
    <t>友輝</t>
  </si>
  <si>
    <t>茂林-KY</t>
  </si>
  <si>
    <t>和碩</t>
  </si>
  <si>
    <t>亞電</t>
  </si>
  <si>
    <t>嘉彰</t>
  </si>
  <si>
    <t>康控-KY</t>
  </si>
  <si>
    <t>陞達科技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</si>
  <si>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</si>
  <si>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</si>
  <si>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</si>
  <si>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</si>
  <si>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</si>
  <si>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</si>
  <si>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</si>
  <si>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</si>
  <si>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</si>
  <si>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</si>
  <si>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廣穎</t>
  </si>
  <si>
    <t>亞泰</t>
  </si>
  <si>
    <t>佳凌</t>
  </si>
  <si>
    <t>眾達-KY</t>
  </si>
  <si>
    <t>華星光</t>
  </si>
  <si>
    <t>榮科</t>
  </si>
  <si>
    <t>傳奇</t>
  </si>
  <si>
    <t>鑫禾</t>
  </si>
  <si>
    <t>三星</t>
  </si>
  <si>
    <t>榮剛</t>
  </si>
  <si>
    <t>久陽</t>
  </si>
  <si>
    <t>強新</t>
  </si>
  <si>
    <t>建錩</t>
  </si>
  <si>
    <t>華祺</t>
  </si>
  <si>
    <t>富強</t>
  </si>
  <si>
    <t>凱衛</t>
  </si>
  <si>
    <t>訊連</t>
  </si>
  <si>
    <t>坤悅</t>
  </si>
  <si>
    <t>蒙恬</t>
  </si>
  <si>
    <t>亞昕</t>
  </si>
  <si>
    <t>科嘉-KY</t>
  </si>
  <si>
    <t>安力-KY</t>
  </si>
  <si>
    <t>東科-KY</t>
  </si>
  <si>
    <t>雷笛克光學</t>
  </si>
  <si>
    <t>達興材料</t>
  </si>
  <si>
    <t>凌陽創新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</si>
  <si>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</si>
  <si>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</si>
  <si>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</si>
  <si>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</si>
  <si>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</si>
  <si>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</si>
  <si>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</si>
  <si>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</si>
  <si>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</si>
  <si>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</si>
  <si>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</si>
  <si>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</si>
  <si>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</si>
  <si>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</si>
  <si>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</si>
  <si>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</si>
  <si>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桂盟</t>
  </si>
  <si>
    <t>寶島科</t>
  </si>
  <si>
    <t>光聯</t>
  </si>
  <si>
    <t>美而快</t>
  </si>
  <si>
    <t>華容</t>
  </si>
  <si>
    <t>世界</t>
  </si>
  <si>
    <t>鈺創</t>
  </si>
  <si>
    <t>台林</t>
  </si>
  <si>
    <t>協益</t>
  </si>
  <si>
    <t>中光電</t>
  </si>
  <si>
    <t>青雲</t>
  </si>
  <si>
    <t>中磊</t>
  </si>
  <si>
    <t>能率</t>
  </si>
  <si>
    <t>中菲</t>
  </si>
  <si>
    <t>國眾</t>
  </si>
  <si>
    <t>台半</t>
  </si>
  <si>
    <t>振發</t>
  </si>
  <si>
    <t>新門</t>
  </si>
  <si>
    <t>崇越</t>
  </si>
  <si>
    <t>東友</t>
  </si>
  <si>
    <t>高技</t>
  </si>
  <si>
    <t>均豪</t>
  </si>
  <si>
    <t>南良</t>
  </si>
  <si>
    <t>佶優</t>
  </si>
  <si>
    <t>宣德</t>
  </si>
  <si>
    <t>霖宏</t>
  </si>
  <si>
    <t>富驊</t>
  </si>
  <si>
    <t>瀚宇博</t>
  </si>
  <si>
    <t>松翰</t>
  </si>
  <si>
    <t>聰泰</t>
  </si>
  <si>
    <t>智冠</t>
  </si>
  <si>
    <t>新華</t>
  </si>
  <si>
    <t>中美晶</t>
  </si>
  <si>
    <t>三聯</t>
  </si>
  <si>
    <t>凱崴</t>
  </si>
  <si>
    <t>永信建</t>
  </si>
  <si>
    <t>力麒</t>
  </si>
  <si>
    <t>建國</t>
  </si>
  <si>
    <t>隆大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</si>
  <si>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</si>
  <si>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</si>
  <si>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</si>
  <si>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</si>
  <si>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</si>
  <si>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</si>
  <si>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</si>
  <si>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</si>
  <si>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</si>
  <si>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</si>
  <si>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</si>
  <si>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</si>
  <si>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陸海</t>
  </si>
  <si>
    <t>中連</t>
  </si>
  <si>
    <t>遠雄港</t>
  </si>
  <si>
    <t>四維航</t>
  </si>
  <si>
    <t>中菲行</t>
  </si>
  <si>
    <t>鳳凰</t>
  </si>
  <si>
    <t>日盛金</t>
  </si>
  <si>
    <t>致和證</t>
  </si>
  <si>
    <t>中租-KY</t>
  </si>
  <si>
    <t>上海商銀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</si>
  <si>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</si>
  <si>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</si>
  <si>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</si>
  <si>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</si>
  <si>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</si>
  <si>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</si>
  <si>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</si>
  <si>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</si>
  <si>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</si>
  <si>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</si>
  <si>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群益期</t>
  </si>
  <si>
    <t>福邦證</t>
  </si>
  <si>
    <t>創惟</t>
  </si>
  <si>
    <t>競國</t>
  </si>
  <si>
    <t>大宇資</t>
  </si>
  <si>
    <t>聚碩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</si>
  <si>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</si>
  <si>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</si>
  <si>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</si>
  <si>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</si>
  <si>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</si>
  <si>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</si>
  <si>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</si>
  <si>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</si>
  <si>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</si>
  <si>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廣運</t>
  </si>
  <si>
    <t>信音</t>
  </si>
  <si>
    <t>九豪</t>
  </si>
  <si>
    <t>上福</t>
  </si>
  <si>
    <t>金橋</t>
  </si>
  <si>
    <t>萬旭</t>
  </si>
  <si>
    <t>富爾特</t>
  </si>
  <si>
    <t>茂達</t>
  </si>
  <si>
    <t>亞翔</t>
  </si>
  <si>
    <t>訊達</t>
  </si>
  <si>
    <t>柏承</t>
  </si>
  <si>
    <t>振曜</t>
  </si>
  <si>
    <t>耕興</t>
  </si>
  <si>
    <t>頎邦</t>
  </si>
  <si>
    <t>驊宏資</t>
  </si>
  <si>
    <t>撼訊</t>
  </si>
  <si>
    <t>晉倫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</si>
  <si>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</si>
  <si>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</si>
  <si>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</si>
  <si>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</si>
  <si>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</si>
  <si>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</si>
  <si>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</si>
  <si>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</si>
  <si>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</si>
  <si>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</si>
  <si>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</si>
  <si>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宏齊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</si>
  <si>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</si>
  <si>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</si>
  <si>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</si>
  <si>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</si>
  <si>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</si>
  <si>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</si>
  <si>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</si>
  <si>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</si>
  <si>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</si>
  <si>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</si>
  <si>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</si>
  <si>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</si>
  <si>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</si>
  <si>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</si>
  <si>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</si>
  <si>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</si>
  <si>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</si>
  <si>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</si>
  <si>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</si>
  <si>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帆宣</t>
  </si>
  <si>
    <t>佳必琪</t>
  </si>
  <si>
    <t>亞弘電</t>
  </si>
  <si>
    <t>盛群</t>
  </si>
  <si>
    <t>海韻電</t>
  </si>
  <si>
    <t>詮欣</t>
  </si>
  <si>
    <t>飛捷</t>
  </si>
  <si>
    <t>雷科</t>
  </si>
  <si>
    <t>日揚</t>
  </si>
  <si>
    <t>今國光</t>
  </si>
  <si>
    <t>慶生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</si>
  <si>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</si>
  <si>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</si>
  <si>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</si>
  <si>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</si>
  <si>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</si>
  <si>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</si>
  <si>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</si>
  <si>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</si>
  <si>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旺矽</t>
  </si>
  <si>
    <t>聚鼎</t>
  </si>
  <si>
    <t>光鼎</t>
  </si>
  <si>
    <t>茂綸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</si>
  <si>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</si>
  <si>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</si>
  <si>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</si>
  <si>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</si>
  <si>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</si>
  <si>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</si>
  <si>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</si>
  <si>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</si>
  <si>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</si>
  <si>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迅杰</t>
  </si>
  <si>
    <t>立端</t>
  </si>
  <si>
    <t>臺龍</t>
  </si>
  <si>
    <t>沛波</t>
  </si>
  <si>
    <t>定穎</t>
  </si>
  <si>
    <t>矽格</t>
  </si>
  <si>
    <t>久元</t>
  </si>
  <si>
    <t>普萊德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</si>
  <si>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</si>
  <si>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</si>
  <si>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</si>
  <si>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</si>
  <si>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</si>
  <si>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</si>
  <si>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</si>
  <si>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</si>
  <si>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</si>
  <si>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</si>
  <si>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</si>
  <si>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</si>
  <si>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</si>
  <si>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</si>
  <si>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</si>
  <si>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</si>
  <si>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聯嘉</t>
  </si>
  <si>
    <t>良維</t>
  </si>
  <si>
    <t>迅德</t>
  </si>
  <si>
    <t>悅城</t>
  </si>
  <si>
    <t>旭隼</t>
  </si>
  <si>
    <t>晶焱</t>
  </si>
  <si>
    <t>群電</t>
  </si>
  <si>
    <t>樺漢</t>
  </si>
  <si>
    <t>矽力-KY</t>
  </si>
  <si>
    <t>瑞祺電通</t>
  </si>
  <si>
    <t>詠昇</t>
  </si>
  <si>
    <t>統新</t>
  </si>
  <si>
    <t>今展科</t>
  </si>
  <si>
    <t>大中</t>
  </si>
  <si>
    <t>迅得</t>
  </si>
  <si>
    <t>廣錠</t>
  </si>
  <si>
    <t>光聖</t>
  </si>
  <si>
    <t>元晶</t>
  </si>
  <si>
    <t>鈺邦</t>
  </si>
  <si>
    <t>訊芯-KY</t>
  </si>
  <si>
    <t>GIS-KY</t>
  </si>
  <si>
    <t>紘康</t>
  </si>
  <si>
    <t>益得</t>
  </si>
  <si>
    <t>神盾</t>
  </si>
  <si>
    <t>台數科</t>
  </si>
  <si>
    <t>大樹</t>
  </si>
  <si>
    <t>保瑞</t>
  </si>
  <si>
    <t>安集</t>
  </si>
  <si>
    <t>點序</t>
  </si>
  <si>
    <t>互動</t>
  </si>
  <si>
    <t>環球晶</t>
  </si>
  <si>
    <t>晶碩</t>
  </si>
  <si>
    <t>九齊</t>
  </si>
  <si>
    <t>益安</t>
  </si>
  <si>
    <t>南六</t>
  </si>
  <si>
    <t>台塑化</t>
  </si>
  <si>
    <t>雙邦</t>
  </si>
  <si>
    <t>惠光</t>
  </si>
  <si>
    <t>聚和</t>
  </si>
  <si>
    <t>精測</t>
  </si>
  <si>
    <t>芮特-KY</t>
  </si>
  <si>
    <t>穎崴</t>
  </si>
  <si>
    <t>勤崴國際</t>
  </si>
  <si>
    <t>達爾膚</t>
  </si>
  <si>
    <t>捷敏-KY</t>
  </si>
  <si>
    <t>創威</t>
  </si>
  <si>
    <t>愛普*</t>
  </si>
  <si>
    <t>瑞耘</t>
  </si>
  <si>
    <t>晶心科</t>
  </si>
  <si>
    <t>倉和</t>
  </si>
  <si>
    <t>隆中</t>
  </si>
  <si>
    <t>長科*</t>
  </si>
  <si>
    <t>易華電</t>
  </si>
  <si>
    <t>興能高</t>
  </si>
  <si>
    <t>是方</t>
  </si>
  <si>
    <t>維田</t>
  </si>
  <si>
    <t>虹揚-KY</t>
  </si>
  <si>
    <t>勁豐</t>
  </si>
  <si>
    <t>達邦蛋白</t>
  </si>
  <si>
    <t>研揚</t>
  </si>
  <si>
    <t>鋼聯</t>
  </si>
  <si>
    <t>申豐</t>
  </si>
  <si>
    <t>動力-KY</t>
  </si>
  <si>
    <t>和潤企業</t>
  </si>
  <si>
    <t>ABC-KY</t>
  </si>
  <si>
    <t>富強鑫</t>
  </si>
  <si>
    <t>帝寶</t>
  </si>
  <si>
    <t>瀧澤科</t>
  </si>
  <si>
    <t>奈米醫材</t>
  </si>
  <si>
    <t>朋億</t>
  </si>
  <si>
    <t>必應</t>
  </si>
  <si>
    <t>基士德-KY</t>
  </si>
  <si>
    <t>M31</t>
  </si>
  <si>
    <t>全宇昕</t>
  </si>
  <si>
    <t>天正國際</t>
  </si>
  <si>
    <t>科定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</si>
  <si>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</si>
  <si>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</si>
  <si>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</si>
  <si>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</si>
  <si>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</si>
  <si>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</si>
  <si>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</si>
  <si>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</si>
  <si>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</si>
  <si>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</si>
  <si>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旭暉應材</t>
  </si>
  <si>
    <t>惠特</t>
  </si>
  <si>
    <t>嘉基</t>
  </si>
  <si>
    <t>昇佳電子</t>
  </si>
  <si>
    <t>91APP*-KY</t>
  </si>
  <si>
    <t>安普新</t>
  </si>
  <si>
    <t>匯僑設計</t>
  </si>
  <si>
    <t>威鋒電子</t>
  </si>
  <si>
    <t>志強-KY</t>
  </si>
  <si>
    <t>展碁國際</t>
  </si>
  <si>
    <t>AES-KY</t>
  </si>
  <si>
    <t>崑鼎</t>
  </si>
  <si>
    <t>台通</t>
  </si>
  <si>
    <t>矽創</t>
  </si>
  <si>
    <t>尖點</t>
  </si>
  <si>
    <t>佑華</t>
  </si>
  <si>
    <t>鈦昇</t>
  </si>
  <si>
    <t>昇陽半導體</t>
  </si>
  <si>
    <t>榮群</t>
  </si>
  <si>
    <t>台虹</t>
  </si>
  <si>
    <t>九暘</t>
  </si>
  <si>
    <t>蜜望實</t>
  </si>
  <si>
    <t>網家</t>
  </si>
  <si>
    <t>南電</t>
  </si>
  <si>
    <t>德勝</t>
  </si>
  <si>
    <t>晶采</t>
  </si>
  <si>
    <t>廣積</t>
  </si>
  <si>
    <t>安國</t>
  </si>
  <si>
    <t>凱碩</t>
  </si>
  <si>
    <t>東捷</t>
  </si>
  <si>
    <t>元太</t>
  </si>
  <si>
    <t>長華*</t>
  </si>
  <si>
    <t>能率網通</t>
  </si>
  <si>
    <t>陞泰</t>
  </si>
  <si>
    <t>鉅橡</t>
  </si>
  <si>
    <t>伍豐</t>
  </si>
  <si>
    <t>致新</t>
  </si>
  <si>
    <t>瑞穎</t>
  </si>
  <si>
    <t>宏捷科</t>
  </si>
  <si>
    <t>品安</t>
  </si>
  <si>
    <t>康全電訊</t>
  </si>
  <si>
    <t>翔名</t>
  </si>
  <si>
    <t>擎亞</t>
  </si>
  <si>
    <t>常珵</t>
  </si>
  <si>
    <t>大世科</t>
  </si>
  <si>
    <t>瀚荃</t>
  </si>
  <si>
    <t>錸寶</t>
  </si>
  <si>
    <t>凌巨</t>
  </si>
  <si>
    <t>大億金茂</t>
  </si>
  <si>
    <t>華東</t>
  </si>
  <si>
    <t>立碁</t>
  </si>
  <si>
    <t>至上</t>
  </si>
  <si>
    <t>振樺電</t>
  </si>
  <si>
    <t>福懋科</t>
  </si>
  <si>
    <t>正淩</t>
  </si>
  <si>
    <t>南茂</t>
  </si>
  <si>
    <t>博智</t>
  </si>
  <si>
    <t>達方</t>
  </si>
  <si>
    <t>天宇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</si>
  <si>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</si>
  <si>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</si>
  <si>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</si>
  <si>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</si>
  <si>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</si>
  <si>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</si>
  <si>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</si>
  <si>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</si>
  <si>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</si>
  <si>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</si>
  <si>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</si>
  <si>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</si>
  <si>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</si>
  <si>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三竹</t>
  </si>
  <si>
    <t>泰藝</t>
  </si>
  <si>
    <t>群聯</t>
  </si>
  <si>
    <t>日友</t>
  </si>
  <si>
    <t>恒耀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</si>
  <si>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</si>
  <si>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</si>
  <si>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</si>
  <si>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</si>
  <si>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</si>
  <si>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</si>
  <si>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</si>
  <si>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</si>
  <si>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</si>
  <si>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福貞-KY</t>
  </si>
  <si>
    <t>大國鋼</t>
  </si>
  <si>
    <t>明揚</t>
  </si>
  <si>
    <t>可寧衛</t>
  </si>
  <si>
    <t>金麗-KY</t>
  </si>
  <si>
    <t>匯鑽科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</si>
  <si>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</si>
  <si>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</si>
  <si>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</si>
  <si>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</si>
  <si>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</si>
  <si>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</si>
  <si>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</si>
  <si>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</si>
  <si>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</si>
  <si>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</si>
  <si>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</si>
  <si>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柏文</t>
  </si>
  <si>
    <t>潤泰材</t>
  </si>
  <si>
    <t>億豐</t>
  </si>
  <si>
    <t>美吉吉-KY</t>
  </si>
  <si>
    <t>波力-KY</t>
  </si>
  <si>
    <t>山林水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</si>
  <si>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</si>
  <si>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</si>
  <si>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</si>
  <si>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</si>
  <si>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</si>
  <si>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</si>
  <si>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</si>
  <si>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</si>
  <si>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</si>
  <si>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</si>
  <si>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</si>
  <si>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</si>
  <si>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大田</t>
  </si>
  <si>
    <t>台汽電</t>
  </si>
  <si>
    <t>北基</t>
  </si>
  <si>
    <t>鉅明</t>
  </si>
  <si>
    <t>富堡</t>
  </si>
  <si>
    <t>大汽電</t>
  </si>
  <si>
    <t>國統</t>
  </si>
  <si>
    <t>明安</t>
  </si>
  <si>
    <t>森鉅</t>
  </si>
  <si>
    <t>高力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</si>
  <si>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</si>
  <si>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</si>
  <si>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</si>
  <si>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</si>
  <si>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</si>
  <si>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</si>
  <si>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</si>
  <si>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</si>
  <si>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</si>
  <si>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</si>
  <si>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</si>
  <si>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</si>
  <si>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</si>
  <si>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</si>
  <si>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</si>
  <si>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</si>
  <si>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</si>
  <si>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</si>
  <si>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</si>
  <si>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</si>
  <si>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</si>
  <si>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</si>
  <si>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</si>
  <si>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</si>
  <si>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</si>
  <si>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</si>
  <si>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</si>
  <si>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</si>
  <si>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</si>
  <si>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</si>
  <si>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</si>
  <si>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</si>
  <si>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</si>
  <si>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皇田</t>
  </si>
  <si>
    <t>佳龍</t>
  </si>
  <si>
    <t>世紀鋼</t>
  </si>
  <si>
    <t>有益</t>
  </si>
  <si>
    <t>代碼</t>
    <phoneticPr fontId="1" type="noConversion"/>
  </si>
  <si>
    <t>商品</t>
    <phoneticPr fontId="1" type="noConversion"/>
  </si>
  <si>
    <t>精確</t>
    <phoneticPr fontId="1" type="noConversion"/>
  </si>
  <si>
    <t>精元</t>
    <phoneticPr fontId="1" type="noConversion"/>
  </si>
  <si>
    <t>穎漢</t>
    <phoneticPr fontId="1" type="noConversion"/>
  </si>
  <si>
    <t>台境</t>
    <phoneticPr fontId="1" type="noConversion"/>
  </si>
  <si>
    <t>貿易</t>
    <phoneticPr fontId="1" type="noConversion"/>
  </si>
  <si>
    <t>北基</t>
    <phoneticPr fontId="1" type="noConversion"/>
  </si>
  <si>
    <t>力致</t>
    <phoneticPr fontId="1" type="noConversion"/>
  </si>
  <si>
    <t>寶齡富錦</t>
    <phoneticPr fontId="1" type="noConversion"/>
  </si>
  <si>
    <t>雷虎</t>
    <phoneticPr fontId="1" type="noConversion"/>
  </si>
  <si>
    <t>福邦證</t>
    <phoneticPr fontId="1" type="noConversion"/>
  </si>
  <si>
    <t>宏大</t>
    <phoneticPr fontId="1" type="noConversion"/>
  </si>
  <si>
    <t>愛地雅</t>
    <phoneticPr fontId="1" type="noConversion"/>
  </si>
  <si>
    <t>聖暉</t>
    <phoneticPr fontId="1" type="noConversion"/>
  </si>
  <si>
    <t>西柏</t>
    <phoneticPr fontId="1" type="noConversion"/>
  </si>
  <si>
    <t>上銀</t>
    <phoneticPr fontId="1" type="noConversion"/>
  </si>
  <si>
    <t>旭品</t>
    <phoneticPr fontId="1" type="noConversion"/>
  </si>
  <si>
    <t>同泰</t>
    <phoneticPr fontId="1" type="noConversion"/>
  </si>
  <si>
    <t>必應</t>
    <phoneticPr fontId="1" type="noConversion"/>
  </si>
  <si>
    <t>台微體</t>
    <phoneticPr fontId="1" type="noConversion"/>
  </si>
  <si>
    <t>定穎</t>
    <phoneticPr fontId="1" type="noConversion"/>
  </si>
  <si>
    <t>群益期</t>
    <phoneticPr fontId="1" type="noConversion"/>
  </si>
  <si>
    <t>百德</t>
    <phoneticPr fontId="1" type="noConversion"/>
  </si>
  <si>
    <t>佳和</t>
    <phoneticPr fontId="1" type="noConversion"/>
  </si>
  <si>
    <t>富邦金</t>
    <phoneticPr fontId="1" type="noConversion"/>
  </si>
  <si>
    <t>正德</t>
    <phoneticPr fontId="1" type="noConversion"/>
  </si>
  <si>
    <t>華建</t>
    <phoneticPr fontId="1" type="noConversion"/>
  </si>
  <si>
    <t>達麗</t>
    <phoneticPr fontId="1" type="noConversion"/>
  </si>
  <si>
    <t>新洲</t>
    <phoneticPr fontId="1" type="noConversion"/>
  </si>
  <si>
    <t>捷迅</t>
    <phoneticPr fontId="1" type="noConversion"/>
  </si>
  <si>
    <t>4.56</t>
    <phoneticPr fontId="1" type="noConversion"/>
  </si>
  <si>
    <t>翔名</t>
    <phoneticPr fontId="1" type="noConversion"/>
  </si>
  <si>
    <t>矮牽牛</t>
    <phoneticPr fontId="1" type="noConversion"/>
  </si>
  <si>
    <t>Chinese thyme</t>
    <phoneticPr fontId="1" type="noConversion"/>
  </si>
  <si>
    <t>Petunia</t>
    <phoneticPr fontId="1" type="noConversion"/>
  </si>
  <si>
    <t>22.33</t>
    <phoneticPr fontId="1" type="noConversion"/>
  </si>
  <si>
    <t>1.8</t>
    <phoneticPr fontId="1" type="noConversion"/>
  </si>
  <si>
    <t>22.9</t>
    <phoneticPr fontId="1" type="noConversion"/>
  </si>
  <si>
    <t>3.42</t>
    <phoneticPr fontId="1" type="noConversion"/>
  </si>
  <si>
    <t>41.9</t>
    <phoneticPr fontId="1" type="noConversion"/>
  </si>
  <si>
    <t>3.89</t>
    <phoneticPr fontId="1" type="noConversion"/>
  </si>
  <si>
    <t>9.5</t>
    <phoneticPr fontId="1" type="noConversion"/>
  </si>
  <si>
    <t>明係</t>
    <phoneticPr fontId="1" type="noConversion"/>
  </si>
  <si>
    <t>自行車ODM</t>
    <phoneticPr fontId="1" type="noConversion"/>
  </si>
  <si>
    <t>7.08</t>
    <phoneticPr fontId="1" type="noConversion"/>
  </si>
  <si>
    <t>5.92</t>
    <phoneticPr fontId="1" type="noConversion"/>
  </si>
  <si>
    <t>3.33</t>
    <phoneticPr fontId="1" type="noConversion"/>
  </si>
  <si>
    <t>10.6</t>
    <phoneticPr fontId="1" type="noConversion"/>
  </si>
  <si>
    <t>6.22</t>
    <phoneticPr fontId="1" type="noConversion"/>
  </si>
  <si>
    <t>19.44</t>
    <phoneticPr fontId="1" type="noConversion"/>
  </si>
  <si>
    <t>8.11</t>
    <phoneticPr fontId="1" type="noConversion"/>
  </si>
  <si>
    <t>借融還劵</t>
    <phoneticPr fontId="1" type="noConversion"/>
  </si>
  <si>
    <t>借券融券</t>
    <phoneticPr fontId="1" type="noConversion"/>
  </si>
  <si>
    <t>4.31</t>
    <phoneticPr fontId="1" type="noConversion"/>
  </si>
  <si>
    <t>成分改為321總分排名</t>
    <phoneticPr fontId="1" type="noConversion"/>
  </si>
  <si>
    <t>單買</t>
    <phoneticPr fontId="1" type="noConversion"/>
  </si>
  <si>
    <t>雙買</t>
    <phoneticPr fontId="1" type="noConversion"/>
  </si>
  <si>
    <t>三買</t>
    <phoneticPr fontId="1" type="noConversion"/>
  </si>
  <si>
    <t>借券回補</t>
  </si>
  <si>
    <t>融券增加</t>
  </si>
  <si>
    <t>買</t>
  </si>
  <si>
    <t>賣</t>
  </si>
  <si>
    <t>借券增加</t>
  </si>
  <si>
    <t>寶利徠</t>
  </si>
  <si>
    <t>融券回補</t>
  </si>
  <si>
    <t>八方雲集</t>
  </si>
  <si>
    <t>皇龍</t>
  </si>
  <si>
    <t>鑫聯大投控</t>
  </si>
  <si>
    <t>濟生</t>
  </si>
  <si>
    <t>中華食</t>
  </si>
  <si>
    <t>方土霖</t>
  </si>
  <si>
    <t>江興鍛</t>
  </si>
  <si>
    <t>科際精密</t>
  </si>
  <si>
    <t>富宇</t>
  </si>
  <si>
    <t>環宇-KY</t>
  </si>
  <si>
    <t>松和</t>
  </si>
  <si>
    <t>力新</t>
  </si>
  <si>
    <t>慕康生醫</t>
  </si>
  <si>
    <t>同亨</t>
  </si>
  <si>
    <t>德昌</t>
  </si>
  <si>
    <t>大城地產</t>
  </si>
  <si>
    <t>詩肯</t>
  </si>
  <si>
    <t>艾華</t>
  </si>
  <si>
    <t>智基</t>
  </si>
  <si>
    <t>宇智</t>
  </si>
  <si>
    <t>光菱</t>
  </si>
  <si>
    <t>金山電</t>
  </si>
  <si>
    <t>星雲</t>
  </si>
  <si>
    <t>博大</t>
  </si>
  <si>
    <t>捷必勝-KY</t>
  </si>
  <si>
    <t>東生華</t>
  </si>
  <si>
    <t>青鋼</t>
  </si>
  <si>
    <t>宏大</t>
  </si>
  <si>
    <t>外資</t>
    <phoneticPr fontId="1" type="noConversion"/>
  </si>
  <si>
    <t>自營</t>
    <phoneticPr fontId="1" type="noConversion"/>
  </si>
  <si>
    <t>投信</t>
    <phoneticPr fontId="1" type="noConversion"/>
  </si>
  <si>
    <t>周轉率</t>
    <phoneticPr fontId="1" type="noConversion"/>
  </si>
  <si>
    <t>亞通</t>
    <phoneticPr fontId="1" type="noConversion"/>
  </si>
  <si>
    <t>興能高</t>
    <phoneticPr fontId="1" type="noConversion"/>
  </si>
  <si>
    <t>借券增減0.1%用圓圈9</t>
    <phoneticPr fontId="1" type="noConversion"/>
  </si>
  <si>
    <t>融外增減0.5%</t>
    <phoneticPr fontId="1" type="noConversion"/>
  </si>
  <si>
    <t>自投增減0.15%</t>
    <phoneticPr fontId="1" type="noConversion"/>
  </si>
  <si>
    <t>跌幅</t>
    <phoneticPr fontId="1" type="noConversion"/>
  </si>
  <si>
    <t>-28.88</t>
    <phoneticPr fontId="1" type="noConversion"/>
  </si>
  <si>
    <t>-18.29</t>
    <phoneticPr fontId="1" type="noConversion"/>
  </si>
  <si>
    <t>-15.97</t>
    <phoneticPr fontId="1" type="noConversion"/>
  </si>
  <si>
    <t>連</t>
    <phoneticPr fontId="1" type="noConversion"/>
  </si>
  <si>
    <t>融</t>
    <phoneticPr fontId="1" type="noConversion"/>
  </si>
  <si>
    <t>自</t>
    <phoneticPr fontId="1" type="noConversion"/>
  </si>
  <si>
    <t>外</t>
    <phoneticPr fontId="1" type="noConversion"/>
  </si>
  <si>
    <t>投</t>
    <phoneticPr fontId="1" type="noConversion"/>
  </si>
  <si>
    <t>融自</t>
    <phoneticPr fontId="1" type="noConversion"/>
  </si>
  <si>
    <t>自投</t>
    <phoneticPr fontId="1" type="noConversion"/>
  </si>
  <si>
    <t>-27.72</t>
    <phoneticPr fontId="1" type="noConversion"/>
  </si>
  <si>
    <t>-26.63</t>
    <phoneticPr fontId="1" type="noConversion"/>
  </si>
  <si>
    <t>-14.47</t>
    <phoneticPr fontId="1" type="noConversion"/>
  </si>
  <si>
    <t>-1.72</t>
    <phoneticPr fontId="1" type="noConversion"/>
  </si>
  <si>
    <t>-19.51</t>
    <phoneticPr fontId="1" type="noConversion"/>
  </si>
  <si>
    <t>-35.71</t>
    <phoneticPr fontId="1" type="noConversion"/>
  </si>
  <si>
    <t>-34.1</t>
    <phoneticPr fontId="1" type="noConversion"/>
  </si>
  <si>
    <t>-16.94</t>
    <phoneticPr fontId="1" type="noConversion"/>
  </si>
  <si>
    <t>-22.33</t>
    <phoneticPr fontId="1" type="noConversion"/>
  </si>
  <si>
    <t>代碼</t>
  </si>
  <si>
    <t>商品</t>
  </si>
  <si>
    <t>排名</t>
  </si>
  <si>
    <t>淨利%</t>
  </si>
  <si>
    <t>毛利</t>
  </si>
  <si>
    <t>獲利因子</t>
  </si>
  <si>
    <t>毛損</t>
  </si>
  <si>
    <t>總交易成本</t>
  </si>
  <si>
    <t>最大持倉金額</t>
  </si>
  <si>
    <t>總交易次數</t>
  </si>
  <si>
    <t>獲利交易次數</t>
  </si>
  <si>
    <t>勝率</t>
  </si>
  <si>
    <t>虧損交易次數</t>
  </si>
  <si>
    <t>平均交易</t>
  </si>
  <si>
    <t>平均獲利交易</t>
  </si>
  <si>
    <t>平均獲利虧損比</t>
  </si>
  <si>
    <t>平均虧損交易</t>
  </si>
  <si>
    <t>最大獲利交易</t>
  </si>
  <si>
    <t>最大虧損交易</t>
  </si>
  <si>
    <t>最大區間獲利</t>
  </si>
  <si>
    <t>最大區間虧損</t>
  </si>
  <si>
    <t>全部交易的平均持倉K線根數</t>
  </si>
  <si>
    <t>獲利交易的平均持倉K線根數</t>
  </si>
  <si>
    <t>回測K線根數</t>
  </si>
  <si>
    <t>虧損交易的平均持倉K線根數</t>
  </si>
  <si>
    <t>時間加權報酬</t>
  </si>
  <si>
    <t>最大持倉報酬</t>
  </si>
  <si>
    <t>買進持有報酬</t>
  </si>
  <si>
    <t>大盤指數報酬</t>
  </si>
  <si>
    <t>台泥 </t>
  </si>
  <si>
    <t>亞泥 </t>
  </si>
  <si>
    <t>嘉泥 </t>
  </si>
  <si>
    <t>環泥 </t>
  </si>
  <si>
    <t>幸福 </t>
  </si>
  <si>
    <t>信大 </t>
  </si>
  <si>
    <t>東泥 </t>
  </si>
  <si>
    <t>味全 </t>
  </si>
  <si>
    <t>味王 </t>
  </si>
  <si>
    <t>大成 </t>
  </si>
  <si>
    <t>大飲 </t>
  </si>
  <si>
    <t>卜蜂 </t>
  </si>
  <si>
    <t>統一 </t>
  </si>
  <si>
    <t>愛之味 </t>
  </si>
  <si>
    <t>泰山 </t>
  </si>
  <si>
    <t>福壽 </t>
  </si>
  <si>
    <t>台榮 </t>
  </si>
  <si>
    <t>福懋油 </t>
  </si>
  <si>
    <t>佳格 </t>
  </si>
  <si>
    <t>聯華 </t>
  </si>
  <si>
    <t>聯華食 </t>
  </si>
  <si>
    <t>大統益 </t>
  </si>
  <si>
    <t>天仁 </t>
  </si>
  <si>
    <t>黑松 </t>
  </si>
  <si>
    <t>興泰 </t>
  </si>
  <si>
    <t>宏亞 </t>
  </si>
  <si>
    <t>茂生農經 </t>
  </si>
  <si>
    <t>鮮活果汁-KY </t>
  </si>
  <si>
    <t>其祥-KY </t>
  </si>
  <si>
    <t>安心 </t>
  </si>
  <si>
    <t>德麥 </t>
  </si>
  <si>
    <t>漢來美食 </t>
  </si>
  <si>
    <t>台塑 </t>
  </si>
  <si>
    <t>南亞 </t>
  </si>
  <si>
    <t>台聚 </t>
  </si>
  <si>
    <t>華夏 </t>
  </si>
  <si>
    <t>三芳 </t>
  </si>
  <si>
    <t>亞聚 </t>
  </si>
  <si>
    <t>台達化 </t>
  </si>
  <si>
    <t>台苯 </t>
  </si>
  <si>
    <t>國喬 </t>
  </si>
  <si>
    <t>聯成 </t>
  </si>
  <si>
    <t>中石化 </t>
  </si>
  <si>
    <t>達新 </t>
  </si>
  <si>
    <t>上曜 </t>
  </si>
  <si>
    <t>東陽 </t>
  </si>
  <si>
    <t>大洋 </t>
  </si>
  <si>
    <t>永裕 </t>
  </si>
  <si>
    <t>地球 </t>
  </si>
  <si>
    <t>恆大 </t>
  </si>
  <si>
    <t>台化 </t>
  </si>
  <si>
    <t>台翰 </t>
  </si>
  <si>
    <t>再生-KY </t>
  </si>
  <si>
    <t>廣華-KY </t>
  </si>
  <si>
    <t>昭輝 </t>
  </si>
  <si>
    <t>勝悅-KY </t>
  </si>
  <si>
    <t>富林-KY </t>
  </si>
  <si>
    <t>八貫 </t>
  </si>
  <si>
    <t>遠東新 </t>
  </si>
  <si>
    <t>新纖 </t>
  </si>
  <si>
    <t>南染 </t>
  </si>
  <si>
    <t>宏洲 </t>
  </si>
  <si>
    <t>東和 </t>
  </si>
  <si>
    <t>廣豐 </t>
  </si>
  <si>
    <t>嘉裕 </t>
  </si>
  <si>
    <t>東華 </t>
  </si>
  <si>
    <t>新紡 </t>
  </si>
  <si>
    <t>利華 </t>
  </si>
  <si>
    <t>大魯閣 </t>
  </si>
  <si>
    <t>福懋 </t>
  </si>
  <si>
    <t>中福 </t>
  </si>
  <si>
    <t>華友聯 </t>
  </si>
  <si>
    <t>勤益控 </t>
  </si>
  <si>
    <t>三地開發 </t>
  </si>
  <si>
    <t>中和 </t>
  </si>
  <si>
    <t>南紡 </t>
  </si>
  <si>
    <t>大東 </t>
  </si>
  <si>
    <t>名軒 </t>
  </si>
  <si>
    <t>立益 </t>
  </si>
  <si>
    <t>力麗 </t>
  </si>
  <si>
    <t>大宇 </t>
  </si>
  <si>
    <t>宏和 </t>
  </si>
  <si>
    <t>力鵬 </t>
  </si>
  <si>
    <t>佳和 </t>
  </si>
  <si>
    <t>年興 </t>
  </si>
  <si>
    <t>宏益 </t>
  </si>
  <si>
    <t>大將 </t>
  </si>
  <si>
    <t>台富 </t>
  </si>
  <si>
    <t>集盛 </t>
  </si>
  <si>
    <t>怡華 </t>
  </si>
  <si>
    <t>宜進 </t>
  </si>
  <si>
    <t>聯發 </t>
  </si>
  <si>
    <t>宏遠 </t>
  </si>
  <si>
    <t>強盛 </t>
  </si>
  <si>
    <t>得力 </t>
  </si>
  <si>
    <t>偉全 </t>
  </si>
  <si>
    <t>聚隆 </t>
  </si>
  <si>
    <t>南緯 </t>
  </si>
  <si>
    <t>昶和 </t>
  </si>
  <si>
    <t>大統新創 </t>
  </si>
  <si>
    <t>首利 </t>
  </si>
  <si>
    <t>三洋實業 </t>
  </si>
  <si>
    <t>台南 </t>
  </si>
  <si>
    <t>弘裕 </t>
  </si>
  <si>
    <t>業旺 </t>
  </si>
  <si>
    <t>儒鴻 </t>
  </si>
  <si>
    <t>聚陽 </t>
  </si>
  <si>
    <t>士電 </t>
  </si>
  <si>
    <t>東元 </t>
  </si>
  <si>
    <t>正道 </t>
  </si>
  <si>
    <t>永大 </t>
  </si>
  <si>
    <t>瑞利 </t>
  </si>
  <si>
    <t>中興電 </t>
  </si>
  <si>
    <t>亞力 </t>
  </si>
  <si>
    <t>力山 </t>
  </si>
  <si>
    <t>川飛 </t>
  </si>
  <si>
    <t>利奇 </t>
  </si>
  <si>
    <t>華城 </t>
  </si>
  <si>
    <t>大億 </t>
  </si>
  <si>
    <t>堤維西 </t>
  </si>
  <si>
    <t>耿鼎 </t>
  </si>
  <si>
    <t>江申 </t>
  </si>
  <si>
    <t>日馳 </t>
  </si>
  <si>
    <t>鑽全 </t>
  </si>
  <si>
    <t>恩德 </t>
  </si>
  <si>
    <t>樂士 </t>
  </si>
  <si>
    <t>亞崴 </t>
  </si>
  <si>
    <t>高林股 </t>
  </si>
  <si>
    <t>勤美 </t>
  </si>
  <si>
    <t>車王電 </t>
  </si>
  <si>
    <t>中宇 </t>
  </si>
  <si>
    <t>和大 </t>
  </si>
  <si>
    <t>廣隆 </t>
  </si>
  <si>
    <t>正峰 </t>
  </si>
  <si>
    <t>巨庭 </t>
  </si>
  <si>
    <t>喬福 </t>
  </si>
  <si>
    <t>錩泰 </t>
  </si>
  <si>
    <t>伸興 </t>
  </si>
  <si>
    <t>中砂 </t>
  </si>
  <si>
    <t>精華 </t>
  </si>
  <si>
    <t>倉佑 </t>
  </si>
  <si>
    <t>濱川 </t>
  </si>
  <si>
    <t>力肯 </t>
  </si>
  <si>
    <t>新麥 </t>
  </si>
  <si>
    <t>信錦 </t>
  </si>
  <si>
    <t>程泰 </t>
  </si>
  <si>
    <t>精剛 </t>
  </si>
  <si>
    <t>和勤 </t>
  </si>
  <si>
    <t>吉茂 </t>
  </si>
  <si>
    <t>永冠-KY </t>
  </si>
  <si>
    <t>亞德客-KY </t>
  </si>
  <si>
    <t>駿吉-KY </t>
  </si>
  <si>
    <t>祺驊 </t>
  </si>
  <si>
    <t>川寶 </t>
  </si>
  <si>
    <t>直得 </t>
  </si>
  <si>
    <t>岱宇 </t>
  </si>
  <si>
    <t>宏佳騰 </t>
  </si>
  <si>
    <t>華電 </t>
  </si>
  <si>
    <t>聲寶 </t>
  </si>
  <si>
    <t>華新 </t>
  </si>
  <si>
    <t>華榮 </t>
  </si>
  <si>
    <t>大亞 </t>
  </si>
  <si>
    <t>中電 </t>
  </si>
  <si>
    <t>宏泰 </t>
  </si>
  <si>
    <t>三洋電 </t>
  </si>
  <si>
    <t>大山 </t>
  </si>
  <si>
    <t>億泰 </t>
  </si>
  <si>
    <t>榮星 </t>
  </si>
  <si>
    <t>合機 </t>
  </si>
  <si>
    <t>艾美特-KY </t>
  </si>
  <si>
    <t>中化 </t>
  </si>
  <si>
    <t>南僑 </t>
  </si>
  <si>
    <t>葡萄王 </t>
  </si>
  <si>
    <t>東鹼 </t>
  </si>
  <si>
    <t>和益 </t>
  </si>
  <si>
    <t>東聯 </t>
  </si>
  <si>
    <t>永光 </t>
  </si>
  <si>
    <t>興農 </t>
  </si>
  <si>
    <t>國化 </t>
  </si>
  <si>
    <t>和桐 </t>
  </si>
  <si>
    <t>長興 </t>
  </si>
  <si>
    <t>中纖 </t>
  </si>
  <si>
    <t>生達 </t>
  </si>
  <si>
    <t>三晃 </t>
  </si>
  <si>
    <t>台肥 </t>
  </si>
  <si>
    <t>中碳 </t>
  </si>
  <si>
    <t>元禎 </t>
  </si>
  <si>
    <t>永記 </t>
  </si>
  <si>
    <t>中華化 </t>
  </si>
  <si>
    <t>花仙子 </t>
  </si>
  <si>
    <t>美吾華 </t>
  </si>
  <si>
    <t>毛寶 </t>
  </si>
  <si>
    <t>五鼎 </t>
  </si>
  <si>
    <t>杏輝 </t>
  </si>
  <si>
    <t>日勝化 </t>
  </si>
  <si>
    <t>喬山 </t>
  </si>
  <si>
    <t>臺鹽 </t>
  </si>
  <si>
    <t>台蠟 </t>
  </si>
  <si>
    <t>南光 </t>
  </si>
  <si>
    <t>寶齡富錦 </t>
  </si>
  <si>
    <t>中化生 </t>
  </si>
  <si>
    <t>勝一 </t>
  </si>
  <si>
    <t>展宇 </t>
  </si>
  <si>
    <t>生泰 </t>
  </si>
  <si>
    <t>合世 </t>
  </si>
  <si>
    <t>和康生 </t>
  </si>
  <si>
    <t>訊聯 </t>
  </si>
  <si>
    <t>光洋科 </t>
  </si>
  <si>
    <t>科妍 </t>
  </si>
  <si>
    <t>杏昌 </t>
  </si>
  <si>
    <t>神隆 </t>
  </si>
  <si>
    <t>美時 </t>
  </si>
  <si>
    <t>金穎生技 </t>
  </si>
  <si>
    <t>易威 </t>
  </si>
  <si>
    <t>台玻 </t>
  </si>
  <si>
    <t>寶徠 </t>
  </si>
  <si>
    <t>冠軍 </t>
  </si>
  <si>
    <t>潤隆 </t>
  </si>
  <si>
    <t>中釉 </t>
  </si>
  <si>
    <t>和成 </t>
  </si>
  <si>
    <t>寶利徠 </t>
  </si>
  <si>
    <t>富喬 </t>
  </si>
  <si>
    <t>凱撒衛 </t>
  </si>
  <si>
    <t>士紙 </t>
  </si>
  <si>
    <t>正隆 </t>
  </si>
  <si>
    <t>華紙 </t>
  </si>
  <si>
    <t>寶隆 </t>
  </si>
  <si>
    <t>永豐餘 </t>
  </si>
  <si>
    <t>榮成 </t>
  </si>
  <si>
    <t>中鋼 </t>
  </si>
  <si>
    <t>東和鋼鐵 </t>
  </si>
  <si>
    <t>燁興 </t>
  </si>
  <si>
    <t>高興昌 </t>
  </si>
  <si>
    <t>第一銅 </t>
  </si>
  <si>
    <t>春源 </t>
  </si>
  <si>
    <t>春雨 </t>
  </si>
  <si>
    <t>中鋼構 </t>
  </si>
  <si>
    <t>中鴻 </t>
  </si>
  <si>
    <t>豐興 </t>
  </si>
  <si>
    <t>官田鋼 </t>
  </si>
  <si>
    <t>美亞 </t>
  </si>
  <si>
    <t>聚亨 </t>
  </si>
  <si>
    <t>燁輝 </t>
  </si>
  <si>
    <t>志聯 </t>
  </si>
  <si>
    <t>千興 </t>
  </si>
  <si>
    <t>大成鋼 </t>
  </si>
  <si>
    <t>威致 </t>
  </si>
  <si>
    <t>盛餘 </t>
  </si>
  <si>
    <t>彰源 </t>
  </si>
  <si>
    <t>新光鋼 </t>
  </si>
  <si>
    <t>新鋼 </t>
  </si>
  <si>
    <t>佳大 </t>
  </si>
  <si>
    <t>允強 </t>
  </si>
  <si>
    <t>唐榮 </t>
  </si>
  <si>
    <t>海光 </t>
  </si>
  <si>
    <t>上銀 </t>
  </si>
  <si>
    <t>川湖 </t>
  </si>
  <si>
    <t>風青 </t>
  </si>
  <si>
    <t>橋椿 </t>
  </si>
  <si>
    <t>世鎧 </t>
  </si>
  <si>
    <t>晉椿 </t>
  </si>
  <si>
    <t>世豐 </t>
  </si>
  <si>
    <t>世德 </t>
  </si>
  <si>
    <t>嘉鋼 </t>
  </si>
  <si>
    <t>運錩 </t>
  </si>
  <si>
    <t>精湛 </t>
  </si>
  <si>
    <t>南港 </t>
  </si>
  <si>
    <t>泰豐 </t>
  </si>
  <si>
    <t>台橡 </t>
  </si>
  <si>
    <t>國際中橡 </t>
  </si>
  <si>
    <t>正新 </t>
  </si>
  <si>
    <t>建大 </t>
  </si>
  <si>
    <t>厚生 </t>
  </si>
  <si>
    <t>南帝 </t>
  </si>
  <si>
    <t>華豐 </t>
  </si>
  <si>
    <t>鑫永銓 </t>
  </si>
  <si>
    <t>六暉-KY </t>
  </si>
  <si>
    <t>裕隆 </t>
  </si>
  <si>
    <t>中華 </t>
  </si>
  <si>
    <t>三陽工業 </t>
  </si>
  <si>
    <t>和泰車 </t>
  </si>
  <si>
    <t>台船 </t>
  </si>
  <si>
    <t>長榮鋼 </t>
  </si>
  <si>
    <t>大甲 </t>
  </si>
  <si>
    <t>裕日車 </t>
  </si>
  <si>
    <t>劍麟 </t>
  </si>
  <si>
    <t>泰茂 </t>
  </si>
  <si>
    <t>為升 </t>
  </si>
  <si>
    <t>宇隆 </t>
  </si>
  <si>
    <t>謚源 </t>
  </si>
  <si>
    <t>百達-KY </t>
  </si>
  <si>
    <t>英利-KY </t>
  </si>
  <si>
    <t>艾姆勒 </t>
  </si>
  <si>
    <t>宏旭-KY </t>
  </si>
  <si>
    <t>汎德永業 </t>
  </si>
  <si>
    <t>IKKA-KY </t>
  </si>
  <si>
    <t>光寶科 </t>
  </si>
  <si>
    <t>麗正 </t>
  </si>
  <si>
    <t>聯電 </t>
  </si>
  <si>
    <t>全友 </t>
  </si>
  <si>
    <t>台達電 </t>
  </si>
  <si>
    <t>金寶 </t>
  </si>
  <si>
    <t>華通 </t>
  </si>
  <si>
    <t>台揚 </t>
  </si>
  <si>
    <t>楠梓電 </t>
  </si>
  <si>
    <t>鴻海 </t>
  </si>
  <si>
    <t>東訊 </t>
  </si>
  <si>
    <t>中環 </t>
  </si>
  <si>
    <t>仁寶 </t>
  </si>
  <si>
    <t>國巨 </t>
  </si>
  <si>
    <t>廣宇 </t>
  </si>
  <si>
    <t>華泰 </t>
  </si>
  <si>
    <t>台積電 </t>
  </si>
  <si>
    <t>精英 </t>
  </si>
  <si>
    <t>友訊 </t>
  </si>
  <si>
    <t>旺宏 </t>
  </si>
  <si>
    <t>光罩 </t>
  </si>
  <si>
    <t>台亞 </t>
  </si>
  <si>
    <t>茂矽 </t>
  </si>
  <si>
    <t>華邦電 </t>
  </si>
  <si>
    <t>智邦 </t>
  </si>
  <si>
    <t>聯強 </t>
  </si>
  <si>
    <t>海悅 </t>
  </si>
  <si>
    <t>錸德 </t>
  </si>
  <si>
    <t>順德 </t>
  </si>
  <si>
    <t>佳世達 </t>
  </si>
  <si>
    <t>宏碁 </t>
  </si>
  <si>
    <t>鴻準 </t>
  </si>
  <si>
    <t>敬鵬 </t>
  </si>
  <si>
    <t>英業達 </t>
  </si>
  <si>
    <t>華碩 </t>
  </si>
  <si>
    <t>廷鑫 </t>
  </si>
  <si>
    <t>所羅門 </t>
  </si>
  <si>
    <t>致茂 </t>
  </si>
  <si>
    <t>藍天 </t>
  </si>
  <si>
    <t>矽統 </t>
  </si>
  <si>
    <t>倫飛 </t>
  </si>
  <si>
    <t>昆盈 </t>
  </si>
  <si>
    <t>燿華 </t>
  </si>
  <si>
    <t>金像電 </t>
  </si>
  <si>
    <t>菱生 </t>
  </si>
  <si>
    <t>大同 </t>
  </si>
  <si>
    <t>震旦行 </t>
  </si>
  <si>
    <t>佳能 </t>
  </si>
  <si>
    <t>凱美 </t>
  </si>
  <si>
    <t>技嘉 </t>
  </si>
  <si>
    <t>微星 </t>
  </si>
  <si>
    <t>瑞昱 </t>
  </si>
  <si>
    <t>虹光 </t>
  </si>
  <si>
    <t>廣達 </t>
  </si>
  <si>
    <t>台光電 </t>
  </si>
  <si>
    <t>群光 </t>
  </si>
  <si>
    <t>精元 </t>
  </si>
  <si>
    <t>威盛 </t>
  </si>
  <si>
    <t>云辰 </t>
  </si>
  <si>
    <t>正崴 </t>
  </si>
  <si>
    <t>億光 </t>
  </si>
  <si>
    <t>研華 </t>
  </si>
  <si>
    <t>友通 </t>
  </si>
  <si>
    <t>映泰 </t>
  </si>
  <si>
    <t>凌陽 </t>
  </si>
  <si>
    <t>毅嘉 </t>
  </si>
  <si>
    <t>漢唐 </t>
  </si>
  <si>
    <t>浩鑫 </t>
  </si>
  <si>
    <t>國碩 </t>
  </si>
  <si>
    <t>南亞科 </t>
  </si>
  <si>
    <t>友達 </t>
  </si>
  <si>
    <t>中華電 </t>
  </si>
  <si>
    <t>環科 </t>
  </si>
  <si>
    <t>精技 </t>
  </si>
  <si>
    <t>錩新 </t>
  </si>
  <si>
    <t>圓剛 </t>
  </si>
  <si>
    <t>仲琦 </t>
  </si>
  <si>
    <t>新巨 </t>
  </si>
  <si>
    <t>建準 </t>
  </si>
  <si>
    <t>固緯 </t>
  </si>
  <si>
    <t>隴華 </t>
  </si>
  <si>
    <t>承啟 </t>
  </si>
  <si>
    <t>鼎元 </t>
  </si>
  <si>
    <t>三商電 </t>
  </si>
  <si>
    <t>興勤 </t>
  </si>
  <si>
    <t>銘旺科 </t>
  </si>
  <si>
    <t>燦坤 </t>
  </si>
  <si>
    <t>聯昌 </t>
  </si>
  <si>
    <t>互盛電 </t>
  </si>
  <si>
    <t>統懋 </t>
  </si>
  <si>
    <t>偉詮電 </t>
  </si>
  <si>
    <t>翔耀 </t>
  </si>
  <si>
    <t>美律 </t>
  </si>
  <si>
    <t>太空梭 </t>
  </si>
  <si>
    <t>超豐 </t>
  </si>
  <si>
    <t>新美齊 </t>
  </si>
  <si>
    <t>昶虹 </t>
  </si>
  <si>
    <t>兆勁 </t>
  </si>
  <si>
    <t>京元電子 </t>
  </si>
  <si>
    <t>神腦 </t>
  </si>
  <si>
    <t>創見 </t>
  </si>
  <si>
    <t>凌群 </t>
  </si>
  <si>
    <t>聯發科 </t>
  </si>
  <si>
    <t>全新 </t>
  </si>
  <si>
    <t>飛宏 </t>
  </si>
  <si>
    <t>義隆 </t>
  </si>
  <si>
    <t>敦吉 </t>
  </si>
  <si>
    <t>建通 </t>
  </si>
  <si>
    <t>光群雷 </t>
  </si>
  <si>
    <t>良得電 </t>
  </si>
  <si>
    <t>盟立 </t>
  </si>
  <si>
    <t>麗臺 </t>
  </si>
  <si>
    <t>冠西電 </t>
  </si>
  <si>
    <t>志聖 </t>
  </si>
  <si>
    <t>華經 </t>
  </si>
  <si>
    <t>資通 </t>
  </si>
  <si>
    <t>立隆電 </t>
  </si>
  <si>
    <t>可成 </t>
  </si>
  <si>
    <t>鉅祥 </t>
  </si>
  <si>
    <t>美隆電 </t>
  </si>
  <si>
    <t>大毅 </t>
  </si>
  <si>
    <t>敦陽科 </t>
  </si>
  <si>
    <t>強茂 </t>
  </si>
  <si>
    <t>連宇 </t>
  </si>
  <si>
    <t>百容 </t>
  </si>
  <si>
    <t>希華 </t>
  </si>
  <si>
    <t>兆赫 </t>
  </si>
  <si>
    <t>一詮 </t>
  </si>
  <si>
    <t>漢平 </t>
  </si>
  <si>
    <t>瑞軒 </t>
  </si>
  <si>
    <t>吉祥全 </t>
  </si>
  <si>
    <t>華新科 </t>
  </si>
  <si>
    <t>揚博 </t>
  </si>
  <si>
    <t>普安 </t>
  </si>
  <si>
    <t>卓越 </t>
  </si>
  <si>
    <t>怡利電 </t>
  </si>
  <si>
    <t>宏達電 </t>
  </si>
  <si>
    <t>國建 </t>
  </si>
  <si>
    <t>國產 </t>
  </si>
  <si>
    <t>國揚 </t>
  </si>
  <si>
    <t>太設 </t>
  </si>
  <si>
    <t>全坤建 </t>
  </si>
  <si>
    <t>太子 </t>
  </si>
  <si>
    <t>龍邦 </t>
  </si>
  <si>
    <t>中工 </t>
  </si>
  <si>
    <t>新建 </t>
  </si>
  <si>
    <t>冠德 </t>
  </si>
  <si>
    <t>京城 </t>
  </si>
  <si>
    <t>宏璟 </t>
  </si>
  <si>
    <t>皇普 </t>
  </si>
  <si>
    <t>華建 </t>
  </si>
  <si>
    <t>宏盛 </t>
  </si>
  <si>
    <t>達欣工 </t>
  </si>
  <si>
    <t>宏普 </t>
  </si>
  <si>
    <t>聯上發 </t>
  </si>
  <si>
    <t>基泰 </t>
  </si>
  <si>
    <t>櫻花建 </t>
  </si>
  <si>
    <t>愛山林 </t>
  </si>
  <si>
    <t>興富發 </t>
  </si>
  <si>
    <t>皇昌 </t>
  </si>
  <si>
    <t>皇翔 </t>
  </si>
  <si>
    <t>根基 </t>
  </si>
  <si>
    <t>日勝生 </t>
  </si>
  <si>
    <t>華固 </t>
  </si>
  <si>
    <t>綠意 </t>
  </si>
  <si>
    <t>潤弘 </t>
  </si>
  <si>
    <t>益航 </t>
  </si>
  <si>
    <t>長榮 </t>
  </si>
  <si>
    <t>新興 </t>
  </si>
  <si>
    <t>裕民 </t>
  </si>
  <si>
    <t>榮運 </t>
  </si>
  <si>
    <t>嘉里大榮 </t>
  </si>
  <si>
    <t>陽明 </t>
  </si>
  <si>
    <t>華航 </t>
  </si>
  <si>
    <t>志信 </t>
  </si>
  <si>
    <t>中航 </t>
  </si>
  <si>
    <t>中櫃 </t>
  </si>
  <si>
    <t>東森 </t>
  </si>
  <si>
    <t>萬海 </t>
  </si>
  <si>
    <t>山隆 </t>
  </si>
  <si>
    <t>台航 </t>
  </si>
  <si>
    <t>長榮航 </t>
  </si>
  <si>
    <t>亞航 </t>
  </si>
  <si>
    <t>台灣高鐵 </t>
  </si>
  <si>
    <t>漢翔 </t>
  </si>
  <si>
    <t>台驊投控 </t>
  </si>
  <si>
    <t>慧洋-KY </t>
  </si>
  <si>
    <t>大車隊 </t>
  </si>
  <si>
    <t>正德 </t>
  </si>
  <si>
    <t>宅配通 </t>
  </si>
  <si>
    <t>捷迅 </t>
  </si>
  <si>
    <t>萬企 </t>
  </si>
  <si>
    <t>華園 </t>
  </si>
  <si>
    <t>國賓 </t>
  </si>
  <si>
    <t>六福 </t>
  </si>
  <si>
    <t>第一店 </t>
  </si>
  <si>
    <t>晶華 </t>
  </si>
  <si>
    <t>遠雄來 </t>
  </si>
  <si>
    <t>晶悅 </t>
  </si>
  <si>
    <t>燦星旅 </t>
  </si>
  <si>
    <t>n/a</t>
  </si>
  <si>
    <t>夏都 </t>
  </si>
  <si>
    <t>美食-KY </t>
  </si>
  <si>
    <t>富驛-KY </t>
  </si>
  <si>
    <t>雅茗-KY </t>
  </si>
  <si>
    <t>王品 </t>
  </si>
  <si>
    <t>瓦城 </t>
  </si>
  <si>
    <t>雄獅 </t>
  </si>
  <si>
    <t>六角 </t>
  </si>
  <si>
    <t>易飛網 </t>
  </si>
  <si>
    <t>富野 </t>
  </si>
  <si>
    <t>寒舍 </t>
  </si>
  <si>
    <t>天蔥 </t>
  </si>
  <si>
    <t>山富 </t>
  </si>
  <si>
    <t>五福 </t>
  </si>
  <si>
    <t>雲品 </t>
  </si>
  <si>
    <t>豆府 </t>
  </si>
  <si>
    <t>八方雲集 </t>
  </si>
  <si>
    <t>亞洲藏壽司 </t>
  </si>
  <si>
    <t>揚秦 </t>
  </si>
  <si>
    <t>聯發國際 </t>
  </si>
  <si>
    <t>彰銀 </t>
  </si>
  <si>
    <t>京城銀 </t>
  </si>
  <si>
    <t>台中銀 </t>
  </si>
  <si>
    <t>旺旺保 </t>
  </si>
  <si>
    <t>華票 </t>
  </si>
  <si>
    <t>台產 </t>
  </si>
  <si>
    <t>臺企銀 </t>
  </si>
  <si>
    <t>高雄銀 </t>
  </si>
  <si>
    <t>聯邦銀 </t>
  </si>
  <si>
    <t>台開 </t>
  </si>
  <si>
    <t>遠東銀 </t>
  </si>
  <si>
    <t>安泰銀 </t>
  </si>
  <si>
    <t>新產 </t>
  </si>
  <si>
    <t>中再保 </t>
  </si>
  <si>
    <t>第一保 </t>
  </si>
  <si>
    <t>統一證 </t>
  </si>
  <si>
    <t>三商壽 </t>
  </si>
  <si>
    <t>華南金 </t>
  </si>
  <si>
    <t>富邦金 </t>
  </si>
  <si>
    <t>國泰金 </t>
  </si>
  <si>
    <t>開發金 </t>
  </si>
  <si>
    <t>玉山金 </t>
  </si>
  <si>
    <t>元大金 </t>
  </si>
  <si>
    <t>兆豐金 </t>
  </si>
  <si>
    <t>台新金 </t>
  </si>
  <si>
    <t>新光金 </t>
  </si>
  <si>
    <t>國票金 </t>
  </si>
  <si>
    <t>永豐金 </t>
  </si>
  <si>
    <t>中信金 </t>
  </si>
  <si>
    <t>第一金 </t>
  </si>
  <si>
    <t>王道銀行 </t>
  </si>
  <si>
    <t>欣欣 </t>
  </si>
  <si>
    <t>遠百 </t>
  </si>
  <si>
    <t>匯僑 </t>
  </si>
  <si>
    <t>三商 </t>
  </si>
  <si>
    <t>高林 </t>
  </si>
  <si>
    <t>特力 </t>
  </si>
  <si>
    <t>統領 </t>
  </si>
  <si>
    <t>麗嬰房 </t>
  </si>
  <si>
    <t>統一超 </t>
  </si>
  <si>
    <t>農林 </t>
  </si>
  <si>
    <t>潤泰全 </t>
  </si>
  <si>
    <t>滿心 </t>
  </si>
  <si>
    <t>鼎固-KY </t>
  </si>
  <si>
    <t>東凌-KY </t>
  </si>
  <si>
    <t>誠品生活 </t>
  </si>
  <si>
    <t>淘帝-KY </t>
  </si>
  <si>
    <t>客思達-KY </t>
  </si>
  <si>
    <t>集雅社 </t>
  </si>
  <si>
    <t>凱羿-KY </t>
  </si>
  <si>
    <t>三商家購 </t>
  </si>
  <si>
    <t>振宇五金 </t>
  </si>
  <si>
    <t>歐格 </t>
  </si>
  <si>
    <t>健和興 </t>
  </si>
  <si>
    <t>豐達科 </t>
  </si>
  <si>
    <t>神基 </t>
  </si>
  <si>
    <t>晶豪科 </t>
  </si>
  <si>
    <t>大立光 </t>
  </si>
  <si>
    <t>華立 </t>
  </si>
  <si>
    <t>今皓 </t>
  </si>
  <si>
    <t>晟銘電 </t>
  </si>
  <si>
    <t>聯陽 </t>
  </si>
  <si>
    <t>全漢 </t>
  </si>
  <si>
    <t>嘉晶 </t>
  </si>
  <si>
    <t>奇鋐 </t>
  </si>
  <si>
    <t>同開 </t>
  </si>
  <si>
    <t>亞光 </t>
  </si>
  <si>
    <t>鴻名 </t>
  </si>
  <si>
    <t>威強電 </t>
  </si>
  <si>
    <t>信邦 </t>
  </si>
  <si>
    <t>憶聲 </t>
  </si>
  <si>
    <t>星通 </t>
  </si>
  <si>
    <t>禾伸堂 </t>
  </si>
  <si>
    <t>盛達 </t>
  </si>
  <si>
    <t>增你強 </t>
  </si>
  <si>
    <t>零壹 </t>
  </si>
  <si>
    <t>德律 </t>
  </si>
  <si>
    <t>佰鴻 </t>
  </si>
  <si>
    <t>偉訓 </t>
  </si>
  <si>
    <t>威健 </t>
  </si>
  <si>
    <t>聯詠 </t>
  </si>
  <si>
    <t>智原 </t>
  </si>
  <si>
    <t>文曄 </t>
  </si>
  <si>
    <t>欣興 </t>
  </si>
  <si>
    <t>全台 </t>
  </si>
  <si>
    <t>遠見 </t>
  </si>
  <si>
    <t>揚智 </t>
  </si>
  <si>
    <t>晶技 </t>
  </si>
  <si>
    <t>科風 </t>
  </si>
  <si>
    <t>健鼎 </t>
  </si>
  <si>
    <t>台灣大 </t>
  </si>
  <si>
    <t>建碁 </t>
  </si>
  <si>
    <t>訊舟 </t>
  </si>
  <si>
    <t>益登 </t>
  </si>
  <si>
    <t>和鑫 </t>
  </si>
  <si>
    <t>鈺德 </t>
  </si>
  <si>
    <t>力特 </t>
  </si>
  <si>
    <t>夆典 </t>
  </si>
  <si>
    <t>立萬利 </t>
  </si>
  <si>
    <t>蔚華科 </t>
  </si>
  <si>
    <t>總太 </t>
  </si>
  <si>
    <t>喬鼎 </t>
  </si>
  <si>
    <t>立德 </t>
  </si>
  <si>
    <t>華晶科 </t>
  </si>
  <si>
    <t>銘異 </t>
  </si>
  <si>
    <t>建漢 </t>
  </si>
  <si>
    <t>泰偉 </t>
  </si>
  <si>
    <t>李洲 </t>
  </si>
  <si>
    <t>全域 </t>
  </si>
  <si>
    <t>協禧 </t>
  </si>
  <si>
    <t>天方能源 </t>
  </si>
  <si>
    <t>僑威 </t>
  </si>
  <si>
    <t>聯亞 </t>
  </si>
  <si>
    <t>網龍 </t>
  </si>
  <si>
    <t>新零售 </t>
  </si>
  <si>
    <t>華義 </t>
  </si>
  <si>
    <t>艾訊 </t>
  </si>
  <si>
    <t>億杰 </t>
  </si>
  <si>
    <t>日電貿 </t>
  </si>
  <si>
    <t>鴻碩 </t>
  </si>
  <si>
    <t>港建 </t>
  </si>
  <si>
    <t>聯傑 </t>
  </si>
  <si>
    <t>及成 </t>
  </si>
  <si>
    <t>穩懋 </t>
  </si>
  <si>
    <t>好德 </t>
  </si>
  <si>
    <t>寶島極 </t>
  </si>
  <si>
    <t>進階 </t>
  </si>
  <si>
    <t>笙泉 </t>
  </si>
  <si>
    <t>昇銳 </t>
  </si>
  <si>
    <t>一零四 </t>
  </si>
  <si>
    <t>弘塑 </t>
  </si>
  <si>
    <t>耀登 </t>
  </si>
  <si>
    <t>晶宏 </t>
  </si>
  <si>
    <t>大綜 </t>
  </si>
  <si>
    <t>正達 </t>
  </si>
  <si>
    <t>璟德 </t>
  </si>
  <si>
    <t>精確 </t>
  </si>
  <si>
    <t>波若威 </t>
  </si>
  <si>
    <t>景岳 </t>
  </si>
  <si>
    <t>大量 </t>
  </si>
  <si>
    <t>亞信 </t>
  </si>
  <si>
    <t>新洲 </t>
  </si>
  <si>
    <t>基亞 </t>
  </si>
  <si>
    <t>公準 </t>
  </si>
  <si>
    <t>鑫龍騰 </t>
  </si>
  <si>
    <t>景碩 </t>
  </si>
  <si>
    <t>和進 </t>
  </si>
  <si>
    <t>樺晟 </t>
  </si>
  <si>
    <t>佰研 </t>
  </si>
  <si>
    <t>志豐 </t>
  </si>
  <si>
    <t>耀勝 </t>
  </si>
  <si>
    <t>全科 </t>
  </si>
  <si>
    <t>順達 </t>
  </si>
  <si>
    <t>茂訊 </t>
  </si>
  <si>
    <t>優群 </t>
  </si>
  <si>
    <t>大學光 </t>
  </si>
  <si>
    <t>倚強科 </t>
  </si>
  <si>
    <t>台嘉碩 </t>
  </si>
  <si>
    <t>三顧 </t>
  </si>
  <si>
    <t>至寶電 </t>
  </si>
  <si>
    <t>原相 </t>
  </si>
  <si>
    <t>金麗科 </t>
  </si>
  <si>
    <t>晟鈦 </t>
  </si>
  <si>
    <t>錦明 </t>
  </si>
  <si>
    <t>緯創 </t>
  </si>
  <si>
    <t>昱捷 </t>
  </si>
  <si>
    <t>光環 </t>
  </si>
  <si>
    <t>千如 </t>
  </si>
  <si>
    <t>海灣 </t>
  </si>
  <si>
    <t>虹冠電 </t>
  </si>
  <si>
    <t>鑫創 </t>
  </si>
  <si>
    <t>威剛 </t>
  </si>
  <si>
    <t>欣銓 </t>
  </si>
  <si>
    <t>台星科 </t>
  </si>
  <si>
    <t>昇陽 </t>
  </si>
  <si>
    <t>海德威 </t>
  </si>
  <si>
    <t>東碩 </t>
  </si>
  <si>
    <t>宇環 </t>
  </si>
  <si>
    <t>太普高 </t>
  </si>
  <si>
    <t>微端 </t>
  </si>
  <si>
    <t>廣寰科 </t>
  </si>
  <si>
    <t>點晶 </t>
  </si>
  <si>
    <t>宜特 </t>
  </si>
  <si>
    <t>東浦 </t>
  </si>
  <si>
    <t>鈊象 </t>
  </si>
  <si>
    <t>英濟 </t>
  </si>
  <si>
    <t>勝德 </t>
  </si>
  <si>
    <t>杭特 </t>
  </si>
  <si>
    <t>岱稜 </t>
  </si>
  <si>
    <t>昇貿 </t>
  </si>
  <si>
    <t>鼎天 </t>
  </si>
  <si>
    <t>聯德 </t>
  </si>
  <si>
    <t>佳穎 </t>
  </si>
  <si>
    <t>閎暉 </t>
  </si>
  <si>
    <t>弘憶股 </t>
  </si>
  <si>
    <t>斐成 </t>
  </si>
  <si>
    <t>尼克森 </t>
  </si>
  <si>
    <t>同泰 </t>
  </si>
  <si>
    <t>建舜電 </t>
  </si>
  <si>
    <t>加百裕 </t>
  </si>
  <si>
    <t>雙鴻 </t>
  </si>
  <si>
    <t>旭品 </t>
  </si>
  <si>
    <t>幸康 </t>
  </si>
  <si>
    <t>泰碩 </t>
  </si>
  <si>
    <t>泰谷 </t>
  </si>
  <si>
    <t>麗清 </t>
  </si>
  <si>
    <t>寶德 </t>
  </si>
  <si>
    <t>律勝 </t>
  </si>
  <si>
    <t>奇偶 </t>
  </si>
  <si>
    <t>臺慶科 </t>
  </si>
  <si>
    <t>尚立 </t>
  </si>
  <si>
    <t>先進光 </t>
  </si>
  <si>
    <t>上詮 </t>
  </si>
  <si>
    <t>典範 </t>
  </si>
  <si>
    <t>熱映 </t>
  </si>
  <si>
    <t>精材 </t>
  </si>
  <si>
    <t>新日興 </t>
  </si>
  <si>
    <t>彬台 </t>
  </si>
  <si>
    <t>明泰 </t>
  </si>
  <si>
    <t>新世紀 </t>
  </si>
  <si>
    <t>崇越電 </t>
  </si>
  <si>
    <t>旭軟 </t>
  </si>
  <si>
    <t>漢科 </t>
  </si>
  <si>
    <t>玉晶光 </t>
  </si>
  <si>
    <t>京鼎 </t>
  </si>
  <si>
    <t>融程電 </t>
  </si>
  <si>
    <t>譁裕 </t>
  </si>
  <si>
    <t>台興 </t>
  </si>
  <si>
    <t>台端 </t>
  </si>
  <si>
    <t>哲固 </t>
  </si>
  <si>
    <t>榮創 </t>
  </si>
  <si>
    <t>類比科 </t>
  </si>
  <si>
    <t>聯一光 </t>
  </si>
  <si>
    <t>創意 </t>
  </si>
  <si>
    <t>利機 </t>
  </si>
  <si>
    <t>聯鈞 </t>
  </si>
  <si>
    <t>晶睿 </t>
  </si>
  <si>
    <t>由田 </t>
  </si>
  <si>
    <t>進泰電子 </t>
  </si>
  <si>
    <t>致振 </t>
  </si>
  <si>
    <t>安勤 </t>
  </si>
  <si>
    <t>群創 </t>
  </si>
  <si>
    <t>力致 </t>
  </si>
  <si>
    <t>崧騰 </t>
  </si>
  <si>
    <t>森寶 </t>
  </si>
  <si>
    <t>單井 </t>
  </si>
  <si>
    <t>昇達科 </t>
  </si>
  <si>
    <t>長盛 </t>
  </si>
  <si>
    <t>誠研 </t>
  </si>
  <si>
    <t>陽程 </t>
  </si>
  <si>
    <t>環天科 </t>
  </si>
  <si>
    <t>維熹 </t>
  </si>
  <si>
    <t>揚明光 </t>
  </si>
  <si>
    <t>位速 </t>
  </si>
  <si>
    <t>矽瑪 </t>
  </si>
  <si>
    <t>皇龍 </t>
  </si>
  <si>
    <t>華擎 </t>
  </si>
  <si>
    <t>亞帝歐 </t>
  </si>
  <si>
    <t>柏騰 </t>
  </si>
  <si>
    <t>華盈 </t>
  </si>
  <si>
    <t>鴻翊 </t>
  </si>
  <si>
    <t>御頂 </t>
  </si>
  <si>
    <t>迎輝 </t>
  </si>
  <si>
    <t>凡甲 </t>
  </si>
  <si>
    <t>聚積 </t>
  </si>
  <si>
    <t>安馳 </t>
  </si>
  <si>
    <t>力旺 </t>
  </si>
  <si>
    <t>晶相光 </t>
  </si>
  <si>
    <t>先益 </t>
  </si>
  <si>
    <t>台勝科 </t>
  </si>
  <si>
    <t>嘉澤 </t>
  </si>
  <si>
    <t>晶彩科 </t>
  </si>
  <si>
    <t>誠創 </t>
  </si>
  <si>
    <t>堡達 </t>
  </si>
  <si>
    <t>曜越 </t>
  </si>
  <si>
    <t>西柏 </t>
  </si>
  <si>
    <t>州巧 </t>
  </si>
  <si>
    <t>敦泰 </t>
  </si>
  <si>
    <t>宇峻 </t>
  </si>
  <si>
    <t>兆利 </t>
  </si>
  <si>
    <t>聯穎 </t>
  </si>
  <si>
    <t>世禾 </t>
  </si>
  <si>
    <t>同致 </t>
  </si>
  <si>
    <t>重鵬 </t>
  </si>
  <si>
    <t>禾瑞亞 </t>
  </si>
  <si>
    <t>嘉威 </t>
  </si>
  <si>
    <t>神準 </t>
  </si>
  <si>
    <t>牧德 </t>
  </si>
  <si>
    <t>其陽 </t>
  </si>
  <si>
    <t>逸昌 </t>
  </si>
  <si>
    <t>大塚 </t>
  </si>
  <si>
    <t>聯合再生 </t>
  </si>
  <si>
    <t>泓格 </t>
  </si>
  <si>
    <t>友威科 </t>
  </si>
  <si>
    <t>博磊 </t>
  </si>
  <si>
    <t>辛耘 </t>
  </si>
  <si>
    <t>閎康 </t>
  </si>
  <si>
    <t>通嘉 </t>
  </si>
  <si>
    <t>艾笛森 </t>
  </si>
  <si>
    <t>瑞鼎 </t>
  </si>
  <si>
    <t>力銘 </t>
  </si>
  <si>
    <t>磐儀 </t>
  </si>
  <si>
    <t>智易 </t>
  </si>
  <si>
    <t>映興 </t>
  </si>
  <si>
    <t>宏致 </t>
  </si>
  <si>
    <t>谷崧 </t>
  </si>
  <si>
    <t>三一東林 </t>
  </si>
  <si>
    <t>鼎翰 </t>
  </si>
  <si>
    <t>安可 </t>
  </si>
  <si>
    <t>碩天 </t>
  </si>
  <si>
    <t>洋華 </t>
  </si>
  <si>
    <t>富晶通 </t>
  </si>
  <si>
    <t>光頡 </t>
  </si>
  <si>
    <t>西勝 </t>
  </si>
  <si>
    <t>盈正 </t>
  </si>
  <si>
    <t>地心引力 </t>
  </si>
  <si>
    <t>新鉅科 </t>
  </si>
  <si>
    <t>晟楠 </t>
  </si>
  <si>
    <t>研勤 </t>
  </si>
  <si>
    <t>駿熠電 </t>
  </si>
  <si>
    <t>達邁 </t>
  </si>
  <si>
    <t>艾恩特 </t>
  </si>
  <si>
    <t>精聯 </t>
  </si>
  <si>
    <t>健策 </t>
  </si>
  <si>
    <t>世芯-KY </t>
  </si>
  <si>
    <t>鑫科 </t>
  </si>
  <si>
    <t>安瑞-KY </t>
  </si>
  <si>
    <t>貿聯-KY </t>
  </si>
  <si>
    <t>光耀 </t>
  </si>
  <si>
    <t>圓展 </t>
  </si>
  <si>
    <t>康聯訊 </t>
  </si>
  <si>
    <t>TPK-KY </t>
  </si>
  <si>
    <t>德微 </t>
  </si>
  <si>
    <t>新至陞 </t>
  </si>
  <si>
    <t>家登 </t>
  </si>
  <si>
    <t>亞太電 </t>
  </si>
  <si>
    <t>榮昌 </t>
  </si>
  <si>
    <t>元創精密 </t>
  </si>
  <si>
    <t>達能 </t>
  </si>
  <si>
    <t>歐買尬 </t>
  </si>
  <si>
    <t>湧德 </t>
  </si>
  <si>
    <t>碩禾 </t>
  </si>
  <si>
    <t>營邦 </t>
  </si>
  <si>
    <t>海華 </t>
  </si>
  <si>
    <t>大眾控 </t>
  </si>
  <si>
    <t>大聯大 </t>
  </si>
  <si>
    <t>欣陸 </t>
  </si>
  <si>
    <t>合勤控 </t>
  </si>
  <si>
    <t>永信 </t>
  </si>
  <si>
    <t>神達 </t>
  </si>
  <si>
    <t>漢磊 </t>
  </si>
  <si>
    <t>上緯投控 </t>
  </si>
  <si>
    <t>鑫聯大投控 </t>
  </si>
  <si>
    <t>連展投控 </t>
  </si>
  <si>
    <t>日月光投控 </t>
  </si>
  <si>
    <t>永崴投控 </t>
  </si>
  <si>
    <t>新晶投控 </t>
  </si>
  <si>
    <t>富采 </t>
  </si>
  <si>
    <t>永日 </t>
  </si>
  <si>
    <t>佳醫 </t>
  </si>
  <si>
    <t>東洋 </t>
  </si>
  <si>
    <t>雃博 </t>
  </si>
  <si>
    <t>邦特 </t>
  </si>
  <si>
    <t>懷特 </t>
  </si>
  <si>
    <t>加捷生醫 </t>
  </si>
  <si>
    <t>濟生 </t>
  </si>
  <si>
    <t>聯上 </t>
  </si>
  <si>
    <t>健喬 </t>
  </si>
  <si>
    <t>明基醫 </t>
  </si>
  <si>
    <t>旭富 </t>
  </si>
  <si>
    <t>友華 </t>
  </si>
  <si>
    <t>優盛 </t>
  </si>
  <si>
    <t>晟德 </t>
  </si>
  <si>
    <t>太醫 </t>
  </si>
  <si>
    <t>天良 </t>
  </si>
  <si>
    <t>中天 </t>
  </si>
  <si>
    <t>聯合 </t>
  </si>
  <si>
    <t>健亞 </t>
  </si>
  <si>
    <t>晶宇 </t>
  </si>
  <si>
    <t>亞諾法 </t>
  </si>
  <si>
    <t>麗豐-KY </t>
  </si>
  <si>
    <t>曜亞 </t>
  </si>
  <si>
    <t>馬光-KY </t>
  </si>
  <si>
    <t>龍燈-KY </t>
  </si>
  <si>
    <t>國光生 </t>
  </si>
  <si>
    <t>中裕 </t>
  </si>
  <si>
    <t>全宇生技-KY </t>
  </si>
  <si>
    <t>鈺緯 </t>
  </si>
  <si>
    <t>樂威科-KY </t>
  </si>
  <si>
    <t>訊映 </t>
  </si>
  <si>
    <t>太景*-KY </t>
  </si>
  <si>
    <t>創源 </t>
  </si>
  <si>
    <t>聿新科 </t>
  </si>
  <si>
    <t>智擎 </t>
  </si>
  <si>
    <t>鐿鈦 </t>
  </si>
  <si>
    <t>承業醫 </t>
  </si>
  <si>
    <t>松瑞藥 </t>
  </si>
  <si>
    <t>醣聯 </t>
  </si>
  <si>
    <t>瑞基 </t>
  </si>
  <si>
    <t>久裕 </t>
  </si>
  <si>
    <t>浩鼎 </t>
  </si>
  <si>
    <t>杏一 </t>
  </si>
  <si>
    <t>福永生技 </t>
  </si>
  <si>
    <t>安克 </t>
  </si>
  <si>
    <t>佐登-KY </t>
  </si>
  <si>
    <t>杏國 </t>
  </si>
  <si>
    <t>欣大健康 </t>
  </si>
  <si>
    <t>中華食 </t>
  </si>
  <si>
    <t>環泰 </t>
  </si>
  <si>
    <t>信立 </t>
  </si>
  <si>
    <t>勝昱 </t>
  </si>
  <si>
    <t>世坤 </t>
  </si>
  <si>
    <t>炎洲 </t>
  </si>
  <si>
    <t>東隆興 </t>
  </si>
  <si>
    <t>福大 </t>
  </si>
  <si>
    <t>新昕纖 </t>
  </si>
  <si>
    <t>飛寶企業 </t>
  </si>
  <si>
    <t>如興 </t>
  </si>
  <si>
    <t>三圓 </t>
  </si>
  <si>
    <t>金洲 </t>
  </si>
  <si>
    <t>元勝 </t>
  </si>
  <si>
    <t>光明 </t>
  </si>
  <si>
    <t>利勤 </t>
  </si>
  <si>
    <t>聚紡 </t>
  </si>
  <si>
    <t>耀億 </t>
  </si>
  <si>
    <t>銘旺實 </t>
  </si>
  <si>
    <t>興采 </t>
  </si>
  <si>
    <t>廣越 </t>
  </si>
  <si>
    <t>冠星-KY </t>
  </si>
  <si>
    <t>宜新實業 </t>
  </si>
  <si>
    <t>健信 </t>
  </si>
  <si>
    <t>金雨 </t>
  </si>
  <si>
    <t>崇友 </t>
  </si>
  <si>
    <t>高鋒 </t>
  </si>
  <si>
    <t>福裕 </t>
  </si>
  <si>
    <t>永彰 </t>
  </si>
  <si>
    <t>東台 </t>
  </si>
  <si>
    <t>方土霖 </t>
  </si>
  <si>
    <t>江興鍛 </t>
  </si>
  <si>
    <t>淳紳 </t>
  </si>
  <si>
    <t>宏易 </t>
  </si>
  <si>
    <t>瑞智 </t>
  </si>
  <si>
    <t>協易機 </t>
  </si>
  <si>
    <t>慶騰 </t>
  </si>
  <si>
    <t>至興 </t>
  </si>
  <si>
    <t>拓凱 </t>
  </si>
  <si>
    <t>大詠城 </t>
  </si>
  <si>
    <t>全球傳動 </t>
  </si>
  <si>
    <t>晟田 </t>
  </si>
  <si>
    <t>科嶠 </t>
  </si>
  <si>
    <t>萬在 </t>
  </si>
  <si>
    <t>銘鈺 </t>
  </si>
  <si>
    <t>桓達 </t>
  </si>
  <si>
    <t>長佳 </t>
  </si>
  <si>
    <t>智伸科 </t>
  </si>
  <si>
    <t>力達-KY </t>
  </si>
  <si>
    <t>橙的 </t>
  </si>
  <si>
    <t>氣立 </t>
  </si>
  <si>
    <t>旭然 </t>
  </si>
  <si>
    <t>永新-KY </t>
  </si>
  <si>
    <t>寶緯 </t>
  </si>
  <si>
    <t>強信-KY </t>
  </si>
  <si>
    <t>健椿 </t>
  </si>
  <si>
    <t>穎漢 </t>
  </si>
  <si>
    <t>百德 </t>
  </si>
  <si>
    <t>元翎 </t>
  </si>
  <si>
    <t>時碩工業 </t>
  </si>
  <si>
    <t>科際精密 </t>
  </si>
  <si>
    <t>鈞興-KY </t>
  </si>
  <si>
    <t>駐龍 </t>
  </si>
  <si>
    <t>大銀微系統 </t>
  </si>
  <si>
    <t>捷流閥業 </t>
  </si>
  <si>
    <t>光隆精密-KY </t>
  </si>
  <si>
    <t>唐鋒 </t>
  </si>
  <si>
    <t>中美實 </t>
  </si>
  <si>
    <t>大恭 </t>
  </si>
  <si>
    <t>磐亞 </t>
  </si>
  <si>
    <t>永純 </t>
  </si>
  <si>
    <t>南璋 </t>
  </si>
  <si>
    <t>永捷 </t>
  </si>
  <si>
    <t>大立 </t>
  </si>
  <si>
    <t>德淵 </t>
  </si>
  <si>
    <t>美琪瑪 </t>
  </si>
  <si>
    <t>國精化 </t>
  </si>
  <si>
    <t>永昕 </t>
  </si>
  <si>
    <t>雙美 </t>
  </si>
  <si>
    <t>熒茂 </t>
  </si>
  <si>
    <t>豪展 </t>
  </si>
  <si>
    <t>泰博 </t>
  </si>
  <si>
    <t>華廣 </t>
  </si>
  <si>
    <t>康普 </t>
  </si>
  <si>
    <t>泓瀚 </t>
  </si>
  <si>
    <t>合一 </t>
  </si>
  <si>
    <t>皇將 </t>
  </si>
  <si>
    <t>合富-KY </t>
  </si>
  <si>
    <t>台耀 </t>
  </si>
  <si>
    <t>強生 </t>
  </si>
  <si>
    <t>國碳科 </t>
  </si>
  <si>
    <t>三福化 </t>
  </si>
  <si>
    <t>勤凱 </t>
  </si>
  <si>
    <t>材料-KY </t>
  </si>
  <si>
    <t>雙鍵 </t>
  </si>
  <si>
    <t>南寶 </t>
  </si>
  <si>
    <t>誠泰科技 </t>
  </si>
  <si>
    <t>上品 </t>
  </si>
  <si>
    <t>大略-KY </t>
  </si>
  <si>
    <t>昇華 </t>
  </si>
  <si>
    <t>日成-KY </t>
  </si>
  <si>
    <t>聯光通 </t>
  </si>
  <si>
    <t>遠傳 </t>
  </si>
  <si>
    <t>台聯電 </t>
  </si>
  <si>
    <t>正文 </t>
  </si>
  <si>
    <t>富宇 </t>
  </si>
  <si>
    <t>前鼎 </t>
  </si>
  <si>
    <t>新復興 </t>
  </si>
  <si>
    <t>德英 </t>
  </si>
  <si>
    <t>聯德控股-KY </t>
  </si>
  <si>
    <t>致伸 </t>
  </si>
  <si>
    <t>事欣科 </t>
  </si>
  <si>
    <t>新唐 </t>
  </si>
  <si>
    <t>力士 </t>
  </si>
  <si>
    <t>欣厚-KY </t>
  </si>
  <si>
    <t>泰鼎-KY </t>
  </si>
  <si>
    <t>燦星網 </t>
  </si>
  <si>
    <t>新盛力 </t>
  </si>
  <si>
    <t>友輝 </t>
  </si>
  <si>
    <t>太極 </t>
  </si>
  <si>
    <t>茂林-KY </t>
  </si>
  <si>
    <t>和碩 </t>
  </si>
  <si>
    <t>亞電 </t>
  </si>
  <si>
    <t>嘉彰 </t>
  </si>
  <si>
    <t>康控-KY </t>
  </si>
  <si>
    <t>兆遠 </t>
  </si>
  <si>
    <t>陞達科技 </t>
  </si>
  <si>
    <t>辣椒 </t>
  </si>
  <si>
    <t>牧東 </t>
  </si>
  <si>
    <t>凌通 </t>
  </si>
  <si>
    <t>緯軟 </t>
  </si>
  <si>
    <t>光鋐 </t>
  </si>
  <si>
    <t>臻鼎-KY </t>
  </si>
  <si>
    <t>誠美材 </t>
  </si>
  <si>
    <t>天鈺 </t>
  </si>
  <si>
    <t>譜瑞-KY </t>
  </si>
  <si>
    <t>十銓 </t>
  </si>
  <si>
    <t>立積 </t>
  </si>
  <si>
    <t>IET-KY </t>
  </si>
  <si>
    <t>湯石照明 </t>
  </si>
  <si>
    <t>廣穎 </t>
  </si>
  <si>
    <t>亞泰 </t>
  </si>
  <si>
    <t>佳凌 </t>
  </si>
  <si>
    <t>眾達-KY </t>
  </si>
  <si>
    <t>華星光 </t>
  </si>
  <si>
    <t>科誠 </t>
  </si>
  <si>
    <t>榮科 </t>
  </si>
  <si>
    <t>環宇-KY </t>
  </si>
  <si>
    <t>傳奇 </t>
  </si>
  <si>
    <t>晶達 </t>
  </si>
  <si>
    <t>鑫禾 </t>
  </si>
  <si>
    <t>三星 </t>
  </si>
  <si>
    <t>榮剛 </t>
  </si>
  <si>
    <t>久陽 </t>
  </si>
  <si>
    <t>強新 </t>
  </si>
  <si>
    <t>建錩 </t>
  </si>
  <si>
    <t>華祺 </t>
  </si>
  <si>
    <t>松和 </t>
  </si>
  <si>
    <t>富強 </t>
  </si>
  <si>
    <t>凱衛 </t>
  </si>
  <si>
    <t>力新 </t>
  </si>
  <si>
    <t>訊連 </t>
  </si>
  <si>
    <t>中茂 </t>
  </si>
  <si>
    <t>坤悅 </t>
  </si>
  <si>
    <t>新鼎 </t>
  </si>
  <si>
    <t>寶碩 </t>
  </si>
  <si>
    <t>蒙恬 </t>
  </si>
  <si>
    <t>凌網 </t>
  </si>
  <si>
    <t>亞昕 </t>
  </si>
  <si>
    <t>科嘉-KY </t>
  </si>
  <si>
    <t>萬達光電 </t>
  </si>
  <si>
    <t>全訊 </t>
  </si>
  <si>
    <t>安力-KY </t>
  </si>
  <si>
    <t>東科-KY </t>
  </si>
  <si>
    <t>立凱-KY </t>
  </si>
  <si>
    <t>雷笛克光學 </t>
  </si>
  <si>
    <t>達興材料 </t>
  </si>
  <si>
    <t>凌陽創新 </t>
  </si>
  <si>
    <t>乙盛-KY </t>
  </si>
  <si>
    <t>弘凱 </t>
  </si>
  <si>
    <t>智晶 </t>
  </si>
  <si>
    <t>天鉞電 </t>
  </si>
  <si>
    <t>虹堡 </t>
  </si>
  <si>
    <t>智崴 </t>
  </si>
  <si>
    <t>祥碩 </t>
  </si>
  <si>
    <t>笙科 </t>
  </si>
  <si>
    <t>信驊 </t>
  </si>
  <si>
    <t>達輝-KY </t>
  </si>
  <si>
    <t>尚凡 </t>
  </si>
  <si>
    <t>大峽谷-KY </t>
  </si>
  <si>
    <t>禾聯碩 </t>
  </si>
  <si>
    <t>jpp-KY </t>
  </si>
  <si>
    <t>界霖 </t>
  </si>
  <si>
    <t>數字 </t>
  </si>
  <si>
    <t>豐祥-KY </t>
  </si>
  <si>
    <t>宜鼎 </t>
  </si>
  <si>
    <t>邑昇 </t>
  </si>
  <si>
    <t>杰力 </t>
  </si>
  <si>
    <t>寶得利 </t>
  </si>
  <si>
    <t>太欣 </t>
  </si>
  <si>
    <t>桂盟 </t>
  </si>
  <si>
    <t>系統電 </t>
  </si>
  <si>
    <t>天剛 </t>
  </si>
  <si>
    <t>寶島科 </t>
  </si>
  <si>
    <t>世紀 </t>
  </si>
  <si>
    <t>光聯 </t>
  </si>
  <si>
    <t>美而快 </t>
  </si>
  <si>
    <t>士開 </t>
  </si>
  <si>
    <t>華容 </t>
  </si>
  <si>
    <t>建榮 </t>
  </si>
  <si>
    <t>立衛 </t>
  </si>
  <si>
    <t>天揚 </t>
  </si>
  <si>
    <t>世界 </t>
  </si>
  <si>
    <t>系通 </t>
  </si>
  <si>
    <t>鈺創 </t>
  </si>
  <si>
    <t>台林 </t>
  </si>
  <si>
    <t>佳總 </t>
  </si>
  <si>
    <t>協益 </t>
  </si>
  <si>
    <t>力麗店 </t>
  </si>
  <si>
    <t>中光電 </t>
  </si>
  <si>
    <t>合正 </t>
  </si>
  <si>
    <t>金利 </t>
  </si>
  <si>
    <t>青雲 </t>
  </si>
  <si>
    <t>中磊 </t>
  </si>
  <si>
    <t>能率 </t>
  </si>
  <si>
    <t>慕康生醫 </t>
  </si>
  <si>
    <t>中菲 </t>
  </si>
  <si>
    <t>國眾 </t>
  </si>
  <si>
    <t>台半 </t>
  </si>
  <si>
    <t>振發 </t>
  </si>
  <si>
    <t>新門 </t>
  </si>
  <si>
    <t>崇越 </t>
  </si>
  <si>
    <t>東友 </t>
  </si>
  <si>
    <t>高技 </t>
  </si>
  <si>
    <t>均豪 </t>
  </si>
  <si>
    <t>南良 </t>
  </si>
  <si>
    <t>佶優 </t>
  </si>
  <si>
    <t>昇益 </t>
  </si>
  <si>
    <t>宣德 </t>
  </si>
  <si>
    <t>同協 </t>
  </si>
  <si>
    <t>霖宏 </t>
  </si>
  <si>
    <t>富驊 </t>
  </si>
  <si>
    <t>凱鈺 </t>
  </si>
  <si>
    <t>瀚宇博 </t>
  </si>
  <si>
    <t>松翰 </t>
  </si>
  <si>
    <t>聰泰 </t>
  </si>
  <si>
    <t>德宏 </t>
  </si>
  <si>
    <t>智冠 </t>
  </si>
  <si>
    <t>新華 </t>
  </si>
  <si>
    <t>中美晶 </t>
  </si>
  <si>
    <t>慧友 </t>
  </si>
  <si>
    <t>通泰 </t>
  </si>
  <si>
    <t>松普 </t>
  </si>
  <si>
    <t>彩富 </t>
  </si>
  <si>
    <t>同亨 </t>
  </si>
  <si>
    <t>三聯 </t>
  </si>
  <si>
    <t>凱崴 </t>
  </si>
  <si>
    <t>永信建 </t>
  </si>
  <si>
    <t>德昌 </t>
  </si>
  <si>
    <t>力麒 </t>
  </si>
  <si>
    <t>三豐 </t>
  </si>
  <si>
    <t>建國 </t>
  </si>
  <si>
    <t>雙喜 </t>
  </si>
  <si>
    <t>隆大 </t>
  </si>
  <si>
    <t>力泰 </t>
  </si>
  <si>
    <t>工信 </t>
  </si>
  <si>
    <t>遠雄 </t>
  </si>
  <si>
    <t>豐謙 </t>
  </si>
  <si>
    <t>順天 </t>
  </si>
  <si>
    <t>鉅陞 </t>
  </si>
  <si>
    <t>龍巖 </t>
  </si>
  <si>
    <t>鄉林 </t>
  </si>
  <si>
    <t>皇鼎 </t>
  </si>
  <si>
    <t>長虹 </t>
  </si>
  <si>
    <t>聖暉 </t>
  </si>
  <si>
    <t>東明-KY </t>
  </si>
  <si>
    <t>桓鼎-KY </t>
  </si>
  <si>
    <t>永固-KY </t>
  </si>
  <si>
    <t>台聯櫃 </t>
  </si>
  <si>
    <t>陸海 </t>
  </si>
  <si>
    <t>中連 </t>
  </si>
  <si>
    <t>遠雄港 </t>
  </si>
  <si>
    <t>四維航 </t>
  </si>
  <si>
    <t>中菲行 </t>
  </si>
  <si>
    <t>劍湖山 </t>
  </si>
  <si>
    <t>亞都 </t>
  </si>
  <si>
    <t>老爺知 </t>
  </si>
  <si>
    <t>鳳凰 </t>
  </si>
  <si>
    <t>日盛金 </t>
  </si>
  <si>
    <t>致和證 </t>
  </si>
  <si>
    <t>中租-KY </t>
  </si>
  <si>
    <t>上海商銀 </t>
  </si>
  <si>
    <t>台名 </t>
  </si>
  <si>
    <t>合庫金 </t>
  </si>
  <si>
    <t>德記 </t>
  </si>
  <si>
    <t>全家 </t>
  </si>
  <si>
    <t>寶雅 </t>
  </si>
  <si>
    <t>南仁湖 </t>
  </si>
  <si>
    <t>台南-KY </t>
  </si>
  <si>
    <t>大洋-KY </t>
  </si>
  <si>
    <t>群益證 </t>
  </si>
  <si>
    <t>宏遠證 </t>
  </si>
  <si>
    <t>康和證 </t>
  </si>
  <si>
    <t>大展證 </t>
  </si>
  <si>
    <t>美好證 </t>
  </si>
  <si>
    <t>元大期 </t>
  </si>
  <si>
    <t>群益期 </t>
  </si>
  <si>
    <t>福邦證 </t>
  </si>
  <si>
    <t>寬魚國際 </t>
  </si>
  <si>
    <t>合邦 </t>
  </si>
  <si>
    <t>創惟 </t>
  </si>
  <si>
    <t>競國 </t>
  </si>
  <si>
    <t>亞元 </t>
  </si>
  <si>
    <t>大宇資 </t>
  </si>
  <si>
    <t>聚碩 </t>
  </si>
  <si>
    <t>亞矽 </t>
  </si>
  <si>
    <t>久威 </t>
  </si>
  <si>
    <t>鎰勝 </t>
  </si>
  <si>
    <t>彩晶 </t>
  </si>
  <si>
    <t>迎廣 </t>
  </si>
  <si>
    <t>建達 </t>
  </si>
  <si>
    <t>達運 </t>
  </si>
  <si>
    <t>新普 </t>
  </si>
  <si>
    <t>擎邦 </t>
  </si>
  <si>
    <t>上奇 </t>
  </si>
  <si>
    <t>業強 </t>
  </si>
  <si>
    <t>廣運 </t>
  </si>
  <si>
    <t>信音 </t>
  </si>
  <si>
    <t>九豪 </t>
  </si>
  <si>
    <t>上福 </t>
  </si>
  <si>
    <t>普誠 </t>
  </si>
  <si>
    <t>星寶國際 </t>
  </si>
  <si>
    <t>金橋 </t>
  </si>
  <si>
    <t>萬旭 </t>
  </si>
  <si>
    <t>富爾特 </t>
  </si>
  <si>
    <t>茂達 </t>
  </si>
  <si>
    <t>亞翔 </t>
  </si>
  <si>
    <t>訊達 </t>
  </si>
  <si>
    <t>柏承 </t>
  </si>
  <si>
    <t>友勁 </t>
  </si>
  <si>
    <t>振曜 </t>
  </si>
  <si>
    <t>得利影 </t>
  </si>
  <si>
    <t>耕興 </t>
  </si>
  <si>
    <t>頎邦 </t>
  </si>
  <si>
    <t>驊宏資 </t>
  </si>
  <si>
    <t>撼訊 </t>
  </si>
  <si>
    <t>晉倫 </t>
  </si>
  <si>
    <t>百一 </t>
  </si>
  <si>
    <t>嘉聯益 </t>
  </si>
  <si>
    <t>順發 </t>
  </si>
  <si>
    <t>鈞寶 </t>
  </si>
  <si>
    <t>松上 </t>
  </si>
  <si>
    <t>禾昌 </t>
  </si>
  <si>
    <t>欣技 </t>
  </si>
  <si>
    <t>捷波 </t>
  </si>
  <si>
    <t>華電網 </t>
  </si>
  <si>
    <t>華興 </t>
  </si>
  <si>
    <t>浪凡 </t>
  </si>
  <si>
    <t>凌華 </t>
  </si>
  <si>
    <t>久正 </t>
  </si>
  <si>
    <t>宏齊 </t>
  </si>
  <si>
    <t>昱泉 </t>
  </si>
  <si>
    <t>統振 </t>
  </si>
  <si>
    <t>大城地產 </t>
  </si>
  <si>
    <t>信昌電 </t>
  </si>
  <si>
    <t>安碁 </t>
  </si>
  <si>
    <t>立敦 </t>
  </si>
  <si>
    <t>瑞儀 </t>
  </si>
  <si>
    <t>達麗 </t>
  </si>
  <si>
    <t>亞通 </t>
  </si>
  <si>
    <t>橘子 </t>
  </si>
  <si>
    <t>合晶 </t>
  </si>
  <si>
    <t>關貿 </t>
  </si>
  <si>
    <t>大豐電 </t>
  </si>
  <si>
    <t>幃翔 </t>
  </si>
  <si>
    <t>新潤 </t>
  </si>
  <si>
    <t>萬潤 </t>
  </si>
  <si>
    <t>廣明 </t>
  </si>
  <si>
    <t>豐藝 </t>
  </si>
  <si>
    <t>萬泰科 </t>
  </si>
  <si>
    <t>精成科 </t>
  </si>
  <si>
    <t>巨路 </t>
  </si>
  <si>
    <t>育富 </t>
  </si>
  <si>
    <t>詩肯 </t>
  </si>
  <si>
    <t>帆宣 </t>
  </si>
  <si>
    <t>佳必琪 </t>
  </si>
  <si>
    <t>凌泰 </t>
  </si>
  <si>
    <t>天品 </t>
  </si>
  <si>
    <t>亞弘電 </t>
  </si>
  <si>
    <t>盛群 </t>
  </si>
  <si>
    <t>海韻電 </t>
  </si>
  <si>
    <t>艾華 </t>
  </si>
  <si>
    <t>詮欣 </t>
  </si>
  <si>
    <t>飛捷 </t>
  </si>
  <si>
    <t>雷科 </t>
  </si>
  <si>
    <t>日揚 </t>
  </si>
  <si>
    <t>今國光 </t>
  </si>
  <si>
    <t>慶生 </t>
  </si>
  <si>
    <t>理銘 </t>
  </si>
  <si>
    <t>聯茂 </t>
  </si>
  <si>
    <t>精誠 </t>
  </si>
  <si>
    <t>和椿 </t>
  </si>
  <si>
    <t>居易 </t>
  </si>
  <si>
    <t>中探針 </t>
  </si>
  <si>
    <t>豪勉 </t>
  </si>
  <si>
    <t>富旺 </t>
  </si>
  <si>
    <t>岳豐 </t>
  </si>
  <si>
    <t>晉泰 </t>
  </si>
  <si>
    <t>上揚 </t>
  </si>
  <si>
    <t>旺矽 </t>
  </si>
  <si>
    <t>聚鼎 </t>
  </si>
  <si>
    <t>天瀚 </t>
  </si>
  <si>
    <t>光鼎 </t>
  </si>
  <si>
    <t>茂綸 </t>
  </si>
  <si>
    <t>全譜 </t>
  </si>
  <si>
    <t>研通 </t>
  </si>
  <si>
    <t>尼得科超眾 </t>
  </si>
  <si>
    <t>系微 </t>
  </si>
  <si>
    <t>旺玖 </t>
  </si>
  <si>
    <t>高僑 </t>
  </si>
  <si>
    <t>華孚 </t>
  </si>
  <si>
    <t>康呈 </t>
  </si>
  <si>
    <t>驊訊 </t>
  </si>
  <si>
    <t>力成 </t>
  </si>
  <si>
    <t>松崗 </t>
  </si>
  <si>
    <t>易通展 </t>
  </si>
  <si>
    <t>立康 </t>
  </si>
  <si>
    <t>迅杰 </t>
  </si>
  <si>
    <t>茂迪 </t>
  </si>
  <si>
    <t>立端 </t>
  </si>
  <si>
    <t>臺龍 </t>
  </si>
  <si>
    <t>淇譽電 </t>
  </si>
  <si>
    <t>沛波 </t>
  </si>
  <si>
    <t>定穎 </t>
  </si>
  <si>
    <t>矽格 </t>
  </si>
  <si>
    <t>百徽 </t>
  </si>
  <si>
    <t>久元 </t>
  </si>
  <si>
    <t>普萊德 </t>
  </si>
  <si>
    <t>富裔 </t>
  </si>
  <si>
    <t>方土昶 </t>
  </si>
  <si>
    <t>泰詠 </t>
  </si>
  <si>
    <t>台郡 </t>
  </si>
  <si>
    <t>倍微 </t>
  </si>
  <si>
    <t>同欣電 </t>
  </si>
  <si>
    <t>台燿 </t>
  </si>
  <si>
    <t>元山 </t>
  </si>
  <si>
    <t>安鈦克 </t>
  </si>
  <si>
    <t>宏正 </t>
  </si>
  <si>
    <t>台表科 </t>
  </si>
  <si>
    <t>胡連 </t>
  </si>
  <si>
    <t>全國電 </t>
  </si>
  <si>
    <t>康舒 </t>
  </si>
  <si>
    <t>淳安 </t>
  </si>
  <si>
    <t>佳邦 </t>
  </si>
  <si>
    <t>啟碁 </t>
  </si>
  <si>
    <t>元隆 </t>
  </si>
  <si>
    <t>聯嘉 </t>
  </si>
  <si>
    <t>華上 </t>
  </si>
  <si>
    <t>良維 </t>
  </si>
  <si>
    <t>沛亨 </t>
  </si>
  <si>
    <t>迅德 </t>
  </si>
  <si>
    <t>智基 </t>
  </si>
  <si>
    <t>通訊-KY </t>
  </si>
  <si>
    <t>悅城 </t>
  </si>
  <si>
    <t>旭隼 </t>
  </si>
  <si>
    <t>晶焱 </t>
  </si>
  <si>
    <t>群電 </t>
  </si>
  <si>
    <t>樺漢 </t>
  </si>
  <si>
    <t>矽力-KY </t>
  </si>
  <si>
    <t>瑞祺電通 </t>
  </si>
  <si>
    <t>韋僑 </t>
  </si>
  <si>
    <t>詠昇 </t>
  </si>
  <si>
    <t>京晨科 </t>
  </si>
  <si>
    <t>易發 </t>
  </si>
  <si>
    <t>統新 </t>
  </si>
  <si>
    <t>光麗-KY </t>
  </si>
  <si>
    <t>今展科 </t>
  </si>
  <si>
    <t>大中 </t>
  </si>
  <si>
    <t>迅得 </t>
  </si>
  <si>
    <t>廣錠 </t>
  </si>
  <si>
    <t>光聖 </t>
  </si>
  <si>
    <t>元晶 </t>
  </si>
  <si>
    <t>藥華藥 </t>
  </si>
  <si>
    <t>鈺邦 </t>
  </si>
  <si>
    <t>訊芯-KY </t>
  </si>
  <si>
    <t>GIS-KY </t>
  </si>
  <si>
    <t>紘康 </t>
  </si>
  <si>
    <t>益得 </t>
  </si>
  <si>
    <t>神盾 </t>
  </si>
  <si>
    <t>台數科 </t>
  </si>
  <si>
    <t>威潤 </t>
  </si>
  <si>
    <t>大樹 </t>
  </si>
  <si>
    <t>宇智 </t>
  </si>
  <si>
    <t>保瑞 </t>
  </si>
  <si>
    <t>安集 </t>
  </si>
  <si>
    <t>弘煜科 </t>
  </si>
  <si>
    <t>點序 </t>
  </si>
  <si>
    <t>互動 </t>
  </si>
  <si>
    <t>環球晶 </t>
  </si>
  <si>
    <t>晶碩 </t>
  </si>
  <si>
    <t>生華科 </t>
  </si>
  <si>
    <t>九齊 </t>
  </si>
  <si>
    <t>科懋 </t>
  </si>
  <si>
    <t>益安 </t>
  </si>
  <si>
    <t>南六 </t>
  </si>
  <si>
    <t>台塑化 </t>
  </si>
  <si>
    <t>雙邦 </t>
  </si>
  <si>
    <t>惠光 </t>
  </si>
  <si>
    <t>聚和 </t>
  </si>
  <si>
    <t>精測 </t>
  </si>
  <si>
    <t>啟發電 </t>
  </si>
  <si>
    <t>芮特-KY </t>
  </si>
  <si>
    <t>穎崴 </t>
  </si>
  <si>
    <t>勤崴國際 </t>
  </si>
  <si>
    <t>達爾膚 </t>
  </si>
  <si>
    <t>捷敏-KY </t>
  </si>
  <si>
    <t>明達醫 </t>
  </si>
  <si>
    <t>創威 </t>
  </si>
  <si>
    <t>愛普* </t>
  </si>
  <si>
    <t>瑞耘 </t>
  </si>
  <si>
    <t>晶心科 </t>
  </si>
  <si>
    <t>順藥 </t>
  </si>
  <si>
    <t>倉和 </t>
  </si>
  <si>
    <t>泰福-KY </t>
  </si>
  <si>
    <t>隆中 </t>
  </si>
  <si>
    <t>高端疫苗 </t>
  </si>
  <si>
    <t>長科* </t>
  </si>
  <si>
    <t>易華電 </t>
  </si>
  <si>
    <t>勝品 </t>
  </si>
  <si>
    <t>興能高 </t>
  </si>
  <si>
    <t>欣普羅 </t>
  </si>
  <si>
    <t>是方 </t>
  </si>
  <si>
    <t>宏觀 </t>
  </si>
  <si>
    <t>醫揚 </t>
  </si>
  <si>
    <t>維田 </t>
  </si>
  <si>
    <t>虹揚-KY </t>
  </si>
  <si>
    <t>霈方 </t>
  </si>
  <si>
    <t>逸達 </t>
  </si>
  <si>
    <t>勁豐 </t>
  </si>
  <si>
    <t>達邦蛋白 </t>
  </si>
  <si>
    <t>研揚 </t>
  </si>
  <si>
    <t>鋼聯 </t>
  </si>
  <si>
    <t>申豐 </t>
  </si>
  <si>
    <t>東典光電 </t>
  </si>
  <si>
    <t>台康生技 </t>
  </si>
  <si>
    <t>普鴻 </t>
  </si>
  <si>
    <t>動力-KY </t>
  </si>
  <si>
    <t>和潤企業 </t>
  </si>
  <si>
    <t>台灣銘板 </t>
  </si>
  <si>
    <t>展匯科 </t>
  </si>
  <si>
    <t>寬宏藝術 </t>
  </si>
  <si>
    <t>ABC-KY </t>
  </si>
  <si>
    <t>富強鑫 </t>
  </si>
  <si>
    <t>帝寶 </t>
  </si>
  <si>
    <t>瀧澤科 </t>
  </si>
  <si>
    <t>奈米醫材 </t>
  </si>
  <si>
    <t>朋億 </t>
  </si>
  <si>
    <t>慧智 </t>
  </si>
  <si>
    <t>特昇-KY </t>
  </si>
  <si>
    <t>萬年清 </t>
  </si>
  <si>
    <t>必應 </t>
  </si>
  <si>
    <t>泰金-KY </t>
  </si>
  <si>
    <t>均華 </t>
  </si>
  <si>
    <t>基士德-KY </t>
  </si>
  <si>
    <t>富致 </t>
  </si>
  <si>
    <t>M31 </t>
  </si>
  <si>
    <t>台生材 </t>
  </si>
  <si>
    <t>全宇昕 </t>
  </si>
  <si>
    <t>天正國際 </t>
  </si>
  <si>
    <t>科定 </t>
  </si>
  <si>
    <t>威健生技 </t>
  </si>
  <si>
    <t>樂斯科 </t>
  </si>
  <si>
    <t>群翊 </t>
  </si>
  <si>
    <t>羅麗芬-KY </t>
  </si>
  <si>
    <t>信紘科 </t>
  </si>
  <si>
    <t>中揚光 </t>
  </si>
  <si>
    <t>緯穎 </t>
  </si>
  <si>
    <t>復盛應用 </t>
  </si>
  <si>
    <t>三能-KY </t>
  </si>
  <si>
    <t>騰輝電子-KY </t>
  </si>
  <si>
    <t>鋐寶科技 </t>
  </si>
  <si>
    <t>鈺太 </t>
  </si>
  <si>
    <t>鑫創電子 </t>
  </si>
  <si>
    <t>雍智科技 </t>
  </si>
  <si>
    <t>安格 </t>
  </si>
  <si>
    <t>安碁資訊 </t>
  </si>
  <si>
    <t>洋基工程 </t>
  </si>
  <si>
    <t>廣閎科 </t>
  </si>
  <si>
    <t>東捷資訊 </t>
  </si>
  <si>
    <t>旭暉應材 </t>
  </si>
  <si>
    <t>軒郁 </t>
  </si>
  <si>
    <t>惠特 </t>
  </si>
  <si>
    <t>長聖 </t>
  </si>
  <si>
    <t>嘉基 </t>
  </si>
  <si>
    <t>應廣 </t>
  </si>
  <si>
    <t>力智 </t>
  </si>
  <si>
    <t>亞泰金屬 </t>
  </si>
  <si>
    <t>上洋 </t>
  </si>
  <si>
    <t>昇佳電子 </t>
  </si>
  <si>
    <t>博晟生醫 </t>
  </si>
  <si>
    <t>91APP*-KY </t>
  </si>
  <si>
    <t>安普新 </t>
  </si>
  <si>
    <t>亨泰光 </t>
  </si>
  <si>
    <t>智聯服務 </t>
  </si>
  <si>
    <t>叡揚 </t>
  </si>
  <si>
    <t>匯僑設計 </t>
  </si>
  <si>
    <t>威鋒電子 </t>
  </si>
  <si>
    <t>穩得 </t>
  </si>
  <si>
    <t>達亞 </t>
  </si>
  <si>
    <t>綠界科技 </t>
  </si>
  <si>
    <t>台微醫 </t>
  </si>
  <si>
    <t>志強-KY </t>
  </si>
  <si>
    <t>力積電 </t>
  </si>
  <si>
    <t>展碁國際 </t>
  </si>
  <si>
    <t>AES-KY </t>
  </si>
  <si>
    <t>華景電 </t>
  </si>
  <si>
    <t>永豐實 </t>
  </si>
  <si>
    <t>詠業 </t>
  </si>
  <si>
    <t>崑鼎 </t>
  </si>
  <si>
    <t>森崴能源 </t>
  </si>
  <si>
    <t>千附精密 </t>
  </si>
  <si>
    <t>倍力-新 </t>
  </si>
  <si>
    <t>大江基因-新 </t>
  </si>
  <si>
    <t>邑錡 </t>
  </si>
  <si>
    <t>意德士 </t>
  </si>
  <si>
    <t>台通 </t>
  </si>
  <si>
    <t>矽創 </t>
  </si>
  <si>
    <t>尖點 </t>
  </si>
  <si>
    <t>佑華 </t>
  </si>
  <si>
    <t>鈦昇 </t>
  </si>
  <si>
    <t>昇陽半導體 </t>
  </si>
  <si>
    <t>光菱 </t>
  </si>
  <si>
    <t>雷虎 </t>
  </si>
  <si>
    <t>榮群 </t>
  </si>
  <si>
    <t>長園科 </t>
  </si>
  <si>
    <t>台虹 </t>
  </si>
  <si>
    <t>九暘 </t>
  </si>
  <si>
    <t>金山電 </t>
  </si>
  <si>
    <t>蜜望實 </t>
  </si>
  <si>
    <t>網家 </t>
  </si>
  <si>
    <t>南電 </t>
  </si>
  <si>
    <t>星雲 </t>
  </si>
  <si>
    <t>德勝 </t>
  </si>
  <si>
    <t>晶采 </t>
  </si>
  <si>
    <t>廣積 </t>
  </si>
  <si>
    <t>安國 </t>
  </si>
  <si>
    <t>凱碩 </t>
  </si>
  <si>
    <t>東捷 </t>
  </si>
  <si>
    <t>來思達 </t>
  </si>
  <si>
    <t>志旭 </t>
  </si>
  <si>
    <t>全達 </t>
  </si>
  <si>
    <t>元太 </t>
  </si>
  <si>
    <t>長華* </t>
  </si>
  <si>
    <t>能率網通 </t>
  </si>
  <si>
    <t>陞泰 </t>
  </si>
  <si>
    <t>鉅橡 </t>
  </si>
  <si>
    <t>伍豐 </t>
  </si>
  <si>
    <t>洛碁 </t>
  </si>
  <si>
    <t>永利聯合 </t>
  </si>
  <si>
    <t>致新 </t>
  </si>
  <si>
    <t>瑞穎 </t>
  </si>
  <si>
    <t>巨虹 </t>
  </si>
  <si>
    <t>福華 </t>
  </si>
  <si>
    <t>宏捷科 </t>
  </si>
  <si>
    <t>華鎂鑫 </t>
  </si>
  <si>
    <t>品安 </t>
  </si>
  <si>
    <t>康全電訊 </t>
  </si>
  <si>
    <t>翔名 </t>
  </si>
  <si>
    <t>建暐 </t>
  </si>
  <si>
    <t>保銳 </t>
  </si>
  <si>
    <t>擎亞 </t>
  </si>
  <si>
    <t>常珵 </t>
  </si>
  <si>
    <t>大世科 </t>
  </si>
  <si>
    <t>華冠 </t>
  </si>
  <si>
    <t>瀚荃 </t>
  </si>
  <si>
    <t>錸寶 </t>
  </si>
  <si>
    <t>凌巨 </t>
  </si>
  <si>
    <t>大億金茂 </t>
  </si>
  <si>
    <t>博大 </t>
  </si>
  <si>
    <t>華東 </t>
  </si>
  <si>
    <t>立碁 </t>
  </si>
  <si>
    <t>至上 </t>
  </si>
  <si>
    <t>振樺電 </t>
  </si>
  <si>
    <t>越峰 </t>
  </si>
  <si>
    <t>福懋科 </t>
  </si>
  <si>
    <t>正淩 </t>
  </si>
  <si>
    <t>南茂 </t>
  </si>
  <si>
    <t>博智 </t>
  </si>
  <si>
    <t>達方 </t>
  </si>
  <si>
    <t>天宇 </t>
  </si>
  <si>
    <t>智捷 </t>
  </si>
  <si>
    <t>加高 </t>
  </si>
  <si>
    <t>精星 </t>
  </si>
  <si>
    <t>無敵 </t>
  </si>
  <si>
    <t>勤誠 </t>
  </si>
  <si>
    <t>志超 </t>
  </si>
  <si>
    <t>明基材 </t>
  </si>
  <si>
    <t>寶一 </t>
  </si>
  <si>
    <t>新漢 </t>
  </si>
  <si>
    <t>華宏 </t>
  </si>
  <si>
    <t>菱光 </t>
  </si>
  <si>
    <t>朋程 </t>
  </si>
  <si>
    <t>富鼎 </t>
  </si>
  <si>
    <t>宇瞻 </t>
  </si>
  <si>
    <t>商丞 </t>
  </si>
  <si>
    <t>生展 </t>
  </si>
  <si>
    <t>三竹 </t>
  </si>
  <si>
    <t>泰藝 </t>
  </si>
  <si>
    <t>尚茂 </t>
  </si>
  <si>
    <t>群聯 </t>
  </si>
  <si>
    <t>日友 </t>
  </si>
  <si>
    <t>益張 </t>
  </si>
  <si>
    <t>恒耀 </t>
  </si>
  <si>
    <t>冠好 </t>
  </si>
  <si>
    <t>金居 </t>
  </si>
  <si>
    <t>建新國際 </t>
  </si>
  <si>
    <t>羅昇 </t>
  </si>
  <si>
    <t>千附 </t>
  </si>
  <si>
    <t>金益鼎 </t>
  </si>
  <si>
    <t>白紗科 </t>
  </si>
  <si>
    <t>盛弘 </t>
  </si>
  <si>
    <t>百和興業-KY </t>
  </si>
  <si>
    <t>金可-KY </t>
  </si>
  <si>
    <t>商之器 </t>
  </si>
  <si>
    <t>森田 </t>
  </si>
  <si>
    <t>福貞-KY </t>
  </si>
  <si>
    <t>大國鋼 </t>
  </si>
  <si>
    <t>實威 </t>
  </si>
  <si>
    <t>捷必勝-KY </t>
  </si>
  <si>
    <t>明揚 </t>
  </si>
  <si>
    <t>旭源 </t>
  </si>
  <si>
    <t>可寧衛 </t>
  </si>
  <si>
    <t>保綠-KY </t>
  </si>
  <si>
    <t>惠普 </t>
  </si>
  <si>
    <t>紅木-KY </t>
  </si>
  <si>
    <t>金麗-KY </t>
  </si>
  <si>
    <t>匯鑽科 </t>
  </si>
  <si>
    <t>東生華 </t>
  </si>
  <si>
    <t>弘帆 </t>
  </si>
  <si>
    <t>鉅邁 </t>
  </si>
  <si>
    <t>大江 </t>
  </si>
  <si>
    <t>大地-KY </t>
  </si>
  <si>
    <t>昶昕 </t>
  </si>
  <si>
    <t>綠電 </t>
  </si>
  <si>
    <t>威宏-KY </t>
  </si>
  <si>
    <t>阿瘦 </t>
  </si>
  <si>
    <t>綠河-KY </t>
  </si>
  <si>
    <t>華研 </t>
  </si>
  <si>
    <t>霹靂 </t>
  </si>
  <si>
    <t>富邦媒 </t>
  </si>
  <si>
    <t>大拓-KY </t>
  </si>
  <si>
    <t>柏文 </t>
  </si>
  <si>
    <t>潤泰材 </t>
  </si>
  <si>
    <t>億豐 </t>
  </si>
  <si>
    <t>美吉吉-KY </t>
  </si>
  <si>
    <t>波力-KY </t>
  </si>
  <si>
    <t>夠麻吉 </t>
  </si>
  <si>
    <t>山林水 </t>
  </si>
  <si>
    <t>台境 </t>
  </si>
  <si>
    <t>創業家 </t>
  </si>
  <si>
    <t>東哥遊艇 </t>
  </si>
  <si>
    <t>泰昇-KY </t>
  </si>
  <si>
    <t>政伸 </t>
  </si>
  <si>
    <t>商億-KY </t>
  </si>
  <si>
    <t>吉源-KY </t>
  </si>
  <si>
    <t>三貝德 </t>
  </si>
  <si>
    <t>鼎炫-KY </t>
  </si>
  <si>
    <t>裕國 </t>
  </si>
  <si>
    <t>花王 </t>
  </si>
  <si>
    <t>欣雄 </t>
  </si>
  <si>
    <t>光隆 </t>
  </si>
  <si>
    <t>欣泰 </t>
  </si>
  <si>
    <t>沈氏 </t>
  </si>
  <si>
    <t>時報 </t>
  </si>
  <si>
    <t>大田 </t>
  </si>
  <si>
    <t>台汽電 </t>
  </si>
  <si>
    <t>北基 </t>
  </si>
  <si>
    <t>鉅明 </t>
  </si>
  <si>
    <t>富堡 </t>
  </si>
  <si>
    <t>青鋼 </t>
  </si>
  <si>
    <t>大汽電 </t>
  </si>
  <si>
    <t>宏大 </t>
  </si>
  <si>
    <t>愛地雅 </t>
  </si>
  <si>
    <t>邦泰 </t>
  </si>
  <si>
    <t>國統 </t>
  </si>
  <si>
    <t>合騏 </t>
  </si>
  <si>
    <t>明安 </t>
  </si>
  <si>
    <t>新天地 </t>
  </si>
  <si>
    <t>關中 </t>
  </si>
  <si>
    <t>森鉅 </t>
  </si>
  <si>
    <t>高力 </t>
  </si>
  <si>
    <t>鈺齊-KY </t>
  </si>
  <si>
    <t>台火 </t>
  </si>
  <si>
    <t>寶成 </t>
  </si>
  <si>
    <t>大華 </t>
  </si>
  <si>
    <t>欣巴巴 </t>
  </si>
  <si>
    <t>統一實 </t>
  </si>
  <si>
    <t>大台北 </t>
  </si>
  <si>
    <t>豐泰 </t>
  </si>
  <si>
    <t>櫻花 </t>
  </si>
  <si>
    <t>偉聯 </t>
  </si>
  <si>
    <t>美利達 </t>
  </si>
  <si>
    <t>中保科 </t>
  </si>
  <si>
    <t>欣天然 </t>
  </si>
  <si>
    <t>康那香 </t>
  </si>
  <si>
    <t>巨大 </t>
  </si>
  <si>
    <t>福興 </t>
  </si>
  <si>
    <t>新保 </t>
  </si>
  <si>
    <t>新海 </t>
  </si>
  <si>
    <t>泰銘 </t>
  </si>
  <si>
    <t>秋雨 </t>
  </si>
  <si>
    <t>中聯資源 </t>
  </si>
  <si>
    <t>欣高 </t>
  </si>
  <si>
    <t>中鼎 </t>
  </si>
  <si>
    <t>成霖 </t>
  </si>
  <si>
    <t>慶豐富 </t>
  </si>
  <si>
    <t>全國 </t>
  </si>
  <si>
    <t>百和 </t>
  </si>
  <si>
    <t>宏全 </t>
  </si>
  <si>
    <t>信義 </t>
  </si>
  <si>
    <t>裕融 </t>
  </si>
  <si>
    <t>茂順 </t>
  </si>
  <si>
    <t>好樂迪 </t>
  </si>
  <si>
    <t>新麗 </t>
  </si>
  <si>
    <t>潤泰新 </t>
  </si>
  <si>
    <t>三發地產 </t>
  </si>
  <si>
    <t>琉園 </t>
  </si>
  <si>
    <t>萬國通 </t>
  </si>
  <si>
    <t>皇田 </t>
  </si>
  <si>
    <t>佳龍 </t>
  </si>
  <si>
    <t>世紀鋼 </t>
  </si>
  <si>
    <t>邁達康 </t>
  </si>
  <si>
    <t>有益 </t>
  </si>
  <si>
    <t>晶呈科技</t>
    <phoneticPr fontId="1" type="noConversion"/>
  </si>
  <si>
    <t>N</t>
    <phoneticPr fontId="1" type="noConversion"/>
  </si>
  <si>
    <t>特殊氣體半導體</t>
    <phoneticPr fontId="1" type="noConversion"/>
  </si>
  <si>
    <t>4月起取消季線orSAR</t>
    <phoneticPr fontId="1" type="noConversion"/>
  </si>
  <si>
    <t>4月起改為雙連買+連買準</t>
    <phoneticPr fontId="1" type="noConversion"/>
  </si>
  <si>
    <t>2022年4月</t>
    <phoneticPr fontId="1" type="noConversion"/>
  </si>
  <si>
    <t>雙單連買</t>
    <phoneticPr fontId="1" type="noConversion"/>
  </si>
  <si>
    <t>8.72</t>
    <phoneticPr fontId="1" type="noConversion"/>
  </si>
  <si>
    <t>-20.74</t>
    <phoneticPr fontId="1" type="noConversion"/>
  </si>
  <si>
    <t>-25.48</t>
    <phoneticPr fontId="1" type="noConversion"/>
  </si>
  <si>
    <t>-29.41</t>
    <phoneticPr fontId="1" type="noConversion"/>
  </si>
  <si>
    <t>7.48</t>
    <phoneticPr fontId="1" type="noConversion"/>
  </si>
  <si>
    <t>-27.03</t>
    <phoneticPr fontId="1" type="noConversion"/>
  </si>
  <si>
    <t>-19.12</t>
    <phoneticPr fontId="1" type="noConversion"/>
  </si>
  <si>
    <t>融劵</t>
    <phoneticPr fontId="1" type="noConversion"/>
  </si>
  <si>
    <t>大飲</t>
  </si>
  <si>
    <t>宏洲</t>
  </si>
  <si>
    <t>東華</t>
  </si>
  <si>
    <t>大魯閣</t>
  </si>
  <si>
    <t>中福</t>
  </si>
  <si>
    <t>大東</t>
  </si>
  <si>
    <t>立益</t>
  </si>
  <si>
    <t>佳和</t>
  </si>
  <si>
    <t>宏遠</t>
  </si>
  <si>
    <t>昶和</t>
  </si>
  <si>
    <t>首利</t>
  </si>
  <si>
    <t>三洋實業</t>
  </si>
  <si>
    <t>業旺</t>
  </si>
  <si>
    <t>正道</t>
  </si>
  <si>
    <t>瑞利</t>
  </si>
  <si>
    <t>正峰</t>
  </si>
  <si>
    <t>億泰</t>
  </si>
  <si>
    <t>生泰</t>
  </si>
  <si>
    <t>合世</t>
  </si>
  <si>
    <t>寶徠</t>
  </si>
  <si>
    <t>聚亨</t>
  </si>
  <si>
    <t>千興</t>
  </si>
  <si>
    <t>世鎧</t>
  </si>
  <si>
    <t>台揚</t>
  </si>
  <si>
    <t>東訊</t>
  </si>
  <si>
    <t>錸德</t>
  </si>
  <si>
    <t>倫飛</t>
  </si>
  <si>
    <t>虹光</t>
  </si>
  <si>
    <t>浩鑫</t>
  </si>
  <si>
    <t>隴華</t>
  </si>
  <si>
    <t>銘旺科</t>
  </si>
  <si>
    <t>翔耀</t>
  </si>
  <si>
    <t>太空梭</t>
  </si>
  <si>
    <t>昶虹</t>
  </si>
  <si>
    <t>兆勁</t>
  </si>
  <si>
    <t>新建</t>
  </si>
  <si>
    <t>興富發</t>
  </si>
  <si>
    <t>皇昌</t>
  </si>
  <si>
    <t>華園</t>
  </si>
  <si>
    <t>易飛網</t>
  </si>
  <si>
    <t>今皓</t>
  </si>
  <si>
    <t>同開</t>
  </si>
  <si>
    <t>憶聲</t>
  </si>
  <si>
    <t>科風</t>
  </si>
  <si>
    <t>建碁</t>
  </si>
  <si>
    <t>力特</t>
  </si>
  <si>
    <t>喬鼎</t>
  </si>
  <si>
    <t>李洲</t>
  </si>
  <si>
    <t>港建</t>
  </si>
  <si>
    <t>正達</t>
  </si>
  <si>
    <t>晟鈦</t>
  </si>
  <si>
    <t>廣寰科</t>
  </si>
  <si>
    <t>聯德</t>
  </si>
  <si>
    <t>斐成</t>
  </si>
  <si>
    <t>同泰</t>
  </si>
  <si>
    <t>建舜電</t>
  </si>
  <si>
    <t>新世紀</t>
  </si>
  <si>
    <t>誠研</t>
  </si>
  <si>
    <t>華盈</t>
  </si>
  <si>
    <t>御頂</t>
  </si>
  <si>
    <t>誠創</t>
  </si>
  <si>
    <t>重鵬</t>
  </si>
  <si>
    <t>聯合再生</t>
  </si>
  <si>
    <t>力銘</t>
  </si>
  <si>
    <t>駿熠電</t>
  </si>
  <si>
    <t>安瑞-KY</t>
  </si>
  <si>
    <t>亞太電</t>
  </si>
  <si>
    <t>達能</t>
  </si>
  <si>
    <t>連展投控</t>
  </si>
  <si>
    <t>天良</t>
  </si>
  <si>
    <t>健信</t>
  </si>
  <si>
    <t>百德</t>
  </si>
  <si>
    <t>聯光通</t>
  </si>
  <si>
    <t>燦星網</t>
  </si>
  <si>
    <t>太極</t>
  </si>
  <si>
    <t>寶碩</t>
  </si>
  <si>
    <t>萬達光電</t>
  </si>
  <si>
    <t>寶得利</t>
  </si>
  <si>
    <t>太欣</t>
  </si>
  <si>
    <t>系統電</t>
  </si>
  <si>
    <t>建榮</t>
  </si>
  <si>
    <t>立衛</t>
  </si>
  <si>
    <t>金利</t>
  </si>
  <si>
    <t>凱鈺</t>
  </si>
  <si>
    <t>德宏</t>
  </si>
  <si>
    <t>慧友</t>
  </si>
  <si>
    <t>松普</t>
  </si>
  <si>
    <t>雙喜</t>
  </si>
  <si>
    <t>大展證</t>
  </si>
  <si>
    <t>元大期</t>
  </si>
  <si>
    <t>寬魚國際</t>
  </si>
  <si>
    <t>亞元</t>
  </si>
  <si>
    <t>普誠</t>
  </si>
  <si>
    <t>友勁</t>
  </si>
  <si>
    <t>得利影</t>
  </si>
  <si>
    <t>百一</t>
  </si>
  <si>
    <t>久正</t>
  </si>
  <si>
    <t>天瀚</t>
  </si>
  <si>
    <t>全譜</t>
  </si>
  <si>
    <t>茂迪</t>
  </si>
  <si>
    <t>華上</t>
  </si>
  <si>
    <t>沛亨</t>
  </si>
  <si>
    <t>光麗-KY</t>
  </si>
  <si>
    <t>威潤</t>
  </si>
  <si>
    <t>泰福-KY</t>
  </si>
  <si>
    <t>展匯科</t>
  </si>
  <si>
    <t>雷虎</t>
  </si>
  <si>
    <t>來思達</t>
  </si>
  <si>
    <t>全達</t>
  </si>
  <si>
    <t>福華</t>
  </si>
  <si>
    <t>保銳</t>
  </si>
  <si>
    <t>華冠</t>
  </si>
  <si>
    <t>越峰</t>
  </si>
  <si>
    <t>智捷</t>
  </si>
  <si>
    <t>商丞</t>
  </si>
  <si>
    <t>森田</t>
  </si>
  <si>
    <t>旭源</t>
  </si>
  <si>
    <t>台境</t>
  </si>
  <si>
    <t>愛地雅</t>
  </si>
  <si>
    <t>邦泰</t>
  </si>
  <si>
    <t>合騏</t>
  </si>
  <si>
    <t>新天地</t>
  </si>
  <si>
    <t>偉聯</t>
  </si>
  <si>
    <t>秋雨</t>
  </si>
  <si>
    <t>5.81</t>
    <phoneticPr fontId="1" type="noConversion"/>
  </si>
  <si>
    <t>-26.61</t>
    <phoneticPr fontId="1" type="noConversion"/>
  </si>
  <si>
    <t>-27.43</t>
    <phoneticPr fontId="1" type="noConversion"/>
  </si>
  <si>
    <t>庫存合計</t>
    <phoneticPr fontId="1" type="noConversion"/>
  </si>
  <si>
    <t>-21.47</t>
    <phoneticPr fontId="1" type="noConversion"/>
  </si>
  <si>
    <t>庫存合計新</t>
    <phoneticPr fontId="1" type="noConversion"/>
  </si>
  <si>
    <t>4</t>
    <phoneticPr fontId="1" type="noConversion"/>
  </si>
  <si>
    <t>-19.5</t>
    <phoneticPr fontId="1" type="noConversion"/>
  </si>
  <si>
    <t>-34.92</t>
    <phoneticPr fontId="1" type="noConversion"/>
  </si>
  <si>
    <t>15.34</t>
    <phoneticPr fontId="1" type="noConversion"/>
  </si>
  <si>
    <t>2.5</t>
    <phoneticPr fontId="1" type="noConversion"/>
  </si>
  <si>
    <t>6.36</t>
    <phoneticPr fontId="1" type="noConversion"/>
  </si>
  <si>
    <t>世德</t>
  </si>
  <si>
    <t>志豐</t>
  </si>
  <si>
    <t>點晶</t>
  </si>
  <si>
    <t>迎輝</t>
  </si>
  <si>
    <t>勝昱</t>
  </si>
  <si>
    <t>至興</t>
  </si>
  <si>
    <t>科嶠</t>
  </si>
  <si>
    <t>兆遠</t>
  </si>
  <si>
    <t>晶達</t>
  </si>
  <si>
    <t>凌網</t>
  </si>
  <si>
    <t>天剛</t>
  </si>
  <si>
    <t>佳總</t>
  </si>
  <si>
    <t>鉅陞</t>
  </si>
  <si>
    <t>亞矽</t>
  </si>
  <si>
    <t>易通展</t>
  </si>
  <si>
    <t>易發</t>
  </si>
  <si>
    <t>寬宏藝術</t>
  </si>
  <si>
    <t>富致</t>
  </si>
  <si>
    <t>永豐實</t>
  </si>
  <si>
    <t>益張</t>
  </si>
  <si>
    <t>冠好</t>
  </si>
  <si>
    <t>紅木-KY</t>
  </si>
  <si>
    <t>欣泰</t>
  </si>
  <si>
    <t>中視</t>
  </si>
  <si>
    <t>加總</t>
    <phoneticPr fontId="1" type="noConversion"/>
  </si>
  <si>
    <t>排行</t>
    <phoneticPr fontId="1" type="noConversion"/>
  </si>
  <si>
    <t>30權值</t>
    <phoneticPr fontId="1" type="noConversion"/>
  </si>
  <si>
    <t>1248</t>
    <phoneticPr fontId="1" type="noConversion"/>
  </si>
  <si>
    <t>-14.17</t>
    <phoneticPr fontId="1" type="noConversion"/>
  </si>
  <si>
    <t>-22.09</t>
    <phoneticPr fontId="1" type="noConversion"/>
  </si>
  <si>
    <t>435</t>
    <phoneticPr fontId="1" type="noConversion"/>
  </si>
  <si>
    <t>-10.52</t>
    <phoneticPr fontId="1" type="noConversion"/>
  </si>
  <si>
    <t>-19.66</t>
    <phoneticPr fontId="1" type="noConversion"/>
  </si>
  <si>
    <t>-11.98</t>
    <phoneticPr fontId="1" type="noConversion"/>
  </si>
  <si>
    <t>-4.97</t>
    <phoneticPr fontId="1" type="noConversion"/>
  </si>
  <si>
    <t>-1.45</t>
    <phoneticPr fontId="1" type="noConversion"/>
  </si>
  <si>
    <t>-2.31</t>
    <phoneticPr fontId="1" type="noConversion"/>
  </si>
  <si>
    <t>1335</t>
    <phoneticPr fontId="1" type="noConversion"/>
  </si>
  <si>
    <t>1360</t>
    <phoneticPr fontId="1" type="noConversion"/>
  </si>
  <si>
    <t>1296</t>
    <phoneticPr fontId="1" type="noConversion"/>
  </si>
  <si>
    <t>1719</t>
    <phoneticPr fontId="1" type="noConversion"/>
  </si>
  <si>
    <t>-0.29</t>
    <phoneticPr fontId="1" type="noConversion"/>
  </si>
  <si>
    <t>-1.34</t>
    <phoneticPr fontId="1" type="noConversion"/>
  </si>
  <si>
    <t>-1</t>
    <phoneticPr fontId="1" type="noConversion"/>
  </si>
  <si>
    <t>-1.38</t>
    <phoneticPr fontId="1" type="noConversion"/>
  </si>
  <si>
    <t>1319</t>
    <phoneticPr fontId="1" type="noConversion"/>
  </si>
  <si>
    <t>-10.76</t>
    <phoneticPr fontId="1" type="noConversion"/>
  </si>
  <si>
    <t>-41.85</t>
    <phoneticPr fontId="1" type="noConversion"/>
  </si>
  <si>
    <t>-56.37</t>
    <phoneticPr fontId="1" type="noConversion"/>
  </si>
  <si>
    <t>-47.12</t>
    <phoneticPr fontId="1" type="noConversion"/>
  </si>
  <si>
    <t>-3.2</t>
    <phoneticPr fontId="1" type="noConversion"/>
  </si>
  <si>
    <t>自</t>
    <phoneticPr fontId="1" type="noConversion"/>
  </si>
  <si>
    <t>-11.49</t>
    <phoneticPr fontId="1" type="noConversion"/>
  </si>
  <si>
    <t>-21.08</t>
    <phoneticPr fontId="1" type="noConversion"/>
  </si>
  <si>
    <t>38.5</t>
    <phoneticPr fontId="1" type="noConversion"/>
  </si>
  <si>
    <t>-3.42</t>
    <phoneticPr fontId="1" type="noConversion"/>
  </si>
  <si>
    <t>3.00</t>
    <phoneticPr fontId="1" type="noConversion"/>
  </si>
  <si>
    <t>-39.13</t>
    <phoneticPr fontId="1" type="noConversion"/>
  </si>
  <si>
    <t>-15.18</t>
    <phoneticPr fontId="1" type="noConversion"/>
  </si>
  <si>
    <t>-32.52</t>
    <phoneticPr fontId="1" type="noConversion"/>
  </si>
  <si>
    <t>-19.43</t>
    <phoneticPr fontId="1" type="noConversion"/>
  </si>
  <si>
    <t>藍色為連買</t>
    <phoneticPr fontId="1" type="noConversion"/>
  </si>
  <si>
    <t>紅色為4本比</t>
    <phoneticPr fontId="1" type="noConversion"/>
  </si>
  <si>
    <t>買</t>
    <phoneticPr fontId="1" type="noConversion"/>
  </si>
  <si>
    <t>賣</t>
    <phoneticPr fontId="1" type="noConversion"/>
  </si>
  <si>
    <t>差</t>
    <phoneticPr fontId="1" type="noConversion"/>
  </si>
  <si>
    <t>產業地位</t>
    <phoneticPr fontId="1" type="noConversion"/>
  </si>
  <si>
    <t>5.95</t>
    <phoneticPr fontId="1" type="noConversion"/>
  </si>
  <si>
    <t>投信沒有持股的股票不要買（準確度為零）</t>
    <phoneticPr fontId="1" type="noConversion"/>
  </si>
  <si>
    <t>-37.14</t>
    <phoneticPr fontId="1" type="noConversion"/>
  </si>
  <si>
    <t>-32.66</t>
    <phoneticPr fontId="1" type="noConversion"/>
  </si>
  <si>
    <t>外投</t>
    <phoneticPr fontId="1" type="noConversion"/>
  </si>
  <si>
    <t>外借</t>
    <phoneticPr fontId="1" type="noConversion"/>
  </si>
  <si>
    <t>-27.16</t>
    <phoneticPr fontId="1" type="noConversion"/>
  </si>
  <si>
    <t>大戶持股比例（1000張）在40%以下勿碰</t>
    <phoneticPr fontId="1" type="noConversion"/>
  </si>
  <si>
    <t>均張在百張以下不要考慮</t>
    <phoneticPr fontId="1" type="noConversion"/>
  </si>
  <si>
    <t>19.82</t>
    <phoneticPr fontId="1" type="noConversion"/>
  </si>
  <si>
    <t>12.1</t>
    <phoneticPr fontId="1" type="noConversion"/>
  </si>
  <si>
    <t>總</t>
    <phoneticPr fontId="1" type="noConversion"/>
  </si>
  <si>
    <t>7.12</t>
    <phoneticPr fontId="1" type="noConversion"/>
  </si>
  <si>
    <t>54.6</t>
    <phoneticPr fontId="1" type="noConversion"/>
  </si>
  <si>
    <t>2.3</t>
    <phoneticPr fontId="1" type="noConversion"/>
  </si>
  <si>
    <t>34</t>
    <phoneticPr fontId="1" type="noConversion"/>
  </si>
  <si>
    <t>0.75</t>
    <phoneticPr fontId="1" type="noConversion"/>
  </si>
  <si>
    <t>0.51</t>
    <phoneticPr fontId="1" type="noConversion"/>
  </si>
  <si>
    <t>11.43</t>
    <phoneticPr fontId="1" type="noConversion"/>
  </si>
  <si>
    <t>結買</t>
    <phoneticPr fontId="1" type="noConversion"/>
  </si>
</sst>
</file>

<file path=xl/styles.xml><?xml version="1.0" encoding="utf-8"?>
<styleSheet xmlns="http://schemas.openxmlformats.org/spreadsheetml/2006/main">
  <numFmts count="9">
    <numFmt numFmtId="44" formatCode="_-&quot;$&quot;* #,##0.00_-;\-&quot;$&quot;* #,##0.00_-;_-&quot;$&quot;* &quot;-&quot;??_-;_-@_-"/>
    <numFmt numFmtId="43" formatCode="_-* #,##0.00_-;\-* #,##0.00_-;_-* &quot;-&quot;??_-;_-@_-"/>
    <numFmt numFmtId="176" formatCode="0.00_);[Red]\(0.00\)"/>
    <numFmt numFmtId="177" formatCode="0.0_);[Red]\(0.0\)"/>
    <numFmt numFmtId="178" formatCode="0_);[Red]\(0\)"/>
    <numFmt numFmtId="179" formatCode="0.0%"/>
    <numFmt numFmtId="180" formatCode="_-&quot;$&quot;* #,##0_-;\-&quot;$&quot;* #,##0_-;_-&quot;$&quot;* &quot;-&quot;??_-;_-@_-"/>
    <numFmt numFmtId="181" formatCode="0.00_ "/>
    <numFmt numFmtId="182" formatCode="_-* #,##0_-;\-* #,##0_-;_-* &quot;-&quot;??_-;_-@_-"/>
  </numFmts>
  <fonts count="55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2"/>
      <color rgb="FF0070C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00B050"/>
      <name val="新細明體"/>
      <family val="1"/>
      <charset val="136"/>
      <scheme val="minor"/>
    </font>
    <font>
      <b/>
      <sz val="12"/>
      <color rgb="FF7030A0"/>
      <name val="新細明體"/>
      <family val="1"/>
      <charset val="136"/>
      <scheme val="minor"/>
    </font>
    <font>
      <sz val="12"/>
      <color rgb="FF0070C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2"/>
      <color rgb="FF7030A0"/>
      <name val="新細明體"/>
      <family val="1"/>
      <charset val="136"/>
      <scheme val="minor"/>
    </font>
    <font>
      <sz val="12"/>
      <color rgb="FF00B050"/>
      <name val="新細明體"/>
      <family val="1"/>
      <charset val="136"/>
      <scheme val="minor"/>
    </font>
    <font>
      <b/>
      <sz val="10"/>
      <name val="新細明體"/>
      <family val="1"/>
      <charset val="136"/>
      <scheme val="minor"/>
    </font>
    <font>
      <b/>
      <sz val="10"/>
      <color rgb="FF7030A0"/>
      <name val="新細明體"/>
      <family val="1"/>
      <charset val="136"/>
      <scheme val="minor"/>
    </font>
    <font>
      <b/>
      <sz val="10"/>
      <color rgb="FFFF0000"/>
      <name val="新細明體"/>
      <family val="1"/>
      <charset val="136"/>
      <scheme val="minor"/>
    </font>
    <font>
      <u/>
      <sz val="11"/>
      <color theme="10"/>
      <name val="新細明體"/>
      <family val="1"/>
      <charset val="136"/>
    </font>
    <font>
      <b/>
      <sz val="10"/>
      <color rgb="FF0070C0"/>
      <name val="新細明體"/>
      <family val="1"/>
      <charset val="136"/>
      <scheme val="minor"/>
    </font>
    <font>
      <b/>
      <sz val="11"/>
      <color rgb="FFFF0000"/>
      <name val="新細明體"/>
      <family val="1"/>
      <charset val="136"/>
      <scheme val="minor"/>
    </font>
    <font>
      <b/>
      <sz val="11"/>
      <color rgb="FF00B050"/>
      <name val="新細明體"/>
      <family val="1"/>
      <charset val="136"/>
      <scheme val="minor"/>
    </font>
    <font>
      <sz val="11"/>
      <name val="新細明體"/>
      <family val="1"/>
      <charset val="136"/>
      <scheme val="minor"/>
    </font>
    <font>
      <sz val="11"/>
      <color rgb="FF0070C0"/>
      <name val="新細明體"/>
      <family val="1"/>
      <charset val="136"/>
      <scheme val="minor"/>
    </font>
    <font>
      <b/>
      <sz val="10"/>
      <color rgb="FF00B050"/>
      <name val="新細明體"/>
      <family val="1"/>
      <charset val="136"/>
      <scheme val="minor"/>
    </font>
    <font>
      <b/>
      <sz val="12"/>
      <color rgb="FFFFC000"/>
      <name val="新細明體"/>
      <family val="1"/>
      <charset val="136"/>
      <scheme val="minor"/>
    </font>
    <font>
      <sz val="12"/>
      <color rgb="FF00B0F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1"/>
      <color rgb="FF7030A0"/>
      <name val="新細明體"/>
      <family val="1"/>
      <charset val="136"/>
      <scheme val="minor"/>
    </font>
    <font>
      <b/>
      <sz val="12"/>
      <color rgb="FF00B0F0"/>
      <name val="新細明體"/>
      <family val="1"/>
      <charset val="136"/>
      <scheme val="minor"/>
    </font>
    <font>
      <sz val="12"/>
      <color rgb="FFFFC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b/>
      <sz val="12"/>
      <color rgb="FF333333"/>
      <name val="新細明體"/>
      <family val="1"/>
      <charset val="136"/>
      <scheme val="minor"/>
    </font>
    <font>
      <sz val="11"/>
      <color rgb="FF7030A0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b/>
      <sz val="9"/>
      <name val="新細明體"/>
      <family val="1"/>
      <charset val="136"/>
      <scheme val="minor"/>
    </font>
    <font>
      <b/>
      <sz val="10"/>
      <color rgb="FF00B0F0"/>
      <name val="新細明體"/>
      <family val="1"/>
      <charset val="136"/>
      <scheme val="minor"/>
    </font>
    <font>
      <sz val="11"/>
      <color theme="1"/>
      <name val="新細明體"/>
      <family val="2"/>
      <charset val="136"/>
      <scheme val="minor"/>
    </font>
    <font>
      <b/>
      <sz val="11"/>
      <color rgb="FFFFC000"/>
      <name val="新細明體"/>
      <family val="1"/>
      <charset val="136"/>
      <scheme val="minor"/>
    </font>
    <font>
      <b/>
      <sz val="9"/>
      <color rgb="FFFF0000"/>
      <name val="新細明體"/>
      <family val="1"/>
      <charset val="136"/>
      <scheme val="minor"/>
    </font>
    <font>
      <b/>
      <sz val="6"/>
      <color rgb="FFFF0000"/>
      <name val="新細明體"/>
      <family val="1"/>
      <charset val="136"/>
      <scheme val="minor"/>
    </font>
    <font>
      <sz val="10"/>
      <color rgb="FF00B050"/>
      <name val="新細明體"/>
      <family val="1"/>
      <charset val="136"/>
      <scheme val="minor"/>
    </font>
    <font>
      <sz val="11"/>
      <color rgb="FF000000"/>
      <name val="新細明體"/>
      <family val="1"/>
      <charset val="136"/>
      <scheme val="minor"/>
    </font>
    <font>
      <u/>
      <sz val="11"/>
      <color theme="10"/>
      <name val="新細明體"/>
      <family val="1"/>
      <charset val="136"/>
      <scheme val="minor"/>
    </font>
    <font>
      <b/>
      <u/>
      <sz val="11"/>
      <color rgb="FFFF0000"/>
      <name val="新細明體"/>
      <family val="1"/>
      <charset val="136"/>
      <scheme val="minor"/>
    </font>
    <font>
      <sz val="11"/>
      <color rgb="FF00B050"/>
      <name val="新細明體"/>
      <family val="1"/>
      <charset val="136"/>
      <scheme val="minor"/>
    </font>
    <font>
      <sz val="10"/>
      <color rgb="FFFF0000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2"/>
      <color rgb="FFC00000"/>
      <name val="新細明體"/>
      <family val="1"/>
      <charset val="136"/>
      <scheme val="minor"/>
    </font>
    <font>
      <sz val="11"/>
      <color rgb="FFC00000"/>
      <name val="新細明體"/>
      <family val="1"/>
      <charset val="136"/>
      <scheme val="minor"/>
    </font>
    <font>
      <b/>
      <sz val="12"/>
      <color rgb="FF000000"/>
      <name val="新細明體"/>
      <family val="1"/>
      <charset val="136"/>
      <scheme val="minor"/>
    </font>
    <font>
      <b/>
      <sz val="11"/>
      <color rgb="FF00B0F0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0" fontId="17" fillId="0" borderId="0" applyNumberFormat="0" applyFill="0" applyBorder="0" applyAlignment="0" applyProtection="0">
      <alignment vertical="top"/>
      <protection locked="0"/>
    </xf>
    <xf numFmtId="44" fontId="40" fillId="0" borderId="0" applyFont="0" applyFill="0" applyBorder="0" applyAlignment="0" applyProtection="0">
      <alignment vertical="center"/>
    </xf>
    <xf numFmtId="43" fontId="40" fillId="0" borderId="0" applyFont="0" applyFill="0" applyBorder="0" applyAlignment="0" applyProtection="0">
      <alignment vertical="center"/>
    </xf>
    <xf numFmtId="9" fontId="40" fillId="0" borderId="0" applyFont="0" applyFill="0" applyBorder="0" applyAlignment="0" applyProtection="0">
      <alignment vertical="center"/>
    </xf>
  </cellStyleXfs>
  <cellXfs count="424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10" fontId="3" fillId="0" borderId="0" xfId="0" applyNumberFormat="1" applyFo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76" fontId="6" fillId="0" borderId="0" xfId="0" applyNumberFormat="1" applyFont="1" applyAlignment="1">
      <alignment horizontal="right" vertical="center"/>
    </xf>
    <xf numFmtId="0" fontId="3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176" fontId="5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176" fontId="4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176" fontId="2" fillId="0" borderId="0" xfId="0" applyNumberFormat="1" applyFont="1">
      <alignment vertical="center"/>
    </xf>
    <xf numFmtId="0" fontId="9" fillId="0" borderId="0" xfId="0" applyFont="1">
      <alignment vertical="center"/>
    </xf>
    <xf numFmtId="176" fontId="6" fillId="0" borderId="0" xfId="0" applyNumberFormat="1" applyFont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right" vertical="center"/>
    </xf>
    <xf numFmtId="0" fontId="5" fillId="0" borderId="0" xfId="0" applyFont="1">
      <alignment vertical="center"/>
    </xf>
    <xf numFmtId="10" fontId="2" fillId="0" borderId="0" xfId="0" applyNumberFormat="1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9" fontId="5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78" fontId="5" fillId="0" borderId="0" xfId="0" applyNumberFormat="1" applyFont="1" applyAlignment="1">
      <alignment horizontal="center" vertical="center"/>
    </xf>
    <xf numFmtId="178" fontId="11" fillId="0" borderId="0" xfId="0" applyNumberFormat="1" applyFont="1" applyAlignment="1">
      <alignment horizontal="right" vertical="center"/>
    </xf>
    <xf numFmtId="176" fontId="11" fillId="0" borderId="0" xfId="0" applyNumberFormat="1" applyFont="1">
      <alignment vertical="center"/>
    </xf>
    <xf numFmtId="10" fontId="11" fillId="0" borderId="0" xfId="0" applyNumberFormat="1" applyFont="1">
      <alignment vertical="center"/>
    </xf>
    <xf numFmtId="176" fontId="10" fillId="0" borderId="0" xfId="0" applyNumberFormat="1" applyFont="1">
      <alignment vertical="center"/>
    </xf>
    <xf numFmtId="178" fontId="13" fillId="0" borderId="0" xfId="0" applyNumberFormat="1" applyFont="1" applyAlignment="1">
      <alignment horizontal="right" vertical="center"/>
    </xf>
    <xf numFmtId="176" fontId="13" fillId="0" borderId="0" xfId="0" applyNumberFormat="1" applyFont="1" applyAlignment="1">
      <alignment horizontal="right" vertical="center"/>
    </xf>
    <xf numFmtId="176" fontId="10" fillId="0" borderId="0" xfId="0" applyNumberFormat="1" applyFont="1" applyAlignment="1">
      <alignment horizontal="right" vertical="center"/>
    </xf>
    <xf numFmtId="176" fontId="4" fillId="0" borderId="0" xfId="0" applyNumberFormat="1" applyFont="1" applyAlignment="1">
      <alignment horizontal="right" vertical="center"/>
    </xf>
    <xf numFmtId="49" fontId="6" fillId="0" borderId="0" xfId="0" applyNumberFormat="1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49" fontId="11" fillId="0" borderId="0" xfId="0" applyNumberFormat="1" applyFont="1">
      <alignment vertical="center"/>
    </xf>
    <xf numFmtId="0" fontId="10" fillId="0" borderId="0" xfId="0" applyFont="1">
      <alignment vertical="center"/>
    </xf>
    <xf numFmtId="176" fontId="6" fillId="0" borderId="0" xfId="0" applyNumberFormat="1" applyFont="1">
      <alignment vertical="center"/>
    </xf>
    <xf numFmtId="49" fontId="6" fillId="0" borderId="0" xfId="0" applyNumberFormat="1" applyFont="1" applyAlignment="1">
      <alignment horizontal="left" vertical="center"/>
    </xf>
    <xf numFmtId="178" fontId="6" fillId="0" borderId="0" xfId="0" applyNumberFormat="1" applyFont="1" applyAlignment="1">
      <alignment horizontal="right" vertical="center"/>
    </xf>
    <xf numFmtId="178" fontId="4" fillId="0" borderId="0" xfId="0" applyNumberFormat="1" applyFont="1" applyAlignment="1">
      <alignment horizontal="right" vertical="center"/>
    </xf>
    <xf numFmtId="49" fontId="5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4" fontId="5" fillId="0" borderId="0" xfId="0" applyNumberFormat="1" applyFont="1">
      <alignment vertical="center"/>
    </xf>
    <xf numFmtId="10" fontId="5" fillId="0" borderId="0" xfId="0" applyNumberFormat="1" applyFont="1">
      <alignment vertical="center"/>
    </xf>
    <xf numFmtId="14" fontId="5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right" vertical="center"/>
    </xf>
    <xf numFmtId="176" fontId="9" fillId="0" borderId="0" xfId="0" applyNumberFormat="1" applyFont="1" applyAlignment="1">
      <alignment horizontal="right" vertical="center"/>
    </xf>
    <xf numFmtId="176" fontId="2" fillId="0" borderId="0" xfId="0" applyNumberFormat="1" applyFont="1" applyAlignment="1">
      <alignment horizontal="left" vertical="center"/>
    </xf>
    <xf numFmtId="0" fontId="11" fillId="0" borderId="0" xfId="0" applyFont="1">
      <alignment vertical="center"/>
    </xf>
    <xf numFmtId="49" fontId="5" fillId="0" borderId="0" xfId="0" applyNumberFormat="1" applyFont="1">
      <alignment vertical="center"/>
    </xf>
    <xf numFmtId="176" fontId="5" fillId="0" borderId="0" xfId="0" applyNumberFormat="1" applyFont="1" applyAlignment="1">
      <alignment horizontal="left" vertical="center"/>
    </xf>
    <xf numFmtId="176" fontId="5" fillId="0" borderId="0" xfId="0" applyNumberFormat="1" applyFont="1" applyAlignment="1">
      <alignment horizontal="right" vertical="center"/>
    </xf>
    <xf numFmtId="10" fontId="7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176" fontId="7" fillId="0" borderId="0" xfId="0" applyNumberFormat="1" applyFont="1" applyAlignment="1">
      <alignment vertical="center"/>
    </xf>
    <xf numFmtId="176" fontId="7" fillId="0" borderId="0" xfId="0" applyNumberFormat="1" applyFont="1">
      <alignment vertical="center"/>
    </xf>
    <xf numFmtId="176" fontId="9" fillId="0" borderId="0" xfId="0" applyNumberFormat="1" applyFont="1" applyAlignment="1">
      <alignment horizontal="left" vertical="center"/>
    </xf>
    <xf numFmtId="176" fontId="9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left" vertical="center"/>
    </xf>
    <xf numFmtId="176" fontId="5" fillId="0" borderId="0" xfId="0" applyNumberFormat="1" applyFont="1">
      <alignment vertical="center"/>
    </xf>
    <xf numFmtId="14" fontId="6" fillId="0" borderId="0" xfId="0" applyNumberFormat="1" applyFont="1" applyAlignment="1">
      <alignment horizontal="right" vertical="center"/>
    </xf>
    <xf numFmtId="14" fontId="8" fillId="0" borderId="0" xfId="0" applyNumberFormat="1" applyFont="1" applyAlignment="1">
      <alignment horizontal="right" vertical="center"/>
    </xf>
    <xf numFmtId="177" fontId="6" fillId="0" borderId="0" xfId="0" applyNumberFormat="1" applyFont="1" applyAlignment="1">
      <alignment horizontal="right" vertical="center"/>
    </xf>
    <xf numFmtId="178" fontId="2" fillId="0" borderId="0" xfId="0" applyNumberFormat="1" applyFont="1">
      <alignment vertical="center"/>
    </xf>
    <xf numFmtId="176" fontId="13" fillId="0" borderId="0" xfId="0" applyNumberFormat="1" applyFont="1">
      <alignment vertical="center"/>
    </xf>
    <xf numFmtId="10" fontId="13" fillId="0" borderId="0" xfId="0" applyNumberFormat="1" applyFont="1">
      <alignment vertical="center"/>
    </xf>
    <xf numFmtId="178" fontId="21" fillId="0" borderId="0" xfId="0" applyNumberFormat="1" applyFont="1" applyAlignment="1">
      <alignment horizontal="right" vertical="center"/>
    </xf>
    <xf numFmtId="178" fontId="11" fillId="0" borderId="0" xfId="0" applyNumberFormat="1" applyFont="1" applyAlignment="1">
      <alignment horizontal="center" vertical="center"/>
    </xf>
    <xf numFmtId="0" fontId="6" fillId="0" borderId="0" xfId="0" applyNumberFormat="1" applyFont="1" applyAlignment="1">
      <alignment horizontal="right" vertical="center"/>
    </xf>
    <xf numFmtId="0" fontId="8" fillId="0" borderId="0" xfId="0" applyNumberFormat="1" applyFont="1" applyAlignment="1">
      <alignment horizontal="right" vertical="center"/>
    </xf>
    <xf numFmtId="0" fontId="4" fillId="0" borderId="0" xfId="0" applyNumberFormat="1" applyFont="1" applyAlignment="1">
      <alignment horizontal="right" vertical="center"/>
    </xf>
    <xf numFmtId="0" fontId="2" fillId="0" borderId="0" xfId="0" applyNumberFormat="1" applyFont="1">
      <alignment vertical="center"/>
    </xf>
    <xf numFmtId="14" fontId="13" fillId="0" borderId="0" xfId="0" applyNumberFormat="1" applyFont="1" applyAlignment="1">
      <alignment horizontal="right" vertical="center"/>
    </xf>
    <xf numFmtId="14" fontId="7" fillId="0" borderId="0" xfId="0" applyNumberFormat="1" applyFont="1" applyAlignment="1">
      <alignment horizontal="right" vertical="center"/>
    </xf>
    <xf numFmtId="176" fontId="11" fillId="0" borderId="0" xfId="0" applyNumberFormat="1" applyFont="1" applyAlignment="1">
      <alignment horizontal="left" vertical="center"/>
    </xf>
    <xf numFmtId="14" fontId="25" fillId="0" borderId="0" xfId="0" applyNumberFormat="1" applyFont="1" applyAlignment="1">
      <alignment horizontal="right" vertical="center"/>
    </xf>
    <xf numFmtId="49" fontId="7" fillId="0" borderId="0" xfId="0" applyNumberFormat="1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49" fontId="24" fillId="0" borderId="0" xfId="0" applyNumberFormat="1" applyFont="1" applyAlignment="1">
      <alignment horizontal="center" vertical="center"/>
    </xf>
    <xf numFmtId="0" fontId="20" fillId="0" borderId="0" xfId="0" applyNumberFormat="1" applyFont="1" applyAlignment="1">
      <alignment horizontal="right" vertical="center"/>
    </xf>
    <xf numFmtId="0" fontId="5" fillId="0" borderId="0" xfId="0" applyNumberFormat="1" applyFont="1" applyAlignment="1">
      <alignment horizontal="right" vertical="center"/>
    </xf>
    <xf numFmtId="0" fontId="3" fillId="0" borderId="0" xfId="0" applyNumberFormat="1" applyFont="1" applyAlignment="1">
      <alignment horizontal="right" vertical="center"/>
    </xf>
    <xf numFmtId="0" fontId="19" fillId="0" borderId="0" xfId="0" applyNumberFormat="1" applyFont="1" applyAlignment="1">
      <alignment horizontal="right" vertical="center"/>
    </xf>
    <xf numFmtId="0" fontId="23" fillId="0" borderId="0" xfId="0" applyNumberFormat="1" applyFont="1" applyAlignment="1">
      <alignment horizontal="right" vertical="center"/>
    </xf>
    <xf numFmtId="176" fontId="12" fillId="0" borderId="0" xfId="0" applyNumberFormat="1" applyFont="1" applyAlignment="1">
      <alignment horizontal="right" vertical="center"/>
    </xf>
    <xf numFmtId="0" fontId="24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49" fontId="16" fillId="0" borderId="0" xfId="0" applyNumberFormat="1" applyFont="1" applyAlignment="1">
      <alignment horizontal="left" vertical="center"/>
    </xf>
    <xf numFmtId="49" fontId="23" fillId="0" borderId="0" xfId="0" applyNumberFormat="1" applyFont="1" applyAlignment="1">
      <alignment horizontal="left" vertical="center"/>
    </xf>
    <xf numFmtId="49" fontId="16" fillId="0" borderId="0" xfId="0" applyNumberFormat="1" applyFont="1">
      <alignment vertical="center"/>
    </xf>
    <xf numFmtId="49" fontId="18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center" vertical="center"/>
    </xf>
    <xf numFmtId="10" fontId="6" fillId="0" borderId="0" xfId="0" applyNumberFormat="1" applyFont="1" applyAlignment="1">
      <alignment horizontal="right" vertical="center"/>
    </xf>
    <xf numFmtId="0" fontId="4" fillId="0" borderId="0" xfId="0" applyNumberFormat="1" applyFont="1" applyAlignment="1">
      <alignment horizontal="center" vertical="center"/>
    </xf>
    <xf numFmtId="176" fontId="5" fillId="0" borderId="0" xfId="0" applyNumberFormat="1" applyFont="1" applyAlignment="1">
      <alignment vertical="center"/>
    </xf>
    <xf numFmtId="0" fontId="21" fillId="0" borderId="0" xfId="0" applyFont="1">
      <alignment vertical="center"/>
    </xf>
    <xf numFmtId="14" fontId="8" fillId="0" borderId="0" xfId="0" applyNumberFormat="1" applyFont="1" applyAlignment="1">
      <alignment horizontal="center" vertical="center"/>
    </xf>
    <xf numFmtId="177" fontId="16" fillId="0" borderId="0" xfId="0" applyNumberFormat="1" applyFont="1" applyAlignment="1">
      <alignment horizontal="right" vertical="center"/>
    </xf>
    <xf numFmtId="0" fontId="7" fillId="0" borderId="0" xfId="0" applyNumberFormat="1" applyFont="1" applyAlignment="1">
      <alignment horizontal="center" vertical="center"/>
    </xf>
    <xf numFmtId="176" fontId="30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left" vertical="center"/>
    </xf>
    <xf numFmtId="49" fontId="19" fillId="0" borderId="0" xfId="0" applyNumberFormat="1" applyFont="1" applyAlignment="1">
      <alignment horizontal="left" vertical="center"/>
    </xf>
    <xf numFmtId="49" fontId="20" fillId="0" borderId="0" xfId="0" applyNumberFormat="1" applyFont="1" applyAlignment="1">
      <alignment horizontal="left" vertical="center"/>
    </xf>
    <xf numFmtId="49" fontId="20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14" fontId="12" fillId="0" borderId="0" xfId="0" applyNumberFormat="1" applyFont="1" applyAlignment="1">
      <alignment horizontal="right" vertical="center"/>
    </xf>
    <xf numFmtId="49" fontId="5" fillId="0" borderId="0" xfId="0" applyNumberFormat="1" applyFont="1" applyAlignment="1">
      <alignment horizontal="right" vertical="center"/>
    </xf>
    <xf numFmtId="49" fontId="11" fillId="0" borderId="0" xfId="0" applyNumberFormat="1" applyFont="1" applyAlignment="1">
      <alignment vertical="center"/>
    </xf>
    <xf numFmtId="49" fontId="5" fillId="0" borderId="0" xfId="0" applyNumberFormat="1" applyFont="1" applyAlignment="1">
      <alignment vertical="center"/>
    </xf>
    <xf numFmtId="49" fontId="11" fillId="0" borderId="0" xfId="0" applyNumberFormat="1" applyFont="1" applyAlignment="1">
      <alignment horizontal="left" vertical="center"/>
    </xf>
    <xf numFmtId="49" fontId="11" fillId="0" borderId="0" xfId="0" applyNumberFormat="1" applyFont="1" applyAlignment="1">
      <alignment horizontal="right" vertical="center"/>
    </xf>
    <xf numFmtId="49" fontId="2" fillId="0" borderId="0" xfId="0" applyNumberFormat="1" applyFont="1" applyAlignment="1">
      <alignment horizontal="left" vertical="center"/>
    </xf>
    <xf numFmtId="49" fontId="6" fillId="0" borderId="0" xfId="0" applyNumberFormat="1" applyFont="1">
      <alignment vertical="center"/>
    </xf>
    <xf numFmtId="49" fontId="3" fillId="0" borderId="0" xfId="0" applyNumberFormat="1" applyFont="1">
      <alignment vertical="center"/>
    </xf>
    <xf numFmtId="49" fontId="2" fillId="0" borderId="0" xfId="0" applyNumberFormat="1" applyFont="1">
      <alignment vertical="center"/>
    </xf>
    <xf numFmtId="49" fontId="13" fillId="0" borderId="0" xfId="0" applyNumberFormat="1" applyFont="1" applyAlignment="1">
      <alignment horizontal="right" vertical="center"/>
    </xf>
    <xf numFmtId="14" fontId="31" fillId="0" borderId="0" xfId="0" applyNumberFormat="1" applyFont="1" applyAlignment="1">
      <alignment horizontal="right" vertical="center"/>
    </xf>
    <xf numFmtId="49" fontId="9" fillId="0" borderId="0" xfId="0" applyNumberFormat="1" applyFont="1" applyAlignment="1">
      <alignment horizontal="right" vertical="center"/>
    </xf>
    <xf numFmtId="49" fontId="19" fillId="0" borderId="0" xfId="0" applyNumberFormat="1" applyFont="1" applyAlignment="1">
      <alignment horizontal="center" vertical="center"/>
    </xf>
    <xf numFmtId="49" fontId="27" fillId="0" borderId="0" xfId="0" applyNumberFormat="1" applyFont="1">
      <alignment vertical="center"/>
    </xf>
    <xf numFmtId="49" fontId="19" fillId="0" borderId="0" xfId="0" applyNumberFormat="1" applyFont="1">
      <alignment vertical="center"/>
    </xf>
    <xf numFmtId="49" fontId="29" fillId="0" borderId="0" xfId="0" applyNumberFormat="1" applyFont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177" fontId="29" fillId="0" borderId="0" xfId="0" applyNumberFormat="1" applyFont="1" applyAlignment="1">
      <alignment horizontal="right" vertical="center"/>
    </xf>
    <xf numFmtId="177" fontId="6" fillId="0" borderId="0" xfId="0" applyNumberFormat="1" applyFont="1" applyAlignment="1">
      <alignment horizontal="left" vertical="center"/>
    </xf>
    <xf numFmtId="178" fontId="32" fillId="0" borderId="0" xfId="0" applyNumberFormat="1" applyFont="1" applyAlignment="1">
      <alignment horizontal="right" vertical="center"/>
    </xf>
    <xf numFmtId="49" fontId="23" fillId="0" borderId="0" xfId="0" applyNumberFormat="1" applyFont="1">
      <alignment vertical="center"/>
    </xf>
    <xf numFmtId="0" fontId="26" fillId="0" borderId="0" xfId="0" applyNumberFormat="1" applyFont="1" applyAlignment="1">
      <alignment horizontal="right" vertical="center"/>
    </xf>
    <xf numFmtId="177" fontId="2" fillId="0" borderId="0" xfId="0" applyNumberFormat="1" applyFont="1">
      <alignment vertical="center"/>
    </xf>
    <xf numFmtId="49" fontId="2" fillId="0" borderId="0" xfId="0" applyNumberFormat="1" applyFont="1" applyAlignment="1">
      <alignment horizontal="right" vertical="center"/>
    </xf>
    <xf numFmtId="0" fontId="33" fillId="0" borderId="0" xfId="0" applyFont="1">
      <alignment vertical="center"/>
    </xf>
    <xf numFmtId="49" fontId="15" fillId="0" borderId="0" xfId="0" applyNumberFormat="1" applyFont="1">
      <alignment vertical="center"/>
    </xf>
    <xf numFmtId="49" fontId="3" fillId="0" borderId="0" xfId="0" applyNumberFormat="1" applyFont="1" applyAlignment="1">
      <alignment horizontal="right" vertical="center"/>
    </xf>
    <xf numFmtId="49" fontId="12" fillId="0" borderId="0" xfId="0" applyNumberFormat="1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178" fontId="6" fillId="0" borderId="0" xfId="0" applyNumberFormat="1" applyFont="1">
      <alignment vertical="center"/>
    </xf>
    <xf numFmtId="14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177" fontId="9" fillId="0" borderId="0" xfId="0" applyNumberFormat="1" applyFont="1" applyAlignment="1">
      <alignment horizontal="right" vertical="center"/>
    </xf>
    <xf numFmtId="10" fontId="8" fillId="0" borderId="0" xfId="0" applyNumberFormat="1" applyFont="1" applyAlignment="1">
      <alignment horizontal="right" vertical="center"/>
    </xf>
    <xf numFmtId="179" fontId="7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177" fontId="4" fillId="0" borderId="0" xfId="0" applyNumberFormat="1" applyFont="1">
      <alignment vertical="center"/>
    </xf>
    <xf numFmtId="10" fontId="6" fillId="0" borderId="0" xfId="0" applyNumberFormat="1" applyFont="1" applyAlignment="1">
      <alignment vertical="center"/>
    </xf>
    <xf numFmtId="0" fontId="36" fillId="0" borderId="0" xfId="0" applyFont="1">
      <alignment vertical="center"/>
    </xf>
    <xf numFmtId="0" fontId="4" fillId="0" borderId="0" xfId="0" applyFont="1" applyAlignment="1">
      <alignment vertical="center"/>
    </xf>
    <xf numFmtId="179" fontId="3" fillId="0" borderId="0" xfId="0" applyNumberFormat="1" applyFont="1">
      <alignment vertical="center"/>
    </xf>
    <xf numFmtId="176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6" fontId="13" fillId="0" borderId="0" xfId="0" applyNumberFormat="1" applyFont="1" applyAlignment="1">
      <alignment vertical="center"/>
    </xf>
    <xf numFmtId="10" fontId="7" fillId="0" borderId="0" xfId="0" applyNumberFormat="1" applyFont="1" applyAlignment="1">
      <alignment vertical="center"/>
    </xf>
    <xf numFmtId="179" fontId="11" fillId="0" borderId="0" xfId="0" applyNumberFormat="1" applyFont="1">
      <alignment vertical="center"/>
    </xf>
    <xf numFmtId="49" fontId="12" fillId="0" borderId="0" xfId="0" applyNumberFormat="1" applyFont="1" applyAlignment="1">
      <alignment vertical="center"/>
    </xf>
    <xf numFmtId="176" fontId="10" fillId="0" borderId="0" xfId="0" applyNumberFormat="1" applyFont="1" applyAlignment="1">
      <alignment vertical="center"/>
    </xf>
    <xf numFmtId="176" fontId="2" fillId="0" borderId="0" xfId="0" applyNumberFormat="1" applyFont="1" applyAlignment="1">
      <alignment vertical="center"/>
    </xf>
    <xf numFmtId="49" fontId="3" fillId="0" borderId="0" xfId="0" applyNumberFormat="1" applyFont="1" applyAlignment="1">
      <alignment vertical="center"/>
    </xf>
    <xf numFmtId="10" fontId="13" fillId="0" borderId="0" xfId="0" applyNumberFormat="1" applyFont="1" applyAlignment="1">
      <alignment vertical="center"/>
    </xf>
    <xf numFmtId="176" fontId="4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49" fontId="16" fillId="0" borderId="0" xfId="0" applyNumberFormat="1" applyFont="1" applyAlignment="1">
      <alignment vertical="center"/>
    </xf>
    <xf numFmtId="49" fontId="23" fillId="0" borderId="0" xfId="0" applyNumberFormat="1" applyFont="1" applyAlignment="1">
      <alignment vertical="center"/>
    </xf>
    <xf numFmtId="179" fontId="12" fillId="0" borderId="0" xfId="0" applyNumberFormat="1" applyFont="1">
      <alignment vertical="center"/>
    </xf>
    <xf numFmtId="10" fontId="12" fillId="0" borderId="0" xfId="0" applyNumberFormat="1" applyFont="1">
      <alignment vertical="center"/>
    </xf>
    <xf numFmtId="0" fontId="3" fillId="0" borderId="0" xfId="0" applyFont="1" applyAlignment="1">
      <alignment vertical="center"/>
    </xf>
    <xf numFmtId="0" fontId="6" fillId="0" borderId="0" xfId="0" applyNumberFormat="1" applyFont="1" applyFill="1" applyAlignment="1">
      <alignment horizontal="right" vertical="center"/>
    </xf>
    <xf numFmtId="176" fontId="6" fillId="0" borderId="0" xfId="0" applyNumberFormat="1" applyFont="1" applyFill="1" applyAlignment="1">
      <alignment horizontal="right" vertical="center"/>
    </xf>
    <xf numFmtId="49" fontId="6" fillId="0" borderId="0" xfId="0" applyNumberFormat="1" applyFont="1" applyFill="1" applyAlignment="1">
      <alignment horizontal="right" vertical="center"/>
    </xf>
    <xf numFmtId="0" fontId="4" fillId="0" borderId="0" xfId="0" applyFont="1" applyFill="1">
      <alignment vertical="center"/>
    </xf>
    <xf numFmtId="0" fontId="6" fillId="0" borderId="0" xfId="0" applyFont="1" applyFill="1" applyAlignment="1">
      <alignment horizontal="center" vertical="center"/>
    </xf>
    <xf numFmtId="176" fontId="2" fillId="0" borderId="0" xfId="0" applyNumberFormat="1" applyFont="1" applyFill="1">
      <alignment vertical="center"/>
    </xf>
    <xf numFmtId="10" fontId="3" fillId="0" borderId="0" xfId="0" applyNumberFormat="1" applyFont="1" applyFill="1">
      <alignment vertical="center"/>
    </xf>
    <xf numFmtId="49" fontId="16" fillId="0" borderId="0" xfId="0" applyNumberFormat="1" applyFont="1" applyFill="1" applyAlignment="1">
      <alignment horizontal="left" vertical="center"/>
    </xf>
    <xf numFmtId="178" fontId="11" fillId="0" borderId="0" xfId="0" applyNumberFormat="1" applyFont="1" applyFill="1" applyAlignment="1">
      <alignment horizontal="right" vertical="center"/>
    </xf>
    <xf numFmtId="49" fontId="11" fillId="0" borderId="0" xfId="0" applyNumberFormat="1" applyFont="1" applyFill="1" applyAlignment="1">
      <alignment vertical="center"/>
    </xf>
    <xf numFmtId="14" fontId="13" fillId="0" borderId="0" xfId="0" applyNumberFormat="1" applyFont="1" applyFill="1" applyAlignment="1">
      <alignment horizontal="right" vertical="center"/>
    </xf>
    <xf numFmtId="49" fontId="15" fillId="0" borderId="0" xfId="0" applyNumberFormat="1" applyFont="1" applyAlignment="1">
      <alignment vertical="center"/>
    </xf>
    <xf numFmtId="49" fontId="12" fillId="0" borderId="0" xfId="0" applyNumberFormat="1" applyFont="1" applyFill="1" applyAlignment="1">
      <alignment horizontal="right" vertical="center"/>
    </xf>
    <xf numFmtId="176" fontId="8" fillId="0" borderId="0" xfId="0" applyNumberFormat="1" applyFont="1" applyAlignment="1">
      <alignment vertical="center"/>
    </xf>
    <xf numFmtId="176" fontId="16" fillId="0" borderId="0" xfId="0" applyNumberFormat="1" applyFont="1" applyAlignment="1">
      <alignment vertical="center"/>
    </xf>
    <xf numFmtId="176" fontId="15" fillId="0" borderId="0" xfId="0" applyNumberFormat="1" applyFont="1" applyAlignment="1">
      <alignment vertical="center"/>
    </xf>
    <xf numFmtId="176" fontId="23" fillId="0" borderId="0" xfId="0" applyNumberFormat="1" applyFont="1" applyAlignment="1">
      <alignment vertical="center"/>
    </xf>
    <xf numFmtId="176" fontId="18" fillId="0" borderId="0" xfId="0" applyNumberFormat="1" applyFont="1" applyAlignment="1">
      <alignment vertical="center"/>
    </xf>
    <xf numFmtId="14" fontId="8" fillId="0" borderId="0" xfId="0" applyNumberFormat="1" applyFont="1" applyAlignment="1">
      <alignment horizontal="left" vertical="center"/>
    </xf>
    <xf numFmtId="49" fontId="19" fillId="0" borderId="0" xfId="0" applyNumberFormat="1" applyFont="1" applyAlignment="1">
      <alignment vertical="center"/>
    </xf>
    <xf numFmtId="176" fontId="11" fillId="0" borderId="0" xfId="0" applyNumberFormat="1" applyFont="1" applyAlignment="1">
      <alignment vertical="center"/>
    </xf>
    <xf numFmtId="176" fontId="11" fillId="0" borderId="0" xfId="0" applyNumberFormat="1" applyFont="1" applyAlignment="1">
      <alignment horizontal="right" vertical="center"/>
    </xf>
    <xf numFmtId="0" fontId="37" fillId="0" borderId="0" xfId="0" applyFont="1">
      <alignment vertical="center"/>
    </xf>
    <xf numFmtId="176" fontId="7" fillId="0" borderId="0" xfId="0" applyNumberFormat="1" applyFont="1" applyAlignment="1">
      <alignment horizontal="left" vertical="center"/>
    </xf>
    <xf numFmtId="177" fontId="6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176" fontId="22" fillId="0" borderId="0" xfId="0" applyNumberFormat="1" applyFont="1">
      <alignment vertical="center"/>
    </xf>
    <xf numFmtId="14" fontId="6" fillId="0" borderId="0" xfId="0" applyNumberFormat="1" applyFont="1">
      <alignment vertical="center"/>
    </xf>
    <xf numFmtId="14" fontId="8" fillId="0" borderId="0" xfId="0" applyNumberFormat="1" applyFont="1">
      <alignment vertical="center"/>
    </xf>
    <xf numFmtId="0" fontId="14" fillId="0" borderId="0" xfId="0" applyNumberFormat="1" applyFont="1" applyAlignment="1">
      <alignment horizontal="right" vertical="center"/>
    </xf>
    <xf numFmtId="0" fontId="38" fillId="0" borderId="0" xfId="0" applyNumberFormat="1" applyFont="1" applyAlignment="1">
      <alignment horizontal="right" vertical="center"/>
    </xf>
    <xf numFmtId="10" fontId="6" fillId="0" borderId="0" xfId="0" applyNumberFormat="1" applyFont="1">
      <alignment vertical="center"/>
    </xf>
    <xf numFmtId="49" fontId="20" fillId="0" borderId="0" xfId="0" applyNumberFormat="1" applyFont="1" applyAlignment="1">
      <alignment vertical="center"/>
    </xf>
    <xf numFmtId="14" fontId="8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49" fontId="12" fillId="0" borderId="0" xfId="0" applyNumberFormat="1" applyFon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178" fontId="6" fillId="0" borderId="0" xfId="0" applyNumberFormat="1" applyFont="1" applyAlignment="1">
      <alignment horizontal="left" vertical="center"/>
    </xf>
    <xf numFmtId="10" fontId="9" fillId="0" borderId="0" xfId="0" applyNumberFormat="1" applyFont="1" applyAlignment="1">
      <alignment vertical="center"/>
    </xf>
    <xf numFmtId="176" fontId="9" fillId="0" borderId="0" xfId="0" applyNumberFormat="1" applyFont="1" applyAlignment="1">
      <alignment vertical="center"/>
    </xf>
    <xf numFmtId="0" fontId="12" fillId="0" borderId="0" xfId="0" applyFont="1" applyAlignment="1">
      <alignment vertical="center"/>
    </xf>
    <xf numFmtId="176" fontId="7" fillId="0" borderId="0" xfId="0" applyNumberFormat="1" applyFont="1" applyAlignment="1">
      <alignment horizontal="right" vertical="center"/>
    </xf>
    <xf numFmtId="0" fontId="6" fillId="0" borderId="0" xfId="0" applyNumberFormat="1" applyFont="1">
      <alignment vertical="center"/>
    </xf>
    <xf numFmtId="49" fontId="2" fillId="0" borderId="0" xfId="0" applyNumberFormat="1" applyFont="1" applyAlignment="1">
      <alignment horizontal="center" vertical="center"/>
    </xf>
    <xf numFmtId="44" fontId="6" fillId="0" borderId="0" xfId="2" applyFont="1" applyAlignment="1">
      <alignment vertical="center"/>
    </xf>
    <xf numFmtId="44" fontId="6" fillId="0" borderId="0" xfId="2" applyFont="1">
      <alignment vertical="center"/>
    </xf>
    <xf numFmtId="180" fontId="4" fillId="0" borderId="0" xfId="2" applyNumberFormat="1" applyFont="1" applyAlignment="1">
      <alignment vertical="center"/>
    </xf>
    <xf numFmtId="181" fontId="29" fillId="0" borderId="0" xfId="0" applyNumberFormat="1" applyFont="1" applyAlignment="1">
      <alignment vertical="center"/>
    </xf>
    <xf numFmtId="181" fontId="41" fillId="0" borderId="0" xfId="0" applyNumberFormat="1" applyFont="1" applyAlignment="1">
      <alignment vertical="center"/>
    </xf>
    <xf numFmtId="176" fontId="12" fillId="0" borderId="0" xfId="0" applyNumberFormat="1" applyFont="1" applyAlignment="1">
      <alignment horizontal="left" vertical="center"/>
    </xf>
    <xf numFmtId="176" fontId="34" fillId="0" borderId="0" xfId="0" applyNumberFormat="1" applyFont="1">
      <alignment vertical="center"/>
    </xf>
    <xf numFmtId="176" fontId="12" fillId="0" borderId="0" xfId="0" applyNumberFormat="1" applyFont="1">
      <alignment vertical="center"/>
    </xf>
    <xf numFmtId="176" fontId="29" fillId="0" borderId="0" xfId="0" applyNumberFormat="1" applyFont="1" applyAlignment="1">
      <alignment horizontal="right" vertical="center"/>
    </xf>
    <xf numFmtId="0" fontId="42" fillId="0" borderId="0" xfId="0" applyNumberFormat="1" applyFont="1" applyAlignment="1">
      <alignment horizontal="right" vertical="center"/>
    </xf>
    <xf numFmtId="178" fontId="19" fillId="0" borderId="0" xfId="0" applyNumberFormat="1" applyFont="1" applyAlignment="1">
      <alignment horizontal="right" vertical="center"/>
    </xf>
    <xf numFmtId="0" fontId="16" fillId="0" borderId="0" xfId="0" applyNumberFormat="1" applyFont="1" applyAlignment="1">
      <alignment horizontal="right" vertical="center"/>
    </xf>
    <xf numFmtId="0" fontId="12" fillId="0" borderId="0" xfId="0" applyNumberFormat="1" applyFont="1" applyAlignment="1">
      <alignment horizontal="center" vertical="center"/>
    </xf>
    <xf numFmtId="182" fontId="6" fillId="0" borderId="0" xfId="3" applyNumberFormat="1" applyFont="1" applyAlignment="1">
      <alignment vertical="center"/>
    </xf>
    <xf numFmtId="182" fontId="4" fillId="0" borderId="0" xfId="3" applyNumberFormat="1" applyFont="1" applyAlignment="1">
      <alignment vertical="center"/>
    </xf>
    <xf numFmtId="182" fontId="4" fillId="0" borderId="0" xfId="3" applyNumberFormat="1" applyFont="1">
      <alignment vertical="center"/>
    </xf>
    <xf numFmtId="182" fontId="9" fillId="0" borderId="0" xfId="3" applyNumberFormat="1" applyFont="1" applyAlignment="1">
      <alignment vertical="center"/>
    </xf>
    <xf numFmtId="182" fontId="6" fillId="0" borderId="0" xfId="3" applyNumberFormat="1" applyFont="1">
      <alignment vertical="center"/>
    </xf>
    <xf numFmtId="182" fontId="3" fillId="0" borderId="0" xfId="3" applyNumberFormat="1" applyFont="1">
      <alignment vertical="center"/>
    </xf>
    <xf numFmtId="0" fontId="43" fillId="0" borderId="0" xfId="0" applyNumberFormat="1" applyFont="1" applyAlignment="1">
      <alignment horizontal="right" vertical="center"/>
    </xf>
    <xf numFmtId="177" fontId="2" fillId="0" borderId="0" xfId="0" applyNumberFormat="1" applyFont="1" applyAlignment="1">
      <alignment vertical="center"/>
    </xf>
    <xf numFmtId="181" fontId="4" fillId="0" borderId="0" xfId="0" applyNumberFormat="1" applyFont="1" applyAlignment="1">
      <alignment vertical="center"/>
    </xf>
    <xf numFmtId="0" fontId="19" fillId="0" borderId="0" xfId="0" applyFont="1" applyAlignment="1">
      <alignment horizontal="center" vertical="center"/>
    </xf>
    <xf numFmtId="179" fontId="13" fillId="0" borderId="0" xfId="0" applyNumberFormat="1" applyFont="1" applyAlignment="1">
      <alignment vertical="center"/>
    </xf>
    <xf numFmtId="0" fontId="29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49" fontId="9" fillId="0" borderId="0" xfId="0" applyNumberFormat="1" applyFont="1">
      <alignment vertical="center"/>
    </xf>
    <xf numFmtId="49" fontId="6" fillId="0" borderId="0" xfId="0" applyNumberFormat="1" applyFont="1" applyFill="1" applyAlignment="1">
      <alignment vertical="center"/>
    </xf>
    <xf numFmtId="0" fontId="23" fillId="0" borderId="0" xfId="0" applyFont="1" applyAlignment="1">
      <alignment horizontal="center" vertical="center"/>
    </xf>
    <xf numFmtId="49" fontId="44" fillId="0" borderId="0" xfId="0" applyNumberFormat="1" applyFont="1" applyFill="1" applyAlignment="1">
      <alignment vertical="center"/>
    </xf>
    <xf numFmtId="0" fontId="44" fillId="0" borderId="0" xfId="0" applyFont="1">
      <alignment vertical="center"/>
    </xf>
    <xf numFmtId="176" fontId="6" fillId="0" borderId="0" xfId="0" applyNumberFormat="1" applyFont="1" applyFill="1" applyAlignment="1">
      <alignment horizontal="left" vertical="center"/>
    </xf>
    <xf numFmtId="10" fontId="8" fillId="0" borderId="0" xfId="0" applyNumberFormat="1" applyFont="1">
      <alignment vertical="center"/>
    </xf>
    <xf numFmtId="0" fontId="9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178" fontId="10" fillId="0" borderId="0" xfId="0" applyNumberFormat="1" applyFont="1" applyAlignment="1">
      <alignment vertical="center"/>
    </xf>
    <xf numFmtId="178" fontId="4" fillId="0" borderId="0" xfId="0" applyNumberFormat="1" applyFont="1" applyAlignment="1">
      <alignment vertical="center"/>
    </xf>
    <xf numFmtId="0" fontId="28" fillId="0" borderId="0" xfId="0" applyFont="1" applyAlignment="1">
      <alignment vertical="center"/>
    </xf>
    <xf numFmtId="49" fontId="10" fillId="0" borderId="0" xfId="0" applyNumberFormat="1" applyFont="1" applyAlignment="1">
      <alignment horizontal="center" vertical="center"/>
    </xf>
    <xf numFmtId="181" fontId="23" fillId="0" borderId="0" xfId="0" applyNumberFormat="1" applyFont="1" applyAlignment="1">
      <alignment vertical="center"/>
    </xf>
    <xf numFmtId="49" fontId="3" fillId="0" borderId="0" xfId="0" applyNumberFormat="1" applyFont="1" applyAlignment="1">
      <alignment horizontal="center" vertical="center"/>
    </xf>
    <xf numFmtId="0" fontId="27" fillId="0" borderId="0" xfId="0" applyFont="1">
      <alignment vertical="center"/>
    </xf>
    <xf numFmtId="176" fontId="27" fillId="0" borderId="0" xfId="0" applyNumberFormat="1" applyFont="1">
      <alignment vertical="center"/>
    </xf>
    <xf numFmtId="176" fontId="27" fillId="0" borderId="0" xfId="0" applyNumberFormat="1" applyFont="1" applyAlignment="1">
      <alignment horizontal="center" vertical="center"/>
    </xf>
    <xf numFmtId="0" fontId="27" fillId="0" borderId="0" xfId="0" applyFont="1" applyFill="1">
      <alignment vertical="center"/>
    </xf>
    <xf numFmtId="0" fontId="27" fillId="0" borderId="0" xfId="0" applyFont="1" applyAlignment="1">
      <alignment vertical="center"/>
    </xf>
    <xf numFmtId="9" fontId="7" fillId="0" borderId="0" xfId="4" applyFont="1" applyAlignment="1">
      <alignment vertical="center"/>
    </xf>
    <xf numFmtId="0" fontId="12" fillId="0" borderId="0" xfId="0" applyFont="1">
      <alignment vertical="center"/>
    </xf>
    <xf numFmtId="14" fontId="7" fillId="0" borderId="0" xfId="0" applyNumberFormat="1" applyFont="1">
      <alignment vertical="center"/>
    </xf>
    <xf numFmtId="14" fontId="13" fillId="0" borderId="0" xfId="0" applyNumberFormat="1" applyFont="1">
      <alignment vertical="center"/>
    </xf>
    <xf numFmtId="0" fontId="37" fillId="0" borderId="0" xfId="0" applyFont="1" applyAlignment="1">
      <alignment vertical="center"/>
    </xf>
    <xf numFmtId="0" fontId="12" fillId="0" borderId="0" xfId="0" applyFont="1" applyFill="1">
      <alignment vertical="center"/>
    </xf>
    <xf numFmtId="178" fontId="12" fillId="0" borderId="0" xfId="0" applyNumberFormat="1" applyFont="1" applyAlignment="1">
      <alignment horizontal="right" vertical="center"/>
    </xf>
    <xf numFmtId="0" fontId="27" fillId="0" borderId="0" xfId="0" applyFont="1" applyAlignment="1"/>
    <xf numFmtId="0" fontId="27" fillId="0" borderId="0" xfId="0" applyNumberFormat="1" applyFont="1" applyAlignment="1">
      <alignment vertical="center"/>
    </xf>
    <xf numFmtId="0" fontId="27" fillId="0" borderId="0" xfId="0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49" fontId="27" fillId="0" borderId="0" xfId="0" applyNumberFormat="1" applyFont="1" applyAlignment="1">
      <alignment horizontal="right" vertical="center"/>
    </xf>
    <xf numFmtId="0" fontId="45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14" fontId="10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49" fontId="46" fillId="0" borderId="0" xfId="1" applyNumberFormat="1" applyFont="1" applyAlignment="1" applyProtection="1">
      <alignment horizontal="left" vertical="center"/>
    </xf>
    <xf numFmtId="49" fontId="47" fillId="0" borderId="0" xfId="1" applyNumberFormat="1" applyFont="1" applyAlignment="1" applyProtection="1">
      <alignment vertical="center"/>
    </xf>
    <xf numFmtId="0" fontId="8" fillId="0" borderId="0" xfId="0" applyFont="1">
      <alignment vertical="center"/>
    </xf>
    <xf numFmtId="176" fontId="12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9" fontId="17" fillId="0" borderId="0" xfId="1" applyNumberFormat="1" applyAlignment="1" applyProtection="1">
      <alignment horizontal="left" vertical="center"/>
    </xf>
    <xf numFmtId="49" fontId="10" fillId="0" borderId="0" xfId="0" applyNumberFormat="1" applyFont="1" applyAlignment="1">
      <alignment horizontal="right" vertical="center"/>
    </xf>
    <xf numFmtId="178" fontId="9" fillId="0" borderId="0" xfId="0" applyNumberFormat="1" applyFont="1" applyAlignment="1">
      <alignment horizontal="right" vertical="center"/>
    </xf>
    <xf numFmtId="179" fontId="7" fillId="0" borderId="0" xfId="0" applyNumberFormat="1" applyFont="1" applyAlignment="1">
      <alignment vertical="center"/>
    </xf>
    <xf numFmtId="14" fontId="9" fillId="0" borderId="0" xfId="0" applyNumberFormat="1" applyFont="1" applyAlignment="1">
      <alignment horizontal="right" vertical="center"/>
    </xf>
    <xf numFmtId="182" fontId="13" fillId="0" borderId="0" xfId="0" applyNumberFormat="1" applyFont="1" applyAlignment="1">
      <alignment horizontal="right" vertical="center"/>
    </xf>
    <xf numFmtId="0" fontId="30" fillId="0" borderId="0" xfId="0" applyNumberFormat="1" applyFont="1" applyAlignment="1">
      <alignment horizontal="center" vertical="center"/>
    </xf>
    <xf numFmtId="0" fontId="28" fillId="0" borderId="0" xfId="0" applyFont="1">
      <alignment vertical="center"/>
    </xf>
    <xf numFmtId="0" fontId="19" fillId="0" borderId="0" xfId="0" applyFont="1">
      <alignment vertical="center"/>
    </xf>
    <xf numFmtId="14" fontId="30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left" vertical="center"/>
    </xf>
    <xf numFmtId="177" fontId="4" fillId="0" borderId="0" xfId="0" applyNumberFormat="1" applyFont="1" applyAlignment="1">
      <alignment horizontal="center" vertical="center"/>
    </xf>
    <xf numFmtId="178" fontId="12" fillId="0" borderId="0" xfId="0" applyNumberFormat="1" applyFont="1" applyAlignment="1">
      <alignment vertical="center"/>
    </xf>
    <xf numFmtId="0" fontId="34" fillId="0" borderId="0" xfId="0" applyFont="1">
      <alignment vertical="center"/>
    </xf>
    <xf numFmtId="178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vertical="center"/>
    </xf>
    <xf numFmtId="0" fontId="49" fillId="0" borderId="0" xfId="0" applyFont="1" applyAlignment="1">
      <alignment horizontal="center" vertical="center"/>
    </xf>
    <xf numFmtId="0" fontId="7" fillId="0" borderId="0" xfId="0" applyNumberFormat="1" applyFont="1">
      <alignment vertical="center"/>
    </xf>
    <xf numFmtId="0" fontId="7" fillId="0" borderId="0" xfId="0" applyFont="1" applyFill="1">
      <alignment vertical="center"/>
    </xf>
    <xf numFmtId="0" fontId="7" fillId="0" borderId="0" xfId="0" applyFont="1" applyAlignment="1">
      <alignment horizontal="left" vertical="center"/>
    </xf>
    <xf numFmtId="176" fontId="34" fillId="0" borderId="0" xfId="0" applyNumberFormat="1" applyFont="1" applyAlignment="1">
      <alignment horizontal="center" vertical="center"/>
    </xf>
    <xf numFmtId="49" fontId="12" fillId="0" borderId="0" xfId="0" applyNumberFormat="1" applyFont="1">
      <alignment vertical="center"/>
    </xf>
    <xf numFmtId="177" fontId="5" fillId="0" borderId="0" xfId="0" applyNumberFormat="1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177" fontId="6" fillId="0" borderId="0" xfId="0" applyNumberFormat="1" applyFont="1" applyFill="1" applyAlignment="1">
      <alignment horizontal="right" vertical="center"/>
    </xf>
    <xf numFmtId="177" fontId="11" fillId="0" borderId="0" xfId="0" applyNumberFormat="1" applyFont="1">
      <alignment vertical="center"/>
    </xf>
    <xf numFmtId="177" fontId="21" fillId="0" borderId="0" xfId="0" applyNumberFormat="1" applyFont="1">
      <alignment vertical="center"/>
    </xf>
    <xf numFmtId="177" fontId="6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177" fontId="8" fillId="0" borderId="0" xfId="0" applyNumberFormat="1" applyFont="1" applyFill="1" applyAlignment="1">
      <alignment horizontal="right" vertical="center"/>
    </xf>
    <xf numFmtId="177" fontId="5" fillId="0" borderId="0" xfId="0" applyNumberFormat="1" applyFont="1" applyFill="1" applyAlignment="1">
      <alignment horizontal="right" vertical="center"/>
    </xf>
    <xf numFmtId="177" fontId="8" fillId="0" borderId="0" xfId="0" applyNumberFormat="1" applyFont="1">
      <alignment vertical="center"/>
    </xf>
    <xf numFmtId="177" fontId="27" fillId="0" borderId="0" xfId="0" applyNumberFormat="1" applyFont="1">
      <alignment vertical="center"/>
    </xf>
    <xf numFmtId="177" fontId="8" fillId="0" borderId="0" xfId="0" applyNumberFormat="1" applyFont="1" applyAlignment="1">
      <alignment horizontal="center" vertical="center"/>
    </xf>
    <xf numFmtId="177" fontId="9" fillId="0" borderId="0" xfId="0" applyNumberFormat="1" applyFont="1">
      <alignment vertical="center"/>
    </xf>
    <xf numFmtId="177" fontId="27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5" fillId="0" borderId="0" xfId="0" applyNumberFormat="1" applyFont="1" applyAlignment="1">
      <alignment horizontal="left" vertical="center"/>
    </xf>
    <xf numFmtId="177" fontId="2" fillId="0" borderId="0" xfId="0" applyNumberFormat="1" applyFont="1" applyAlignment="1">
      <alignment horizontal="right" vertical="center"/>
    </xf>
    <xf numFmtId="177" fontId="48" fillId="0" borderId="0" xfId="0" applyNumberFormat="1" applyFont="1" applyAlignment="1">
      <alignment vertical="center"/>
    </xf>
    <xf numFmtId="177" fontId="4" fillId="0" borderId="0" xfId="0" applyNumberFormat="1" applyFont="1" applyAlignment="1">
      <alignment horizontal="left" vertical="center"/>
    </xf>
    <xf numFmtId="179" fontId="6" fillId="0" borderId="0" xfId="0" applyNumberFormat="1" applyFont="1">
      <alignment vertical="center"/>
    </xf>
    <xf numFmtId="9" fontId="6" fillId="0" borderId="0" xfId="0" applyNumberFormat="1" applyFont="1">
      <alignment vertical="center"/>
    </xf>
    <xf numFmtId="14" fontId="30" fillId="0" borderId="0" xfId="0" applyNumberFormat="1" applyFont="1" applyFill="1" applyAlignment="1">
      <alignment horizontal="center" vertical="center"/>
    </xf>
    <xf numFmtId="0" fontId="4" fillId="0" borderId="0" xfId="0" applyNumberFormat="1" applyFont="1">
      <alignment vertical="center"/>
    </xf>
    <xf numFmtId="0" fontId="4" fillId="0" borderId="0" xfId="0" applyNumberFormat="1" applyFont="1" applyAlignment="1">
      <alignment vertical="center"/>
    </xf>
    <xf numFmtId="0" fontId="4" fillId="0" borderId="0" xfId="0" applyNumberFormat="1" applyFont="1" applyFill="1">
      <alignment vertical="center"/>
    </xf>
    <xf numFmtId="0" fontId="24" fillId="0" borderId="0" xfId="0" applyFont="1" applyAlignment="1">
      <alignment horizontal="center" vertical="center"/>
    </xf>
    <xf numFmtId="177" fontId="9" fillId="0" borderId="0" xfId="0" applyNumberFormat="1" applyFont="1" applyAlignment="1">
      <alignment horizontal="left" vertical="center"/>
    </xf>
    <xf numFmtId="0" fontId="4" fillId="0" borderId="0" xfId="0" applyNumberFormat="1" applyFont="1" applyAlignment="1">
      <alignment horizontal="left" vertical="center"/>
    </xf>
    <xf numFmtId="177" fontId="9" fillId="0" borderId="0" xfId="0" applyNumberFormat="1" applyFont="1" applyAlignment="1">
      <alignment horizontal="center" vertical="center"/>
    </xf>
    <xf numFmtId="49" fontId="28" fillId="0" borderId="0" xfId="0" applyNumberFormat="1" applyFont="1" applyAlignment="1">
      <alignment horizontal="right" vertical="center"/>
    </xf>
    <xf numFmtId="14" fontId="30" fillId="0" borderId="0" xfId="0" applyNumberFormat="1" applyFont="1" applyFill="1" applyAlignment="1">
      <alignment horizontal="left" vertical="center"/>
    </xf>
    <xf numFmtId="176" fontId="4" fillId="0" borderId="0" xfId="0" applyNumberFormat="1" applyFont="1" applyAlignment="1">
      <alignment horizontal="left" vertical="center"/>
    </xf>
    <xf numFmtId="177" fontId="4" fillId="0" borderId="0" xfId="0" applyNumberFormat="1" applyFont="1" applyAlignment="1">
      <alignment vertical="center"/>
    </xf>
    <xf numFmtId="0" fontId="30" fillId="0" borderId="0" xfId="0" applyNumberFormat="1" applyFont="1" applyAlignment="1">
      <alignment vertical="center"/>
    </xf>
    <xf numFmtId="0" fontId="30" fillId="0" borderId="0" xfId="0" applyFont="1" applyAlignment="1">
      <alignment vertical="center"/>
    </xf>
    <xf numFmtId="9" fontId="30" fillId="0" borderId="0" xfId="4" applyFont="1" applyAlignment="1">
      <alignment vertical="center"/>
    </xf>
    <xf numFmtId="179" fontId="30" fillId="0" borderId="0" xfId="4" applyNumberFormat="1" applyFont="1">
      <alignment vertical="center"/>
    </xf>
    <xf numFmtId="0" fontId="30" fillId="0" borderId="0" xfId="0" applyFont="1">
      <alignment vertical="center"/>
    </xf>
    <xf numFmtId="9" fontId="30" fillId="0" borderId="0" xfId="4" applyNumberFormat="1" applyFont="1">
      <alignment vertical="center"/>
    </xf>
    <xf numFmtId="49" fontId="8" fillId="0" borderId="0" xfId="0" applyNumberFormat="1" applyFont="1" applyFill="1" applyAlignment="1">
      <alignment horizontal="left" vertical="center"/>
    </xf>
    <xf numFmtId="14" fontId="10" fillId="0" borderId="0" xfId="0" applyNumberFormat="1" applyFont="1" applyAlignment="1">
      <alignment horizontal="right" vertical="center"/>
    </xf>
    <xf numFmtId="49" fontId="11" fillId="0" borderId="0" xfId="0" applyNumberFormat="1" applyFont="1" applyFill="1">
      <alignment vertical="center"/>
    </xf>
    <xf numFmtId="182" fontId="7" fillId="0" borderId="0" xfId="3" applyNumberFormat="1" applyFont="1">
      <alignment vertical="center"/>
    </xf>
    <xf numFmtId="178" fontId="34" fillId="0" borderId="0" xfId="0" applyNumberFormat="1" applyFont="1" applyAlignment="1">
      <alignment vertical="center"/>
    </xf>
    <xf numFmtId="9" fontId="7" fillId="0" borderId="0" xfId="0" applyNumberFormat="1" applyFont="1">
      <alignment vertical="center"/>
    </xf>
    <xf numFmtId="0" fontId="19" fillId="0" borderId="0" xfId="0" applyNumberFormat="1" applyFont="1">
      <alignment vertical="center"/>
    </xf>
    <xf numFmtId="0" fontId="6" fillId="0" borderId="0" xfId="0" applyNumberFormat="1" applyFont="1" applyFill="1" applyAlignment="1">
      <alignment horizontal="left" vertical="center"/>
    </xf>
    <xf numFmtId="49" fontId="22" fillId="0" borderId="0" xfId="0" applyNumberFormat="1" applyFont="1" applyAlignment="1">
      <alignment horizontal="center" vertical="center"/>
    </xf>
    <xf numFmtId="49" fontId="10" fillId="0" borderId="0" xfId="0" applyNumberFormat="1" applyFont="1">
      <alignment vertical="center"/>
    </xf>
    <xf numFmtId="49" fontId="22" fillId="0" borderId="0" xfId="0" applyNumberFormat="1" applyFont="1">
      <alignment vertical="center"/>
    </xf>
    <xf numFmtId="49" fontId="22" fillId="0" borderId="0" xfId="0" applyNumberFormat="1" applyFont="1" applyAlignment="1">
      <alignment vertical="center"/>
    </xf>
    <xf numFmtId="0" fontId="6" fillId="0" borderId="0" xfId="0" applyNumberFormat="1" applyFont="1" applyFill="1" applyAlignment="1">
      <alignment horizontal="center" vertical="center"/>
    </xf>
    <xf numFmtId="0" fontId="50" fillId="0" borderId="0" xfId="0" applyFont="1">
      <alignment vertical="center"/>
    </xf>
    <xf numFmtId="0" fontId="13" fillId="0" borderId="0" xfId="0" applyFont="1">
      <alignment vertical="center"/>
    </xf>
    <xf numFmtId="0" fontId="51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77" fontId="51" fillId="0" borderId="0" xfId="0" applyNumberFormat="1" applyFont="1" applyAlignment="1">
      <alignment horizontal="center" vertical="center"/>
    </xf>
    <xf numFmtId="177" fontId="51" fillId="0" borderId="0" xfId="0" applyNumberFormat="1" applyFont="1" applyAlignment="1">
      <alignment horizontal="right" vertical="center"/>
    </xf>
    <xf numFmtId="177" fontId="51" fillId="0" borderId="0" xfId="0" applyNumberFormat="1" applyFont="1" applyAlignment="1">
      <alignment horizontal="left" vertical="center"/>
    </xf>
    <xf numFmtId="177" fontId="52" fillId="0" borderId="0" xfId="0" applyNumberFormat="1" applyFont="1">
      <alignment vertical="center"/>
    </xf>
    <xf numFmtId="0" fontId="52" fillId="0" borderId="0" xfId="0" applyFont="1">
      <alignment vertical="center"/>
    </xf>
    <xf numFmtId="179" fontId="51" fillId="0" borderId="0" xfId="4" applyNumberFormat="1" applyFont="1">
      <alignment vertical="center"/>
    </xf>
    <xf numFmtId="178" fontId="51" fillId="0" borderId="0" xfId="0" applyNumberFormat="1" applyFont="1" applyAlignment="1">
      <alignment horizontal="center" vertical="center"/>
    </xf>
    <xf numFmtId="178" fontId="51" fillId="0" borderId="0" xfId="0" applyNumberFormat="1" applyFont="1" applyAlignment="1">
      <alignment horizontal="right" vertical="center"/>
    </xf>
    <xf numFmtId="178" fontId="52" fillId="0" borderId="0" xfId="0" applyNumberFormat="1" applyFont="1">
      <alignment vertical="center"/>
    </xf>
    <xf numFmtId="176" fontId="9" fillId="0" borderId="0" xfId="0" applyNumberFormat="1" applyFont="1">
      <alignment vertical="center"/>
    </xf>
    <xf numFmtId="176" fontId="12" fillId="0" borderId="0" xfId="0" applyNumberFormat="1" applyFont="1" applyAlignment="1">
      <alignment vertical="center"/>
    </xf>
    <xf numFmtId="49" fontId="23" fillId="0" borderId="0" xfId="0" applyNumberFormat="1" applyFont="1" applyAlignment="1">
      <alignment horizontal="center" vertical="center"/>
    </xf>
    <xf numFmtId="49" fontId="23" fillId="0" borderId="0" xfId="0" applyNumberFormat="1" applyFont="1" applyAlignment="1">
      <alignment horizontal="right" vertical="center"/>
    </xf>
    <xf numFmtId="49" fontId="44" fillId="0" borderId="0" xfId="0" applyNumberFormat="1" applyFont="1">
      <alignment vertical="center"/>
    </xf>
    <xf numFmtId="49" fontId="28" fillId="0" borderId="0" xfId="0" applyNumberFormat="1" applyFont="1">
      <alignment vertical="center"/>
    </xf>
    <xf numFmtId="0" fontId="54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178" fontId="34" fillId="0" borderId="0" xfId="0" applyNumberFormat="1" applyFont="1">
      <alignment vertical="center"/>
    </xf>
    <xf numFmtId="177" fontId="34" fillId="0" borderId="0" xfId="0" applyNumberFormat="1" applyFont="1">
      <alignment vertical="center"/>
    </xf>
    <xf numFmtId="179" fontId="9" fillId="0" borderId="0" xfId="4" applyNumberFormat="1" applyFont="1">
      <alignment vertical="center"/>
    </xf>
    <xf numFmtId="0" fontId="0" fillId="0" borderId="0" xfId="0" applyAlignment="1"/>
    <xf numFmtId="3" fontId="0" fillId="0" borderId="0" xfId="0" applyNumberFormat="1" applyAlignment="1"/>
    <xf numFmtId="10" fontId="0" fillId="0" borderId="0" xfId="0" applyNumberFormat="1" applyAlignment="1"/>
    <xf numFmtId="4" fontId="0" fillId="0" borderId="0" xfId="0" applyNumberFormat="1" applyAlignment="1"/>
    <xf numFmtId="178" fontId="6" fillId="0" borderId="0" xfId="0" applyNumberFormat="1" applyFont="1" applyAlignment="1">
      <alignment vertical="center"/>
    </xf>
    <xf numFmtId="178" fontId="2" fillId="0" borderId="0" xfId="0" applyNumberFormat="1" applyFont="1" applyAlignment="1">
      <alignment vertical="center"/>
    </xf>
    <xf numFmtId="14" fontId="12" fillId="0" borderId="0" xfId="0" applyNumberFormat="1" applyFont="1" applyAlignment="1">
      <alignment vertical="center"/>
    </xf>
    <xf numFmtId="14" fontId="12" fillId="0" borderId="0" xfId="0" applyNumberFormat="1" applyFont="1">
      <alignment vertical="center"/>
    </xf>
    <xf numFmtId="0" fontId="34" fillId="0" borderId="0" xfId="0" applyFont="1" applyAlignment="1">
      <alignment vertical="center"/>
    </xf>
    <xf numFmtId="178" fontId="9" fillId="0" borderId="0" xfId="0" applyNumberFormat="1" applyFont="1">
      <alignment vertical="center"/>
    </xf>
    <xf numFmtId="14" fontId="30" fillId="0" borderId="0" xfId="0" applyNumberFormat="1" applyFont="1" applyAlignment="1">
      <alignment horizontal="right" vertical="center"/>
    </xf>
    <xf numFmtId="10" fontId="6" fillId="0" borderId="0" xfId="0" applyNumberFormat="1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18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177" fontId="12" fillId="0" borderId="0" xfId="0" applyNumberFormat="1" applyFont="1" applyAlignment="1">
      <alignment horizontal="right" vertical="center"/>
    </xf>
    <xf numFmtId="0" fontId="23" fillId="0" borderId="0" xfId="0" applyNumberFormat="1" applyFont="1" applyAlignment="1">
      <alignment horizontal="left" vertical="center"/>
    </xf>
    <xf numFmtId="0" fontId="16" fillId="0" borderId="0" xfId="0" applyNumberFormat="1" applyFont="1" applyAlignment="1">
      <alignment horizontal="left" vertical="center"/>
    </xf>
    <xf numFmtId="0" fontId="9" fillId="0" borderId="0" xfId="0" applyNumberFormat="1" applyFont="1" applyAlignment="1">
      <alignment horizontal="right" vertical="center"/>
    </xf>
    <xf numFmtId="0" fontId="12" fillId="0" borderId="0" xfId="0" applyNumberFormat="1" applyFont="1" applyAlignment="1">
      <alignment horizontal="right" vertical="center"/>
    </xf>
    <xf numFmtId="0" fontId="6" fillId="0" borderId="0" xfId="0" applyNumberFormat="1" applyFont="1" applyAlignment="1">
      <alignment horizontal="center" vertical="center"/>
    </xf>
    <xf numFmtId="49" fontId="27" fillId="0" borderId="0" xfId="0" applyNumberFormat="1" applyFont="1" applyAlignment="1">
      <alignment horizontal="left" vertical="center"/>
    </xf>
    <xf numFmtId="49" fontId="37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39" fillId="0" borderId="0" xfId="0" applyNumberFormat="1" applyFont="1" applyAlignment="1">
      <alignment horizontal="left" vertical="center"/>
    </xf>
    <xf numFmtId="0" fontId="44" fillId="0" borderId="0" xfId="0" applyNumberFormat="1" applyFont="1" applyAlignment="1">
      <alignment horizontal="left" vertical="center"/>
    </xf>
    <xf numFmtId="14" fontId="51" fillId="0" borderId="0" xfId="0" applyNumberFormat="1" applyFont="1" applyAlignment="1">
      <alignment horizontal="right" vertical="center"/>
    </xf>
  </cellXfs>
  <cellStyles count="5">
    <cellStyle name="千位分隔" xfId="3" builtinId="3"/>
    <cellStyle name="百分比" xfId="4" builtinId="5"/>
    <cellStyle name="货币" xfId="2" builtinId="4"/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money.excel">
      <tp>
        <v>10023.540000000001</v>
        <stp/>
        <stp>$TWC100</stp>
        <stp>Price</stp>
        <tr r="T4" s="85"/>
      </tp>
      <tp>
        <v>250.3</v>
        <stp/>
        <stp>$TWOI50</stp>
        <stp>Price</stp>
        <tr r="T5" s="85"/>
      </tp>
      <tp>
        <v>13</v>
        <stp/>
        <stp>6417</stp>
        <stp>PredictVolume</stp>
        <tr r="AJ995" s="57"/>
      </tp>
      <tp>
        <v>15456</v>
        <stp/>
        <stp>6477</stp>
        <stp>PredictVolume</stp>
        <tr r="AM11" s="28"/>
        <tr r="AJ911" s="57"/>
      </tp>
      <tp>
        <v>507</v>
        <stp/>
        <stp>6457</stp>
        <stp>PredictVolume</stp>
        <tr r="AJ650" s="57"/>
      </tp>
      <tp>
        <v>6</v>
        <stp/>
        <stp>6527</stp>
        <stp>PredictVolume</stp>
        <tr r="AJ387" s="57"/>
      </tp>
      <tp>
        <v>0</v>
        <stp/>
        <stp>6577</stp>
        <stp>PredictVolume</stp>
        <tr r="AJ792" s="57"/>
      </tp>
      <tp>
        <v>2456</v>
        <stp/>
        <stp>6547</stp>
        <stp>PredictVolume</stp>
        <tr r="AJ390" s="57"/>
      </tp>
      <tp>
        <v>1</v>
        <stp/>
        <stp>6697</stp>
        <stp>PredictVolume</stp>
        <tr r="AJ1296" s="57"/>
      </tp>
      <tp>
        <v>516</v>
        <stp/>
        <stp>6667</stp>
        <stp>PredictVolume</stp>
        <tr r="AJ1756" s="57"/>
      </tp>
      <tp>
        <v>89</v>
        <stp/>
        <stp>6727</stp>
        <stp>PredictVolume</stp>
        <tr r="AJ1199" s="57"/>
      </tp>
      <tp>
        <v>14</v>
        <stp/>
        <stp>6767</stp>
        <stp>PredictVolume</stp>
        <tr r="AJ407" s="57"/>
      </tp>
      <tp>
        <v>23</v>
        <stp/>
        <stp>6747</stp>
        <stp>PredictVolume</stp>
        <tr r="AJ405" s="57"/>
      </tp>
      <tp>
        <v>309</v>
        <stp/>
        <stp>6197</stp>
        <stp>PredictVolume</stp>
        <tr r="AJ1169" s="57"/>
      </tp>
      <tp>
        <v>444</v>
        <stp/>
        <stp>6187</stp>
        <stp>PredictVolume</stp>
        <tr r="AJ1742" s="57"/>
      </tp>
      <tp>
        <v>166</v>
        <stp/>
        <stp>6127</stp>
        <stp>PredictVolume</stp>
        <tr r="AJ1154" s="57"/>
      </tp>
      <tp>
        <v>8</v>
        <stp/>
        <stp>6117</stp>
        <stp>PredictVolume</stp>
        <tr r="AJ774" s="57"/>
      </tp>
      <tp>
        <v>768</v>
        <stp/>
        <stp>6177</stp>
        <stp>PredictVolume</stp>
        <tr r="AJ1500" s="57"/>
      </tp>
      <tp>
        <v>573</v>
        <stp/>
        <stp>6167</stp>
        <stp>PredictVolume</stp>
        <tr r="AJ894" s="57"/>
      </tp>
      <tp>
        <v>1389</v>
        <stp/>
        <stp>6147</stp>
        <stp>PredictVolume</stp>
        <tr r="AJ631" s="57"/>
      </tp>
      <tp>
        <v>27</v>
        <stp/>
        <stp>6287</stp>
        <stp>PredictVolume</stp>
        <tr r="AJ644" s="57"/>
      </tp>
      <tp>
        <v>700</v>
        <stp/>
        <stp>6237</stp>
        <stp>PredictVolume</stp>
        <tr r="AJ638" s="57"/>
      </tp>
      <tp>
        <v>352</v>
        <stp/>
        <stp>6227</stp>
        <stp>PredictVolume</stp>
        <tr r="AJ1248" s="57"/>
      </tp>
      <tp>
        <v>30069</v>
        <stp/>
        <stp>6217</stp>
        <stp>PredictVolume</stp>
        <tr r="AJ1177" s="57"/>
      </tp>
      <tp>
        <v>158</v>
        <stp/>
        <stp>6207</stp>
        <stp>PredictVolume</stp>
        <tr r="AJ1173" s="57"/>
      </tp>
      <tp>
        <v>56</v>
        <stp/>
        <stp>6277</stp>
        <stp>PredictVolume</stp>
        <tr r="AJ788" s="57"/>
      </tp>
      <tp>
        <v>958</v>
        <stp/>
        <stp>6257</stp>
        <stp>PredictVolume</stp>
        <tr r="AJ641" s="57"/>
      </tp>
      <tp>
        <v>14</v>
        <stp/>
        <stp>6247</stp>
        <stp>PredictVolume</stp>
        <tr r="AJ1747" s="57"/>
      </tp>
      <tp>
        <v>16</v>
        <stp/>
        <stp>4417</stp>
        <stp>PredictVolume</stp>
        <tr r="AJ116" s="57"/>
      </tp>
      <tp>
        <v>16</v>
        <stp/>
        <stp>4527</stp>
        <stp>PredictVolume</stp>
        <tr r="AJ182" s="57"/>
      </tp>
      <tp>
        <v>8</v>
        <stp/>
        <stp>4557</stp>
        <stp>PredictVolume</stp>
        <tr r="AJ522" s="57"/>
      </tp>
      <tp>
        <v>22</v>
        <stp/>
        <stp>4737</stp>
        <stp>PredictVolume</stp>
        <tr r="AJ368" s="57"/>
      </tp>
      <tp>
        <v>1341</v>
        <stp/>
        <stp>4707</stp>
        <stp>PredictVolume</stp>
        <tr r="AJ267" s="57"/>
      </tp>
      <tp>
        <v>10</v>
        <stp/>
        <stp>4767</stp>
        <stp>PredictVolume</stp>
        <tr r="AJ281" s="57"/>
      </tp>
      <tp>
        <v>14</v>
        <stp/>
        <stp>4747</stp>
        <stp>PredictVolume</stp>
        <tr r="AJ373" s="57"/>
      </tp>
      <tp>
        <v>102</v>
        <stp/>
        <stp>4137</stp>
        <stp>PredictVolume</stp>
        <tr r="AJ338" s="57"/>
      </tp>
      <tp>
        <v>379</v>
        <stp/>
        <stp>4127</stp>
        <stp>PredictVolume</stp>
        <tr r="AJ332" s="57"/>
      </tp>
      <tp>
        <v>86</v>
        <stp/>
        <stp>4107</stp>
        <stp>PredictVolume</stp>
        <tr r="AJ321" s="57"/>
      </tp>
      <tp>
        <v>521</v>
        <stp/>
        <stp>4167</stp>
        <stp>PredictVolume</stp>
        <tr r="AJ354" s="57"/>
      </tp>
      <tp>
        <v>1610</v>
        <stp/>
        <stp>4157</stp>
        <stp>PredictVolume</stp>
        <tr r="AJ348" s="57"/>
      </tp>
      <tp>
        <v>679</v>
        <stp/>
        <stp>4147</stp>
        <stp>PredictVolume</stp>
        <tr r="AJ343" s="57"/>
      </tp>
      <tp>
        <v>1378</v>
        <stp/>
        <stp>4207</stp>
        <stp>PredictVolume</stp>
        <tr r="AJ39" s="57"/>
      </tp>
      <tp>
        <v>12</v>
        <stp/>
        <stp>4807</stp>
        <stp>PredictVolume</stp>
        <tr r="AJ1653" s="57"/>
      </tp>
      <tp>
        <v>19</v>
        <stp/>
        <stp>4987</stp>
        <stp>PredictVolume</stp>
        <tr r="AJ762" s="57"/>
      </tp>
      <tp>
        <v>1325</v>
        <stp/>
        <stp>4927</stp>
        <stp>PredictVolume</stp>
        <tr r="AJ1125" s="57"/>
      </tp>
      <tp>
        <v>7</v>
        <stp/>
        <stp>4907</stp>
        <stp>PredictVolume</stp>
        <tr r="AJ1477" s="57"/>
      </tp>
      <tp>
        <v>45</v>
        <stp/>
        <stp>4977</stp>
        <stp>PredictVolume</stp>
        <tr r="AJ975" s="57"/>
      </tp>
      <tp>
        <v>541</v>
        <stp/>
        <stp>4967</stp>
        <stp>PredictVolume</stp>
        <tr r="AJ605" s="57"/>
      </tp>
      <tp>
        <v>1</v>
        <stp/>
        <stp>5487</stp>
        <stp>PredictVolume</stp>
        <tr r="AJ626" s="57"/>
      </tp>
      <tp>
        <v>460</v>
        <stp/>
        <stp>5457</stp>
        <stp>PredictVolume</stp>
        <tr r="AJ1142" s="57"/>
      </tp>
      <tp>
        <v>489</v>
        <stp/>
        <stp>5607</stp>
        <stp>PredictVolume</stp>
        <tr r="AJ1535" s="57"/>
      </tp>
      <tp>
        <v>11</v>
        <stp/>
        <stp>5007</stp>
        <stp>PredictVolume</stp>
        <tr r="AJ463" s="57"/>
      </tp>
      <tp>
        <v>38</v>
        <stp/>
        <stp>5287</stp>
        <stp>PredictVolume</stp>
        <tr r="AJ1801" s="57"/>
      </tp>
      <tp>
        <v>562</v>
        <stp/>
        <stp>5227</stp>
        <stp>PredictVolume</stp>
        <tr r="AJ1132" s="57"/>
      </tp>
      <tp>
        <v>5917</v>
        <stp/>
        <stp>5347</stp>
        <stp>PredictVolume</stp>
        <tr r="AJ620" s="57"/>
        <tr r="AJ34" s="118"/>
      </tp>
      <tp>
        <v>43</v>
        <stp/>
        <stp>5907</stp>
        <stp>PredictVolume</stp>
        <tr r="AJ1659" s="57"/>
      </tp>
      <tp>
        <v>7478</v>
        <stp/>
        <stp>2497</stp>
        <stp>PredictVolume</stp>
        <tr r="AJ519" s="57"/>
      </tp>
      <tp>
        <v>179</v>
        <stp/>
        <stp>2427</stp>
        <stp>PredictVolume</stp>
        <tr r="AJ1263" s="57"/>
      </tp>
      <tp>
        <v>385</v>
        <stp/>
        <stp>2417</stp>
        <stp>PredictVolume</stp>
        <tr r="AJ718" s="57"/>
      </tp>
      <tp>
        <v>179</v>
        <stp/>
        <stp>2477</stp>
        <stp>PredictVolume</stp>
        <tr r="AJ1699" s="57"/>
      </tp>
      <tp>
        <v>121</v>
        <stp/>
        <stp>2467</stp>
        <stp>PredictVolume</stp>
        <tr r="AJ1047" s="57"/>
      </tp>
      <tp>
        <v>7205</v>
        <stp/>
        <stp>2457</stp>
        <stp>PredictVolume</stp>
        <tr r="AJ1044" s="57"/>
      </tp>
      <tp>
        <v>171</v>
        <stp/>
        <stp>2597</stp>
        <stp>PredictVolume</stp>
        <tr r="AJ1466" s="57"/>
      </tp>
      <tp>
        <v>1623</v>
        <stp/>
        <stp>2537</stp>
        <stp>PredictVolume</stp>
        <tr r="AJ1455" s="57"/>
      </tp>
      <tp>
        <v>189</v>
        <stp/>
        <stp>2527</stp>
        <stp>PredictVolume</stp>
        <tr r="AJ1449" s="57"/>
      </tp>
      <tp>
        <v>718</v>
        <stp/>
        <stp>2547</stp>
        <stp>PredictVolume</stp>
        <tr r="AJ1463" s="57"/>
      </tp>
      <tp>
        <v>9779</v>
        <stp/>
        <stp>2637</stp>
        <stp>PredictVolume</stp>
        <tr r="AJ1528" s="57"/>
      </tp>
      <tp>
        <v>2095</v>
        <stp/>
        <stp>2617</stp>
        <stp>PredictVolume</stp>
        <tr r="AJ1522" s="57"/>
      </tp>
      <tp>
        <v>15423</v>
        <stp/>
        <stp>2607</stp>
        <stp>PredictVolume</stp>
        <tr r="AJ1514" s="57"/>
      </tp>
      <tp>
        <v>192</v>
        <stp/>
        <stp>2727</stp>
        <stp>PredictVolume</stp>
        <tr r="AJ1556" s="57"/>
      </tp>
      <tp>
        <v>2504</v>
        <stp/>
        <stp>2707</stp>
        <stp>PredictVolume</stp>
        <tr r="AJ1548" s="57"/>
      </tp>
      <tp>
        <v>71123</v>
        <stp/>
        <stp>2027</stp>
        <stp>PredictVolume</stp>
        <tr r="AJ447" s="57"/>
      </tp>
      <tp>
        <v>15136</v>
        <stp/>
        <stp>2017</stp>
        <stp>PredictVolume</stp>
        <tr r="AJ441" s="57"/>
      </tp>
      <tp>
        <v>4974</v>
        <stp/>
        <stp>2007</stp>
        <stp>PredictVolume</stp>
        <tr r="AJ433" s="57"/>
      </tp>
      <tp>
        <v>30</v>
        <stp/>
        <stp>2067</stp>
        <stp>PredictVolume</stp>
        <tr r="AJ163" s="57"/>
      </tp>
      <tp>
        <v>194</v>
        <stp/>
        <stp>2107</stp>
        <stp>PredictVolume</stp>
        <tr r="AJ485" s="57"/>
      </tp>
      <tp>
        <v>26</v>
        <stp/>
        <stp>2227</stp>
        <stp>PredictVolume</stp>
        <tr r="AJ510" s="57"/>
      </tp>
      <tp>
        <v>108</v>
        <stp/>
        <stp>2207</stp>
        <stp>PredictVolume</stp>
        <tr r="AJ31" s="118"/>
        <tr r="AJ509" s="57"/>
      </tp>
      <tp>
        <v>30</v>
        <stp/>
        <stp>2247</stp>
        <stp>PredictVolume</stp>
        <tr r="AJ517" s="57"/>
      </tp>
      <tp>
        <v>39</v>
        <stp/>
        <stp>2397</stp>
        <stp>PredictVolume</stp>
        <tr r="AJ715" s="57"/>
      </tp>
      <tp>
        <v>230</v>
        <stp/>
        <stp>2387</stp>
        <stp>PredictVolume</stp>
        <tr r="AM36" s="28"/>
        <tr r="AJ713" s="57"/>
      </tp>
      <tp>
        <v>12874</v>
        <stp/>
        <stp>2337</stp>
        <stp>PredictVolume</stp>
        <tr r="AJ532" s="57"/>
      </tp>
      <tp>
        <v>1947</v>
        <stp/>
        <stp>2327</stp>
        <stp>PredictVolume</stp>
        <tr r="AJ1026" s="57"/>
      </tp>
      <tp>
        <v>8881</v>
        <stp/>
        <stp>2317</stp>
        <stp>PredictVolume</stp>
        <tr r="AJ1687" s="57"/>
        <tr r="AJ3" s="118"/>
      </tp>
      <tp>
        <v>2739</v>
        <stp/>
        <stp>2377</stp>
        <stp>PredictVolume</stp>
        <tr r="AJ710" s="57"/>
      </tp>
      <tp>
        <v>996</v>
        <stp/>
        <stp>2367</stp>
        <stp>PredictVolume</stp>
        <tr r="AJ1029" s="57"/>
      </tp>
      <tp>
        <v>1640</v>
        <stp/>
        <stp>2357</stp>
        <stp>PredictVolume</stp>
        <tr r="AJ705" s="57"/>
      </tp>
      <tp>
        <v>3022</v>
        <stp/>
        <stp>2347</stp>
        <stp>PredictVolume</stp>
        <tr r="AJ1225" s="57"/>
      </tp>
      <tp>
        <v>21378</v>
        <stp/>
        <stp>2897</stp>
        <stp>PredictVolume</stp>
        <tr r="AJ1616" s="57"/>
      </tp>
      <tp>
        <v>30228</v>
        <stp/>
        <stp>2887</stp>
        <stp>PredictVolume</stp>
        <tr r="AJ1610" s="57"/>
      </tp>
      <tp>
        <v>4538</v>
        <stp/>
        <stp>2867</stp>
        <stp>PredictVolume</stp>
        <tr r="AJ1602" s="57"/>
      </tp>
      <tp>
        <v>5</v>
        <stp/>
        <stp>2937</stp>
        <stp>PredictVolume</stp>
        <tr r="AJ1648" s="57"/>
      </tp>
      <tp>
        <v>36</v>
        <stp/>
        <stp>2947</stp>
        <stp>PredictVolume</stp>
        <tr r="AJ1651" s="57"/>
      </tp>
      <tp>
        <v>265</v>
        <stp/>
        <stp>3437</stp>
        <stp>PredictVolume</stp>
        <tr r="AJ840" s="57"/>
      </tp>
      <tp>
        <v>41</v>
        <stp/>
        <stp>3597</stp>
        <stp>PredictVolume</stp>
        <tr r="AJ1109" s="57"/>
      </tp>
      <tp>
        <v>351</v>
        <stp/>
        <stp>3587</stp>
        <stp>PredictVolume</stp>
        <tr r="AJ1724" s="57"/>
      </tp>
      <tp>
        <v>447</v>
        <stp/>
        <stp>3537</stp>
        <stp>PredictVolume</stp>
        <tr r="AJ1105" s="57"/>
      </tp>
      <tp>
        <v>173</v>
        <stp/>
        <stp>3527</stp>
        <stp>PredictVolume</stp>
        <tr r="AJ580" s="57"/>
      </tp>
      <tp>
        <v>113</v>
        <stp/>
        <stp>3577</stp>
        <stp>PredictVolume</stp>
        <tr r="AJ748" s="57"/>
      </tp>
      <tp>
        <v>49</v>
        <stp/>
        <stp>3567</stp>
        <stp>PredictVolume</stp>
        <tr r="AJ588" s="57"/>
      </tp>
      <tp>
        <v>69</v>
        <stp/>
        <stp>3557</stp>
        <stp>PredictVolume</stp>
        <tr r="AJ1322" s="57"/>
      </tp>
      <tp>
        <v>3020</v>
        <stp/>
        <stp>3687</stp>
        <stp>PredictVolume</stp>
        <tr r="AJ1799" s="57"/>
      </tp>
      <tp>
        <v>7</v>
        <stp/>
        <stp>3617</stp>
        <stp>PredictVolume</stp>
        <tr r="AJ1725" s="57"/>
      </tp>
      <tp>
        <v>362</v>
        <stp/>
        <stp>3607</stp>
        <stp>PredictVolume</stp>
        <tr r="AJ1111" s="57"/>
      </tp>
      <tp>
        <v>8279</v>
        <stp/>
        <stp>3707</stp>
        <stp>PredictVolume</stp>
        <tr r="AJ597" s="57"/>
      </tp>
      <tp>
        <v>11004</v>
        <stp/>
        <stp>3037</stp>
        <stp>PredictVolume</stp>
        <tr r="AJ1062" s="57"/>
      </tp>
      <tp>
        <v>198</v>
        <stp/>
        <stp>3027</stp>
        <stp>PredictVolume</stp>
        <tr r="AJ941" s="57"/>
      </tp>
      <tp>
        <v>5728</v>
        <stp/>
        <stp>3017</stp>
        <stp>PredictVolume</stp>
        <tr r="AJ726" s="57"/>
      </tp>
      <tp>
        <v>40</v>
        <stp/>
        <stp>3067</stp>
        <stp>PredictVolume</stp>
        <tr r="AJ1706" s="57"/>
      </tp>
      <tp>
        <v>30</v>
        <stp/>
        <stp>3057</stp>
        <stp>PredictVolume</stp>
        <tr r="AJ729" s="57"/>
      </tp>
      <tp>
        <v>577</v>
        <stp/>
        <stp>3047</stp>
        <stp>PredictVolume</stp>
        <tr r="AJ943" s="57"/>
      </tp>
      <tp>
        <v>193</v>
        <stp/>
        <stp>3167</stp>
        <stp>PredictVolume</stp>
        <tr r="AJ170" s="57"/>
      </tp>
      <tp>
        <v>48</v>
        <stp/>
        <stp>3147</stp>
        <stp>PredictVolume</stp>
        <tr r="AJ1302" s="57"/>
      </tp>
      <tp>
        <v>49</v>
        <stp/>
        <stp>3297</stp>
        <stp>PredictVolume</stp>
        <tr r="AJ833" s="57"/>
      </tp>
      <tp>
        <v>12</v>
        <stp/>
        <stp>3287</stp>
        <stp>PredictVolume</stp>
        <tr r="AJ737" s="57"/>
      </tp>
      <tp>
        <v>285</v>
        <stp/>
        <stp>3227</stp>
        <stp>PredictVolume</stp>
        <tr r="AJ566" s="57"/>
      </tp>
      <tp>
        <v>237</v>
        <stp/>
        <stp>3217</stp>
        <stp>PredictVolume</stp>
        <tr r="AJ1075" s="57"/>
      </tp>
      <tp>
        <v>329</v>
        <stp/>
        <stp>3207</stp>
        <stp>PredictVolume</stp>
        <tr r="AJ1074" s="57"/>
      </tp>
      <tp>
        <v>127</v>
        <stp/>
        <stp>3257</stp>
        <stp>PredictVolume</stp>
        <tr r="AJ568" s="57"/>
      </tp>
      <tp>
        <v>435</v>
        <stp/>
        <stp>3317</stp>
        <stp>PredictVolume</stp>
        <tr r="AJ574" s="57"/>
      </tp>
      <tp>
        <v>51</v>
        <stp/>
        <stp>3357</stp>
        <stp>PredictVolume</stp>
        <tr r="AJ1091" s="57"/>
      </tp>
      <tp>
        <v>652</v>
        <stp/>
        <stp>1437</stp>
        <stp>PredictVolume</stp>
        <tr r="AJ1308" s="57"/>
      </tp>
      <tp>
        <v>101</v>
        <stp/>
        <stp>1417</stp>
        <stp>PredictVolume</stp>
        <tr r="AJ75" s="57"/>
      </tp>
      <tp>
        <v>1261</v>
        <stp/>
        <stp>1477</stp>
        <stp>PredictVolume</stp>
        <tr r="AJ110" s="57"/>
      </tp>
      <tp>
        <v>1580</v>
        <stp/>
        <stp>1467</stp>
        <stp>PredictVolume</stp>
        <tr r="AJ102" s="57"/>
      </tp>
      <tp>
        <v>250</v>
        <stp/>
        <stp>1457</stp>
        <stp>PredictVolume</stp>
        <tr r="AJ95" s="57"/>
      </tp>
      <tp>
        <v>805</v>
        <stp/>
        <stp>1447</stp>
        <stp>PredictVolume</stp>
        <tr r="AJ87" s="57"/>
      </tp>
      <tp>
        <v>117</v>
        <stp/>
        <stp>1597</stp>
        <stp>PredictVolume</stp>
        <tr r="AJ159" s="57"/>
      </tp>
      <tp>
        <v>85</v>
        <stp/>
        <stp>1587</stp>
        <stp>PredictVolume</stp>
        <tr r="AJ504" s="57"/>
      </tp>
      <tp>
        <v>114</v>
        <stp/>
        <stp>1537</stp>
        <stp>PredictVolume</stp>
        <tr r="AJ145" s="57"/>
      </tp>
      <tp>
        <v>194</v>
        <stp/>
        <stp>1527</stp>
        <stp>PredictVolume</stp>
        <tr r="AJ138" s="57"/>
      </tp>
      <tp>
        <v>150</v>
        <stp/>
        <stp>1517</stp>
        <stp>PredictVolume</stp>
        <tr r="AJ135" s="57"/>
      </tp>
      <tp t="s">
        <v>商品錯誤</v>
        <stp/>
        <stp>1507</stp>
        <stp>PredictVolume</stp>
        <tr r="AJ131" s="57"/>
      </tp>
      <tp>
        <v>51</v>
        <stp/>
        <stp>1617</stp>
        <stp>PredictVolume</stp>
        <tr r="AJ234" s="57"/>
      </tp>
      <tp>
        <v>139</v>
        <stp/>
        <stp>1737</stp>
        <stp>PredictVolume</stp>
        <tr r="AJ36" s="57"/>
      </tp>
      <tp>
        <v>4952</v>
        <stp/>
        <stp>1727</stp>
        <stp>PredictVolume</stp>
        <tr r="AJ257" s="57"/>
      </tp>
      <tp>
        <v>40262</v>
        <stp/>
        <stp>1717</stp>
        <stp>PredictVolume</stp>
        <tr r="AJ250" s="57"/>
      </tp>
      <tp>
        <v>274</v>
        <stp/>
        <stp>1707</stp>
        <stp>PredictVolume</stp>
        <tr r="AJ292" s="57"/>
      </tp>
      <tp>
        <v>25</v>
        <stp/>
        <stp>1777</stp>
        <stp>PredictVolume</stp>
        <tr r="AJ301" s="57"/>
      </tp>
      <tp>
        <v>940</v>
        <stp/>
        <stp>1227</stp>
        <stp>PredictVolume</stp>
        <tr r="AJ24" s="57"/>
      </tp>
      <tp>
        <v>883</v>
        <stp/>
        <stp>1217</stp>
        <stp>PredictVolume</stp>
        <tr r="AJ19" s="57"/>
      </tp>
      <tp>
        <v>219</v>
        <stp/>
        <stp>1337</stp>
        <stp>PredictVolume</stp>
        <tr r="AJ59" s="57"/>
      </tp>
      <tp>
        <v>49</v>
        <stp/>
        <stp>1307</stp>
        <stp>PredictVolume</stp>
        <tr r="AJ46" s="57"/>
      </tp>
      <tp>
        <v>32</v>
        <stp/>
        <stp>1817</stp>
        <stp>PredictVolume</stp>
        <tr r="AJ420" s="57"/>
      </tp>
      <tp>
        <v>685</v>
        <stp/>
        <stp>1907</stp>
        <stp>PredictVolume</stp>
        <tr r="AJ427" s="57"/>
      </tp>
      <tp>
        <v>14</v>
        <stp/>
        <stp>8437</stp>
        <stp>PredictVolume</stp>
        <tr r="AJ1373" s="57"/>
      </tp>
      <tp>
        <v>17</v>
        <stp/>
        <stp>8477</stp>
        <stp>PredictVolume</stp>
        <tr r="AJ1806" s="57"/>
      </tp>
      <tp>
        <v>1</v>
        <stp/>
        <stp>8467</stp>
        <stp>PredictVolume</stp>
        <tr r="AJ1381" s="57"/>
      </tp>
      <tp>
        <v>1335</v>
        <stp/>
        <stp>8097</stp>
        <stp>PredictVolume</stp>
        <tr r="AJ1011" s="57"/>
      </tp>
      <tp>
        <v>42</v>
        <stp/>
        <stp>8087</stp>
        <stp>PredictVolume</stp>
        <tr r="AJ920" s="57"/>
      </tp>
      <tp>
        <v>455</v>
        <stp/>
        <stp>8027</stp>
        <stp>PredictVolume</stp>
        <tr r="AJ214" s="57"/>
      </tp>
      <tp>
        <v>49</v>
        <stp/>
        <stp>8077</stp>
        <stp>PredictVolume</stp>
        <tr r="AJ1581" s="57"/>
      </tp>
      <tp>
        <v>8</v>
        <stp/>
        <stp>8067</stp>
        <stp>PredictVolume</stp>
        <tr r="AJ1254" s="57"/>
      </tp>
      <tp>
        <v>147</v>
        <stp/>
        <stp>8047</stp>
        <stp>PredictVolume</stp>
        <tr r="AJ1761" s="57"/>
      </tp>
      <tp>
        <v>115</v>
        <stp/>
        <stp>8107</stp>
        <stp>PredictVolume</stp>
        <tr r="AJ216" s="57"/>
      </tp>
      <tp>
        <v>48</v>
        <stp/>
        <stp>8147</stp>
        <stp>PredictVolume</stp>
        <tr r="AJ1215" s="57"/>
      </tp>
      <tp>
        <v>190</v>
        <stp/>
        <stp>8277</stp>
        <stp>PredictVolume</stp>
        <tr r="AJ693" s="57"/>
      </tp>
      <tp>
        <v>35</v>
        <stp/>
        <stp>8367</stp>
        <stp>PredictVolume</stp>
        <tr r="AJ1538" s="57"/>
      </tp>
      <tp>
        <v>242</v>
        <stp/>
        <stp>8937</stp>
        <stp>PredictVolume</stp>
        <tr r="AJ1401" s="57"/>
      </tp>
      <tp>
        <v>269</v>
        <stp/>
        <stp>8927</stp>
        <stp>PredictVolume</stp>
        <tr r="AJ1682" s="57"/>
      </tp>
      <tp>
        <v>7</v>
        <stp/>
        <stp>8917</stp>
        <stp>PredictVolume</stp>
        <tr r="AJ1673" s="57"/>
      </tp>
      <tp>
        <v>7</v>
        <stp/>
        <stp>9937</stp>
        <stp>PredictVolume</stp>
        <tr r="AJ1680" s="57"/>
      </tp>
      <tp>
        <v>412</v>
        <stp/>
        <stp>9927</stp>
        <stp>PredictVolume</stp>
        <tr r="AJ1417" s="57"/>
      </tp>
      <tp>
        <v>244</v>
        <stp/>
        <stp>9917</stp>
        <stp>PredictVolume</stp>
        <tr r="AJ1412" s="57"/>
      </tp>
      <tp>
        <v>10002</v>
        <stp/>
        <stp>9907</stp>
        <stp>PredictVolume</stp>
        <tr r="AJ1408" s="57"/>
      </tp>
      <tp>
        <v>13</v>
        <stp/>
        <stp>6496</stp>
        <stp>PredictVolume</stp>
        <tr r="AJ384" s="57"/>
      </tp>
      <tp>
        <v>17</v>
        <stp/>
        <stp>6486</stp>
        <stp>PredictVolume</stp>
        <tr r="AJ999" s="57"/>
      </tp>
      <tp>
        <v>83</v>
        <stp/>
        <stp>6426</stp>
        <stp>PredictVolume</stp>
        <tr r="AJ996" s="57"/>
      </tp>
      <tp>
        <v>77</v>
        <stp/>
        <stp>6416</stp>
        <stp>PredictVolume</stp>
        <tr r="AJ994" s="57"/>
      </tp>
      <tp>
        <v>606</v>
        <stp/>
        <stp>6456</stp>
        <stp>PredictVolume</stp>
        <tr r="AJ910" s="57"/>
      </tp>
      <tp>
        <v>445</v>
        <stp/>
        <stp>6446</stp>
        <stp>PredictVolume</stp>
        <tr r="AJ378" s="57"/>
        <tr r="AJ39" s="118"/>
      </tp>
      <tp>
        <v>16</v>
        <stp/>
        <stp>6596</stp>
        <stp>PredictVolume</stp>
        <tr r="AJ1790" s="57"/>
      </tp>
      <tp>
        <v>16</v>
        <stp/>
        <stp>6516</stp>
        <stp>PredictVolume</stp>
        <tr r="AJ1292" s="57"/>
      </tp>
      <tp>
        <v>96</v>
        <stp/>
        <stp>6506</stp>
        <stp>PredictVolume</stp>
        <tr r="AJ284" s="57"/>
      </tp>
      <tp>
        <v>409</v>
        <stp/>
        <stp>6576</stp>
        <stp>PredictVolume</stp>
        <tr r="AJ393" s="57"/>
      </tp>
      <tp>
        <v>2</v>
        <stp/>
        <stp>6556</stp>
        <stp>PredictVolume</stp>
        <tr r="AJ912" s="57"/>
      </tp>
      <tp>
        <v>38</v>
        <stp/>
        <stp>6616</stp>
        <stp>PredictVolume</stp>
        <tr r="AJ1345" s="57"/>
      </tp>
      <tp>
        <v>7</v>
        <stp/>
        <stp>6666</stp>
        <stp>PredictVolume</stp>
        <tr r="AJ401" s="57"/>
      </tp>
      <tp>
        <v>92</v>
        <stp/>
        <stp>6716</stp>
        <stp>PredictVolume</stp>
        <tr r="AJ673" s="57"/>
      </tp>
      <tp>
        <v>499</v>
        <stp/>
        <stp>6706</stp>
        <stp>PredictVolume</stp>
        <tr r="AJ915" s="57"/>
      </tp>
      <tp>
        <v>47</v>
        <stp/>
        <stp>6776</stp>
        <stp>PredictVolume</stp>
        <tr r="AJ1252" s="57"/>
      </tp>
      <tp>
        <v>638</v>
        <stp/>
        <stp>6756</stp>
        <stp>PredictVolume</stp>
        <tr r="AJ676" s="57"/>
      </tp>
      <tp>
        <v>1770</v>
        <stp/>
        <stp>6026</stp>
        <stp>PredictVolume</stp>
        <tr r="AJ1629" s="57"/>
      </tp>
      <tp>
        <v>1424</v>
        <stp/>
        <stp>6016</stp>
        <stp>PredictVolume</stp>
        <tr r="AJ1624" s="57"/>
      </tp>
      <tp>
        <v>1487</v>
        <stp/>
        <stp>6196</stp>
        <stp>PredictVolume</stp>
        <tr r="AJ1744" s="57"/>
      </tp>
      <tp>
        <v>1094</v>
        <stp/>
        <stp>6186</stp>
        <stp>PredictVolume</stp>
        <tr r="AM54" s="28"/>
        <tr r="AJ1501" s="57"/>
      </tp>
      <tp>
        <v>73</v>
        <stp/>
        <stp>6136</stp>
        <stp>PredictVolume</stp>
        <tr r="AJ981" s="57"/>
      </tp>
      <tp>
        <v>222</v>
        <stp/>
        <stp>6126</stp>
        <stp>PredictVolume</stp>
        <tr r="AJ1153" s="57"/>
      </tp>
      <tp>
        <v>6669</v>
        <stp/>
        <stp>6116</stp>
        <stp>PredictVolume</stp>
        <tr r="AJ890" s="57"/>
      </tp>
      <tp>
        <v>1829</v>
        <stp/>
        <stp>6176</stp>
        <stp>PredictVolume</stp>
        <tr r="AJ896" s="57"/>
      </tp>
      <tp>
        <v>30</v>
        <stp/>
        <stp>6166</stp>
        <stp>PredictVolume</stp>
        <tr r="AJ781" s="57"/>
      </tp>
      <tp>
        <v>528</v>
        <stp/>
        <stp>6156</stp>
        <stp>PredictVolume</stp>
        <tr r="AJ1160" s="57"/>
      </tp>
      <tp>
        <v>185</v>
        <stp/>
        <stp>6146</stp>
        <stp>PredictVolume</stp>
        <tr r="AJ1740" s="57"/>
      </tp>
      <tp>
        <v>0</v>
        <stp/>
        <stp>6236</stp>
        <stp>PredictVolume</stp>
        <tr r="AJ1340" s="57"/>
      </tp>
      <tp>
        <v>507</v>
        <stp/>
        <stp>6226</stp>
        <stp>PredictVolume</stp>
        <tr r="AJ900" s="57"/>
      </tp>
      <tp>
        <v>1171</v>
        <stp/>
        <stp>6216</stp>
        <stp>PredictVolume</stp>
        <tr r="AJ988" s="57"/>
      </tp>
      <tp>
        <v>754</v>
        <stp/>
        <stp>6206</stp>
        <stp>PredictVolume</stp>
        <tr r="AJ783" s="57"/>
      </tp>
      <tp>
        <v>84</v>
        <stp/>
        <stp>6276</stp>
        <stp>PredictVolume</stp>
        <tr r="AJ787" s="57"/>
      </tp>
      <tp>
        <v>661</v>
        <stp/>
        <stp>6266</stp>
        <stp>PredictVolume</stp>
        <tr r="AJ1182" s="57"/>
      </tp>
      <tp>
        <v>11</v>
        <stp/>
        <stp>6246</stp>
        <stp>PredictVolume</stp>
        <tr r="AJ903" s="57"/>
      </tp>
      <tp>
        <v>446</v>
        <stp/>
        <stp>6806</stp>
        <stp>PredictVolume</stp>
        <tr r="AJ1358" s="57"/>
      </tp>
      <tp>
        <v>12</v>
        <stp/>
        <stp>7556</stp>
        <stp>PredictVolume</stp>
        <tr r="AJ679" s="57"/>
      </tp>
      <tp>
        <v>349</v>
        <stp/>
        <stp>4426</stp>
        <stp>PredictVolume</stp>
        <tr r="AJ119" s="57"/>
      </tp>
      <tp>
        <v>21</v>
        <stp/>
        <stp>4416</stp>
        <stp>PredictVolume</stp>
        <tr r="AJ1476" s="57"/>
      </tp>
      <tp>
        <v>88</v>
        <stp/>
        <stp>4406</stp>
        <stp>PredictVolume</stp>
        <tr r="AJ113" s="57"/>
      </tp>
      <tp>
        <v>31</v>
        <stp/>
        <stp>4536</stp>
        <stp>PredictVolume</stp>
        <tr r="AJ1325" s="57"/>
      </tp>
      <tp>
        <v>176</v>
        <stp/>
        <stp>4526</stp>
        <stp>PredictVolume</stp>
        <tr r="AJ181" s="57"/>
      </tp>
      <tp>
        <v>17</v>
        <stp/>
        <stp>4506</stp>
        <stp>PredictVolume</stp>
        <tr r="AJ177" s="57"/>
      </tp>
      <tp>
        <v>109</v>
        <stp/>
        <stp>4576</stp>
        <stp>PredictVolume</stp>
        <tr r="AJ206" s="57"/>
      </tp>
      <tp>
        <v>15</v>
        <stp/>
        <stp>4566</stp>
        <stp>PredictVolume</stp>
        <tr r="AJ202" s="57"/>
      </tp>
      <tp>
        <v>13</v>
        <stp/>
        <stp>4556</stp>
        <stp>PredictVolume</stp>
        <tr r="AJ1327" s="57"/>
      </tp>
      <tp>
        <v>7076</v>
        <stp/>
        <stp>4736</stp>
        <stp>PredictVolume</stp>
        <tr r="AJ367" s="57"/>
      </tp>
      <tp>
        <v>795</v>
        <stp/>
        <stp>4726</stp>
        <stp>PredictVolume</stp>
        <tr r="AJ364" s="57"/>
      </tp>
      <tp>
        <v>731</v>
        <stp/>
        <stp>4716</stp>
        <stp>PredictVolume</stp>
        <tr r="AJ270" s="57"/>
      </tp>
      <tp>
        <v>24</v>
        <stp/>
        <stp>4706</stp>
        <stp>PredictVolume</stp>
        <tr r="AJ266" s="57"/>
      </tp>
      <tp>
        <v>27</v>
        <stp/>
        <stp>4766</stp>
        <stp>PredictVolume</stp>
        <tr r="AJ280" s="57"/>
      </tp>
      <tp>
        <v>4246</v>
        <stp/>
        <stp>4746</stp>
        <stp>PredictVolume</stp>
        <tr r="AJ372" s="57"/>
      </tp>
      <tp>
        <v>98</v>
        <stp/>
        <stp>4126</stp>
        <stp>PredictVolume</stp>
        <tr r="AJ331" s="57"/>
      </tp>
      <tp>
        <v>63</v>
        <stp/>
        <stp>4116</stp>
        <stp>PredictVolume</stp>
        <tr r="AJ326" s="57"/>
      </tp>
      <tp>
        <v>2082</v>
        <stp/>
        <stp>4106</stp>
        <stp>PredictVolume</stp>
        <tr r="AJ320" s="57"/>
      </tp>
      <tp>
        <v>1186</v>
        <stp/>
        <stp>4306</stp>
        <stp>PredictVolume</stp>
        <tr r="AJ65" s="57"/>
      </tp>
      <tp>
        <v>325</v>
        <stp/>
        <stp>4806</stp>
        <stp>PredictVolume</stp>
        <tr r="AJ1778" s="57"/>
      </tp>
      <tp>
        <v>529</v>
        <stp/>
        <stp>4916</stp>
        <stp>PredictVolume</stp>
        <tr r="AJ758" s="57"/>
      </tp>
      <tp>
        <v>5024</v>
        <stp/>
        <stp>4906</stp>
        <stp>PredictVolume</stp>
        <tr r="AJ972" s="57"/>
      </tp>
      <tp>
        <v>687</v>
        <stp/>
        <stp>4976</stp>
        <stp>PredictVolume</stp>
        <tr r="AJ874" s="57"/>
      </tp>
      <tp>
        <v>349</v>
        <stp/>
        <stp>4966</stp>
        <stp>PredictVolume</stp>
        <tr r="AJ604" s="57"/>
      </tp>
      <tp>
        <v>288</v>
        <stp/>
        <stp>4956</stp>
        <stp>PredictVolume</stp>
        <tr r="AJ871" s="57"/>
      </tp>
      <tp>
        <v>732</v>
        <stp/>
        <stp>4946</stp>
        <stp>PredictVolume</stp>
        <tr r="AJ1779" s="57"/>
      </tp>
      <tp>
        <v>32</v>
        <stp/>
        <stp>5426</stp>
        <stp>PredictVolume</stp>
        <tr r="AJ769" s="57"/>
      </tp>
      <tp>
        <v>69</v>
        <stp/>
        <stp>5536</stp>
        <stp>PredictVolume</stp>
        <tr r="AJ1738" s="57"/>
      </tp>
      <tp>
        <v>459</v>
        <stp/>
        <stp>5516</stp>
        <stp>PredictVolume</stp>
        <tr r="AJ1487" s="57"/>
      </tp>
      <tp>
        <v>86</v>
        <stp/>
        <stp>5546</stp>
        <stp>PredictVolume</stp>
        <tr r="AJ1498" s="57"/>
      </tp>
      <tp>
        <v>22452</v>
        <stp/>
        <stp>5706</stp>
        <stp>PredictVolume</stp>
        <tr r="AJ1580" s="57"/>
      </tp>
      <tp>
        <v>83</v>
        <stp/>
        <stp>5016</stp>
        <stp>PredictVolume</stp>
        <tr r="AJ469" s="57"/>
      </tp>
      <tp>
        <v>53</v>
        <stp/>
        <stp>5236</stp>
        <stp>PredictVolume</stp>
        <tr r="AJ611" s="57"/>
      </tp>
      <tp>
        <v>17</v>
        <stp/>
        <stp>5206</stp>
        <stp>PredictVolume</stp>
        <tr r="AJ1478" s="57"/>
      </tp>
      <tp>
        <v>17</v>
        <stp/>
        <stp>5276</stp>
        <stp>PredictVolume</stp>
        <tr r="AJ1329" s="57"/>
      </tp>
      <tp>
        <v>65</v>
        <stp/>
        <stp>5386</stp>
        <stp>PredictVolume</stp>
        <tr r="AJ768" s="57"/>
      </tp>
      <tp>
        <v>120</v>
        <stp/>
        <stp>5306</stp>
        <stp>PredictVolume</stp>
        <tr r="AJ1331" s="57"/>
      </tp>
      <tp>
        <v>88</v>
        <stp/>
        <stp>5356</stp>
        <stp>PredictVolume</stp>
        <tr r="AJ767" s="57"/>
      </tp>
      <tp>
        <v>3042</v>
        <stp/>
        <stp>5876</stp>
        <stp>PredictVolume</stp>
        <tr r="AJ1619" s="57"/>
      </tp>
      <tp>
        <v>8</v>
        <stp/>
        <stp>5906</stp>
        <stp>PredictVolume</stp>
        <tr r="AJ1658" s="57"/>
      </tp>
      <tp>
        <v>15</v>
        <stp/>
        <stp>2496</stp>
        <stp>PredictVolume</stp>
        <tr r="AJ1316" s="57"/>
      </tp>
      <tp>
        <v>1207</v>
        <stp/>
        <stp>2486</stp>
        <stp>PredictVolume</stp>
        <tr r="AJ817" s="57"/>
      </tp>
      <tp>
        <v>1946</v>
        <stp/>
        <stp>2436</stp>
        <stp>PredictVolume</stp>
        <tr r="AJ544" s="57"/>
      </tp>
      <tp>
        <v>1035</v>
        <stp/>
        <stp>2426</stp>
        <stp>PredictVolume</stp>
        <tr r="AJ814" s="57"/>
      </tp>
      <tp>
        <v>2139</v>
        <stp/>
        <stp>2406</stp>
        <stp>PredictVolume</stp>
        <tr r="AJ812" s="57"/>
      </tp>
      <tp>
        <v>801</v>
        <stp/>
        <stp>2476</stp>
        <stp>PredictVolume</stp>
        <tr r="AJ1049" s="57"/>
      </tp>
      <tp>
        <v>76</v>
        <stp/>
        <stp>2466</stp>
        <stp>PredictVolume</stp>
        <tr r="AJ816" s="57"/>
      </tp>
      <tp>
        <v>49</v>
        <stp/>
        <stp>2596</stp>
        <stp>PredictVolume</stp>
        <tr r="AJ1465" s="57"/>
      </tp>
      <tp>
        <v>40</v>
        <stp/>
        <stp>2536</stp>
        <stp>PredictVolume</stp>
        <tr r="AJ1454" s="57"/>
      </tp>
      <tp>
        <v>133</v>
        <stp/>
        <stp>2516</stp>
        <stp>PredictVolume</stp>
        <tr r="AJ1446" s="57"/>
      </tp>
      <tp>
        <v>50</v>
        <stp/>
        <stp>2506</stp>
        <stp>PredictVolume</stp>
        <tr r="AJ1443" s="57"/>
      </tp>
      <tp>
        <v>139</v>
        <stp/>
        <stp>2546</stp>
        <stp>PredictVolume</stp>
        <tr r="AJ1462" s="57"/>
      </tp>
      <tp>
        <v>946</v>
        <stp/>
        <stp>2636</stp>
        <stp>PredictVolume</stp>
        <tr r="AJ1527" s="57"/>
      </tp>
      <tp>
        <v>63</v>
        <stp/>
        <stp>2616</stp>
        <stp>PredictVolume</stp>
        <tr r="AJ1671" s="57"/>
      </tp>
      <tp>
        <v>5031</v>
        <stp/>
        <stp>2606</stp>
        <stp>PredictVolume</stp>
        <tr r="AJ1513" s="57"/>
      </tp>
      <tp>
        <v>2227</v>
        <stp/>
        <stp>2736</stp>
        <stp>PredictVolume</stp>
        <tr r="AJ1561" s="57"/>
      </tp>
      <tp>
        <v>20</v>
        <stp/>
        <stp>2726</stp>
        <stp>PredictVolume</stp>
        <tr r="AJ1555" s="57"/>
      </tp>
      <tp>
        <v>105</v>
        <stp/>
        <stp>2706</stp>
        <stp>PredictVolume</stp>
        <tr r="AJ1547" s="57"/>
      </tp>
      <tp>
        <v>11</v>
        <stp/>
        <stp>2756</stp>
        <stp>PredictVolume</stp>
        <tr r="AJ1571" s="57"/>
      </tp>
      <tp>
        <v>2962</v>
        <stp/>
        <stp>2006</stp>
        <stp>PredictVolume</stp>
        <tr r="AJ432" s="57"/>
      </tp>
      <tp>
        <v>61</v>
        <stp/>
        <stp>2066</stp>
        <stp>PredictVolume</stp>
        <tr r="AJ162" s="57"/>
      </tp>
      <tp>
        <v>1210</v>
        <stp/>
        <stp>2106</stp>
        <stp>PredictVolume</stp>
        <tr r="AJ484" s="57"/>
      </tp>
      <tp>
        <v>28</v>
        <stp/>
        <stp>2236</stp>
        <stp>PredictVolume</stp>
        <tr r="AJ514" s="57"/>
      </tp>
      <tp>
        <v>835</v>
        <stp/>
        <stp>2206</stp>
        <stp>PredictVolume</stp>
        <tr r="AJ508" s="57"/>
      </tp>
      <tp>
        <v>310</v>
        <stp/>
        <stp>2316</stp>
        <stp>PredictVolume</stp>
        <tr r="AJ1025" s="57"/>
      </tp>
      <tp>
        <v>7184</v>
        <stp/>
        <stp>2376</stp>
        <stp>PredictVolume</stp>
        <tr r="AJ709" s="57"/>
      </tp>
      <tp>
        <v>6583</v>
        <stp/>
        <stp>2356</stp>
        <stp>PredictVolume</stp>
        <tr r="AJ704" s="57"/>
      </tp>
      <tp>
        <v>34556</v>
        <stp/>
        <stp>2886</stp>
        <stp>PredictVolume</stp>
        <tr r="AJ1609" s="57"/>
        <tr r="AJ16" s="118"/>
      </tp>
      <tp>
        <v>2550</v>
        <stp/>
        <stp>2836</stp>
        <stp>PredictVolume</stp>
        <tr r="AJ1594" s="57"/>
      </tp>
      <tp>
        <v>158</v>
        <stp/>
        <stp>2816</stp>
        <stp>PredictVolume</stp>
        <tr r="AJ1590" s="57"/>
      </tp>
      <tp>
        <v>24</v>
        <stp/>
        <stp>2936</stp>
        <stp>PredictVolume</stp>
        <tr r="AJ1647" s="57"/>
      </tp>
      <tp>
        <v>4</v>
        <stp/>
        <stp>2926</stp>
        <stp>PredictVolume</stp>
        <tr r="AJ1771" s="57"/>
      </tp>
      <tp>
        <v>123</v>
        <stp/>
        <stp>2916</stp>
        <stp>PredictVolume</stp>
        <tr r="AJ1645" s="57"/>
      </tp>
      <tp>
        <v>25731</v>
        <stp/>
        <stp>2906</stp>
        <stp>PredictVolume</stp>
        <tr r="AJ1638" s="57"/>
      </tp>
      <tp>
        <v>5</v>
        <stp/>
        <stp>3426</stp>
        <stp>PredictVolume</stp>
        <tr r="AJ174" s="57"/>
      </tp>
      <tp>
        <v>21</v>
        <stp/>
        <stp>3416</stp>
        <stp>PredictVolume</stp>
        <tr r="AJ741" s="57"/>
      </tp>
      <tp>
        <v>733</v>
        <stp/>
        <stp>3406</stp>
        <stp>PredictVolume</stp>
        <tr r="AJ838" s="57"/>
      </tp>
      <tp>
        <v>345</v>
        <stp/>
        <stp>3466</stp>
        <stp>PredictVolume</stp>
        <tr r="AJ957" s="57"/>
      </tp>
      <tp>
        <v>2552</v>
        <stp/>
        <stp>3596</stp>
        <stp>PredictVolume</stp>
        <tr r="AJ962" s="57"/>
      </tp>
      <tp>
        <v>5</v>
        <stp/>
        <stp>3536</stp>
        <stp>PredictVolume</stp>
        <tr r="AJ584" s="57"/>
      </tp>
      <tp>
        <v>356</v>
        <stp/>
        <stp>3526</stp>
        <stp>PredictVolume</stp>
        <tr r="AJ1103" s="57"/>
      </tp>
      <tp>
        <v>38</v>
        <stp/>
        <stp>3516</stp>
        <stp>PredictVolume</stp>
        <tr r="AJ847" s="57"/>
      </tp>
      <tp>
        <v>15415</v>
        <stp/>
        <stp>3576</stp>
        <stp>PredictVolume</stp>
        <tr r="AJ852" s="57"/>
      </tp>
      <tp>
        <v>297</v>
        <stp/>
        <stp>3556</stp>
        <stp>PredictVolume</stp>
        <tr r="AJ587" s="57"/>
      </tp>
      <tp>
        <v>130</v>
        <stp/>
        <stp>3546</stp>
        <stp>PredictVolume</stp>
        <tr r="AJ1776" s="57"/>
      </tp>
      <tp>
        <v>765</v>
        <stp/>
        <stp>3686</stp>
        <stp>PredictVolume</stp>
        <tr r="AJ596" s="57"/>
      </tp>
      <tp>
        <v>46</v>
        <stp/>
        <stp>3666</stp>
        <stp>PredictVolume</stp>
        <tr r="AJ858" s="57"/>
      </tp>
      <tp>
        <v>106</v>
        <stp/>
        <stp>3646</stp>
        <stp>PredictVolume</stp>
        <tr r="AJ1116" s="57"/>
      </tp>
      <tp>
        <v>2291</v>
        <stp/>
        <stp>3706</stp>
        <stp>PredictVolume</stp>
        <tr r="AJ755" s="57"/>
      </tp>
      <tp>
        <v>834</v>
        <stp/>
        <stp>3086</stp>
        <stp>PredictVolume</stp>
        <tr r="AJ1774" s="57"/>
      </tp>
      <tp>
        <v>3465</v>
        <stp/>
        <stp>3036</stp>
        <stp>PredictVolume</stp>
        <tr r="AJ1232" s="57"/>
      </tp>
      <tp>
        <v>163</v>
        <stp/>
        <stp>3026</stp>
        <stp>PredictVolume</stp>
        <tr r="AJ1060" s="57"/>
      </tp>
      <tp>
        <v>1968</v>
        <stp/>
        <stp>3016</stp>
        <stp>PredictVolume</stp>
        <tr r="AJ553" s="57"/>
      </tp>
      <tp>
        <v>8128</v>
        <stp/>
        <stp>3006</stp>
        <stp>PredictVolume</stp>
        <tr r="AJ551" s="57"/>
      </tp>
      <tp>
        <v>347</v>
        <stp/>
        <stp>3066</stp>
        <stp>PredictVolume</stp>
        <tr r="AJ829" s="57"/>
      </tp>
      <tp>
        <v>461</v>
        <stp/>
        <stp>3056</stp>
        <stp>PredictVolume</stp>
        <tr r="AJ1470" s="57"/>
      </tp>
      <tp>
        <v>1402</v>
        <stp/>
        <stp>3046</stp>
        <stp>PredictVolume</stp>
        <tr r="AJ728" s="57"/>
      </tp>
      <tp>
        <v>1348</v>
        <stp/>
        <stp>3176</stp>
        <stp>PredictVolume</stp>
        <tr r="AJ313" s="57"/>
      </tp>
      <tp>
        <v>155</v>
        <stp/>
        <stp>3296</stp>
        <stp>PredictVolume</stp>
        <tr r="AJ1082" s="57"/>
      </tp>
      <tp>
        <v>111</v>
        <stp/>
        <stp>3236</stp>
        <stp>PredictVolume</stp>
        <tr r="AJ1077" s="57"/>
      </tp>
      <tp>
        <v>9</v>
        <stp/>
        <stp>3226</stp>
        <stp>PredictVolume</stp>
        <tr r="AJ172" s="57"/>
      </tp>
      <tp>
        <v>50</v>
        <stp/>
        <stp>3206</stp>
        <stp>PredictVolume</stp>
        <tr r="AJ1073" s="57"/>
      </tp>
      <tp>
        <v>413</v>
        <stp/>
        <stp>3276</stp>
        <stp>PredictVolume</stp>
        <tr r="AJ1078" s="57"/>
      </tp>
      <tp>
        <v>3087</v>
        <stp/>
        <stp>3266</stp>
        <stp>PredictVolume</stp>
        <tr r="AJ1472" s="57"/>
      </tp>
      <tp>
        <v>78</v>
        <stp/>
        <stp>3306</stp>
        <stp>PredictVolume</stp>
        <tr r="AJ952" s="57"/>
      </tp>
      <tp>
        <v>662</v>
        <stp/>
        <stp>3376</stp>
        <stp>PredictVolume</stp>
        <tr r="AJ1092" s="57"/>
      </tp>
      <tp>
        <v>90</v>
        <stp/>
        <stp>3356</stp>
        <stp>PredictVolume</stp>
        <tr r="AJ835" s="57"/>
      </tp>
      <tp>
        <v>337</v>
        <stp/>
        <stp>3346</stp>
        <stp>PredictVolume</stp>
        <tr r="AM61" s="28"/>
        <tr r="AJ520" s="57"/>
      </tp>
      <tp>
        <v>80</v>
        <stp/>
        <stp>1436</stp>
        <stp>PredictVolume</stp>
        <tr r="AJ1435" s="57"/>
      </tp>
      <tp>
        <v>141</v>
        <stp/>
        <stp>1416</stp>
        <stp>PredictVolume</stp>
        <tr r="AJ1306" s="57"/>
      </tp>
      <tp>
        <v>379</v>
        <stp/>
        <stp>1476</stp>
        <stp>PredictVolume</stp>
        <tr r="AM33" s="28"/>
        <tr r="AJ109" s="57"/>
      </tp>
      <tp>
        <v>62</v>
        <stp/>
        <stp>1466</stp>
        <stp>PredictVolume</stp>
        <tr r="AJ101" s="57"/>
      </tp>
      <tp>
        <v>41</v>
        <stp/>
        <stp>1456</stp>
        <stp>PredictVolume</stp>
        <tr r="AJ94" s="57"/>
      </tp>
      <tp>
        <v>51</v>
        <stp/>
        <stp>1446</stp>
        <stp>PredictVolume</stp>
        <tr r="AJ86" s="57"/>
      </tp>
      <tp>
        <v>186</v>
        <stp/>
        <stp>1586</stp>
        <stp>PredictVolume</stp>
        <tr r="AJ155" s="57"/>
      </tp>
      <tp>
        <v>966</v>
        <stp/>
        <stp>1536</stp>
        <stp>PredictVolume</stp>
        <tr r="AJ502" s="57"/>
      </tp>
      <tp>
        <v>83</v>
        <stp/>
        <stp>1526</stp>
        <stp>PredictVolume</stp>
        <tr r="AJ137" s="57"/>
      </tp>
      <tp>
        <v>2264</v>
        <stp/>
        <stp>1516</stp>
        <stp>PredictVolume</stp>
        <tr r="AJ1309" s="57"/>
      </tp>
      <tp>
        <v>4711</v>
        <stp/>
        <stp>1506</stp>
        <stp>PredictVolume</stp>
        <tr r="AJ130" s="57"/>
      </tp>
      <tp>
        <v>27</v>
        <stp/>
        <stp>1626</stp>
        <stp>PredictVolume</stp>
        <tr r="AJ236" s="57"/>
      </tp>
      <tp>
        <v>537</v>
        <stp/>
        <stp>1616</stp>
        <stp>PredictVolume</stp>
        <tr r="AJ233" s="57"/>
      </tp>
      <tp>
        <v>17</v>
        <stp/>
        <stp>1796</stp>
        <stp>PredictVolume</stp>
        <tr r="AJ37" s="57"/>
      </tp>
      <tp>
        <v>52</v>
        <stp/>
        <stp>1786</stp>
        <stp>PredictVolume</stp>
        <tr r="AJ305" s="57"/>
      </tp>
      <tp>
        <v>137</v>
        <stp/>
        <stp>1736</stp>
        <stp>PredictVolume</stp>
        <tr r="AJ297" s="57"/>
      </tp>
      <tp>
        <v>4</v>
        <stp/>
        <stp>1726</stp>
        <stp>PredictVolume</stp>
        <tr r="AJ256" s="57"/>
      </tp>
      <tp>
        <v>41</v>
        <stp/>
        <stp>1776</stp>
        <stp>PredictVolume</stp>
        <tr r="AJ263" s="57"/>
      </tp>
      <tp>
        <v>193</v>
        <stp/>
        <stp>1236</stp>
        <stp>PredictVolume</stp>
        <tr r="AJ31" s="57"/>
      </tp>
      <tp>
        <v>4351</v>
        <stp/>
        <stp>1216</stp>
        <stp>PredictVolume</stp>
        <tr r="AJ18" s="57"/>
        <tr r="AJ30" s="118"/>
      </tp>
      <tp>
        <v>9</v>
        <stp/>
        <stp>1256</stp>
        <stp>PredictVolume</stp>
        <tr r="AJ32" s="57"/>
      </tp>
      <tp>
        <v>42</v>
        <stp/>
        <stp>1336</stp>
        <stp>PredictVolume</stp>
        <tr r="AJ1017" s="57"/>
      </tp>
      <tp>
        <v>2664</v>
        <stp/>
        <stp>1326</stp>
        <stp>PredictVolume</stp>
        <tr r="AJ58" s="57"/>
        <tr r="AJ12" s="118"/>
      </tp>
      <tp>
        <v>1557</v>
        <stp/>
        <stp>1316</stp>
        <stp>PredictVolume</stp>
        <tr r="AJ1434" s="57"/>
      </tp>
      <tp>
        <v>1607</v>
        <stp/>
        <stp>1806</stp>
        <stp>PredictVolume</stp>
        <tr r="AJ417" s="57"/>
      </tp>
      <tp>
        <v>85</v>
        <stp/>
        <stp>1906</stp>
        <stp>PredictVolume</stp>
        <tr r="AJ426" s="57"/>
      </tp>
      <tp>
        <v>858</v>
        <stp/>
        <stp>8436</stp>
        <stp>PredictVolume</stp>
        <tr r="AJ413" s="57"/>
      </tp>
      <tp>
        <v>21</v>
        <stp/>
        <stp>8426</stp>
        <stp>PredictVolume</stp>
        <tr r="AJ1371" s="57"/>
      </tp>
      <tp>
        <v>8</v>
        <stp/>
        <stp>8416</stp>
        <stp>PredictVolume</stp>
        <tr r="AJ1301" s="57"/>
      </tp>
      <tp>
        <v>159</v>
        <stp/>
        <stp>8406</stp>
        <stp>PredictVolume</stp>
        <tr r="AJ410" s="57"/>
      </tp>
      <tp>
        <v>101</v>
        <stp/>
        <stp>8476</stp>
        <stp>PredictVolume</stp>
        <tr r="AJ1383" s="57"/>
      </tp>
      <tp>
        <v>6</v>
        <stp/>
        <stp>8466</stp>
        <stp>PredictVolume</stp>
        <tr r="AJ1380" s="57"/>
      </tp>
      <tp>
        <v>56</v>
        <stp/>
        <stp>8446</stp>
        <stp>PredictVolume</stp>
        <tr r="AJ1791" s="57"/>
      </tp>
      <tp>
        <v>320</v>
        <stp/>
        <stp>8096</stp>
        <stp>PredictVolume</stp>
        <tr r="AJ1259" s="57"/>
      </tp>
      <tp>
        <v>704</v>
        <stp/>
        <stp>8086</stp>
        <stp>PredictVolume</stp>
        <tr r="AJ686" s="57"/>
      </tp>
      <tp>
        <v>843</v>
        <stp/>
        <stp>8016</stp>
        <stp>PredictVolume</stp>
        <tr r="AJ680" s="57"/>
      </tp>
      <tp>
        <v>432</v>
        <stp/>
        <stp>8076</stp>
        <stp>PredictVolume</stp>
        <tr r="AJ798" s="57"/>
      </tp>
      <tp>
        <v>122</v>
        <stp/>
        <stp>8066</stp>
        <stp>PredictVolume</stp>
        <tr r="AJ1662" s="57"/>
      </tp>
      <tp>
        <v>2705</v>
        <stp/>
        <stp>8046</stp>
        <stp>PredictVolume</stp>
        <tr r="AJ1206" s="57"/>
      </tp>
      <tp>
        <v>2832</v>
        <stp/>
        <stp>8176</stp>
        <stp>PredictVolume</stp>
        <tr r="AJ1014" s="57"/>
      </tp>
      <tp>
        <v>1427</v>
        <stp/>
        <stp>8996</stp>
        <stp>PredictVolume</stp>
        <tr r="AJ220" s="57"/>
      </tp>
      <tp>
        <v>417</v>
        <stp/>
        <stp>8936</stp>
        <stp>PredictVolume</stp>
        <tr r="AM30" s="28"/>
        <tr r="AJ1400" s="57"/>
      </tp>
      <tp>
        <v>442</v>
        <stp/>
        <stp>8926</stp>
        <stp>PredictVolume</stp>
        <tr r="AJ1672" s="57"/>
      </tp>
      <tp>
        <v>111</v>
        <stp/>
        <stp>8916</stp>
        <stp>PredictVolume</stp>
        <tr r="AJ1392" s="57"/>
      </tp>
      <tp>
        <v>8</v>
        <stp/>
        <stp>8906</stp>
        <stp>PredictVolume</stp>
        <tr r="AJ1391" s="57"/>
      </tp>
      <tp>
        <v>2</v>
        <stp/>
        <stp>9926</stp>
        <stp>PredictVolume</stp>
        <tr r="AJ1677" s="57"/>
      </tp>
      <tp>
        <v>202</v>
        <stp/>
        <stp>9906</stp>
        <stp>PredictVolume</stp>
        <tr r="AJ1506" s="57"/>
      </tp>
      <tp>
        <v>79</v>
        <stp/>
        <stp>9946</stp>
        <stp>PredictVolume</stp>
        <tr r="AJ1507" s="57"/>
      </tp>
      <tp>
        <v>619</v>
        <stp/>
        <stp>6485</stp>
        <stp>PredictVolume</stp>
        <tr r="AJ652" s="57"/>
      </tp>
      <tp>
        <v>214</v>
        <stp/>
        <stp>6435</stp>
        <stp>PredictVolume</stp>
        <tr r="AJ648" s="57"/>
      </tp>
      <tp>
        <v>454</v>
        <stp/>
        <stp>6425</stp>
        <stp>PredictVolume</stp>
        <tr r="AJ210" s="57"/>
      </tp>
      <tp>
        <v>614</v>
        <stp/>
        <stp>6415</stp>
        <stp>PredictVolume</stp>
        <tr r="AJ647" s="57"/>
      </tp>
      <tp>
        <v>140</v>
        <stp/>
        <stp>6405</stp>
        <stp>PredictVolume</stp>
        <tr r="AJ906" s="57"/>
      </tp>
      <tp>
        <v>1428</v>
        <stp/>
        <stp>6535</stp>
        <stp>PredictVolume</stp>
        <tr r="AJ388" s="57"/>
      </tp>
      <tp>
        <v>141</v>
        <stp/>
        <stp>6525</stp>
        <stp>PredictVolume</stp>
        <tr r="AJ657" s="57"/>
      </tp>
      <tp>
        <v>359</v>
        <stp/>
        <stp>6515</stp>
        <stp>PredictVolume</stp>
        <tr r="AJ656" s="57"/>
      </tp>
      <tp>
        <v>1527</v>
        <stp/>
        <stp>6505</stp>
        <stp>PredictVolume</stp>
        <tr r="AJ1681" s="57"/>
        <tr r="AJ9" s="118"/>
      </tp>
      <tp>
        <v>23</v>
        <stp/>
        <stp>6625</stp>
        <stp>PredictVolume</stp>
        <tr r="AJ1347" s="57"/>
      </tp>
      <tp>
        <v>5</v>
        <stp/>
        <stp>6615</stp>
        <stp>PredictVolume</stp>
        <tr r="AJ397" s="57"/>
      </tp>
      <tp>
        <v>223</v>
        <stp/>
        <stp>6605</stp>
        <stp>PredictVolume</stp>
        <tr r="AJ525" s="57"/>
      </tp>
      <tp>
        <v>436</v>
        <stp/>
        <stp>6655</stp>
        <stp>PredictVolume</stp>
        <tr r="AJ1350" s="57"/>
      </tp>
      <tp>
        <v>18</v>
        <stp/>
        <stp>6715</stp>
        <stp>PredictVolume</stp>
        <tr r="AJ1198" s="57"/>
      </tp>
      <tp>
        <v>1157</v>
        <stp/>
        <stp>6015</stp>
        <stp>PredictVolume</stp>
        <tr r="AJ1623" s="57"/>
      </tp>
      <tp>
        <v>2340</v>
        <stp/>
        <stp>6005</stp>
        <stp>PredictVolume</stp>
        <tr r="AJ1622" s="57"/>
      </tp>
      <tp>
        <v>48</v>
        <stp/>
        <stp>6195</stp>
        <stp>PredictVolume</stp>
        <tr r="AJ1660" s="57"/>
      </tp>
      <tp>
        <v>81</v>
        <stp/>
        <stp>6185</stp>
        <stp>PredictVolume</stp>
        <tr r="AJ1166" s="57"/>
      </tp>
      <tp>
        <v>616</v>
        <stp/>
        <stp>6125</stp>
        <stp>PredictVolume</stp>
        <tr r="AJ892" s="57"/>
      </tp>
      <tp>
        <v>79</v>
        <stp/>
        <stp>6115</stp>
        <stp>PredictVolume</stp>
        <tr r="AJ1151" s="57"/>
      </tp>
      <tp>
        <v>207</v>
        <stp/>
        <stp>6175</stp>
        <stp>PredictVolume</stp>
        <tr r="AJ1165" s="57"/>
      </tp>
      <tp>
        <v>157</v>
        <stp/>
        <stp>6165</stp>
        <stp>PredictVolume</stp>
        <tr r="AJ1162" s="57"/>
      </tp>
      <tp>
        <v>43</v>
        <stp/>
        <stp>6155</stp>
        <stp>PredictVolume</stp>
        <tr r="AJ1159" s="57"/>
      </tp>
      <tp>
        <v>1146</v>
        <stp/>
        <stp>6285</stp>
        <stp>PredictVolume</stp>
        <tr r="AJ993" s="57"/>
      </tp>
      <tp>
        <v>46573</v>
        <stp/>
        <stp>6235</stp>
        <stp>PredictVolume</stp>
        <tr r="AJ786" s="57"/>
      </tp>
      <tp>
        <v>118</v>
        <stp/>
        <stp>6225</stp>
        <stp>PredictVolume</stp>
        <tr r="AJ899" s="57"/>
      </tp>
      <tp>
        <v>211</v>
        <stp/>
        <stp>6215</stp>
        <stp>PredictVolume</stp>
        <tr r="AJ1746" s="57"/>
      </tp>
      <tp>
        <v>5998</v>
        <stp/>
        <stp>6205</stp>
        <stp>PredictVolume</stp>
        <tr r="AJ1172" s="57"/>
      </tp>
      <tp>
        <v>372</v>
        <stp/>
        <stp>6275</stp>
        <stp>PredictVolume</stp>
        <tr r="AJ1748" s="57"/>
      </tp>
      <tp>
        <v>528</v>
        <stp/>
        <stp>6265</stp>
        <stp>PredictVolume</stp>
        <tr r="AJ1249" s="57"/>
      </tp>
      <tp>
        <v>2678</v>
        <stp/>
        <stp>6245</stp>
        <stp>PredictVolume</stp>
        <tr r="AJ991" s="57"/>
      </tp>
      <tp>
        <v>8</v>
        <stp/>
        <stp>4535</stp>
        <stp>PredictVolume</stp>
        <tr r="AJ188" s="57"/>
      </tp>
      <tp>
        <v>19</v>
        <stp/>
        <stp>4555</stp>
        <stp>PredictVolume</stp>
        <tr r="AJ195" s="57"/>
      </tp>
      <tp>
        <v>109</v>
        <stp/>
        <stp>4545</stp>
        <stp>PredictVolume</stp>
        <tr r="AJ1122" s="57"/>
      </tp>
      <tp>
        <v>58</v>
        <stp/>
        <stp>4735</stp>
        <stp>PredictVolume</stp>
        <tr r="AM37" s="28"/>
        <tr r="AJ366" s="57"/>
      </tp>
      <tp>
        <v>5003</v>
        <stp/>
        <stp>4755</stp>
        <stp>PredictVolume</stp>
        <tr r="AJ277" s="57"/>
      </tp>
      <tp>
        <v>821</v>
        <stp/>
        <stp>4745</stp>
        <stp>PredictVolume</stp>
        <tr r="AJ371" s="57"/>
      </tp>
      <tp>
        <v>8377</v>
        <stp/>
        <stp>4105</stp>
        <stp>PredictVolume</stp>
        <tr r="AJ319" s="57"/>
      </tp>
      <tp>
        <v>10</v>
        <stp/>
        <stp>4175</stp>
        <stp>PredictVolume</stp>
        <tr r="AJ358" s="57"/>
      </tp>
      <tp>
        <v>63</v>
        <stp/>
        <stp>4155</stp>
        <stp>PredictVolume</stp>
        <tr r="AJ347" s="57"/>
      </tp>
      <tp>
        <v>5</v>
        <stp/>
        <stp>4205</stp>
        <stp>PredictVolume</stp>
        <tr r="AJ38" s="57"/>
      </tp>
      <tp>
        <v>0</v>
        <stp/>
        <stp>4305</stp>
        <stp>PredictVolume</stp>
        <tr r="AJ64" s="57"/>
      </tp>
      <tp>
        <v>59</v>
        <stp/>
        <stp>4995</stp>
        <stp>PredictVolume</stp>
        <tr r="AJ875" s="57"/>
      </tp>
      <tp>
        <v>780</v>
        <stp/>
        <stp>4935</stp>
        <stp>PredictVolume</stp>
        <tr r="AJ868" s="57"/>
      </tp>
      <tp>
        <v>17591</v>
        <stp/>
        <stp>4915</stp>
        <stp>PredictVolume</stp>
        <tr r="AJ1124" s="57"/>
      </tp>
      <tp>
        <v>159</v>
        <stp/>
        <stp>4945</stp>
        <stp>PredictVolume</stp>
        <tr r="AJ601" s="57"/>
      </tp>
      <tp>
        <v>16925</v>
        <stp/>
        <stp>5425</stp>
        <stp>PredictVolume</stp>
        <tr r="AJ622" s="57"/>
      </tp>
      <tp>
        <v>699</v>
        <stp/>
        <stp>5475</stp>
        <stp>PredictVolume</stp>
        <tr r="AJ1146" s="57"/>
      </tp>
      <tp>
        <v>17</v>
        <stp/>
        <stp>5465</stp>
        <stp>PredictVolume</stp>
        <tr r="AJ771" s="57"/>
      </tp>
      <tp>
        <v>22</v>
        <stp/>
        <stp>5455</stp>
        <stp>PredictVolume</stp>
        <tr r="AJ1481" s="57"/>
      </tp>
      <tp>
        <v>93</v>
        <stp/>
        <stp>5525</stp>
        <stp>PredictVolume</stp>
        <tr r="AJ1492" s="57"/>
      </tp>
      <tp>
        <v>49</v>
        <stp/>
        <stp>5515</stp>
        <stp>PredictVolume</stp>
        <tr r="AJ1486" s="57"/>
      </tp>
      <tp>
        <v>110</v>
        <stp/>
        <stp>5015</stp>
        <stp>PredictVolume</stp>
        <tr r="AJ468" s="57"/>
      </tp>
      <tp>
        <v>730</v>
        <stp/>
        <stp>5285</stp>
        <stp>PredictVolume</stp>
        <tr r="AJ615" s="57"/>
      </tp>
      <tp>
        <v>206</v>
        <stp/>
        <stp>5225</stp>
        <stp>PredictVolume</stp>
        <tr r="AJ1733" s="57"/>
      </tp>
      <tp>
        <v>203</v>
        <stp/>
        <stp>5215</stp>
        <stp>PredictVolume</stp>
        <tr r="AJ763" s="57"/>
      </tp>
      <tp>
        <v>0</v>
        <stp/>
        <stp>5205</stp>
        <stp>PredictVolume</stp>
        <tr r="AJ1732" s="57"/>
      </tp>
      <tp>
        <v>146</v>
        <stp/>
        <stp>5245</stp>
        <stp>PredictVolume</stp>
        <tr r="AJ881" s="57"/>
      </tp>
      <tp>
        <v>282</v>
        <stp/>
        <stp>5315</stp>
        <stp>PredictVolume</stp>
        <tr r="AJ884" s="57"/>
      </tp>
      <tp>
        <v>127</v>
        <stp/>
        <stp>5355</stp>
        <stp>PredictVolume</stp>
        <tr r="AJ1139" s="57"/>
      </tp>
      <tp>
        <v>8</v>
        <stp/>
        <stp>5345</stp>
        <stp>PredictVolume</stp>
        <tr r="AJ1138" s="57"/>
      </tp>
      <tp>
        <v>1056</v>
        <stp/>
        <stp>5905</stp>
        <stp>PredictVolume</stp>
        <tr r="AJ1657" s="57"/>
      </tp>
      <tp>
        <v>511</v>
        <stp/>
        <stp>2495</stp>
        <stp>PredictVolume</stp>
        <tr r="AJ1702" s="57"/>
      </tp>
      <tp>
        <v>459</v>
        <stp/>
        <stp>2485</stp>
        <stp>PredictVolume</stp>
        <tr r="AJ938" s="57"/>
      </tp>
      <tp>
        <v>478</v>
        <stp/>
        <stp>2425</stp>
        <stp>PredictVolume</stp>
        <tr r="AJ720" s="57"/>
      </tp>
      <tp>
        <v>206</v>
        <stp/>
        <stp>2415</stp>
        <stp>PredictVolume</stp>
        <tr r="AJ1037" s="57"/>
      </tp>
      <tp>
        <v>2043</v>
        <stp/>
        <stp>2405</stp>
        <stp>PredictVolume</stp>
        <tr r="AJ717" s="57"/>
      </tp>
      <tp>
        <v>1339</v>
        <stp/>
        <stp>2465</stp>
        <stp>PredictVolume</stp>
        <tr r="AJ722" s="57"/>
      </tp>
      <tp>
        <v>1572</v>
        <stp/>
        <stp>2455</stp>
        <stp>PredictVolume</stp>
        <tr r="AJ937" s="57"/>
      </tp>
      <tp>
        <v>603</v>
        <stp/>
        <stp>2535</stp>
        <stp>PredictVolume</stp>
        <tr r="AJ1453" s="57"/>
      </tp>
      <tp>
        <v>19705</v>
        <stp/>
        <stp>2515</stp>
        <stp>PredictVolume</stp>
        <tr r="AJ1815" s="57"/>
      </tp>
      <tp>
        <v>174</v>
        <stp/>
        <stp>2505</stp>
        <stp>PredictVolume</stp>
        <tr r="AJ1442" s="57"/>
      </tp>
      <tp>
        <v>758</v>
        <stp/>
        <stp>2545</stp>
        <stp>PredictVolume</stp>
        <tr r="AJ1461" s="57"/>
      </tp>
      <tp>
        <v>12553</v>
        <stp/>
        <stp>2615</stp>
        <stp>PredictVolume</stp>
        <tr r="AJ1521" s="57"/>
        <tr r="AJ25" s="118"/>
      </tp>
      <tp>
        <v>3176</v>
        <stp/>
        <stp>2605</stp>
        <stp>PredictVolume</stp>
        <tr r="AJ1512" s="57"/>
      </tp>
      <tp>
        <v>344</v>
        <stp/>
        <stp>2705</stp>
        <stp>PredictVolume</stp>
        <tr r="AJ1546" s="57"/>
      </tp>
      <tp>
        <v>5</v>
        <stp/>
        <stp>2755</stp>
        <stp>PredictVolume</stp>
        <tr r="AJ1570" s="57"/>
      </tp>
      <tp>
        <v>1771</v>
        <stp/>
        <stp>2745</stp>
        <stp>PredictVolume</stp>
        <tr r="AJ1565" s="57"/>
      </tp>
      <tp>
        <v>104</v>
        <stp/>
        <stp>2035</stp>
        <stp>PredictVolume</stp>
        <tr r="AJ455" s="57"/>
      </tp>
      <tp>
        <v>1406</v>
        <stp/>
        <stp>2025</stp>
        <stp>PredictVolume</stp>
        <tr r="AJ446" s="57"/>
      </tp>
      <tp>
        <v>325</v>
        <stp/>
        <stp>2015</stp>
        <stp>PredictVolume</stp>
        <tr r="AJ440" s="57"/>
      </tp>
      <tp>
        <v>86</v>
        <stp/>
        <stp>2065</stp>
        <stp>PredictVolume</stp>
        <tr r="AJ459" s="57"/>
      </tp>
      <tp>
        <v>1</v>
        <stp/>
        <stp>2115</stp>
        <stp>PredictVolume</stp>
        <tr r="AJ505" s="57"/>
      </tp>
      <tp>
        <v>1878</v>
        <stp/>
        <stp>2105</stp>
        <stp>PredictVolume</stp>
        <tr r="AJ483" s="57"/>
      </tp>
      <tp>
        <v>1</v>
        <stp/>
        <stp>2235</stp>
        <stp>PredictVolume</stp>
        <tr r="AJ166" s="57"/>
      </tp>
      <tp>
        <v>1033</v>
        <stp/>
        <stp>2395</stp>
        <stp>PredictVolume</stp>
        <tr r="AJ714" s="57"/>
      </tp>
      <tp>
        <v>690</v>
        <stp/>
        <stp>2385</stp>
        <stp>PredictVolume</stp>
        <tr r="AJ1033" s="57"/>
      </tp>
      <tp>
        <v>354</v>
        <stp/>
        <stp>2305</stp>
        <stp>PredictVolume</stp>
        <tr r="AJ699" s="57"/>
      </tp>
      <tp>
        <v>431</v>
        <stp/>
        <stp>2375</stp>
        <stp>PredictVolume</stp>
        <tr r="AJ1031" s="57"/>
      </tp>
      <tp>
        <v>325</v>
        <stp/>
        <stp>2365</stp>
        <stp>PredictVolume</stp>
        <tr r="AJ708" s="57"/>
      </tp>
      <tp>
        <v>1033</v>
        <stp/>
        <stp>2355</stp>
        <stp>PredictVolume</stp>
        <tr r="AJ1028" s="57"/>
      </tp>
      <tp>
        <v>1597</v>
        <stp/>
        <stp>2345</stp>
        <stp>PredictVolume</stp>
        <tr r="AJ931" s="57"/>
      </tp>
      <tp>
        <v>17042</v>
        <stp/>
        <stp>2885</stp>
        <stp>PredictVolume</stp>
        <tr r="AJ1608" s="57"/>
        <tr r="AJ22" s="118"/>
      </tp>
      <tp>
        <v>901</v>
        <stp/>
        <stp>2855</stp>
        <stp>PredictVolume</stp>
        <tr r="AJ1601" s="57"/>
      </tp>
      <tp>
        <v>10790</v>
        <stp/>
        <stp>2845</stp>
        <stp>PredictVolume</stp>
        <tr r="AJ1596" s="57"/>
      </tp>
      <tp>
        <v>1385</v>
        <stp/>
        <stp>2915</stp>
        <stp>PredictVolume</stp>
        <tr r="AJ1644" s="57"/>
      </tp>
      <tp>
        <v>368</v>
        <stp/>
        <stp>2905</stp>
        <stp>PredictVolume</stp>
        <tr r="AJ1637" s="57"/>
      </tp>
      <tp>
        <v>20</v>
        <stp/>
        <stp>2945</stp>
        <stp>PredictVolume</stp>
        <tr r="AJ1650" s="57"/>
      </tp>
      <tp>
        <v>65</v>
        <stp/>
        <stp>3465</stp>
        <stp>PredictVolume</stp>
        <tr r="AJ1096" s="57"/>
      </tp>
      <tp>
        <v>726</v>
        <stp/>
        <stp>3455</stp>
        <stp>PredictVolume</stp>
        <tr r="AJ843" s="57"/>
      </tp>
      <tp>
        <v>831</v>
        <stp/>
        <stp>3535</stp>
        <stp>PredictVolume</stp>
        <tr r="AJ849" s="57"/>
      </tp>
      <tp>
        <v>681</v>
        <stp/>
        <stp>3515</stp>
        <stp>PredictVolume</stp>
        <tr r="AJ745" s="57"/>
      </tp>
      <tp>
        <v>14</v>
        <stp/>
        <stp>3555</stp>
        <stp>PredictVolume</stp>
        <tr r="AJ586" s="57"/>
      </tp>
      <tp>
        <v>1708</v>
        <stp/>
        <stp>3545</stp>
        <stp>PredictVolume</stp>
        <tr r="AJ585" s="57"/>
      </tp>
      <tp>
        <v>46</v>
        <stp/>
        <stp>3685</stp>
        <stp>PredictVolume</stp>
        <tr r="AJ861" s="57"/>
      </tp>
      <tp>
        <v>218</v>
        <stp/>
        <stp>3625</stp>
        <stp>PredictVolume</stp>
        <tr r="AM62" s="28"/>
        <tr r="AJ751" s="57"/>
      </tp>
      <tp>
        <v>304</v>
        <stp/>
        <stp>3615</stp>
        <stp>PredictVolume</stp>
        <tr r="AJ854" s="57"/>
      </tp>
      <tp>
        <v>657</v>
        <stp/>
        <stp>3605</stp>
        <stp>PredictVolume</stp>
        <tr r="AJ1110" s="57"/>
      </tp>
      <tp>
        <v>4518</v>
        <stp/>
        <stp>3675</stp>
        <stp>PredictVolume</stp>
        <tr r="AJ594" s="57"/>
      </tp>
      <tp>
        <v>1087</v>
        <stp/>
        <stp>3665</stp>
        <stp>PredictVolume</stp>
        <tr r="AJ1729" s="57"/>
      </tp>
      <tp>
        <v>12362</v>
        <stp/>
        <stp>3645</stp>
        <stp>PredictVolume</stp>
        <tr r="AJ1115" s="57"/>
      </tp>
      <tp>
        <v>59</v>
        <stp/>
        <stp>3705</stp>
        <stp>PredictVolume</stp>
        <tr r="AJ316" s="57"/>
      </tp>
      <tp>
        <v>26</v>
        <stp/>
        <stp>3095</stp>
        <stp>PredictVolume</stp>
        <tr r="AJ946" s="57"/>
      </tp>
      <tp>
        <v>10</v>
        <stp/>
        <stp>3085</stp>
        <stp>PredictVolume</stp>
        <tr r="AJ1798" s="57"/>
      </tp>
      <tp>
        <v>26416</v>
        <stp/>
        <stp>3035</stp>
        <stp>PredictVolume</stp>
        <tr r="AJ555" s="57"/>
      </tp>
      <tp>
        <v>443</v>
        <stp/>
        <stp>3025</stp>
        <stp>PredictVolume</stp>
        <tr r="AJ940" s="57"/>
      </tp>
      <tp>
        <v>71</v>
        <stp/>
        <stp>3015</stp>
        <stp>PredictVolume</stp>
        <tr r="AM24" s="28"/>
        <tr r="AJ1057" s="57"/>
      </tp>
      <tp>
        <v>772</v>
        <stp/>
        <stp>3005</stp>
        <stp>PredictVolume</stp>
        <tr r="AJ724" s="57"/>
      </tp>
      <tp>
        <v>68</v>
        <stp/>
        <stp>3055</stp>
        <stp>PredictVolume</stp>
        <tr r="AJ1234" s="57"/>
      </tp>
      <tp>
        <v>1324</v>
        <stp/>
        <stp>3045</stp>
        <stp>PredictVolume</stp>
        <tr r="AJ942" s="57"/>
        <tr r="AJ28" s="118"/>
      </tp>
      <tp>
        <v>15</v>
        <stp/>
        <stp>3115</stp>
        <stp>PredictVolume</stp>
        <tr r="AJ1070" s="57"/>
      </tp>
      <tp>
        <v>2027</v>
        <stp/>
        <stp>3105</stp>
        <stp>PredictVolume</stp>
        <tr r="AJ560" s="57"/>
        <tr r="AJ37" s="118"/>
      </tp>
      <tp>
        <v>31</v>
        <stp/>
        <stp>3285</stp>
        <stp>PredictVolume</stp>
        <tr r="AJ1709" s="57"/>
      </tp>
      <tp>
        <v>43</v>
        <stp/>
        <stp>3205</stp>
        <stp>PredictVolume</stp>
        <tr r="AJ314" s="57"/>
      </tp>
      <tp>
        <v>485</v>
        <stp/>
        <stp>3265</stp>
        <stp>PredictVolume</stp>
        <tr r="AM18" s="28"/>
        <tr r="AJ572" s="57"/>
      </tp>
      <tp>
        <v>68</v>
        <stp/>
        <stp>3325</stp>
        <stp>PredictVolume</stp>
        <tr r="AJ739" s="57"/>
      </tp>
      <tp>
        <v>453</v>
        <stp/>
        <stp>1435</stp>
        <stp>PredictVolume</stp>
        <tr r="AJ1307" s="57"/>
      </tp>
      <tp>
        <v>702</v>
        <stp/>
        <stp>1475</stp>
        <stp>PredictVolume</stp>
        <tr r="AJ108" s="57"/>
      </tp>
      <tp>
        <v>27</v>
        <stp/>
        <stp>1465</stp>
        <stp>PredictVolume</stp>
        <tr r="AJ100" s="57"/>
      </tp>
      <tp>
        <v>3745</v>
        <stp/>
        <stp>1455</stp>
        <stp>PredictVolume</stp>
        <tr r="AJ93" s="57"/>
      </tp>
      <tp>
        <v>43</v>
        <stp/>
        <stp>1445</stp>
        <stp>PredictVolume</stp>
        <tr r="AJ85" s="57"/>
      </tp>
      <tp>
        <v>25</v>
        <stp/>
        <stp>1595</stp>
        <stp>PredictVolume</stp>
        <tr r="AJ1020" s="57"/>
      </tp>
      <tp>
        <v>19</v>
        <stp/>
        <stp>1535</stp>
        <stp>PredictVolume</stp>
        <tr r="AJ144" s="57"/>
      </tp>
      <tp>
        <v>16</v>
        <stp/>
        <stp>1525</stp>
        <stp>PredictVolume</stp>
        <tr r="AJ500" s="57"/>
      </tp>
      <tp>
        <v>368</v>
        <stp/>
        <stp>1515</stp>
        <stp>PredictVolume</stp>
        <tr r="AJ134" s="57"/>
      </tp>
      <tp>
        <v>63</v>
        <stp/>
        <stp>1565</stp>
        <stp>PredictVolume</stp>
        <tr r="AJ288" s="57"/>
      </tp>
      <tp>
        <v>252</v>
        <stp/>
        <stp>1615</stp>
        <stp>PredictVolume</stp>
        <tr r="AJ232" s="57"/>
      </tp>
      <tp>
        <v>287963</v>
        <stp/>
        <stp>1605</stp>
        <stp>PredictVolume</stp>
        <tr r="AJ226" s="57"/>
      </tp>
      <tp>
        <v>8992</v>
        <stp/>
        <stp>1795</stp>
        <stp>PredictVolume</stp>
        <tr r="AJ308" s="57"/>
      </tp>
      <tp>
        <v>4064</v>
        <stp/>
        <stp>1785</stp>
        <stp>PredictVolume</stp>
        <tr r="AJ1685" s="57"/>
      </tp>
      <tp>
        <v>1</v>
        <stp/>
        <stp>1735</stp>
        <stp>PredictVolume</stp>
        <tr r="AJ260" s="57"/>
      </tp>
      <tp>
        <v>32</v>
        <stp/>
        <stp>1725</stp>
        <stp>PredictVolume</stp>
        <tr r="AJ255" s="57"/>
      </tp>
      <tp>
        <v>37</v>
        <stp/>
        <stp>1235</stp>
        <stp>PredictVolume</stp>
        <tr r="AJ30" s="57"/>
      </tp>
      <tp>
        <v>108</v>
        <stp/>
        <stp>1225</stp>
        <stp>PredictVolume</stp>
        <tr r="AJ23" s="57"/>
      </tp>
      <tp>
        <v>460</v>
        <stp/>
        <stp>1215</stp>
        <stp>PredictVolume</stp>
        <tr r="AJ17" s="57"/>
      </tp>
      <tp>
        <v>1175</v>
        <stp/>
        <stp>1325</stp>
        <stp>PredictVolume</stp>
        <tr r="AJ57" s="57"/>
        <tr r="AM15" s="28"/>
      </tp>
      <tp>
        <v>36</v>
        <stp/>
        <stp>1315</stp>
        <stp>PredictVolume</stp>
        <tr r="AJ53" s="57"/>
      </tp>
      <tp>
        <v>958</v>
        <stp/>
        <stp>1305</stp>
        <stp>PredictVolume</stp>
        <tr r="AJ45" s="57"/>
      </tp>
      <tp>
        <v>1019</v>
        <stp/>
        <stp>1815</stp>
        <stp>PredictVolume</stp>
        <tr r="AJ1021" s="57"/>
      </tp>
      <tp>
        <v>124</v>
        <stp/>
        <stp>1805</stp>
        <stp>PredictVolume</stp>
        <tr r="AJ1438" s="57"/>
      </tp>
      <tp>
        <v>773</v>
        <stp/>
        <stp>1905</stp>
        <stp>PredictVolume</stp>
        <tr r="AJ425" s="57"/>
      </tp>
      <tp>
        <v>40</v>
        <stp/>
        <stp>8435</stp>
        <stp>PredictVolume</stp>
        <tr r="AJ1372" s="57"/>
      </tp>
      <tp>
        <v>6080</v>
        <stp/>
        <stp>8415</stp>
        <stp>PredictVolume</stp>
        <tr r="AJ473" s="57"/>
      </tp>
      <tp>
        <v>69</v>
        <stp/>
        <stp>8455</stp>
        <stp>PredictVolume</stp>
        <tr r="AJ1768" s="57"/>
      </tp>
      <tp>
        <v>65</v>
        <stp/>
        <stp>8085</stp>
        <stp>PredictVolume</stp>
        <tr r="AJ1762" s="57"/>
      </tp>
      <tp>
        <v>564</v>
        <stp/>
        <stp>8105</stp>
        <stp>PredictVolume</stp>
        <tr r="AJ922" s="57"/>
      </tp>
      <tp>
        <v>1291</v>
        <stp/>
        <stp>8155</stp>
        <stp>PredictVolume</stp>
        <tr r="AJ1216" s="57"/>
      </tp>
      <tp>
        <v>774</v>
        <stp/>
        <stp>8215</stp>
        <stp>PredictVolume</stp>
        <tr r="AJ924" s="57"/>
      </tp>
      <tp>
        <v>373</v>
        <stp/>
        <stp>8255</stp>
        <stp>PredictVolume</stp>
        <tr r="AJ218" s="57"/>
      </tp>
      <tp>
        <v>112</v>
        <stp/>
        <stp>8935</stp>
        <stp>PredictVolume</stp>
        <tr r="AJ1399" s="57"/>
      </tp>
      <tp>
        <v>141</v>
        <stp/>
        <stp>8905</stp>
        <stp>PredictVolume</stp>
        <tr r="AJ1390" s="57"/>
      </tp>
      <tp>
        <v>60</v>
        <stp/>
        <stp>9935</stp>
        <stp>PredictVolume</stp>
        <tr r="AJ1423" s="57"/>
      </tp>
      <tp>
        <v>103</v>
        <stp/>
        <stp>9925</stp>
        <stp>PredictVolume</stp>
        <tr r="AJ1416" s="57"/>
      </tp>
      <tp>
        <v>46</v>
        <stp/>
        <stp>9905</stp>
        <stp>PredictVolume</stp>
        <tr r="AJ1407" s="57"/>
      </tp>
      <tp>
        <v>10308</v>
        <stp/>
        <stp>9955</stp>
        <stp>PredictVolume</stp>
        <tr r="AJ1431" s="57"/>
      </tp>
      <tp>
        <v>4110</v>
        <stp/>
        <stp>9945</stp>
        <stp>PredictVolume</stp>
        <tr r="AJ1430" s="57"/>
      </tp>
      <tp>
        <v>21.3</v>
        <stp/>
        <stp>2208</stp>
        <stp>Price</stp>
        <tr r="V1510" s="57"/>
      </tp>
      <tp>
        <v>68</v>
        <stp/>
        <stp>2228</stp>
        <stp>Price</stp>
        <tr r="V511" s="57"/>
      </tp>
      <tp>
        <v>102</v>
        <stp/>
        <stp>2348</stp>
        <stp>Price</stp>
        <tr r="V1313" s="57"/>
      </tp>
      <tp>
        <v>23.3</v>
        <stp/>
        <stp>2358</stp>
        <stp>Price</stp>
        <tr r="V1314" s="57"/>
      </tp>
      <tp>
        <v>84.7</v>
        <stp/>
        <stp>2368</stp>
        <stp>Price</stp>
        <tr r="V1030" s="57"/>
      </tp>
      <tp>
        <v>253</v>
        <stp/>
        <stp>2308</stp>
        <stp>Price</stp>
        <tr r="V1023" s="57"/>
        <tr r="V6" s="118"/>
      </tp>
      <tp>
        <v>37.85</v>
        <stp/>
        <stp>2328</stp>
        <stp>Price</stp>
        <tr r="V1027" s="57"/>
      </tp>
      <tp>
        <v>89.8</v>
        <stp/>
        <stp>2338</stp>
        <stp>Price</stp>
        <tr r="V533" s="57"/>
      </tp>
      <tp>
        <v>58.5</v>
        <stp/>
        <stp>2388</stp>
        <stp>Price</stp>
        <tr r="V540" s="57"/>
      </tp>
      <tp>
        <v>19.600000000000001</v>
        <stp/>
        <stp>2008</stp>
        <stp>Price</stp>
        <tr r="V434" s="57"/>
      </tp>
      <tp>
        <v>46.2</v>
        <stp/>
        <stp>2028</stp>
        <stp>Price</stp>
        <tr r="V448" s="57"/>
      </tp>
      <tp>
        <v>35.1</v>
        <stp/>
        <stp>2038</stp>
        <stp>Price</stp>
        <tr r="V456" s="57"/>
      </tp>
      <tp>
        <v>57.1</v>
        <stp/>
        <stp>2108</stp>
        <stp>Price</stp>
        <tr r="V486" s="57"/>
      </tp>
      <tp>
        <v>43.55</v>
        <stp/>
        <stp>2608</stp>
        <stp>Price</stp>
        <tr r="V1515" s="57"/>
      </tp>
      <tp>
        <v>37.35</v>
        <stp/>
        <stp>2618</stp>
        <stp>Price</stp>
        <tr r="V1523" s="57"/>
      </tp>
      <tp>
        <v>41.25</v>
        <stp/>
        <stp>2748</stp>
        <stp>Price</stp>
        <tr r="V1566" s="57"/>
      </tp>
      <tp>
        <v>34.35</v>
        <stp/>
        <stp>2718</stp>
        <stp>Price</stp>
        <tr r="V1550" s="57"/>
      </tp>
      <tp>
        <v>161.5</v>
        <stp/>
        <stp>2458</stp>
        <stp>Price</stp>
        <tr r="V25" s="74"/>
        <tr r="V8" s="74"/>
        <tr r="V549" s="57"/>
      </tp>
      <tp>
        <v>13.45</v>
        <stp/>
        <stp>2468</stp>
        <stp>Price</stp>
        <tr r="V1265" s="57"/>
      </tp>
      <tp>
        <v>54.4</v>
        <stp/>
        <stp>2478</stp>
        <stp>Price</stp>
        <tr r="V1050" s="57"/>
      </tp>
      <tp>
        <v>64.099999999999994</v>
        <stp/>
        <stp>2408</stp>
        <stp>Price</stp>
        <tr r="V542" s="57"/>
      </tp>
      <tp>
        <v>135</v>
        <stp/>
        <stp>2428</stp>
        <stp>Price</stp>
        <tr r="V1040" s="57"/>
      </tp>
      <tp>
        <v>13.85</v>
        <stp/>
        <stp>2438</stp>
        <stp>Price</stp>
        <tr r="V815" s="57"/>
      </tp>
      <tp>
        <v>26.35</v>
        <stp/>
        <stp>2488</stp>
        <stp>Price</stp>
        <tr r="V1701" s="57"/>
      </tp>
      <tp>
        <v>56.1</v>
        <stp/>
        <stp>2498</stp>
        <stp>Price</stp>
        <tr r="V939" s="57"/>
      </tp>
      <tp>
        <v>91.3</v>
        <stp/>
        <stp>2548</stp>
        <stp>Price</stp>
        <tr r="V1464" s="57"/>
      </tp>
      <tp>
        <v>19.600000000000001</v>
        <stp/>
        <stp>2528</stp>
        <stp>Price</stp>
        <tr r="V1450" s="57"/>
      </tp>
      <tp>
        <v>12.7</v>
        <stp/>
        <stp>2538</stp>
        <stp>Price</stp>
        <tr r="V1456" s="57"/>
      </tp>
      <tp>
        <v>16.149999999999999</v>
        <stp/>
        <stp>2838</stp>
        <stp>Price</stp>
        <tr r="V1595" s="57"/>
      </tp>
      <tp>
        <v>10.65</v>
        <stp/>
        <stp>2888</stp>
        <stp>Price</stp>
        <tr r="V1611" s="57"/>
      </tp>
      <tp>
        <v>21.9</v>
        <stp/>
        <stp>2908</stp>
        <stp>Price</stp>
        <tr r="V1639" s="57"/>
      </tp>
      <tp>
        <v>25.5</v>
        <stp/>
        <stp>3268</stp>
        <stp>Price</stp>
        <tr r="V573" s="57"/>
      </tp>
      <tp>
        <v>271</v>
        <stp/>
        <stp>3218</stp>
        <stp>Price</stp>
        <tr r="V315" s="57"/>
      </tp>
      <tp>
        <v>350</v>
        <stp/>
        <stp>3228</stp>
        <stp>Price</stp>
        <tr r="V567" s="57"/>
      </tp>
      <tp>
        <v>12.95</v>
        <stp/>
        <stp>3288</stp>
        <stp>Price</stp>
        <tr r="V1079" s="57"/>
      </tp>
      <tp>
        <v>14.3</v>
        <stp/>
        <stp>3308</stp>
        <stp>Price</stp>
        <tr r="V1083" s="57"/>
      </tp>
      <tp>
        <v>49.95</v>
        <stp/>
        <stp>3338</stp>
        <stp>Price</stp>
        <tr r="V1089" s="57"/>
      </tp>
      <tp>
        <v>87.9</v>
        <stp/>
        <stp>3388</stp>
        <stp>Price</stp>
        <tr r="V1093" s="57"/>
      </tp>
      <tp>
        <v>36.65</v>
        <stp/>
        <stp>3048</stp>
        <stp>Price</stp>
        <tr r="V1233" s="57"/>
      </tp>
      <tp>
        <v>12.8</v>
        <stp/>
        <stp>3058</stp>
        <stp>Price</stp>
        <tr r="V1065" s="57"/>
      </tp>
      <tp>
        <v>36.15</v>
        <stp/>
        <stp>3078</stp>
        <stp>Price</stp>
        <tr r="V1066" s="57"/>
      </tp>
      <tp>
        <v>1645</v>
        <stp/>
        <stp>3008</stp>
        <stp>Price</stp>
        <tr r="V820" s="57"/>
      </tp>
      <tp>
        <v>18.95</v>
        <stp/>
        <stp>3018</stp>
        <stp>Price</stp>
        <tr r="V1703" s="57"/>
      </tp>
      <tp>
        <v>39.65</v>
        <stp/>
        <stp>3028</stp>
        <stp>Price</stp>
        <tr r="V1230" s="57"/>
      </tp>
      <tp>
        <v>19</v>
        <stp/>
        <stp>3038</stp>
        <stp>Price</stp>
        <tr r="V824" s="57"/>
      </tp>
      <tp>
        <v>65.2</v>
        <stp/>
        <stp>3088</stp>
        <stp>Price</stp>
        <tr r="V732" s="57"/>
      </tp>
      <tp>
        <v>63.1</v>
        <stp/>
        <stp>3178</stp>
        <stp>Price</stp>
        <tr r="V171" s="57"/>
      </tp>
      <tp>
        <v>30.5</v>
        <stp/>
        <stp>3118</stp>
        <stp>Price</stp>
        <tr r="V311" s="57"/>
      </tp>
      <tp>
        <v>19.8</v>
        <stp/>
        <stp>3128</stp>
        <stp>Price</stp>
        <tr r="V830" s="57"/>
      </tp>
      <tp>
        <v>170</v>
        <stp/>
        <stp>3138</stp>
        <stp>Price</stp>
        <tr r="V36" s="74"/>
        <tr r="V19" s="74"/>
        <tr r="V947" s="57"/>
      </tp>
      <tp>
        <v>16.2</v>
        <stp/>
        <stp>3188</stp>
        <stp>Price</stp>
        <tr r="V1471" s="57"/>
      </tp>
      <tp>
        <v>50.8</v>
        <stp/>
        <stp>3628</stp>
        <stp>Price</stp>
        <tr r="V1726" s="57"/>
      </tp>
      <tp>
        <v>116</v>
        <stp/>
        <stp>3708</stp>
        <stp>Price</stp>
        <tr r="V264" s="57"/>
      </tp>
      <tp>
        <v>73.3</v>
        <stp/>
        <stp>3438</stp>
        <stp>Price</stp>
        <tr r="V578" s="57"/>
      </tp>
      <tp>
        <v>28.9</v>
        <stp/>
        <stp>3498</stp>
        <stp>Price</stp>
        <tr r="V1717" s="57"/>
      </tp>
      <tp>
        <v>70</v>
        <stp/>
        <stp>3548</stp>
        <stp>Price</stp>
        <tr r="V1106" s="57"/>
      </tp>
      <tp>
        <v>190.5</v>
        <stp/>
        <stp>3558</stp>
        <stp>Price</stp>
        <tr r="V960" s="57"/>
      </tp>
      <tp>
        <v>41.2</v>
        <stp/>
        <stp>3508</stp>
        <stp>Price</stp>
        <tr r="V1718" s="57"/>
      </tp>
      <tp>
        <v>20.75</v>
        <stp/>
        <stp>3518</stp>
        <stp>Price</stp>
        <tr r="V1719" s="57"/>
      </tp>
      <tp>
        <v>51.8</v>
        <stp/>
        <stp>3528</stp>
        <stp>Price</stp>
        <tr r="V1241" s="57"/>
      </tp>
      <tp>
        <v>117</v>
        <stp/>
        <stp>3588</stp>
        <stp>Price</stp>
        <tr r="V591" s="57"/>
      </tp>
      <tp>
        <v>23.6</v>
        <stp/>
        <stp>1258</stp>
        <stp>Price</stp>
        <tr r="V33" s="57"/>
      </tp>
      <tp>
        <v>112</v>
        <stp/>
        <stp>1268</stp>
        <stp>Price</stp>
        <tr r="V1542" s="57"/>
      </tp>
      <tp>
        <v>29</v>
        <stp/>
        <stp>1218</stp>
        <stp>Price</stp>
        <tr r="V20" s="57"/>
      </tp>
      <tp>
        <v>36.6</v>
        <stp/>
        <stp>1308</stp>
        <stp>Price</stp>
        <tr r="V47" s="57"/>
      </tp>
      <tp>
        <v>53.5</v>
        <stp/>
        <stp>1338</stp>
        <stp>Price</stp>
        <tr r="V494" s="57"/>
      </tp>
      <tp>
        <v>11.95</v>
        <stp/>
        <stp>1108</stp>
        <stp>Price</stp>
        <tr r="V8" s="57"/>
      </tp>
      <tp>
        <v>23.2</v>
        <stp/>
        <stp>1608</stp>
        <stp>Price</stp>
        <tr r="V227" s="57"/>
      </tp>
      <tp>
        <v>14.1</v>
        <stp/>
        <stp>1618</stp>
        <stp>Price</stp>
        <tr r="V235" s="57"/>
      </tp>
      <tp>
        <v>67.8</v>
        <stp/>
        <stp>1708</stp>
        <stp>Price</stp>
        <tr r="V243" s="57"/>
        <tr r="V1712" s="57"/>
      </tp>
      <tp>
        <v>9.19</v>
        <stp/>
        <stp>1718</stp>
        <stp>Price</stp>
        <tr r="V251" s="57"/>
      </tp>
      <tp>
        <v>147</v>
        <stp/>
        <stp>1788</stp>
        <stp>Price</stp>
        <tr r="V306" s="57"/>
      </tp>
      <tp>
        <v>12.3</v>
        <stp/>
        <stp>1468</stp>
        <stp>Price</stp>
        <tr r="V103" s="57"/>
      </tp>
      <tp>
        <v>16.149999999999999</v>
        <stp/>
        <stp>1418</stp>
        <stp>Price</stp>
        <tr r="V76" s="57"/>
      </tp>
      <tp>
        <v>32.549999999999997</v>
        <stp/>
        <stp>1438</stp>
        <stp>Price</stp>
        <tr r="V1436" s="57"/>
      </tp>
      <tp>
        <v>139</v>
        <stp/>
        <stp>1558</stp>
        <stp>Price</stp>
        <tr r="V150" s="57"/>
      </tp>
      <tp>
        <v>20.6</v>
        <stp/>
        <stp>1568</stp>
        <stp>Price</stp>
        <tr r="V503" s="57"/>
      </tp>
      <tp>
        <v>9.5299999999999994</v>
        <stp/>
        <stp>1528</stp>
        <stp>Price</stp>
        <tr r="V139" s="57"/>
      </tp>
      <tp>
        <v>7.65</v>
        <stp/>
        <stp>1538</stp>
        <stp>Price</stp>
        <tr r="V146" s="57"/>
      </tp>
      <tp>
        <v>44.75</v>
        <stp/>
        <stp>1598</stp>
        <stp>Price</stp>
        <tr r="V136" s="22"/>
        <tr r="V137" s="22"/>
        <tr r="V138" s="22"/>
        <tr r="V139" s="22"/>
        <tr r="V290" s="57"/>
        <tr r="V39" s="28"/>
      </tp>
      <tp>
        <v>58.1</v>
        <stp/>
        <stp>1808</stp>
        <stp>Price</stp>
        <tr r="V1439" s="57"/>
      </tp>
      <tp>
        <v>23</v>
        <stp/>
        <stp>6248</stp>
        <stp>Price</stp>
        <tr r="V471" s="57"/>
      </tp>
      <tp>
        <v>113</v>
        <stp/>
        <stp>6278</stp>
        <stp>Price</stp>
        <tr r="V33" s="74"/>
        <tr r="V904" s="57"/>
      </tp>
      <tp>
        <v>55</v>
        <stp/>
        <stp>6208</stp>
        <stp>Price</stp>
        <tr r="V1174" s="57"/>
      </tp>
      <tp>
        <v>20.8</v>
        <stp/>
        <stp>6218</stp>
        <stp>Price</stp>
        <tr r="V989" s="57"/>
      </tp>
      <tp>
        <v>20.399999999999999</v>
        <stp/>
        <stp>6228</stp>
        <stp>Price</stp>
        <tr r="V784" s="57"/>
      </tp>
      <tp>
        <v>24.3</v>
        <stp/>
        <stp>6288</stp>
        <stp>Price</stp>
        <tr r="V524" s="57"/>
      </tp>
      <tp>
        <v>14</v>
        <stp/>
        <stp>6148</stp>
        <stp>Price</stp>
        <tr r="V1285" s="57"/>
      </tp>
      <tp>
        <v>34.65</v>
        <stp/>
        <stp>6158</stp>
        <stp>Price</stp>
        <tr r="V1161" s="57"/>
      </tp>
      <tp>
        <v>22.8</v>
        <stp/>
        <stp>6168</stp>
        <stp>Price</stp>
        <tr r="V895" s="57"/>
      </tp>
      <tp>
        <v>19.850000000000001</v>
        <stp/>
        <stp>6108</stp>
        <stp>Price</stp>
        <tr r="V1149" s="57"/>
      </tp>
      <tp>
        <v>31.8</v>
        <stp/>
        <stp>6118</stp>
        <stp>Price</stp>
        <tr r="V1245" s="57"/>
      </tp>
      <tp>
        <v>30.7</v>
        <stp/>
        <stp>6128</stp>
        <stp>Price</stp>
        <tr r="V777" s="57"/>
      </tp>
      <tp>
        <v>222</v>
        <stp/>
        <stp>6138</stp>
        <stp>Price</stp>
        <tr r="V630" s="57"/>
      </tp>
      <tp>
        <v>41.2</v>
        <stp/>
        <stp>6188</stp>
        <stp>Price</stp>
        <tr r="V782" s="57"/>
      </tp>
      <tp>
        <v>33.950000000000003</v>
        <stp/>
        <stp>6198</stp>
        <stp>Price</stp>
        <tr r="V633" s="57"/>
      </tp>
      <tp>
        <v>48.1</v>
        <stp/>
        <stp>6668</stp>
        <stp>Price</stp>
        <tr r="V914" s="57"/>
      </tp>
      <tp>
        <v>40.9</v>
        <stp/>
        <stp>6698</stp>
        <stp>Price</stp>
        <tr r="V1758" s="57"/>
      </tp>
      <tp>
        <v>70.7</v>
        <stp/>
        <stp>6768</stp>
        <stp>Price</stp>
        <tr r="V1354" s="57"/>
      </tp>
      <tp>
        <v>177</v>
        <stp/>
        <stp>6728</stp>
        <stp>Price</stp>
        <tr r="V1661" s="57"/>
      </tp>
      <tp>
        <v>122</v>
        <stp/>
        <stp>6788</stp>
        <stp>Price</stp>
        <tr r="V678" s="57"/>
      </tp>
      <tp>
        <v>16.7</v>
        <stp/>
        <stp>6418</stp>
        <stp>Price</stp>
        <tr r="V1191" s="57"/>
      </tp>
      <tp>
        <v>116</v>
        <stp/>
        <stp>6438</stp>
        <stp>Price</stp>
        <tr r="V1751" s="57"/>
      </tp>
      <tp>
        <v>623</v>
        <stp/>
        <stp>6488</stp>
        <stp>Price</stp>
        <tr r="V653" s="57"/>
        <tr r="V32" s="118"/>
      </tp>
      <tp>
        <v>99</v>
        <stp/>
        <stp>6548</stp>
        <stp>Price</stp>
        <tr r="V661" s="57"/>
      </tp>
      <tp>
        <v>28.2</v>
        <stp/>
        <stp>6558</stp>
        <stp>Price</stp>
        <tr r="V131" s="22"/>
        <tr r="V132" s="22"/>
        <tr r="V1753" s="57"/>
        <tr r="V38" s="28"/>
      </tp>
      <tp>
        <v>171.5</v>
        <stp/>
        <stp>6568</stp>
        <stp>Price</stp>
        <tr r="V663" s="57"/>
      </tp>
      <tp>
        <v>22.15</v>
        <stp/>
        <stp>6578</stp>
        <stp>Price</stp>
        <tr r="V1809" s="57"/>
      </tp>
      <tp>
        <v>57.3</v>
        <stp/>
        <stp>6508</stp>
        <stp>Price</stp>
        <tr r="V1811" s="57"/>
      </tp>
      <tp>
        <v>78.400000000000006</v>
        <stp/>
        <stp>6538</stp>
        <stp>Price</stp>
        <tr r="V1194" s="57"/>
      </tp>
      <tp>
        <v>41.6</v>
        <stp/>
        <stp>6588</stp>
        <stp>Price</stp>
        <tr r="V1003" s="57"/>
      </tp>
      <tp>
        <v>50.2</v>
        <stp/>
        <stp>6598</stp>
        <stp>Price</stp>
        <tr r="V395" s="57"/>
      </tp>
      <tp>
        <v>92.9</v>
        <stp/>
        <stp>4148</stp>
        <stp>Price</stp>
        <tr r="V344" s="57"/>
      </tp>
      <tp>
        <v>29.65</v>
        <stp/>
        <stp>4168</stp>
        <stp>Price</stp>
        <tr r="V355" s="57"/>
      </tp>
      <tp>
        <v>20.6</v>
        <stp/>
        <stp>4108</stp>
        <stp>Price</stp>
        <tr r="V322" s="57"/>
      </tp>
      <tp>
        <v>59.4</v>
        <stp/>
        <stp>4128</stp>
        <stp>Price</stp>
        <tr r="V43" s="22"/>
        <tr r="V44" s="22"/>
        <tr r="V45" s="22"/>
        <tr r="V46" s="22"/>
        <tr r="V47" s="22"/>
        <tr r="V48" s="22"/>
        <tr r="V333" s="57"/>
        <tr r="V21" s="28"/>
      </tp>
      <tp>
        <v>56.4</v>
        <stp/>
        <stp>4138</stp>
        <stp>Price</stp>
        <tr r="V339" s="57"/>
      </tp>
      <tp>
        <v>17.45</v>
        <stp/>
        <stp>4188</stp>
        <stp>Price</stp>
        <tr r="V360" s="57"/>
      </tp>
      <tp>
        <v>5</v>
        <stp/>
        <stp>4198</stp>
        <stp>Price</stp>
        <tr r="V363" s="57"/>
      </tp>
      <tp>
        <v>120</v>
        <stp/>
        <stp>4768</stp>
        <stp>Price</stp>
        <tr r="V282" s="57"/>
        <tr r="V55" s="28"/>
      </tp>
      <tp>
        <v>138</v>
        <stp/>
        <stp>4728</stp>
        <stp>Price</stp>
        <tr r="V365" s="57"/>
      </tp>
      <tp>
        <v>113.5</v>
        <stp/>
        <stp>4438</stp>
        <stp>Price</stp>
        <tr r="V123" s="57"/>
      </tp>
      <tp>
        <v>44.1</v>
        <stp/>
        <stp>4558</stp>
        <stp>Price</stp>
        <tr r="V196" s="57"/>
      </tp>
      <tp>
        <v>67.400000000000006</v>
        <stp/>
        <stp>4568</stp>
        <stp>Price</stp>
        <tr r="V203" s="57"/>
      </tp>
      <tp>
        <v>40.049999999999997</v>
        <stp/>
        <stp>4528</stp>
        <stp>Price</stp>
        <tr r="V183" s="57"/>
      </tp>
      <tp>
        <v>107.5</v>
        <stp/>
        <stp>4958</stp>
        <stp>Price</stp>
        <tr r="V33" s="22"/>
        <tr r="V34" s="22"/>
        <tr r="V35" s="22"/>
        <tr r="V1128" s="57"/>
        <tr r="V19" s="28"/>
      </tp>
      <tp>
        <v>203</v>
        <stp/>
        <stp>4968</stp>
        <stp>Price</stp>
        <tr r="V606" s="57"/>
      </tp>
      <tp>
        <v>35.75</v>
        <stp/>
        <stp>4908</stp>
        <stp>Price</stp>
        <tr r="V973" s="57"/>
      </tp>
      <tp>
        <v>71.5</v>
        <stp/>
        <stp>4938</stp>
        <stp>Price</stp>
        <tr r="V39" s="22"/>
        <tr r="V761" s="57"/>
        <tr r="V20" s="28"/>
      </tp>
      <tp>
        <v>39.25</v>
        <stp/>
        <stp>5258</stp>
        <stp>Price</stp>
        <tr r="V765" s="57"/>
      </tp>
      <tp>
        <v>266</v>
        <stp/>
        <stp>5278</stp>
        <stp>Price</stp>
        <tr r="V1800" s="57"/>
      </tp>
      <tp>
        <v>154.5</v>
        <stp/>
        <stp>5288</stp>
        <stp>Price</stp>
        <tr r="V208" s="57"/>
      </tp>
      <tp>
        <v>8.06</v>
        <stp/>
        <stp>5348</stp>
        <stp>Price</stp>
        <tr r="V977" s="57"/>
      </tp>
      <tp>
        <v>12.25</v>
        <stp/>
        <stp>5328</stp>
        <stp>Price</stp>
        <tr r="V1136" s="57"/>
      </tp>
      <tp>
        <v>78</v>
        <stp/>
        <stp>5388</stp>
        <stp>Price</stp>
        <tr r="V979" s="57"/>
      </tp>
      <tp>
        <v>19.399999999999999</v>
        <stp/>
        <stp>5398</stp>
        <stp>Price</stp>
        <tr r="V1332" s="57"/>
      </tp>
      <tp>
        <v>44.1</v>
        <stp/>
        <stp>5608</stp>
        <stp>Price</stp>
        <tr r="V1536" s="57"/>
      </tp>
      <tp>
        <v>28.85</v>
        <stp/>
        <stp>5468</stp>
        <stp>Price</stp>
        <tr r="V623" s="57"/>
      </tp>
      <tp>
        <v>91.5</v>
        <stp/>
        <stp>5478</stp>
        <stp>Price</stp>
        <tr r="V8" s="114"/>
        <tr r="V1781" s="57"/>
      </tp>
      <tp>
        <v>14.6</v>
        <stp/>
        <stp>5438</stp>
        <stp>Price</stp>
        <tr r="V770" s="57"/>
      </tp>
      <tp>
        <v>8.76</v>
        <stp/>
        <stp>5488</stp>
        <stp>Price</stp>
        <tr r="V1147" s="57"/>
      </tp>
      <tp>
        <v>11.15</v>
        <stp/>
        <stp>5498</stp>
        <stp>Price</stp>
        <tr r="V1148" s="57"/>
      </tp>
      <tp>
        <v>72.3</v>
        <stp/>
        <stp>5508</stp>
        <stp>Price</stp>
        <tr r="V1482" s="57"/>
      </tp>
      <tp>
        <v>56.7</v>
        <stp/>
        <stp>5538</stp>
        <stp>Price</stp>
        <tr r="V470" s="57"/>
      </tp>
      <tp t="s">
        <v>無資料</v>
        <stp/>
        <stp>5878</stp>
        <stp>Price</stp>
        <tr r="V1620" s="57"/>
      </tp>
      <tp>
        <v>68</v>
        <stp/>
        <stp>8358</stp>
        <stp>Price</stp>
        <tr r="V1222" s="57"/>
      </tp>
      <tp>
        <v>34.4</v>
        <stp/>
        <stp>8048</stp>
        <stp>Price</stp>
        <tr r="V1008" s="57"/>
      </tp>
      <tp>
        <v>32.450000000000003</v>
        <stp/>
        <stp>8068</stp>
        <stp>Price</stp>
        <tr r="V1255" s="57"/>
      </tp>
      <tp>
        <v>57.8</v>
        <stp/>
        <stp>8028</stp>
        <stp>Price</stp>
        <tr r="V682" s="57"/>
      </tp>
      <tp>
        <v>41.2</v>
        <stp/>
        <stp>8038</stp>
        <stp>Price</stp>
        <tr r="V1202" s="57"/>
      </tp>
      <tp>
        <v>22.9</v>
        <stp/>
        <stp>8088</stp>
        <stp>Price</stp>
        <tr r="V687" s="57"/>
      </tp>
      <tp>
        <v>174.5</v>
        <stp/>
        <stp>8478</stp>
        <stp>Price</stp>
        <tr r="V1384" s="57"/>
      </tp>
      <tp>
        <v>10.35</v>
        <stp/>
        <stp>8418</stp>
        <stp>Price</stp>
        <tr r="V1366" s="57"/>
      </tp>
      <tp>
        <v>37.6</v>
        <stp/>
        <stp>8438</stp>
        <stp>Price</stp>
        <tr r="V1374" s="57"/>
      </tp>
      <tp>
        <v>17.399999999999999</v>
        <stp/>
        <stp>8488</stp>
        <stp>Price</stp>
        <tr r="V1388" s="57"/>
      </tp>
      <tp>
        <v>78.400000000000006</v>
        <stp/>
        <stp>8908</stp>
        <stp>Price</stp>
        <tr r="V1678" s="57"/>
      </tp>
      <tp>
        <v>37.5</v>
        <stp/>
        <stp>8928</stp>
        <stp>Price</stp>
        <tr r="V1395" s="57"/>
      </tp>
      <tp>
        <v>83.1</v>
        <stp/>
        <stp>8938</stp>
        <stp>Price</stp>
        <tr r="V1402" s="57"/>
      </tp>
      <tp>
        <v>124</v>
        <stp/>
        <stp>9958</stp>
        <stp>Price</stp>
        <tr r="V475" s="57"/>
      </tp>
      <tp>
        <v>33.65</v>
        <stp/>
        <stp>9908</stp>
        <stp>Price</stp>
        <tr r="V1679" s="57"/>
      </tp>
      <tp>
        <v>42.5</v>
        <stp/>
        <stp>9918</stp>
        <stp>Price</stp>
        <tr r="V1676" s="57"/>
      </tp>
      <tp>
        <v>16.600000000000001</v>
        <stp/>
        <stp>9928</stp>
        <stp>Price</stp>
        <tr r="V1418" s="57"/>
      </tp>
      <tp>
        <v>72.599999999999994</v>
        <stp/>
        <stp>9938</stp>
        <stp>Price</stp>
        <tr r="V4" s="114"/>
        <tr r="V1424" s="57"/>
      </tp>
      <tp>
        <v>352</v>
        <stp/>
        <stp>6494</stp>
        <stp>PredictVolume</stp>
        <tr r="AJ654" s="57"/>
      </tp>
      <tp>
        <v>619</v>
        <stp/>
        <stp>6414</stp>
        <stp>PredictVolume</stp>
        <tr r="AJ789" s="57"/>
      </tp>
      <tp>
        <v>0</v>
        <stp/>
        <stp>6404</stp>
        <stp>PredictVolume</stp>
        <tr r="AJ1291" s="57"/>
      </tp>
      <tp>
        <v>12</v>
        <stp/>
        <stp>6464</stp>
        <stp>PredictVolume</stp>
        <tr r="AJ1341" s="57"/>
      </tp>
      <tp>
        <v>365</v>
        <stp/>
        <stp>6594</stp>
        <stp>PredictVolume</stp>
        <tr r="AJ665" s="57"/>
      </tp>
      <tp>
        <v>497</v>
        <stp/>
        <stp>6514</stp>
        <stp>PredictVolume</stp>
        <tr r="AJ1000" s="57"/>
      </tp>
      <tp>
        <v>30</v>
        <stp/>
        <stp>6504</stp>
        <stp>PredictVolume</stp>
        <tr r="AJ1342" s="57"/>
      </tp>
      <tp>
        <v>3</v>
        <stp/>
        <stp>6574</stp>
        <stp>PredictVolume</stp>
        <tr r="AJ392" s="57"/>
      </tp>
      <tp>
        <v>132</v>
        <stp/>
        <stp>6684</stp>
        <stp>PredictVolume</stp>
        <tr r="AJ671" s="57"/>
      </tp>
      <tp>
        <v>13</v>
        <stp/>
        <stp>6624</stp>
        <stp>PredictVolume</stp>
        <tr r="AJ1346" s="57"/>
      </tp>
      <tp>
        <v>9</v>
        <stp/>
        <stp>6674</stp>
        <stp>PredictVolume</stp>
        <tr r="AJ1004" s="57"/>
      </tp>
      <tp>
        <v>183</v>
        <stp/>
        <stp>6664</stp>
        <stp>PredictVolume</stp>
        <tr r="AJ1196" s="57"/>
      </tp>
      <tp>
        <v>30</v>
        <stp/>
        <stp>6654</stp>
        <stp>PredictVolume</stp>
        <tr r="AJ1755" s="57"/>
      </tp>
      <tp>
        <v>68</v>
        <stp/>
        <stp>6754</stp>
        <stp>PredictVolume</stp>
        <tr r="AJ1353" s="57"/>
      </tp>
      <tp>
        <v>61</v>
        <stp/>
        <stp>6024</stp>
        <stp>PredictVolume</stp>
        <tr r="AJ1628" s="57"/>
      </tp>
      <tp>
        <v>13</v>
        <stp/>
        <stp>6194</stp>
        <stp>PredictVolume</stp>
        <tr r="AJ1168" s="57"/>
      </tp>
      <tp>
        <v>30</v>
        <stp/>
        <stp>6184</stp>
        <stp>PredictVolume</stp>
        <tr r="AJ1338" s="57"/>
      </tp>
      <tp>
        <v>681</v>
        <stp/>
        <stp>6134</stp>
        <stp>PredictVolume</stp>
        <tr r="AJ1156" s="57"/>
      </tp>
      <tp>
        <v>10</v>
        <stp/>
        <stp>6124</stp>
        <stp>PredictVolume</stp>
        <tr r="AJ1152" s="57"/>
      </tp>
      <tp>
        <v>17</v>
        <stp/>
        <stp>6114</stp>
        <stp>PredictVolume</stp>
        <tr r="AJ1150" s="57"/>
      </tp>
      <tp>
        <v>19654</v>
        <stp/>
        <stp>6104</stp>
        <stp>PredictVolume</stp>
        <tr r="AJ628" s="57"/>
      </tp>
      <tp>
        <v>3123</v>
        <stp/>
        <stp>6174</stp>
        <stp>PredictVolume</stp>
        <tr r="AJ1164" s="57"/>
      </tp>
      <tp>
        <v>155</v>
        <stp/>
        <stp>6164</stp>
        <stp>PredictVolume</stp>
        <tr r="AJ893" s="57"/>
      </tp>
      <tp>
        <v>29</v>
        <stp/>
        <stp>6154</stp>
        <stp>PredictVolume</stp>
        <tr r="AJ1246" s="57"/>
      </tp>
      <tp>
        <v>38</v>
        <stp/>
        <stp>6144</stp>
        <stp>PredictVolume</stp>
        <tr r="AJ1784" s="57"/>
      </tp>
      <tp>
        <v>57</v>
        <stp/>
        <stp>6294</stp>
        <stp>PredictVolume</stp>
        <tr r="AJ1787" s="57"/>
      </tp>
      <tp>
        <v>230</v>
        <stp/>
        <stp>6284</stp>
        <stp>PredictVolume</stp>
        <tr r="AJ1187" s="57"/>
      </tp>
      <tp>
        <v>57</v>
        <stp/>
        <stp>6234</stp>
        <stp>PredictVolume</stp>
        <tr r="AJ901" s="57"/>
      </tp>
      <tp>
        <v>186</v>
        <stp/>
        <stp>6224</stp>
        <stp>PredictVolume</stp>
        <tr r="AJ1179" s="57"/>
      </tp>
      <tp>
        <v>243</v>
        <stp/>
        <stp>6214</stp>
        <stp>PredictVolume</stp>
        <tr r="AJ1287" s="57"/>
      </tp>
      <tp>
        <v>52</v>
        <stp/>
        <stp>6204</stp>
        <stp>PredictVolume</stp>
        <tr r="AJ1171" s="57"/>
      </tp>
      <tp>
        <v>5116</v>
        <stp/>
        <stp>6274</stp>
        <stp>PredictVolume</stp>
        <tr r="AJ1184" s="57"/>
      </tp>
      <tp>
        <v>40</v>
        <stp/>
        <stp>6264</stp>
        <stp>PredictVolume</stp>
        <tr r="AJ1504" s="57"/>
      </tp>
      <tp>
        <v>1668</v>
        <stp/>
        <stp>6244</stp>
        <stp>PredictVolume</stp>
        <tr r="AJ902" s="57"/>
      </tp>
      <tp>
        <v>18</v>
        <stp/>
        <stp>6804</stp>
        <stp>PredictVolume</stp>
        <tr r="AJ1357" s="57"/>
      </tp>
      <tp>
        <v>3194</v>
        <stp/>
        <stp>4414</stp>
        <stp>PredictVolume</stp>
        <tr r="AJ115" s="57"/>
      </tp>
      <tp>
        <v>209</v>
        <stp/>
        <stp>4534</stp>
        <stp>PredictVolume</stp>
        <tr r="AJ187" s="57"/>
      </tp>
      <tp>
        <v>185</v>
        <stp/>
        <stp>4564</stp>
        <stp>PredictVolume</stp>
        <tr r="AJ201" s="57"/>
      </tp>
      <tp>
        <v>246</v>
        <stp/>
        <stp>4554</stp>
        <stp>PredictVolume</stp>
        <tr r="AJ1730" s="57"/>
      </tp>
      <tp>
        <v>236</v>
        <stp/>
        <stp>4714</stp>
        <stp>PredictVolume</stp>
        <tr r="AJ269" s="57"/>
      </tp>
      <tp>
        <v>10</v>
        <stp/>
        <stp>4764</stp>
        <stp>PredictVolume</stp>
        <tr r="AJ279" s="57"/>
      </tp>
      <tp>
        <v>15</v>
        <stp/>
        <stp>4754</stp>
        <stp>PredictVolume</stp>
        <tr r="AJ276" s="57"/>
      </tp>
      <tp>
        <v>211</v>
        <stp/>
        <stp>4744</stp>
        <stp>PredictVolume</stp>
        <tr r="AJ370" s="57"/>
      </tp>
      <tp>
        <v>3357</v>
        <stp/>
        <stp>4114</stp>
        <stp>PredictVolume</stp>
        <tr r="AJ325" s="57"/>
      </tp>
      <tp>
        <v>512</v>
        <stp/>
        <stp>4104</stp>
        <stp>PredictVolume</stp>
        <tr r="AJ318" s="57"/>
      </tp>
      <tp>
        <v>904</v>
        <stp/>
        <stp>4174</stp>
        <stp>PredictVolume</stp>
        <tr r="AJ357" s="57"/>
      </tp>
      <tp>
        <v>1740</v>
        <stp/>
        <stp>4164</stp>
        <stp>PredictVolume</stp>
        <tr r="AJ353" s="57"/>
      </tp>
      <tp>
        <v>4</v>
        <stp/>
        <stp>4154</stp>
        <stp>PredictVolume</stp>
        <tr r="AJ346" s="57"/>
      </tp>
      <tp>
        <v>46</v>
        <stp/>
        <stp>4304</stp>
        <stp>PredictVolume</stp>
        <tr r="AJ63" s="57"/>
      </tp>
      <tp>
        <v>5164</v>
        <stp/>
        <stp>4804</stp>
        <stp>PredictVolume</stp>
        <tr r="AJ1574" s="57"/>
      </tp>
      <tp>
        <v>2176</v>
        <stp/>
        <stp>4994</stp>
        <stp>PredictVolume</stp>
        <tr r="AJ1272" s="57"/>
      </tp>
      <tp>
        <v>783</v>
        <stp/>
        <stp>4934</stp>
        <stp>PredictVolume</stp>
        <tr r="AJ867" s="57"/>
      </tp>
      <tp>
        <v>52</v>
        <stp/>
        <stp>4924</stp>
        <stp>PredictVolume</stp>
        <tr r="AJ759" s="57"/>
      </tp>
      <tp>
        <v>3439</v>
        <stp/>
        <stp>4904</stp>
        <stp>PredictVolume</stp>
        <tr r="AJ971" s="57"/>
      </tp>
      <tp>
        <v>73</v>
        <stp/>
        <stp>4974</stp>
        <stp>PredictVolume</stp>
        <tr r="AJ1129" s="57"/>
      </tp>
      <tp>
        <v>248</v>
        <stp/>
        <stp>4944</stp>
        <stp>PredictVolume</stp>
        <tr r="AJ870" s="57"/>
      </tp>
      <tp>
        <v>185</v>
        <stp/>
        <stp>5484</stp>
        <stp>PredictVolume</stp>
        <tr r="AM60" s="28"/>
        <tr r="AJ889" s="57"/>
      </tp>
      <tp>
        <v>1600</v>
        <stp/>
        <stp>5434</stp>
        <stp>PredictVolume</stp>
        <tr r="AJ1243" s="57"/>
      </tp>
      <tp>
        <v>467</v>
        <stp/>
        <stp>5474</stp>
        <stp>PredictVolume</stp>
        <tr r="AJ772" s="57"/>
      </tp>
      <tp>
        <v>47</v>
        <stp/>
        <stp>5464</stp>
        <stp>PredictVolume</stp>
        <tr r="AJ1144" s="57"/>
      </tp>
      <tp>
        <v>101</v>
        <stp/>
        <stp>5534</stp>
        <stp>PredictVolume</stp>
        <tr r="AJ1496" s="57"/>
      </tp>
      <tp>
        <v>44</v>
        <stp/>
        <stp>5514</stp>
        <stp>PredictVolume</stp>
        <tr r="AJ1485" s="57"/>
      </tp>
      <tp>
        <v>26</v>
        <stp/>
        <stp>5604</stp>
        <stp>PredictVolume</stp>
        <tr r="AJ1534" s="57"/>
      </tp>
      <tp>
        <v>25</v>
        <stp/>
        <stp>5704</stp>
        <stp>PredictVolume</stp>
        <tr r="AJ1579" s="57"/>
      </tp>
      <tp>
        <v>26201</v>
        <stp/>
        <stp>5014</stp>
        <stp>PredictVolume</stp>
        <tr r="AJ467" s="57"/>
      </tp>
      <tp>
        <v>21</v>
        <stp/>
        <stp>5284</stp>
        <stp>PredictVolume</stp>
        <tr r="AJ1330" s="57"/>
      </tp>
      <tp>
        <v>190</v>
        <stp/>
        <stp>5234</stp>
        <stp>PredictVolume</stp>
        <tr r="AJ878" s="57"/>
      </tp>
      <tp>
        <v>208</v>
        <stp/>
        <stp>5274</stp>
        <stp>PredictVolume</stp>
        <tr r="AJ614" s="57"/>
        <tr r="AJ36" s="118"/>
      </tp>
      <tp>
        <v>107</v>
        <stp/>
        <stp>5244</stp>
        <stp>PredictVolume</stp>
        <tr r="AJ880" s="57"/>
      </tp>
      <tp>
        <v>46</v>
        <stp/>
        <stp>5324</stp>
        <stp>PredictVolume</stp>
        <tr r="AJ1480" s="57"/>
      </tp>
      <tp>
        <v>1</v>
        <stp/>
        <stp>5314</stp>
        <stp>PredictVolume</stp>
        <tr r="AJ618" s="57"/>
      </tp>
      <tp>
        <v>8</v>
        <stp/>
        <stp>5364</stp>
        <stp>PredictVolume</stp>
        <tr r="AJ1576" s="57"/>
      </tp>
      <tp>
        <v>139</v>
        <stp/>
        <stp>5344</stp>
        <stp>PredictVolume</stp>
        <tr r="AJ619" s="57"/>
      </tp>
      <tp>
        <v>99</v>
        <stp/>
        <stp>5864</stp>
        <stp>PredictVolume</stp>
        <tr r="AJ1618" s="57"/>
      </tp>
      <tp>
        <v>83</v>
        <stp/>
        <stp>5904</stp>
        <stp>PredictVolume</stp>
        <tr r="AJ1656" s="57"/>
      </tp>
      <tp>
        <v>5984</v>
        <stp/>
        <stp>2484</stp>
        <stp>PredictVolume</stp>
        <tr r="AJ1052" s="57"/>
      </tp>
      <tp>
        <v>2</v>
        <stp/>
        <stp>2434</stp>
        <stp>PredictVolume</stp>
        <tr r="AJ543" s="57"/>
      </tp>
      <tp>
        <v>5</v>
        <stp/>
        <stp>2424</stp>
        <stp>PredictVolume</stp>
        <tr r="AJ719" s="57"/>
      </tp>
      <tp>
        <v>113</v>
        <stp/>
        <stp>2414</stp>
        <stp>PredictVolume</stp>
        <tr r="AJ1226" s="57"/>
      </tp>
      <tp>
        <v>374</v>
        <stp/>
        <stp>2404</stp>
        <stp>PredictVolume</stp>
        <tr r="AJ1693" s="57"/>
      </tp>
      <tp>
        <v>1296</v>
        <stp/>
        <stp>2474</stp>
        <stp>PredictVolume</stp>
        <tr r="AJ1698" s="57"/>
      </tp>
      <tp>
        <v>445</v>
        <stp/>
        <stp>2464</stp>
        <stp>PredictVolume</stp>
        <tr r="AJ1697" s="57"/>
      </tp>
      <tp>
        <v>6215</v>
        <stp/>
        <stp>2454</stp>
        <stp>PredictVolume</stp>
        <tr r="AJ548" s="57"/>
        <tr r="AJ4" s="118"/>
      </tp>
      <tp>
        <v>117</v>
        <stp/>
        <stp>2444</stp>
        <stp>PredictVolume</stp>
        <tr r="AJ935" s="57"/>
      </tp>
      <tp>
        <v>701</v>
        <stp/>
        <stp>2534</stp>
        <stp>PredictVolume</stp>
        <tr r="AJ1452" s="57"/>
      </tp>
      <tp>
        <v>93</v>
        <stp/>
        <stp>2524</stp>
        <stp>PredictVolume</stp>
        <tr r="AJ1448" s="57"/>
      </tp>
      <tp>
        <v>55</v>
        <stp/>
        <stp>2514</stp>
        <stp>PredictVolume</stp>
        <tr r="AJ1317" s="57"/>
      </tp>
      <tp>
        <v>8682</v>
        <stp/>
        <stp>2504</stp>
        <stp>PredictVolume</stp>
        <tr r="AJ1441" s="57"/>
      </tp>
      <tp>
        <v>30689</v>
        <stp/>
        <stp>2634</stp>
        <stp>PredictVolume</stp>
        <tr r="AJ1526" s="57"/>
      </tp>
      <tp>
        <v>3154</v>
        <stp/>
        <stp>2614</stp>
        <stp>PredictVolume</stp>
        <tr r="AJ1634" s="57"/>
      </tp>
      <tp>
        <v>2989</v>
        <stp/>
        <stp>2734</stp>
        <stp>PredictVolume</stp>
        <tr r="AJ1560" s="57"/>
      </tp>
      <tp>
        <v>5</v>
        <stp/>
        <stp>2724</stp>
        <stp>PredictVolume</stp>
        <tr r="AJ1554" s="57"/>
      </tp>
      <tp>
        <v>250</v>
        <stp/>
        <stp>2704</stp>
        <stp>PredictVolume</stp>
        <tr r="AJ1545" s="57"/>
      </tp>
      <tp>
        <v>18</v>
        <stp/>
        <stp>2754</stp>
        <stp>PredictVolume</stp>
        <tr r="AJ1569" s="57"/>
      </tp>
      <tp>
        <v>4451</v>
        <stp/>
        <stp>2034</stp>
        <stp>PredictVolume</stp>
        <tr r="AJ454" s="57"/>
      </tp>
      <tp>
        <v>3153</v>
        <stp/>
        <stp>2024</stp>
        <stp>PredictVolume</stp>
        <tr r="AJ445" s="57"/>
      </tp>
      <tp>
        <v>11999</v>
        <stp/>
        <stp>2014</stp>
        <stp>PredictVolume</stp>
        <tr r="AJ439" s="57"/>
      </tp>
      <tp>
        <v>2644</v>
        <stp/>
        <stp>2064</stp>
        <stp>PredictVolume</stp>
        <tr r="AJ458" s="57"/>
      </tp>
      <tp>
        <v>47</v>
        <stp/>
        <stp>2114</stp>
        <stp>PredictVolume</stp>
        <tr r="AJ488" s="57"/>
      </tp>
      <tp>
        <v>5232</v>
        <stp/>
        <stp>2104</stp>
        <stp>PredictVolume</stp>
        <tr r="AJ482" s="57"/>
      </tp>
      <tp>
        <v>708</v>
        <stp/>
        <stp>2204</stp>
        <stp>PredictVolume</stp>
        <tr r="AJ507" s="57"/>
      </tp>
      <tp>
        <v>16927</v>
        <stp/>
        <stp>2324</stp>
        <stp>PredictVolume</stp>
        <tr r="AJ700" s="57"/>
      </tp>
      <tp>
        <v>1186</v>
        <stp/>
        <stp>2314</stp>
        <stp>PredictVolume</stp>
        <tr r="AJ928" s="57"/>
      </tp>
      <tp>
        <v>1209</v>
        <stp/>
        <stp>2374</stp>
        <stp>PredictVolume</stp>
        <tr r="AJ810" s="57"/>
      </tp>
      <tp>
        <v>6</v>
        <stp/>
        <stp>2364</stp>
        <stp>PredictVolume</stp>
        <tr r="AJ707" s="57"/>
      </tp>
      <tp>
        <v>1176</v>
        <stp/>
        <stp>2354</stp>
        <stp>PredictVolume</stp>
        <tr r="AJ1688" s="57"/>
      </tp>
      <tp>
        <v>79380</v>
        <stp/>
        <stp>2344</stp>
        <stp>PredictVolume</stp>
        <tr r="AJ535" s="57"/>
      </tp>
      <tp>
        <v>71409</v>
        <stp/>
        <stp>2884</stp>
        <stp>PredictVolume</stp>
        <tr r="AJ1607" s="57"/>
        <tr r="AJ17" s="118"/>
      </tp>
      <tp>
        <v>159869</v>
        <stp/>
        <stp>2834</stp>
        <stp>PredictVolume</stp>
        <tr r="AJ1593" s="57"/>
      </tp>
      <tp>
        <v>0</v>
        <stp/>
        <stp>2924</stp>
        <stp>PredictVolume</stp>
        <tr r="AJ1646" s="57"/>
      </tp>
      <tp>
        <v>46</v>
        <stp/>
        <stp>2904</stp>
        <stp>PredictVolume</stp>
        <tr r="AJ1319" s="57"/>
      </tp>
      <tp>
        <v>90</v>
        <stp/>
        <stp>3494</stp>
        <stp>PredictVolume</stp>
        <tr r="AJ744" s="57"/>
      </tp>
      <tp>
        <v>297</v>
        <stp/>
        <stp>3484</stp>
        <stp>PredictVolume</stp>
        <tr r="AJ1097" s="57"/>
      </tp>
      <tp>
        <v>2689</v>
        <stp/>
        <stp>3434</stp>
        <stp>PredictVolume</stp>
        <tr r="AJ839" s="57"/>
      </tp>
      <tp>
        <v>367</v>
        <stp/>
        <stp>3454</stp>
        <stp>PredictVolume</stp>
        <tr r="AJ842" s="57"/>
      </tp>
      <tp>
        <v>1514</v>
        <stp/>
        <stp>3444</stp>
        <stp>PredictVolume</stp>
        <tr r="AJ1240" s="57"/>
      </tp>
      <tp>
        <v>162</v>
        <stp/>
        <stp>3594</stp>
        <stp>PredictVolume</stp>
        <tr r="AJ749" s="57"/>
      </tp>
      <tp>
        <v>418</v>
        <stp/>
        <stp>3504</stp>
        <stp>PredictVolume</stp>
        <tr r="AJ846" s="57"/>
      </tp>
      <tp>
        <v>27</v>
        <stp/>
        <stp>3564</stp>
        <stp>PredictVolume</stp>
        <tr r="AJ961" s="57"/>
      </tp>
      <tp>
        <v>100</v>
        <stp/>
        <stp>3694</stp>
        <stp>PredictVolume</stp>
        <tr r="AJ968" s="57"/>
      </tp>
      <tp>
        <v>6</v>
        <stp/>
        <stp>3684</stp>
        <stp>PredictVolume</stp>
        <tr r="AJ967" s="57"/>
      </tp>
      <tp>
        <v>18838</v>
        <stp/>
        <stp>3624</stp>
        <stp>PredictVolume</stp>
        <tr r="AJ1113" s="57"/>
      </tp>
      <tp>
        <v>117</v>
        <stp/>
        <stp>3664</stp>
        <stp>PredictVolume</stp>
        <tr r="AJ964" s="57"/>
      </tp>
      <tp>
        <v>4772</v>
        <stp/>
        <stp>3714</stp>
        <stp>PredictVolume</stp>
        <tr r="AJ864" s="57"/>
      </tp>
      <tp>
        <v>1092</v>
        <stp/>
        <stp>3704</stp>
        <stp>PredictVolume</stp>
        <tr r="AJ969" s="57"/>
      </tp>
      <tp>
        <v>392</v>
        <stp/>
        <stp>3094</stp>
        <stp>PredictVolume</stp>
        <tr r="AJ559" s="57"/>
      </tp>
      <tp>
        <v>4137</v>
        <stp/>
        <stp>3034</stp>
        <stp>PredictVolume</stp>
        <tr r="AJ554" s="57"/>
      </tp>
      <tp>
        <v>394</v>
        <stp/>
        <stp>3024</stp>
        <stp>PredictVolume</stp>
        <tr r="AJ822" s="57"/>
      </tp>
      <tp>
        <v>929</v>
        <stp/>
        <stp>3014</stp>
        <stp>PredictVolume</stp>
        <tr r="AJ552" s="57"/>
      </tp>
      <tp>
        <v>214</v>
        <stp/>
        <stp>3004</stp>
        <stp>PredictVolume</stp>
        <tr r="AJ462" s="57"/>
      </tp>
      <tp>
        <v>0</v>
        <stp/>
        <stp>3064</stp>
        <stp>PredictVolume</stp>
        <tr r="AJ1772" s="57"/>
      </tp>
      <tp>
        <v>72</v>
        <stp/>
        <stp>3054</stp>
        <stp>PredictVolume</stp>
        <tr r="AJ557" s="57"/>
      </tp>
      <tp>
        <v>627</v>
        <stp/>
        <stp>3044</stp>
        <stp>PredictVolume</stp>
        <tr r="AJ1064" s="57"/>
      </tp>
      <tp>
        <v>33</v>
        <stp/>
        <stp>3114</stp>
        <stp>PredictVolume</stp>
        <tr r="AJ1069" s="57"/>
      </tp>
      <tp>
        <v>28</v>
        <stp/>
        <stp>3164</stp>
        <stp>PredictVolume</stp>
        <tr r="AJ312" s="57"/>
      </tp>
      <tp>
        <v>1776</v>
        <stp/>
        <stp>3294</stp>
        <stp>PredictVolume</stp>
        <tr r="AJ1081" s="57"/>
      </tp>
      <tp>
        <v>18</v>
        <stp/>
        <stp>3284</stp>
        <stp>PredictVolume</stp>
        <tr r="AJ1321" s="57"/>
      </tp>
      <tp>
        <v>111</v>
        <stp/>
        <stp>3234</stp>
        <stp>PredictVolume</stp>
        <tr r="AJ951" s="57"/>
      </tp>
      <tp>
        <v>226</v>
        <stp/>
        <stp>3224</stp>
        <stp>PredictVolume</stp>
        <tr r="AJ1236" s="57"/>
      </tp>
      <tp>
        <v>1512</v>
        <stp/>
        <stp>3264</stp>
        <stp>PredictVolume</stp>
        <tr r="AJ571" s="57"/>
      </tp>
      <tp>
        <v>1203</v>
        <stp/>
        <stp>3324</stp>
        <stp>PredictVolume</stp>
        <tr r="AJ1713" s="57"/>
      </tp>
      <tp>
        <v>499</v>
        <stp/>
        <stp>3374</stp>
        <stp>PredictVolume</stp>
        <tr r="AM31" s="28"/>
        <tr r="AJ576" s="57"/>
      </tp>
      <tp>
        <v>543</v>
        <stp/>
        <stp>3354</stp>
        <stp>PredictVolume</stp>
        <tr r="AJ1090" s="57"/>
      </tp>
      <tp>
        <v>1527</v>
        <stp/>
        <stp>1434</stp>
        <stp>PredictVolume</stp>
        <tr r="AJ79" s="57"/>
      </tp>
      <tp>
        <v>462</v>
        <stp/>
        <stp>1414</stp>
        <stp>PredictVolume</stp>
        <tr r="AJ74" s="57"/>
      </tp>
      <tp>
        <v>205</v>
        <stp/>
        <stp>1474</stp>
        <stp>PredictVolume</stp>
        <tr r="AJ107" s="57"/>
      </tp>
      <tp>
        <v>373</v>
        <stp/>
        <stp>1464</stp>
        <stp>PredictVolume</stp>
        <tr r="AJ99" s="57"/>
      </tp>
      <tp>
        <v>25</v>
        <stp/>
        <stp>1454</stp>
        <stp>PredictVolume</stp>
        <tr r="AJ92" s="57"/>
      </tp>
      <tp>
        <v>2005</v>
        <stp/>
        <stp>1444</stp>
        <stp>PredictVolume</stp>
        <tr r="AJ84" s="57"/>
      </tp>
      <tp>
        <v>5804</v>
        <stp/>
        <stp>1584</stp>
        <stp>PredictVolume</stp>
        <tr r="AJ1310" s="57"/>
      </tp>
      <tp>
        <v>301</v>
        <stp/>
        <stp>1524</stp>
        <stp>PredictVolume</stp>
        <tr r="AJ499" s="57"/>
      </tp>
      <tp>
        <v>4795</v>
        <stp/>
        <stp>1514</stp>
        <stp>PredictVolume</stp>
        <tr r="AJ133" s="57"/>
      </tp>
      <tp>
        <v>5331</v>
        <stp/>
        <stp>1504</stp>
        <stp>PredictVolume</stp>
        <tr r="AJ129" s="57"/>
      </tp>
      <tp>
        <v>23</v>
        <stp/>
        <stp>1614</stp>
        <stp>PredictVolume</stp>
        <tr r="AJ231" s="57"/>
      </tp>
      <tp>
        <v>871</v>
        <stp/>
        <stp>1604</stp>
        <stp>PredictVolume</stp>
        <tr r="AJ225" s="57"/>
      </tp>
      <tp>
        <v>264</v>
        <stp/>
        <stp>1784</stp>
        <stp>PredictVolume</stp>
        <tr r="AJ304" s="57"/>
      </tp>
      <tp>
        <v>565</v>
        <stp/>
        <stp>1734</stp>
        <stp>PredictVolume</stp>
        <tr r="AJ296" s="57"/>
      </tp>
      <tp>
        <v>1626</v>
        <stp/>
        <stp>1714</stp>
        <stp>PredictVolume</stp>
        <tr r="AJ249" s="57"/>
      </tp>
      <tp>
        <v>149</v>
        <stp/>
        <stp>1104</stp>
        <stp>PredictVolume</stp>
        <tr r="AJ7" s="57"/>
      </tp>
      <tp>
        <v>184</v>
        <stp/>
        <stp>1234</stp>
        <stp>PredictVolume</stp>
        <tr r="AJ29" s="57"/>
      </tp>
      <tp>
        <v>1</v>
        <stp/>
        <stp>1264</stp>
        <stp>PredictVolume</stp>
        <tr r="AJ34" s="57"/>
      </tp>
      <tp>
        <v>52</v>
        <stp/>
        <stp>1324</stp>
        <stp>PredictVolume</stp>
        <tr r="AJ56" s="57"/>
      </tp>
      <tp>
        <v>30672</v>
        <stp/>
        <stp>1314</stp>
        <stp>PredictVolume</stp>
        <tr r="AJ52" s="57"/>
      </tp>
      <tp>
        <v>2395</v>
        <stp/>
        <stp>1304</stp>
        <stp>PredictVolume</stp>
        <tr r="AJ44" s="57"/>
      </tp>
      <tp>
        <v>863</v>
        <stp/>
        <stp>1904</stp>
        <stp>PredictVolume</stp>
        <tr r="AJ424" s="57"/>
      </tp>
      <tp>
        <v>26</v>
        <stp/>
        <stp>8424</stp>
        <stp>PredictVolume</stp>
        <tr r="AJ1505" s="57"/>
      </tp>
      <tp>
        <v>287</v>
        <stp/>
        <stp>8404</stp>
        <stp>PredictVolume</stp>
        <tr r="AJ1364" s="57"/>
      </tp>
      <tp>
        <v>513</v>
        <stp/>
        <stp>8464</stp>
        <stp>PredictVolume</stp>
        <tr r="AJ3" s="114"/>
        <tr r="AJ1379" s="57"/>
      </tp>
      <tp>
        <v>369</v>
        <stp/>
        <stp>8454</stp>
        <stp>PredictVolume</stp>
        <tr r="AJ1666" s="57"/>
      </tp>
      <tp>
        <v>5</v>
        <stp/>
        <stp>8444</stp>
        <stp>PredictVolume</stp>
        <tr r="AJ1377" s="57"/>
      </tp>
      <tp>
        <v>88</v>
        <stp/>
        <stp>8084</stp>
        <stp>PredictVolume</stp>
        <tr r="AJ1258" s="57"/>
      </tp>
      <tp>
        <v>310</v>
        <stp/>
        <stp>8034</stp>
        <stp>PredictVolume</stp>
        <tr r="AJ1007" s="57"/>
      </tp>
      <tp>
        <v>197</v>
        <stp/>
        <stp>8024</stp>
        <stp>PredictVolume</stp>
        <tr r="AJ681" s="57"/>
      </tp>
      <tp>
        <v>3463</v>
        <stp/>
        <stp>8074</stp>
        <stp>PredictVolume</stp>
        <tr r="AJ1208" s="57"/>
      </tp>
      <tp>
        <v>394</v>
        <stp/>
        <stp>8064</stp>
        <stp>PredictVolume</stp>
        <tr r="AJ918" s="57"/>
      </tp>
      <tp>
        <v>1190</v>
        <stp/>
        <stp>8054</stp>
        <stp>PredictVolume</stp>
        <tr r="AJ684" s="57"/>
      </tp>
      <tp>
        <v>1180</v>
        <stp/>
        <stp>8044</stp>
        <stp>PredictVolume</stp>
        <tr r="AJ1804" s="57"/>
      </tp>
      <tp>
        <v>3014</v>
        <stp/>
        <stp>8114</stp>
        <stp>PredictVolume</stp>
        <tr r="AJ799" s="57"/>
      </tp>
      <tp>
        <v>342</v>
        <stp/>
        <stp>8104</stp>
        <stp>PredictVolume</stp>
        <tr r="AJ921" s="57"/>
      </tp>
      <tp>
        <v>210</v>
        <stp/>
        <stp>8284</stp>
        <stp>PredictVolume</stp>
        <tr r="AJ1300" s="57"/>
      </tp>
      <tp>
        <v>76</v>
        <stp/>
        <stp>8234</stp>
        <stp>PredictVolume</stp>
        <tr r="AJ802" s="57"/>
      </tp>
      <tp>
        <v>27</v>
        <stp/>
        <stp>8374</stp>
        <stp>PredictVolume</stp>
        <tr r="AJ219" s="57"/>
      </tp>
      <tp>
        <v>23</v>
        <stp/>
        <stp>8354</stp>
        <stp>PredictVolume</stp>
        <tr r="AJ66" s="57"/>
      </tp>
      <tp>
        <v>544</v>
        <stp/>
        <stp>8924</stp>
        <stp>PredictVolume</stp>
        <tr r="AJ1394" s="57"/>
      </tp>
      <tp>
        <v>195</v>
        <stp/>
        <stp>9934</stp>
        <stp>PredictVolume</stp>
        <tr r="AJ1422" s="57"/>
      </tp>
      <tp>
        <v>55</v>
        <stp/>
        <stp>9924</stp>
        <stp>PredictVolume</stp>
        <tr r="AJ1415" s="57"/>
      </tp>
      <tp>
        <v>288</v>
        <stp/>
        <stp>9914</stp>
        <stp>PredictVolume</stp>
        <tr r="AJ1411" s="57"/>
      </tp>
      <tp>
        <v>2276</v>
        <stp/>
        <stp>9904</stp>
        <stp>PredictVolume</stp>
        <tr r="AJ1406" s="57"/>
      </tp>
      <tp>
        <v>197</v>
        <stp/>
        <stp>9944</stp>
        <stp>PredictVolume</stp>
        <tr r="AJ1429" s="57"/>
      </tp>
      <tp>
        <v>70.599999999999994</v>
        <stp/>
        <stp>2239</stp>
        <stp>Price</stp>
        <tr r="V515" s="57"/>
      </tp>
      <tp>
        <v>9.0500000000000007</v>
        <stp/>
        <stp>2349</stp>
        <stp>Price</stp>
        <tr r="V809" s="57"/>
      </tp>
      <tp>
        <v>24.75</v>
        <stp/>
        <stp>2359</stp>
        <stp>Price</stp>
        <tr r="V1689" s="57"/>
      </tp>
      <tp>
        <v>23.45</v>
        <stp/>
        <stp>2369</stp>
        <stp>Price</stp>
        <tr r="V538" s="57"/>
      </tp>
      <tp>
        <v>416</v>
        <stp/>
        <stp>2379</stp>
        <stp>Price</stp>
        <tr r="V539" s="57"/>
      </tp>
      <tp>
        <v>20.399999999999999</v>
        <stp/>
        <stp>2329</stp>
        <stp>Price</stp>
        <tr r="V530" s="57"/>
      </tp>
      <tp>
        <v>20.9</v>
        <stp/>
        <stp>2399</stp>
        <stp>Price</stp>
        <tr r="V716" s="57"/>
      </tp>
      <tp>
        <v>231.5</v>
        <stp/>
        <stp>2049</stp>
        <stp>Price</stp>
        <tr r="V161" s="57"/>
      </tp>
      <tp>
        <v>443</v>
        <stp/>
        <stp>2059</stp>
        <stp>Price</stp>
        <tr r="V1022" s="57"/>
      </tp>
      <tp>
        <v>37.049999999999997</v>
        <stp/>
        <stp>2069</stp>
        <stp>Price</stp>
        <tr r="V460" s="57"/>
      </tp>
      <tp>
        <v>43.95</v>
        <stp/>
        <stp>2009</stp>
        <stp>Price</stp>
        <tr r="V435" s="57"/>
      </tp>
      <tp>
        <v>40.049999999999997</v>
        <stp/>
        <stp>2029</stp>
        <stp>Price</stp>
        <tr r="V449" s="57"/>
      </tp>
      <tp>
        <v>15.5</v>
        <stp/>
        <stp>2109</stp>
        <stp>Price</stp>
        <tr r="V487" s="57"/>
      </tp>
      <tp>
        <v>122</v>
        <stp/>
        <stp>2609</stp>
        <stp>Price</stp>
        <tr r="V1516" s="57"/>
        <tr r="V26" s="118"/>
      </tp>
      <tp>
        <v>15.3</v>
        <stp/>
        <stp>2719</stp>
        <stp>Price</stp>
        <tr r="V1551" s="57"/>
      </tp>
      <tp>
        <v>223.5</v>
        <stp/>
        <stp>2729</stp>
        <stp>Price</stp>
        <tr r="V1557" s="57"/>
      </tp>
      <tp>
        <v>22.55</v>
        <stp/>
        <stp>2739</stp>
        <stp>Price</stp>
        <tr r="V1562" s="57"/>
      </tp>
      <tp>
        <v>41.3</v>
        <stp/>
        <stp>2449</stp>
        <stp>Price</stp>
        <tr r="V546" s="57"/>
      </tp>
      <tp>
        <v>54.5</v>
        <stp/>
        <stp>2459</stp>
        <stp>Price</stp>
        <tr r="V1228" s="57"/>
      </tp>
      <tp>
        <v>19.45</v>
        <stp/>
        <stp>2409</stp>
        <stp>Price</stp>
        <tr r="V813" s="57"/>
      </tp>
      <tp>
        <v>19.100000000000001</v>
        <stp/>
        <stp>2419</stp>
        <stp>Price</stp>
        <tr r="V933" s="57"/>
      </tp>
      <tp>
        <v>15.5</v>
        <stp/>
        <stp>2429</stp>
        <stp>Price</stp>
        <tr r="V1041" s="57"/>
      </tp>
      <tp>
        <v>80.900000000000006</v>
        <stp/>
        <stp>2439</stp>
        <stp>Price</stp>
        <tr r="V934" s="57"/>
      </tp>
      <tp>
        <v>16.25</v>
        <stp/>
        <stp>2489</stp>
        <stp>Price</stp>
        <tr r="V818" s="57"/>
      </tp>
      <tp>
        <v>16.45</v>
        <stp/>
        <stp>2509</stp>
        <stp>Price</stp>
        <tr r="V1444" s="57"/>
      </tp>
      <tp>
        <v>32.65</v>
        <stp/>
        <stp>2539</stp>
        <stp>Price</stp>
        <tr r="V1457" s="57"/>
      </tp>
      <tp>
        <v>16.2</v>
        <stp/>
        <stp>2849</stp>
        <stp>Price</stp>
        <tr r="V1597" s="57"/>
      </tp>
      <tp>
        <v>40.1</v>
        <stp/>
        <stp>2809</stp>
        <stp>Price</stp>
        <tr r="V1588" s="57"/>
      </tp>
      <tp>
        <v>16.25</v>
        <stp/>
        <stp>2889</stp>
        <stp>Price</stp>
        <tr r="V1612" s="57"/>
      </tp>
      <tp>
        <v>28.05</v>
        <stp/>
        <stp>2939</stp>
        <stp>Price</stp>
        <tr r="V1649" s="57"/>
      </tp>
      <tp>
        <v>19.95</v>
        <stp/>
        <stp>3259</stp>
        <stp>Price</stp>
        <tr r="V569" s="57"/>
      </tp>
      <tp>
        <v>38.549999999999997</v>
        <stp/>
        <stp>3209</stp>
        <stp>Price</stp>
        <tr r="V1235" s="57"/>
      </tp>
      <tp>
        <v>99.9</v>
        <stp/>
        <stp>3219</stp>
        <stp>Price</stp>
        <tr r="V565" s="57"/>
      </tp>
      <tp>
        <v>21</v>
        <stp/>
        <stp>3229</stp>
        <stp>Price</stp>
        <tr r="V1076" s="57"/>
      </tp>
      <tp>
        <v>52.5</v>
        <stp/>
        <stp>3289</stp>
        <stp>Price</stp>
        <tr r="V1710" s="57"/>
      </tp>
      <tp>
        <v>20.05</v>
        <stp/>
        <stp>3349</stp>
        <stp>Price</stp>
        <tr r="V740" s="57"/>
      </tp>
      <tp>
        <v>12.55</v>
        <stp/>
        <stp>3379</stp>
        <stp>Price</stp>
        <tr r="V173" s="57"/>
      </tp>
      <tp>
        <v>17.45</v>
        <stp/>
        <stp>3339</stp>
        <stp>Price</stp>
        <tr r="V834" s="57"/>
      </tp>
      <tp>
        <v>12.45</v>
        <stp/>
        <stp>3049</stp>
        <stp>Price</stp>
        <tr r="V825" s="57"/>
      </tp>
      <tp>
        <v>41.15</v>
        <stp/>
        <stp>3059</stp>
        <stp>Price</stp>
        <tr r="V828" s="57"/>
      </tp>
      <tp>
        <v>76.400000000000006</v>
        <stp/>
        <stp>3019</stp>
        <stp>Price</stp>
        <tr r="V821" s="57"/>
      </tp>
      <tp>
        <v>43.1</v>
        <stp/>
        <stp>3029</stp>
        <stp>Price</stp>
        <tr r="V1268" s="57"/>
      </tp>
      <tp>
        <v>25.2</v>
        <stp/>
        <stp>3149</stp>
        <stp>Price</stp>
        <tr r="V831" s="57"/>
      </tp>
      <tp>
        <v>182</v>
        <stp/>
        <stp>3169</stp>
        <stp>Price</stp>
        <tr r="V43" s="74"/>
        <tr r="V563" s="57"/>
      </tp>
      <tp>
        <v>189.5</v>
        <stp/>
        <stp>3189</stp>
        <stp>Price</stp>
        <tr r="V564" s="57"/>
      </tp>
      <tp>
        <v>52.7</v>
        <stp/>
        <stp>3669</stp>
        <stp>Price</stp>
        <tr r="V859" s="57"/>
      </tp>
      <tp>
        <v>85</v>
        <stp/>
        <stp>3679</stp>
        <stp>Price</stp>
        <tr r="V1118" s="57"/>
      </tp>
      <tp>
        <v>54.6</v>
        <stp/>
        <stp>3609</stp>
        <stp>Price</stp>
        <tr r="V1112" s="57"/>
      </tp>
      <tp>
        <v>55.6</v>
        <stp/>
        <stp>3629</stp>
        <stp>Price</stp>
        <tr r="V1777" s="57"/>
      </tp>
      <tp>
        <v>46.6</v>
        <stp/>
        <stp>3689</stp>
        <stp>Price</stp>
        <tr r="V1119" s="57"/>
      </tp>
      <tp>
        <v>34.35</v>
        <stp/>
        <stp>3709</stp>
        <stp>Price</stp>
        <tr r="V756" s="57"/>
      </tp>
      <tp>
        <v>64.5</v>
        <stp/>
        <stp>3479</stp>
        <stp>Price</stp>
        <tr r="V742" s="57"/>
      </tp>
      <tp>
        <v>18.850000000000001</v>
        <stp/>
        <stp>3419</stp>
        <stp>Price</stp>
        <tr r="V956" s="57"/>
      </tp>
      <tp>
        <v>10.7</v>
        <stp/>
        <stp>3489</stp>
        <stp>Price</stp>
        <tr r="V1473" s="57"/>
      </tp>
      <tp>
        <v>20.7</v>
        <stp/>
        <stp>3499</stp>
        <stp>Price</stp>
        <tr r="V959" s="57"/>
      </tp>
      <tp>
        <v>1460</v>
        <stp/>
        <stp>3529</stp>
        <stp>Price</stp>
        <tr r="V24" s="74"/>
        <tr r="V7" s="74"/>
        <tr r="V12" s="114"/>
        <tr r="V581" s="57"/>
        <tr r="V35" s="118"/>
      </tp>
      <tp t="s">
        <v>無資料</v>
        <stp/>
        <stp>1259</stp>
        <stp>Price</stp>
        <tr r="V1541" s="57"/>
      </tp>
      <tp>
        <v>22.6</v>
        <stp/>
        <stp>1219</stp>
        <stp>Price</stp>
        <tr r="V21" s="57"/>
      </tp>
      <tp>
        <v>66.2</v>
        <stp/>
        <stp>1229</stp>
        <stp>Price</stp>
        <tr r="V25" s="57"/>
      </tp>
      <tp>
        <v>32.549999999999997</v>
        <stp/>
        <stp>1309</stp>
        <stp>Price</stp>
        <tr r="V67" s="22"/>
        <tr r="V48" s="57"/>
        <tr r="V26" s="28"/>
      </tp>
      <tp>
        <v>32.6</v>
        <stp/>
        <stp>1319</stp>
        <stp>Price</stp>
        <tr r="V493" s="57"/>
      </tp>
      <tp>
        <v>35.15</v>
        <stp/>
        <stp>1339</stp>
        <stp>Price</stp>
        <tr r="V495" s="57"/>
      </tp>
      <tp>
        <v>20.9</v>
        <stp/>
        <stp>1109</stp>
        <stp>Price</stp>
        <tr r="V9" s="57"/>
      </tp>
      <tp>
        <v>30.15</v>
        <stp/>
        <stp>1609</stp>
        <stp>Price</stp>
        <tr r="V228" s="57"/>
      </tp>
      <tp>
        <v>28.8</v>
        <stp/>
        <stp>1709</stp>
        <stp>Price</stp>
        <tr r="V244" s="57"/>
      </tp>
      <tp>
        <v>24.7</v>
        <stp/>
        <stp>1789</stp>
        <stp>Price</stp>
        <tr r="V307" s="57"/>
      </tp>
      <tp>
        <v>14.05</v>
        <stp/>
        <stp>1799</stp>
        <stp>Price</stp>
        <tr r="V309" s="57"/>
      </tp>
      <tp>
        <v>14.1</v>
        <stp/>
        <stp>1449</stp>
        <stp>Price</stp>
        <tr r="V88" s="57"/>
      </tp>
      <tp>
        <v>11.2</v>
        <stp/>
        <stp>1459</stp>
        <stp>Price</stp>
        <tr r="V96" s="57"/>
      </tp>
      <tp>
        <v>20.350000000000001</v>
        <stp/>
        <stp>1409</stp>
        <stp>Price</stp>
        <tr r="V71" s="57"/>
      </tp>
      <tp>
        <v>42.25</v>
        <stp/>
        <stp>1419</stp>
        <stp>Price</stp>
        <tr r="V77" s="57"/>
      </tp>
      <tp>
        <v>23.85</v>
        <stp/>
        <stp>1439</stp>
        <stp>Price</stp>
        <tr r="V80" s="57"/>
      </tp>
      <tp>
        <v>28.3</v>
        <stp/>
        <stp>1569</stp>
        <stp>Price</stp>
        <tr r="V697" s="57"/>
      </tp>
      <tp>
        <v>43</v>
        <stp/>
        <stp>1519</stp>
        <stp>Price</stp>
        <tr r="V136" s="57"/>
      </tp>
      <tp>
        <v>23.75</v>
        <stp/>
        <stp>1529</stp>
        <stp>Price</stp>
        <tr r="V140" s="57"/>
      </tp>
      <tp>
        <v>19.100000000000001</v>
        <stp/>
        <stp>1539</stp>
        <stp>Price</stp>
        <tr r="V147" s="57"/>
      </tp>
      <tp>
        <v>62.6</v>
        <stp/>
        <stp>1589</stp>
        <stp>Price</stp>
        <tr r="V156" s="57"/>
      </tp>
      <tp>
        <v>59.4</v>
        <stp/>
        <stp>1599</stp>
        <stp>Price</stp>
        <tr r="V160" s="57"/>
      </tp>
      <tp>
        <v>13.95</v>
        <stp/>
        <stp>1809</stp>
        <stp>Price</stp>
        <tr r="V418" s="57"/>
      </tp>
      <tp>
        <v>21.05</v>
        <stp/>
        <stp>1909</stp>
        <stp>Price</stp>
        <tr r="V428" s="57"/>
      </tp>
      <tp>
        <v>37.6</v>
        <stp/>
        <stp>6259</stp>
        <stp>Price</stp>
        <tr r="V1181" s="57"/>
      </tp>
      <tp>
        <v>96.8</v>
        <stp/>
        <stp>6269</stp>
        <stp>Price</stp>
        <tr r="V1183" s="57"/>
      </tp>
      <tp>
        <v>117.5</v>
        <stp/>
        <stp>6279</stp>
        <stp>Price</stp>
        <tr r="V1185" s="57"/>
      </tp>
      <tp>
        <v>31.8</v>
        <stp/>
        <stp>6209</stp>
        <stp>Price</stp>
        <tr r="V897" s="57"/>
      </tp>
      <tp>
        <v>17.25</v>
        <stp/>
        <stp>6219</stp>
        <stp>Price</stp>
        <tr r="V1503" s="57"/>
      </tp>
      <tp>
        <v>37.450000000000003</v>
        <stp/>
        <stp>6229</stp>
        <stp>Price</stp>
        <tr r="V636" s="57"/>
      </tp>
      <tp>
        <v>93.7</v>
        <stp/>
        <stp>6239</stp>
        <stp>Price</stp>
        <tr r="V639" s="57"/>
      </tp>
      <tp>
        <v>3.02</v>
        <stp/>
        <stp>6289</stp>
        <stp>Price</stp>
        <tr r="V905" s="57"/>
      </tp>
      <tp>
        <v>22.35</v>
        <stp/>
        <stp>6169</stp>
        <stp>Price</stp>
        <tr r="V1785" s="57"/>
      </tp>
      <tp>
        <v>31.6</v>
        <stp/>
        <stp>6179</stp>
        <stp>Price</stp>
        <tr r="V59" s="22"/>
        <tr r="V1337" s="57"/>
        <tr r="V22" s="28"/>
      </tp>
      <tp>
        <v>9.5</v>
        <stp/>
        <stp>6109</stp>
        <stp>Price</stp>
        <tr r="V980" s="57"/>
      </tp>
      <tp>
        <v>33.85</v>
        <stp/>
        <stp>6129</stp>
        <stp>Price</stp>
        <tr r="V629" s="57"/>
      </tp>
      <tp>
        <v>33.9</v>
        <stp/>
        <stp>6139</stp>
        <stp>Price</stp>
        <tr r="V1739" s="57"/>
      </tp>
      <tp>
        <v>44.45</v>
        <stp/>
        <stp>6189</stp>
        <stp>Price</stp>
        <tr r="V1247" s="57"/>
      </tp>
      <tp>
        <v>17.100000000000001</v>
        <stp/>
        <stp>6199</stp>
        <stp>Price</stp>
        <tr r="V1339" s="57"/>
      </tp>
      <tp>
        <v>23.35</v>
        <stp/>
        <stp>6649</stp>
        <stp>Price</stp>
        <tr r="V398" s="57"/>
      </tp>
      <tp>
        <v>996</v>
        <stp/>
        <stp>6669</stp>
        <stp>Price</stp>
        <tr r="V795" s="57"/>
      </tp>
      <tp>
        <v>377.5</v>
        <stp/>
        <stp>6679</stp>
        <stp>Price</stp>
        <tr r="V669" s="57"/>
      </tp>
      <tp>
        <v>32.950000000000003</v>
        <stp/>
        <stp>6609</stp>
        <stp>Price</stp>
        <tr r="V212" s="57"/>
      </tp>
      <tp>
        <v>59.1</v>
        <stp/>
        <stp>6629</stp>
        <stp>Price</stp>
        <tr r="V1348" s="57"/>
      </tp>
      <tp>
        <v>597</v>
        <stp/>
        <stp>6719</stp>
        <stp>Price</stp>
        <tr r="V674" s="57"/>
      </tp>
      <tp>
        <v>55.5</v>
        <stp/>
        <stp>6449</stp>
        <stp>Price</stp>
        <tr r="V1193" s="57"/>
      </tp>
      <tp>
        <v>274.5</v>
        <stp/>
        <stp>6469</stp>
        <stp>Price</stp>
        <tr r="V380" s="57"/>
      </tp>
      <tp>
        <v>1415</v>
        <stp/>
        <stp>6409</stp>
        <stp>Price</stp>
        <tr r="V11" s="114"/>
        <tr r="V1750" s="57"/>
      </tp>
      <tp>
        <v>30.85</v>
        <stp/>
        <stp>6419</stp>
        <stp>Price</stp>
        <tr r="V907" s="57"/>
      </tp>
      <tp>
        <v>78.2</v>
        <stp/>
        <stp>6499</stp>
        <stp>Price</stp>
        <tr r="V385" s="57"/>
      </tp>
      <tp>
        <v>104</v>
        <stp/>
        <stp>6569</stp>
        <stp>Price</stp>
        <tr r="V59" s="28"/>
        <tr r="V391" s="57"/>
      </tp>
      <tp>
        <v>81.400000000000006</v>
        <stp/>
        <stp>6579</stp>
        <stp>Price</stp>
        <tr r="V793" s="57"/>
      </tp>
      <tp>
        <v>58.1</v>
        <stp/>
        <stp>6509</stp>
        <stp>Price</stp>
        <tr r="V285" s="57"/>
      </tp>
      <tp>
        <v>96</v>
        <stp/>
        <stp>6589</stp>
        <stp>Price</stp>
        <tr r="V394" s="57"/>
      </tp>
      <tp>
        <v>76.900000000000006</v>
        <stp/>
        <stp>6829</stp>
        <stp>Price</stp>
        <tr r="V213" s="57"/>
      </tp>
      <tp>
        <v>14.55</v>
        <stp/>
        <stp>4109</stp>
        <stp>Price</stp>
        <tr r="V323" s="57"/>
      </tp>
      <tp>
        <v>84.6</v>
        <stp/>
        <stp>4119</stp>
        <stp>Price</stp>
        <tr r="V327" s="57"/>
      </tp>
      <tp>
        <v>29.1</v>
        <stp/>
        <stp>4129</stp>
        <stp>Price</stp>
        <tr r="V334" s="57"/>
      </tp>
      <tp>
        <v>47.2</v>
        <stp/>
        <stp>4139</stp>
        <stp>Price</stp>
        <tr r="V340" s="57"/>
      </tp>
      <tp>
        <v>8.24</v>
        <stp/>
        <stp>4609</stp>
        <stp>Price</stp>
        <tr r="V238" s="57"/>
      </tp>
      <tp>
        <v>11.85</v>
        <stp/>
        <stp>4729</stp>
        <stp>Price</stp>
        <tr r="V865" s="57"/>
      </tp>
      <tp>
        <v>152</v>
        <stp/>
        <stp>4739</stp>
        <stp>Price</stp>
        <tr r="V274" s="57"/>
      </tp>
      <tp t="s">
        <v>無資料</v>
        <stp/>
        <stp>4419</stp>
        <stp>Price</stp>
        <tr r="V117" s="57"/>
      </tp>
      <tp>
        <v>40</v>
        <stp/>
        <stp>4429</stp>
        <stp>Price</stp>
        <tr r="V120" s="57"/>
      </tp>
      <tp>
        <v>135</v>
        <stp/>
        <stp>4439</stp>
        <stp>Price</stp>
        <tr r="V124" s="57"/>
      </tp>
      <tp>
        <v>93.4</v>
        <stp/>
        <stp>4549</stp>
        <stp>Price</stp>
        <tr r="V192" s="57"/>
      </tp>
      <tp>
        <v>12.25</v>
        <stp/>
        <stp>4529</stp>
        <stp>Price</stp>
        <tr r="V1324" s="57"/>
      </tp>
      <tp>
        <v>18.100000000000001</v>
        <stp/>
        <stp>4979</stp>
        <stp>Price</stp>
        <tr r="V976" s="57"/>
      </tp>
      <tp>
        <v>18.95</v>
        <stp/>
        <stp>4909</stp>
        <stp>Price</stp>
        <tr r="V974" s="57"/>
      </tp>
      <tp>
        <v>167</v>
        <stp/>
        <stp>4919</stp>
        <stp>Price</stp>
        <tr r="V599" s="57"/>
      </tp>
      <tp>
        <v>22.3</v>
        <stp/>
        <stp>4939</stp>
        <stp>Price</stp>
        <tr r="V1126" s="57"/>
      </tp>
      <tp>
        <v>39.15</v>
        <stp/>
        <stp>4989</stp>
        <stp>Price</stp>
        <tr r="V1130" s="57"/>
      </tp>
      <tp>
        <v>38.5</v>
        <stp/>
        <stp>4999</stp>
        <stp>Price</stp>
        <tr r="V1131" s="57"/>
      </tp>
      <tp>
        <v>1605</v>
        <stp/>
        <stp>5269</stp>
        <stp>Price</stp>
        <tr r="V612" s="57"/>
      </tp>
      <tp>
        <v>79.2</v>
        <stp/>
        <stp>5209</stp>
        <stp>Price</stp>
        <tr r="V1276" s="57"/>
      </tp>
      <tp>
        <v>214</v>
        <stp/>
        <stp>5289</stp>
        <stp>Price</stp>
        <tr r="V766" s="57"/>
      </tp>
      <tp>
        <v>177</v>
        <stp/>
        <stp>5299</stp>
        <stp>Price</stp>
        <tr r="V616" s="57"/>
      </tp>
      <tp>
        <v>43.1</v>
        <stp/>
        <stp>5309</stp>
        <stp>Price</stp>
        <tr r="V1134" s="57"/>
      </tp>
      <tp>
        <v>29.85</v>
        <stp/>
        <stp>5009</stp>
        <stp>Price</stp>
        <tr r="V464" s="57"/>
      </tp>
      <tp>
        <v>108</v>
        <stp/>
        <stp>5609</stp>
        <stp>Price</stp>
        <tr r="V1537" s="57"/>
      </tp>
      <tp>
        <v>40.5</v>
        <stp/>
        <stp>5469</stp>
        <stp>Price</stp>
        <tr r="V1145" s="57"/>
      </tp>
      <tp>
        <v>52.7</v>
        <stp/>
        <stp>5439</stp>
        <stp>Price</stp>
        <tr r="V34" s="74"/>
        <tr r="V17" s="74"/>
        <tr r="V17" s="114"/>
        <tr r="V1141" s="57"/>
      </tp>
      <tp>
        <v>34.200000000000003</v>
        <stp/>
        <stp>5489</stp>
        <stp>Price</stp>
        <tr r="V1736" s="57"/>
      </tp>
      <tp>
        <v>23.8</v>
        <stp/>
        <stp>5519</stp>
        <stp>Price</stp>
        <tr r="V1488" s="57"/>
      </tp>
      <tp>
        <v>16.350000000000001</v>
        <stp/>
        <stp>5529</stp>
        <stp>Price</stp>
        <tr r="V1493" s="57"/>
      </tp>
      <tp>
        <v>21.9</v>
        <stp/>
        <stp>8249</stp>
        <stp>Price</stp>
        <tr r="V1219" s="57"/>
      </tp>
      <tp>
        <v>127</v>
        <stp/>
        <stp>8279</stp>
        <stp>Price</stp>
        <tr r="V408" s="57"/>
      </tp>
      <tp>
        <v>35.85</v>
        <stp/>
        <stp>8289</stp>
        <stp>Price</stp>
        <tr r="V1220" s="57"/>
      </tp>
      <tp>
        <v>424</v>
        <stp/>
        <stp>8299</stp>
        <stp>Price</stp>
        <tr r="V694" s="57"/>
        <tr r="V40" s="118"/>
      </tp>
      <tp>
        <v>60.1</v>
        <stp/>
        <stp>8349</stp>
        <stp>Price</stp>
        <tr r="V472" s="57"/>
      </tp>
      <tp>
        <v>26.3</v>
        <stp/>
        <stp>8049</stp>
        <stp>Price</stp>
        <tr r="V917" s="57"/>
      </tp>
      <tp>
        <v>9.82</v>
        <stp/>
        <stp>8059</stp>
        <stp>Price</stp>
        <tr r="V1009" s="57"/>
      </tp>
      <tp>
        <v>179.5</v>
        <stp/>
        <stp>8069</stp>
        <stp>Price</stp>
        <tr r="V919" s="57"/>
        <tr r="V33" s="118"/>
      </tp>
      <tp>
        <v>44.5</v>
        <stp/>
        <stp>8039</stp>
        <stp>Price</stp>
        <tr r="V1203" s="57"/>
      </tp>
      <tp>
        <v>26.05</v>
        <stp/>
        <stp>8089</stp>
        <stp>Price</stp>
        <tr r="V1010" s="57"/>
      </tp>
      <tp>
        <v>41.3</v>
        <stp/>
        <stp>8099</stp>
        <stp>Price</stp>
        <tr r="V1299" s="57"/>
      </tp>
      <tp>
        <v>73.5</v>
        <stp/>
        <stp>8109</stp>
        <stp>Price</stp>
        <tr r="V1213" s="57"/>
      </tp>
      <tp>
        <v>24.9</v>
        <stp/>
        <stp>8409</stp>
        <stp>Price</stp>
        <tr r="V411" s="57"/>
      </tp>
      <tp>
        <v>11.05</v>
        <stp/>
        <stp>8429</stp>
        <stp>Price</stp>
        <tr r="V1663" s="57"/>
      </tp>
      <tp>
        <v>31.15</v>
        <stp/>
        <stp>8489</stp>
        <stp>Price</stp>
        <tr r="V1793" s="57"/>
      </tp>
      <tp>
        <v>115.5</v>
        <stp/>
        <stp>8499</stp>
        <stp>Price</stp>
        <tr r="V1389" s="57"/>
      </tp>
      <tp>
        <v>20.7</v>
        <stp/>
        <stp>8929</stp>
        <stp>Price</stp>
        <tr r="V1396" s="57"/>
      </tp>
      <tp>
        <v>13.3</v>
        <stp/>
        <stp>9949</stp>
        <stp>Price</stp>
        <tr r="V1795" s="57"/>
      </tp>
      <tp>
        <v>24.2</v>
        <stp/>
        <stp>9919</stp>
        <stp>Price</stp>
        <tr r="V12" s="28"/>
        <tr r="V1413" s="57"/>
      </tp>
      <tp>
        <v>9</v>
        <stp/>
        <stp>9929</stp>
        <stp>Price</stp>
        <tr r="V1419" s="57"/>
      </tp>
      <tp>
        <v>76.7</v>
        <stp/>
        <stp>9939</stp>
        <stp>Price</stp>
        <tr r="V1425" s="57"/>
      </tp>
      <tp>
        <v>56966</v>
        <stp/>
        <stp>6443</stp>
        <stp>PredictVolume</stp>
        <tr r="AJ909" s="57"/>
      </tp>
      <tp>
        <v>35</v>
        <stp/>
        <stp>6593</stp>
        <stp>PredictVolume</stp>
        <tr r="AJ1294" s="57"/>
      </tp>
      <tp>
        <v>523</v>
        <stp/>
        <stp>6533</stp>
        <stp>PredictVolume</stp>
        <tr r="AJ660" s="57"/>
      </tp>
      <tp>
        <v>127</v>
        <stp/>
        <stp>6523</stp>
        <stp>PredictVolume</stp>
        <tr r="AM16" s="28"/>
        <tr r="AJ386" s="57"/>
      </tp>
      <tp>
        <v>188</v>
        <stp/>
        <stp>6573</stp>
        <stp>PredictVolume</stp>
        <tr r="AJ664" s="57"/>
      </tp>
      <tp>
        <v>58</v>
        <stp/>
        <stp>6693</stp>
        <stp>PredictVolume</stp>
        <tr r="AJ672" s="57"/>
      </tp>
      <tp>
        <v>47</v>
        <stp/>
        <stp>6683</stp>
        <stp>PredictVolume</stp>
        <tr r="AJ670" s="57"/>
      </tp>
      <tp>
        <v>33</v>
        <stp/>
        <stp>6613</stp>
        <stp>PredictVolume</stp>
        <tr r="AJ1754" s="57"/>
      </tp>
      <tp>
        <v>877</v>
        <stp/>
        <stp>6603</stp>
        <stp>PredictVolume</stp>
        <tr r="AJ211" s="57"/>
      </tp>
      <tp>
        <v>65</v>
        <stp/>
        <stp>6643</stp>
        <stp>PredictVolume</stp>
        <tr r="AJ667" s="57"/>
      </tp>
      <tp>
        <v>899</v>
        <stp/>
        <stp>6733</stp>
        <stp>PredictVolume</stp>
        <tr r="AJ404" s="57"/>
      </tp>
      <tp>
        <v>114</v>
        <stp/>
        <stp>6703</stp>
        <stp>PredictVolume</stp>
        <tr r="AJ402" s="57"/>
      </tp>
      <tp>
        <v>70</v>
        <stp/>
        <stp>6763</stp>
        <stp>PredictVolume</stp>
        <tr r="AJ1803" s="57"/>
      </tp>
      <tp>
        <v>188</v>
        <stp/>
        <stp>6743</stp>
        <stp>PredictVolume</stp>
        <tr r="AJ1759" s="57"/>
      </tp>
      <tp>
        <v>67</v>
        <stp/>
        <stp>6023</stp>
        <stp>PredictVolume</stp>
        <tr r="AJ1627" s="57"/>
      </tp>
      <tp>
        <v>5</v>
        <stp/>
        <stp>6183</stp>
        <stp>PredictVolume</stp>
        <tr r="AJ1286" s="57"/>
      </tp>
      <tp>
        <v>121</v>
        <stp/>
        <stp>6133</stp>
        <stp>PredictVolume</stp>
        <tr r="AJ1155" s="57"/>
      </tp>
      <tp>
        <v>78</v>
        <stp/>
        <stp>6123</stp>
        <stp>PredictVolume</stp>
        <tr r="AJ776" s="57"/>
      </tp>
      <tp>
        <v>110</v>
        <stp/>
        <stp>6113</stp>
        <stp>PredictVolume</stp>
        <tr r="AJ1244" s="57"/>
      </tp>
      <tp>
        <v>0</v>
        <stp/>
        <stp>6103</stp>
        <stp>PredictVolume</stp>
        <tr r="AJ627" s="57"/>
      </tp>
      <tp>
        <v>191</v>
        <stp/>
        <stp>6173</stp>
        <stp>PredictVolume</stp>
        <tr r="AJ1163" s="57"/>
      </tp>
      <tp>
        <v>451</v>
        <stp/>
        <stp>6163</stp>
        <stp>PredictVolume</stp>
        <tr r="AJ985" s="57"/>
      </tp>
      <tp>
        <v>1103</v>
        <stp/>
        <stp>6153</stp>
        <stp>PredictVolume</stp>
        <tr r="AJ1158" s="57"/>
      </tp>
      <tp>
        <v>147</v>
        <stp/>
        <stp>6143</stp>
        <stp>PredictVolume</stp>
        <tr r="AJ983" s="57"/>
      </tp>
      <tp>
        <v>258</v>
        <stp/>
        <stp>6283</stp>
        <stp>PredictVolume</stp>
        <tr r="AJ1749" s="57"/>
      </tp>
      <tp>
        <v>197</v>
        <stp/>
        <stp>6233</stp>
        <stp>PredictVolume</stp>
        <tr r="AJ637" s="57"/>
      </tp>
      <tp>
        <v>1011</v>
        <stp/>
        <stp>6223</stp>
        <stp>PredictVolume</stp>
        <tr r="AJ635" s="57"/>
      </tp>
      <tp>
        <v>1236</v>
        <stp/>
        <stp>6213</stp>
        <stp>PredictVolume</stp>
        <tr r="AJ1176" s="57"/>
      </tp>
      <tp>
        <v>202</v>
        <stp/>
        <stp>6203</stp>
        <stp>PredictVolume</stp>
        <tr r="AJ1170" s="57"/>
      </tp>
      <tp>
        <v>5</v>
        <stp/>
        <stp>6263</stp>
        <stp>PredictVolume</stp>
        <tr r="AJ992" s="57"/>
      </tp>
      <tp>
        <v>497</v>
        <stp/>
        <stp>6243</stp>
        <stp>PredictVolume</stp>
        <tr r="AJ640" s="57"/>
      </tp>
      <tp>
        <v>34</v>
        <stp/>
        <stp>6803</stp>
        <stp>PredictVolume</stp>
        <tr r="AJ1356" s="57"/>
      </tp>
      <tp>
        <v>36</v>
        <stp/>
        <stp>4433</stp>
        <stp>PredictVolume</stp>
        <tr r="AJ122" s="57"/>
      </tp>
      <tp>
        <v>101</v>
        <stp/>
        <stp>4413</stp>
        <stp>PredictVolume</stp>
        <tr r="AJ114" s="57"/>
      </tp>
      <tp>
        <v>59</v>
        <stp/>
        <stp>4533</stp>
        <stp>PredictVolume</stp>
        <tr r="AJ186" s="57"/>
      </tp>
      <tp>
        <v>10</v>
        <stp/>
        <stp>4523</stp>
        <stp>PredictVolume</stp>
        <tr r="AJ180" s="57"/>
      </tp>
      <tp>
        <v>1009</v>
        <stp/>
        <stp>4513</stp>
        <stp>PredictVolume</stp>
        <tr r="AJ179" s="57"/>
      </tp>
      <tp>
        <v>323</v>
        <stp/>
        <stp>4503</stp>
        <stp>PredictVolume</stp>
        <tr r="AJ176" s="57"/>
      </tp>
      <tp>
        <v>36</v>
        <stp/>
        <stp>4563</stp>
        <stp>PredictVolume</stp>
        <tr r="AJ200" s="57"/>
      </tp>
      <tp>
        <v>86</v>
        <stp/>
        <stp>4543</stp>
        <stp>PredictVolume</stp>
        <tr r="AJ191" s="57"/>
      </tp>
      <tp>
        <v>122</v>
        <stp/>
        <stp>4763</stp>
        <stp>PredictVolume</stp>
        <tr r="AJ278" s="57"/>
      </tp>
      <tp>
        <v>1841</v>
        <stp/>
        <stp>4743</stp>
        <stp>PredictVolume</stp>
        <tr r="AJ369" s="57"/>
        <tr r="AJ41" s="118"/>
      </tp>
      <tp>
        <v>7</v>
        <stp/>
        <stp>4183</stp>
        <stp>PredictVolume</stp>
        <tr r="AJ359" s="57"/>
      </tp>
      <tp>
        <v>13599</v>
        <stp/>
        <stp>4133</stp>
        <stp>PredictVolume</stp>
        <tr r="AJ337" s="57"/>
      </tp>
      <tp>
        <v>927</v>
        <stp/>
        <stp>4123</stp>
        <stp>PredictVolume</stp>
        <tr r="AJ330" s="57"/>
      </tp>
      <tp>
        <v>61</v>
        <stp/>
        <stp>4113</stp>
        <stp>PredictVolume</stp>
        <tr r="AJ1475" s="57"/>
      </tp>
      <tp>
        <v>82</v>
        <stp/>
        <stp>4173</stp>
        <stp>PredictVolume</stp>
        <tr r="AJ356" s="57"/>
      </tp>
      <tp>
        <v>10</v>
        <stp/>
        <stp>4163</stp>
        <stp>PredictVolume</stp>
        <tr r="AM25" s="28"/>
        <tr r="AJ352" s="57"/>
      </tp>
      <tp>
        <v>33</v>
        <stp/>
        <stp>4153</stp>
        <stp>PredictVolume</stp>
        <tr r="AJ345" s="57"/>
      </tp>
      <tp>
        <v>98</v>
        <stp/>
        <stp>4303</stp>
        <stp>PredictVolume</stp>
        <tr r="AJ62" s="57"/>
      </tp>
      <tp>
        <v>25</v>
        <stp/>
        <stp>4933</stp>
        <stp>PredictVolume</stp>
        <tr r="AJ866" s="57"/>
      </tp>
      <tp>
        <v>148</v>
        <stp/>
        <stp>4923</stp>
        <stp>PredictVolume</stp>
        <tr r="AJ600" s="57"/>
      </tp>
      <tp>
        <v>81</v>
        <stp/>
        <stp>4903</stp>
        <stp>PredictVolume</stp>
        <tr r="AJ970" s="57"/>
      </tp>
      <tp>
        <v>148</v>
        <stp/>
        <stp>4973</stp>
        <stp>PredictVolume</stp>
        <tr r="AJ608" s="57"/>
      </tp>
      <tp>
        <v>273</v>
        <stp/>
        <stp>4953</stp>
        <stp>PredictVolume</stp>
        <tr r="AJ1271" s="57"/>
      </tp>
      <tp>
        <v>155</v>
        <stp/>
        <stp>4943</stp>
        <stp>PredictVolume</stp>
        <tr r="AJ1127" s="57"/>
      </tp>
      <tp>
        <v>942</v>
        <stp/>
        <stp>5493</stp>
        <stp>PredictVolume</stp>
        <tr r="AJ1737" s="57"/>
      </tp>
      <tp>
        <v>2448</v>
        <stp/>
        <stp>5483</stp>
        <stp>PredictVolume</stp>
        <tr r="AJ625" s="57"/>
        <tr r="AJ38" s="118"/>
      </tp>
      <tp>
        <v>17</v>
        <stp/>
        <stp>5403</stp>
        <stp>PredictVolume</stp>
        <tr r="AJ1281" s="57"/>
      </tp>
      <tp>
        <v>237</v>
        <stp/>
        <stp>5443</stp>
        <stp>PredictVolume</stp>
        <tr r="AJ888" s="57"/>
      </tp>
      <tp>
        <v>189</v>
        <stp/>
        <stp>5533</stp>
        <stp>PredictVolume</stp>
        <tr r="AJ1495" s="57"/>
      </tp>
      <tp>
        <v>164</v>
        <stp/>
        <stp>5523</stp>
        <stp>PredictVolume</stp>
        <tr r="AJ1491" s="57"/>
      </tp>
      <tp>
        <v>25</v>
        <stp/>
        <stp>5543</stp>
        <stp>PredictVolume</stp>
        <tr r="AJ1497" s="57"/>
      </tp>
      <tp>
        <v>1704</v>
        <stp/>
        <stp>5603</stp>
        <stp>PredictVolume</stp>
        <tr r="AJ1533" s="57"/>
      </tp>
      <tp>
        <v>0</v>
        <stp/>
        <stp>5703</stp>
        <stp>PredictVolume</stp>
        <tr r="AJ1578" s="57"/>
      </tp>
      <tp>
        <v>143</v>
        <stp/>
        <stp>5013</stp>
        <stp>PredictVolume</stp>
        <tr r="AJ466" s="57"/>
      </tp>
      <tp>
        <v>27</v>
        <stp/>
        <stp>5283</stp>
        <stp>PredictVolume</stp>
        <tr r="AJ240" s="57"/>
      </tp>
      <tp>
        <v>24</v>
        <stp/>
        <stp>5223</stp>
        <stp>PredictVolume</stp>
        <tr r="AM23" s="28"/>
        <tr r="AJ764" s="57"/>
      </tp>
      <tp>
        <v>97</v>
        <stp/>
        <stp>5213</stp>
        <stp>PredictVolume</stp>
        <tr r="AJ1479" s="57"/>
      </tp>
      <tp>
        <v>732</v>
        <stp/>
        <stp>5203</stp>
        <stp>PredictVolume</stp>
        <tr r="AJ1275" s="57"/>
      </tp>
      <tp>
        <v>38</v>
        <stp/>
        <stp>5263</stp>
        <stp>PredictVolume</stp>
        <tr r="AJ1780" s="57"/>
      </tp>
      <tp>
        <v>529</v>
        <stp/>
        <stp>5243</stp>
        <stp>PredictVolume</stp>
        <tr r="AJ879" s="57"/>
      </tp>
      <tp>
        <v>168</v>
        <stp/>
        <stp>5383</stp>
        <stp>PredictVolume</stp>
        <tr r="AJ1734" s="57"/>
      </tp>
      <tp>
        <v>60</v>
        <stp/>
        <stp>5353</stp>
        <stp>PredictVolume</stp>
        <tr r="AJ978" s="57"/>
      </tp>
      <tp>
        <v>64</v>
        <stp/>
        <stp>5903</stp>
        <stp>PredictVolume</stp>
        <tr r="AJ1655" s="57"/>
      </tp>
      <tp>
        <v>133</v>
        <stp/>
        <stp>2493</stp>
        <stp>PredictVolume</stp>
        <tr r="AJ1054" s="57"/>
      </tp>
      <tp>
        <v>24</v>
        <stp/>
        <stp>2483</stp>
        <stp>PredictVolume</stp>
        <tr r="AJ1051" s="57"/>
      </tp>
      <tp>
        <v>17</v>
        <stp/>
        <stp>2433</stp>
        <stp>PredictVolume</stp>
        <tr r="AJ1695" s="57"/>
      </tp>
      <tp>
        <v>268</v>
        <stp/>
        <stp>2423</stp>
        <stp>PredictVolume</stp>
        <tr r="AJ1694" s="57"/>
      </tp>
      <tp>
        <v>141</v>
        <stp/>
        <stp>2413</stp>
        <stp>PredictVolume</stp>
        <tr r="AJ1036" s="57"/>
      </tp>
      <tp>
        <v>178</v>
        <stp/>
        <stp>2453</stp>
        <stp>PredictVolume</stp>
        <tr r="AJ1264" s="57"/>
      </tp>
      <tp>
        <v>32</v>
        <stp/>
        <stp>2443</stp>
        <stp>PredictVolume</stp>
        <tr r="AJ1315" s="57"/>
      </tp>
      <tp>
        <v>2797</v>
        <stp/>
        <stp>2543</stp>
        <stp>PredictVolume</stp>
        <tr r="AJ1460" s="57"/>
      </tp>
      <tp>
        <v>2600</v>
        <stp/>
        <stp>2633</stp>
        <stp>PredictVolume</stp>
        <tr r="AJ1525" s="57"/>
      </tp>
      <tp>
        <v>8587</v>
        <stp/>
        <stp>2613</stp>
        <stp>PredictVolume</stp>
        <tr r="AJ1520" s="57"/>
      </tp>
      <tp>
        <v>73566</v>
        <stp/>
        <stp>2603</stp>
        <stp>PredictVolume</stp>
        <tr r="AJ1511" s="57"/>
        <tr r="AJ24" s="118"/>
      </tp>
      <tp>
        <v>51</v>
        <stp/>
        <stp>2643</stp>
        <stp>PredictVolume</stp>
        <tr r="AJ1531" s="57"/>
      </tp>
      <tp>
        <v>1294</v>
        <stp/>
        <stp>2723</stp>
        <stp>PredictVolume</stp>
        <tr r="AJ1553" s="57"/>
      </tp>
      <tp>
        <v>288</v>
        <stp/>
        <stp>2753</stp>
        <stp>PredictVolume</stp>
        <tr r="AJ1568" s="57"/>
      </tp>
      <tp>
        <v>1647</v>
        <stp/>
        <stp>2743</stp>
        <stp>PredictVolume</stp>
        <tr r="AJ1564" s="57"/>
      </tp>
      <tp>
        <v>11489</v>
        <stp/>
        <stp>2033</stp>
        <stp>PredictVolume</stp>
        <tr r="AJ453" s="57"/>
      </tp>
      <tp>
        <v>28893</v>
        <stp/>
        <stp>2023</stp>
        <stp>PredictVolume</stp>
        <tr r="AJ444" s="57"/>
      </tp>
      <tp>
        <v>757</v>
        <stp/>
        <stp>2013</stp>
        <stp>PredictVolume</stp>
        <tr r="AJ438" s="57"/>
      </tp>
      <tp>
        <v>953</v>
        <stp/>
        <stp>2063</stp>
        <stp>PredictVolume</stp>
        <tr r="AJ457" s="57"/>
      </tp>
      <tp>
        <v>1804</v>
        <stp/>
        <stp>2103</stp>
        <stp>PredictVolume</stp>
        <tr r="AJ481" s="57"/>
      </tp>
      <tp>
        <v>1392</v>
        <stp/>
        <stp>2233</stp>
        <stp>PredictVolume</stp>
        <tr r="AJ513" s="57"/>
      </tp>
      <tp>
        <v>1951</v>
        <stp/>
        <stp>2243</stp>
        <stp>PredictVolume</stp>
        <tr r="AJ516" s="57"/>
      </tp>
      <tp>
        <v>1252</v>
        <stp/>
        <stp>2393</stp>
        <stp>PredictVolume</stp>
        <tr r="AJ811" s="57"/>
      </tp>
      <tp>
        <v>685</v>
        <stp/>
        <stp>2383</stp>
        <stp>PredictVolume</stp>
        <tr r="AJ1032" s="57"/>
      </tp>
      <tp>
        <v>6474</v>
        <stp/>
        <stp>2323</stp>
        <stp>PredictVolume</stp>
        <tr r="AJ807" s="57"/>
      </tp>
      <tp>
        <v>38621</v>
        <stp/>
        <stp>2313</stp>
        <stp>PredictVolume</stp>
        <tr r="AJ1024" s="57"/>
      </tp>
      <tp>
        <v>63448</v>
        <stp/>
        <stp>2303</stp>
        <stp>PredictVolume</stp>
        <tr r="AJ529" s="57"/>
        <tr r="AJ5" s="118"/>
      </tp>
      <tp>
        <v>10</v>
        <stp/>
        <stp>2373</stp>
        <stp>PredictVolume</stp>
        <tr r="AJ1691" s="57"/>
      </tp>
      <tp>
        <v>1125</v>
        <stp/>
        <stp>2363</stp>
        <stp>PredictVolume</stp>
        <tr r="AJ537" s="57"/>
      </tp>
      <tp>
        <v>12997</v>
        <stp/>
        <stp>2353</stp>
        <stp>PredictVolume</stp>
        <tr r="AJ703" s="57"/>
      </tp>
      <tp>
        <v>73901</v>
        <stp/>
        <stp>2883</stp>
        <stp>PredictVolume</stp>
        <tr r="AJ1606" s="57"/>
        <tr r="AJ20" s="118"/>
      </tp>
      <tp>
        <v>17</v>
        <stp/>
        <stp>2923</stp>
        <stp>PredictVolume</stp>
        <tr r="AJ1468" s="57"/>
      </tp>
      <tp>
        <v>520</v>
        <stp/>
        <stp>2913</stp>
        <stp>PredictVolume</stp>
        <tr r="AJ1643" s="57"/>
      </tp>
      <tp>
        <v>228</v>
        <stp/>
        <stp>2903</stp>
        <stp>PredictVolume</stp>
        <tr r="AJ1636" s="57"/>
      </tp>
      <tp>
        <v>570</v>
        <stp/>
        <stp>3483</stp>
        <stp>PredictVolume</stp>
        <tr r="AJ3" s="74"/>
        <tr r="AJ743" s="57"/>
      </tp>
      <tp>
        <v>1696</v>
        <stp/>
        <stp>3413</stp>
        <stp>PredictVolume</stp>
        <tr r="AJ577" s="57"/>
      </tp>
      <tp>
        <v>684</v>
        <stp/>
        <stp>3443</stp>
        <stp>PredictVolume</stp>
        <tr r="AJ579" s="57"/>
      </tp>
      <tp>
        <v>45</v>
        <stp/>
        <stp>3593</stp>
        <stp>PredictVolume</stp>
        <tr r="AJ1108" s="57"/>
      </tp>
      <tp>
        <v>1051</v>
        <stp/>
        <stp>3583</stp>
        <stp>PredictVolume</stp>
        <tr r="AJ590" s="57"/>
      </tp>
      <tp>
        <v>826</v>
        <stp/>
        <stp>3533</stp>
        <stp>PredictVolume</stp>
        <tr r="AJ1104" s="57"/>
      </tp>
      <tp>
        <v>32</v>
        <stp/>
        <stp>3563</stp>
        <stp>PredictVolume</stp>
        <tr r="AJ851" s="57"/>
      </tp>
      <tp>
        <v>17</v>
        <stp/>
        <stp>3543</stp>
        <stp>PredictVolume</stp>
        <tr r="AJ850" s="57"/>
      </tp>
      <tp>
        <v>112</v>
        <stp/>
        <stp>3693</stp>
        <stp>PredictVolume</stp>
        <tr r="AJ753" s="57"/>
      </tp>
      <tp>
        <v>56</v>
        <stp/>
        <stp>3623</stp>
        <stp>PredictVolume</stp>
        <tr r="AJ856" s="57"/>
      </tp>
      <tp>
        <v>592</v>
        <stp/>
        <stp>3673</stp>
        <stp>PredictVolume</stp>
        <tr r="AJ860" s="57"/>
      </tp>
      <tp>
        <v>84</v>
        <stp/>
        <stp>3663</stp>
        <stp>PredictVolume</stp>
        <tr r="AJ1728" s="57"/>
      </tp>
      <tp>
        <v>412</v>
        <stp/>
        <stp>3653</stp>
        <stp>PredictVolume</stp>
        <tr r="AJ1117" s="57"/>
      </tp>
      <tp>
        <v>24</v>
        <stp/>
        <stp>3713</stp>
        <stp>PredictVolume</stp>
        <tr r="AM35" s="28"/>
        <tr r="AJ863" s="57"/>
      </tp>
      <tp>
        <v>1870</v>
        <stp/>
        <stp>3703</stp>
        <stp>PredictVolume</stp>
        <tr r="AJ1474" s="57"/>
      </tp>
      <tp>
        <v>19</v>
        <stp/>
        <stp>3093</stp>
        <stp>PredictVolume</stp>
        <tr r="AJ1707" s="57"/>
      </tp>
      <tp>
        <v>784</v>
        <stp/>
        <stp>3083</stp>
        <stp>PredictVolume</stp>
        <tr r="AJ1773" s="57"/>
      </tp>
      <tp>
        <v>2584</v>
        <stp/>
        <stp>3033</stp>
        <stp>PredictVolume</stp>
        <tr r="AJ1231" s="57"/>
      </tp>
      <tp>
        <v>227</v>
        <stp/>
        <stp>3023</stp>
        <stp>PredictVolume</stp>
        <tr r="AJ1059" s="57"/>
      </tp>
      <tp>
        <v>176</v>
        <stp/>
        <stp>3013</stp>
        <stp>PredictVolume</stp>
        <tr r="AJ725" s="57"/>
      </tp>
      <tp>
        <v>1154</v>
        <stp/>
        <stp>3003</stp>
        <stp>PredictVolume</stp>
        <tr r="AJ1055" s="57"/>
      </tp>
      <tp>
        <v>3</v>
        <stp/>
        <stp>3073</stp>
        <stp>PredictVolume</stp>
        <tr r="AJ558" s="57"/>
      </tp>
      <tp>
        <v>136</v>
        <stp/>
        <stp>3043</stp>
        <stp>PredictVolume</stp>
        <tr r="AJ1705" s="57"/>
      </tp>
      <tp>
        <v>707</v>
        <stp/>
        <stp>3163</stp>
        <stp>PredictVolume</stp>
        <tr r="AJ949" s="57"/>
      </tp>
      <tp>
        <v>132</v>
        <stp/>
        <stp>3293</stp>
        <stp>PredictVolume</stp>
        <tr r="AJ1775" s="57"/>
      </tp>
      <tp>
        <v>39</v>
        <stp/>
        <stp>3213</stp>
        <stp>PredictVolume</stp>
        <tr r="AJ734" s="57"/>
      </tp>
      <tp>
        <v>197</v>
        <stp/>
        <stp>3383</stp>
        <stp>PredictVolume</stp>
        <tr r="AJ837" s="57"/>
      </tp>
      <tp>
        <v>132</v>
        <stp/>
        <stp>3323</stp>
        <stp>PredictVolume</stp>
        <tr r="AJ738" s="57"/>
      </tp>
      <tp>
        <v>21</v>
        <stp/>
        <stp>3313</stp>
        <stp>PredictVolume</stp>
        <tr r="AJ1085" s="57"/>
      </tp>
      <tp>
        <v>47</v>
        <stp/>
        <stp>3303</stp>
        <stp>PredictVolume</stp>
        <tr r="AJ1711" s="57"/>
      </tp>
      <tp>
        <v>173</v>
        <stp/>
        <stp>3373</stp>
        <stp>PredictVolume</stp>
        <tr r="AJ1714" s="57"/>
      </tp>
      <tp>
        <v>227</v>
        <stp/>
        <stp>3363</stp>
        <stp>PredictVolume</stp>
        <tr r="AJ954" s="57"/>
      </tp>
      <tp>
        <v>54</v>
        <stp/>
        <stp>1423</stp>
        <stp>PredictVolume</stp>
        <tr r="AJ78" s="57"/>
      </tp>
      <tp>
        <v>85</v>
        <stp/>
        <stp>1413</stp>
        <stp>PredictVolume</stp>
        <tr r="AJ73" s="57"/>
      </tp>
      <tp>
        <v>213</v>
        <stp/>
        <stp>1473</stp>
        <stp>PredictVolume</stp>
        <tr r="AJ106" s="57"/>
      </tp>
      <tp>
        <v>98</v>
        <stp/>
        <stp>1463</stp>
        <stp>PredictVolume</stp>
        <tr r="AJ98" s="57"/>
      </tp>
      <tp>
        <v>1770</v>
        <stp/>
        <stp>1453</stp>
        <stp>PredictVolume</stp>
        <tr r="AJ91" s="57"/>
      </tp>
      <tp>
        <v>25</v>
        <stp/>
        <stp>1443</stp>
        <stp>PredictVolume</stp>
        <tr r="AJ83" s="57"/>
      </tp>
      <tp>
        <v>40</v>
        <stp/>
        <stp>1593</stp>
        <stp>PredictVolume</stp>
        <tr r="AJ289" s="57"/>
      </tp>
      <tp>
        <v>1</v>
        <stp/>
        <stp>1583</stp>
        <stp>PredictVolume</stp>
        <tr r="AJ154" s="57"/>
      </tp>
      <tp>
        <v>9048</v>
        <stp/>
        <stp>1533</stp>
        <stp>PredictVolume</stp>
        <tr r="AJ501" s="57"/>
      </tp>
      <tp>
        <v>22983</v>
        <stp/>
        <stp>1513</stp>
        <stp>PredictVolume</stp>
        <tr r="AJ132" s="57"/>
      </tp>
      <tp>
        <v>18</v>
        <stp/>
        <stp>1503</stp>
        <stp>PredictVolume</stp>
        <tr r="AJ128" s="57"/>
      </tp>
      <tp>
        <v>126</v>
        <stp/>
        <stp>1603</stp>
        <stp>PredictVolume</stp>
        <tr r="AJ224" s="57"/>
      </tp>
      <tp>
        <v>495</v>
        <stp/>
        <stp>1783</stp>
        <stp>PredictVolume</stp>
        <tr r="AJ303" s="57"/>
      </tp>
      <tp>
        <v>520</v>
        <stp/>
        <stp>1733</stp>
        <stp>PredictVolume</stp>
        <tr r="AJ295" s="57"/>
      </tp>
      <tp>
        <v>216</v>
        <stp/>
        <stp>1723</stp>
        <stp>PredictVolume</stp>
        <tr r="AJ254" s="57"/>
      </tp>
      <tp>
        <v>82</v>
        <stp/>
        <stp>1713</stp>
        <stp>PredictVolume</stp>
        <tr r="AJ248" s="57"/>
      </tp>
      <tp>
        <v>771</v>
        <stp/>
        <stp>1773</stp>
        <stp>PredictVolume</stp>
        <tr r="AJ262" s="57"/>
      </tp>
      <tp>
        <v>214</v>
        <stp/>
        <stp>1103</stp>
        <stp>PredictVolume</stp>
        <tr r="AJ6" s="57"/>
      </tp>
      <tp>
        <v>9</v>
        <stp/>
        <stp>1233</stp>
        <stp>PredictVolume</stp>
        <tr r="AJ28" s="57"/>
      </tp>
      <tp>
        <v>0</v>
        <stp/>
        <stp>1213</stp>
        <stp>PredictVolume</stp>
        <tr r="AJ16" s="57"/>
      </tp>
      <tp>
        <v>4</v>
        <stp/>
        <stp>1203</stp>
        <stp>PredictVolume</stp>
        <tr r="AJ14" s="57"/>
      </tp>
      <tp>
        <v>63</v>
        <stp/>
        <stp>1323</stp>
        <stp>PredictVolume</stp>
        <tr r="AJ55" s="57"/>
      </tp>
      <tp>
        <v>1672</v>
        <stp/>
        <stp>1313</stp>
        <stp>PredictVolume</stp>
        <tr r="AJ51" s="57"/>
      </tp>
      <tp>
        <v>11639</v>
        <stp/>
        <stp>1303</stp>
        <stp>PredictVolume</stp>
        <tr r="AJ43" s="57"/>
        <tr r="AJ11" s="118"/>
      </tp>
      <tp>
        <v>18</v>
        <stp/>
        <stp>1813</stp>
        <stp>PredictVolume</stp>
        <tr r="AJ310" s="57"/>
      </tp>
      <tp>
        <v>101</v>
        <stp/>
        <stp>1903</stp>
        <stp>PredictVolume</stp>
        <tr r="AJ423" s="57"/>
      </tp>
      <tp>
        <v>19</v>
        <stp/>
        <stp>8433</stp>
        <stp>PredictVolume</stp>
        <tr r="AJ1664" s="57"/>
      </tp>
      <tp>
        <v>5</v>
        <stp/>
        <stp>8423</stp>
        <stp>PredictVolume</stp>
        <tr r="AJ1370" s="57"/>
      </tp>
      <tp>
        <v>747</v>
        <stp/>
        <stp>8403</stp>
        <stp>PredictVolume</stp>
        <tr r="AJ409" s="57"/>
      </tp>
      <tp>
        <v>34</v>
        <stp/>
        <stp>8473</stp>
        <stp>PredictVolume</stp>
        <tr r="AJ1382" s="57"/>
      </tp>
      <tp>
        <v>19</v>
        <stp/>
        <stp>8463</stp>
        <stp>PredictVolume</stp>
        <tr r="AJ1378" s="57"/>
      </tp>
      <tp>
        <v>31</v>
        <stp/>
        <stp>8443</stp>
        <stp>PredictVolume</stp>
        <tr r="AJ1665" s="57"/>
      </tp>
      <tp>
        <v>32</v>
        <stp/>
        <stp>8093</stp>
        <stp>PredictVolume</stp>
        <tr r="AJ1211" s="57"/>
      </tp>
      <tp>
        <v>26</v>
        <stp/>
        <stp>8083</stp>
        <stp>PredictVolume</stp>
        <tr r="AJ215" s="57"/>
      </tp>
      <tp>
        <v>574</v>
        <stp/>
        <stp>8033</stp>
        <stp>PredictVolume</stp>
        <tr r="AJ1359" s="57"/>
      </tp>
      <tp>
        <v>113</v>
        <stp/>
        <stp>8043</stp>
        <stp>PredictVolume</stp>
        <tr r="AJ1205" s="57"/>
      </tp>
      <tp>
        <v>42666</v>
        <stp/>
        <stp>8183</stp>
        <stp>PredictVolume</stp>
        <tr r="AJ1764" s="57"/>
      </tp>
      <tp>
        <v>266</v>
        <stp/>
        <stp>8103</stp>
        <stp>PredictVolume</stp>
        <tr r="AJ1212" s="57"/>
      </tp>
      <tp>
        <v>1471</v>
        <stp/>
        <stp>8163</stp>
        <stp>PredictVolume</stp>
        <tr r="AJ800" s="57"/>
      </tp>
      <tp>
        <v>629</v>
        <stp/>
        <stp>8213</stp>
        <stp>PredictVolume</stp>
        <tr r="AJ1218" s="57"/>
      </tp>
      <tp>
        <v>352</v>
        <stp/>
        <stp>8383</stp>
        <stp>PredictVolume</stp>
        <tr r="AJ1766" s="57"/>
      </tp>
      <tp>
        <v>493</v>
        <stp/>
        <stp>8933</stp>
        <stp>PredictVolume</stp>
        <tr r="AJ1398" s="57"/>
      </tp>
      <tp>
        <v>1</v>
        <stp/>
        <stp>8923</stp>
        <stp>PredictVolume</stp>
        <tr r="AJ1794" s="57"/>
      </tp>
      <tp>
        <v>1812</v>
        <stp/>
        <stp>9933</stp>
        <stp>PredictVolume</stp>
        <tr r="AJ1421" s="57"/>
      </tp>
      <tp>
        <v>105</v>
        <stp/>
        <stp>9943</stp>
        <stp>PredictVolume</stp>
        <tr r="AJ1584" s="57"/>
      </tp>
      <tp>
        <v>985</v>
        <stp/>
        <stp>6492</stp>
        <stp>PredictVolume</stp>
        <tr r="AJ383" s="57"/>
      </tp>
      <tp>
        <v>20</v>
        <stp/>
        <stp>6482</stp>
        <stp>PredictVolume</stp>
        <tr r="AJ1788" s="57"/>
      </tp>
      <tp>
        <v>29</v>
        <stp/>
        <stp>6432</stp>
        <stp>PredictVolume</stp>
        <tr r="AJ1192" s="57"/>
      </tp>
      <tp>
        <v>341</v>
        <stp/>
        <stp>6412</stp>
        <stp>PredictVolume</stp>
        <tr r="AJ1190" s="57"/>
      </tp>
      <tp>
        <v>78</v>
        <stp/>
        <stp>6472</stp>
        <stp>PredictVolume</stp>
        <tr r="AJ381" s="57"/>
      </tp>
      <tp>
        <v>847</v>
        <stp/>
        <stp>6462</stp>
        <stp>PredictVolume</stp>
        <tr r="AJ651" s="57"/>
      </tp>
      <tp>
        <v>806</v>
        <stp/>
        <stp>6442</stp>
        <stp>PredictVolume</stp>
        <tr r="AJ997" s="57"/>
      </tp>
      <tp>
        <v>422</v>
        <stp/>
        <stp>6592</stp>
        <stp>PredictVolume</stp>
        <tr r="AJ1344" s="57"/>
        <tr r="AM27" s="28"/>
      </tp>
      <tp>
        <v>243</v>
        <stp/>
        <stp>6582</stp>
        <stp>PredictVolume</stp>
        <tr r="AJ490" s="57"/>
      </tp>
      <tp>
        <v>63</v>
        <stp/>
        <stp>6532</stp>
        <stp>PredictVolume</stp>
        <tr r="AJ659" s="57"/>
      </tp>
      <tp>
        <v>18</v>
        <stp/>
        <stp>6512</stp>
        <stp>PredictVolume</stp>
        <tr r="AJ1752" s="57"/>
      </tp>
      <tp>
        <v>33</v>
        <stp/>
        <stp>6552</stp>
        <stp>PredictVolume</stp>
        <tr r="AJ662" s="57"/>
      </tp>
      <tp>
        <v>3</v>
        <stp/>
        <stp>6542</stp>
        <stp>PredictVolume</stp>
        <tr r="AJ1789" s="57"/>
      </tp>
      <tp>
        <v>727</v>
        <stp/>
        <stp>6612</stp>
        <stp>PredictVolume</stp>
        <tr r="AJ396" s="57"/>
      </tp>
      <tp>
        <v>195</v>
        <stp/>
        <stp>6672</stp>
        <stp>PredictVolume</stp>
        <tr r="AJ1197" s="57"/>
      </tp>
      <tp>
        <v>5</v>
        <stp/>
        <stp>6662</stp>
        <stp>PredictVolume</stp>
        <tr r="AJ400" s="57"/>
      </tp>
      <tp>
        <v>1</v>
        <stp/>
        <stp>6642</stp>
        <stp>PredictVolume</stp>
        <tr r="AJ1195" s="57"/>
      </tp>
      <tp>
        <v>85</v>
        <stp/>
        <stp>6792</stp>
        <stp>PredictVolume</stp>
        <tr r="AJ1005" s="57"/>
      </tp>
      <tp>
        <v>64</v>
        <stp/>
        <stp>6732</stp>
        <stp>PredictVolume</stp>
        <tr r="AJ675" s="57"/>
      </tp>
      <tp>
        <v>1560</v>
        <stp/>
        <stp>6712</stp>
        <stp>PredictVolume</stp>
        <tr r="AJ403" s="57"/>
      </tp>
      <tp>
        <v>3</v>
        <stp/>
        <stp>6762</stp>
        <stp>PredictVolume</stp>
        <tr r="AJ406" s="57"/>
      </tp>
      <tp>
        <v>21</v>
        <stp/>
        <stp>6752</stp>
        <stp>PredictVolume</stp>
        <tr r="AJ1298" s="57"/>
      </tp>
      <tp>
        <v>106</v>
        <stp/>
        <stp>6192</stp>
        <stp>PredictVolume</stp>
        <tr r="AJ1743" s="57"/>
      </tp>
      <tp>
        <v>13335</v>
        <stp/>
        <stp>6182</stp>
        <stp>PredictVolume</stp>
        <tr r="AJ632" s="57"/>
      </tp>
      <tp>
        <v>5072</v>
        <stp/>
        <stp>6122</stp>
        <stp>PredictVolume</stp>
        <tr r="AJ209" s="57"/>
      </tp>
      <tp>
        <v>94</v>
        <stp/>
        <stp>6112</stp>
        <stp>PredictVolume</stp>
        <tr r="AJ1283" s="57"/>
      </tp>
      <tp>
        <v>242</v>
        <stp/>
        <stp>6152</stp>
        <stp>PredictVolume</stp>
        <tr r="AJ984" s="57"/>
      </tp>
      <tp>
        <v>165</v>
        <stp/>
        <stp>6142</stp>
        <stp>PredictVolume</stp>
        <tr r="AJ982" s="57"/>
      </tp>
      <tp>
        <v>31</v>
        <stp/>
        <stp>6292</stp>
        <stp>PredictVolume</stp>
        <tr r="AJ1189" s="57"/>
      </tp>
      <tp>
        <v>5311</v>
        <stp/>
        <stp>6282</stp>
        <stp>PredictVolume</stp>
        <tr r="AJ1186" s="57"/>
      </tp>
      <tp>
        <v>34</v>
        <stp/>
        <stp>6222</stp>
        <stp>PredictVolume</stp>
        <tr r="AJ898" s="57"/>
      </tp>
      <tp>
        <v>0</v>
        <stp/>
        <stp>6212</stp>
        <stp>PredictVolume</stp>
        <tr r="AJ1502" s="57"/>
      </tp>
      <tp>
        <v>2340</v>
        <stp/>
        <stp>6202</stp>
        <stp>PredictVolume</stp>
        <tr r="AJ634" s="57"/>
      </tp>
      <tp>
        <v>158</v>
        <stp/>
        <stp>6242</stp>
        <stp>PredictVolume</stp>
        <tr r="AJ377" s="57"/>
      </tp>
      <tp>
        <v>6</v>
        <stp/>
        <stp>7402</stp>
        <stp>PredictVolume</stp>
        <tr r="AJ916" s="57"/>
      </tp>
      <tp>
        <v>96</v>
        <stp/>
        <stp>4432</stp>
        <stp>PredictVolume</stp>
        <tr r="AM34" s="28"/>
        <tr r="AJ121" s="57"/>
      </tp>
      <tp>
        <v>1741</v>
        <stp/>
        <stp>4402</stp>
        <stp>PredictVolume</stp>
        <tr r="AJ112" s="57"/>
      </tp>
      <tp>
        <v>199</v>
        <stp/>
        <stp>4532</stp>
        <stp>PredictVolume</stp>
        <tr r="AJ185" s="57"/>
      </tp>
      <tp>
        <v>17</v>
        <stp/>
        <stp>4502</stp>
        <stp>PredictVolume</stp>
        <tr r="AJ175" s="57"/>
      </tp>
      <tp>
        <v>259</v>
        <stp/>
        <stp>4572</stp>
        <stp>PredictVolume</stp>
        <tr r="AJ205" s="57"/>
      </tp>
      <tp>
        <v>97</v>
        <stp/>
        <stp>4562</stp>
        <stp>PredictVolume</stp>
        <tr r="AJ199" s="57"/>
      </tp>
      <tp>
        <v>93</v>
        <stp/>
        <stp>4552</stp>
        <stp>PredictVolume</stp>
        <tr r="AJ194" s="57"/>
      </tp>
      <tp>
        <v>20</v>
        <stp/>
        <stp>4542</stp>
        <stp>PredictVolume</stp>
        <tr r="AJ1121" s="57"/>
      </tp>
      <tp>
        <v>245</v>
        <stp/>
        <stp>4722</stp>
        <stp>PredictVolume</stp>
        <tr r="AJ273" s="57"/>
      </tp>
      <tp>
        <v>3428</v>
        <stp/>
        <stp>4702</stp>
        <stp>PredictVolume</stp>
        <tr r="AJ265" s="57"/>
      </tp>
      <tp>
        <v>396</v>
        <stp/>
        <stp>4192</stp>
        <stp>PredictVolume</stp>
        <tr r="AJ362" s="57"/>
      </tp>
      <tp>
        <v>127</v>
        <stp/>
        <stp>4102</stp>
        <stp>PredictVolume</stp>
        <tr r="AJ317" s="57"/>
      </tp>
      <tp>
        <v>8733</v>
        <stp/>
        <stp>4162</stp>
        <stp>PredictVolume</stp>
        <tr r="AM17" s="28"/>
        <tr r="AJ351" s="57"/>
      </tp>
      <tp>
        <v>14278</v>
        <stp/>
        <stp>4142</stp>
        <stp>PredictVolume</stp>
        <tr r="AJ342" s="57"/>
      </tp>
      <tp>
        <v>423</v>
        <stp/>
        <stp>4912</stp>
        <stp>PredictVolume</stp>
        <tr r="AJ1123" s="57"/>
      </tp>
      <tp>
        <v>25</v>
        <stp/>
        <stp>4972</stp>
        <stp>PredictVolume</stp>
        <tr r="AJ873" s="57"/>
      </tp>
      <tp>
        <v>844</v>
        <stp/>
        <stp>4952</stp>
        <stp>PredictVolume</stp>
        <tr r="AJ602" s="57"/>
      </tp>
      <tp>
        <v>140</v>
        <stp/>
        <stp>4942</stp>
        <stp>PredictVolume</stp>
        <tr r="AJ869" s="57"/>
      </tp>
      <tp>
        <v>2</v>
        <stp/>
        <stp>5432</stp>
        <stp>PredictVolume</stp>
        <tr r="AJ887" s="57"/>
      </tp>
      <tp>
        <v>116</v>
        <stp/>
        <stp>5452</stp>
        <stp>PredictVolume</stp>
        <tr r="AJ1735" s="57"/>
      </tp>
      <tp>
        <v>234</v>
        <stp/>
        <stp>5522</stp>
        <stp>PredictVolume</stp>
        <tr r="AJ1816" s="57"/>
      </tp>
      <tp>
        <v>425</v>
        <stp/>
        <stp>5512</stp>
        <stp>PredictVolume</stp>
        <tr r="AJ1484" s="57"/>
      </tp>
      <tp>
        <v>68</v>
        <stp/>
        <stp>5102</stp>
        <stp>PredictVolume</stp>
        <tr r="AJ489" s="57"/>
      </tp>
      <tp>
        <v>125</v>
        <stp/>
        <stp>5222</stp>
        <stp>PredictVolume</stp>
        <tr r="AJ610" s="57"/>
      </tp>
      <tp>
        <v>6</v>
        <stp/>
        <stp>5212</stp>
        <stp>PredictVolume</stp>
        <tr r="AJ1279" s="57"/>
      </tp>
      <tp>
        <v>5</v>
        <stp/>
        <stp>5202</stp>
        <stp>PredictVolume</stp>
        <tr r="AJ1274" s="57"/>
      </tp>
      <tp>
        <v>169</v>
        <stp/>
        <stp>5272</stp>
        <stp>PredictVolume</stp>
        <tr r="AJ613" s="57"/>
      </tp>
      <tp>
        <v>308</v>
        <stp/>
        <stp>5392</stp>
        <stp>PredictVolume</stp>
        <tr r="AJ886" s="57"/>
      </tp>
      <tp>
        <v>9</v>
        <stp/>
        <stp>5312</stp>
        <stp>PredictVolume</stp>
        <tr r="AJ375" s="57"/>
      </tp>
      <tp>
        <v>392</v>
        <stp/>
        <stp>5302</stp>
        <stp>PredictVolume</stp>
        <tr r="AJ617" s="57"/>
      </tp>
      <tp>
        <v>78</v>
        <stp/>
        <stp>5902</stp>
        <stp>PredictVolume</stp>
        <tr r="AJ1654" s="57"/>
      </tp>
      <tp>
        <v>934</v>
        <stp/>
        <stp>2492</stp>
        <stp>PredictVolume</stp>
        <tr r="AJ1053" s="57"/>
      </tp>
      <tp>
        <v>113</v>
        <stp/>
        <stp>2482</stp>
        <stp>PredictVolume</stp>
        <tr r="AJ1700" s="57"/>
      </tp>
      <tp>
        <v>7527</v>
        <stp/>
        <stp>2412</stp>
        <stp>PredictVolume</stp>
        <tr r="AJ932" s="57"/>
        <tr r="AJ27" s="118"/>
      </tp>
      <tp>
        <v>306</v>
        <stp/>
        <stp>2402</stp>
        <stp>PredictVolume</stp>
        <tr r="AJ1035" s="57"/>
      </tp>
      <tp>
        <v>494</v>
        <stp/>
        <stp>2472</stp>
        <stp>PredictVolume</stp>
        <tr r="AJ1048" s="57"/>
      </tp>
      <tp>
        <v>1496</v>
        <stp/>
        <stp>2462</stp>
        <stp>PredictVolume</stp>
        <tr r="AJ1046" s="57"/>
      </tp>
      <tp>
        <v>37651</v>
        <stp/>
        <stp>2442</stp>
        <stp>PredictVolume</stp>
        <tr r="AJ721" s="57"/>
      </tp>
      <tp>
        <v>4715</v>
        <stp/>
        <stp>2542</stp>
        <stp>PredictVolume</stp>
        <tr r="AJ1459" s="57"/>
      </tp>
      <tp>
        <v>476</v>
        <stp/>
        <stp>2612</stp>
        <stp>PredictVolume</stp>
        <tr r="AJ1519" s="57"/>
      </tp>
      <tp>
        <v>1524</v>
        <stp/>
        <stp>2642</stp>
        <stp>PredictVolume</stp>
        <tr r="AJ1530" s="57"/>
      </tp>
      <tp>
        <v>71</v>
        <stp/>
        <stp>2732</stp>
        <stp>PredictVolume</stp>
        <tr r="AJ1559" s="57"/>
      </tp>
      <tp>
        <v>505</v>
        <stp/>
        <stp>2722</stp>
        <stp>PredictVolume</stp>
        <tr r="AJ1552" s="57"/>
      </tp>
      <tp>
        <v>68</v>
        <stp/>
        <stp>2712</stp>
        <stp>PredictVolume</stp>
        <tr r="AJ1549" s="57"/>
      </tp>
      <tp>
        <v>1778</v>
        <stp/>
        <stp>2702</stp>
        <stp>PredictVolume</stp>
        <tr r="AJ1544" s="57"/>
      </tp>
      <tp>
        <v>1</v>
        <stp/>
        <stp>2752</stp>
        <stp>PredictVolume</stp>
        <tr r="AJ1567" s="57"/>
      </tp>
      <tp>
        <v>27425</v>
        <stp/>
        <stp>2032</stp>
        <stp>PredictVolume</stp>
        <tr r="AJ452" s="57"/>
      </tp>
      <tp>
        <v>1556</v>
        <stp/>
        <stp>2022</stp>
        <stp>PredictVolume</stp>
        <tr r="AJ443" s="57"/>
      </tp>
      <tp>
        <v>671</v>
        <stp/>
        <stp>2012</stp>
        <stp>PredictVolume</stp>
        <tr r="AJ437" s="57"/>
      </tp>
      <tp>
        <v>22898</v>
        <stp/>
        <stp>2002</stp>
        <stp>PredictVolume</stp>
        <tr r="AJ431" s="57"/>
        <tr r="AJ29" s="118"/>
      </tp>
      <tp>
        <v>134</v>
        <stp/>
        <stp>2062</stp>
        <stp>PredictVolume</stp>
        <tr r="AJ1311" s="57"/>
      </tp>
      <tp>
        <v>1988</v>
        <stp/>
        <stp>2102</stp>
        <stp>PredictVolume</stp>
        <tr r="AJ480" s="57"/>
      </tp>
      <tp>
        <v>502</v>
        <stp/>
        <stp>2392</stp>
        <stp>PredictVolume</stp>
        <tr r="AJ1034" s="57"/>
      </tp>
      <tp>
        <v>8236</v>
        <stp/>
        <stp>2382</stp>
        <stp>PredictVolume</stp>
        <tr r="AJ712" s="57"/>
        <tr r="AJ8" s="118"/>
      </tp>
      <tp>
        <v>961</v>
        <stp/>
        <stp>2332</stp>
        <stp>PredictVolume</stp>
        <tr r="AJ930" s="57"/>
      </tp>
      <tp>
        <v>17194</v>
        <stp/>
        <stp>2312</stp>
        <stp>PredictVolume</stp>
        <tr r="AJ1686" s="57"/>
      </tp>
      <tp>
        <v>194</v>
        <stp/>
        <stp>2302</stp>
        <stp>PredictVolume</stp>
        <tr r="AJ528" s="57"/>
      </tp>
      <tp>
        <v>241</v>
        <stp/>
        <stp>2362</stp>
        <stp>PredictVolume</stp>
        <tr r="AJ706" s="57"/>
      </tp>
      <tp>
        <v>4160</v>
        <stp/>
        <stp>2352</stp>
        <stp>PredictVolume</stp>
        <tr r="AJ702" s="57"/>
      </tp>
      <tp>
        <v>483</v>
        <stp/>
        <stp>2342</stp>
        <stp>PredictVolume</stp>
        <tr r="AJ534" s="57"/>
      </tp>
      <tp>
        <v>27765</v>
        <stp/>
        <stp>2892</stp>
        <stp>PredictVolume</stp>
        <tr r="AJ1615" s="57"/>
        <tr r="AJ19" s="118"/>
      </tp>
      <tp>
        <v>10759</v>
        <stp/>
        <stp>2882</stp>
        <stp>PredictVolume</stp>
        <tr r="AJ1605" s="57"/>
        <tr r="AJ14" s="118"/>
      </tp>
      <tp>
        <v>308</v>
        <stp/>
        <stp>2832</stp>
        <stp>PredictVolume</stp>
        <tr r="AJ1592" s="57"/>
      </tp>
      <tp>
        <v>23250</v>
        <stp/>
        <stp>2812</stp>
        <stp>PredictVolume</stp>
        <tr r="AJ1589" s="57"/>
      </tp>
      <tp>
        <v>448</v>
        <stp/>
        <stp>2852</stp>
        <stp>PredictVolume</stp>
        <tr r="AJ1600" s="57"/>
      </tp>
      <tp>
        <v>480</v>
        <stp/>
        <stp>2912</stp>
        <stp>PredictVolume</stp>
        <tr r="AJ1642" s="57"/>
      </tp>
      <tp>
        <v>23</v>
        <stp/>
        <stp>3492</stp>
        <stp>PredictVolume</stp>
        <tr r="AJ1098" s="57"/>
      </tp>
      <tp>
        <v>44</v>
        <stp/>
        <stp>3432</stp>
        <stp>PredictVolume</stp>
        <tr r="AJ1095" s="57"/>
      </tp>
      <tp>
        <v>301</v>
        <stp/>
        <stp>3402</stp>
        <stp>PredictVolume</stp>
        <tr r="AJ1715" s="57"/>
      </tp>
      <tp>
        <v>211</v>
        <stp/>
        <stp>3592</stp>
        <stp>PredictVolume</stp>
        <tr r="AJ592" s="57"/>
      </tp>
      <tp>
        <v>6263</v>
        <stp/>
        <stp>3532</stp>
        <stp>PredictVolume</stp>
        <tr r="AJ583" s="57"/>
      </tp>
      <tp>
        <v>899</v>
        <stp/>
        <stp>3522</stp>
        <stp>PredictVolume</stp>
        <tr r="AJ1573" s="57"/>
      </tp>
      <tp>
        <v>81</v>
        <stp/>
        <stp>3512</stp>
        <stp>PredictVolume</stp>
        <tr r="AJ1101" s="57"/>
      </tp>
      <tp>
        <v>19632</v>
        <stp/>
        <stp>3552</stp>
        <stp>PredictVolume</stp>
        <tr r="AJ1722" s="57"/>
      </tp>
      <tp>
        <v>3829</v>
        <stp/>
        <stp>3682</stp>
        <stp>PredictVolume</stp>
        <tr r="AJ966" s="57"/>
      </tp>
      <tp>
        <v>35</v>
        <stp/>
        <stp>3632</stp>
        <stp>PredictVolume</stp>
        <tr r="AJ963" s="57"/>
      </tp>
      <tp>
        <v>449</v>
        <stp/>
        <stp>3622</stp>
        <stp>PredictVolume</stp>
        <tr r="AJ855" s="57"/>
      </tp>
      <tp>
        <v>122</v>
        <stp/>
        <stp>3672</stp>
        <stp>PredictVolume</stp>
        <tr r="AJ965" s="57"/>
      </tp>
      <tp>
        <v>13</v>
        <stp/>
        <stp>3652</stp>
        <stp>PredictVolume</stp>
        <tr r="AJ752" s="57"/>
      </tp>
      <tp>
        <v>120</v>
        <stp/>
        <stp>3642</stp>
        <stp>PredictVolume</stp>
        <tr r="AJ1727" s="57"/>
      </tp>
      <tp>
        <v>343</v>
        <stp/>
        <stp>3712</stp>
        <stp>PredictVolume</stp>
        <tr r="AJ757" s="57"/>
      </tp>
      <tp>
        <v>3155</v>
        <stp/>
        <stp>3702</stp>
        <stp>PredictVolume</stp>
        <tr r="AJ1242" s="57"/>
      </tp>
      <tp>
        <v>4583</v>
        <stp/>
        <stp>3092</stp>
        <stp>PredictVolume</stp>
        <tr r="AJ1068" s="57"/>
      </tp>
      <tp>
        <v>66</v>
        <stp/>
        <stp>3032</stp>
        <stp>PredictVolume</stp>
        <tr r="AJ1061" s="57"/>
      </tp>
      <tp>
        <v>82</v>
        <stp/>
        <stp>3022</stp>
        <stp>PredictVolume</stp>
        <tr r="AJ727" s="57"/>
      </tp>
      <tp>
        <v>58</v>
        <stp/>
        <stp>3002</stp>
        <stp>PredictVolume</stp>
        <tr r="AJ723" s="57"/>
      </tp>
      <tp>
        <v>1973</v>
        <stp/>
        <stp>3062</stp>
        <stp>PredictVolume</stp>
        <tr r="AJ944" s="57"/>
      </tp>
      <tp>
        <v>399</v>
        <stp/>
        <stp>3052</stp>
        <stp>PredictVolume</stp>
        <tr r="AJ1469" s="57"/>
      </tp>
      <tp>
        <v>941</v>
        <stp/>
        <stp>3042</stp>
        <stp>PredictVolume</stp>
        <tr r="AJ1063" s="57"/>
      </tp>
      <tp>
        <v>4530</v>
        <stp/>
        <stp>3122</stp>
        <stp>PredictVolume</stp>
        <tr r="AJ561" s="57"/>
      </tp>
      <tp>
        <v>188</v>
        <stp/>
        <stp>3162</stp>
        <stp>PredictVolume</stp>
        <tr r="AM29" s="28"/>
        <tr r="AJ169" s="57"/>
      </tp>
      <tp>
        <v>25</v>
        <stp/>
        <stp>3152</stp>
        <stp>PredictVolume</stp>
        <tr r="AJ948" s="57"/>
      </tp>
      <tp>
        <v>1226</v>
        <stp/>
        <stp>3232</stp>
        <stp>PredictVolume</stp>
        <tr r="AJ1237" s="57"/>
      </tp>
      <tp>
        <v>452</v>
        <stp/>
        <stp>3202</stp>
        <stp>PredictVolume</stp>
        <tr r="AJ1072" s="57"/>
      </tp>
      <tp>
        <v>31</v>
        <stp/>
        <stp>3272</stp>
        <stp>PredictVolume</stp>
        <tr r="AJ736" s="57"/>
      </tp>
      <tp>
        <v>145</v>
        <stp/>
        <stp>3252</stp>
        <stp>PredictVolume</stp>
        <tr r="AJ1572" s="57"/>
      </tp>
      <tp>
        <v>53</v>
        <stp/>
        <stp>3332</stp>
        <stp>PredictVolume</stp>
        <tr r="AJ1088" s="57"/>
      </tp>
      <tp>
        <v>1174</v>
        <stp/>
        <stp>3322</stp>
        <stp>PredictVolume</stp>
        <tr r="AJ1087" s="57"/>
      </tp>
      <tp>
        <v>464</v>
        <stp/>
        <stp>3312</stp>
        <stp>PredictVolume</stp>
        <tr r="AJ1238" s="57"/>
      </tp>
      <tp>
        <v>210</v>
        <stp/>
        <stp>3372</stp>
        <stp>PredictVolume</stp>
        <tr r="AJ575" s="57"/>
      </tp>
      <tp>
        <v>155</v>
        <stp/>
        <stp>3362</stp>
        <stp>PredictVolume</stp>
        <tr r="AJ836" s="57"/>
      </tp>
      <tp>
        <v>651</v>
        <stp/>
        <stp>1432</stp>
        <stp>PredictVolume</stp>
        <tr r="AJ1632" s="57"/>
      </tp>
      <tp>
        <v>3635</v>
        <stp/>
        <stp>1402</stp>
        <stp>PredictVolume</stp>
        <tr r="AJ70" s="57"/>
      </tp>
      <tp>
        <v>0</v>
        <stp/>
        <stp>1472</stp>
        <stp>PredictVolume</stp>
        <tr r="AJ105" s="57"/>
      </tp>
      <tp>
        <v>218</v>
        <stp/>
        <stp>1452</stp>
        <stp>PredictVolume</stp>
        <tr r="AJ90" s="57"/>
      </tp>
      <tp>
        <v>116</v>
        <stp/>
        <stp>1442</stp>
        <stp>PredictVolume</stp>
        <tr r="AJ1437" s="57"/>
      </tp>
      <tp>
        <v>123</v>
        <stp/>
        <stp>1582</stp>
        <stp>PredictVolume</stp>
        <tr r="AJ1019" s="57"/>
      </tp>
      <tp>
        <v>278</v>
        <stp/>
        <stp>1532</stp>
        <stp>PredictVolume</stp>
        <tr r="AJ143" s="57"/>
      </tp>
      <tp>
        <v>182</v>
        <stp/>
        <stp>1522</stp>
        <stp>PredictVolume</stp>
        <tr r="AJ498" s="57"/>
      </tp>
      <tp>
        <v>15</v>
        <stp/>
        <stp>1512</stp>
        <stp>PredictVolume</stp>
        <tr r="AJ496" s="57"/>
      </tp>
      <tp>
        <v>3578</v>
        <stp/>
        <stp>1612</stp>
        <stp>PredictVolume</stp>
        <tr r="AJ230" s="57"/>
      </tp>
      <tp>
        <v>14596</v>
        <stp/>
        <stp>1732</stp>
        <stp>PredictVolume</stp>
        <tr r="AM13" s="28"/>
        <tr r="AJ259" s="57"/>
      </tp>
      <tp>
        <v>9538</v>
        <stp/>
        <stp>1722</stp>
        <stp>PredictVolume</stp>
        <tr r="AJ253" s="57"/>
      </tp>
      <tp>
        <v>17998</v>
        <stp/>
        <stp>1712</stp>
        <stp>PredictVolume</stp>
        <tr r="AJ247" s="57"/>
      </tp>
      <tp>
        <v>226</v>
        <stp/>
        <stp>1702</stp>
        <stp>PredictVolume</stp>
        <tr r="AJ35" s="57"/>
      </tp>
      <tp>
        <v>5773</v>
        <stp/>
        <stp>1762</stp>
        <stp>PredictVolume</stp>
        <tr r="AJ300" s="57"/>
      </tp>
      <tp>
        <v>81</v>
        <stp/>
        <stp>1752</stp>
        <stp>PredictVolume</stp>
        <tr r="AJ298" s="57"/>
      </tp>
      <tp>
        <v>121</v>
        <stp/>
        <stp>1742</stp>
        <stp>PredictVolume</stp>
        <tr r="AJ261" s="57"/>
      </tp>
      <tp>
        <v>3565</v>
        <stp/>
        <stp>1102</stp>
        <stp>PredictVolume</stp>
        <tr r="AJ5" s="57"/>
      </tp>
      <tp>
        <v>34</v>
        <stp/>
        <stp>1232</stp>
        <stp>PredictVolume</stp>
        <tr r="AJ27" s="57"/>
      </tp>
      <tp>
        <v>5535</v>
        <stp/>
        <stp>1312</stp>
        <stp>PredictVolume</stp>
        <tr r="AJ50" s="57"/>
      </tp>
      <tp>
        <v>30</v>
        <stp/>
        <stp>1342</stp>
        <stp>PredictVolume</stp>
        <tr r="AJ1305" s="57"/>
      </tp>
      <tp>
        <v>2988</v>
        <stp/>
        <stp>1802</stp>
        <stp>PredictVolume</stp>
        <tr r="AJ416" s="57"/>
      </tp>
      <tp>
        <v>13</v>
        <stp/>
        <stp>8482</stp>
        <stp>PredictVolume</stp>
        <tr r="AJ1387" s="57"/>
      </tp>
      <tp>
        <v>29</v>
        <stp/>
        <stp>8432</stp>
        <stp>PredictVolume</stp>
        <tr r="AJ412" s="57"/>
      </tp>
      <tp>
        <v>145</v>
        <stp/>
        <stp>8422</stp>
        <stp>PredictVolume</stp>
        <tr r="AJ1369" s="57"/>
      </tp>
      <tp>
        <v>1</v>
        <stp/>
        <stp>8472</stp>
        <stp>PredictVolume</stp>
        <tr r="AJ1805" s="57"/>
      </tp>
      <tp>
        <v>53</v>
        <stp/>
        <stp>8462</stp>
        <stp>PredictVolume</stp>
        <tr r="AJ1582" s="57"/>
      </tp>
      <tp>
        <v>21</v>
        <stp/>
        <stp>8442</stp>
        <stp>PredictVolume</stp>
        <tr r="AJ1376" s="57"/>
      </tp>
      <tp>
        <v>40</v>
        <stp/>
        <stp>8092</stp>
        <stp>PredictVolume</stp>
        <tr r="AJ1763" s="57"/>
      </tp>
      <tp>
        <v>2</v>
        <stp/>
        <stp>8032</stp>
        <stp>PredictVolume</stp>
        <tr r="AJ1253" s="57"/>
      </tp>
      <tp>
        <v>24</v>
        <stp/>
        <stp>8072</stp>
        <stp>PredictVolume</stp>
        <tr r="AJ1257" s="57"/>
      </tp>
      <tp>
        <v>15</v>
        <stp/>
        <stp>8042</stp>
        <stp>PredictVolume</stp>
        <tr r="AJ1204" s="57"/>
      </tp>
      <tp>
        <v>62</v>
        <stp/>
        <stp>8182</stp>
        <stp>PredictVolume</stp>
        <tr r="AJ1217" s="57"/>
      </tp>
      <tp>
        <v>2035</v>
        <stp/>
        <stp>8112</stp>
        <stp>PredictVolume</stp>
        <tr r="AJ1260" s="57"/>
      </tp>
      <tp>
        <v>1796</v>
        <stp/>
        <stp>8222</stp>
        <stp>PredictVolume</stp>
        <tr r="AJ217" s="57"/>
      </tp>
      <tp>
        <v>9</v>
        <stp/>
        <stp>8342</stp>
        <stp>PredictVolume</stp>
        <tr r="AJ1361" s="57"/>
      </tp>
      <tp>
        <v>18</v>
        <stp/>
        <stp>8932</stp>
        <stp>PredictVolume</stp>
        <tr r="AJ1397" s="57"/>
      </tp>
      <tp>
        <v>162</v>
        <stp/>
        <stp>8942</stp>
        <stp>PredictVolume</stp>
        <tr r="AJ1403" s="57"/>
      </tp>
      <tp>
        <v>1025</v>
        <stp/>
        <stp>9802</stp>
        <stp>PredictVolume</stp>
        <tr r="AJ1404" s="57"/>
      </tp>
      <tp>
        <v>9</v>
        <stp/>
        <stp>9912</stp>
        <stp>PredictVolume</stp>
        <tr r="AJ804" s="57"/>
      </tp>
      <tp>
        <v>42</v>
        <stp/>
        <stp>9902</stp>
        <stp>PredictVolume</stp>
        <tr r="AJ1405" s="57"/>
      </tp>
      <tp>
        <v>6523</v>
        <stp/>
        <stp>9962</stp>
        <stp>PredictVolume</stp>
        <tr r="AJ476" s="57"/>
      </tp>
      <tp>
        <v>72</v>
        <stp/>
        <stp>9942</stp>
        <stp>PredictVolume</stp>
        <tr r="AJ1428" s="57"/>
      </tp>
      <tp>
        <v>278</v>
        <stp/>
        <stp>6491</stp>
        <stp>PredictVolume</stp>
        <tr r="AJ382" s="57"/>
      </tp>
      <tp>
        <v>32</v>
        <stp/>
        <stp>6431</stp>
        <stp>PredictVolume</stp>
        <tr r="AJ908" s="57"/>
      </tp>
      <tp>
        <v>5621</v>
        <stp/>
        <stp>6411</stp>
        <stp>PredictVolume</stp>
        <tr r="AJ646" s="57"/>
      </tp>
      <tp>
        <v>241</v>
        <stp/>
        <stp>6461</stp>
        <stp>PredictVolume</stp>
        <tr r="AJ379" s="57"/>
      </tp>
      <tp>
        <v>526</v>
        <stp/>
        <stp>6451</stp>
        <stp>PredictVolume</stp>
        <tr r="AJ649" s="57"/>
      </tp>
      <tp>
        <v>633</v>
        <stp/>
        <stp>6441</stp>
        <stp>PredictVolume</stp>
        <tr r="AJ790" s="57"/>
      </tp>
      <tp>
        <v>1217</v>
        <stp/>
        <stp>6591</stp>
        <stp>PredictVolume</stp>
        <tr r="AJ794" s="57"/>
      </tp>
      <tp>
        <v>2547</v>
        <stp/>
        <stp>6581</stp>
        <stp>PredictVolume</stp>
        <tr r="AJ1343" s="57"/>
      </tp>
      <tp>
        <v>1936</v>
        <stp/>
        <stp>6531</stp>
        <stp>PredictVolume</stp>
        <tr r="AJ658" s="57"/>
      </tp>
      <tp>
        <v>33</v>
        <stp/>
        <stp>6561</stp>
        <stp>PredictVolume</stp>
        <tr r="AJ1002" s="57"/>
      </tp>
      <tp>
        <v>1297</v>
        <stp/>
        <stp>6541</stp>
        <stp>PredictVolume</stp>
        <tr r="AJ389" s="57"/>
      </tp>
      <tp>
        <v>18</v>
        <stp/>
        <stp>6691</stp>
        <stp>PredictVolume</stp>
        <tr r="AJ1757" s="57"/>
      </tp>
      <tp>
        <v>9</v>
        <stp/>
        <stp>6671</stp>
        <stp>PredictVolume</stp>
        <tr r="AJ1352" s="57"/>
      </tp>
      <tp>
        <v>12</v>
        <stp/>
        <stp>6661</stp>
        <stp>PredictVolume</stp>
        <tr r="AJ399" s="57"/>
      </tp>
      <tp>
        <v>63</v>
        <stp/>
        <stp>6651</stp>
        <stp>PredictVolume</stp>
        <tr r="AJ668" s="57"/>
      </tp>
      <tp>
        <v>7</v>
        <stp/>
        <stp>6641</stp>
        <stp>PredictVolume</stp>
        <tr r="AJ1349" s="57"/>
      </tp>
      <tp>
        <v>625</v>
        <stp/>
        <stp>6781</stp>
        <stp>PredictVolume</stp>
        <tr r="AJ1201" s="57"/>
      </tp>
      <tp>
        <v>12</v>
        <stp/>
        <stp>6761</stp>
        <stp>PredictVolume</stp>
        <tr r="AJ1200" s="57"/>
      </tp>
      <tp>
        <v>125</v>
        <stp/>
        <stp>6751</stp>
        <stp>PredictVolume</stp>
        <tr r="AJ1297" s="57"/>
      </tp>
      <tp>
        <v>256</v>
        <stp/>
        <stp>6741</stp>
        <stp>PredictVolume</stp>
        <tr r="AJ1802" s="57"/>
      </tp>
      <tp>
        <v>10</v>
        <stp/>
        <stp>6021</stp>
        <stp>PredictVolume</stp>
        <tr r="AJ1626" s="57"/>
      </tp>
      <tp>
        <v>30872</v>
        <stp/>
        <stp>6191</stp>
        <stp>PredictVolume</stp>
        <tr r="AJ1167" s="57"/>
      </tp>
      <tp>
        <v>375</v>
        <stp/>
        <stp>6121</stp>
        <stp>PredictVolume</stp>
        <tr r="AJ775" s="57"/>
      </tp>
      <tp>
        <v>3313</v>
        <stp/>
        <stp>6111</stp>
        <stp>PredictVolume</stp>
        <tr r="AJ1783" s="57"/>
      </tp>
      <tp>
        <v>9</v>
        <stp/>
        <stp>6101</stp>
        <stp>PredictVolume</stp>
        <tr r="AJ1782" s="57"/>
      </tp>
      <tp>
        <v>30</v>
        <stp/>
        <stp>6171</stp>
        <stp>PredictVolume</stp>
        <tr r="AJ1499" s="57"/>
      </tp>
      <tp>
        <v>445</v>
        <stp/>
        <stp>6161</stp>
        <stp>PredictVolume</stp>
        <tr r="AJ780" s="57"/>
      </tp>
      <tp>
        <v>75</v>
        <stp/>
        <stp>6151</stp>
        <stp>PredictVolume</stp>
        <tr r="AJ1741" s="57"/>
      </tp>
      <tp>
        <v>24</v>
        <stp/>
        <stp>6141</stp>
        <stp>PredictVolume</stp>
        <tr r="AJ1157" s="57"/>
      </tp>
      <tp>
        <v>53</v>
        <stp/>
        <stp>6291</stp>
        <stp>PredictVolume</stp>
        <tr r="AJ645" s="57"/>
      </tp>
      <tp>
        <v>36</v>
        <stp/>
        <stp>6281</stp>
        <stp>PredictVolume</stp>
        <tr r="AJ1251" s="57"/>
      </tp>
      <tp>
        <v>1196</v>
        <stp/>
        <stp>6231</stp>
        <stp>PredictVolume</stp>
        <tr r="AJ1289" s="57"/>
      </tp>
      <tp>
        <v>16</v>
        <stp/>
        <stp>6221</stp>
        <stp>PredictVolume</stp>
        <tr r="AJ1288" s="57"/>
      </tp>
      <tp>
        <v>8</v>
        <stp/>
        <stp>6201</stp>
        <stp>PredictVolume</stp>
        <tr r="AJ1745" s="57"/>
      </tp>
      <tp>
        <v>1093</v>
        <stp/>
        <stp>6271</stp>
        <stp>PredictVolume</stp>
        <tr r="AJ643" s="57"/>
      </tp>
      <tp>
        <v>210</v>
        <stp/>
        <stp>6261</stp>
        <stp>PredictVolume</stp>
        <tr r="AJ642" s="57"/>
      </tp>
      <tp>
        <v>13986</v>
        <stp/>
        <stp>6251</stp>
        <stp>PredictVolume</stp>
        <tr r="AJ1180" s="57"/>
      </tp>
      <tp>
        <v>2292</v>
        <stp/>
        <stp>6241</stp>
        <stp>PredictVolume</stp>
        <tr r="AJ990" s="57"/>
      </tp>
      <tp>
        <v>43</v>
        <stp/>
        <stp>4401</stp>
        <stp>PredictVolume</stp>
        <tr r="AJ111" s="57"/>
      </tp>
      <tp>
        <v>2</v>
        <stp/>
        <stp>4581</stp>
        <stp>PredictVolume</stp>
        <tr r="AJ523" s="57"/>
      </tp>
      <tp>
        <v>23</v>
        <stp/>
        <stp>4571</stp>
        <stp>PredictVolume</stp>
        <tr r="AJ204" s="57"/>
      </tp>
      <tp>
        <v>37</v>
        <stp/>
        <stp>4561</stp>
        <stp>PredictVolume</stp>
        <tr r="AJ198" s="57"/>
      </tp>
      <tp>
        <v>957</v>
        <stp/>
        <stp>4551</stp>
        <stp>PredictVolume</stp>
        <tr r="AJ521" s="57"/>
      </tp>
      <tp>
        <v>1539</v>
        <stp/>
        <stp>4541</stp>
        <stp>PredictVolume</stp>
        <tr r="AJ1326" s="57"/>
      </tp>
      <tp>
        <v>944</v>
        <stp/>
        <stp>4721</stp>
        <stp>PredictVolume</stp>
        <tr r="AJ272" s="57"/>
      </tp>
      <tp>
        <v>37</v>
        <stp/>
        <stp>4711</stp>
        <stp>PredictVolume</stp>
        <tr r="AJ268" s="57"/>
      </tp>
      <tp>
        <v>7</v>
        <stp/>
        <stp>4741</stp>
        <stp>PredictVolume</stp>
        <tr r="AJ275" s="57"/>
      </tp>
      <tp>
        <v>3</v>
        <stp/>
        <stp>4131</stp>
        <stp>PredictVolume</stp>
        <tr r="AJ336" s="57"/>
      </tp>
      <tp>
        <v>6599</v>
        <stp/>
        <stp>4121</stp>
        <stp>PredictVolume</stp>
        <tr r="AJ329" s="57"/>
      </tp>
      <tp>
        <v>83</v>
        <stp/>
        <stp>4111</stp>
        <stp>PredictVolume</stp>
        <tr r="AJ324" s="57"/>
      </tp>
      <tp>
        <v>8086</v>
        <stp/>
        <stp>4171</stp>
        <stp>PredictVolume</stp>
        <tr r="AJ1812" s="57"/>
      </tp>
      <tp>
        <v>38</v>
        <stp/>
        <stp>4161</stp>
        <stp>PredictVolume</stp>
        <tr r="AJ350" s="57"/>
      </tp>
      <tp>
        <v>372</v>
        <stp/>
        <stp>4141</stp>
        <stp>PredictVolume</stp>
        <tr r="AJ341" s="57"/>
      </tp>
      <tp>
        <v>68</v>
        <stp/>
        <stp>4991</stp>
        <stp>PredictVolume</stp>
        <tr r="AJ609" s="57"/>
      </tp>
      <tp>
        <v>11543</v>
        <stp/>
        <stp>4931</stp>
        <stp>PredictVolume</stp>
        <tr r="AJ760" s="57"/>
      </tp>
      <tp>
        <v>74</v>
        <stp/>
        <stp>4911</stp>
        <stp>PredictVolume</stp>
        <tr r="AJ374" s="57"/>
      </tp>
      <tp>
        <v>169</v>
        <stp/>
        <stp>4971</stp>
        <stp>PredictVolume</stp>
        <tr r="AJ607" s="57"/>
      </tp>
      <tp>
        <v>849</v>
        <stp/>
        <stp>4961</stp>
        <stp>PredictVolume</stp>
        <tr r="AJ603" s="57"/>
      </tp>
      <tp>
        <v>49</v>
        <stp/>
        <stp>5481</stp>
        <stp>PredictVolume</stp>
        <tr r="AJ1334" s="57"/>
      </tp>
      <tp>
        <v>600</v>
        <stp/>
        <stp>5471</stp>
        <stp>PredictVolume</stp>
        <tr r="AM28" s="28"/>
        <tr r="AJ624" s="57"/>
      </tp>
      <tp>
        <v>225</v>
        <stp/>
        <stp>5531</stp>
        <stp>PredictVolume</stp>
        <tr r="AJ1494" s="57"/>
      </tp>
      <tp>
        <v>294</v>
        <stp/>
        <stp>5521</stp>
        <stp>PredictVolume</stp>
        <tr r="AJ1490" s="57"/>
      </tp>
      <tp>
        <v>3</v>
        <stp/>
        <stp>5511</stp>
        <stp>PredictVolume</stp>
        <tr r="AJ1483" s="57"/>
      </tp>
      <tp>
        <v>11</v>
        <stp/>
        <stp>5601</stp>
        <stp>PredictVolume</stp>
        <tr r="AJ1532" s="57"/>
      </tp>
      <tp>
        <v>238</v>
        <stp/>
        <stp>5701</stp>
        <stp>PredictVolume</stp>
        <tr r="AJ1577" s="57"/>
      </tp>
      <tp>
        <v>11175</v>
        <stp/>
        <stp>5011</stp>
        <stp>PredictVolume</stp>
        <tr r="AJ465" s="57"/>
      </tp>
      <tp>
        <v>60</v>
        <stp/>
        <stp>5291</stp>
        <stp>PredictVolume</stp>
        <tr r="AJ1133" s="57"/>
      </tp>
      <tp>
        <v>4</v>
        <stp/>
        <stp>5281</stp>
        <stp>PredictVolume</stp>
        <tr r="AJ883" s="57"/>
      </tp>
      <tp>
        <v>60</v>
        <stp/>
        <stp>5211</stp>
        <stp>PredictVolume</stp>
        <tr r="AJ1278" s="57"/>
      </tp>
      <tp>
        <v>57</v>
        <stp/>
        <stp>5201</stp>
        <stp>PredictVolume</stp>
        <tr r="AJ1273" s="57"/>
      </tp>
      <tp>
        <v>1389</v>
        <stp/>
        <stp>5251</stp>
        <stp>PredictVolume</stp>
        <tr r="AJ882" s="57"/>
      </tp>
      <tp>
        <v>111</v>
        <stp/>
        <stp>5381</stp>
        <stp>PredictVolume</stp>
        <tr r="AJ1140" s="57"/>
      </tp>
      <tp>
        <v>540</v>
        <stp/>
        <stp>5321</stp>
        <stp>PredictVolume</stp>
        <tr r="AJ1135" s="57"/>
      </tp>
      <tp>
        <v>522</v>
        <stp/>
        <stp>5301</stp>
        <stp>PredictVolume</stp>
        <tr r="AJ1575" s="57"/>
      </tp>
      <tp>
        <v>625</v>
        <stp/>
        <stp>5371</stp>
        <stp>PredictVolume</stp>
        <tr r="AJ885" s="57"/>
      </tp>
      <tp>
        <v>8340</v>
        <stp/>
        <stp>5351</stp>
        <stp>PredictVolume</stp>
        <tr r="AJ621" s="57"/>
      </tp>
      <tp>
        <v>1614</v>
        <stp/>
        <stp>5871</stp>
        <stp>PredictVolume</stp>
        <tr r="AJ1336" s="57"/>
        <tr r="AJ23" s="118"/>
      </tp>
      <tp>
        <v>112</v>
        <stp/>
        <stp>2491</stp>
        <stp>PredictVolume</stp>
        <tr r="AJ819" s="57"/>
      </tp>
      <tp>
        <v>10377</v>
        <stp/>
        <stp>2481</stp>
        <stp>PredictVolume</stp>
        <tr r="AJ550" s="57"/>
      </tp>
      <tp>
        <v>140</v>
        <stp/>
        <stp>2431</stp>
        <stp>PredictVolume</stp>
        <tr r="AJ1042" s="57"/>
      </tp>
      <tp>
        <v>509</v>
        <stp/>
        <stp>2421</stp>
        <stp>PredictVolume</stp>
        <tr r="AJ1039" s="57"/>
      </tp>
      <tp>
        <v>4591</v>
        <stp/>
        <stp>2401</stp>
        <stp>PredictVolume</stp>
        <tr r="AJ541" s="57"/>
      </tp>
      <tp>
        <v>191</v>
        <stp/>
        <stp>2471</stp>
        <stp>PredictVolume</stp>
        <tr r="AJ1266" s="57"/>
      </tp>
      <tp>
        <v>460</v>
        <stp/>
        <stp>2461</stp>
        <stp>PredictVolume</stp>
        <tr r="AJ1696" s="57"/>
      </tp>
      <tp>
        <v>345</v>
        <stp/>
        <stp>2451</stp>
        <stp>PredictVolume</stp>
        <tr r="AJ547" s="57"/>
      </tp>
      <tp>
        <v>679</v>
        <stp/>
        <stp>2441</stp>
        <stp>PredictVolume</stp>
        <tr r="AJ545" s="57"/>
      </tp>
      <tp>
        <v>505</v>
        <stp/>
        <stp>2511</stp>
        <stp>PredictVolume</stp>
        <tr r="AJ1445" s="57"/>
      </tp>
      <tp>
        <v>106</v>
        <stp/>
        <stp>2501</stp>
        <stp>PredictVolume</stp>
        <tr r="AJ1440" s="57"/>
      </tp>
      <tp>
        <v>8501</v>
        <stp/>
        <stp>2611</stp>
        <stp>PredictVolume</stp>
        <tr r="AJ1518" s="57"/>
      </tp>
      <tp>
        <v>2540</v>
        <stp/>
        <stp>2601</stp>
        <stp>PredictVolume</stp>
        <tr r="AJ1633" s="57"/>
      </tp>
      <tp>
        <v>1836</v>
        <stp/>
        <stp>2641</stp>
        <stp>PredictVolume</stp>
        <tr r="AJ1529" s="57"/>
      </tp>
      <tp>
        <v>18443</v>
        <stp/>
        <stp>2731</stp>
        <stp>PredictVolume</stp>
        <tr r="AJ1558" s="57"/>
      </tp>
      <tp>
        <v>43</v>
        <stp/>
        <stp>2701</stp>
        <stp>PredictVolume</stp>
        <tr r="AJ1543" s="57"/>
      </tp>
      <tp>
        <v>19638</v>
        <stp/>
        <stp>2031</stp>
        <stp>PredictVolume</stp>
        <tr r="AJ451" s="57"/>
      </tp>
      <tp>
        <v>13</v>
        <stp/>
        <stp>2061</stp>
        <stp>PredictVolume</stp>
        <tr r="AJ237" s="57"/>
      </tp>
      <tp>
        <v>1136</v>
        <stp/>
        <stp>2101</stp>
        <stp>PredictVolume</stp>
        <tr r="AJ479" s="57"/>
      </tp>
      <tp>
        <v>216</v>
        <stp/>
        <stp>2231</stp>
        <stp>PredictVolume</stp>
        <tr r="AJ512" s="57"/>
      </tp>
      <tp>
        <v>255</v>
        <stp/>
        <stp>2221</stp>
        <stp>PredictVolume</stp>
        <tr r="AJ1312" s="57"/>
      </tp>
      <tp>
        <v>875</v>
        <stp/>
        <stp>2211</stp>
        <stp>PredictVolume</stp>
        <tr r="AJ461" s="57"/>
      </tp>
      <tp>
        <v>2334</v>
        <stp/>
        <stp>2201</stp>
        <stp>PredictVolume</stp>
        <tr r="AJ506" s="57"/>
      </tp>
      <tp>
        <v>176</v>
        <stp/>
        <stp>2241</stp>
        <stp>PredictVolume</stp>
        <tr r="AJ167" s="57"/>
      </tp>
      <tp>
        <v>532</v>
        <stp/>
        <stp>2331</stp>
        <stp>PredictVolume</stp>
        <tr r="AJ701" s="57"/>
      </tp>
      <tp>
        <v>2</v>
        <stp/>
        <stp>2321</stp>
        <stp>PredictVolume</stp>
        <tr r="AJ929" s="57"/>
      </tp>
      <tp>
        <v>2535</v>
        <stp/>
        <stp>2301</stp>
        <stp>PredictVolume</stp>
        <tr r="AJ698" s="57"/>
      </tp>
      <tp>
        <v>12298</v>
        <stp/>
        <stp>2371</stp>
        <stp>PredictVolume</stp>
        <tr r="AJ168" s="57"/>
      </tp>
      <tp>
        <v>1876</v>
        <stp/>
        <stp>2351</stp>
        <stp>PredictVolume</stp>
        <tr r="AJ536" s="57"/>
      </tp>
      <tp>
        <v>55387</v>
        <stp/>
        <stp>2891</stp>
        <stp>PredictVolume</stp>
        <tr r="AJ1614" s="57"/>
        <tr r="AJ15" s="118"/>
      </tp>
      <tp>
        <v>10040</v>
        <stp/>
        <stp>2881</stp>
        <stp>PredictVolume</stp>
        <tr r="AJ1604" s="57"/>
        <tr r="AJ13" s="118"/>
      </tp>
      <tp>
        <v>21700</v>
        <stp/>
        <stp>2801</stp>
        <stp>PredictVolume</stp>
        <tr r="AJ1587" s="57"/>
      </tp>
      <tp>
        <v>945</v>
        <stp/>
        <stp>2851</stp>
        <stp>PredictVolume</stp>
        <tr r="AJ1599" s="57"/>
      </tp>
      <tp t="s">
        <v>商品錯誤</v>
        <stp/>
        <stp>2841</stp>
        <stp>PredictVolume</stp>
        <tr r="AJ1467" s="57"/>
      </tp>
      <tp>
        <v>58</v>
        <stp/>
        <stp>2911</stp>
        <stp>PredictVolume</stp>
        <tr r="AJ1641" s="57"/>
      </tp>
      <tp>
        <v>14</v>
        <stp/>
        <stp>2901</stp>
        <stp>PredictVolume</stp>
        <tr r="AJ1635" s="57"/>
      </tp>
      <tp>
        <v>2534</v>
        <stp/>
        <stp>3491</stp>
        <stp>PredictVolume</stp>
        <tr r="AJ958" s="57"/>
      </tp>
      <tp>
        <v>34602</v>
        <stp/>
        <stp>3481</stp>
        <stp>PredictVolume</stp>
        <tr r="AJ844" s="57"/>
      </tp>
      <tp>
        <v>111</v>
        <stp/>
        <stp>3441</stp>
        <stp>PredictVolume</stp>
        <tr r="AJ841" s="57"/>
      </tp>
      <tp>
        <v>102</v>
        <stp/>
        <stp>3591</stp>
        <stp>PredictVolume</stp>
        <tr r="AJ853" s="57"/>
      </tp>
      <tp>
        <v>30</v>
        <stp/>
        <stp>3581</stp>
        <stp>PredictVolume</stp>
        <tr r="AJ589" s="57"/>
      </tp>
      <tp>
        <v>0</v>
        <stp/>
        <stp>3531</stp>
        <stp>PredictVolume</stp>
        <tr r="AJ848" s="57"/>
      </tp>
      <tp>
        <v>2</v>
        <stp/>
        <stp>3521</stp>
        <stp>PredictVolume</stp>
        <tr r="AJ746" s="57"/>
      </tp>
      <tp>
        <v>240</v>
        <stp/>
        <stp>3511</stp>
        <stp>PredictVolume</stp>
        <tr r="AJ1100" s="57"/>
      </tp>
      <tp>
        <v>31</v>
        <stp/>
        <stp>3501</stp>
        <stp>PredictVolume</stp>
        <tr r="AJ1099" s="57"/>
      </tp>
      <tp>
        <v>96</v>
        <stp/>
        <stp>3551</stp>
        <stp>PredictVolume</stp>
        <tr r="AJ1721" s="57"/>
      </tp>
      <tp>
        <v>285</v>
        <stp/>
        <stp>3541</stp>
        <stp>PredictVolume</stp>
        <tr r="AJ1720" s="57"/>
      </tp>
      <tp>
        <v>136</v>
        <stp/>
        <stp>3691</stp>
        <stp>PredictVolume</stp>
        <tr r="AJ862" s="57"/>
      </tp>
      <tp>
        <v>6</v>
        <stp/>
        <stp>3631</stp>
        <stp>PredictVolume</stp>
        <tr r="AJ1114" s="57"/>
      </tp>
      <tp>
        <v>16</v>
        <stp/>
        <stp>3611</stp>
        <stp>PredictVolume</stp>
        <tr r="AJ750" s="57"/>
      </tp>
      <tp>
        <v>2935</v>
        <stp/>
        <stp>3661</stp>
        <stp>PredictVolume</stp>
        <tr r="AJ593" s="57"/>
      </tp>
      <tp>
        <v>7489</v>
        <stp/>
        <stp>3711</stp>
        <stp>PredictVolume</stp>
        <tr r="AJ598" s="57"/>
        <tr r="AJ7" s="118"/>
      </tp>
      <tp>
        <v>2020</v>
        <stp/>
        <stp>3701</stp>
        <stp>PredictVolume</stp>
        <tr r="AJ754" s="57"/>
      </tp>
      <tp>
        <v>783</v>
        <stp/>
        <stp>3081</stp>
        <stp>PredictVolume</stp>
        <tr r="AJ945" s="57"/>
      </tp>
      <tp>
        <v>105</v>
        <stp/>
        <stp>3031</stp>
        <stp>PredictVolume</stp>
        <tr r="AJ823" s="57"/>
      </tp>
      <tp>
        <v>295</v>
        <stp/>
        <stp>3021</stp>
        <stp>PredictVolume</stp>
        <tr r="AJ1058" s="57"/>
      </tp>
      <tp>
        <v>6667</v>
        <stp/>
        <stp>3011</stp>
        <stp>PredictVolume</stp>
        <tr r="AJ1056" s="57"/>
      </tp>
      <tp>
        <v>142</v>
        <stp/>
        <stp>3071</stp>
        <stp>PredictVolume</stp>
        <tr r="AJ731" s="57"/>
      </tp>
      <tp>
        <v>7098</v>
        <stp/>
        <stp>3051</stp>
        <stp>PredictVolume</stp>
        <tr r="AJ827" s="57"/>
      </tp>
      <tp>
        <v>1464</v>
        <stp/>
        <stp>3041</stp>
        <stp>PredictVolume</stp>
        <tr r="AJ556" s="57"/>
      </tp>
      <tp>
        <v>15</v>
        <stp/>
        <stp>3191</stp>
        <stp>PredictVolume</stp>
        <tr r="AJ1071" s="57"/>
      </tp>
      <tp>
        <v>26</v>
        <stp/>
        <stp>3131</stp>
        <stp>PredictVolume</stp>
        <tr r="AJ1708" s="57"/>
      </tp>
      <tp>
        <v>59</v>
        <stp/>
        <stp>3171</stp>
        <stp>PredictVolume</stp>
        <tr r="AJ1652" s="57"/>
      </tp>
      <tp>
        <v>3617</v>
        <stp/>
        <stp>3141</stp>
        <stp>PredictVolume</stp>
        <tr r="AJ562" s="57"/>
      </tp>
      <tp>
        <v>3778</v>
        <stp/>
        <stp>3231</stp>
        <stp>PredictVolume</stp>
        <tr r="AJ735" s="57"/>
      </tp>
      <tp>
        <v>521</v>
        <stp/>
        <stp>3221</stp>
        <stp>PredictVolume</stp>
        <tr r="AJ950" s="57"/>
      </tp>
      <tp>
        <v>679</v>
        <stp/>
        <stp>3211</stp>
        <stp>PredictVolume</stp>
        <tr r="AJ733" s="57"/>
      </tp>
      <tp>
        <v>117</v>
        <stp/>
        <stp>3321</stp>
        <stp>PredictVolume</stp>
        <tr r="AJ1086" s="57"/>
      </tp>
      <tp>
        <v>54</v>
        <stp/>
        <stp>3311</stp>
        <stp>PredictVolume</stp>
        <tr r="AJ953" s="57"/>
      </tp>
      <tp>
        <v>142</v>
        <stp/>
        <stp>1471</stp>
        <stp>PredictVolume</stp>
        <tr r="AJ1018" s="57"/>
      </tp>
      <tp>
        <v>50</v>
        <stp/>
        <stp>1451</stp>
        <stp>PredictVolume</stp>
        <tr r="AJ89" s="57"/>
      </tp>
      <tp>
        <v>61</v>
        <stp/>
        <stp>1441</stp>
        <stp>PredictVolume</stp>
        <tr r="AJ82" s="57"/>
      </tp>
      <tp>
        <v>382</v>
        <stp/>
        <stp>1591</stp>
        <stp>PredictVolume</stp>
        <tr r="AJ158" s="57"/>
      </tp>
      <tp>
        <v>47</v>
        <stp/>
        <stp>1531</stp>
        <stp>PredictVolume</stp>
        <tr r="AJ142" s="57"/>
      </tp>
      <tp>
        <v>60</v>
        <stp/>
        <stp>1521</stp>
        <stp>PredictVolume</stp>
        <tr r="AJ497" s="57"/>
      </tp>
      <tp>
        <v>10</v>
        <stp/>
        <stp>1541</stp>
        <stp>PredictVolume</stp>
        <tr r="AJ149" s="57"/>
      </tp>
      <tp>
        <v>3955</v>
        <stp/>
        <stp>1611</stp>
        <stp>PredictVolume</stp>
        <tr r="AJ229" s="57"/>
      </tp>
      <tp>
        <v>48</v>
        <stp/>
        <stp>1781</stp>
        <stp>PredictVolume</stp>
        <tr r="AJ302" s="57"/>
      </tp>
      <tp>
        <v>140</v>
        <stp/>
        <stp>1731</stp>
        <stp>PredictVolume</stp>
        <tr r="AJ294" s="57"/>
      </tp>
      <tp>
        <v>4382</v>
        <stp/>
        <stp>1721</stp>
        <stp>PredictVolume</stp>
        <tr r="AJ252" s="57"/>
      </tp>
      <tp>
        <v>3166</v>
        <stp/>
        <stp>1711</stp>
        <stp>PredictVolume</stp>
        <tr r="AJ246" s="57"/>
      </tp>
      <tp>
        <v>916</v>
        <stp/>
        <stp>1701</stp>
        <stp>PredictVolume</stp>
        <tr r="AJ291" s="57"/>
      </tp>
      <tp>
        <v>17974</v>
        <stp/>
        <stp>1101</stp>
        <stp>PredictVolume</stp>
        <tr r="AJ4" s="57"/>
      </tp>
      <tp>
        <v>561</v>
        <stp/>
        <stp>1231</stp>
        <stp>PredictVolume</stp>
        <tr r="AJ26" s="57"/>
      </tp>
      <tp>
        <v>291</v>
        <stp/>
        <stp>1201</stp>
        <stp>PredictVolume</stp>
        <tr r="AJ13" s="57"/>
      </tp>
      <tp>
        <v>67</v>
        <stp/>
        <stp>1321</stp>
        <stp>PredictVolume</stp>
        <tr r="AJ54" s="57"/>
      </tp>
      <tp>
        <v>4014</v>
        <stp/>
        <stp>1301</stp>
        <stp>PredictVolume</stp>
        <tr r="AJ42" s="57"/>
        <tr r="AJ10" s="118"/>
      </tp>
      <tp>
        <v>12</v>
        <stp/>
        <stp>1341</stp>
        <stp>PredictVolume</stp>
        <tr r="AJ61" s="57"/>
      </tp>
      <tp>
        <v>62</v>
        <stp/>
        <stp>8481</stp>
        <stp>PredictVolume</stp>
        <tr r="AJ1386" s="57"/>
      </tp>
      <tp>
        <v>379</v>
        <stp/>
        <stp>8431</stp>
        <stp>PredictVolume</stp>
        <tr r="AJ1767" s="57"/>
      </tp>
      <tp>
        <v>61</v>
        <stp/>
        <stp>8421</stp>
        <stp>PredictVolume</stp>
        <tr r="AJ1368" s="57"/>
      </tp>
      <tp>
        <v>125</v>
        <stp/>
        <stp>8411</stp>
        <stp>PredictVolume</stp>
        <tr r="AJ1365" s="57"/>
      </tp>
      <tp>
        <v>191</v>
        <stp/>
        <stp>8401</stp>
        <stp>PredictVolume</stp>
        <tr r="AJ1363" s="57"/>
      </tp>
      <tp>
        <v>265</v>
        <stp/>
        <stp>8091</stp>
        <stp>PredictVolume</stp>
        <tr r="AJ1210" s="57"/>
      </tp>
      <tp>
        <v>319</v>
        <stp/>
        <stp>8081</stp>
        <stp>PredictVolume</stp>
        <tr r="AJ685" s="57"/>
      </tp>
      <tp>
        <v>304</v>
        <stp/>
        <stp>8021</stp>
        <stp>PredictVolume</stp>
        <tr r="AJ1760" s="57"/>
      </tp>
      <tp>
        <v>205</v>
        <stp/>
        <stp>8011</stp>
        <stp>PredictVolume</stp>
        <tr r="AJ1006" s="57"/>
      </tp>
      <tp>
        <v>2952</v>
        <stp/>
        <stp>8071</stp>
        <stp>PredictVolume</stp>
        <tr r="AJ1207" s="57"/>
      </tp>
      <tp>
        <v>133</v>
        <stp/>
        <stp>8131</stp>
        <stp>PredictVolume</stp>
        <tr r="AJ689" s="57"/>
      </tp>
      <tp>
        <v>1083</v>
        <stp/>
        <stp>8121</stp>
        <stp>PredictVolume</stp>
        <tr r="AJ1214" s="57"/>
      </tp>
      <tp>
        <v>586</v>
        <stp/>
        <stp>8111</stp>
        <stp>PredictVolume</stp>
        <tr r="AJ923" s="57"/>
      </tp>
      <tp>
        <v>42</v>
        <stp/>
        <stp>8101</stp>
        <stp>PredictVolume</stp>
        <tr r="AJ1012" s="57"/>
      </tp>
      <tp>
        <v>173</v>
        <stp/>
        <stp>8171</stp>
        <stp>PredictVolume</stp>
        <tr r="AJ1013" s="57"/>
      </tp>
      <tp>
        <v>27</v>
        <stp/>
        <stp>8291</stp>
        <stp>PredictVolume</stp>
        <tr r="AJ1221" s="57"/>
      </tp>
      <tp>
        <v>137</v>
        <stp/>
        <stp>8201</stp>
        <stp>PredictVolume</stp>
        <tr r="AJ1765" s="57"/>
      </tp>
      <tp>
        <v>549</v>
        <stp/>
        <stp>8271</stp>
        <stp>PredictVolume</stp>
        <tr r="AJ692" s="57"/>
      </tp>
      <tp>
        <v>2240</v>
        <stp/>
        <stp>8261</stp>
        <stp>PredictVolume</stp>
        <tr r="AJ691" s="57"/>
      </tp>
      <tp>
        <v>348</v>
        <stp/>
        <stp>8341</stp>
        <stp>PredictVolume</stp>
        <tr r="AJ1360" s="57"/>
      </tp>
      <tp>
        <v>72</v>
        <stp/>
        <stp>8931</stp>
        <stp>PredictVolume</stp>
        <tr r="AJ1675" s="57"/>
      </tp>
      <tp>
        <v>16</v>
        <stp/>
        <stp>8921</stp>
        <stp>PredictVolume</stp>
        <tr r="AJ1393" s="57"/>
      </tp>
      <tp>
        <v>63</v>
        <stp/>
        <stp>8941</stp>
        <stp>PredictVolume</stp>
        <tr r="AJ1667" s="57"/>
      </tp>
      <tp>
        <v>8</v>
        <stp/>
        <stp>9931</stp>
        <stp>PredictVolume</stp>
        <tr r="AJ1674" s="57"/>
      </tp>
      <tp>
        <v>1010</v>
        <stp/>
        <stp>9921</stp>
        <stp>PredictVolume</stp>
        <tr r="AJ1414" s="57"/>
      </tp>
      <tp>
        <v>94</v>
        <stp/>
        <stp>9911</stp>
        <stp>PredictVolume</stp>
        <tr r="AJ1410" s="57"/>
      </tp>
      <tp>
        <v>40</v>
        <stp/>
        <stp>9951</stp>
        <stp>PredictVolume</stp>
        <tr r="AJ221" s="57"/>
      </tp>
      <tp>
        <v>830</v>
        <stp/>
        <stp>9941</stp>
        <stp>PredictVolume</stp>
        <tr r="AJ1427" s="57"/>
      </tp>
      <tp>
        <v>428</v>
        <stp/>
        <stp>6470</stp>
        <stp>PredictVolume</stp>
        <tr r="AJ998" s="57"/>
      </tp>
      <tp>
        <v>4</v>
        <stp/>
        <stp>6590</stp>
        <stp>PredictVolume</stp>
        <tr r="AJ1293" s="57"/>
      </tp>
      <tp>
        <v>22</v>
        <stp/>
        <stp>6530</stp>
        <stp>PredictVolume</stp>
        <tr r="AJ1001" s="57"/>
      </tp>
      <tp>
        <v>80</v>
        <stp/>
        <stp>6510</stp>
        <stp>PredictVolume</stp>
        <tr r="AJ655" s="57"/>
      </tp>
      <tp>
        <v>39</v>
        <stp/>
        <stp>6570</stp>
        <stp>PredictVolume</stp>
        <tr r="AJ791" s="57"/>
      </tp>
      <tp>
        <v>212</v>
        <stp/>
        <stp>6560</stp>
        <stp>PredictVolume</stp>
        <tr r="AJ913" s="57"/>
      </tp>
      <tp>
        <v>11</v>
        <stp/>
        <stp>6690</stp>
        <stp>PredictVolume</stp>
        <tr r="AJ1295" s="57"/>
      </tp>
      <tp>
        <v>2</v>
        <stp/>
        <stp>6680</stp>
        <stp>PredictVolume</stp>
        <tr r="AJ796" s="57"/>
      </tp>
      <tp>
        <v>847</v>
        <stp/>
        <stp>6670</stp>
        <stp>PredictVolume</stp>
        <tr r="AJ1351" s="57"/>
      </tp>
      <tp>
        <v>9</v>
        <stp/>
        <stp>6640</stp>
        <stp>PredictVolume</stp>
        <tr r="AJ666" s="57"/>
      </tp>
      <tp>
        <v>66</v>
        <stp/>
        <stp>6790</stp>
        <stp>PredictVolume</stp>
        <tr r="AJ1355" s="57"/>
      </tp>
      <tp>
        <v>13712</v>
        <stp/>
        <stp>6770</stp>
        <stp>PredictVolume</stp>
        <tr r="AJ677" s="57"/>
      </tp>
      <tp>
        <v>364</v>
        <stp/>
        <stp>6020</stp>
        <stp>PredictVolume</stp>
        <tr r="AJ1625" s="57"/>
      </tp>
      <tp>
        <v>19397</v>
        <stp/>
        <stp>6190</stp>
        <stp>PredictVolume</stp>
        <tr r="AJ987" s="57"/>
      </tp>
      <tp>
        <v>424</v>
        <stp/>
        <stp>6180</stp>
        <stp>PredictVolume</stp>
        <tr r="AJ1786" s="57"/>
      </tp>
      <tp>
        <v>599</v>
        <stp/>
        <stp>6130</stp>
        <stp>PredictVolume</stp>
        <tr r="AJ376" s="57"/>
      </tp>
      <tp>
        <v>1228</v>
        <stp/>
        <stp>6120</stp>
        <stp>PredictVolume</stp>
        <tr r="AJ891" s="57"/>
      </tp>
      <tp>
        <v>253</v>
        <stp/>
        <stp>6170</stp>
        <stp>PredictVolume</stp>
        <tr r="AJ986" s="57"/>
      </tp>
      <tp>
        <v>175</v>
        <stp/>
        <stp>6160</stp>
        <stp>PredictVolume</stp>
        <tr r="AJ779" s="57"/>
      </tp>
      <tp>
        <v>1535</v>
        <stp/>
        <stp>6150</stp>
        <stp>PredictVolume</stp>
        <tr r="AJ778" s="57"/>
      </tp>
      <tp>
        <v>76</v>
        <stp/>
        <stp>6140</stp>
        <stp>PredictVolume</stp>
        <tr r="AJ1284" s="57"/>
      </tp>
      <tp>
        <v>575</v>
        <stp/>
        <stp>6290</stp>
        <stp>PredictVolume</stp>
        <tr r="AJ1188" s="57"/>
      </tp>
      <tp>
        <v>78</v>
        <stp/>
        <stp>6230</stp>
        <stp>PredictVolume</stp>
        <tr r="AJ785" s="57"/>
      </tp>
      <tp>
        <v>85</v>
        <stp/>
        <stp>6220</stp>
        <stp>PredictVolume</stp>
        <tr r="AJ1178" s="57"/>
      </tp>
      <tp>
        <v>10</v>
        <stp/>
        <stp>6210</stp>
        <stp>PredictVolume</stp>
        <tr r="AJ1175" s="57"/>
      </tp>
      <tp>
        <v>244</v>
        <stp/>
        <stp>6270</stp>
        <stp>PredictVolume</stp>
        <tr r="AJ1250" s="57"/>
      </tp>
      <tp>
        <v>302</v>
        <stp/>
        <stp>6240</stp>
        <stp>PredictVolume</stp>
        <tr r="AJ1290" s="57"/>
      </tp>
      <tp>
        <v>5</v>
        <stp/>
        <stp>4430</stp>
        <stp>PredictVolume</stp>
        <tr r="AJ1323" s="57"/>
      </tp>
      <tp>
        <v>13</v>
        <stp/>
        <stp>4420</stp>
        <stp>PredictVolume</stp>
        <tr r="AJ118" s="57"/>
      </tp>
      <tp>
        <v>92</v>
        <stp/>
        <stp>4440</stp>
        <stp>PredictVolume</stp>
        <tr r="AJ125" s="57"/>
      </tp>
      <tp>
        <v>105</v>
        <stp/>
        <stp>4580</stp>
        <stp>PredictVolume</stp>
        <tr r="AM57" s="28"/>
        <tr r="AJ207" s="57"/>
      </tp>
      <tp>
        <v>23</v>
        <stp/>
        <stp>4530</stp>
        <stp>PredictVolume</stp>
        <tr r="AJ184" s="57"/>
      </tp>
      <tp>
        <v>114</v>
        <stp/>
        <stp>4510</stp>
        <stp>PredictVolume</stp>
        <tr r="AJ178" s="57"/>
      </tp>
      <tp>
        <v>146</v>
        <stp/>
        <stp>4560</stp>
        <stp>PredictVolume</stp>
        <tr r="AJ197" s="57"/>
      </tp>
      <tp>
        <v>11</v>
        <stp/>
        <stp>4550</stp>
        <stp>PredictVolume</stp>
        <tr r="AJ193" s="57"/>
      </tp>
      <tp>
        <v>101</v>
        <stp/>
        <stp>4540</stp>
        <stp>PredictVolume</stp>
        <tr r="AJ190" s="57"/>
      </tp>
      <tp>
        <v>248</v>
        <stp/>
        <stp>4720</stp>
        <stp>PredictVolume</stp>
        <tr r="AJ271" s="57"/>
      </tp>
      <tp>
        <v>389</v>
        <stp/>
        <stp>4770</stp>
        <stp>PredictVolume</stp>
        <tr r="AJ283" s="57"/>
      </tp>
      <tp>
        <v>28</v>
        <stp/>
        <stp>4760</stp>
        <stp>PredictVolume</stp>
        <tr r="AJ1731" s="57"/>
      </tp>
      <tp>
        <v>65</v>
        <stp/>
        <stp>4190</stp>
        <stp>PredictVolume</stp>
        <tr r="AJ361" s="57"/>
      </tp>
      <tp>
        <v>561</v>
        <stp/>
        <stp>4130</stp>
        <stp>PredictVolume</stp>
        <tr r="AM32" s="28"/>
        <tr r="AJ335" s="57"/>
      </tp>
      <tp>
        <v>40</v>
        <stp/>
        <stp>4120</stp>
        <stp>PredictVolume</stp>
        <tr r="AJ328" s="57"/>
      </tp>
      <tp>
        <v>1</v>
        <stp/>
        <stp>4160</stp>
        <stp>PredictVolume</stp>
        <tr r="AJ349" s="57"/>
      </tp>
      <tp>
        <v>132</v>
        <stp/>
        <stp>4930</stp>
        <stp>PredictVolume</stp>
        <tr r="AJ239" s="57"/>
      </tp>
      <tp>
        <v>14573</v>
        <stp/>
        <stp>4960</stp>
        <stp>PredictVolume</stp>
        <tr r="AJ872" s="57"/>
      </tp>
      <tp>
        <v>474</v>
        <stp/>
        <stp>4950</stp>
        <stp>PredictVolume</stp>
        <tr r="AJ1328" s="57"/>
      </tp>
      <tp>
        <v>39</v>
        <stp/>
        <stp>5490</stp>
        <stp>PredictVolume</stp>
        <tr r="AJ773" s="57"/>
      </tp>
      <tp>
        <v>69</v>
        <stp/>
        <stp>5410</stp>
        <stp>PredictVolume</stp>
        <tr r="AJ1282" s="57"/>
      </tp>
      <tp>
        <v>30</v>
        <stp/>
        <stp>5460</stp>
        <stp>PredictVolume</stp>
        <tr r="AJ1143" s="57"/>
      </tp>
      <tp>
        <v>108</v>
        <stp/>
        <stp>5450</stp>
        <stp>PredictVolume</stp>
        <tr r="AJ1333" s="57"/>
      </tp>
      <tp>
        <v>562</v>
        <stp/>
        <stp>5530</stp>
        <stp>PredictVolume</stp>
        <tr r="AJ1335" s="57"/>
      </tp>
      <tp>
        <v>12</v>
        <stp/>
        <stp>5520</stp>
        <stp>PredictVolume</stp>
        <tr r="AJ1489" s="57"/>
      </tp>
      <tp>
        <v>82</v>
        <stp/>
        <stp>5230</stp>
        <stp>PredictVolume</stp>
        <tr r="AJ877" s="57"/>
      </tp>
      <tp>
        <v>38</v>
        <stp/>
        <stp>5220</stp>
        <stp>PredictVolume</stp>
        <tr r="AJ876" s="57"/>
      </tp>
      <tp>
        <v>5172</v>
        <stp/>
        <stp>5210</stp>
        <stp>PredictVolume</stp>
        <tr r="AJ1277" s="57"/>
      </tp>
      <tp>
        <v>12</v>
        <stp/>
        <stp>5310</stp>
        <stp>PredictVolume</stp>
        <tr r="AJ1280" s="57"/>
      </tp>
      <tp>
        <v>122</v>
        <stp/>
        <stp>5340</stp>
        <stp>PredictVolume</stp>
        <tr r="AJ1137" s="57"/>
      </tp>
      <tp>
        <v>26565</v>
        <stp/>
        <stp>5880</stp>
        <stp>PredictVolume</stp>
        <tr r="AJ1621" s="57"/>
        <tr r="AJ18" s="118"/>
      </tp>
      <tp>
        <v>292</v>
        <stp/>
        <stp>5820</stp>
        <stp>PredictVolume</stp>
        <tr r="AJ1617" s="57"/>
      </tp>
      <tp>
        <v>142</v>
        <stp/>
        <stp>2480</stp>
        <stp>PredictVolume</stp>
        <tr r="AJ1267" s="57"/>
      </tp>
      <tp>
        <v>555</v>
        <stp/>
        <stp>2430</stp>
        <stp>PredictVolume</stp>
        <tr r="AJ1227" s="57"/>
      </tp>
      <tp>
        <v>176</v>
        <stp/>
        <stp>2420</stp>
        <stp>PredictVolume</stp>
        <tr r="AJ1038" s="57"/>
      </tp>
      <tp>
        <v>109</v>
        <stp/>
        <stp>2460</stp>
        <stp>PredictVolume</stp>
        <tr r="AJ1045" s="57"/>
      </tp>
      <tp>
        <v>200</v>
        <stp/>
        <stp>2450</stp>
        <stp>PredictVolume</stp>
        <tr r="AJ936" s="57"/>
      </tp>
      <tp>
        <v>108</v>
        <stp/>
        <stp>2440</stp>
        <stp>PredictVolume</stp>
        <tr r="AJ1043" s="57"/>
      </tp>
      <tp>
        <v>244</v>
        <stp/>
        <stp>2530</stp>
        <stp>PredictVolume</stp>
        <tr r="AJ1451" s="57"/>
      </tp>
      <tp>
        <v>524</v>
        <stp/>
        <stp>2520</stp>
        <stp>PredictVolume</stp>
        <tr r="AJ1447" s="57"/>
      </tp>
      <tp>
        <v>49</v>
        <stp/>
        <stp>2540</stp>
        <stp>PredictVolume</stp>
        <tr r="AJ1458" s="57"/>
      </tp>
      <tp>
        <v>802</v>
        <stp/>
        <stp>2630</stp>
        <stp>PredictVolume</stp>
        <tr r="AJ1524" s="57"/>
      </tp>
      <tp>
        <v>364226</v>
        <stp/>
        <stp>2610</stp>
        <stp>PredictVolume</stp>
        <tr r="AJ1517" s="57"/>
      </tp>
      <tp>
        <v>8</v>
        <stp/>
        <stp>2640</stp>
        <stp>PredictVolume</stp>
        <tr r="AJ1318" s="57"/>
      </tp>
      <tp>
        <v>0</v>
        <stp/>
        <stp>2740</stp>
        <stp>PredictVolume</stp>
        <tr r="AJ1563" s="57"/>
      </tp>
      <tp>
        <v>31690</v>
        <stp/>
        <stp>2030</stp>
        <stp>PredictVolume</stp>
        <tr r="AJ450" s="57"/>
      </tp>
      <tp>
        <v>502</v>
        <stp/>
        <stp>2020</stp>
        <stp>PredictVolume</stp>
        <tr r="AJ442" s="57"/>
      </tp>
      <tp>
        <v>3735</v>
        <stp/>
        <stp>2010</stp>
        <stp>PredictVolume</stp>
        <tr r="AJ436" s="57"/>
      </tp>
      <tp>
        <v>5</v>
        <stp/>
        <stp>2070</stp>
        <stp>PredictVolume</stp>
        <tr r="AJ164" s="57"/>
      </tp>
      <tp>
        <v>215</v>
        <stp/>
        <stp>2230</stp>
        <stp>PredictVolume</stp>
        <tr r="AJ165" s="57"/>
      </tp>
      <tp>
        <v>24</v>
        <stp/>
        <stp>2250</stp>
        <stp>PredictVolume</stp>
        <tr r="AJ518" s="57"/>
      </tp>
      <tp>
        <v>2818</v>
        <stp/>
        <stp>2390</stp>
        <stp>PredictVolume</stp>
        <tr r="AJ1692" s="57"/>
      </tp>
      <tp>
        <v>351</v>
        <stp/>
        <stp>2380</stp>
        <stp>PredictVolume</stp>
        <tr r="AJ711" s="57"/>
      </tp>
      <tp>
        <v>19017</v>
        <stp/>
        <stp>2330</stp>
        <stp>PredictVolume</stp>
        <tr r="AJ531" s="57"/>
        <tr r="AJ2" s="118"/>
      </tp>
      <tp>
        <v>455</v>
        <stp/>
        <stp>2360</stp>
        <stp>PredictVolume</stp>
        <tr r="AJ1690" s="57"/>
      </tp>
      <tp>
        <v>3590</v>
        <stp/>
        <stp>2340</stp>
        <stp>PredictVolume</stp>
        <tr r="AJ808" s="57"/>
      </tp>
      <tp>
        <v>26947</v>
        <stp/>
        <stp>2890</stp>
        <stp>PredictVolume</stp>
        <tr r="AJ1613" s="57"/>
      </tp>
      <tp>
        <v>18523</v>
        <stp/>
        <stp>2880</stp>
        <stp>PredictVolume</stp>
        <tr r="AJ1603" s="57"/>
        <tr r="AJ21" s="118"/>
      </tp>
      <tp>
        <v>1216</v>
        <stp/>
        <stp>2820</stp>
        <stp>PredictVolume</stp>
        <tr r="AJ1591" s="57"/>
      </tp>
      <tp>
        <v>288</v>
        <stp/>
        <stp>2850</stp>
        <stp>PredictVolume</stp>
        <tr r="AJ1598" s="57"/>
      </tp>
      <tp>
        <v>2</v>
        <stp/>
        <stp>2910</stp>
        <stp>PredictVolume</stp>
        <tr r="AJ1640" s="57"/>
      </tp>
      <tp>
        <v>368</v>
        <stp/>
        <stp>3490</stp>
        <stp>PredictVolume</stp>
        <tr r="AJ845" s="57"/>
      </tp>
      <tp>
        <v>237</v>
        <stp/>
        <stp>3450</stp>
        <stp>PredictVolume</stp>
        <tr r="AJ1716" s="57"/>
      </tp>
      <tp>
        <v>384</v>
        <stp/>
        <stp>3580</stp>
        <stp>PredictVolume</stp>
        <tr r="AJ1723" s="57"/>
      </tp>
      <tp>
        <v>1155</v>
        <stp/>
        <stp>3530</stp>
        <stp>PredictVolume</stp>
        <tr r="AJ582" s="57"/>
      </tp>
      <tp>
        <v>104</v>
        <stp/>
        <stp>3520</stp>
        <stp>PredictVolume</stp>
        <tr r="AJ1102" s="57"/>
      </tp>
      <tp>
        <v>71</v>
        <stp/>
        <stp>3570</stp>
        <stp>PredictVolume</stp>
        <tr r="AJ1270" s="57"/>
      </tp>
      <tp>
        <v>118</v>
        <stp/>
        <stp>3550</stp>
        <stp>PredictVolume</stp>
        <tr r="AJ1107" s="57"/>
      </tp>
      <tp>
        <v>116</v>
        <stp/>
        <stp>3540</stp>
        <stp>PredictVolume</stp>
        <tr r="AJ747" s="57"/>
      </tp>
      <tp>
        <v>370</v>
        <stp/>
        <stp>3680</stp>
        <stp>PredictVolume</stp>
        <tr r="AJ595" s="57"/>
      </tp>
      <tp>
        <v>455</v>
        <stp/>
        <stp>3630</stp>
        <stp>PredictVolume</stp>
        <tr r="AJ857" s="57"/>
      </tp>
      <tp>
        <v>3228</v>
        <stp/>
        <stp>3710</stp>
        <stp>PredictVolume</stp>
        <tr r="AJ1120" s="57"/>
      </tp>
      <tp>
        <v>204</v>
        <stp/>
        <stp>3090</stp>
        <stp>PredictVolume</stp>
        <tr r="AJ1067" s="57"/>
      </tp>
      <tp>
        <v>1510</v>
        <stp/>
        <stp>3030</stp>
        <stp>PredictVolume</stp>
        <tr r="AJ1704" s="57"/>
      </tp>
      <tp>
        <v>617</v>
        <stp/>
        <stp>3010</stp>
        <stp>PredictVolume</stp>
        <tr r="AJ1229" s="57"/>
      </tp>
      <tp>
        <v>189</v>
        <stp/>
        <stp>3060</stp>
        <stp>PredictVolume</stp>
        <tr r="AJ730" s="57"/>
      </tp>
      <tp>
        <v>593</v>
        <stp/>
        <stp>3050</stp>
        <stp>PredictVolume</stp>
        <tr r="AJ826" s="57"/>
      </tp>
      <tp>
        <v>57</v>
        <stp/>
        <stp>3040</stp>
        <stp>PredictVolume</stp>
        <tr r="AJ1320" s="57"/>
      </tp>
      <tp>
        <v>7</v>
        <stp/>
        <stp>3130</stp>
        <stp>PredictVolume</stp>
        <tr r="AJ1269" s="57"/>
      </tp>
      <tp>
        <v>191</v>
        <stp/>
        <stp>3290</stp>
        <stp>PredictVolume</stp>
        <tr r="AJ1080" s="57"/>
      </tp>
      <tp>
        <v>272</v>
        <stp/>
        <stp>3230</stp>
        <stp>PredictVolume</stp>
        <tr r="AJ832" s="57"/>
      </tp>
      <tp>
        <v>4895</v>
        <stp/>
        <stp>3260</stp>
        <stp>PredictVolume</stp>
        <tr r="AJ570" s="57"/>
      </tp>
      <tp>
        <v>110</v>
        <stp/>
        <stp>3390</stp>
        <stp>PredictVolume</stp>
        <tr r="AJ1094" s="57"/>
      </tp>
      <tp>
        <v>1000</v>
        <stp/>
        <stp>3380</stp>
        <stp>PredictVolume</stp>
        <tr r="AJ955" s="57"/>
      </tp>
      <tp>
        <v>50</v>
        <stp/>
        <stp>3310</stp>
        <stp>PredictVolume</stp>
        <tr r="AJ1084" s="57"/>
      </tp>
      <tp>
        <v>242</v>
        <stp/>
        <stp>3360</stp>
        <stp>PredictVolume</stp>
        <tr r="AJ1239" s="57"/>
      </tp>
      <tp>
        <v>33</v>
        <stp/>
        <stp>1410</stp>
        <stp>PredictVolume</stp>
        <tr r="AJ72" s="57"/>
      </tp>
      <tp>
        <v>45</v>
        <stp/>
        <stp>1470</stp>
        <stp>PredictVolume</stp>
        <tr r="AJ104" s="57"/>
      </tp>
      <tp>
        <v>1034</v>
        <stp/>
        <stp>1460</stp>
        <stp>PredictVolume</stp>
        <tr r="AJ97" s="57"/>
      </tp>
      <tp>
        <v>2076</v>
        <stp/>
        <stp>1440</stp>
        <stp>PredictVolume</stp>
        <tr r="AJ81" s="57"/>
      </tp>
      <tp>
        <v>395</v>
        <stp/>
        <stp>1590</stp>
        <stp>PredictVolume</stp>
        <tr r="AJ157" s="57"/>
      </tp>
      <tp>
        <v>68</v>
        <stp/>
        <stp>1580</stp>
        <stp>PredictVolume</stp>
        <tr r="AJ153" s="57"/>
      </tp>
      <tp>
        <v>1</v>
        <stp/>
        <stp>1530</stp>
        <stp>PredictVolume</stp>
        <tr r="AJ141" s="57"/>
      </tp>
      <tp>
        <v>88</v>
        <stp/>
        <stp>1570</stp>
        <stp>PredictVolume</stp>
        <tr r="AJ152" s="57"/>
      </tp>
      <tp>
        <v>25603</v>
        <stp/>
        <stp>1560</stp>
        <stp>PredictVolume</stp>
        <tr r="AJ151" s="57"/>
      </tp>
      <tp>
        <v>56</v>
        <stp/>
        <stp>1540</stp>
        <stp>PredictVolume</stp>
        <tr r="AJ148" s="57"/>
      </tp>
      <tp>
        <v>28</v>
        <stp/>
        <stp>1730</stp>
        <stp>PredictVolume</stp>
        <tr r="AJ258" s="57"/>
      </tp>
      <tp>
        <v>166</v>
        <stp/>
        <stp>1720</stp>
        <stp>PredictVolume</stp>
        <tr r="AJ293" s="57"/>
      </tp>
      <tp>
        <v>1436</v>
        <stp/>
        <stp>1710</stp>
        <stp>PredictVolume</stp>
        <tr r="AJ245" s="57"/>
      </tp>
      <tp>
        <v>23246</v>
        <stp/>
        <stp>1760</stp>
        <stp>PredictVolume</stp>
        <tr r="AJ299" s="57"/>
      </tp>
      <tp>
        <v>320</v>
        <stp/>
        <stp>1110</stp>
        <stp>PredictVolume</stp>
        <tr r="AJ10" s="57"/>
      </tp>
      <tp>
        <v>1423</v>
        <stp/>
        <stp>1220</stp>
        <stp>PredictVolume</stp>
        <tr r="AJ22" s="57"/>
      </tp>
      <tp>
        <v>2957</v>
        <stp/>
        <stp>1210</stp>
        <stp>PredictVolume</stp>
        <tr r="AJ15" s="57"/>
      </tp>
      <tp>
        <v>102</v>
        <stp/>
        <stp>1240</stp>
        <stp>PredictVolume</stp>
        <tr r="AJ1810" s="57"/>
      </tp>
      <tp>
        <v>529</v>
        <stp/>
        <stp>1310</stp>
        <stp>PredictVolume</stp>
        <tr r="AJ49" s="57"/>
      </tp>
      <tp>
        <v>95</v>
        <stp/>
        <stp>1340</stp>
        <stp>PredictVolume</stp>
        <tr r="AJ60" s="57"/>
      </tp>
      <tp>
        <v>2849</v>
        <stp/>
        <stp>1810</stp>
        <stp>PredictVolume</stp>
        <tr r="AJ419" s="57"/>
      </tp>
      <tp>
        <v>28</v>
        <stp/>
        <stp>8480</stp>
        <stp>PredictVolume</stp>
        <tr r="AJ1385" s="57"/>
      </tp>
      <tp>
        <v>77</v>
        <stp/>
        <stp>8420</stp>
        <stp>PredictVolume</stp>
        <tr r="AJ1367" s="57"/>
      </tp>
      <tp>
        <v>10</v>
        <stp/>
        <stp>8410</stp>
        <stp>PredictVolume</stp>
        <tr r="AJ803" s="57"/>
      </tp>
      <tp>
        <v>543</v>
        <stp/>
        <stp>8450</stp>
        <stp>PredictVolume</stp>
        <tr r="AJ1792" s="57"/>
      </tp>
      <tp>
        <v>2698</v>
        <stp/>
        <stp>8440</stp>
        <stp>PredictVolume</stp>
        <tr r="AJ1375" s="57"/>
      </tp>
      <tp t="s">
        <v>商品錯誤</v>
        <stp/>
        <stp>8080</stp>
        <stp>PredictVolume</stp>
        <tr r="AJ1209" s="57"/>
      </tp>
      <tp>
        <v>1172</v>
        <stp/>
        <stp>8070</stp>
        <stp>PredictVolume</stp>
        <tr r="AJ1256" s="57"/>
      </tp>
      <tp>
        <v>652</v>
        <stp/>
        <stp>8050</stp>
        <stp>PredictVolume</stp>
        <tr r="AJ797" s="57"/>
      </tp>
      <tp>
        <v>475</v>
        <stp/>
        <stp>8040</stp>
        <stp>PredictVolume</stp>
        <tr r="AJ683" s="57"/>
      </tp>
      <tp>
        <v>1322</v>
        <stp/>
        <stp>8110</stp>
        <stp>PredictVolume</stp>
        <tr r="AJ688" s="57"/>
      </tp>
      <tp>
        <v>2567</v>
        <stp/>
        <stp>8150</stp>
        <stp>PredictVolume</stp>
        <tr r="AJ690" s="57"/>
      </tp>
      <tp>
        <v>148</v>
        <stp/>
        <stp>8210</stp>
        <stp>PredictVolume</stp>
        <tr r="AJ801" s="57"/>
      </tp>
      <tp>
        <v>47</v>
        <stp/>
        <stp>8240</stp>
        <stp>PredictVolume</stp>
        <tr r="AJ925" s="57"/>
      </tp>
      <tp>
        <v>4602</v>
        <stp/>
        <stp>8390</stp>
        <stp>PredictVolume</stp>
        <tr r="AJ1362" s="57"/>
      </tp>
      <tp>
        <v>4469</v>
        <stp/>
        <stp>8930</stp>
        <stp>PredictVolume</stp>
        <tr r="AJ474" s="57"/>
      </tp>
      <tp>
        <v>46</v>
        <stp/>
        <stp>8940</stp>
        <stp>PredictVolume</stp>
        <tr r="AJ1583" s="57"/>
      </tp>
      <tp>
        <v>165</v>
        <stp/>
        <stp>9930</stp>
        <stp>PredictVolume</stp>
        <tr r="AJ1420" s="57"/>
      </tp>
      <tp>
        <v>651</v>
        <stp/>
        <stp>9910</stp>
        <stp>PredictVolume</stp>
        <tr r="AJ1409" s="57"/>
      </tp>
      <tp>
        <v>26</v>
        <stp/>
        <stp>9960</stp>
        <stp>PredictVolume</stp>
        <tr r="AJ1668" s="57"/>
      </tp>
      <tp>
        <v>15</v>
        <stp/>
        <stp>9950</stp>
        <stp>PredictVolume</stp>
        <tr r="AJ67" s="57"/>
      </tp>
      <tp>
        <v>199</v>
        <stp/>
        <stp>9940</stp>
        <stp>PredictVolume</stp>
        <tr r="AJ1426" s="57"/>
      </tp>
      <tp>
        <v>39.35</v>
        <stp/>
        <stp>2342</stp>
        <stp>Price</stp>
        <tr r="V534" s="57"/>
      </tp>
      <tp>
        <v>33.5</v>
        <stp/>
        <stp>2352</stp>
        <stp>Price</stp>
        <tr r="V702" s="57"/>
      </tp>
      <tp>
        <v>31.75</v>
        <stp/>
        <stp>2362</stp>
        <stp>Price</stp>
        <tr r="V706" s="57"/>
      </tp>
      <tp>
        <v>15.7</v>
        <stp/>
        <stp>2302</stp>
        <stp>Price</stp>
        <tr r="V528" s="57"/>
      </tp>
      <tp>
        <v>15.9</v>
        <stp/>
        <stp>2312</stp>
        <stp>Price</stp>
        <tr r="V1686" s="57"/>
      </tp>
      <tp>
        <v>16.600000000000001</v>
        <stp/>
        <stp>2332</stp>
        <stp>Price</stp>
        <tr r="V930" s="57"/>
      </tp>
      <tp>
        <v>85.6</v>
        <stp/>
        <stp>2382</stp>
        <stp>Price</stp>
        <tr r="V712" s="57"/>
        <tr r="V8" s="118"/>
      </tp>
      <tp>
        <v>35.35</v>
        <stp/>
        <stp>2392</stp>
        <stp>Price</stp>
        <tr r="V1034" s="57"/>
      </tp>
      <tp>
        <v>26.65</v>
        <stp/>
        <stp>2062</stp>
        <stp>Price</stp>
        <tr r="V1311" s="57"/>
      </tp>
      <tp>
        <v>39.5</v>
        <stp/>
        <stp>2002</stp>
        <stp>Price</stp>
        <tr r="V431" s="57"/>
        <tr r="V29" s="118"/>
      </tp>
      <tp>
        <v>32.200000000000003</v>
        <stp/>
        <stp>2012</stp>
        <stp>Price</stp>
        <tr r="V437" s="57"/>
      </tp>
      <tp>
        <v>12.6</v>
        <stp/>
        <stp>2022</stp>
        <stp>Price</stp>
        <tr r="V443" s="57"/>
      </tp>
      <tp>
        <v>35.1</v>
        <stp/>
        <stp>2032</stp>
        <stp>Price</stp>
        <tr r="V452" s="57"/>
      </tp>
      <tp>
        <v>25.8</v>
        <stp/>
        <stp>2102</stp>
        <stp>Price</stp>
        <tr r="V480" s="57"/>
      </tp>
      <tp>
        <v>78.5</v>
        <stp/>
        <stp>2642</stp>
        <stp>Price</stp>
        <tr r="V1530" s="57"/>
      </tp>
      <tp>
        <v>51.9</v>
        <stp/>
        <stp>2612</stp>
        <stp>Price</stp>
        <tr r="V41" s="74"/>
        <tr r="V1519" s="57"/>
      </tp>
      <tp>
        <v>153</v>
        <stp/>
        <stp>2752</stp>
        <stp>Price</stp>
        <tr r="V1567" s="57"/>
      </tp>
      <tp>
        <v>28.05</v>
        <stp/>
        <stp>2702</stp>
        <stp>Price</stp>
        <tr r="V1544" s="57"/>
      </tp>
      <tp>
        <v>34.700000000000003</v>
        <stp/>
        <stp>2712</stp>
        <stp>Price</stp>
        <tr r="V1549" s="57"/>
      </tp>
      <tp>
        <v>31.9</v>
        <stp/>
        <stp>2722</stp>
        <stp>Price</stp>
        <tr r="V1552" s="57"/>
      </tp>
      <tp>
        <v>105.5</v>
        <stp/>
        <stp>2732</stp>
        <stp>Price</stp>
        <tr r="V1559" s="57"/>
      </tp>
      <tp>
        <v>13.5</v>
        <stp/>
        <stp>2442</stp>
        <stp>Price</stp>
        <tr r="V721" s="57"/>
      </tp>
      <tp>
        <v>31.55</v>
        <stp/>
        <stp>2462</stp>
        <stp>Price</stp>
        <tr r="V1046" s="57"/>
      </tp>
      <tp>
        <v>63.9</v>
        <stp/>
        <stp>2472</stp>
        <stp>Price</stp>
        <tr r="V18" s="114"/>
        <tr r="V1048" s="57"/>
      </tp>
      <tp>
        <v>15.85</v>
        <stp/>
        <stp>2402</stp>
        <stp>Price</stp>
        <tr r="V1035" s="57"/>
      </tp>
      <tp>
        <v>130</v>
        <stp/>
        <stp>2412</stp>
        <stp>Price</stp>
        <tr r="V932" s="57"/>
        <tr r="V27" s="118"/>
      </tp>
      <tp>
        <v>12.7</v>
        <stp/>
        <stp>2482</stp>
        <stp>Price</stp>
        <tr r="V1700" s="57"/>
      </tp>
      <tp>
        <v>131.5</v>
        <stp/>
        <stp>2492</stp>
        <stp>Price</stp>
        <tr r="V1053" s="57"/>
      </tp>
      <tp>
        <v>47.85</v>
        <stp/>
        <stp>2542</stp>
        <stp>Price</stp>
        <tr r="V1459" s="57"/>
      </tp>
      <tp>
        <v>16.850000000000001</v>
        <stp/>
        <stp>2852</stp>
        <stp>Price</stp>
        <tr r="V1600" s="57"/>
      </tp>
      <tp>
        <v>15.15</v>
        <stp/>
        <stp>2812</stp>
        <stp>Price</stp>
        <tr r="V1589" s="57"/>
      </tp>
      <tp>
        <v>20.5</v>
        <stp/>
        <stp>2832</stp>
        <stp>Price</stp>
        <tr r="V1592" s="57"/>
      </tp>
      <tp>
        <v>64.7</v>
        <stp/>
        <stp>2882</stp>
        <stp>Price</stp>
        <tr r="V1605" s="57"/>
        <tr r="V14" s="118"/>
      </tp>
      <tp>
        <v>28.6</v>
        <stp/>
        <stp>2892</stp>
        <stp>Price</stp>
        <tr r="V1615" s="57"/>
        <tr r="V19" s="118"/>
      </tp>
      <tp>
        <v>267</v>
        <stp/>
        <stp>2912</stp>
        <stp>Price</stp>
        <tr r="V1642" s="57"/>
      </tp>
      <tp>
        <v>16.8</v>
        <stp/>
        <stp>3252</stp>
        <stp>Price</stp>
        <tr r="V1572" s="57"/>
      </tp>
      <tp>
        <v>30.8</v>
        <stp/>
        <stp>3272</stp>
        <stp>Price</stp>
        <tr r="V736" s="57"/>
      </tp>
      <tp>
        <v>17.100000000000001</v>
        <stp/>
        <stp>3202</stp>
        <stp>Price</stp>
        <tr r="V1072" s="57"/>
      </tp>
      <tp>
        <v>32.15</v>
        <stp/>
        <stp>3232</stp>
        <stp>Price</stp>
        <tr r="V1237" s="57"/>
      </tp>
      <tp>
        <v>64.099999999999994</v>
        <stp/>
        <stp>3362</stp>
        <stp>Price</stp>
        <tr r="V836" s="57"/>
      </tp>
      <tp>
        <v>17.25</v>
        <stp/>
        <stp>3372</stp>
        <stp>Price</stp>
        <tr r="V575" s="57"/>
      </tp>
      <tp>
        <v>24</v>
        <stp/>
        <stp>3312</stp>
        <stp>Price</stp>
        <tr r="V1238" s="57"/>
      </tp>
      <tp>
        <v>21.9</v>
        <stp/>
        <stp>3322</stp>
        <stp>Price</stp>
        <tr r="V1087" s="57"/>
      </tp>
      <tp>
        <v>40.4</v>
        <stp/>
        <stp>3332</stp>
        <stp>Price</stp>
        <tr r="V1088" s="57"/>
      </tp>
      <tp>
        <v>97.2</v>
        <stp/>
        <stp>3042</stp>
        <stp>Price</stp>
        <tr r="V29" s="74"/>
        <tr r="V12" s="74"/>
        <tr r="V14" s="114"/>
        <tr r="V1063" s="57"/>
      </tp>
      <tp>
        <v>10.45</v>
        <stp/>
        <stp>3052</stp>
        <stp>Price</stp>
        <tr r="V1469" s="57"/>
      </tp>
      <tp>
        <v>24.6</v>
        <stp/>
        <stp>3062</stp>
        <stp>Price</stp>
        <tr r="V944" s="57"/>
      </tp>
      <tp>
        <v>12.05</v>
        <stp/>
        <stp>3002</stp>
        <stp>Price</stp>
        <tr r="V723" s="57"/>
      </tp>
      <tp>
        <v>45.6</v>
        <stp/>
        <stp>3022</stp>
        <stp>Price</stp>
        <tr r="V727" s="57"/>
      </tp>
      <tp>
        <v>30.7</v>
        <stp/>
        <stp>3032</stp>
        <stp>Price</stp>
        <tr r="V1061" s="57"/>
      </tp>
      <tp>
        <v>64.5</v>
        <stp/>
        <stp>3092</stp>
        <stp>Price</stp>
        <tr r="V1068" s="57"/>
      </tp>
      <tp>
        <v>256.5</v>
        <stp/>
        <stp>3152</stp>
        <stp>Price</stp>
        <tr r="V948" s="57"/>
      </tp>
      <tp>
        <v>41.45</v>
        <stp/>
        <stp>3162</stp>
        <stp>Price</stp>
        <tr r="V95" s="22"/>
        <tr r="V169" s="57"/>
        <tr r="V29" s="28"/>
      </tp>
      <tp>
        <v>59.9</v>
        <stp/>
        <stp>3122</stp>
        <stp>Price</stp>
        <tr r="V561" s="57"/>
      </tp>
      <tp>
        <v>7.99</v>
        <stp/>
        <stp>3642</stp>
        <stp>Price</stp>
        <tr r="V1727" s="57"/>
      </tp>
      <tp>
        <v>20.65</v>
        <stp/>
        <stp>3652</stp>
        <stp>Price</stp>
        <tr r="V752" s="57"/>
      </tp>
      <tp>
        <v>35.049999999999997</v>
        <stp/>
        <stp>3672</stp>
        <stp>Price</stp>
        <tr r="V965" s="57"/>
      </tp>
      <tp>
        <v>30.85</v>
        <stp/>
        <stp>3622</stp>
        <stp>Price</stp>
        <tr r="V855" s="57"/>
      </tp>
      <tp>
        <v>9.06</v>
        <stp/>
        <stp>3632</stp>
        <stp>Price</stp>
        <tr r="V963" s="57"/>
      </tp>
      <tp>
        <v>6.82</v>
        <stp/>
        <stp>3682</stp>
        <stp>Price</stp>
        <tr r="V966" s="57"/>
      </tp>
      <tp>
        <v>56.4</v>
        <stp/>
        <stp>3702</stp>
        <stp>Price</stp>
        <tr r="V1242" s="57"/>
      </tp>
      <tp>
        <v>30</v>
        <stp/>
        <stp>3712</stp>
        <stp>Price</stp>
        <tr r="V757" s="57"/>
      </tp>
      <tp>
        <v>49.2</v>
        <stp/>
        <stp>3402</stp>
        <stp>Price</stp>
        <tr r="V1715" s="57"/>
      </tp>
      <tp>
        <v>13.65</v>
        <stp/>
        <stp>3432</stp>
        <stp>Price</stp>
        <tr r="V1095" s="57"/>
      </tp>
      <tp>
        <v>18.05</v>
        <stp/>
        <stp>3492</stp>
        <stp>Price</stp>
        <tr r="V1098" s="57"/>
      </tp>
      <tp>
        <v>175.5</v>
        <stp/>
        <stp>3552</stp>
        <stp>Price</stp>
        <tr r="V1722" s="57"/>
      </tp>
      <tp>
        <v>34.799999999999997</v>
        <stp/>
        <stp>3512</stp>
        <stp>Price</stp>
        <tr r="V1101" s="57"/>
      </tp>
      <tp>
        <v>10.5</v>
        <stp/>
        <stp>3522</stp>
        <stp>Price</stp>
        <tr r="V1573" s="57"/>
      </tp>
      <tp>
        <v>250.5</v>
        <stp/>
        <stp>3532</stp>
        <stp>Price</stp>
        <tr r="V583" s="57"/>
      </tp>
      <tp>
        <v>475</v>
        <stp/>
        <stp>3592</stp>
        <stp>Price</stp>
        <tr r="V592" s="57"/>
      </tp>
      <tp>
        <v>155.5</v>
        <stp/>
        <stp>1232</stp>
        <stp>Price</stp>
        <tr r="V27" s="57"/>
      </tp>
      <tp>
        <v>64.400000000000006</v>
        <stp/>
        <stp>1342</stp>
        <stp>Price</stp>
        <tr r="V1305" s="57"/>
      </tp>
      <tp>
        <v>26.55</v>
        <stp/>
        <stp>1312</stp>
        <stp>Price</stp>
        <tr r="V50" s="57"/>
      </tp>
      <tp>
        <v>47.2</v>
        <stp/>
        <stp>1102</stp>
        <stp>Price</stp>
        <tr r="V5" s="57"/>
      </tp>
      <tp>
        <v>30.8</v>
        <stp/>
        <stp>1612</stp>
        <stp>Price</stp>
        <tr r="V230" s="57"/>
      </tp>
      <tp>
        <v>21.2</v>
        <stp/>
        <stp>1742</stp>
        <stp>Price</stp>
        <tr r="V261" s="57"/>
      </tp>
      <tp>
        <v>37.4</v>
        <stp/>
        <stp>1752</stp>
        <stp>Price</stp>
        <tr r="V298" s="57"/>
      </tp>
      <tp>
        <v>64</v>
        <stp/>
        <stp>1762</stp>
        <stp>Price</stp>
        <tr r="V300" s="57"/>
      </tp>
      <tp>
        <v>48.25</v>
        <stp/>
        <stp>1702</stp>
        <stp>Price</stp>
        <tr r="V35" s="57"/>
        <tr r="V48" s="74"/>
      </tp>
      <tp>
        <v>35.4</v>
        <stp/>
        <stp>1712</stp>
        <stp>Price</stp>
        <tr r="V247" s="57"/>
      </tp>
      <tp>
        <v>78.599999999999994</v>
        <stp/>
        <stp>1722</stp>
        <stp>Price</stp>
        <tr r="V253" s="57"/>
      </tp>
      <tp>
        <v>44.65</v>
        <stp/>
        <stp>1732</stp>
        <stp>Price</stp>
        <tr r="V13" s="28"/>
        <tr r="V259" s="57"/>
      </tp>
      <tp>
        <v>23.05</v>
        <stp/>
        <stp>1442</stp>
        <stp>Price</stp>
        <tr r="V1437" s="57"/>
      </tp>
      <tp>
        <v>24.3</v>
        <stp/>
        <stp>1452</stp>
        <stp>Price</stp>
        <tr r="V90" s="57"/>
      </tp>
      <tp t="s">
        <v>無資料</v>
        <stp/>
        <stp>1472</stp>
        <stp>Price</stp>
        <tr r="V105" s="57"/>
      </tp>
      <tp>
        <v>30.6</v>
        <stp/>
        <stp>1402</stp>
        <stp>Price</stp>
        <tr r="V70" s="57"/>
      </tp>
      <tp>
        <v>12.55</v>
        <stp/>
        <stp>1432</stp>
        <stp>Price</stp>
        <tr r="V1632" s="57"/>
      </tp>
      <tp>
        <v>4.0999999999999996</v>
        <stp/>
        <stp>1512</stp>
        <stp>Price</stp>
        <tr r="V496" s="57"/>
      </tp>
      <tp>
        <v>18.55</v>
        <stp/>
        <stp>1522</stp>
        <stp>Price</stp>
        <tr r="V498" s="57"/>
      </tp>
      <tp>
        <v>34.450000000000003</v>
        <stp/>
        <stp>1532</stp>
        <stp>Price</stp>
        <tr r="V143" s="57"/>
      </tp>
      <tp>
        <v>71.2</v>
        <stp/>
        <stp>1582</stp>
        <stp>Price</stp>
        <tr r="V1019" s="57"/>
      </tp>
      <tp>
        <v>24.25</v>
        <stp/>
        <stp>1802</stp>
        <stp>Price</stp>
        <tr r="V416" s="57"/>
      </tp>
      <tp>
        <v>53</v>
        <stp/>
        <stp>6242</stp>
        <stp>Price</stp>
        <tr r="V377" s="57"/>
      </tp>
      <tp>
        <v>101.5</v>
        <stp/>
        <stp>6202</stp>
        <stp>Price</stp>
        <tr r="V28" s="74"/>
        <tr r="V11" s="74"/>
        <tr r="V634" s="57"/>
      </tp>
      <tp t="s">
        <v>無資料</v>
        <stp/>
        <stp>6212</stp>
        <stp>Price</stp>
        <tr r="V1502" s="57"/>
      </tp>
      <tp>
        <v>32.299999999999997</v>
        <stp/>
        <stp>6282</stp>
        <stp>Price</stp>
        <tr r="V1186" s="57"/>
      </tp>
      <tp>
        <v>46.5</v>
        <stp/>
        <stp>6292</stp>
        <stp>Price</stp>
        <tr r="V1189" s="57"/>
      </tp>
      <tp>
        <v>9.89</v>
        <stp/>
        <stp>6142</stp>
        <stp>Price</stp>
        <tr r="V982" s="57"/>
      </tp>
      <tp>
        <v>9.24</v>
        <stp/>
        <stp>6152</stp>
        <stp>Price</stp>
        <tr r="V984" s="57"/>
      </tp>
      <tp>
        <v>39.25</v>
        <stp/>
        <stp>6112</stp>
        <stp>Price</stp>
        <tr r="V1283" s="57"/>
      </tp>
      <tp>
        <v>18.25</v>
        <stp/>
        <stp>6122</stp>
        <stp>Price</stp>
        <tr r="V209" s="57"/>
      </tp>
      <tp>
        <v>60.8</v>
        <stp/>
        <stp>6182</stp>
        <stp>Price</stp>
        <tr r="V632" s="57"/>
      </tp>
      <tp>
        <v>75.5</v>
        <stp/>
        <stp>6192</stp>
        <stp>Price</stp>
        <tr r="V1743" s="57"/>
      </tp>
      <tp>
        <v>68.3</v>
        <stp/>
        <stp>6642</stp>
        <stp>Price</stp>
        <tr r="V1195" s="57"/>
      </tp>
      <tp>
        <v>102</v>
        <stp/>
        <stp>6672</stp>
        <stp>Price</stp>
        <tr r="V1197" s="57"/>
      </tp>
      <tp>
        <v>92.4</v>
        <stp/>
        <stp>6612</stp>
        <stp>Price</stp>
        <tr r="V396" s="57"/>
      </tp>
      <tp>
        <v>56</v>
        <stp/>
        <stp>6752</stp>
        <stp>Price</stp>
        <tr r="V1298" s="57"/>
      </tp>
      <tp>
        <v>265</v>
        <stp/>
        <stp>6762</stp>
        <stp>Price</stp>
        <tr r="V406" s="57"/>
      </tp>
      <tp>
        <v>220</v>
        <stp/>
        <stp>6712</stp>
        <stp>Price</stp>
        <tr r="V403" s="57"/>
      </tp>
      <tp>
        <v>420.5</v>
        <stp/>
        <stp>6732</stp>
        <stp>Price</stp>
        <tr r="V6" s="114"/>
        <tr r="V675" s="57"/>
      </tp>
      <tp>
        <v>117.5</v>
        <stp/>
        <stp>6792</stp>
        <stp>Price</stp>
        <tr r="V1005" s="57"/>
      </tp>
      <tp>
        <v>41.25</v>
        <stp/>
        <stp>6442</stp>
        <stp>Price</stp>
        <tr r="V997" s="57"/>
      </tp>
      <tp>
        <v>116</v>
        <stp/>
        <stp>6462</stp>
        <stp>Price</stp>
        <tr r="V651" s="57"/>
      </tp>
      <tp>
        <v>172.5</v>
        <stp/>
        <stp>6472</stp>
        <stp>Price</stp>
        <tr r="V381" s="57"/>
      </tp>
      <tp>
        <v>73.7</v>
        <stp/>
        <stp>6412</stp>
        <stp>Price</stp>
        <tr r="V1190" s="57"/>
      </tp>
      <tp>
        <v>36.25</v>
        <stp/>
        <stp>6432</stp>
        <stp>Price</stp>
        <tr r="V1192" s="57"/>
      </tp>
      <tp>
        <v>39</v>
        <stp/>
        <stp>6482</stp>
        <stp>Price</stp>
        <tr r="V1788" s="57"/>
      </tp>
      <tp>
        <v>86.9</v>
        <stp/>
        <stp>6492</stp>
        <stp>Price</stp>
        <tr r="V383" s="57"/>
      </tp>
      <tp>
        <v>48</v>
        <stp/>
        <stp>6542</stp>
        <stp>Price</stp>
        <tr r="V1789" s="57"/>
      </tp>
      <tp>
        <v>49.45</v>
        <stp/>
        <stp>6552</stp>
        <stp>Price</stp>
        <tr r="V662" s="57"/>
      </tp>
      <tp>
        <v>17.850000000000001</v>
        <stp/>
        <stp>6512</stp>
        <stp>Price</stp>
        <tr r="V1752" s="57"/>
      </tp>
      <tp>
        <v>47.05</v>
        <stp/>
        <stp>6532</stp>
        <stp>Price</stp>
        <tr r="V659" s="57"/>
      </tp>
      <tp>
        <v>118</v>
        <stp/>
        <stp>6582</stp>
        <stp>Price</stp>
        <tr r="V490" s="57"/>
      </tp>
      <tp>
        <v>113.5</v>
        <stp/>
        <stp>6592</stp>
        <stp>Price</stp>
        <tr r="V1344" s="57"/>
        <tr r="V27" s="28"/>
      </tp>
      <tp>
        <v>46.2</v>
        <stp/>
        <stp>7402</stp>
        <stp>Price</stp>
        <tr r="V916" s="57"/>
      </tp>
      <tp>
        <v>44.3</v>
        <stp/>
        <stp>4142</stp>
        <stp>Price</stp>
        <tr r="V342" s="57"/>
      </tp>
      <tp>
        <v>88.8</v>
        <stp/>
        <stp>4162</stp>
        <stp>Price</stp>
        <tr r="V351" s="57"/>
        <tr r="V17" s="28"/>
      </tp>
      <tp>
        <v>20.65</v>
        <stp/>
        <stp>4102</stp>
        <stp>Price</stp>
        <tr r="V317" s="57"/>
      </tp>
      <tp>
        <v>37.4</v>
        <stp/>
        <stp>4192</stp>
        <stp>Price</stp>
        <tr r="V362" s="57"/>
      </tp>
      <tp>
        <v>18.100000000000001</v>
        <stp/>
        <stp>4702</stp>
        <stp>Price</stp>
        <tr r="V265" s="57"/>
      </tp>
      <tp>
        <v>41.7</v>
        <stp/>
        <stp>4722</stp>
        <stp>Price</stp>
        <tr r="V273" s="57"/>
      </tp>
      <tp>
        <v>9.4</v>
        <stp/>
        <stp>4402</stp>
        <stp>Price</stp>
        <tr r="V112" s="57"/>
      </tp>
      <tp>
        <v>15.55</v>
        <stp/>
        <stp>4432</stp>
        <stp>Price</stp>
        <tr r="V111" s="22"/>
        <tr r="V112" s="22"/>
        <tr r="V113" s="22"/>
        <tr r="V114" s="22"/>
        <tr r="V115" s="22"/>
        <tr r="V116" s="22"/>
        <tr r="V117" s="22"/>
        <tr r="V110" s="22"/>
        <tr r="V121" s="57"/>
        <tr r="V34" s="28"/>
      </tp>
      <tp>
        <v>26.95</v>
        <stp/>
        <stp>4542</stp>
        <stp>Price</stp>
        <tr r="V1121" s="57"/>
      </tp>
      <tp>
        <v>29.7</v>
        <stp/>
        <stp>4552</stp>
        <stp>Price</stp>
        <tr r="V194" s="57"/>
      </tp>
      <tp>
        <v>15.7</v>
        <stp/>
        <stp>4562</stp>
        <stp>Price</stp>
        <tr r="V199" s="57"/>
      </tp>
      <tp>
        <v>105</v>
        <stp/>
        <stp>4572</stp>
        <stp>Price</stp>
        <tr r="V205" s="57"/>
      </tp>
      <tp>
        <v>37.5</v>
        <stp/>
        <stp>4502</stp>
        <stp>Price</stp>
        <tr r="V175" s="57"/>
      </tp>
      <tp>
        <v>17.7</v>
        <stp/>
        <stp>4532</stp>
        <stp>Price</stp>
        <tr r="V185" s="57"/>
      </tp>
      <tp>
        <v>46.65</v>
        <stp/>
        <stp>4942</stp>
        <stp>Price</stp>
        <tr r="V869" s="57"/>
      </tp>
      <tp>
        <v>73.2</v>
        <stp/>
        <stp>4952</stp>
        <stp>Price</stp>
        <tr r="V602" s="57"/>
      </tp>
      <tp>
        <v>32.450000000000003</v>
        <stp/>
        <stp>4972</stp>
        <stp>Price</stp>
        <tr r="V873" s="57"/>
      </tp>
      <tp>
        <v>162.5</v>
        <stp/>
        <stp>4912</stp>
        <stp>Price</stp>
        <tr r="V1123" s="57"/>
      </tp>
      <tp>
        <v>34.6</v>
        <stp/>
        <stp>5272</stp>
        <stp>Price</stp>
        <tr r="V613" s="57"/>
      </tp>
      <tp>
        <v>19</v>
        <stp/>
        <stp>5202</stp>
        <stp>Price</stp>
        <tr r="V1274" s="57"/>
      </tp>
      <tp>
        <v>47.45</v>
        <stp/>
        <stp>5212</stp>
        <stp>Price</stp>
        <tr r="V1279" s="57"/>
      </tp>
      <tp>
        <v>149</v>
        <stp/>
        <stp>5222</stp>
        <stp>Price</stp>
        <tr r="V610" s="57"/>
      </tp>
      <tp>
        <v>11.25</v>
        <stp/>
        <stp>5302</stp>
        <stp>Price</stp>
        <tr r="V617" s="57"/>
      </tp>
      <tp>
        <v>63.2</v>
        <stp/>
        <stp>5312</stp>
        <stp>Price</stp>
        <tr r="V375" s="57"/>
      </tp>
      <tp>
        <v>23.2</v>
        <stp/>
        <stp>5392</stp>
        <stp>Price</stp>
        <tr r="V886" s="57"/>
      </tp>
      <tp>
        <v>24.65</v>
        <stp/>
        <stp>5102</stp>
        <stp>Price</stp>
        <tr r="V489" s="57"/>
      </tp>
      <tp>
        <v>20.399999999999999</v>
        <stp/>
        <stp>5452</stp>
        <stp>Price</stp>
        <tr r="V1735" s="57"/>
      </tp>
      <tp>
        <v>40.200000000000003</v>
        <stp/>
        <stp>5432</stp>
        <stp>Price</stp>
        <tr r="V887" s="57"/>
      </tp>
      <tp>
        <v>9.48</v>
        <stp/>
        <stp>5512</stp>
        <stp>Price</stp>
        <tr r="V1484" s="57"/>
      </tp>
      <tp>
        <v>68.8</v>
        <stp/>
        <stp>5522</stp>
        <stp>Price</stp>
        <tr r="V1816" s="57"/>
      </tp>
      <tp>
        <v>26.35</v>
        <stp/>
        <stp>5902</stp>
        <stp>Price</stp>
        <tr r="V1654" s="57"/>
      </tp>
      <tp>
        <v>15.15</v>
        <stp/>
        <stp>8222</stp>
        <stp>Price</stp>
        <tr r="V217" s="57"/>
      </tp>
      <tp>
        <v>52.7</v>
        <stp/>
        <stp>8342</stp>
        <stp>Price</stp>
        <tr r="V1361" s="57"/>
      </tp>
      <tp>
        <v>41.45</v>
        <stp/>
        <stp>8042</stp>
        <stp>Price</stp>
        <tr r="V1204" s="57"/>
      </tp>
      <tp>
        <v>24.15</v>
        <stp/>
        <stp>8072</stp>
        <stp>Price</stp>
        <tr r="V1257" s="57"/>
      </tp>
      <tp>
        <v>28.3</v>
        <stp/>
        <stp>8032</stp>
        <stp>Price</stp>
        <tr r="V1253" s="57"/>
      </tp>
      <tp>
        <v>10.75</v>
        <stp/>
        <stp>8092</stp>
        <stp>Price</stp>
        <tr r="V1763" s="57"/>
      </tp>
      <tp>
        <v>48.7</v>
        <stp/>
        <stp>8112</stp>
        <stp>Price</stp>
        <tr r="V1260" s="57"/>
      </tp>
      <tp>
        <v>46.25</v>
        <stp/>
        <stp>8182</stp>
        <stp>Price</stp>
        <tr r="V22" s="74"/>
        <tr r="V1217" s="57"/>
      </tp>
      <tp>
        <v>50.4</v>
        <stp/>
        <stp>8442</stp>
        <stp>Price</stp>
        <tr r="V1376" s="57"/>
      </tp>
      <tp>
        <v>130.5</v>
        <stp/>
        <stp>8462</stp>
        <stp>Price</stp>
        <tr r="V1582" s="57"/>
      </tp>
      <tp>
        <v>49.7</v>
        <stp/>
        <stp>8472</stp>
        <stp>Price</stp>
        <tr r="V1805" s="57"/>
      </tp>
      <tp>
        <v>200</v>
        <stp/>
        <stp>8422</stp>
        <stp>Price</stp>
        <tr r="V1369" s="57"/>
      </tp>
      <tp>
        <v>44.05</v>
        <stp/>
        <stp>8432</stp>
        <stp>Price</stp>
        <tr r="V412" s="57"/>
      </tp>
      <tp>
        <v>74.599999999999994</v>
        <stp/>
        <stp>8482</stp>
        <stp>Price</stp>
        <tr r="V1387" s="57"/>
      </tp>
      <tp>
        <v>66.400000000000006</v>
        <stp/>
        <stp>8942</stp>
        <stp>Price</stp>
        <tr r="V1403" s="57"/>
      </tp>
      <tp>
        <v>27</v>
        <stp/>
        <stp>8932</stp>
        <stp>Price</stp>
        <tr r="V1397" s="57"/>
      </tp>
      <tp>
        <v>132.5</v>
        <stp/>
        <stp>9802</stp>
        <stp>Price</stp>
        <tr r="V1404" s="57"/>
      </tp>
      <tp>
        <v>88.4</v>
        <stp/>
        <stp>9942</stp>
        <stp>Price</stp>
        <tr r="V1428" s="57"/>
      </tp>
      <tp>
        <v>22.5</v>
        <stp/>
        <stp>9962</stp>
        <stp>Price</stp>
        <tr r="V476" s="57"/>
      </tp>
      <tp>
        <v>12.2</v>
        <stp/>
        <stp>9902</stp>
        <stp>Price</stp>
        <tr r="V1405" s="57"/>
      </tp>
      <tp>
        <v>9.35</v>
        <stp/>
        <stp>9912</stp>
        <stp>Price</stp>
        <tr r="V804" s="57"/>
      </tp>
      <tp>
        <v>16.649999999999999</v>
        <stp/>
        <stp>2243</stp>
        <stp>Price</stp>
        <tr r="V516" s="57"/>
      </tp>
      <tp>
        <v>111.5</v>
        <stp/>
        <stp>2233</stp>
        <stp>Price</stp>
        <tr r="V513" s="57"/>
      </tp>
      <tp>
        <v>28.45</v>
        <stp/>
        <stp>2353</stp>
        <stp>Price</stp>
        <tr r="V703" s="57"/>
      </tp>
      <tp>
        <v>23.6</v>
        <stp/>
        <stp>2363</stp>
        <stp>Price</stp>
        <tr r="V537" s="57"/>
      </tp>
      <tp>
        <v>91.6</v>
        <stp/>
        <stp>2373</stp>
        <stp>Price</stp>
        <tr r="V1691" s="57"/>
      </tp>
      <tp>
        <v>48.25</v>
        <stp/>
        <stp>2303</stp>
        <stp>Price</stp>
        <tr r="V529" s="57"/>
        <tr r="V5" s="118"/>
      </tp>
      <tp>
        <v>48</v>
        <stp/>
        <stp>2313</stp>
        <stp>Price</stp>
        <tr r="V1024" s="57"/>
      </tp>
      <tp>
        <v>9.6</v>
        <stp/>
        <stp>2323</stp>
        <stp>Price</stp>
        <tr r="V807" s="57"/>
      </tp>
      <tp>
        <v>240.5</v>
        <stp/>
        <stp>2383</stp>
        <stp>Price</stp>
        <tr r="V1032" s="57"/>
      </tp>
      <tp>
        <v>46.05</v>
        <stp/>
        <stp>2393</stp>
        <stp>Price</stp>
        <tr r="V811" s="57"/>
      </tp>
      <tp>
        <v>38.450000000000003</v>
        <stp/>
        <stp>2063</stp>
        <stp>Price</stp>
        <tr r="V457" s="57"/>
      </tp>
      <tp>
        <v>59.2</v>
        <stp/>
        <stp>2013</stp>
        <stp>Price</stp>
        <tr r="V438" s="57"/>
      </tp>
      <tp>
        <v>25.7</v>
        <stp/>
        <stp>2023</stp>
        <stp>Price</stp>
        <tr r="V444" s="57"/>
      </tp>
      <tp>
        <v>24.15</v>
        <stp/>
        <stp>2033</stp>
        <stp>Price</stp>
        <tr r="V453" s="57"/>
      </tp>
      <tp>
        <v>33.049999999999997</v>
        <stp/>
        <stp>2103</stp>
        <stp>Price</stp>
        <tr r="V481" s="57"/>
      </tp>
      <tp>
        <v>72.2</v>
        <stp/>
        <stp>2643</stp>
        <stp>Price</stp>
        <tr r="V1531" s="57"/>
      </tp>
      <tp>
        <v>138</v>
        <stp/>
        <stp>2603</stp>
        <stp>Price</stp>
        <tr r="V1511" s="57"/>
        <tr r="V24" s="118"/>
      </tp>
      <tp>
        <v>38.15</v>
        <stp/>
        <stp>2613</stp>
        <stp>Price</stp>
        <tr r="V1520" s="57"/>
      </tp>
      <tp>
        <v>28.65</v>
        <stp/>
        <stp>2633</stp>
        <stp>Price</stp>
        <tr r="V1525" s="57"/>
      </tp>
      <tp>
        <v>58.3</v>
        <stp/>
        <stp>2743</stp>
        <stp>Price</stp>
        <tr r="V1564" s="57"/>
      </tp>
      <tp>
        <v>133.5</v>
        <stp/>
        <stp>2753</stp>
        <stp>Price</stp>
        <tr r="V1568" s="57"/>
      </tp>
      <tp>
        <v>93.3</v>
        <stp/>
        <stp>2723</stp>
        <stp>Price</stp>
        <tr r="V1553" s="57"/>
      </tp>
      <tp>
        <v>3.2</v>
        <stp/>
        <stp>2443</stp>
        <stp>Price</stp>
        <tr r="V1315" s="57"/>
      </tp>
      <tp>
        <v>28.55</v>
        <stp/>
        <stp>2453</stp>
        <stp>Price</stp>
        <tr r="V1264" s="57"/>
      </tp>
      <tp>
        <v>21.1</v>
        <stp/>
        <stp>2413</stp>
        <stp>Price</stp>
        <tr r="V1036" s="57"/>
      </tp>
      <tp>
        <v>28.7</v>
        <stp/>
        <stp>2423</stp>
        <stp>Price</stp>
        <tr r="V1694" s="57"/>
      </tp>
      <tp>
        <v>52</v>
        <stp/>
        <stp>2433</stp>
        <stp>Price</stp>
        <tr r="V1695" s="57"/>
      </tp>
      <tp>
        <v>23.25</v>
        <stp/>
        <stp>2483</stp>
        <stp>Price</stp>
        <tr r="V1051" s="57"/>
      </tp>
      <tp>
        <v>42.15</v>
        <stp/>
        <stp>2493</stp>
        <stp>Price</stp>
        <tr r="V1054" s="57"/>
      </tp>
      <tp>
        <v>10.15</v>
        <stp/>
        <stp>2543</stp>
        <stp>Price</stp>
        <tr r="V1460" s="57"/>
      </tp>
      <tp>
        <v>19.2</v>
        <stp/>
        <stp>2883</stp>
        <stp>Price</stp>
        <tr r="V1606" s="57"/>
        <tr r="V20" s="118"/>
      </tp>
      <tp>
        <v>21.1</v>
        <stp/>
        <stp>2903</stp>
        <stp>Price</stp>
        <tr r="V1636" s="57"/>
      </tp>
      <tp>
        <v>19.600000000000001</v>
        <stp/>
        <stp>2913</stp>
        <stp>Price</stp>
        <tr r="V1643" s="57"/>
      </tp>
      <tp>
        <v>26.2</v>
        <stp/>
        <stp>2923</stp>
        <stp>Price</stp>
        <tr r="V1468" s="57"/>
      </tp>
      <tp>
        <v>53.4</v>
        <stp/>
        <stp>3213</stp>
        <stp>Price</stp>
        <tr r="V734" s="57"/>
      </tp>
      <tp>
        <v>750</v>
        <stp/>
        <stp>3293</stp>
        <stp>Price</stp>
        <tr r="V1775" s="57"/>
      </tp>
      <tp>
        <v>28.25</v>
        <stp/>
        <stp>3363</stp>
        <stp>Price</stp>
        <tr r="V954" s="57"/>
      </tp>
      <tp>
        <v>32.950000000000003</v>
        <stp/>
        <stp>3373</stp>
        <stp>Price</stp>
        <tr r="V1714" s="57"/>
      </tp>
      <tp>
        <v>27.1</v>
        <stp/>
        <stp>3303</stp>
        <stp>Price</stp>
        <tr r="V1711" s="57"/>
      </tp>
      <tp>
        <v>11.35</v>
        <stp/>
        <stp>3313</stp>
        <stp>Price</stp>
        <tr r="V1085" s="57"/>
      </tp>
      <tp>
        <v>39.049999999999997</v>
        <stp/>
        <stp>3323</stp>
        <stp>Price</stp>
        <tr r="V738" s="57"/>
      </tp>
      <tp>
        <v>7</v>
        <stp/>
        <stp>3383</stp>
        <stp>Price</stp>
        <tr r="V837" s="57"/>
      </tp>
      <tp>
        <v>4.2</v>
        <stp/>
        <stp>3043</stp>
        <stp>Price</stp>
        <tr r="V1705" s="57"/>
      </tp>
      <tp>
        <v>29.45</v>
        <stp/>
        <stp>3073</stp>
        <stp>Price</stp>
        <tr r="V558" s="57"/>
      </tp>
      <tp>
        <v>79.2</v>
        <stp/>
        <stp>3003</stp>
        <stp>Price</stp>
        <tr r="V1055" s="57"/>
      </tp>
      <tp>
        <v>13.35</v>
        <stp/>
        <stp>3013</stp>
        <stp>Price</stp>
        <tr r="V725" s="57"/>
      </tp>
      <tp>
        <v>257</v>
        <stp/>
        <stp>3023</stp>
        <stp>Price</stp>
        <tr r="V1059" s="57"/>
      </tp>
      <tp>
        <v>31.45</v>
        <stp/>
        <stp>3033</stp>
        <stp>Price</stp>
        <tr r="V1231" s="57"/>
      </tp>
      <tp>
        <v>50.9</v>
        <stp/>
        <stp>3083</stp>
        <stp>Price</stp>
        <tr r="V1773" s="57"/>
      </tp>
      <tp>
        <v>86</v>
        <stp/>
        <stp>3093</stp>
        <stp>Price</stp>
        <tr r="V1707" s="57"/>
      </tp>
      <tp>
        <v>48.05</v>
        <stp/>
        <stp>3163</stp>
        <stp>Price</stp>
        <tr r="V949" s="57"/>
      </tp>
      <tp>
        <v>400</v>
        <stp/>
        <stp>3653</stp>
        <stp>Price</stp>
        <tr r="V1117" s="57"/>
      </tp>
      <tp>
        <v>30.85</v>
        <stp/>
        <stp>3663</stp>
        <stp>Price</stp>
        <tr r="V1728" s="57"/>
      </tp>
      <tp>
        <v>36</v>
        <stp/>
        <stp>3673</stp>
        <stp>Price</stp>
        <tr r="V860" s="57"/>
      </tp>
      <tp>
        <v>19.45</v>
        <stp/>
        <stp>3623</stp>
        <stp>Price</stp>
        <tr r="V856" s="57"/>
      </tp>
      <tp>
        <v>57.3</v>
        <stp/>
        <stp>3693</stp>
        <stp>Price</stp>
        <tr r="V753" s="57"/>
      </tp>
      <tp>
        <v>27.15</v>
        <stp/>
        <stp>3703</stp>
        <stp>Price</stp>
        <tr r="V1474" s="57"/>
      </tp>
      <tp>
        <v>34.6</v>
        <stp/>
        <stp>3713</stp>
        <stp>Price</stp>
        <tr r="V100" s="22"/>
        <tr r="V99" s="22"/>
        <tr r="V863" s="57"/>
        <tr r="V35" s="28"/>
      </tp>
      <tp>
        <v>478</v>
        <stp/>
        <stp>3443</stp>
        <stp>Price</stp>
        <tr r="V30" s="74"/>
        <tr r="V13" s="74"/>
        <tr r="V579" s="57"/>
      </tp>
      <tp>
        <v>230.5</v>
        <stp/>
        <stp>3413</stp>
        <stp>Price</stp>
        <tr r="V577" s="57"/>
      </tp>
      <tp>
        <v>82</v>
        <stp/>
        <stp>3483</stp>
        <stp>Price</stp>
        <tr r="V3" s="74"/>
        <tr r="V743" s="57"/>
      </tp>
      <tp>
        <v>23</v>
        <stp/>
        <stp>3543</stp>
        <stp>Price</stp>
        <tr r="V850" s="57"/>
      </tp>
      <tp>
        <v>202.5</v>
        <stp/>
        <stp>3563</stp>
        <stp>Price</stp>
        <tr r="V851" s="57"/>
      </tp>
      <tp>
        <v>724</v>
        <stp/>
        <stp>3533</stp>
        <stp>Price</stp>
        <tr r="V1104" s="57"/>
      </tp>
      <tp>
        <v>86.2</v>
        <stp/>
        <stp>3583</stp>
        <stp>Price</stp>
        <tr r="V39" s="74"/>
        <tr r="V590" s="57"/>
      </tp>
      <tp>
        <v>14.2</v>
        <stp/>
        <stp>3593</stp>
        <stp>Price</stp>
        <tr r="V1108" s="57"/>
      </tp>
      <tp>
        <v>33.5</v>
        <stp/>
        <stp>1203</stp>
        <stp>Price</stp>
        <tr r="V14" s="57"/>
      </tp>
      <tp t="s">
        <v>無資料</v>
        <stp/>
        <stp>1213</stp>
        <stp>Price</stp>
        <tr r="V16" s="57"/>
      </tp>
      <tp>
        <v>33.35</v>
        <stp/>
        <stp>1233</stp>
        <stp>Price</stp>
        <tr r="V28" s="57"/>
      </tp>
      <tp>
        <v>89.7</v>
        <stp/>
        <stp>1303</stp>
        <stp>Price</stp>
        <tr r="V43" s="57"/>
        <tr r="V11" s="118"/>
      </tp>
      <tp>
        <v>17.5</v>
        <stp/>
        <stp>1313</stp>
        <stp>Price</stp>
        <tr r="V51" s="57"/>
      </tp>
      <tp>
        <v>35.700000000000003</v>
        <stp/>
        <stp>1323</stp>
        <stp>Price</stp>
        <tr r="V55" s="57"/>
      </tp>
      <tp>
        <v>20.45</v>
        <stp/>
        <stp>1103</stp>
        <stp>Price</stp>
        <tr r="V6" s="57"/>
      </tp>
      <tp>
        <v>28.65</v>
        <stp/>
        <stp>1603</stp>
        <stp>Price</stp>
        <tr r="V224" s="57"/>
      </tp>
      <tp>
        <v>215</v>
        <stp/>
        <stp>1773</stp>
        <stp>Price</stp>
        <tr r="V262" s="57"/>
      </tp>
      <tp>
        <v>23.95</v>
        <stp/>
        <stp>1713</stp>
        <stp>Price</stp>
        <tr r="V248" s="57"/>
      </tp>
      <tp>
        <v>114.5</v>
        <stp/>
        <stp>1723</stp>
        <stp>Price</stp>
        <tr r="V254" s="57"/>
      </tp>
      <tp>
        <v>26.3</v>
        <stp/>
        <stp>1733</stp>
        <stp>Price</stp>
        <tr r="V295" s="57"/>
      </tp>
      <tp>
        <v>43.95</v>
        <stp/>
        <stp>1783</stp>
        <stp>Price</stp>
        <tr r="V303" s="57"/>
      </tp>
      <tp>
        <v>15.95</v>
        <stp/>
        <stp>1443</stp>
        <stp>Price</stp>
        <tr r="V83" s="57"/>
      </tp>
      <tp>
        <v>14.95</v>
        <stp/>
        <stp>1453</stp>
        <stp>Price</stp>
        <tr r="V91" s="57"/>
      </tp>
      <tp>
        <v>14.1</v>
        <stp/>
        <stp>1463</stp>
        <stp>Price</stp>
        <tr r="V98" s="57"/>
      </tp>
      <tp>
        <v>18.8</v>
        <stp/>
        <stp>1473</stp>
        <stp>Price</stp>
        <tr r="V106" s="57"/>
      </tp>
      <tp>
        <v>10.5</v>
        <stp/>
        <stp>1413</stp>
        <stp>Price</stp>
        <tr r="V73" s="57"/>
      </tp>
      <tp>
        <v>19.8</v>
        <stp/>
        <stp>1423</stp>
        <stp>Price</stp>
        <tr r="V78" s="57"/>
      </tp>
      <tp>
        <v>51.7</v>
        <stp/>
        <stp>1503</stp>
        <stp>Price</stp>
        <tr r="V128" s="57"/>
      </tp>
      <tp>
        <v>55.5</v>
        <stp/>
        <stp>1513</stp>
        <stp>Price</stp>
        <tr r="V132" s="57"/>
      </tp>
      <tp>
        <v>67.2</v>
        <stp/>
        <stp>1533</stp>
        <stp>Price</stp>
        <tr r="V501" s="57"/>
      </tp>
      <tp>
        <v>55.9</v>
        <stp/>
        <stp>1583</stp>
        <stp>Price</stp>
        <tr r="V154" s="57"/>
      </tp>
      <tp>
        <v>70</v>
        <stp/>
        <stp>1593</stp>
        <stp>Price</stp>
        <tr r="V289" s="57"/>
      </tp>
      <tp>
        <v>19</v>
        <stp/>
        <stp>1813</stp>
        <stp>Price</stp>
        <tr r="V310" s="57"/>
      </tp>
      <tp>
        <v>58.9</v>
        <stp/>
        <stp>1903</stp>
        <stp>Price</stp>
        <tr r="V423" s="57"/>
      </tp>
      <tp>
        <v>45.4</v>
        <stp/>
        <stp>6243</stp>
        <stp>Price</stp>
        <tr r="V640" s="57"/>
      </tp>
      <tp>
        <v>73.5</v>
        <stp/>
        <stp>6263</stp>
        <stp>Price</stp>
        <tr r="V992" s="57"/>
      </tp>
      <tp>
        <v>57.6</v>
        <stp/>
        <stp>6203</stp>
        <stp>Price</stp>
        <tr r="V1170" s="57"/>
      </tp>
      <tp>
        <v>109</v>
        <stp/>
        <stp>6213</stp>
        <stp>Price</stp>
        <tr r="V1176" s="57"/>
      </tp>
      <tp>
        <v>94.1</v>
        <stp/>
        <stp>6223</stp>
        <stp>Price</stp>
        <tr r="V635" s="57"/>
      </tp>
      <tp>
        <v>26.6</v>
        <stp/>
        <stp>6233</stp>
        <stp>Price</stp>
        <tr r="V637" s="57"/>
      </tp>
      <tp>
        <v>38.299999999999997</v>
        <stp/>
        <stp>6283</stp>
        <stp>Price</stp>
        <tr r="V1749" s="57"/>
      </tp>
      <tp>
        <v>50.1</v>
        <stp/>
        <stp>6023</stp>
        <stp>Price</stp>
        <tr r="V1627" s="57"/>
      </tp>
      <tp>
        <v>50.5</v>
        <stp/>
        <stp>6143</stp>
        <stp>Price</stp>
        <tr r="V983" s="57"/>
      </tp>
      <tp>
        <v>22.2</v>
        <stp/>
        <stp>6153</stp>
        <stp>Price</stp>
        <tr r="V1158" s="57"/>
      </tp>
      <tp>
        <v>18.05</v>
        <stp/>
        <stp>6163</stp>
        <stp>Price</stp>
        <tr r="V985" s="57"/>
      </tp>
      <tp>
        <v>51.8</v>
        <stp/>
        <stp>6173</stp>
        <stp>Price</stp>
        <tr r="V1163" s="57"/>
      </tp>
      <tp t="s">
        <v>無資料</v>
        <stp/>
        <stp>6103</stp>
        <stp>Price</stp>
        <tr r="V627" s="57"/>
      </tp>
      <tp>
        <v>12.6</v>
        <stp/>
        <stp>6113</stp>
        <stp>Price</stp>
        <tr r="V1244" s="57"/>
      </tp>
      <tp>
        <v>55.3</v>
        <stp/>
        <stp>6123</stp>
        <stp>Price</stp>
        <tr r="V776" s="57"/>
      </tp>
      <tp>
        <v>9.32</v>
        <stp/>
        <stp>6133</stp>
        <stp>Price</stp>
        <tr r="V1155" s="57"/>
      </tp>
      <tp>
        <v>53.6</v>
        <stp/>
        <stp>6183</stp>
        <stp>Price</stp>
        <tr r="V1286" s="57"/>
      </tp>
      <tp>
        <v>309.5</v>
        <stp/>
        <stp>6643</stp>
        <stp>Price</stp>
        <tr r="V667" s="57"/>
      </tp>
      <tp>
        <v>17.850000000000001</v>
        <stp/>
        <stp>6603</stp>
        <stp>Price</stp>
        <tr r="V211" s="57"/>
      </tp>
      <tp>
        <v>171</v>
        <stp/>
        <stp>6613</stp>
        <stp>Price</stp>
        <tr r="V1754" s="57"/>
      </tp>
      <tp>
        <v>246</v>
        <stp/>
        <stp>6683</stp>
        <stp>Price</stp>
        <tr r="V670" s="57"/>
      </tp>
      <tp>
        <v>87.4</v>
        <stp/>
        <stp>6693</stp>
        <stp>Price</stp>
        <tr r="V672" s="57"/>
      </tp>
      <tp>
        <v>55.5</v>
        <stp/>
        <stp>6743</stp>
        <stp>Price</stp>
        <tr r="V1759" s="57"/>
      </tp>
      <tp>
        <v>592</v>
        <stp/>
        <stp>6763</stp>
        <stp>Price</stp>
        <tr r="V1803" s="57"/>
      </tp>
      <tp>
        <v>104</v>
        <stp/>
        <stp>6703</stp>
        <stp>Price</stp>
        <tr r="V402" s="57"/>
      </tp>
      <tp>
        <v>26.4</v>
        <stp/>
        <stp>6733</stp>
        <stp>Price</stp>
        <tr r="V404" s="57"/>
      </tp>
      <tp>
        <v>44.2</v>
        <stp/>
        <stp>6443</stp>
        <stp>Price</stp>
        <tr r="V909" s="57"/>
      </tp>
      <tp>
        <v>19.100000000000001</v>
        <stp/>
        <stp>6573</stp>
        <stp>Price</stp>
        <tr r="V664" s="57"/>
      </tp>
      <tp>
        <v>89.5</v>
        <stp/>
        <stp>6523</stp>
        <stp>Price</stp>
        <tr r="V19" s="22"/>
        <tr r="V20" s="22"/>
        <tr r="V21" s="22"/>
        <tr r="V22" s="22"/>
        <tr r="V386" s="57"/>
        <tr r="V16" s="28"/>
      </tp>
      <tp>
        <v>382.5</v>
        <stp/>
        <stp>6533</stp>
        <stp>Price</stp>
        <tr r="V660" s="57"/>
      </tp>
      <tp>
        <v>37.700000000000003</v>
        <stp/>
        <stp>6593</stp>
        <stp>Price</stp>
        <tr r="V1293" s="57"/>
        <tr r="V1294" s="57"/>
      </tp>
      <tp>
        <v>247.5</v>
        <stp/>
        <stp>6803</stp>
        <stp>Price</stp>
        <tr r="V1356" s="57"/>
      </tp>
      <tp>
        <v>23.25</v>
        <stp/>
        <stp>4303</stp>
        <stp>Price</stp>
        <tr r="V62" s="57"/>
      </tp>
      <tp>
        <v>25.05</v>
        <stp/>
        <stp>4153</stp>
        <stp>Price</stp>
        <tr r="V345" s="57"/>
      </tp>
      <tp>
        <v>82.4</v>
        <stp/>
        <stp>4163</stp>
        <stp>Price</stp>
        <tr r="V76" s="22"/>
        <tr r="V77" s="22"/>
        <tr r="V352" s="57"/>
        <tr r="V25" s="28"/>
      </tp>
      <tp>
        <v>17.7</v>
        <stp/>
        <stp>4173</stp>
        <stp>Price</stp>
        <tr r="V356" s="57"/>
      </tp>
      <tp>
        <v>14.1</v>
        <stp/>
        <stp>4113</stp>
        <stp>Price</stp>
        <tr r="V1475" s="57"/>
      </tp>
      <tp>
        <v>62.9</v>
        <stp/>
        <stp>4123</stp>
        <stp>Price</stp>
        <tr r="V330" s="57"/>
      </tp>
      <tp>
        <v>78.099999999999994</v>
        <stp/>
        <stp>4133</stp>
        <stp>Price</stp>
        <tr r="V337" s="57"/>
      </tp>
      <tp>
        <v>18.2</v>
        <stp/>
        <stp>4183</stp>
        <stp>Price</stp>
        <tr r="V359" s="57"/>
      </tp>
      <tp>
        <v>200.5</v>
        <stp/>
        <stp>4743</stp>
        <stp>Price</stp>
        <tr r="V369" s="57"/>
        <tr r="V41" s="118"/>
      </tp>
      <tp>
        <v>99.4</v>
        <stp/>
        <stp>4763</stp>
        <stp>Price</stp>
        <tr r="V278" s="57"/>
      </tp>
      <tp>
        <v>12.3</v>
        <stp/>
        <stp>4413</stp>
        <stp>Price</stp>
        <tr r="V114" s="57"/>
      </tp>
      <tp>
        <v>30.1</v>
        <stp/>
        <stp>4433</stp>
        <stp>Price</stp>
        <tr r="V122" s="57"/>
      </tp>
      <tp>
        <v>18.100000000000001</v>
        <stp/>
        <stp>4543</stp>
        <stp>Price</stp>
        <tr r="V191" s="57"/>
      </tp>
      <tp>
        <v>30.05</v>
        <stp/>
        <stp>4563</stp>
        <stp>Price</stp>
        <tr r="V200" s="57"/>
      </tp>
      <tp>
        <v>23.55</v>
        <stp/>
        <stp>4503</stp>
        <stp>Price</stp>
        <tr r="V176" s="57"/>
      </tp>
      <tp>
        <v>21.4</v>
        <stp/>
        <stp>4513</stp>
        <stp>Price</stp>
        <tr r="V179" s="57"/>
      </tp>
      <tp>
        <v>27.2</v>
        <stp/>
        <stp>4523</stp>
        <stp>Price</stp>
        <tr r="V180" s="57"/>
      </tp>
      <tp>
        <v>11.7</v>
        <stp/>
        <stp>4533</stp>
        <stp>Price</stp>
        <tr r="V186" s="57"/>
      </tp>
      <tp>
        <v>24.7</v>
        <stp/>
        <stp>4943</stp>
        <stp>Price</stp>
        <tr r="V1127" s="57"/>
      </tp>
      <tp>
        <v>96</v>
        <stp/>
        <stp>4953</stp>
        <stp>Price</stp>
        <tr r="V1271" s="57"/>
      </tp>
      <tp>
        <v>23.4</v>
        <stp/>
        <stp>4973</stp>
        <stp>Price</stp>
        <tr r="V608" s="57"/>
      </tp>
      <tp>
        <v>10.5</v>
        <stp/>
        <stp>4903</stp>
        <stp>Price</stp>
        <tr r="V970" s="57"/>
      </tp>
      <tp>
        <v>72.599999999999994</v>
        <stp/>
        <stp>4923</stp>
        <stp>Price</stp>
        <tr r="V600" s="57"/>
      </tp>
      <tp>
        <v>38.450000000000003</v>
        <stp/>
        <stp>4933</stp>
        <stp>Price</stp>
        <tr r="V866" s="57"/>
      </tp>
      <tp>
        <v>59.8</v>
        <stp/>
        <stp>5243</stp>
        <stp>Price</stp>
        <tr r="V879" s="57"/>
      </tp>
      <tp>
        <v>116</v>
        <stp/>
        <stp>5263</stp>
        <stp>Price</stp>
        <tr r="V1780" s="57"/>
      </tp>
      <tp>
        <v>91.1</v>
        <stp/>
        <stp>5203</stp>
        <stp>Price</stp>
        <tr r="V1275" s="57"/>
      </tp>
      <tp>
        <v>24</v>
        <stp/>
        <stp>5213</stp>
        <stp>Price</stp>
        <tr r="V1479" s="57"/>
      </tp>
      <tp>
        <v>51.9</v>
        <stp/>
        <stp>5223</stp>
        <stp>Price</stp>
        <tr r="V53" s="22"/>
        <tr r="V54" s="22"/>
        <tr r="V55" s="22"/>
        <tr r="V52" s="22"/>
        <tr r="V764" s="57"/>
        <tr r="V23" s="28"/>
      </tp>
      <tp>
        <v>116</v>
        <stp/>
        <stp>5283</stp>
        <stp>Price</stp>
        <tr r="V240" s="57"/>
      </tp>
      <tp>
        <v>19.399999999999999</v>
        <stp/>
        <stp>5353</stp>
        <stp>Price</stp>
        <tr r="V978" s="57"/>
      </tp>
      <tp>
        <v>36.65</v>
        <stp/>
        <stp>5383</stp>
        <stp>Price</stp>
        <tr r="V1734" s="57"/>
      </tp>
      <tp>
        <v>37.950000000000003</v>
        <stp/>
        <stp>5013</stp>
        <stp>Price</stp>
        <tr r="V466" s="57"/>
      </tp>
      <tp>
        <v>56.5</v>
        <stp/>
        <stp>5603</stp>
        <stp>Price</stp>
        <tr r="V1533" s="57"/>
      </tp>
      <tp t="s">
        <v>無資料</v>
        <stp/>
        <stp>5703</stp>
        <stp>Price</stp>
        <tr r="V1578" s="57"/>
      </tp>
      <tp>
        <v>31.75</v>
        <stp/>
        <stp>5443</stp>
        <stp>Price</stp>
        <tr r="V888" s="57"/>
      </tp>
      <tp>
        <v>72.900000000000006</v>
        <stp/>
        <stp>5403</stp>
        <stp>Price</stp>
        <tr r="V1281" s="57"/>
      </tp>
      <tp>
        <v>161.5</v>
        <stp/>
        <stp>5483</stp>
        <stp>Price</stp>
        <tr r="V625" s="57"/>
        <tr r="V38" s="118"/>
      </tp>
      <tp>
        <v>55</v>
        <stp/>
        <stp>5493</stp>
        <stp>Price</stp>
        <tr r="V1737" s="57"/>
      </tp>
      <tp>
        <v>58.2</v>
        <stp/>
        <stp>5543</stp>
        <stp>Price</stp>
        <tr r="V1497" s="57"/>
      </tp>
      <tp>
        <v>24.65</v>
        <stp/>
        <stp>5523</stp>
        <stp>Price</stp>
        <tr r="V1491" s="57"/>
      </tp>
      <tp>
        <v>19.7</v>
        <stp/>
        <stp>5533</stp>
        <stp>Price</stp>
        <tr r="V1495" s="57"/>
      </tp>
      <tp>
        <v>199</v>
        <stp/>
        <stp>5903</stp>
        <stp>Price</stp>
        <tr r="V1655" s="57"/>
      </tp>
      <tp>
        <v>48.4</v>
        <stp/>
        <stp>8213</stp>
        <stp>Price</stp>
        <tr r="V1218" s="57"/>
      </tp>
      <tp>
        <v>40.950000000000003</v>
        <stp/>
        <stp>8383</stp>
        <stp>Price</stp>
        <tr r="V1766" s="57"/>
      </tp>
      <tp>
        <v>24.8</v>
        <stp/>
        <stp>8043</stp>
        <stp>Price</stp>
        <tr r="V1205" s="57"/>
      </tp>
      <tp>
        <v>16.55</v>
        <stp/>
        <stp>8033</stp>
        <stp>Price</stp>
        <tr r="V1359" s="57"/>
      </tp>
      <tp>
        <v>178.5</v>
        <stp/>
        <stp>8083</stp>
        <stp>Price</stp>
        <tr r="V215" s="57"/>
      </tp>
      <tp>
        <v>8.0500000000000007</v>
        <stp/>
        <stp>8093</stp>
        <stp>Price</stp>
        <tr r="V1211" s="57"/>
      </tp>
      <tp>
        <v>48.9</v>
        <stp/>
        <stp>8163</stp>
        <stp>Price</stp>
        <tr r="V800" s="57"/>
      </tp>
      <tp>
        <v>43.25</v>
        <stp/>
        <stp>8103</stp>
        <stp>Price</stp>
        <tr r="V1212" s="57"/>
      </tp>
      <tp>
        <v>75.5</v>
        <stp/>
        <stp>8183</stp>
        <stp>Price</stp>
        <tr r="V1764" s="57"/>
      </tp>
      <tp>
        <v>11.6</v>
        <stp/>
        <stp>8443</stp>
        <stp>Price</stp>
        <tr r="V1665" s="57"/>
      </tp>
      <tp>
        <v>27.85</v>
        <stp/>
        <stp>8463</stp>
        <stp>Price</stp>
        <tr r="V1378" s="57"/>
      </tp>
      <tp>
        <v>32</v>
        <stp/>
        <stp>8473</stp>
        <stp>Price</stp>
        <tr r="V1382" s="57"/>
      </tp>
      <tp>
        <v>29.1</v>
        <stp/>
        <stp>8403</stp>
        <stp>Price</stp>
        <tr r="V409" s="57"/>
      </tp>
      <tp>
        <v>18.25</v>
        <stp/>
        <stp>8423</stp>
        <stp>Price</stp>
        <tr r="V1370" s="57"/>
      </tp>
      <tp>
        <v>44.65</v>
        <stp/>
        <stp>8433</stp>
        <stp>Price</stp>
        <tr r="V1664" s="57"/>
      </tp>
      <tp>
        <v>20.55</v>
        <stp/>
        <stp>8923</stp>
        <stp>Price</stp>
        <tr r="V1794" s="57"/>
      </tp>
      <tp>
        <v>12.6</v>
        <stp/>
        <stp>8933</stp>
        <stp>Price</stp>
        <tr r="V1398" s="57"/>
      </tp>
      <tp>
        <v>55.6</v>
        <stp/>
        <stp>9943</stp>
        <stp>Price</stp>
        <tr r="V1584" s="57"/>
      </tp>
      <tp>
        <v>46.55</v>
        <stp/>
        <stp>9933</stp>
        <stp>Price</stp>
        <tr r="V1421" s="57"/>
      </tp>
      <tp>
        <v>14497.6</v>
        <stp/>
        <stp>$TWMC</stp>
        <stp>Price</stp>
        <tr r="T3" s="85"/>
      </tp>
      <tp>
        <v>89.3</v>
        <stp/>
        <stp>2250</stp>
        <stp>Price</stp>
        <tr r="V518" s="57"/>
      </tp>
      <tp>
        <v>16.45</v>
        <stp/>
        <stp>2230</stp>
        <stp>Price</stp>
        <tr r="V165" s="57"/>
      </tp>
      <tp>
        <v>47</v>
        <stp/>
        <stp>2340</stp>
        <stp>Price</stp>
        <tr r="V808" s="57"/>
      </tp>
      <tp>
        <v>169.5</v>
        <stp/>
        <stp>2360</stp>
        <stp>Price</stp>
        <tr r="V1690" s="57"/>
      </tp>
      <tp>
        <v>573</v>
        <stp/>
        <stp>2330</stp>
        <stp>Price</stp>
        <tr r="V531" s="57"/>
        <tr r="V2" s="118"/>
      </tp>
      <tp>
        <v>11.55</v>
        <stp/>
        <stp>2380</stp>
        <stp>Price</stp>
        <tr r="V711" s="57"/>
      </tp>
      <tp>
        <v>20.85</v>
        <stp/>
        <stp>2390</stp>
        <stp>Price</stp>
        <tr r="V1692" s="57"/>
      </tp>
      <tp>
        <v>34.200000000000003</v>
        <stp/>
        <stp>2070</stp>
        <stp>Price</stp>
        <tr r="V164" s="57"/>
      </tp>
      <tp>
        <v>25.4</v>
        <stp/>
        <stp>2010</stp>
        <stp>Price</stp>
        <tr r="V436" s="57"/>
      </tp>
      <tp>
        <v>32.799999999999997</v>
        <stp/>
        <stp>2020</stp>
        <stp>Price</stp>
        <tr r="V442" s="57"/>
      </tp>
      <tp>
        <v>40</v>
        <stp/>
        <stp>2030</stp>
        <stp>Price</stp>
        <tr r="V450" s="57"/>
      </tp>
      <tp>
        <v>81.5</v>
        <stp/>
        <stp>2640</stp>
        <stp>Price</stp>
        <tr r="V1318" s="57"/>
      </tp>
      <tp>
        <v>28.85</v>
        <stp/>
        <stp>2610</stp>
        <stp>Price</stp>
        <tr r="V1517" s="57"/>
      </tp>
      <tp>
        <v>19.149999999999999</v>
        <stp/>
        <stp>2630</stp>
        <stp>Price</stp>
        <tr r="V1524" s="57"/>
      </tp>
      <tp t="s">
        <v>無資料</v>
        <stp/>
        <stp>2740</stp>
        <stp>Price</stp>
        <tr r="V1563" s="57"/>
      </tp>
      <tp>
        <v>14.1</v>
        <stp/>
        <stp>2440</stp>
        <stp>Price</stp>
        <tr r="V1043" s="57"/>
      </tp>
      <tp>
        <v>34.549999999999997</v>
        <stp/>
        <stp>2450</stp>
        <stp>Price</stp>
        <tr r="V936" s="57"/>
      </tp>
      <tp>
        <v>24.5</v>
        <stp/>
        <stp>2460</stp>
        <stp>Price</stp>
        <tr r="V1045" s="57"/>
      </tp>
      <tp>
        <v>43.3</v>
        <stp/>
        <stp>2420</stp>
        <stp>Price</stp>
        <tr r="V1038" s="57"/>
      </tp>
      <tp>
        <v>40.1</v>
        <stp/>
        <stp>2430</stp>
        <stp>Price</stp>
        <tr r="V1227" s="57"/>
      </tp>
      <tp>
        <v>91</v>
        <stp/>
        <stp>2480</stp>
        <stp>Price</stp>
        <tr r="V1267" s="57"/>
      </tp>
      <tp>
        <v>125</v>
        <stp/>
        <stp>2540</stp>
        <stp>Price</stp>
        <tr r="V1458" s="57"/>
      </tp>
      <tp>
        <v>34.950000000000003</v>
        <stp/>
        <stp>2520</stp>
        <stp>Price</stp>
        <tr r="V1447" s="57"/>
      </tp>
      <tp>
        <v>14.7</v>
        <stp/>
        <stp>2530</stp>
        <stp>Price</stp>
        <tr r="V1451" s="57"/>
      </tp>
      <tp>
        <v>55.6</v>
        <stp/>
        <stp>2850</stp>
        <stp>Price</stp>
        <tr r="V1598" s="57"/>
      </tp>
      <tp>
        <v>17.45</v>
        <stp/>
        <stp>2820</stp>
        <stp>Price</stp>
        <tr r="V1591" s="57"/>
      </tp>
      <tp>
        <v>24.4</v>
        <stp/>
        <stp>2880</stp>
        <stp>Price</stp>
        <tr r="V1603" s="57"/>
        <tr r="V21" s="118"/>
      </tp>
      <tp>
        <v>18.5</v>
        <stp/>
        <stp>2890</stp>
        <stp>Price</stp>
        <tr r="V1613" s="57"/>
      </tp>
      <tp>
        <v>31</v>
        <stp/>
        <stp>2910</stp>
        <stp>Price</stp>
        <tr r="V1640" s="57"/>
      </tp>
      <tp>
        <v>74.5</v>
        <stp/>
        <stp>3260</stp>
        <stp>Price</stp>
        <tr r="V46" s="74"/>
        <tr r="V570" s="57"/>
        <tr r="V45" s="74"/>
      </tp>
      <tp>
        <v>18.45</v>
        <stp/>
        <stp>3230</stp>
        <stp>Price</stp>
        <tr r="V832" s="57"/>
      </tp>
      <tp>
        <v>21.5</v>
        <stp/>
        <stp>3290</stp>
        <stp>Price</stp>
        <tr r="V1080" s="57"/>
      </tp>
      <tp>
        <v>17.95</v>
        <stp/>
        <stp>3360</stp>
        <stp>Price</stp>
        <tr r="V1239" s="57"/>
      </tp>
      <tp>
        <v>40.299999999999997</v>
        <stp/>
        <stp>3310</stp>
        <stp>Price</stp>
        <tr r="V1084" s="57"/>
      </tp>
      <tp>
        <v>29.75</v>
        <stp/>
        <stp>3380</stp>
        <stp>Price</stp>
        <tr r="V955" s="57"/>
      </tp>
      <tp>
        <v>18.45</v>
        <stp/>
        <stp>3390</stp>
        <stp>Price</stp>
        <tr r="V1094" s="57"/>
      </tp>
      <tp>
        <v>36.5</v>
        <stp/>
        <stp>3040</stp>
        <stp>Price</stp>
        <tr r="V1320" s="57"/>
      </tp>
      <tp>
        <v>18.399999999999999</v>
        <stp/>
        <stp>3050</stp>
        <stp>Price</stp>
        <tr r="V826" s="57"/>
      </tp>
      <tp>
        <v>21.8</v>
        <stp/>
        <stp>3060</stp>
        <stp>Price</stp>
        <tr r="V730" s="57"/>
      </tp>
      <tp>
        <v>107.5</v>
        <stp/>
        <stp>3010</stp>
        <stp>Price</stp>
        <tr r="V1229" s="57"/>
      </tp>
      <tp>
        <v>72.3</v>
        <stp/>
        <stp>3030</stp>
        <stp>Price</stp>
        <tr r="V1704" s="57"/>
      </tp>
      <tp>
        <v>54.2</v>
        <stp/>
        <stp>3090</stp>
        <stp>Price</stp>
        <tr r="V1067" s="57"/>
      </tp>
      <tp>
        <v>194</v>
        <stp/>
        <stp>3130</stp>
        <stp>Price</stp>
        <tr r="V1269" s="57"/>
      </tp>
      <tp>
        <v>35.549999999999997</v>
        <stp/>
        <stp>3630</stp>
        <stp>Price</stp>
        <tr r="V857" s="57"/>
      </tp>
      <tp>
        <v>220.5</v>
        <stp/>
        <stp>3680</stp>
        <stp>Price</stp>
        <tr r="V595" s="57"/>
      </tp>
      <tp>
        <v>12.3</v>
        <stp/>
        <stp>3710</stp>
        <stp>Price</stp>
        <tr r="V1120" s="57"/>
      </tp>
      <tp>
        <v>45.7</v>
        <stp/>
        <stp>3450</stp>
        <stp>Price</stp>
        <tr r="V1716" s="57"/>
      </tp>
      <tp>
        <v>30.5</v>
        <stp/>
        <stp>3490</stp>
        <stp>Price</stp>
        <tr r="V845" s="57"/>
      </tp>
      <tp>
        <v>34.9</v>
        <stp/>
        <stp>3540</stp>
        <stp>Price</stp>
        <tr r="V747" s="57"/>
      </tp>
      <tp>
        <v>16.5</v>
        <stp/>
        <stp>3550</stp>
        <stp>Price</stp>
        <tr r="V1107" s="57"/>
      </tp>
      <tp>
        <v>88.3</v>
        <stp/>
        <stp>3570</stp>
        <stp>Price</stp>
        <tr r="V1270" s="57"/>
      </tp>
      <tp>
        <v>14.7</v>
        <stp/>
        <stp>3520</stp>
        <stp>Price</stp>
        <tr r="V1102" s="57"/>
      </tp>
      <tp>
        <v>120.5</v>
        <stp/>
        <stp>3530</stp>
        <stp>Price</stp>
        <tr r="V582" s="57"/>
      </tp>
      <tp>
        <v>70.400000000000006</v>
        <stp/>
        <stp>3580</stp>
        <stp>Price</stp>
        <tr r="V1723" s="57"/>
      </tp>
      <tp>
        <v>134.55000000000001</v>
        <stp/>
        <stp>0050</stp>
        <stp>Price</stp>
        <tr r="V10" s="28"/>
        <tr r="V1" s="57"/>
      </tp>
      <tp>
        <v>52.2</v>
        <stp/>
        <stp>1240</stp>
        <stp>Price</stp>
        <tr r="V1810" s="57"/>
      </tp>
      <tp>
        <v>54.9</v>
        <stp/>
        <stp>1210</stp>
        <stp>Price</stp>
        <tr r="V15" s="57"/>
      </tp>
      <tp>
        <v>17.899999999999999</v>
        <stp/>
        <stp>1220</stp>
        <stp>Price</stp>
        <tr r="V22" s="57"/>
      </tp>
      <tp>
        <v>10.45</v>
        <stp/>
        <stp>1340</stp>
        <stp>Price</stp>
        <tr r="V60" s="57"/>
      </tp>
      <tp>
        <v>16.95</v>
        <stp/>
        <stp>1310</stp>
        <stp>Price</stp>
        <tr r="V49" s="57"/>
      </tp>
      <tp>
        <v>20.3</v>
        <stp/>
        <stp>1110</stp>
        <stp>Price</stp>
        <tr r="V10" s="57"/>
      </tp>
      <tp>
        <v>124</v>
        <stp/>
        <stp>1760</stp>
        <stp>Price</stp>
        <tr r="V299" s="57"/>
      </tp>
      <tp>
        <v>21.5</v>
        <stp/>
        <stp>1710</stp>
        <stp>Price</stp>
        <tr r="V245" s="57"/>
      </tp>
      <tp>
        <v>42.5</v>
        <stp/>
        <stp>1720</stp>
        <stp>Price</stp>
        <tr r="V293" s="57"/>
      </tp>
      <tp>
        <v>61.6</v>
        <stp/>
        <stp>1730</stp>
        <stp>Price</stp>
        <tr r="V258" s="57"/>
      </tp>
      <tp>
        <v>23.1</v>
        <stp/>
        <stp>1440</stp>
        <stp>Price</stp>
        <tr r="V81" s="57"/>
      </tp>
      <tp>
        <v>8.86</v>
        <stp/>
        <stp>1460</stp>
        <stp>Price</stp>
        <tr r="V97" s="57"/>
      </tp>
      <tp>
        <v>22.2</v>
        <stp/>
        <stp>1470</stp>
        <stp>Price</stp>
        <tr r="V104" s="57"/>
      </tp>
      <tp>
        <v>36.9</v>
        <stp/>
        <stp>1410</stp>
        <stp>Price</stp>
        <tr r="V72" s="57"/>
      </tp>
      <tp>
        <v>14.9</v>
        <stp/>
        <stp>1540</stp>
        <stp>Price</stp>
        <tr r="V148" s="57"/>
      </tp>
      <tp>
        <v>136.5</v>
        <stp/>
        <stp>1560</stp>
        <stp>Price</stp>
        <tr r="V151" s="57"/>
      </tp>
      <tp>
        <v>19.25</v>
        <stp/>
        <stp>1570</stp>
        <stp>Price</stp>
        <tr r="V152" s="57"/>
      </tp>
      <tp>
        <v>31.2</v>
        <stp/>
        <stp>1530</stp>
        <stp>Price</stp>
        <tr r="V141" s="57"/>
      </tp>
      <tp>
        <v>104</v>
        <stp/>
        <stp>1580</stp>
        <stp>Price</stp>
        <tr r="V153" s="57"/>
      </tp>
      <tp>
        <v>921</v>
        <stp/>
        <stp>1590</stp>
        <stp>Price</stp>
        <tr r="V157" s="57"/>
      </tp>
      <tp>
        <v>15.05</v>
        <stp/>
        <stp>1810</stp>
        <stp>Price</stp>
        <tr r="V419" s="57"/>
      </tp>
      <tp>
        <v>26.65</v>
        <stp/>
        <stp>6240</stp>
        <stp>Price</stp>
        <tr r="V1290" s="57"/>
      </tp>
      <tp>
        <v>25.4</v>
        <stp/>
        <stp>6270</stp>
        <stp>Price</stp>
        <tr r="V1250" s="57"/>
      </tp>
      <tp>
        <v>41.9</v>
        <stp/>
        <stp>6210</stp>
        <stp>Price</stp>
        <tr r="V1175" s="57"/>
      </tp>
      <tp>
        <v>20.55</v>
        <stp/>
        <stp>6220</stp>
        <stp>Price</stp>
        <tr r="V1178" s="57"/>
      </tp>
      <tp>
        <v>97.3</v>
        <stp/>
        <stp>6230</stp>
        <stp>Price</stp>
        <tr r="V785" s="57"/>
      </tp>
      <tp>
        <v>50.8</v>
        <stp/>
        <stp>6290</stp>
        <stp>Price</stp>
        <tr r="V1188" s="57"/>
      </tp>
      <tp>
        <v>21.15</v>
        <stp/>
        <stp>6020</stp>
        <stp>Price</stp>
        <tr r="V1625" s="57"/>
      </tp>
      <tp>
        <v>16.850000000000001</v>
        <stp/>
        <stp>6140</stp>
        <stp>Price</stp>
        <tr r="V1284" s="57"/>
      </tp>
      <tp>
        <v>125</v>
        <stp/>
        <stp>6150</stp>
        <stp>Price</stp>
        <tr r="V778" s="57"/>
      </tp>
      <tp>
        <v>15.7</v>
        <stp/>
        <stp>6160</stp>
        <stp>Price</stp>
        <tr r="V779" s="57"/>
      </tp>
      <tp>
        <v>31</v>
        <stp/>
        <stp>6170</stp>
        <stp>Price</stp>
        <tr r="V986" s="57"/>
      </tp>
      <tp>
        <v>11.15</v>
        <stp/>
        <stp>6120</stp>
        <stp>Price</stp>
        <tr r="V891" s="57"/>
      </tp>
      <tp>
        <v>50</v>
        <stp/>
        <stp>6130</stp>
        <stp>Price</stp>
        <tr r="V376" s="57"/>
      </tp>
      <tp>
        <v>66.2</v>
        <stp/>
        <stp>6180</stp>
        <stp>Price</stp>
        <tr r="V1786" s="57"/>
      </tp>
      <tp>
        <v>40.25</v>
        <stp/>
        <stp>6190</stp>
        <stp>Price</stp>
        <tr r="V987" s="57"/>
      </tp>
      <tp>
        <v>100.5</v>
        <stp/>
        <stp>6640</stp>
        <stp>Price</stp>
        <tr r="V666" s="57"/>
      </tp>
      <tp>
        <v>213</v>
        <stp/>
        <stp>6670</stp>
        <stp>Price</stp>
        <tr r="V1351" s="57"/>
      </tp>
      <tp>
        <v>49.5</v>
        <stp/>
        <stp>6680</stp>
        <stp>Price</stp>
        <tr r="V796" s="57"/>
      </tp>
      <tp>
        <v>122.5</v>
        <stp/>
        <stp>6690</stp>
        <stp>Price</stp>
        <tr r="V1295" s="57"/>
      </tp>
      <tp>
        <v>52</v>
        <stp/>
        <stp>6770</stp>
        <stp>Price</stp>
        <tr r="V677" s="57"/>
      </tp>
      <tp>
        <v>47.75</v>
        <stp/>
        <stp>6790</stp>
        <stp>Price</stp>
        <tr r="V1355" s="57"/>
      </tp>
      <tp>
        <v>48.6</v>
        <stp/>
        <stp>6470</stp>
        <stp>Price</stp>
        <tr r="V998" s="57"/>
      </tp>
      <tp>
        <v>71.5</v>
        <stp/>
        <stp>6560</stp>
        <stp>Price</stp>
        <tr r="V913" s="57"/>
      </tp>
      <tp>
        <v>42</v>
        <stp/>
        <stp>6570</stp>
        <stp>Price</stp>
        <tr r="V791" s="57"/>
      </tp>
      <tp>
        <v>546</v>
        <stp/>
        <stp>6510</stp>
        <stp>Price</stp>
        <tr r="V655" s="57"/>
      </tp>
      <tp>
        <v>21.1</v>
        <stp/>
        <stp>6530</stp>
        <stp>Price</stp>
        <tr r="V1001" s="57"/>
      </tp>
      <tp>
        <v>24.7</v>
        <stp/>
        <stp>4160</stp>
        <stp>Price</stp>
        <tr r="V349" s="57"/>
      </tp>
      <tp>
        <v>37.200000000000003</v>
        <stp/>
        <stp>4120</stp>
        <stp>Price</stp>
        <tr r="V328" s="57"/>
      </tp>
      <tp>
        <v>25.15</v>
        <stp/>
        <stp>4130</stp>
        <stp>Price</stp>
        <tr r="V104" s="22"/>
        <tr r="V105" s="22"/>
        <tr r="V106" s="22"/>
        <tr r="V335" s="57"/>
        <tr r="V32" s="28"/>
      </tp>
      <tp>
        <v>71.099999999999994</v>
        <stp/>
        <stp>4190</stp>
        <stp>Price</stp>
        <tr r="V35" s="74"/>
        <tr r="V18" s="74"/>
        <tr r="V10" s="114"/>
        <tr r="V361" s="57"/>
      </tp>
      <tp>
        <v>77</v>
        <stp/>
        <stp>4760</stp>
        <stp>Price</stp>
        <tr r="V1731" s="57"/>
      </tp>
      <tp>
        <v>267</v>
        <stp/>
        <stp>4770</stp>
        <stp>Price</stp>
        <tr r="V283" s="57"/>
      </tp>
      <tp>
        <v>15.5</v>
        <stp/>
        <stp>4720</stp>
        <stp>Price</stp>
        <tr r="V271" s="57"/>
      </tp>
      <tp>
        <v>49.4</v>
        <stp/>
        <stp>4440</stp>
        <stp>Price</stp>
        <tr r="V125" s="57"/>
      </tp>
      <tp>
        <v>34</v>
        <stp/>
        <stp>4420</stp>
        <stp>Price</stp>
        <tr r="V118" s="57"/>
      </tp>
      <tp>
        <v>23.4</v>
        <stp/>
        <stp>4430</stp>
        <stp>Price</stp>
        <tr r="V1323" s="57"/>
      </tp>
      <tp>
        <v>44</v>
        <stp/>
        <stp>4540</stp>
        <stp>Price</stp>
        <tr r="V190" s="57"/>
      </tp>
      <tp>
        <v>22.85</v>
        <stp/>
        <stp>4550</stp>
        <stp>Price</stp>
        <tr r="V189" s="57"/>
        <tr r="V193" s="57"/>
      </tp>
      <tp>
        <v>42.8</v>
        <stp/>
        <stp>4560</stp>
        <stp>Price</stp>
        <tr r="V197" s="57"/>
      </tp>
      <tp>
        <v>11.65</v>
        <stp/>
        <stp>4510</stp>
        <stp>Price</stp>
        <tr r="V178" s="57"/>
      </tp>
      <tp>
        <v>8.8699999999999992</v>
        <stp/>
        <stp>4530</stp>
        <stp>Price</stp>
        <tr r="V184" s="57"/>
      </tp>
      <tp>
        <v>88.8</v>
        <stp/>
        <stp>4580</stp>
        <stp>Price</stp>
        <tr r="V57" s="28"/>
        <tr r="V207" s="57"/>
      </tp>
      <tp>
        <v>26.8</v>
        <stp/>
        <stp>4950</stp>
        <stp>Price</stp>
        <tr r="V1328" s="57"/>
      </tp>
      <tp>
        <v>12.25</v>
        <stp/>
        <stp>4960</stp>
        <stp>Price</stp>
        <tr r="V872" s="57"/>
      </tp>
      <tp>
        <v>29.4</v>
        <stp/>
        <stp>4930</stp>
        <stp>Price</stp>
        <tr r="V239" s="57"/>
      </tp>
      <tp>
        <v>25.4</v>
        <stp/>
        <stp>5210</stp>
        <stp>Price</stp>
        <tr r="V1277" s="57"/>
      </tp>
      <tp>
        <v>36</v>
        <stp/>
        <stp>5220</stp>
        <stp>Price</stp>
        <tr r="V876" s="57"/>
      </tp>
      <tp>
        <v>27.85</v>
        <stp/>
        <stp>5230</stp>
        <stp>Price</stp>
        <tr r="V877" s="57"/>
      </tp>
      <tp>
        <v>29.7</v>
        <stp/>
        <stp>5340</stp>
        <stp>Price</stp>
        <tr r="V1137" s="57"/>
      </tp>
      <tp>
        <v>31.2</v>
        <stp/>
        <stp>5310</stp>
        <stp>Price</stp>
        <tr r="V1280" s="57"/>
      </tp>
      <tp>
        <v>18.850000000000001</v>
        <stp/>
        <stp>5450</stp>
        <stp>Price</stp>
        <tr r="V1333" s="57"/>
      </tp>
      <tp>
        <v>11.8</v>
        <stp/>
        <stp>5460</stp>
        <stp>Price</stp>
        <tr r="V1143" s="57"/>
      </tp>
      <tp>
        <v>25.75</v>
        <stp/>
        <stp>5410</stp>
        <stp>Price</stp>
        <tr r="V1282" s="57"/>
      </tp>
      <tp>
        <v>26.15</v>
        <stp/>
        <stp>5490</stp>
        <stp>Price</stp>
        <tr r="V773" s="57"/>
      </tp>
      <tp>
        <v>58.8</v>
        <stp/>
        <stp>5520</stp>
        <stp>Price</stp>
        <tr r="V1489" s="57"/>
      </tp>
      <tp>
        <v>47.25</v>
        <stp/>
        <stp>5530</stp>
        <stp>Price</stp>
        <tr r="V1335" s="57"/>
      </tp>
      <tp>
        <v>12.35</v>
        <stp/>
        <stp>5820</stp>
        <stp>Price</stp>
        <tr r="V1617" s="57"/>
      </tp>
      <tp>
        <v>29.55</v>
        <stp/>
        <stp>5880</stp>
        <stp>Price</stp>
        <tr r="V1621" s="57"/>
        <tr r="V18" s="118"/>
      </tp>
      <tp>
        <v>33.450000000000003</v>
        <stp/>
        <stp>8240</stp>
        <stp>Price</stp>
        <tr r="V925" s="57"/>
      </tp>
      <tp>
        <v>70.400000000000006</v>
        <stp/>
        <stp>8210</stp>
        <stp>Price</stp>
        <tr r="V801" s="57"/>
      </tp>
      <tp>
        <v>37.950000000000003</v>
        <stp/>
        <stp>8390</stp>
        <stp>Price</stp>
        <tr r="V1362" s="57"/>
      </tp>
      <tp>
        <v>57.5</v>
        <stp/>
        <stp>8040</stp>
        <stp>Price</stp>
        <tr r="V683" s="57"/>
      </tp>
      <tp>
        <v>48.2</v>
        <stp/>
        <stp>8050</stp>
        <stp>Price</stp>
        <tr r="V797" s="57"/>
      </tp>
      <tp>
        <v>35.85</v>
        <stp/>
        <stp>8070</stp>
        <stp>Price</stp>
        <tr r="V1256" s="57"/>
      </tp>
      <tp t="s">
        <v>商品錯誤</v>
        <stp/>
        <stp>8080</stp>
        <stp>Price</stp>
        <tr r="V1209" s="57"/>
      </tp>
      <tp>
        <v>48.35</v>
        <stp/>
        <stp>8150</stp>
        <stp>Price</stp>
        <tr r="V690" s="57"/>
      </tp>
      <tp>
        <v>15.7</v>
        <stp/>
        <stp>8110</stp>
        <stp>Price</stp>
        <tr r="V688" s="57"/>
      </tp>
      <tp>
        <v>80.3</v>
        <stp/>
        <stp>8440</stp>
        <stp>Price</stp>
        <tr r="V1375" s="57"/>
      </tp>
      <tp>
        <v>34.6</v>
        <stp/>
        <stp>8450</stp>
        <stp>Price</stp>
        <tr r="V1792" s="57"/>
      </tp>
      <tp>
        <v>31.85</v>
        <stp/>
        <stp>8410</stp>
        <stp>Price</stp>
        <tr r="V803" s="57"/>
      </tp>
      <tp>
        <v>42.3</v>
        <stp/>
        <stp>8420</stp>
        <stp>Price</stp>
        <tr r="V1367" s="57"/>
      </tp>
      <tp>
        <v>68.8</v>
        <stp/>
        <stp>8480</stp>
        <stp>Price</stp>
        <tr r="V1385" s="57"/>
      </tp>
      <tp>
        <v>13.55</v>
        <stp/>
        <stp>8940</stp>
        <stp>Price</stp>
        <tr r="V1583" s="57"/>
      </tp>
      <tp>
        <v>18.600000000000001</v>
        <stp/>
        <stp>8930</stp>
        <stp>Price</stp>
        <tr r="V474" s="57"/>
      </tp>
      <tp>
        <v>35.85</v>
        <stp/>
        <stp>9940</stp>
        <stp>Price</stp>
        <tr r="V1426" s="57"/>
      </tp>
      <tp>
        <v>11.65</v>
        <stp/>
        <stp>9950</stp>
        <stp>Price</stp>
        <tr r="V67" s="57"/>
      </tp>
      <tp>
        <v>25.6</v>
        <stp/>
        <stp>9960</stp>
        <stp>Price</stp>
        <tr r="V1668" s="57"/>
      </tp>
      <tp>
        <v>196.5</v>
        <stp/>
        <stp>9910</stp>
        <stp>Price</stp>
        <tr r="V1409" s="57"/>
      </tp>
      <tp>
        <v>48.75</v>
        <stp/>
        <stp>9930</stp>
        <stp>Price</stp>
        <tr r="V1420" s="57"/>
      </tp>
      <tp>
        <v>43.2</v>
        <stp/>
        <stp>2241</stp>
        <stp>Price</stp>
        <tr r="V167" s="57"/>
      </tp>
      <tp>
        <v>40.5</v>
        <stp/>
        <stp>2201</stp>
        <stp>Price</stp>
        <tr r="V506" s="57"/>
      </tp>
      <tp>
        <v>60.5</v>
        <stp/>
        <stp>2211</stp>
        <stp>Price</stp>
        <tr r="V461" s="57"/>
      </tp>
      <tp>
        <v>40.799999999999997</v>
        <stp/>
        <stp>2221</stp>
        <stp>Price</stp>
        <tr r="V1312" s="57"/>
      </tp>
      <tp>
        <v>148.5</v>
        <stp/>
        <stp>2231</stp>
        <stp>Price</stp>
        <tr r="V512" s="57"/>
      </tp>
      <tp>
        <v>135</v>
        <stp/>
        <stp>2351</stp>
        <stp>Price</stp>
        <tr r="V536" s="57"/>
      </tp>
      <tp>
        <v>34.799999999999997</v>
        <stp/>
        <stp>2371</stp>
        <stp>Price</stp>
        <tr r="V168" s="57"/>
      </tp>
      <tp>
        <v>67.8</v>
        <stp/>
        <stp>2301</stp>
        <stp>Price</stp>
        <tr r="V698" s="57"/>
      </tp>
      <tp>
        <v>6.11</v>
        <stp/>
        <stp>2321</stp>
        <stp>Price</stp>
        <tr r="V929" s="57"/>
      </tp>
      <tp>
        <v>19.149999999999999</v>
        <stp/>
        <stp>2331</stp>
        <stp>Price</stp>
        <tr r="V701" s="57"/>
      </tp>
      <tp>
        <v>19.95</v>
        <stp/>
        <stp>2061</stp>
        <stp>Price</stp>
        <tr r="V237" s="57"/>
      </tp>
      <tp>
        <v>74.8</v>
        <stp/>
        <stp>2031</stp>
        <stp>Price</stp>
        <tr r="V451" s="57"/>
      </tp>
      <tp>
        <v>41.3</v>
        <stp/>
        <stp>2101</stp>
        <stp>Price</stp>
        <tr r="V479" s="57"/>
      </tp>
      <tp>
        <v>25.35</v>
        <stp/>
        <stp>2641</stp>
        <stp>Price</stp>
        <tr r="V1529" s="57"/>
      </tp>
      <tp>
        <v>11.05</v>
        <stp/>
        <stp>2601</stp>
        <stp>Price</stp>
        <tr r="V1633" s="57"/>
      </tp>
      <tp>
        <v>24.15</v>
        <stp/>
        <stp>2611</stp>
        <stp>Price</stp>
        <tr r="V1518" s="57"/>
      </tp>
      <tp>
        <v>12.2</v>
        <stp/>
        <stp>2701</stp>
        <stp>Price</stp>
        <tr r="V1543" s="57"/>
      </tp>
      <tp>
        <v>98.2</v>
        <stp/>
        <stp>2731</stp>
        <stp>Price</stp>
        <tr r="V1558" s="57"/>
      </tp>
      <tp>
        <v>70.7</v>
        <stp/>
        <stp>2441</stp>
        <stp>Price</stp>
        <tr r="V545" s="57"/>
      </tp>
      <tp>
        <v>73</v>
        <stp/>
        <stp>2451</stp>
        <stp>Price</stp>
        <tr r="V547" s="57"/>
      </tp>
      <tp>
        <v>22.05</v>
        <stp/>
        <stp>2461</stp>
        <stp>Price</stp>
        <tr r="V1696" s="57"/>
      </tp>
      <tp>
        <v>28.25</v>
        <stp/>
        <stp>2471</stp>
        <stp>Price</stp>
        <tr r="V1266" s="57"/>
      </tp>
      <tp>
        <v>35.4</v>
        <stp/>
        <stp>2401</stp>
        <stp>Price</stp>
        <tr r="V541" s="57"/>
      </tp>
      <tp>
        <v>38.85</v>
        <stp/>
        <stp>2421</stp>
        <stp>Price</stp>
        <tr r="V1039" s="57"/>
      </tp>
      <tp>
        <v>11.8</v>
        <stp/>
        <stp>2431</stp>
        <stp>Price</stp>
        <tr r="V1042" s="57"/>
      </tp>
      <tp>
        <v>90.8</v>
        <stp/>
        <stp>2481</stp>
        <stp>Price</stp>
        <tr r="V550" s="57"/>
      </tp>
      <tp>
        <v>18</v>
        <stp/>
        <stp>2491</stp>
        <stp>Price</stp>
        <tr r="V819" s="57"/>
      </tp>
      <tp>
        <v>18.75</v>
        <stp/>
        <stp>2501</stp>
        <stp>Price</stp>
        <tr r="V1440" s="57"/>
      </tp>
      <tp>
        <v>13.05</v>
        <stp/>
        <stp>2511</stp>
        <stp>Price</stp>
        <tr r="V1445" s="57"/>
      </tp>
      <tp t="s">
        <v>商品錯誤</v>
        <stp/>
        <stp>2841</stp>
        <stp>Price</stp>
        <tr r="V1467" s="57"/>
      </tp>
      <tp>
        <v>30.25</v>
        <stp/>
        <stp>2851</stp>
        <stp>Price</stp>
        <tr r="V1599" s="57"/>
      </tp>
      <tp>
        <v>18.850000000000001</v>
        <stp/>
        <stp>2801</stp>
        <stp>Price</stp>
        <tr r="V1587" s="57"/>
      </tp>
      <tp>
        <v>75.599999999999994</v>
        <stp/>
        <stp>2881</stp>
        <stp>Price</stp>
        <tr r="V1604" s="57"/>
        <tr r="V13" s="118"/>
      </tp>
      <tp>
        <v>29.45</v>
        <stp/>
        <stp>2891</stp>
        <stp>Price</stp>
        <tr r="V1614" s="57"/>
        <tr r="V15" s="118"/>
      </tp>
      <tp>
        <v>24.85</v>
        <stp/>
        <stp>2901</stp>
        <stp>Price</stp>
        <tr r="V1635" s="57"/>
      </tp>
      <tp>
        <v>7.5</v>
        <stp/>
        <stp>2911</stp>
        <stp>Price</stp>
        <tr r="V1641" s="57"/>
      </tp>
      <tp>
        <v>88</v>
        <stp/>
        <stp>3211</stp>
        <stp>Price</stp>
        <tr r="V5" s="74"/>
        <tr r="V733" s="57"/>
      </tp>
      <tp>
        <v>33.65</v>
        <stp/>
        <stp>3221</stp>
        <stp>Price</stp>
        <tr r="V950" s="57"/>
      </tp>
      <tp>
        <v>29.5</v>
        <stp/>
        <stp>3231</stp>
        <stp>Price</stp>
        <tr r="V735" s="57"/>
      </tp>
      <tp>
        <v>33.15</v>
        <stp/>
        <stp>3311</stp>
        <stp>Price</stp>
        <tr r="V953" s="57"/>
      </tp>
      <tp>
        <v>12.15</v>
        <stp/>
        <stp>3321</stp>
        <stp>Price</stp>
        <tr r="V1086" s="57"/>
      </tp>
      <tp>
        <v>30.95</v>
        <stp/>
        <stp>3041</stp>
        <stp>Price</stp>
        <tr r="V556" s="57"/>
      </tp>
      <tp>
        <v>24.55</v>
        <stp/>
        <stp>3051</stp>
        <stp>Price</stp>
        <tr r="V827" s="57"/>
      </tp>
      <tp>
        <v>25.7</v>
        <stp/>
        <stp>3071</stp>
        <stp>Price</stp>
        <tr r="V731" s="57"/>
      </tp>
      <tp>
        <v>20.6</v>
        <stp/>
        <stp>3011</stp>
        <stp>Price</stp>
        <tr r="V1056" s="57"/>
      </tp>
      <tp>
        <v>21.85</v>
        <stp/>
        <stp>3021</stp>
        <stp>Price</stp>
        <tr r="V1058" s="57"/>
      </tp>
      <tp>
        <v>20.399999999999999</v>
        <stp/>
        <stp>3031</stp>
        <stp>Price</stp>
        <tr r="V823" s="57"/>
      </tp>
      <tp>
        <v>165.5</v>
        <stp/>
        <stp>3081</stp>
        <stp>Price</stp>
        <tr r="V945" s="57"/>
      </tp>
      <tp>
        <v>165.5</v>
        <stp/>
        <stp>3141</stp>
        <stp>Price</stp>
        <tr r="V16" s="114"/>
        <tr r="V562" s="57"/>
      </tp>
      <tp>
        <v>21.4</v>
        <stp/>
        <stp>3171</stp>
        <stp>Price</stp>
        <tr r="V1652" s="57"/>
      </tp>
      <tp>
        <v>319.5</v>
        <stp/>
        <stp>3131</stp>
        <stp>Price</stp>
        <tr r="V1708" s="57"/>
      </tp>
      <tp>
        <v>10</v>
        <stp/>
        <stp>3191</stp>
        <stp>Price</stp>
        <tr r="V1071" s="57"/>
      </tp>
      <tp>
        <v>981</v>
        <stp/>
        <stp>3661</stp>
        <stp>Price</stp>
        <tr r="V593" s="57"/>
      </tp>
      <tp>
        <v>196</v>
        <stp/>
        <stp>3611</stp>
        <stp>Price</stp>
        <tr r="V750" s="57"/>
      </tp>
      <tp>
        <v>41.65</v>
        <stp/>
        <stp>3631</stp>
        <stp>Price</stp>
        <tr r="V1114" s="57"/>
      </tp>
      <tp>
        <v>170.5</v>
        <stp/>
        <stp>3691</stp>
        <stp>Price</stp>
        <tr r="V862" s="57"/>
      </tp>
      <tp>
        <v>65.5</v>
        <stp/>
        <stp>3701</stp>
        <stp>Price</stp>
        <tr r="V754" s="57"/>
      </tp>
      <tp>
        <v>99.5</v>
        <stp/>
        <stp>3711</stp>
        <stp>Price</stp>
        <tr r="V598" s="57"/>
        <tr r="V7" s="118"/>
      </tp>
      <tp>
        <v>32.75</v>
        <stp/>
        <stp>3441</stp>
        <stp>Price</stp>
        <tr r="V841" s="57"/>
      </tp>
      <tp>
        <v>15.9</v>
        <stp/>
        <stp>3481</stp>
        <stp>Price</stp>
        <tr r="V844" s="57"/>
      </tp>
      <tp>
        <v>182</v>
        <stp/>
        <stp>3491</stp>
        <stp>Price</stp>
        <tr r="V958" s="57"/>
      </tp>
      <tp>
        <v>70.7</v>
        <stp/>
        <stp>3541</stp>
        <stp>Price</stp>
        <tr r="V1720" s="57"/>
      </tp>
      <tp>
        <v>66.3</v>
        <stp/>
        <stp>3551</stp>
        <stp>Price</stp>
        <tr r="V1721" s="57"/>
      </tp>
      <tp>
        <v>44.85</v>
        <stp/>
        <stp>3501</stp>
        <stp>Price</stp>
        <tr r="V1099" s="57"/>
      </tp>
      <tp>
        <v>37.200000000000003</v>
        <stp/>
        <stp>3511</stp>
        <stp>Price</stp>
        <tr r="V1100" s="57"/>
      </tp>
      <tp>
        <v>13.75</v>
        <stp/>
        <stp>3521</stp>
        <stp>Price</stp>
        <tr r="V746" s="57"/>
      </tp>
      <tp t="s">
        <v>無資料</v>
        <stp/>
        <stp>3531</stp>
        <stp>Price</stp>
        <tr r="V848" s="57"/>
      </tp>
      <tp>
        <v>25.3</v>
        <stp/>
        <stp>3581</stp>
        <stp>Price</stp>
        <tr r="V589" s="57"/>
      </tp>
      <tp>
        <v>18.399999999999999</v>
        <stp/>
        <stp>3591</stp>
        <stp>Price</stp>
        <tr r="V853" s="57"/>
      </tp>
      <tp>
        <v>21.4</v>
        <stp/>
        <stp>1201</stp>
        <stp>Price</stp>
        <tr r="V13" s="57"/>
      </tp>
      <tp>
        <v>85</v>
        <stp/>
        <stp>1231</stp>
        <stp>Price</stp>
        <tr r="V26" s="57"/>
      </tp>
      <tp>
        <v>74.400000000000006</v>
        <stp/>
        <stp>1341</stp>
        <stp>Price</stp>
        <tr r="V61" s="57"/>
      </tp>
      <tp>
        <v>105.5</v>
        <stp/>
        <stp>1301</stp>
        <stp>Price</stp>
        <tr r="V42" s="57"/>
        <tr r="V10" s="118"/>
      </tp>
      <tp>
        <v>34.15</v>
        <stp/>
        <stp>1321</stp>
        <stp>Price</stp>
        <tr r="V54" s="57"/>
      </tp>
      <tp>
        <v>47.7</v>
        <stp/>
        <stp>1101</stp>
        <stp>Price</stp>
        <tr r="V4" s="57"/>
      </tp>
      <tp>
        <v>18.899999999999999</v>
        <stp/>
        <stp>1611</stp>
        <stp>Price</stp>
        <tr r="V229" s="57"/>
      </tp>
      <tp>
        <v>22.6</v>
        <stp/>
        <stp>1701</stp>
        <stp>Price</stp>
        <tr r="V291" s="57"/>
      </tp>
      <tp>
        <v>25</v>
        <stp/>
        <stp>1711</stp>
        <stp>Price</stp>
        <tr r="V246" s="57"/>
      </tp>
      <tp>
        <v>22.4</v>
        <stp/>
        <stp>1721</stp>
        <stp>Price</stp>
        <tr r="V252" s="57"/>
      </tp>
      <tp>
        <v>19.7</v>
        <stp/>
        <stp>1731</stp>
        <stp>Price</stp>
        <tr r="V294" s="57"/>
      </tp>
      <tp>
        <v>14.45</v>
        <stp/>
        <stp>1781</stp>
        <stp>Price</stp>
        <tr r="V302" s="57"/>
      </tp>
      <tp>
        <v>8.68</v>
        <stp/>
        <stp>1441</stp>
        <stp>Price</stp>
        <tr r="V82" s="57"/>
      </tp>
      <tp>
        <v>20.149999999999999</v>
        <stp/>
        <stp>1451</stp>
        <stp>Price</stp>
        <tr r="V89" s="57"/>
      </tp>
      <tp>
        <v>7.07</v>
        <stp/>
        <stp>1471</stp>
        <stp>Price</stp>
        <tr r="V1018" s="57"/>
      </tp>
      <tp>
        <v>43.3</v>
        <stp/>
        <stp>1541</stp>
        <stp>Price</stp>
        <tr r="V149" s="57"/>
      </tp>
      <tp>
        <v>37.4</v>
        <stp/>
        <stp>1521</stp>
        <stp>Price</stp>
        <tr r="V497" s="57"/>
      </tp>
      <tp>
        <v>15.25</v>
        <stp/>
        <stp>1531</stp>
        <stp>Price</stp>
        <tr r="V142" s="57"/>
      </tp>
      <tp>
        <v>21.8</v>
        <stp/>
        <stp>1591</stp>
        <stp>Price</stp>
        <tr r="V158" s="57"/>
      </tp>
      <tp>
        <v>37.700000000000003</v>
        <stp/>
        <stp>6241</stp>
        <stp>Price</stp>
        <tr r="V990" s="57"/>
      </tp>
      <tp>
        <v>24.75</v>
        <stp/>
        <stp>6251</stp>
        <stp>Price</stp>
        <tr r="V1180" s="57"/>
      </tp>
      <tp>
        <v>77.900000000000006</v>
        <stp/>
        <stp>6261</stp>
        <stp>Price</stp>
        <tr r="V642" s="57"/>
      </tp>
      <tp>
        <v>268</v>
        <stp/>
        <stp>6271</stp>
        <stp>Price</stp>
        <tr r="V643" s="57"/>
      </tp>
      <tp>
        <v>43.9</v>
        <stp/>
        <stp>6201</stp>
        <stp>Price</stp>
        <tr r="V1745" s="57"/>
      </tp>
      <tp>
        <v>48.7</v>
        <stp/>
        <stp>6221</stp>
        <stp>Price</stp>
        <tr r="V1288" s="57"/>
      </tp>
      <tp>
        <v>103</v>
        <stp/>
        <stp>6231</stp>
        <stp>Price</stp>
        <tr r="V1289" s="57"/>
      </tp>
      <tp>
        <v>85.6</v>
        <stp/>
        <stp>6281</stp>
        <stp>Price</stp>
        <tr r="V1251" s="57"/>
      </tp>
      <tp>
        <v>58.5</v>
        <stp/>
        <stp>6291</stp>
        <stp>Price</stp>
        <tr r="V645" s="57"/>
      </tp>
      <tp>
        <v>20.100000000000001</v>
        <stp/>
        <stp>6021</stp>
        <stp>Price</stp>
        <tr r="V1626" s="57"/>
      </tp>
      <tp>
        <v>27.6</v>
        <stp/>
        <stp>6141</stp>
        <stp>Price</stp>
        <tr r="V1157" s="57"/>
      </tp>
      <tp>
        <v>35.35</v>
        <stp/>
        <stp>6151</stp>
        <stp>Price</stp>
        <tr r="V1741" s="57"/>
      </tp>
      <tp>
        <v>35</v>
        <stp/>
        <stp>6161</stp>
        <stp>Price</stp>
        <tr r="V780" s="57"/>
      </tp>
      <tp>
        <v>29.9</v>
        <stp/>
        <stp>6171</stp>
        <stp>Price</stp>
        <tr r="V1499" s="57"/>
      </tp>
      <tp>
        <v>22.6</v>
        <stp/>
        <stp>6101</stp>
        <stp>Price</stp>
        <tr r="V1782" s="57"/>
      </tp>
      <tp>
        <v>91.5</v>
        <stp/>
        <stp>6111</stp>
        <stp>Price</stp>
        <tr r="V1783" s="57"/>
      </tp>
      <tp>
        <v>304</v>
        <stp/>
        <stp>6121</stp>
        <stp>Price</stp>
        <tr r="V23" s="74"/>
        <tr r="V775" s="57"/>
      </tp>
      <tp>
        <v>34.299999999999997</v>
        <stp/>
        <stp>6191</stp>
        <stp>Price</stp>
        <tr r="V1167" s="57"/>
      </tp>
      <tp>
        <v>63.5</v>
        <stp/>
        <stp>6641</stp>
        <stp>Price</stp>
        <tr r="V1349" s="57"/>
      </tp>
      <tp>
        <v>94.4</v>
        <stp/>
        <stp>6651</stp>
        <stp>Price</stp>
        <tr r="V668" s="57"/>
      </tp>
      <tp>
        <v>22.75</v>
        <stp/>
        <stp>6661</stp>
        <stp>Price</stp>
        <tr r="V399" s="57"/>
      </tp>
      <tp>
        <v>47.9</v>
        <stp/>
        <stp>6671</stp>
        <stp>Price</stp>
        <tr r="V1352" s="57"/>
      </tp>
      <tp>
        <v>189</v>
        <stp/>
        <stp>6691</stp>
        <stp>Price</stp>
        <tr r="V1757" s="57"/>
      </tp>
      <tp>
        <v>156.5</v>
        <stp/>
        <stp>6741</stp>
        <stp>Price</stp>
        <tr r="V1802" s="57"/>
      </tp>
      <tp>
        <v>44.65</v>
        <stp/>
        <stp>6751</stp>
        <stp>Price</stp>
        <tr r="V1297" s="57"/>
      </tp>
      <tp>
        <v>110.5</v>
        <stp/>
        <stp>6761</stp>
        <stp>Price</stp>
        <tr r="V1200" s="57"/>
      </tp>
      <tp>
        <v>1110</v>
        <stp/>
        <stp>6781</stp>
        <stp>Price</stp>
        <tr r="V1201" s="57"/>
      </tp>
      <tp>
        <v>48.85</v>
        <stp/>
        <stp>6441</stp>
        <stp>Price</stp>
        <tr r="V790" s="57"/>
      </tp>
      <tp>
        <v>87</v>
        <stp/>
        <stp>6451</stp>
        <stp>Price</stp>
        <tr r="V649" s="57"/>
      </tp>
      <tp>
        <v>19.7</v>
        <stp/>
        <stp>6461</stp>
        <stp>Price</stp>
        <tr r="V379" s="57"/>
      </tp>
      <tp>
        <v>143.5</v>
        <stp/>
        <stp>6411</stp>
        <stp>Price</stp>
        <tr r="V646" s="57"/>
        <tr r="V47" s="74"/>
      </tp>
      <tp>
        <v>30</v>
        <stp/>
        <stp>6431</stp>
        <stp>Price</stp>
        <tr r="V908" s="57"/>
      </tp>
      <tp>
        <v>452</v>
        <stp/>
        <stp>6491</stp>
        <stp>Price</stp>
        <tr r="V27" s="74"/>
        <tr r="V10" s="74"/>
        <tr r="V382" s="57"/>
      </tp>
      <tp>
        <v>59.6</v>
        <stp/>
        <stp>6541</stp>
        <stp>Price</stp>
        <tr r="V389" s="57"/>
      </tp>
      <tp>
        <v>271</v>
        <stp/>
        <stp>6561</stp>
        <stp>Price</stp>
        <tr r="V1002" s="57"/>
      </tp>
      <tp>
        <v>281.5</v>
        <stp/>
        <stp>6531</stp>
        <stp>Price</stp>
        <tr r="V42" s="74"/>
        <tr r="V658" s="57"/>
      </tp>
      <tp>
        <v>101</v>
        <stp/>
        <stp>6581</stp>
        <stp>Price</stp>
        <tr r="V1343" s="57"/>
      </tp>
      <tp>
        <v>63.7</v>
        <stp/>
        <stp>6591</stp>
        <stp>Price</stp>
        <tr r="V794" s="57"/>
      </tp>
      <tp>
        <v>26.1</v>
        <stp/>
        <stp>4141</stp>
        <stp>Price</stp>
        <tr r="V341" s="57"/>
      </tp>
      <tp>
        <v>25.05</v>
        <stp/>
        <stp>4161</stp>
        <stp>Price</stp>
        <tr r="V350" s="57"/>
      </tp>
      <tp>
        <v>130.5</v>
        <stp/>
        <stp>4171</stp>
        <stp>Price</stp>
        <tr r="V1812" s="57"/>
      </tp>
      <tp>
        <v>24.45</v>
        <stp/>
        <stp>4111</stp>
        <stp>Price</stp>
        <tr r="V324" s="57"/>
      </tp>
      <tp>
        <v>24.35</v>
        <stp/>
        <stp>4121</stp>
        <stp>Price</stp>
        <tr r="V329" s="57"/>
      </tp>
      <tp>
        <v>15.05</v>
        <stp/>
        <stp>4131</stp>
        <stp>Price</stp>
        <tr r="V336" s="57"/>
      </tp>
      <tp>
        <v>25.3</v>
        <stp/>
        <stp>4741</stp>
        <stp>Price</stp>
        <tr r="V275" s="57"/>
      </tp>
      <tp>
        <v>18.45</v>
        <stp/>
        <stp>4711</stp>
        <stp>Price</stp>
        <tr r="V268" s="57"/>
      </tp>
      <tp>
        <v>143</v>
        <stp/>
        <stp>4721</stp>
        <stp>Price</stp>
        <tr r="V272" s="57"/>
      </tp>
      <tp>
        <v>33.200000000000003</v>
        <stp/>
        <stp>4401</stp>
        <stp>Price</stp>
        <tr r="V111" s="57"/>
      </tp>
      <tp>
        <v>24.7</v>
        <stp/>
        <stp>4541</stp>
        <stp>Price</stp>
        <tr r="V1326" s="57"/>
      </tp>
      <tp>
        <v>146.5</v>
        <stp/>
        <stp>4551</stp>
        <stp>Price</stp>
        <tr r="V521" s="57"/>
      </tp>
      <tp>
        <v>27.6</v>
        <stp/>
        <stp>4561</stp>
        <stp>Price</stp>
        <tr r="V198" s="57"/>
      </tp>
      <tp>
        <v>90.2</v>
        <stp/>
        <stp>4571</stp>
        <stp>Price</stp>
        <tr r="V204" s="57"/>
      </tp>
      <tp>
        <v>35.200000000000003</v>
        <stp/>
        <stp>4581</stp>
        <stp>Price</stp>
        <tr r="V523" s="57"/>
      </tp>
      <tp>
        <v>200</v>
        <stp/>
        <stp>4961</stp>
        <stp>Price</stp>
        <tr r="V603" s="57"/>
      </tp>
      <tp>
        <v>75.599999999999994</v>
        <stp/>
        <stp>4971</stp>
        <stp>Price</stp>
        <tr r="V607" s="57"/>
      </tp>
      <tp>
        <v>27.5</v>
        <stp/>
        <stp>4911</stp>
        <stp>Price</stp>
        <tr r="V374" s="57"/>
      </tp>
      <tp>
        <v>35</v>
        <stp/>
        <stp>4931</stp>
        <stp>Price</stp>
        <tr r="V760" s="57"/>
      </tp>
      <tp>
        <v>41.9</v>
        <stp/>
        <stp>4991</stp>
        <stp>Price</stp>
        <tr r="V609" s="57"/>
      </tp>
      <tp>
        <v>19.25</v>
        <stp/>
        <stp>5251</stp>
        <stp>Price</stp>
        <tr r="V882" s="57"/>
      </tp>
      <tp>
        <v>32.299999999999997</v>
        <stp/>
        <stp>5201</stp>
        <stp>Price</stp>
        <tr r="V1273" s="57"/>
      </tp>
      <tp>
        <v>17.899999999999999</v>
        <stp/>
        <stp>5211</stp>
        <stp>Price</stp>
        <tr r="V1278" s="57"/>
      </tp>
      <tp>
        <v>20.149999999999999</v>
        <stp/>
        <stp>5281</stp>
        <stp>Price</stp>
        <tr r="V883" s="57"/>
      </tp>
      <tp>
        <v>38.5</v>
        <stp/>
        <stp>5291</stp>
        <stp>Price</stp>
        <tr r="V1133" s="57"/>
      </tp>
      <tp>
        <v>70.3</v>
        <stp/>
        <stp>5351</stp>
        <stp>Price</stp>
        <tr r="V621" s="57"/>
      </tp>
      <tp>
        <v>65</v>
        <stp/>
        <stp>5371</stp>
        <stp>Price</stp>
        <tr r="V885" s="57"/>
      </tp>
      <tp>
        <v>13.4</v>
        <stp/>
        <stp>5301</stp>
        <stp>Price</stp>
        <tr r="V1575" s="57"/>
      </tp>
      <tp>
        <v>137.5</v>
        <stp/>
        <stp>5321</stp>
        <stp>Price</stp>
        <tr r="V1135" s="57"/>
      </tp>
      <tp>
        <v>6</v>
        <stp/>
        <stp>5381</stp>
        <stp>Price</stp>
        <tr r="V1140" s="57"/>
      </tp>
      <tp>
        <v>40.9</v>
        <stp/>
        <stp>5011</stp>
        <stp>Price</stp>
        <tr r="V465" s="57"/>
      </tp>
      <tp>
        <v>41.15</v>
        <stp/>
        <stp>5601</stp>
        <stp>Price</stp>
        <tr r="V1532" s="57"/>
      </tp>
      <tp>
        <v>3.03</v>
        <stp/>
        <stp>5701</stp>
        <stp>Price</stp>
        <tr r="V1577" s="57"/>
      </tp>
      <tp>
        <v>82.9</v>
        <stp/>
        <stp>5471</stp>
        <stp>Price</stp>
        <tr r="V72" s="22"/>
        <tr r="V71" s="22"/>
        <tr r="V624" s="57"/>
        <tr r="V28" s="28"/>
      </tp>
      <tp>
        <v>13.2</v>
        <stp/>
        <stp>5481</stp>
        <stp>Price</stp>
        <tr r="V1334" s="57"/>
      </tp>
      <tp>
        <v>30.9</v>
        <stp/>
        <stp>5511</stp>
        <stp>Price</stp>
        <tr r="V1483" s="57"/>
      </tp>
      <tp>
        <v>8.1999999999999993</v>
        <stp/>
        <stp>5521</stp>
        <stp>Price</stp>
        <tr r="V1490" s="57"/>
      </tp>
      <tp>
        <v>10.5</v>
        <stp/>
        <stp>5531</stp>
        <stp>Price</stp>
        <tr r="V1494" s="57"/>
      </tp>
      <tp>
        <v>254</v>
        <stp/>
        <stp>5871</stp>
        <stp>Price</stp>
        <tr r="V1336" s="57"/>
        <tr r="V23" s="118"/>
      </tp>
      <tp>
        <v>104.5</v>
        <stp/>
        <stp>8261</stp>
        <stp>Price</stp>
        <tr r="V691" s="57"/>
      </tp>
      <tp>
        <v>41.6</v>
        <stp/>
        <stp>8271</stp>
        <stp>Price</stp>
        <tr r="V692" s="57"/>
      </tp>
      <tp>
        <v>12.75</v>
        <stp/>
        <stp>8201</stp>
        <stp>Price</stp>
        <tr r="V1765" s="57"/>
      </tp>
      <tp>
        <v>7</v>
        <stp/>
        <stp>8291</stp>
        <stp>Price</stp>
        <tr r="V1221" s="57"/>
      </tp>
      <tp>
        <v>223</v>
        <stp/>
        <stp>8341</stp>
        <stp>Price</stp>
        <tr r="V1360" s="57"/>
      </tp>
      <tp>
        <v>21.9</v>
        <stp/>
        <stp>8071</stp>
        <stp>Price</stp>
        <tr r="V1207" s="57"/>
      </tp>
      <tp>
        <v>16.5</v>
        <stp/>
        <stp>8011</stp>
        <stp>Price</stp>
        <tr r="V1006" s="57"/>
      </tp>
      <tp>
        <v>34.299999999999997</v>
        <stp/>
        <stp>8021</stp>
        <stp>Price</stp>
        <tr r="V1760" s="57"/>
      </tp>
      <tp>
        <v>213</v>
        <stp/>
        <stp>8081</stp>
        <stp>Price</stp>
        <tr r="V685" s="57"/>
      </tp>
      <tp>
        <v>82</v>
        <stp/>
        <stp>8091</stp>
        <stp>Price</stp>
        <tr r="V1210" s="57"/>
      </tp>
      <tp>
        <v>49.35</v>
        <stp/>
        <stp>8171</stp>
        <stp>Price</stp>
        <tr r="V1013" s="57"/>
      </tp>
      <tp>
        <v>2.56</v>
        <stp/>
        <stp>8101</stp>
        <stp>Price</stp>
        <tr r="V1012" s="57"/>
      </tp>
      <tp>
        <v>25.1</v>
        <stp/>
        <stp>8111</stp>
        <stp>Price</stp>
        <tr r="V923" s="57"/>
      </tp>
      <tp>
        <v>36</v>
        <stp/>
        <stp>8121</stp>
        <stp>Price</stp>
        <tr r="V1214" s="57"/>
      </tp>
      <tp>
        <v>40.299999999999997</v>
        <stp/>
        <stp>8131</stp>
        <stp>Price</stp>
        <tr r="V689" s="57"/>
      </tp>
      <tp>
        <v>16.899999999999999</v>
        <stp/>
        <stp>8401</stp>
        <stp>Price</stp>
        <tr r="V1363" s="57"/>
      </tp>
      <tp>
        <v>17.3</v>
        <stp/>
        <stp>8411</stp>
        <stp>Price</stp>
        <tr r="V1365" s="57"/>
      </tp>
      <tp>
        <v>13.75</v>
        <stp/>
        <stp>8421</stp>
        <stp>Price</stp>
        <tr r="V1368" s="57"/>
      </tp>
      <tp>
        <v>67.7</v>
        <stp/>
        <stp>8431</stp>
        <stp>Price</stp>
        <tr r="V1767" s="57"/>
      </tp>
      <tp>
        <v>68.599999999999994</v>
        <stp/>
        <stp>8481</stp>
        <stp>Price</stp>
        <tr r="V1386" s="57"/>
      </tp>
      <tp>
        <v>40.700000000000003</v>
        <stp/>
        <stp>8941</stp>
        <stp>Price</stp>
        <tr r="V1667" s="57"/>
      </tp>
      <tp>
        <v>15.95</v>
        <stp/>
        <stp>8921</stp>
        <stp>Price</stp>
        <tr r="V1393" s="57"/>
      </tp>
      <tp>
        <v>33.299999999999997</v>
        <stp/>
        <stp>8931</stp>
        <stp>Price</stp>
        <tr r="V1675" s="57"/>
      </tp>
      <tp>
        <v>240</v>
        <stp/>
        <stp>9941</stp>
        <stp>Price</stp>
        <tr r="V1427" s="57"/>
      </tp>
      <tp>
        <v>71.8</v>
        <stp/>
        <stp>9951</stp>
        <stp>Price</stp>
        <tr r="V221" s="57"/>
      </tp>
      <tp>
        <v>64.7</v>
        <stp/>
        <stp>9911</stp>
        <stp>Price</stp>
        <tr r="V1410" s="57"/>
      </tp>
      <tp>
        <v>264</v>
        <stp/>
        <stp>9921</stp>
        <stp>Price</stp>
        <tr r="V1414" s="57"/>
      </tp>
      <tp>
        <v>39.700000000000003</v>
        <stp/>
        <stp>9931</stp>
        <stp>Price</stp>
        <tr r="V1674" s="57"/>
      </tp>
      <tp>
        <v>28.4</v>
        <stp/>
        <stp>2206</stp>
        <stp>Price</stp>
        <tr r="V508" s="57"/>
      </tp>
      <tp>
        <v>26.1</v>
        <stp/>
        <stp>2236</stp>
        <stp>Price</stp>
        <tr r="V514" s="57"/>
      </tp>
      <tp>
        <v>25.55</v>
        <stp/>
        <stp>2356</stp>
        <stp>Price</stp>
        <tr r="V704" s="57"/>
      </tp>
      <tp>
        <v>114.5</v>
        <stp/>
        <stp>2376</stp>
        <stp>Price</stp>
        <tr r="V709" s="57"/>
      </tp>
      <tp>
        <v>29.25</v>
        <stp/>
        <stp>2316</stp>
        <stp>Price</stp>
        <tr r="V1025" s="57"/>
      </tp>
      <tp>
        <v>60.4</v>
        <stp/>
        <stp>2066</stp>
        <stp>Price</stp>
        <tr r="V162" s="57"/>
      </tp>
      <tp>
        <v>70.3</v>
        <stp/>
        <stp>2006</stp>
        <stp>Price</stp>
        <tr r="V432" s="57"/>
      </tp>
      <tp>
        <v>32.25</v>
        <stp/>
        <stp>2106</stp>
        <stp>Price</stp>
        <tr r="V484" s="57"/>
      </tp>
      <tp>
        <v>59.8</v>
        <stp/>
        <stp>2606</stp>
        <stp>Price</stp>
        <tr r="V1513" s="57"/>
      </tp>
      <tp>
        <v>39.15</v>
        <stp/>
        <stp>2616</stp>
        <stp>Price</stp>
        <tr r="V1671" s="57"/>
      </tp>
      <tp>
        <v>122</v>
        <stp/>
        <stp>2636</stp>
        <stp>Price</stp>
        <tr r="V44" s="74"/>
        <tr r="V1527" s="57"/>
      </tp>
      <tp>
        <v>116</v>
        <stp/>
        <stp>2756</stp>
        <stp>Price</stp>
        <tr r="V1571" s="57"/>
      </tp>
      <tp>
        <v>14.15</v>
        <stp/>
        <stp>2706</stp>
        <stp>Price</stp>
        <tr r="V1547" s="57"/>
      </tp>
      <tp>
        <v>28.65</v>
        <stp/>
        <stp>2726</stp>
        <stp>Price</stp>
        <tr r="V1555" s="57"/>
      </tp>
      <tp>
        <v>16.5</v>
        <stp/>
        <stp>2736</stp>
        <stp>Price</stp>
        <tr r="V1561" s="57"/>
      </tp>
      <tp>
        <v>33.75</v>
        <stp/>
        <stp>2466</stp>
        <stp>Price</stp>
        <tr r="V816" s="57"/>
      </tp>
      <tp>
        <v>50.9</v>
        <stp/>
        <stp>2476</stp>
        <stp>Price</stp>
        <tr r="V1049" s="57"/>
      </tp>
      <tp>
        <v>24.75</v>
        <stp/>
        <stp>2406</stp>
        <stp>Price</stp>
        <tr r="V812" s="57"/>
      </tp>
      <tp>
        <v>23.55</v>
        <stp/>
        <stp>2426</stp>
        <stp>Price</stp>
        <tr r="V814" s="57"/>
      </tp>
      <tp>
        <v>79.5</v>
        <stp/>
        <stp>2436</stp>
        <stp>Price</stp>
        <tr r="V544" s="57"/>
      </tp>
      <tp>
        <v>43.1</v>
        <stp/>
        <stp>2486</stp>
        <stp>Price</stp>
        <tr r="V817" s="57"/>
      </tp>
      <tp>
        <v>48.9</v>
        <stp/>
        <stp>2496</stp>
        <stp>Price</stp>
        <tr r="V1316" s="57"/>
      </tp>
      <tp>
        <v>58</v>
        <stp/>
        <stp>2546</stp>
        <stp>Price</stp>
        <tr r="V1462" s="57"/>
      </tp>
      <tp>
        <v>9.27</v>
        <stp/>
        <stp>2506</stp>
        <stp>Price</stp>
        <tr r="V1443" s="57"/>
      </tp>
      <tp>
        <v>5.88</v>
        <stp/>
        <stp>2516</stp>
        <stp>Price</stp>
        <tr r="V1446" s="57"/>
      </tp>
      <tp>
        <v>21.45</v>
        <stp/>
        <stp>2536</stp>
        <stp>Price</stp>
        <tr r="V1454" s="57"/>
      </tp>
      <tp>
        <v>22</v>
        <stp/>
        <stp>2596</stp>
        <stp>Price</stp>
        <tr r="V1465" s="57"/>
      </tp>
      <tp>
        <v>20.2</v>
        <stp/>
        <stp>2816</stp>
        <stp>Price</stp>
        <tr r="V1590" s="57"/>
      </tp>
      <tp>
        <v>15.05</v>
        <stp/>
        <stp>2836</stp>
        <stp>Price</stp>
        <tr r="V1594" s="57"/>
      </tp>
      <tp>
        <v>43.1</v>
        <stp/>
        <stp>2886</stp>
        <stp>Price</stp>
        <tr r="V1609" s="57"/>
        <tr r="V16" s="118"/>
      </tp>
      <tp>
        <v>23.25</v>
        <stp/>
        <stp>2906</stp>
        <stp>Price</stp>
        <tr r="V1638" s="57"/>
      </tp>
      <tp>
        <v>24.5</v>
        <stp/>
        <stp>2916</stp>
        <stp>Price</stp>
        <tr r="V1645" s="57"/>
      </tp>
      <tp>
        <v>56.6</v>
        <stp/>
        <stp>2926</stp>
        <stp>Price</stp>
        <tr r="V1771" s="57"/>
      </tp>
      <tp>
        <v>39.049999999999997</v>
        <stp/>
        <stp>2936</stp>
        <stp>Price</stp>
        <tr r="V1647" s="57"/>
      </tp>
      <tp>
        <v>16.55</v>
        <stp/>
        <stp>3266</stp>
        <stp>Price</stp>
        <tr r="V1472" s="57"/>
      </tp>
      <tp>
        <v>17.649999999999999</v>
        <stp/>
        <stp>3276</stp>
        <stp>Price</stp>
        <tr r="V1078" s="57"/>
      </tp>
      <tp>
        <v>28.65</v>
        <stp/>
        <stp>3206</stp>
        <stp>Price</stp>
        <tr r="V1073" s="57"/>
      </tp>
      <tp>
        <v>63</v>
        <stp/>
        <stp>3226</stp>
        <stp>Price</stp>
        <tr r="V172" s="57"/>
      </tp>
      <tp>
        <v>23.95</v>
        <stp/>
        <stp>3236</stp>
        <stp>Price</stp>
        <tr r="V1077" s="57"/>
      </tp>
      <tp>
        <v>15.3</v>
        <stp/>
        <stp>3296</stp>
        <stp>Price</stp>
        <tr r="V1082" s="57"/>
      </tp>
      <tp>
        <v>36.200000000000003</v>
        <stp/>
        <stp>3346</stp>
        <stp>Price</stp>
        <tr r="V61" s="28"/>
        <tr r="V520" s="57"/>
      </tp>
      <tp>
        <v>28.75</v>
        <stp/>
        <stp>3356</stp>
        <stp>Price</stp>
        <tr r="V835" s="57"/>
      </tp>
      <tp>
        <v>82.9</v>
        <stp/>
        <stp>3376</stp>
        <stp>Price</stp>
        <tr r="V1092" s="57"/>
      </tp>
      <tp>
        <v>25.45</v>
        <stp/>
        <stp>3306</stp>
        <stp>Price</stp>
        <tr r="V952" s="57"/>
      </tp>
      <tp>
        <v>37.950000000000003</v>
        <stp/>
        <stp>3046</stp>
        <stp>Price</stp>
        <tr r="V728" s="57"/>
      </tp>
      <tp>
        <v>34.6</v>
        <stp/>
        <stp>3056</stp>
        <stp>Price</stp>
        <tr r="V1470" s="57"/>
      </tp>
      <tp>
        <v>39.85</v>
        <stp/>
        <stp>3066</stp>
        <stp>Price</stp>
        <tr r="V829" s="57"/>
      </tp>
      <tp>
        <v>133.5</v>
        <stp/>
        <stp>3006</stp>
        <stp>Price</stp>
        <tr r="V40" s="74"/>
        <tr r="V551" s="57"/>
      </tp>
      <tp>
        <v>109</v>
        <stp/>
        <stp>3016</stp>
        <stp>Price</stp>
        <tr r="V553" s="57"/>
      </tp>
      <tp>
        <v>116</v>
        <stp/>
        <stp>3026</stp>
        <stp>Price</stp>
        <tr r="V1060" s="57"/>
      </tp>
      <tp>
        <v>79.7</v>
        <stp/>
        <stp>3036</stp>
        <stp>Price</stp>
        <tr r="V1232" s="57"/>
      </tp>
      <tp>
        <v>119.5</v>
        <stp/>
        <stp>3086</stp>
        <stp>Price</stp>
        <tr r="V1774" s="57"/>
      </tp>
      <tp>
        <v>55.6</v>
        <stp/>
        <stp>3176</stp>
        <stp>Price</stp>
        <tr r="V313" s="57"/>
      </tp>
      <tp>
        <v>26.75</v>
        <stp/>
        <stp>3646</stp>
        <stp>Price</stp>
        <tr r="V1116" s="57"/>
      </tp>
      <tp>
        <v>24.5</v>
        <stp/>
        <stp>3666</stp>
        <stp>Price</stp>
        <tr r="V858" s="57"/>
      </tp>
      <tp>
        <v>16.45</v>
        <stp/>
        <stp>3686</stp>
        <stp>Price</stp>
        <tr r="V596" s="57"/>
      </tp>
      <tp>
        <v>28.55</v>
        <stp/>
        <stp>3706</stp>
        <stp>Price</stp>
        <tr r="V755" s="57"/>
      </tp>
      <tp>
        <v>17.55</v>
        <stp/>
        <stp>3466</stp>
        <stp>Price</stp>
        <tr r="V957" s="57"/>
      </tp>
      <tp>
        <v>449</v>
        <stp/>
        <stp>3406</stp>
        <stp>Price</stp>
        <tr r="V838" s="57"/>
        <tr r="V6" s="74"/>
      </tp>
      <tp>
        <v>78.3</v>
        <stp/>
        <stp>3416</stp>
        <stp>Price</stp>
        <tr r="V741" s="57"/>
      </tp>
      <tp>
        <v>37.9</v>
        <stp/>
        <stp>3426</stp>
        <stp>Price</stp>
        <tr r="V174" s="57"/>
      </tp>
      <tp>
        <v>81.099999999999994</v>
        <stp/>
        <stp>3546</stp>
        <stp>Price</stp>
        <tr r="V1776" s="57"/>
      </tp>
      <tp>
        <v>79.2</v>
        <stp/>
        <stp>3556</stp>
        <stp>Price</stp>
        <tr r="V4" s="74"/>
        <tr r="V587" s="57"/>
      </tp>
      <tp>
        <v>23.65</v>
        <stp/>
        <stp>3576</stp>
        <stp>Price</stp>
        <tr r="V852" s="57"/>
      </tp>
      <tp>
        <v>15.95</v>
        <stp/>
        <stp>3516</stp>
        <stp>Price</stp>
        <tr r="V847" s="57"/>
      </tp>
      <tp>
        <v>177.5</v>
        <stp/>
        <stp>3526</stp>
        <stp>Price</stp>
        <tr r="V1103" s="57"/>
      </tp>
      <tp>
        <v>5.85</v>
        <stp/>
        <stp>3536</stp>
        <stp>Price</stp>
        <tr r="V584" s="57"/>
      </tp>
      <tp>
        <v>122</v>
        <stp/>
        <stp>3596</stp>
        <stp>Price</stp>
        <tr r="V962" s="57"/>
      </tp>
      <tp>
        <v>281</v>
        <stp/>
        <stp>1256</stp>
        <stp>Price</stp>
        <tr r="V32" s="57"/>
      </tp>
      <tp>
        <v>66.3</v>
        <stp/>
        <stp>1216</stp>
        <stp>Price</stp>
        <tr r="V18" s="57"/>
        <tr r="V30" s="118"/>
      </tp>
      <tp>
        <v>26.2</v>
        <stp/>
        <stp>1236</stp>
        <stp>Price</stp>
        <tr r="V31" s="57"/>
      </tp>
      <tp>
        <v>19.95</v>
        <stp/>
        <stp>1316</stp>
        <stp>Price</stp>
        <tr r="V1434" s="57"/>
      </tp>
      <tp>
        <v>79.7</v>
        <stp/>
        <stp>1326</stp>
        <stp>Price</stp>
        <tr r="V58" s="57"/>
        <tr r="V12" s="118"/>
      </tp>
      <tp>
        <v>19.75</v>
        <stp/>
        <stp>1336</stp>
        <stp>Price</stp>
        <tr r="V1017" s="57"/>
      </tp>
      <tp>
        <v>10.25</v>
        <stp/>
        <stp>1616</stp>
        <stp>Price</stp>
        <tr r="V233" s="57"/>
      </tp>
      <tp>
        <v>20.3</v>
        <stp/>
        <stp>1626</stp>
        <stp>Price</stp>
        <tr r="V236" s="57"/>
      </tp>
      <tp>
        <v>21.6</v>
        <stp/>
        <stp>1776</stp>
        <stp>Price</stp>
        <tr r="V263" s="57"/>
      </tp>
      <tp>
        <v>73.5</v>
        <stp/>
        <stp>1726</stp>
        <stp>Price</stp>
        <tr r="V256" s="57"/>
      </tp>
      <tp>
        <v>54.4</v>
        <stp/>
        <stp>1736</stp>
        <stp>Price</stp>
        <tr r="V297" s="57"/>
      </tp>
      <tp>
        <v>43.25</v>
        <stp/>
        <stp>1786</stp>
        <stp>Price</stp>
        <tr r="V305" s="57"/>
      </tp>
      <tp>
        <v>44.65</v>
        <stp/>
        <stp>1796</stp>
        <stp>Price</stp>
        <tr r="V37" s="57"/>
      </tp>
      <tp>
        <v>32.299999999999997</v>
        <stp/>
        <stp>1446</stp>
        <stp>Price</stp>
        <tr r="V86" s="57"/>
      </tp>
      <tp>
        <v>20.55</v>
        <stp/>
        <stp>1456</stp>
        <stp>Price</stp>
        <tr r="V94" s="57"/>
      </tp>
      <tp>
        <v>14.85</v>
        <stp/>
        <stp>1466</stp>
        <stp>Price</stp>
        <tr r="V101" s="57"/>
      </tp>
      <tp>
        <v>482</v>
        <stp/>
        <stp>1476</stp>
        <stp>Price</stp>
        <tr r="V109" s="57"/>
        <tr r="V33" s="28"/>
      </tp>
      <tp>
        <v>66.900000000000006</v>
        <stp/>
        <stp>1436</stp>
        <stp>Price</stp>
        <tr r="V1435" s="57"/>
      </tp>
      <tp>
        <v>20.149999999999999</v>
        <stp/>
        <stp>1506</stp>
        <stp>Price</stp>
        <tr r="V130" s="57"/>
      </tp>
      <tp>
        <v>29.4</v>
        <stp/>
        <stp>1516</stp>
        <stp>Price</stp>
        <tr r="V1306" s="57"/>
        <tr r="V1309" s="57"/>
      </tp>
      <tp>
        <v>47.6</v>
        <stp/>
        <stp>1526</stp>
        <stp>Price</stp>
        <tr r="V137" s="57"/>
      </tp>
      <tp>
        <v>79.3</v>
        <stp/>
        <stp>1536</stp>
        <stp>Price</stp>
        <tr r="V502" s="57"/>
      </tp>
      <tp>
        <v>39.25</v>
        <stp/>
        <stp>1586</stp>
        <stp>Price</stp>
        <tr r="V155" s="57"/>
      </tp>
      <tp>
        <v>12.15</v>
        <stp/>
        <stp>1806</stp>
        <stp>Price</stp>
        <tr r="V417" s="57"/>
      </tp>
      <tp>
        <v>20.25</v>
        <stp/>
        <stp>1906</stp>
        <stp>Price</stp>
        <tr r="V426" s="57"/>
      </tp>
      <tp>
        <v>15.6</v>
        <stp/>
        <stp>6246</stp>
        <stp>Price</stp>
        <tr r="V898" s="57"/>
        <tr r="V903" s="57"/>
      </tp>
      <tp>
        <v>24.6</v>
        <stp/>
        <stp>6266</stp>
        <stp>Price</stp>
        <tr r="V1182" s="57"/>
      </tp>
      <tp>
        <v>18.399999999999999</v>
        <stp/>
        <stp>6276</stp>
        <stp>Price</stp>
        <tr r="V787" s="57"/>
      </tp>
      <tp>
        <v>79.099999999999994</v>
        <stp/>
        <stp>6206</stp>
        <stp>Price</stp>
        <tr r="V783" s="57"/>
      </tp>
      <tp>
        <v>30</v>
        <stp/>
        <stp>6216</stp>
        <stp>Price</stp>
        <tr r="V988" s="57"/>
      </tp>
      <tp>
        <v>13.2</v>
        <stp/>
        <stp>6226</stp>
        <stp>Price</stp>
        <tr r="V900" s="57"/>
      </tp>
      <tp t="s">
        <v>無資料</v>
        <stp/>
        <stp>6236</stp>
        <stp>Price</stp>
        <tr r="V1340" s="57"/>
      </tp>
      <tp>
        <v>14.4</v>
        <stp/>
        <stp>6016</stp>
        <stp>Price</stp>
        <tr r="V1624" s="57"/>
      </tp>
      <tp>
        <v>19.350000000000001</v>
        <stp/>
        <stp>6026</stp>
        <stp>Price</stp>
        <tr r="V1629" s="57"/>
      </tp>
      <tp>
        <v>189</v>
        <stp/>
        <stp>6146</stp>
        <stp>Price</stp>
        <tr r="V1740" s="57"/>
      </tp>
      <tp>
        <v>20.55</v>
        <stp/>
        <stp>6156</stp>
        <stp>Price</stp>
        <tr r="V1160" s="57"/>
      </tp>
      <tp>
        <v>57.8</v>
        <stp/>
        <stp>6166</stp>
        <stp>Price</stp>
        <tr r="V781" s="57"/>
      </tp>
      <tp>
        <v>104.5</v>
        <stp/>
        <stp>6176</stp>
        <stp>Price</stp>
        <tr r="V896" s="57"/>
      </tp>
      <tp>
        <v>14.25</v>
        <stp/>
        <stp>6116</stp>
        <stp>Price</stp>
        <tr r="V890" s="57"/>
      </tp>
      <tp>
        <v>25</v>
        <stp/>
        <stp>6126</stp>
        <stp>Price</stp>
        <tr r="V1153" s="57"/>
      </tp>
      <tp>
        <v>19.100000000000001</v>
        <stp/>
        <stp>6136</stp>
        <stp>Price</stp>
        <tr r="V981" s="57"/>
      </tp>
      <tp>
        <v>27.3</v>
        <stp/>
        <stp>6186</stp>
        <stp>Price</stp>
        <tr r="V54" s="28"/>
        <tr r="V1501" s="57"/>
      </tp>
      <tp>
        <v>138</v>
        <stp/>
        <stp>6196</stp>
        <stp>Price</stp>
        <tr r="V1744" s="57"/>
      </tp>
      <tp>
        <v>59.7</v>
        <stp/>
        <stp>6666</stp>
        <stp>Price</stp>
        <tr r="V401" s="57"/>
      </tp>
      <tp>
        <v>20.05</v>
        <stp/>
        <stp>6616</stp>
        <stp>Price</stp>
        <tr r="V1345" s="57"/>
      </tp>
      <tp>
        <v>345</v>
        <stp/>
        <stp>6756</stp>
        <stp>Price</stp>
        <tr r="V676" s="57"/>
      </tp>
      <tp>
        <v>43.1</v>
        <stp/>
        <stp>6776</stp>
        <stp>Price</stp>
        <tr r="V1252" s="57"/>
      </tp>
      <tp>
        <v>180</v>
        <stp/>
        <stp>6706</stp>
        <stp>Price</stp>
        <tr r="V13" s="114"/>
        <tr r="V915" s="57"/>
      </tp>
      <tp>
        <v>162</v>
        <stp/>
        <stp>6716</stp>
        <stp>Price</stp>
        <tr r="V673" s="57"/>
      </tp>
      <tp>
        <v>312</v>
        <stp/>
        <stp>6446</stp>
        <stp>Price</stp>
        <tr r="V378" s="57"/>
        <tr r="V39" s="118"/>
      </tp>
      <tp>
        <v>94.2</v>
        <stp/>
        <stp>6456</stp>
        <stp>Price</stp>
        <tr r="V910" s="57"/>
      </tp>
      <tp>
        <v>90.9</v>
        <stp/>
        <stp>6416</stp>
        <stp>Price</stp>
        <tr r="V994" s="57"/>
      </tp>
      <tp>
        <v>72.3</v>
        <stp/>
        <stp>6426</stp>
        <stp>Price</stp>
        <tr r="V996" s="57"/>
      </tp>
      <tp>
        <v>77.2</v>
        <stp/>
        <stp>6486</stp>
        <stp>Price</stp>
        <tr r="V999" s="57"/>
      </tp>
      <tp>
        <v>27.95</v>
        <stp/>
        <stp>6496</stp>
        <stp>Price</stp>
        <tr r="V384" s="57"/>
      </tp>
      <tp>
        <v>62.4</v>
        <stp/>
        <stp>6556</stp>
        <stp>Price</stp>
        <tr r="V912" s="57"/>
      </tp>
      <tp>
        <v>114.5</v>
        <stp/>
        <stp>6576</stp>
        <stp>Price</stp>
        <tr r="V393" s="57"/>
      </tp>
      <tp>
        <v>20.8</v>
        <stp/>
        <stp>6506</stp>
        <stp>Price</stp>
        <tr r="V284" s="57"/>
      </tp>
      <tp>
        <v>90.5</v>
        <stp/>
        <stp>6516</stp>
        <stp>Price</stp>
        <tr r="V1292" s="57"/>
      </tp>
      <tp>
        <v>49.3</v>
        <stp/>
        <stp>6596</stp>
        <stp>Price</stp>
        <tr r="V1790" s="57"/>
      </tp>
      <tp>
        <v>98</v>
        <stp/>
        <stp>6806</stp>
        <stp>Price</stp>
        <tr r="V1358" s="57"/>
      </tp>
      <tp>
        <v>109</v>
        <stp/>
        <stp>7556</stp>
        <stp>Price</stp>
        <tr r="V679" s="57"/>
      </tp>
      <tp>
        <v>15.8</v>
        <stp/>
        <stp>4306</stp>
        <stp>Price</stp>
        <tr r="V65" s="57"/>
      </tp>
      <tp>
        <v>30</v>
        <stp/>
        <stp>4106</stp>
        <stp>Price</stp>
        <tr r="V320" s="57"/>
      </tp>
      <tp>
        <v>33.35</v>
        <stp/>
        <stp>4116</stp>
        <stp>Price</stp>
        <tr r="V326" s="57"/>
      </tp>
      <tp>
        <v>72.900000000000006</v>
        <stp/>
        <stp>4126</stp>
        <stp>Price</stp>
        <tr r="V5" s="114"/>
        <tr r="V331" s="57"/>
      </tp>
      <tp>
        <v>62</v>
        <stp/>
        <stp>4746</stp>
        <stp>Price</stp>
        <tr r="V372" s="57"/>
      </tp>
      <tp>
        <v>129</v>
        <stp/>
        <stp>4766</stp>
        <stp>Price</stp>
        <tr r="V280" s="57"/>
      </tp>
      <tp>
        <v>18.3</v>
        <stp/>
        <stp>4706</stp>
        <stp>Price</stp>
        <tr r="V266" s="57"/>
      </tp>
      <tp>
        <v>16.350000000000001</v>
        <stp/>
        <stp>4716</stp>
        <stp>Price</stp>
        <tr r="V270" s="57"/>
      </tp>
      <tp>
        <v>43.45</v>
        <stp/>
        <stp>4726</stp>
        <stp>Price</stp>
        <tr r="V364" s="57"/>
      </tp>
      <tp>
        <v>291</v>
        <stp/>
        <stp>4736</stp>
        <stp>Price</stp>
        <tr r="V367" s="57"/>
      </tp>
      <tp>
        <v>10.4</v>
        <stp/>
        <stp>4406</stp>
        <stp>Price</stp>
        <tr r="V113" s="57"/>
      </tp>
      <tp>
        <v>99.3</v>
        <stp/>
        <stp>4416</stp>
        <stp>Price</stp>
        <tr r="V1476" s="57"/>
      </tp>
      <tp>
        <v>23.65</v>
        <stp/>
        <stp>4426</stp>
        <stp>Price</stp>
        <tr r="V119" s="57"/>
      </tp>
      <tp>
        <v>30.9</v>
        <stp/>
        <stp>4556</stp>
        <stp>Price</stp>
        <tr r="V1327" s="57"/>
      </tp>
      <tp>
        <v>43.15</v>
        <stp/>
        <stp>4566</stp>
        <stp>Price</stp>
        <tr r="V202" s="57"/>
      </tp>
      <tp>
        <v>107</v>
        <stp/>
        <stp>4576</stp>
        <stp>Price</stp>
        <tr r="V206" s="57"/>
      </tp>
      <tp>
        <v>69.099999999999994</v>
        <stp/>
        <stp>4506</stp>
        <stp>Price</stp>
        <tr r="V177" s="57"/>
      </tp>
      <tp>
        <v>15.65</v>
        <stp/>
        <stp>4526</stp>
        <stp>Price</stp>
        <tr r="V181" s="57"/>
      </tp>
      <tp>
        <v>129</v>
        <stp/>
        <stp>4536</stp>
        <stp>Price</stp>
        <tr r="V1325" s="57"/>
      </tp>
      <tp>
        <v>11.2</v>
        <stp/>
        <stp>4806</stp>
        <stp>Price</stp>
        <tr r="V1778" s="57"/>
      </tp>
      <tp>
        <v>77.599999999999994</v>
        <stp/>
        <stp>4946</stp>
        <stp>Price</stp>
        <tr r="V1779" s="57"/>
      </tp>
      <tp>
        <v>21.95</v>
        <stp/>
        <stp>4956</stp>
        <stp>Price</stp>
        <tr r="V871" s="57"/>
      </tp>
      <tp>
        <v>1525</v>
        <stp/>
        <stp>4966</stp>
        <stp>Price</stp>
        <tr r="V7" s="114"/>
        <tr r="V604" s="57"/>
      </tp>
      <tp>
        <v>55.8</v>
        <stp/>
        <stp>4976</stp>
        <stp>Price</stp>
        <tr r="V874" s="57"/>
      </tp>
      <tp>
        <v>30.35</v>
        <stp/>
        <stp>4906</stp>
        <stp>Price</stp>
        <tr r="V972" s="57"/>
      </tp>
      <tp>
        <v>29.8</v>
        <stp/>
        <stp>4916</stp>
        <stp>Price</stp>
        <tr r="V758" s="57"/>
      </tp>
      <tp>
        <v>13.25</v>
        <stp/>
        <stp>5276</stp>
        <stp>Price</stp>
        <tr r="V1329" s="57"/>
      </tp>
      <tp>
        <v>15</v>
        <stp/>
        <stp>5206</stp>
        <stp>Price</stp>
        <tr r="V1478" s="57"/>
      </tp>
      <tp>
        <v>124.5</v>
        <stp/>
        <stp>5236</stp>
        <stp>Price</stp>
        <tr r="V611" s="57"/>
      </tp>
      <tp>
        <v>24.9</v>
        <stp/>
        <stp>5356</stp>
        <stp>Price</stp>
        <tr r="V767" s="57"/>
      </tp>
      <tp>
        <v>176</v>
        <stp/>
        <stp>5306</stp>
        <stp>Price</stp>
        <tr r="V1331" s="57"/>
      </tp>
      <tp>
        <v>43.9</v>
        <stp/>
        <stp>5386</stp>
        <stp>Price</stp>
        <tr r="V768" s="57"/>
      </tp>
      <tp>
        <v>40.299999999999997</v>
        <stp/>
        <stp>5016</stp>
        <stp>Price</stp>
        <tr r="V469" s="57"/>
      </tp>
      <tp>
        <v>77.2</v>
        <stp/>
        <stp>5706</stp>
        <stp>Price</stp>
        <tr r="V1580" s="57"/>
      </tp>
      <tp>
        <v>10.5</v>
        <stp/>
        <stp>5426</stp>
        <stp>Price</stp>
        <tr r="V769" s="57"/>
      </tp>
      <tp>
        <v>60</v>
        <stp/>
        <stp>5546</stp>
        <stp>Price</stp>
        <tr r="V1498" s="57"/>
      </tp>
      <tp>
        <v>17.399999999999999</v>
        <stp/>
        <stp>5516</stp>
        <stp>Price</stp>
        <tr r="V1487" s="57"/>
      </tp>
      <tp>
        <v>205.5</v>
        <stp/>
        <stp>5536</stp>
        <stp>Price</stp>
        <tr r="V1738" s="57"/>
      </tp>
      <tp>
        <v>49.75</v>
        <stp/>
        <stp>5876</stp>
        <stp>Price</stp>
        <tr r="V1619" s="57"/>
      </tp>
      <tp>
        <v>36.5</v>
        <stp/>
        <stp>5906</stp>
        <stp>Price</stp>
        <tr r="V1658" s="57"/>
      </tp>
      <tp>
        <v>467</v>
        <stp/>
        <stp>8046</stp>
        <stp>Price</stp>
        <tr r="V1206" s="57"/>
      </tp>
      <tp>
        <v>30.95</v>
        <stp/>
        <stp>8066</stp>
        <stp>Price</stp>
        <tr r="V1662" s="57"/>
      </tp>
      <tp>
        <v>29.3</v>
        <stp/>
        <stp>8076</stp>
        <stp>Price</stp>
        <tr r="V798" s="57"/>
      </tp>
      <tp>
        <v>280</v>
        <stp/>
        <stp>8016</stp>
        <stp>Price</stp>
        <tr r="V680" s="57"/>
      </tp>
      <tp>
        <v>97.8</v>
        <stp/>
        <stp>8086</stp>
        <stp>Price</stp>
        <tr r="V686" s="57"/>
      </tp>
      <tp>
        <v>13.15</v>
        <stp/>
        <stp>8096</stp>
        <stp>Price</stp>
        <tr r="V1259" s="57"/>
      </tp>
      <tp>
        <v>11.05</v>
        <stp/>
        <stp>8176</stp>
        <stp>Price</stp>
        <tr r="V1014" s="57"/>
      </tp>
      <tp>
        <v>87.6</v>
        <stp/>
        <stp>8446</stp>
        <stp>Price</stp>
        <tr r="V1791" s="57"/>
      </tp>
      <tp>
        <v>48.5</v>
        <stp/>
        <stp>8466</stp>
        <stp>Price</stp>
        <tr r="V1380" s="57"/>
      </tp>
      <tp>
        <v>60.3</v>
        <stp/>
        <stp>8476</stp>
        <stp>Price</stp>
        <tr r="V1383" s="57"/>
      </tp>
      <tp>
        <v>278</v>
        <stp/>
        <stp>8406</stp>
        <stp>Price</stp>
        <tr r="V410" s="57"/>
      </tp>
      <tp>
        <v>130.5</v>
        <stp/>
        <stp>8416</stp>
        <stp>Price</stp>
        <tr r="V1301" s="57"/>
      </tp>
      <tp>
        <v>16.25</v>
        <stp/>
        <stp>8426</stp>
        <stp>Price</stp>
        <tr r="V1371" s="57"/>
      </tp>
      <tp>
        <v>175.5</v>
        <stp/>
        <stp>8436</stp>
        <stp>Price</stp>
        <tr r="V413" s="57"/>
      </tp>
      <tp>
        <v>19.149999999999999</v>
        <stp/>
        <stp>8906</stp>
        <stp>Price</stp>
        <tr r="V1391" s="57"/>
      </tp>
      <tp>
        <v>43.3</v>
        <stp/>
        <stp>8916</stp>
        <stp>Price</stp>
        <tr r="V1392" s="57"/>
      </tp>
      <tp>
        <v>37.450000000000003</v>
        <stp/>
        <stp>8926</stp>
        <stp>Price</stp>
        <tr r="V1672" s="57"/>
      </tp>
      <tp>
        <v>22.15</v>
        <stp/>
        <stp>8936</stp>
        <stp>Price</stp>
        <tr r="V89" s="22"/>
        <tr r="V90" s="22"/>
        <tr r="V91" s="22"/>
        <tr r="V1400" s="57"/>
        <tr r="V30" s="28"/>
      </tp>
      <tp>
        <v>56.7</v>
        <stp/>
        <stp>8996</stp>
        <stp>Price</stp>
        <tr r="V220" s="57"/>
      </tp>
      <tp>
        <v>13.2</v>
        <stp/>
        <stp>9946</stp>
        <stp>Price</stp>
        <tr r="V1507" s="57"/>
      </tp>
      <tp>
        <v>60.9</v>
        <stp/>
        <stp>9906</stp>
        <stp>Price</stp>
        <tr r="V1506" s="57"/>
      </tp>
      <tp>
        <v>50.5</v>
        <stp/>
        <stp>9926</stp>
        <stp>Price</stp>
        <tr r="V1677" s="57"/>
      </tp>
      <tp>
        <v>209.5</v>
        <stp/>
        <stp>2247</stp>
        <stp>Price</stp>
        <tr r="V517" s="57"/>
      </tp>
      <tp>
        <v>591</v>
        <stp/>
        <stp>2207</stp>
        <stp>Price</stp>
        <tr r="V31" s="118"/>
        <tr r="V509" s="57"/>
      </tp>
      <tp>
        <v>250</v>
        <stp/>
        <stp>2227</stp>
        <stp>Price</stp>
        <tr r="V510" s="57"/>
      </tp>
      <tp>
        <v>77.2</v>
        <stp/>
        <stp>2347</stp>
        <stp>Price</stp>
        <tr r="V1225" s="57"/>
      </tp>
      <tp>
        <v>357</v>
        <stp/>
        <stp>2357</stp>
        <stp>Price</stp>
        <tr r="V705" s="57"/>
      </tp>
      <tp>
        <v>17.25</v>
        <stp/>
        <stp>2367</stp>
        <stp>Price</stp>
        <tr r="V1029" s="57"/>
      </tp>
      <tp>
        <v>123</v>
        <stp/>
        <stp>2377</stp>
        <stp>Price</stp>
        <tr r="V710" s="57"/>
      </tp>
      <tp>
        <v>104</v>
        <stp/>
        <stp>2317</stp>
        <stp>Price</stp>
        <tr r="V1687" s="57"/>
        <tr r="V3" s="118"/>
      </tp>
      <tp>
        <v>406</v>
        <stp/>
        <stp>2327</stp>
        <stp>Price</stp>
        <tr r="V1026" s="57"/>
      </tp>
      <tp>
        <v>38.799999999999997</v>
        <stp/>
        <stp>2337</stp>
        <stp>Price</stp>
        <tr r="V532" s="57"/>
      </tp>
      <tp>
        <v>41.2</v>
        <stp/>
        <stp>2387</stp>
        <stp>Price</stp>
        <tr r="V121" s="22"/>
        <tr r="V713" s="57"/>
        <tr r="V36" s="28"/>
      </tp>
      <tp>
        <v>61.8</v>
        <stp/>
        <stp>2397</stp>
        <stp>Price</stp>
        <tr r="V715" s="57"/>
      </tp>
      <tp>
        <v>14.1</v>
        <stp/>
        <stp>2067</stp>
        <stp>Price</stp>
        <tr r="V163" s="57"/>
      </tp>
      <tp>
        <v>21</v>
        <stp/>
        <stp>2007</stp>
        <stp>Price</stp>
        <tr r="V433" s="57"/>
      </tp>
      <tp>
        <v>20.399999999999999</v>
        <stp/>
        <stp>2017</stp>
        <stp>Price</stp>
        <tr r="V441" s="57"/>
      </tp>
      <tp>
        <v>54</v>
        <stp/>
        <stp>2027</stp>
        <stp>Price</stp>
        <tr r="V447" s="57"/>
      </tp>
      <tp>
        <v>22.5</v>
        <stp/>
        <stp>2107</stp>
        <stp>Price</stp>
        <tr r="V485" s="57"/>
      </tp>
      <tp>
        <v>37.200000000000003</v>
        <stp/>
        <stp>2607</stp>
        <stp>Price</stp>
        <tr r="V1514" s="57"/>
      </tp>
      <tp>
        <v>36.85</v>
        <stp/>
        <stp>2617</stp>
        <stp>Price</stp>
        <tr r="V1522" s="57"/>
      </tp>
      <tp>
        <v>91.1</v>
        <stp/>
        <stp>2637</stp>
        <stp>Price</stp>
        <tr r="V1528" s="57"/>
      </tp>
      <tp>
        <v>174</v>
        <stp/>
        <stp>2707</stp>
        <stp>Price</stp>
        <tr r="V1548" s="57"/>
      </tp>
      <tp>
        <v>118.5</v>
        <stp/>
        <stp>2727</stp>
        <stp>Price</stp>
        <tr r="V1556" s="57"/>
      </tp>
      <tp>
        <v>45.1</v>
        <stp/>
        <stp>2457</stp>
        <stp>Price</stp>
        <tr r="V1044" s="57"/>
      </tp>
      <tp>
        <v>45.7</v>
        <stp/>
        <stp>2467</stp>
        <stp>Price</stp>
        <tr r="V1047" s="57"/>
      </tp>
      <tp>
        <v>25.9</v>
        <stp/>
        <stp>2477</stp>
        <stp>Price</stp>
        <tr r="V1699" s="57"/>
      </tp>
      <tp>
        <v>25.75</v>
        <stp/>
        <stp>2417</stp>
        <stp>Price</stp>
        <tr r="V718" s="57"/>
      </tp>
      <tp>
        <v>12.75</v>
        <stp/>
        <stp>2427</stp>
        <stp>Price</stp>
        <tr r="V1263" s="57"/>
      </tp>
      <tp>
        <v>102</v>
        <stp/>
        <stp>2497</stp>
        <stp>Price</stp>
        <tr r="V519" s="57"/>
      </tp>
      <tp>
        <v>10.25</v>
        <stp/>
        <stp>2547</stp>
        <stp>Price</stp>
        <tr r="V1463" s="57"/>
      </tp>
      <tp>
        <v>29.3</v>
        <stp/>
        <stp>2527</stp>
        <stp>Price</stp>
        <tr r="V1449" s="57"/>
      </tp>
      <tp>
        <v>10.75</v>
        <stp/>
        <stp>2537</stp>
        <stp>Price</stp>
        <tr r="V1455" s="57"/>
      </tp>
      <tp>
        <v>131</v>
        <stp/>
        <stp>2597</stp>
        <stp>Price</stp>
        <tr r="V1466" s="57"/>
      </tp>
      <tp>
        <v>8.4499999999999993</v>
        <stp/>
        <stp>2867</stp>
        <stp>Price</stp>
        <tr r="V1602" s="57"/>
      </tp>
      <tp>
        <v>20.149999999999999</v>
        <stp/>
        <stp>2887</stp>
        <stp>Price</stp>
        <tr r="V1610" s="57"/>
      </tp>
      <tp>
        <v>10</v>
        <stp/>
        <stp>2897</stp>
        <stp>Price</stp>
        <tr r="V1616" s="57"/>
      </tp>
      <tp>
        <v>140</v>
        <stp/>
        <stp>2947</stp>
        <stp>Price</stp>
        <tr r="V1651" s="57"/>
      </tp>
      <tp>
        <v>37.299999999999997</v>
        <stp/>
        <stp>2937</stp>
        <stp>Price</stp>
        <tr r="V1648" s="57"/>
      </tp>
      <tp>
        <v>72.599999999999994</v>
        <stp/>
        <stp>3257</stp>
        <stp>Price</stp>
        <tr r="V568" s="57"/>
      </tp>
      <tp>
        <v>25.65</v>
        <stp/>
        <stp>3207</stp>
        <stp>Price</stp>
        <tr r="V1074" s="57"/>
      </tp>
      <tp>
        <v>102</v>
        <stp/>
        <stp>3217</stp>
        <stp>Price</stp>
        <tr r="V1075" s="57"/>
      </tp>
      <tp>
        <v>132.5</v>
        <stp/>
        <stp>3227</stp>
        <stp>Price</stp>
        <tr r="V566" s="57"/>
      </tp>
      <tp>
        <v>16.25</v>
        <stp/>
        <stp>3287</stp>
        <stp>Price</stp>
        <tr r="V737" s="57"/>
      </tp>
      <tp>
        <v>16.95</v>
        <stp/>
        <stp>3297</stp>
        <stp>Price</stp>
        <tr r="V833" s="57"/>
      </tp>
      <tp>
        <v>115</v>
        <stp/>
        <stp>3357</stp>
        <stp>Price</stp>
        <tr r="V1091" s="57"/>
      </tp>
      <tp>
        <v>63.2</v>
        <stp/>
        <stp>3317</stp>
        <stp>Price</stp>
        <tr r="V574" s="57"/>
      </tp>
      <tp>
        <v>11.45</v>
        <stp/>
        <stp>3047</stp>
        <stp>Price</stp>
        <tr r="V943" s="57"/>
      </tp>
      <tp>
        <v>12.8</v>
        <stp/>
        <stp>3057</stp>
        <stp>Price</stp>
        <tr r="V729" s="57"/>
      </tp>
      <tp>
        <v>41.2</v>
        <stp/>
        <stp>3067</stp>
        <stp>Price</stp>
        <tr r="V1706" s="57"/>
      </tp>
      <tp>
        <v>108</v>
        <stp/>
        <stp>3017</stp>
        <stp>Price</stp>
        <tr r="V726" s="57"/>
      </tp>
      <tp>
        <v>20.9</v>
        <stp/>
        <stp>3027</stp>
        <stp>Price</stp>
        <tr r="V941" s="57"/>
      </tp>
      <tp>
        <v>217.5</v>
        <stp/>
        <stp>3037</stp>
        <stp>Price</stp>
        <tr r="V1062" s="57"/>
      </tp>
      <tp>
        <v>45.5</v>
        <stp/>
        <stp>3147</stp>
        <stp>Price</stp>
        <tr r="V9" s="114"/>
        <tr r="V1302" s="57"/>
      </tp>
      <tp>
        <v>63</v>
        <stp/>
        <stp>3167</stp>
        <stp>Price</stp>
        <tr r="V170" s="57"/>
      </tp>
      <tp>
        <v>13.25</v>
        <stp/>
        <stp>3607</stp>
        <stp>Price</stp>
        <tr r="V1111" s="57"/>
      </tp>
      <tp>
        <v>68.5</v>
        <stp/>
        <stp>3617</stp>
        <stp>Price</stp>
        <tr r="V1725" s="57"/>
      </tp>
      <tp>
        <v>150.5</v>
        <stp/>
        <stp>3687</stp>
        <stp>Price</stp>
        <tr r="V1799" s="57"/>
      </tp>
      <tp>
        <v>130.5</v>
        <stp/>
        <stp>3707</stp>
        <stp>Price</stp>
        <tr r="V597" s="57"/>
      </tp>
      <tp>
        <v>22.45</v>
        <stp/>
        <stp>3437</stp>
        <stp>Price</stp>
        <tr r="V840" s="57"/>
      </tp>
      <tp>
        <v>72.400000000000006</v>
        <stp/>
        <stp>3557</stp>
        <stp>Price</stp>
        <tr r="V37" s="74"/>
        <tr r="V21" s="74"/>
        <tr r="V1322" s="57"/>
      </tp>
      <tp>
        <v>36.25</v>
        <stp/>
        <stp>3567</stp>
        <stp>Price</stp>
        <tr r="V588" s="57"/>
      </tp>
      <tp>
        <v>83.7</v>
        <stp/>
        <stp>3577</stp>
        <stp>Price</stp>
        <tr r="V748" s="57"/>
      </tp>
      <tp>
        <v>155.5</v>
        <stp/>
        <stp>3527</stp>
        <stp>Price</stp>
        <tr r="V580" s="57"/>
      </tp>
      <tp>
        <v>42.2</v>
        <stp/>
        <stp>3537</stp>
        <stp>Price</stp>
        <tr r="V1105" s="57"/>
      </tp>
      <tp>
        <v>138.5</v>
        <stp/>
        <stp>3587</stp>
        <stp>Price</stp>
        <tr r="V1724" s="57"/>
      </tp>
      <tp>
        <v>27.9</v>
        <stp/>
        <stp>3597</stp>
        <stp>Price</stp>
        <tr r="V1109" s="57"/>
      </tp>
      <tp>
        <v>11.4</v>
        <stp/>
        <stp>1217</stp>
        <stp>Price</stp>
        <tr r="V19" s="57"/>
      </tp>
      <tp>
        <v>49.5</v>
        <stp/>
        <stp>1227</stp>
        <stp>Price</stp>
        <tr r="V24" s="57"/>
      </tp>
      <tp>
        <v>20.25</v>
        <stp/>
        <stp>1307</stp>
        <stp>Price</stp>
        <tr r="V46" s="57"/>
      </tp>
      <tp>
        <v>6.83</v>
        <stp/>
        <stp>1337</stp>
        <stp>Price</stp>
        <tr r="V59" s="57"/>
      </tp>
      <tp>
        <v>18</v>
        <stp/>
        <stp>1617</stp>
        <stp>Price</stp>
        <tr r="V234" s="57"/>
      </tp>
      <tp>
        <v>65.2</v>
        <stp/>
        <stp>1777</stp>
        <stp>Price</stp>
        <tr r="V301" s="57"/>
      </tp>
      <tp>
        <v>147</v>
        <stp/>
        <stp>1707</stp>
        <stp>Price</stp>
        <tr r="V32" s="74"/>
        <tr r="V15" s="74"/>
        <tr r="V292" s="57"/>
      </tp>
      <tp>
        <v>39.4</v>
        <stp/>
        <stp>1717</stp>
        <stp>Price</stp>
        <tr r="V250" s="57"/>
      </tp>
      <tp>
        <v>48.5</v>
        <stp/>
        <stp>1727</stp>
        <stp>Price</stp>
        <tr r="V257" s="57"/>
      </tp>
      <tp>
        <v>34.25</v>
        <stp/>
        <stp>1737</stp>
        <stp>Price</stp>
        <tr r="V36" s="57"/>
      </tp>
      <tp>
        <v>9.1300000000000008</v>
        <stp/>
        <stp>1447</stp>
        <stp>Price</stp>
        <tr r="V87" s="57"/>
      </tp>
      <tp>
        <v>18.55</v>
        <stp/>
        <stp>1457</stp>
        <stp>Price</stp>
        <tr r="V95" s="57"/>
      </tp>
      <tp>
        <v>13.65</v>
        <stp/>
        <stp>1467</stp>
        <stp>Price</stp>
        <tr r="V102" s="57"/>
      </tp>
      <tp>
        <v>183</v>
        <stp/>
        <stp>1477</stp>
        <stp>Price</stp>
        <tr r="V110" s="57"/>
      </tp>
      <tp>
        <v>13.1</v>
        <stp/>
        <stp>1417</stp>
        <stp>Price</stp>
        <tr r="V75" s="57"/>
      </tp>
      <tp>
        <v>27.85</v>
        <stp/>
        <stp>1437</stp>
        <stp>Price</stp>
        <tr r="V1308" s="57"/>
      </tp>
      <tp t="s">
        <v>商品錯誤</v>
        <stp/>
        <stp>1507</stp>
        <stp>Price</stp>
        <tr r="V131" s="57"/>
      </tp>
      <tp>
        <v>23.15</v>
        <stp/>
        <stp>1517</stp>
        <stp>Price</stp>
        <tr r="V135" s="57"/>
      </tp>
      <tp>
        <v>42.3</v>
        <stp/>
        <stp>1527</stp>
        <stp>Price</stp>
        <tr r="V138" s="57"/>
      </tp>
      <tp>
        <v>138</v>
        <stp/>
        <stp>1537</stp>
        <stp>Price</stp>
        <tr r="V145" s="57"/>
      </tp>
      <tp>
        <v>24.35</v>
        <stp/>
        <stp>1587</stp>
        <stp>Price</stp>
        <tr r="V504" s="57"/>
      </tp>
      <tp>
        <v>78.099999999999994</v>
        <stp/>
        <stp>1597</stp>
        <stp>Price</stp>
        <tr r="V159" s="57"/>
      </tp>
      <tp>
        <v>35.799999999999997</v>
        <stp/>
        <stp>1817</stp>
        <stp>Price</stp>
        <tr r="V420" s="57"/>
      </tp>
      <tp>
        <v>32.4</v>
        <stp/>
        <stp>1907</stp>
        <stp>Price</stp>
        <tr r="V427" s="57"/>
      </tp>
      <tp>
        <v>10.9</v>
        <stp/>
        <stp>6247</stp>
        <stp>Price</stp>
        <tr r="V1747" s="57"/>
      </tp>
      <tp>
        <v>58.2</v>
        <stp/>
        <stp>6257</stp>
        <stp>Price</stp>
        <tr r="V641" s="57"/>
      </tp>
      <tp>
        <v>81.7</v>
        <stp/>
        <stp>6277</stp>
        <stp>Price</stp>
        <tr r="V788" s="57"/>
      </tp>
      <tp>
        <v>33.200000000000003</v>
        <stp/>
        <stp>6207</stp>
        <stp>Price</stp>
        <tr r="V1173" s="57"/>
      </tp>
      <tp>
        <v>61.2</v>
        <stp/>
        <stp>6217</stp>
        <stp>Price</stp>
        <tr r="V1177" s="57"/>
      </tp>
      <tp>
        <v>36.6</v>
        <stp/>
        <stp>6227</stp>
        <stp>Price</stp>
        <tr r="V1248" s="57"/>
      </tp>
      <tp>
        <v>68.599999999999994</v>
        <stp/>
        <stp>6237</stp>
        <stp>Price</stp>
        <tr r="V638" s="57"/>
      </tp>
      <tp>
        <v>8.0299999999999994</v>
        <stp/>
        <stp>6287</stp>
        <stp>Price</stp>
        <tr r="V644" s="57"/>
      </tp>
      <tp>
        <v>66.900000000000006</v>
        <stp/>
        <stp>6147</stp>
        <stp>Price</stp>
        <tr r="V631" s="57"/>
      </tp>
      <tp>
        <v>12.2</v>
        <stp/>
        <stp>6167</stp>
        <stp>Price</stp>
        <tr r="V894" s="57"/>
      </tp>
      <tp>
        <v>32</v>
        <stp/>
        <stp>6177</stp>
        <stp>Price</stp>
        <tr r="V1500" s="57"/>
      </tp>
      <tp>
        <v>15.7</v>
        <stp/>
        <stp>6117</stp>
        <stp>Price</stp>
        <tr r="V774" s="57"/>
      </tp>
      <tp>
        <v>24.2</v>
        <stp/>
        <stp>6127</stp>
        <stp>Price</stp>
        <tr r="V1154" s="57"/>
      </tp>
      <tp>
        <v>125</v>
        <stp/>
        <stp>6187</stp>
        <stp>Price</stp>
        <tr r="V1742" s="57"/>
      </tp>
      <tp>
        <v>40</v>
        <stp/>
        <stp>6197</stp>
        <stp>Price</stp>
        <tr r="V1169" s="57"/>
      </tp>
      <tp>
        <v>86</v>
        <stp/>
        <stp>6667</stp>
        <stp>Price</stp>
        <tr r="V1756" s="57"/>
      </tp>
      <tp>
        <v>38</v>
        <stp/>
        <stp>6697</stp>
        <stp>Price</stp>
        <tr r="V1296" s="57"/>
      </tp>
      <tp>
        <v>234</v>
        <stp/>
        <stp>6747</stp>
        <stp>Price</stp>
        <tr r="V405" s="57"/>
      </tp>
      <tp>
        <v>33.5</v>
        <stp/>
        <stp>6767</stp>
        <stp>Price</stp>
        <tr r="V407" s="57"/>
      </tp>
      <tp>
        <v>69.7</v>
        <stp/>
        <stp>6727</stp>
        <stp>Price</stp>
        <tr r="V1199" s="57"/>
      </tp>
      <tp>
        <v>118.5</v>
        <stp/>
        <stp>6457</stp>
        <stp>Price</stp>
        <tr r="V650" s="57"/>
      </tp>
      <tp>
        <v>63.9</v>
        <stp/>
        <stp>6477</stp>
        <stp>Price</stp>
        <tr r="V11" s="28"/>
        <tr r="V911" s="57"/>
      </tp>
      <tp>
        <v>76.5</v>
        <stp/>
        <stp>6417</stp>
        <stp>Price</stp>
        <tr r="V995" s="57"/>
      </tp>
      <tp>
        <v>264.5</v>
        <stp/>
        <stp>6547</stp>
        <stp>Price</stp>
        <tr r="V390" s="57"/>
      </tp>
      <tp t="s">
        <v>無資料</v>
        <stp/>
        <stp>6577</stp>
        <stp>Price</stp>
        <tr r="V792" s="57"/>
      </tp>
      <tp>
        <v>46.95</v>
        <stp/>
        <stp>6527</stp>
        <stp>Price</stp>
        <tr r="V387" s="57"/>
      </tp>
      <tp>
        <v>15.1</v>
        <stp/>
        <stp>4207</stp>
        <stp>Price</stp>
        <tr r="V39" s="57"/>
      </tp>
      <tp>
        <v>63.2</v>
        <stp/>
        <stp>4147</stp>
        <stp>Price</stp>
        <tr r="V343" s="57"/>
      </tp>
      <tp>
        <v>16.600000000000001</v>
        <stp/>
        <stp>4157</stp>
        <stp>Price</stp>
        <tr r="V348" s="57"/>
      </tp>
      <tp>
        <v>18.75</v>
        <stp/>
        <stp>4167</stp>
        <stp>Price</stp>
        <tr r="V354" s="57"/>
      </tp>
      <tp>
        <v>111.5</v>
        <stp/>
        <stp>4107</stp>
        <stp>Price</stp>
        <tr r="V321" s="57"/>
      </tp>
      <tp>
        <v>14.25</v>
        <stp/>
        <stp>4127</stp>
        <stp>Price</stp>
        <tr r="V332" s="57"/>
      </tp>
      <tp>
        <v>198</v>
        <stp/>
        <stp>4137</stp>
        <stp>Price</stp>
        <tr r="V338" s="57"/>
      </tp>
      <tp>
        <v>33.6</v>
        <stp/>
        <stp>4747</stp>
        <stp>Price</stp>
        <tr r="V373" s="57"/>
      </tp>
      <tp>
        <v>31.6</v>
        <stp/>
        <stp>4767</stp>
        <stp>Price</stp>
        <tr r="V281" s="57"/>
      </tp>
      <tp>
        <v>13.2</v>
        <stp/>
        <stp>4707</stp>
        <stp>Price</stp>
        <tr r="V267" s="57"/>
      </tp>
      <tp>
        <v>73.5</v>
        <stp/>
        <stp>4737</stp>
        <stp>Price</stp>
        <tr r="V368" s="57"/>
      </tp>
      <tp>
        <v>34.450000000000003</v>
        <stp/>
        <stp>4417</stp>
        <stp>Price</stp>
        <tr r="V116" s="57"/>
      </tp>
      <tp>
        <v>80.099999999999994</v>
        <stp/>
        <stp>4557</stp>
        <stp>Price</stp>
        <tr r="V522" s="57"/>
      </tp>
      <tp>
        <v>27.4</v>
        <stp/>
        <stp>4527</stp>
        <stp>Price</stp>
        <tr r="V182" s="57"/>
      </tp>
      <tp>
        <v>27.3</v>
        <stp/>
        <stp>4807</stp>
        <stp>Price</stp>
        <tr r="V1653" s="57"/>
      </tp>
      <tp>
        <v>36.799999999999997</v>
        <stp/>
        <stp>4967</stp>
        <stp>Price</stp>
        <tr r="V605" s="57"/>
      </tp>
      <tp>
        <v>79.7</v>
        <stp/>
        <stp>4977</stp>
        <stp>Price</stp>
        <tr r="V19" s="114"/>
        <tr r="V975" s="57"/>
      </tp>
      <tp>
        <v>24.3</v>
        <stp/>
        <stp>4907</stp>
        <stp>Price</stp>
        <tr r="V1477" s="57"/>
      </tp>
      <tp>
        <v>103.5</v>
        <stp/>
        <stp>4927</stp>
        <stp>Price</stp>
        <tr r="V49" s="74"/>
        <tr r="V1125" s="57"/>
      </tp>
      <tp>
        <v>59.8</v>
        <stp/>
        <stp>4987</stp>
        <stp>Price</stp>
        <tr r="V762" s="57"/>
      </tp>
      <tp>
        <v>73</v>
        <stp/>
        <stp>5227</stp>
        <stp>Price</stp>
        <tr r="V1132" s="57"/>
      </tp>
      <tp>
        <v>216</v>
        <stp/>
        <stp>5287</stp>
        <stp>Price</stp>
        <tr r="V1801" s="57"/>
      </tp>
      <tp>
        <v>112</v>
        <stp/>
        <stp>5347</stp>
        <stp>Price</stp>
        <tr r="V620" s="57"/>
        <tr r="V34" s="118"/>
      </tp>
      <tp>
        <v>54.9</v>
        <stp/>
        <stp>5007</stp>
        <stp>Price</stp>
        <tr r="V463" s="57"/>
      </tp>
      <tp>
        <v>55.1</v>
        <stp/>
        <stp>5607</stp>
        <stp>Price</stp>
        <tr r="V1535" s="57"/>
      </tp>
      <tp>
        <v>56.2</v>
        <stp/>
        <stp>5457</stp>
        <stp>Price</stp>
        <tr r="V1142" s="57"/>
      </tp>
      <tp>
        <v>32.299999999999997</v>
        <stp/>
        <stp>5487</stp>
        <stp>Price</stp>
        <tr r="V626" s="57"/>
      </tp>
      <tp>
        <v>16.850000000000001</v>
        <stp/>
        <stp>5907</stp>
        <stp>Price</stp>
        <tr r="V1659" s="57"/>
      </tp>
      <tp>
        <v>11.4</v>
        <stp/>
        <stp>8277</stp>
        <stp>Price</stp>
        <tr r="V693" s="57"/>
      </tp>
      <tp>
        <v>48.15</v>
        <stp/>
        <stp>8367</stp>
        <stp>Price</stp>
        <tr r="V1538" s="57"/>
      </tp>
      <tp>
        <v>14.3</v>
        <stp/>
        <stp>8047</stp>
        <stp>Price</stp>
        <tr r="V1761" s="57"/>
      </tp>
      <tp>
        <v>9.4</v>
        <stp/>
        <stp>8067</stp>
        <stp>Price</stp>
        <tr r="V1254" s="57"/>
      </tp>
      <tp>
        <v>10</v>
        <stp/>
        <stp>8077</stp>
        <stp>Price</stp>
        <tr r="V1581" s="57"/>
      </tp>
      <tp>
        <v>73.099999999999994</v>
        <stp/>
        <stp>8027</stp>
        <stp>Price</stp>
        <tr r="V214" s="57"/>
      </tp>
      <tp>
        <v>30</v>
        <stp/>
        <stp>8087</stp>
        <stp>Price</stp>
        <tr r="V920" s="57"/>
      </tp>
      <tp>
        <v>45.2</v>
        <stp/>
        <stp>8097</stp>
        <stp>Price</stp>
        <tr r="V1011" s="57"/>
      </tp>
      <tp>
        <v>62.7</v>
        <stp/>
        <stp>8147</stp>
        <stp>Price</stp>
        <tr r="V1215" s="57"/>
      </tp>
      <tp>
        <v>19.05</v>
        <stp/>
        <stp>8107</stp>
        <stp>Price</stp>
        <tr r="V216" s="57"/>
      </tp>
      <tp>
        <v>37.85</v>
        <stp/>
        <stp>8467</stp>
        <stp>Price</stp>
        <tr r="V1381" s="57"/>
      </tp>
      <tp>
        <v>27.45</v>
        <stp/>
        <stp>8477</stp>
        <stp>Price</stp>
        <tr r="V1806" s="57"/>
      </tp>
      <tp>
        <v>115</v>
        <stp/>
        <stp>8437</stp>
        <stp>Price</stp>
        <tr r="V1373" s="57"/>
      </tp>
      <tp>
        <v>91</v>
        <stp/>
        <stp>8917</stp>
        <stp>Price</stp>
        <tr r="V1673" s="57"/>
      </tp>
      <tp>
        <v>36.75</v>
        <stp/>
        <stp>8927</stp>
        <stp>Price</stp>
        <tr r="V1682" s="57"/>
      </tp>
      <tp>
        <v>13.7</v>
        <stp/>
        <stp>8937</stp>
        <stp>Price</stp>
        <tr r="V1401" s="57"/>
      </tp>
      <tp>
        <v>17.05</v>
        <stp/>
        <stp>9907</stp>
        <stp>Price</stp>
        <tr r="V1408" s="57"/>
      </tp>
      <tp>
        <v>113.5</v>
        <stp/>
        <stp>9917</stp>
        <stp>Price</stp>
        <tr r="V1412" s="57"/>
      </tp>
      <tp>
        <v>47.5</v>
        <stp/>
        <stp>9927</stp>
        <stp>Price</stp>
        <tr r="V1417" s="57"/>
      </tp>
      <tp>
        <v>48.8</v>
        <stp/>
        <stp>9937</stp>
        <stp>Price</stp>
        <tr r="V1680" s="57"/>
      </tp>
      <tp>
        <v>405</v>
        <stp/>
        <stp>6499</stp>
        <stp>PredictVolume</stp>
        <tr r="AJ385" s="57"/>
      </tp>
      <tp>
        <v>57</v>
        <stp/>
        <stp>6419</stp>
        <stp>PredictVolume</stp>
        <tr r="AJ907" s="57"/>
      </tp>
      <tp>
        <v>40</v>
        <stp/>
        <stp>6409</stp>
        <stp>PredictVolume</stp>
        <tr r="AJ1750" s="57"/>
      </tp>
      <tp>
        <v>186</v>
        <stp/>
        <stp>6469</stp>
        <stp>PredictVolume</stp>
        <tr r="AJ380" s="57"/>
      </tp>
      <tp>
        <v>22</v>
        <stp/>
        <stp>6449</stp>
        <stp>PredictVolume</stp>
        <tr r="AJ1193" s="57"/>
      </tp>
      <tp>
        <v>1180</v>
        <stp/>
        <stp>6589</stp>
        <stp>PredictVolume</stp>
        <tr r="AJ394" s="57"/>
      </tp>
      <tp>
        <v>2176</v>
        <stp/>
        <stp>6509</stp>
        <stp>PredictVolume</stp>
        <tr r="AJ285" s="57"/>
      </tp>
      <tp>
        <v>94</v>
        <stp/>
        <stp>6579</stp>
        <stp>PredictVolume</stp>
        <tr r="AJ793" s="57"/>
      </tp>
      <tp>
        <v>19</v>
        <stp/>
        <stp>6569</stp>
        <stp>PredictVolume</stp>
        <tr r="AM59" s="28"/>
        <tr r="AJ391" s="57"/>
      </tp>
      <tp>
        <v>1</v>
        <stp/>
        <stp>6629</stp>
        <stp>PredictVolume</stp>
        <tr r="AJ1348" s="57"/>
      </tp>
      <tp>
        <v>106</v>
        <stp/>
        <stp>6609</stp>
        <stp>PredictVolume</stp>
        <tr r="AJ212" s="57"/>
      </tp>
      <tp>
        <v>151</v>
        <stp/>
        <stp>6679</stp>
        <stp>PredictVolume</stp>
        <tr r="AJ669" s="57"/>
      </tp>
      <tp>
        <v>301</v>
        <stp/>
        <stp>6669</stp>
        <stp>PredictVolume</stp>
        <tr r="AJ795" s="57"/>
      </tp>
      <tp>
        <v>47</v>
        <stp/>
        <stp>6649</stp>
        <stp>PredictVolume</stp>
        <tr r="AJ398" s="57"/>
      </tp>
      <tp>
        <v>1523</v>
        <stp/>
        <stp>6719</stp>
        <stp>PredictVolume</stp>
        <tr r="AJ674" s="57"/>
      </tp>
      <tp>
        <v>10</v>
        <stp/>
        <stp>6199</stp>
        <stp>PredictVolume</stp>
        <tr r="AJ1339" s="57"/>
      </tp>
      <tp>
        <v>250</v>
        <stp/>
        <stp>6189</stp>
        <stp>PredictVolume</stp>
        <tr r="AJ1247" s="57"/>
      </tp>
      <tp>
        <v>1972</v>
        <stp/>
        <stp>6139</stp>
        <stp>PredictVolume</stp>
        <tr r="AJ1739" s="57"/>
      </tp>
      <tp>
        <v>1069</v>
        <stp/>
        <stp>6129</stp>
        <stp>PredictVolume</stp>
        <tr r="AJ629" s="57"/>
      </tp>
      <tp>
        <v>45</v>
        <stp/>
        <stp>6109</stp>
        <stp>PredictVolume</stp>
        <tr r="AJ980" s="57"/>
      </tp>
      <tp>
        <v>668</v>
        <stp/>
        <stp>6179</stp>
        <stp>PredictVolume</stp>
        <tr r="AM22" s="28"/>
        <tr r="AJ1337" s="57"/>
      </tp>
      <tp>
        <v>89</v>
        <stp/>
        <stp>6169</stp>
        <stp>PredictVolume</stp>
        <tr r="AJ1785" s="57"/>
      </tp>
      <tp>
        <v>14</v>
        <stp/>
        <stp>6289</stp>
        <stp>PredictVolume</stp>
        <tr r="AJ905" s="57"/>
      </tp>
      <tp>
        <v>1326</v>
        <stp/>
        <stp>6239</stp>
        <stp>PredictVolume</stp>
        <tr r="AJ639" s="57"/>
      </tp>
      <tp>
        <v>76</v>
        <stp/>
        <stp>6229</stp>
        <stp>PredictVolume</stp>
        <tr r="AJ636" s="57"/>
      </tp>
      <tp>
        <v>539</v>
        <stp/>
        <stp>6219</stp>
        <stp>PredictVolume</stp>
        <tr r="AJ1503" s="57"/>
      </tp>
      <tp>
        <v>718</v>
        <stp/>
        <stp>6209</stp>
        <stp>PredictVolume</stp>
        <tr r="AJ897" s="57"/>
      </tp>
      <tp>
        <v>165</v>
        <stp/>
        <stp>6279</stp>
        <stp>PredictVolume</stp>
        <tr r="AJ1185" s="57"/>
      </tp>
      <tp>
        <v>686</v>
        <stp/>
        <stp>6269</stp>
        <stp>PredictVolume</stp>
        <tr r="AJ1183" s="57"/>
      </tp>
      <tp>
        <v>52</v>
        <stp/>
        <stp>6259</stp>
        <stp>PredictVolume</stp>
        <tr r="AJ1181" s="57"/>
      </tp>
      <tp>
        <v>56</v>
        <stp/>
        <stp>6829</stp>
        <stp>PredictVolume</stp>
        <tr r="AJ213" s="57"/>
      </tp>
      <tp>
        <v>10</v>
        <stp/>
        <stp>4439</stp>
        <stp>PredictVolume</stp>
        <tr r="AJ124" s="57"/>
      </tp>
      <tp>
        <v>4</v>
        <stp/>
        <stp>4429</stp>
        <stp>PredictVolume</stp>
        <tr r="AJ120" s="57"/>
      </tp>
      <tp>
        <v>0</v>
        <stp/>
        <stp>4419</stp>
        <stp>PredictVolume</stp>
        <tr r="AJ117" s="57"/>
      </tp>
      <tp>
        <v>129</v>
        <stp/>
        <stp>4529</stp>
        <stp>PredictVolume</stp>
        <tr r="AJ1324" s="57"/>
      </tp>
      <tp>
        <v>21</v>
        <stp/>
        <stp>4549</stp>
        <stp>PredictVolume</stp>
        <tr r="AJ192" s="57"/>
      </tp>
      <tp>
        <v>15</v>
        <stp/>
        <stp>4609</stp>
        <stp>PredictVolume</stp>
        <tr r="AJ238" s="57"/>
      </tp>
      <tp>
        <v>2804</v>
        <stp/>
        <stp>4739</stp>
        <stp>PredictVolume</stp>
        <tr r="AJ274" s="57"/>
      </tp>
      <tp>
        <v>4</v>
        <stp/>
        <stp>4729</stp>
        <stp>PredictVolume</stp>
        <tr r="AJ865" s="57"/>
      </tp>
      <tp>
        <v>204</v>
        <stp/>
        <stp>4139</stp>
        <stp>PredictVolume</stp>
        <tr r="AJ340" s="57"/>
      </tp>
      <tp>
        <v>90</v>
        <stp/>
        <stp>4129</stp>
        <stp>PredictVolume</stp>
        <tr r="AJ334" s="57"/>
      </tp>
      <tp>
        <v>115</v>
        <stp/>
        <stp>4119</stp>
        <stp>PredictVolume</stp>
        <tr r="AJ327" s="57"/>
      </tp>
      <tp>
        <v>138</v>
        <stp/>
        <stp>4109</stp>
        <stp>PredictVolume</stp>
        <tr r="AJ323" s="57"/>
      </tp>
      <tp>
        <v>57</v>
        <stp/>
        <stp>4999</stp>
        <stp>PredictVolume</stp>
        <tr r="AJ1131" s="57"/>
      </tp>
      <tp>
        <v>143</v>
        <stp/>
        <stp>4989</stp>
        <stp>PredictVolume</stp>
        <tr r="AJ1130" s="57"/>
      </tp>
      <tp>
        <v>495</v>
        <stp/>
        <stp>4939</stp>
        <stp>PredictVolume</stp>
        <tr r="AJ1126" s="57"/>
      </tp>
      <tp>
        <v>20996</v>
        <stp/>
        <stp>4919</stp>
        <stp>PredictVolume</stp>
        <tr r="AJ599" s="57"/>
      </tp>
      <tp>
        <v>76</v>
        <stp/>
        <stp>4909</stp>
        <stp>PredictVolume</stp>
        <tr r="AJ974" s="57"/>
      </tp>
      <tp>
        <v>157</v>
        <stp/>
        <stp>4979</stp>
        <stp>PredictVolume</stp>
        <tr r="AJ976" s="57"/>
      </tp>
      <tp>
        <v>5</v>
        <stp/>
        <stp>5489</stp>
        <stp>PredictVolume</stp>
        <tr r="AJ1736" s="57"/>
      </tp>
      <tp>
        <v>135</v>
        <stp/>
        <stp>5439</stp>
        <stp>PredictVolume</stp>
        <tr r="AJ1141" s="57"/>
      </tp>
      <tp>
        <v>988</v>
        <stp/>
        <stp>5469</stp>
        <stp>PredictVolume</stp>
        <tr r="AJ1145" s="57"/>
      </tp>
      <tp>
        <v>6</v>
        <stp/>
        <stp>5529</stp>
        <stp>PredictVolume</stp>
        <tr r="AJ1493" s="57"/>
      </tp>
      <tp>
        <v>459</v>
        <stp/>
        <stp>5519</stp>
        <stp>PredictVolume</stp>
        <tr r="AJ1488" s="57"/>
      </tp>
      <tp>
        <v>3291</v>
        <stp/>
        <stp>5609</stp>
        <stp>PredictVolume</stp>
        <tr r="AJ1537" s="57"/>
      </tp>
      <tp>
        <v>76340</v>
        <stp/>
        <stp>5009</stp>
        <stp>PredictVolume</stp>
        <tr r="AJ464" s="57"/>
      </tp>
      <tp>
        <v>164</v>
        <stp/>
        <stp>5299</stp>
        <stp>PredictVolume</stp>
        <tr r="AJ616" s="57"/>
      </tp>
      <tp>
        <v>82</v>
        <stp/>
        <stp>5289</stp>
        <stp>PredictVolume</stp>
        <tr r="AJ766" s="57"/>
      </tp>
      <tp>
        <v>21</v>
        <stp/>
        <stp>5209</stp>
        <stp>PredictVolume</stp>
        <tr r="AJ1276" s="57"/>
      </tp>
      <tp>
        <v>852</v>
        <stp/>
        <stp>5269</stp>
        <stp>PredictVolume</stp>
        <tr r="AJ612" s="57"/>
      </tp>
      <tp>
        <v>4042</v>
        <stp/>
        <stp>5309</stp>
        <stp>PredictVolume</stp>
        <tr r="AJ1134" s="57"/>
      </tp>
      <tp>
        <v>662</v>
        <stp/>
        <stp>2489</stp>
        <stp>PredictVolume</stp>
        <tr r="AJ818" s="57"/>
      </tp>
      <tp>
        <v>251</v>
        <stp/>
        <stp>2439</stp>
        <stp>PredictVolume</stp>
        <tr r="AJ934" s="57"/>
      </tp>
      <tp>
        <v>8</v>
        <stp/>
        <stp>2429</stp>
        <stp>PredictVolume</stp>
        <tr r="AJ1041" s="57"/>
      </tp>
      <tp>
        <v>212</v>
        <stp/>
        <stp>2419</stp>
        <stp>PredictVolume</stp>
        <tr r="AJ933" s="57"/>
      </tp>
      <tp>
        <v>40431</v>
        <stp/>
        <stp>2409</stp>
        <stp>PredictVolume</stp>
        <tr r="AJ813" s="57"/>
      </tp>
      <tp>
        <v>62</v>
        <stp/>
        <stp>2459</stp>
        <stp>PredictVolume</stp>
        <tr r="AJ1228" s="57"/>
      </tp>
      <tp>
        <v>2064</v>
        <stp/>
        <stp>2449</stp>
        <stp>PredictVolume</stp>
        <tr r="AJ546" s="57"/>
      </tp>
      <tp>
        <v>111</v>
        <stp/>
        <stp>2539</stp>
        <stp>PredictVolume</stp>
        <tr r="AJ1457" s="57"/>
      </tp>
      <tp>
        <v>85</v>
        <stp/>
        <stp>2509</stp>
        <stp>PredictVolume</stp>
        <tr r="AJ1444" s="57"/>
      </tp>
      <tp>
        <v>42346</v>
        <stp/>
        <stp>2609</stp>
        <stp>PredictVolume</stp>
        <tr r="AJ1516" s="57"/>
        <tr r="AJ26" s="118"/>
      </tp>
      <tp>
        <v>38</v>
        <stp/>
        <stp>2739</stp>
        <stp>PredictVolume</stp>
        <tr r="AJ1562" s="57"/>
      </tp>
      <tp>
        <v>14</v>
        <stp/>
        <stp>2729</stp>
        <stp>PredictVolume</stp>
        <tr r="AJ1557" s="57"/>
      </tp>
      <tp>
        <v>4</v>
        <stp/>
        <stp>2719</stp>
        <stp>PredictVolume</stp>
        <tr r="AJ1551" s="57"/>
      </tp>
      <tp>
        <v>8682</v>
        <stp/>
        <stp>2029</stp>
        <stp>PredictVolume</stp>
        <tr r="AJ449" s="57"/>
      </tp>
      <tp>
        <v>962</v>
        <stp/>
        <stp>2009</stp>
        <stp>PredictVolume</stp>
        <tr r="AJ435" s="57"/>
      </tp>
      <tp>
        <v>6503</v>
        <stp/>
        <stp>2069</stp>
        <stp>PredictVolume</stp>
        <tr r="AJ460" s="57"/>
      </tp>
      <tp>
        <v>120</v>
        <stp/>
        <stp>2059</stp>
        <stp>PredictVolume</stp>
        <tr r="AJ1022" s="57"/>
      </tp>
      <tp>
        <v>926</v>
        <stp/>
        <stp>2049</stp>
        <stp>PredictVolume</stp>
        <tr r="AJ161" s="57"/>
      </tp>
      <tp>
        <v>66</v>
        <stp/>
        <stp>2109</stp>
        <stp>PredictVolume</stp>
        <tr r="AJ487" s="57"/>
      </tp>
      <tp>
        <v>14</v>
        <stp/>
        <stp>2239</stp>
        <stp>PredictVolume</stp>
        <tr r="AJ515" s="57"/>
      </tp>
      <tp>
        <v>491</v>
        <stp/>
        <stp>2399</stp>
        <stp>PredictVolume</stp>
        <tr r="AJ716" s="57"/>
      </tp>
      <tp>
        <v>1203</v>
        <stp/>
        <stp>2329</stp>
        <stp>PredictVolume</stp>
        <tr r="AJ530" s="57"/>
      </tp>
      <tp>
        <v>1928</v>
        <stp/>
        <stp>2379</stp>
        <stp>PredictVolume</stp>
        <tr r="AJ539" s="57"/>
      </tp>
      <tp>
        <v>1129</v>
        <stp/>
        <stp>2369</stp>
        <stp>PredictVolume</stp>
        <tr r="AJ538" s="57"/>
      </tp>
      <tp>
        <v>2841</v>
        <stp/>
        <stp>2359</stp>
        <stp>PredictVolume</stp>
        <tr r="AJ1689" s="57"/>
      </tp>
      <tp>
        <v>1030</v>
        <stp/>
        <stp>2349</stp>
        <stp>PredictVolume</stp>
        <tr r="AJ809" s="57"/>
      </tp>
      <tp>
        <v>5209</v>
        <stp/>
        <stp>2889</stp>
        <stp>PredictVolume</stp>
        <tr r="AJ1612" s="57"/>
      </tp>
      <tp>
        <v>1704</v>
        <stp/>
        <stp>2809</stp>
        <stp>PredictVolume</stp>
        <tr r="AJ1588" s="57"/>
      </tp>
      <tp>
        <v>79</v>
        <stp/>
        <stp>2849</stp>
        <stp>PredictVolume</stp>
        <tr r="AJ1597" s="57"/>
      </tp>
      <tp>
        <v>116</v>
        <stp/>
        <stp>2939</stp>
        <stp>PredictVolume</stp>
        <tr r="AJ1649" s="57"/>
      </tp>
      <tp>
        <v>337</v>
        <stp/>
        <stp>3499</stp>
        <stp>PredictVolume</stp>
        <tr r="AJ959" s="57"/>
      </tp>
      <tp>
        <v>6</v>
        <stp/>
        <stp>3489</stp>
        <stp>PredictVolume</stp>
        <tr r="AJ1473" s="57"/>
      </tp>
      <tp>
        <v>595</v>
        <stp/>
        <stp>3419</stp>
        <stp>PredictVolume</stp>
        <tr r="AJ956" s="57"/>
      </tp>
      <tp>
        <v>1262</v>
        <stp/>
        <stp>3479</stp>
        <stp>PredictVolume</stp>
        <tr r="AJ742" s="57"/>
      </tp>
      <tp>
        <v>450</v>
        <stp/>
        <stp>3529</stp>
        <stp>PredictVolume</stp>
        <tr r="AJ581" s="57"/>
        <tr r="AJ35" s="118"/>
      </tp>
      <tp>
        <v>627</v>
        <stp/>
        <stp>3689</stp>
        <stp>PredictVolume</stp>
        <tr r="AJ1119" s="57"/>
      </tp>
      <tp>
        <v>9</v>
        <stp/>
        <stp>3629</stp>
        <stp>PredictVolume</stp>
        <tr r="AJ1777" s="57"/>
      </tp>
      <tp>
        <v>21</v>
        <stp/>
        <stp>3609</stp>
        <stp>PredictVolume</stp>
        <tr r="AJ1112" s="57"/>
      </tp>
      <tp>
        <v>32</v>
        <stp/>
        <stp>3679</stp>
        <stp>PredictVolume</stp>
        <tr r="AJ1118" s="57"/>
      </tp>
      <tp>
        <v>150</v>
        <stp/>
        <stp>3669</stp>
        <stp>PredictVolume</stp>
        <tr r="AJ859" s="57"/>
      </tp>
      <tp>
        <v>34</v>
        <stp/>
        <stp>3709</stp>
        <stp>PredictVolume</stp>
        <tr r="AJ756" s="57"/>
      </tp>
      <tp>
        <v>259</v>
        <stp/>
        <stp>3029</stp>
        <stp>PredictVolume</stp>
        <tr r="AJ1268" s="57"/>
      </tp>
      <tp>
        <v>357</v>
        <stp/>
        <stp>3019</stp>
        <stp>PredictVolume</stp>
        <tr r="AJ821" s="57"/>
      </tp>
      <tp>
        <v>2317</v>
        <stp/>
        <stp>3059</stp>
        <stp>PredictVolume</stp>
        <tr r="AJ828" s="57"/>
      </tp>
      <tp>
        <v>2255</v>
        <stp/>
        <stp>3049</stp>
        <stp>PredictVolume</stp>
        <tr r="AJ825" s="57"/>
      </tp>
      <tp>
        <v>11261</v>
        <stp/>
        <stp>3189</stp>
        <stp>PredictVolume</stp>
        <tr r="AJ564" s="57"/>
      </tp>
      <tp>
        <v>2641</v>
        <stp/>
        <stp>3169</stp>
        <stp>PredictVolume</stp>
        <tr r="AJ563" s="57"/>
      </tp>
      <tp>
        <v>269</v>
        <stp/>
        <stp>3149</stp>
        <stp>PredictVolume</stp>
        <tr r="AJ831" s="57"/>
      </tp>
      <tp>
        <v>155</v>
        <stp/>
        <stp>3289</stp>
        <stp>PredictVolume</stp>
        <tr r="AJ1710" s="57"/>
      </tp>
      <tp>
        <v>10</v>
        <stp/>
        <stp>3229</stp>
        <stp>PredictVolume</stp>
        <tr r="AJ1076" s="57"/>
      </tp>
      <tp>
        <v>49</v>
        <stp/>
        <stp>3219</stp>
        <stp>PredictVolume</stp>
        <tr r="AJ565" s="57"/>
      </tp>
      <tp>
        <v>1653</v>
        <stp/>
        <stp>3209</stp>
        <stp>PredictVolume</stp>
        <tr r="AJ1235" s="57"/>
      </tp>
      <tp>
        <v>254</v>
        <stp/>
        <stp>3259</stp>
        <stp>PredictVolume</stp>
        <tr r="AJ569" s="57"/>
      </tp>
      <tp>
        <v>137</v>
        <stp/>
        <stp>3339</stp>
        <stp>PredictVolume</stp>
        <tr r="AJ834" s="57"/>
      </tp>
      <tp>
        <v>94</v>
        <stp/>
        <stp>3379</stp>
        <stp>PredictVolume</stp>
        <tr r="AJ173" s="57"/>
      </tp>
      <tp>
        <v>149</v>
        <stp/>
        <stp>3349</stp>
        <stp>PredictVolume</stp>
        <tr r="AJ740" s="57"/>
      </tp>
      <tp>
        <v>64</v>
        <stp/>
        <stp>1439</stp>
        <stp>PredictVolume</stp>
        <tr r="AJ80" s="57"/>
      </tp>
      <tp>
        <v>9</v>
        <stp/>
        <stp>1419</stp>
        <stp>PredictVolume</stp>
        <tr r="AJ77" s="57"/>
      </tp>
      <tp>
        <v>4284</v>
        <stp/>
        <stp>1409</stp>
        <stp>PredictVolume</stp>
        <tr r="AJ71" s="57"/>
      </tp>
      <tp>
        <v>169</v>
        <stp/>
        <stp>1459</stp>
        <stp>PredictVolume</stp>
        <tr r="AJ96" s="57"/>
      </tp>
      <tp>
        <v>25</v>
        <stp/>
        <stp>1449</stp>
        <stp>PredictVolume</stp>
        <tr r="AJ88" s="57"/>
      </tp>
      <tp>
        <v>1066</v>
        <stp/>
        <stp>1599</stp>
        <stp>PredictVolume</stp>
        <tr r="AJ160" s="57"/>
      </tp>
      <tp>
        <v>258</v>
        <stp/>
        <stp>1589</stp>
        <stp>PredictVolume</stp>
        <tr r="AJ156" s="57"/>
      </tp>
      <tp>
        <v>23</v>
        <stp/>
        <stp>1539</stp>
        <stp>PredictVolume</stp>
        <tr r="AJ147" s="57"/>
      </tp>
      <tp>
        <v>3877</v>
        <stp/>
        <stp>1529</stp>
        <stp>PredictVolume</stp>
        <tr r="AJ140" s="57"/>
      </tp>
      <tp>
        <v>1248</v>
        <stp/>
        <stp>1519</stp>
        <stp>PredictVolume</stp>
        <tr r="AJ136" s="57"/>
      </tp>
      <tp>
        <v>2695</v>
        <stp/>
        <stp>1569</stp>
        <stp>PredictVolume</stp>
        <tr r="AJ697" s="57"/>
      </tp>
      <tp>
        <v>34261</v>
        <stp/>
        <stp>1609</stp>
        <stp>PredictVolume</stp>
        <tr r="AJ228" s="57"/>
      </tp>
      <tp>
        <v>64</v>
        <stp/>
        <stp>1799</stp>
        <stp>PredictVolume</stp>
        <tr r="AJ309" s="57"/>
      </tp>
      <tp>
        <v>870</v>
        <stp/>
        <stp>1789</stp>
        <stp>PredictVolume</stp>
        <tr r="AJ307" s="57"/>
      </tp>
      <tp>
        <v>14314</v>
        <stp/>
        <stp>1709</stp>
        <stp>PredictVolume</stp>
        <tr r="AJ244" s="57"/>
      </tp>
      <tp>
        <v>202</v>
        <stp/>
        <stp>1109</stp>
        <stp>PredictVolume</stp>
        <tr r="AJ9" s="57"/>
      </tp>
      <tp>
        <v>943</v>
        <stp/>
        <stp>1229</stp>
        <stp>PredictVolume</stp>
        <tr r="AJ25" s="57"/>
      </tp>
      <tp>
        <v>14232</v>
        <stp/>
        <stp>1219</stp>
        <stp>PredictVolume</stp>
        <tr r="AJ21" s="57"/>
      </tp>
      <tp>
        <v>0</v>
        <stp/>
        <stp>1259</stp>
        <stp>PredictVolume</stp>
        <tr r="AJ1541" s="57"/>
      </tp>
      <tp>
        <v>75</v>
        <stp/>
        <stp>1339</stp>
        <stp>PredictVolume</stp>
        <tr r="AJ495" s="57"/>
      </tp>
      <tp>
        <v>654</v>
        <stp/>
        <stp>1319</stp>
        <stp>PredictVolume</stp>
        <tr r="AJ493" s="57"/>
      </tp>
      <tp>
        <v>401</v>
        <stp/>
        <stp>1309</stp>
        <stp>PredictVolume</stp>
        <tr r="AM26" s="28"/>
        <tr r="AJ48" s="57"/>
      </tp>
      <tp>
        <v>417</v>
        <stp/>
        <stp>1809</stp>
        <stp>PredictVolume</stp>
        <tr r="AJ418" s="57"/>
      </tp>
      <tp>
        <v>2119</v>
        <stp/>
        <stp>1909</stp>
        <stp>PredictVolume</stp>
        <tr r="AJ428" s="57"/>
      </tp>
      <tp>
        <v>33</v>
        <stp/>
        <stp>8499</stp>
        <stp>PredictVolume</stp>
        <tr r="AJ1389" s="57"/>
      </tp>
      <tp>
        <v>53</v>
        <stp/>
        <stp>8489</stp>
        <stp>PredictVolume</stp>
        <tr r="AJ1793" s="57"/>
      </tp>
      <tp>
        <v>92</v>
        <stp/>
        <stp>8429</stp>
        <stp>PredictVolume</stp>
        <tr r="AJ1663" s="57"/>
      </tp>
      <tp>
        <v>722</v>
        <stp/>
        <stp>8409</stp>
        <stp>PredictVolume</stp>
        <tr r="AJ411" s="57"/>
      </tp>
      <tp>
        <v>37</v>
        <stp/>
        <stp>8099</stp>
        <stp>PredictVolume</stp>
        <tr r="AJ1299" s="57"/>
      </tp>
      <tp>
        <v>46</v>
        <stp/>
        <stp>8089</stp>
        <stp>PredictVolume</stp>
        <tr r="AJ1010" s="57"/>
      </tp>
      <tp>
        <v>157</v>
        <stp/>
        <stp>8039</stp>
        <stp>PredictVolume</stp>
        <tr r="AJ1203" s="57"/>
      </tp>
      <tp>
        <v>26838</v>
        <stp/>
        <stp>8069</stp>
        <stp>PredictVolume</stp>
        <tr r="AJ919" s="57"/>
        <tr r="AJ33" s="118"/>
      </tp>
      <tp>
        <v>53</v>
        <stp/>
        <stp>8059</stp>
        <stp>PredictVolume</stp>
        <tr r="AJ1009" s="57"/>
      </tp>
      <tp>
        <v>251</v>
        <stp/>
        <stp>8049</stp>
        <stp>PredictVolume</stp>
        <tr r="AJ917" s="57"/>
      </tp>
      <tp>
        <v>60</v>
        <stp/>
        <stp>8109</stp>
        <stp>PredictVolume</stp>
        <tr r="AJ1213" s="57"/>
      </tp>
      <tp>
        <v>2921</v>
        <stp/>
        <stp>8299</stp>
        <stp>PredictVolume</stp>
        <tr r="AJ694" s="57"/>
        <tr r="AJ40" s="118"/>
      </tp>
      <tp>
        <v>336</v>
        <stp/>
        <stp>8289</stp>
        <stp>PredictVolume</stp>
        <tr r="AJ1220" s="57"/>
      </tp>
      <tp>
        <v>17</v>
        <stp/>
        <stp>8279</stp>
        <stp>PredictVolume</stp>
        <tr r="AJ408" s="57"/>
      </tp>
      <tp>
        <v>33</v>
        <stp/>
        <stp>8249</stp>
        <stp>PredictVolume</stp>
        <tr r="AJ1219" s="57"/>
      </tp>
      <tp>
        <v>54</v>
        <stp/>
        <stp>8349</stp>
        <stp>PredictVolume</stp>
        <tr r="AJ472" s="57"/>
      </tp>
      <tp>
        <v>24</v>
        <stp/>
        <stp>8929</stp>
        <stp>PredictVolume</stp>
        <tr r="AJ1396" s="57"/>
      </tp>
      <tp>
        <v>545</v>
        <stp/>
        <stp>9939</stp>
        <stp>PredictVolume</stp>
        <tr r="AJ1425" s="57"/>
      </tp>
      <tp>
        <v>20</v>
        <stp/>
        <stp>9929</stp>
        <stp>PredictVolume</stp>
        <tr r="AJ1419" s="57"/>
      </tp>
      <tp>
        <v>4449</v>
        <stp/>
        <stp>9919</stp>
        <stp>PredictVolume</stp>
        <tr r="AM12" s="28"/>
        <tr r="AJ1413" s="57"/>
      </tp>
      <tp>
        <v>131</v>
        <stp/>
        <stp>9949</stp>
        <stp>PredictVolume</stp>
        <tr r="AJ1795" s="57"/>
      </tp>
      <tp>
        <v>59.8</v>
        <stp/>
        <stp>2204</stp>
        <stp>Price</stp>
        <tr r="V507" s="57"/>
      </tp>
      <tp>
        <v>27.3</v>
        <stp/>
        <stp>2344</stp>
        <stp>Price</stp>
        <tr r="V535" s="57"/>
      </tp>
      <tp>
        <v>61.1</v>
        <stp/>
        <stp>2354</stp>
        <stp>Price</stp>
        <tr r="V1688" s="57"/>
      </tp>
      <tp>
        <v>22.3</v>
        <stp/>
        <stp>2364</stp>
        <stp>Price</stp>
        <tr r="V707" s="57"/>
      </tp>
      <tp>
        <v>25.1</v>
        <stp/>
        <stp>2374</stp>
        <stp>Price</stp>
        <tr r="V810" s="57"/>
      </tp>
      <tp>
        <v>59.9</v>
        <stp/>
        <stp>2314</stp>
        <stp>Price</stp>
        <tr r="V928" s="57"/>
      </tp>
      <tp>
        <v>25.4</v>
        <stp/>
        <stp>2324</stp>
        <stp>Price</stp>
        <tr r="V700" s="57"/>
      </tp>
      <tp>
        <v>29.9</v>
        <stp/>
        <stp>2064</stp>
        <stp>Price</stp>
        <tr r="V458" s="57"/>
      </tp>
      <tp>
        <v>46.8</v>
        <stp/>
        <stp>2014</stp>
        <stp>Price</stp>
        <tr r="V439" s="57"/>
      </tp>
      <tp>
        <v>26.25</v>
        <stp/>
        <stp>2024</stp>
        <stp>Price</stp>
        <tr r="V445" s="57"/>
      </tp>
      <tp>
        <v>36.6</v>
        <stp/>
        <stp>2034</stp>
        <stp>Price</stp>
        <tr r="V454" s="57"/>
      </tp>
      <tp>
        <v>23.9</v>
        <stp/>
        <stp>2104</stp>
        <stp>Price</stp>
        <tr r="V482" s="57"/>
      </tp>
      <tp>
        <v>126</v>
        <stp/>
        <stp>2114</stp>
        <stp>Price</stp>
        <tr r="V488" s="57"/>
      </tp>
      <tp>
        <v>30.1</v>
        <stp/>
        <stp>2614</stp>
        <stp>Price</stp>
        <tr r="V1634" s="57"/>
      </tp>
      <tp>
        <v>32.299999999999997</v>
        <stp/>
        <stp>2634</stp>
        <stp>Price</stp>
        <tr r="V1526" s="57"/>
      </tp>
      <tp>
        <v>75.3</v>
        <stp/>
        <stp>2754</stp>
        <stp>Price</stp>
        <tr r="V1569" s="57"/>
      </tp>
      <tp>
        <v>31.95</v>
        <stp/>
        <stp>2704</stp>
        <stp>Price</stp>
        <tr r="V1545" s="57"/>
      </tp>
      <tp>
        <v>14.4</v>
        <stp/>
        <stp>2724</stp>
        <stp>Price</stp>
        <tr r="V1554" s="57"/>
      </tp>
      <tp>
        <v>31.5</v>
        <stp/>
        <stp>2734</stp>
        <stp>Price</stp>
        <tr r="V1560" s="57"/>
      </tp>
      <tp>
        <v>11.8</v>
        <stp/>
        <stp>2444</stp>
        <stp>Price</stp>
        <tr r="V935" s="57"/>
      </tp>
      <tp>
        <v>861</v>
        <stp/>
        <stp>2454</stp>
        <stp>Price</stp>
        <tr r="V548" s="57"/>
        <tr r="V4" s="118"/>
      </tp>
      <tp>
        <v>41</v>
        <stp/>
        <stp>2464</stp>
        <stp>Price</stp>
        <tr r="V1697" s="57"/>
      </tp>
      <tp>
        <v>146</v>
        <stp/>
        <stp>2474</stp>
        <stp>Price</stp>
        <tr r="V1698" s="57"/>
      </tp>
      <tp>
        <v>179.5</v>
        <stp/>
        <stp>2404</stp>
        <stp>Price</stp>
        <tr r="V1693" s="57"/>
      </tp>
      <tp>
        <v>35.950000000000003</v>
        <stp/>
        <stp>2414</stp>
        <stp>Price</stp>
        <tr r="V1226" s="57"/>
      </tp>
      <tp>
        <v>22.2</v>
        <stp/>
        <stp>2424</stp>
        <stp>Price</stp>
        <tr r="V719" s="57"/>
      </tp>
      <tp>
        <v>35.75</v>
        <stp/>
        <stp>2434</stp>
        <stp>Price</stp>
        <tr r="V543" s="57"/>
      </tp>
      <tp>
        <v>35.950000000000003</v>
        <stp/>
        <stp>2484</stp>
        <stp>Price</stp>
        <tr r="V1052" s="57"/>
      </tp>
      <tp>
        <v>32.049999999999997</v>
        <stp/>
        <stp>2504</stp>
        <stp>Price</stp>
        <tr r="V1441" s="57"/>
      </tp>
      <tp>
        <v>17.2</v>
        <stp/>
        <stp>2514</stp>
        <stp>Price</stp>
        <tr r="V1317" s="57"/>
      </tp>
      <tp>
        <v>35.549999999999997</v>
        <stp/>
        <stp>2524</stp>
        <stp>Price</stp>
        <tr r="V1448" s="57"/>
      </tp>
      <tp>
        <v>25.35</v>
        <stp/>
        <stp>2534</stp>
        <stp>Price</stp>
        <tr r="V1452" s="57"/>
      </tp>
      <tp>
        <v>13.05</v>
        <stp/>
        <stp>2834</stp>
        <stp>Price</stp>
        <tr r="V1593" s="57"/>
      </tp>
      <tp>
        <v>33.35</v>
        <stp/>
        <stp>2884</stp>
        <stp>Price</stp>
        <tr r="V1607" s="57"/>
        <tr r="V17" s="118"/>
      </tp>
      <tp>
        <v>22.4</v>
        <stp/>
        <stp>2904</stp>
        <stp>Price</stp>
        <tr r="V1319" s="57"/>
      </tp>
      <tp t="s">
        <v>無資料</v>
        <stp/>
        <stp>2924</stp>
        <stp>Price</stp>
        <tr r="V1646" s="57"/>
      </tp>
      <tp>
        <v>47.45</v>
        <stp/>
        <stp>3264</stp>
        <stp>Price</stp>
        <tr r="V571" s="57"/>
      </tp>
      <tp>
        <v>50</v>
        <stp/>
        <stp>3224</stp>
        <stp>Price</stp>
        <tr r="V1236" s="57"/>
      </tp>
      <tp>
        <v>22.8</v>
        <stp/>
        <stp>3234</stp>
        <stp>Price</stp>
        <tr r="V951" s="57"/>
      </tp>
      <tp>
        <v>13.55</v>
        <stp/>
        <stp>3284</stp>
        <stp>Price</stp>
        <tr r="V1321" s="57"/>
      </tp>
      <tp>
        <v>23.9</v>
        <stp/>
        <stp>3294</stp>
        <stp>Price</stp>
        <tr r="V1081" s="57"/>
      </tp>
      <tp>
        <v>17.2</v>
        <stp/>
        <stp>3354</stp>
        <stp>Price</stp>
        <tr r="V1090" s="57"/>
      </tp>
      <tp>
        <v>122</v>
        <stp/>
        <stp>3374</stp>
        <stp>Price</stp>
        <tr r="V85" s="22"/>
        <tr r="V84" s="22"/>
        <tr r="V83" s="22"/>
        <tr r="V82" s="22"/>
        <tr r="V81" s="22"/>
        <tr r="V20" s="74"/>
        <tr r="V576" s="57"/>
        <tr r="V31" s="28"/>
      </tp>
      <tp>
        <v>185</v>
        <stp/>
        <stp>3324</stp>
        <stp>Price</stp>
        <tr r="V1713" s="57"/>
      </tp>
      <tp>
        <v>126</v>
        <stp/>
        <stp>3044</stp>
        <stp>Price</stp>
        <tr r="V1064" s="57"/>
      </tp>
      <tp>
        <v>22.1</v>
        <stp/>
        <stp>3054</stp>
        <stp>Price</stp>
        <tr r="V557" s="57"/>
      </tp>
      <tp t="s">
        <v>無資料</v>
        <stp/>
        <stp>3064</stp>
        <stp>Price</stp>
        <tr r="V1772" s="57"/>
      </tp>
      <tp>
        <v>59</v>
        <stp/>
        <stp>3004</stp>
        <stp>Price</stp>
        <tr r="V462" s="57"/>
      </tp>
      <tp>
        <v>102</v>
        <stp/>
        <stp>3014</stp>
        <stp>Price</stp>
        <tr r="V26" s="74"/>
        <tr r="V9" s="74"/>
        <tr r="V552" s="57"/>
      </tp>
      <tp>
        <v>13.15</v>
        <stp/>
        <stp>3024</stp>
        <stp>Price</stp>
        <tr r="V822" s="57"/>
      </tp>
      <tp>
        <v>414</v>
        <stp/>
        <stp>3034</stp>
        <stp>Price</stp>
        <tr r="V554" s="57"/>
      </tp>
      <tp>
        <v>32</v>
        <stp/>
        <stp>3094</stp>
        <stp>Price</stp>
        <tr r="V559" s="57"/>
      </tp>
      <tp>
        <v>24.95</v>
        <stp/>
        <stp>3164</stp>
        <stp>Price</stp>
        <tr r="V312" s="57"/>
      </tp>
      <tp>
        <v>26.45</v>
        <stp/>
        <stp>3114</stp>
        <stp>Price</stp>
        <tr r="V1069" s="57"/>
      </tp>
      <tp>
        <v>9.14</v>
        <stp/>
        <stp>3664</stp>
        <stp>Price</stp>
        <tr r="V964" s="57"/>
      </tp>
      <tp>
        <v>92.5</v>
        <stp/>
        <stp>3624</stp>
        <stp>Price</stp>
        <tr r="V1113" s="57"/>
      </tp>
      <tp>
        <v>51.5</v>
        <stp/>
        <stp>3684</stp>
        <stp>Price</stp>
        <tr r="V967" s="57"/>
      </tp>
      <tp>
        <v>20.399999999999999</v>
        <stp/>
        <stp>3694</stp>
        <stp>Price</stp>
        <tr r="V968" s="57"/>
      </tp>
      <tp>
        <v>29.8</v>
        <stp/>
        <stp>3704</stp>
        <stp>Price</stp>
        <tr r="V969" s="57"/>
      </tp>
      <tp>
        <v>65.5</v>
        <stp/>
        <stp>3714</stp>
        <stp>Price</stp>
        <tr r="V864" s="57"/>
      </tp>
      <tp>
        <v>58.5</v>
        <stp/>
        <stp>3444</stp>
        <stp>Price</stp>
        <tr r="V1240" s="57"/>
      </tp>
      <tp>
        <v>81</v>
        <stp/>
        <stp>3454</stp>
        <stp>Price</stp>
        <tr r="V842" s="57"/>
      </tp>
      <tp>
        <v>27.5</v>
        <stp/>
        <stp>3434</stp>
        <stp>Price</stp>
        <tr r="V839" s="57"/>
      </tp>
      <tp>
        <v>69.900000000000006</v>
        <stp/>
        <stp>3484</stp>
        <stp>Price</stp>
        <tr r="V1097" s="57"/>
      </tp>
      <tp>
        <v>5.53</v>
        <stp/>
        <stp>3494</stp>
        <stp>Price</stp>
        <tr r="V744" s="57"/>
      </tp>
      <tp>
        <v>25.5</v>
        <stp/>
        <stp>3564</stp>
        <stp>Price</stp>
        <tr r="V961" s="57"/>
      </tp>
      <tp>
        <v>74</v>
        <stp/>
        <stp>3504</stp>
        <stp>Price</stp>
        <tr r="V846" s="57"/>
      </tp>
      <tp>
        <v>23.25</v>
        <stp/>
        <stp>3594</stp>
        <stp>Price</stp>
        <tr r="V749" s="57"/>
      </tp>
      <tp>
        <v>281</v>
        <stp/>
        <stp>1264</stp>
        <stp>Price</stp>
        <tr r="V34" s="57"/>
      </tp>
      <tp>
        <v>35.700000000000003</v>
        <stp/>
        <stp>1234</stp>
        <stp>Price</stp>
        <tr r="V29" s="57"/>
      </tp>
      <tp>
        <v>28.95</v>
        <stp/>
        <stp>1304</stp>
        <stp>Price</stp>
        <tr r="V44" s="57"/>
      </tp>
      <tp>
        <v>12.35</v>
        <stp/>
        <stp>1314</stp>
        <stp>Price</stp>
        <tr r="V52" s="57"/>
      </tp>
      <tp>
        <v>10.85</v>
        <stp/>
        <stp>1324</stp>
        <stp>Price</stp>
        <tr r="V56" s="57"/>
      </tp>
      <tp>
        <v>21.05</v>
        <stp/>
        <stp>1104</stp>
        <stp>Price</stp>
        <tr r="V7" s="57"/>
      </tp>
      <tp>
        <v>32.200000000000003</v>
        <stp/>
        <stp>1604</stp>
        <stp>Price</stp>
        <tr r="V225" s="57"/>
      </tp>
      <tp>
        <v>37.85</v>
        <stp/>
        <stp>1614</stp>
        <stp>Price</stp>
        <tr r="V231" s="57"/>
      </tp>
      <tp>
        <v>10.45</v>
        <stp/>
        <stp>1714</stp>
        <stp>Price</stp>
        <tr r="V249" s="57"/>
      </tp>
      <tp>
        <v>28.2</v>
        <stp/>
        <stp>1734</stp>
        <stp>Price</stp>
        <tr r="V296" s="57"/>
      </tp>
      <tp>
        <v>39.049999999999997</v>
        <stp/>
        <stp>1784</stp>
        <stp>Price</stp>
        <tr r="V304" s="57"/>
      </tp>
      <tp>
        <v>11.25</v>
        <stp/>
        <stp>1444</stp>
        <stp>Price</stp>
        <tr r="V84" s="57"/>
      </tp>
      <tp>
        <v>14.35</v>
        <stp/>
        <stp>1454</stp>
        <stp>Price</stp>
        <tr r="V92" s="57"/>
      </tp>
      <tp>
        <v>15.65</v>
        <stp/>
        <stp>1464</stp>
        <stp>Price</stp>
        <tr r="V99" s="57"/>
      </tp>
      <tp>
        <v>14.7</v>
        <stp/>
        <stp>1474</stp>
        <stp>Price</stp>
        <tr r="V107" s="57"/>
      </tp>
      <tp>
        <v>18.399999999999999</v>
        <stp/>
        <stp>1414</stp>
        <stp>Price</stp>
        <tr r="V74" s="57"/>
      </tp>
      <tp>
        <v>27.8</v>
        <stp/>
        <stp>1434</stp>
        <stp>Price</stp>
        <tr r="V79" s="57"/>
      </tp>
      <tp>
        <v>32.700000000000003</v>
        <stp/>
        <stp>1504</stp>
        <stp>Price</stp>
        <tr r="V129" s="57"/>
      </tp>
      <tp>
        <v>28.6</v>
        <stp/>
        <stp>1514</stp>
        <stp>Price</stp>
        <tr r="V133" s="57"/>
      </tp>
      <tp>
        <v>10.8</v>
        <stp/>
        <stp>1524</stp>
        <stp>Price</stp>
        <tr r="V499" s="57"/>
      </tp>
      <tp>
        <v>20.3</v>
        <stp/>
        <stp>1584</stp>
        <stp>Price</stp>
        <tr r="V1310" s="57"/>
      </tp>
      <tp>
        <v>34.65</v>
        <stp/>
        <stp>1904</stp>
        <stp>Price</stp>
        <tr r="V424" s="57"/>
      </tp>
      <tp>
        <v>32.65</v>
        <stp/>
        <stp>6244</stp>
        <stp>Price</stp>
        <tr r="V902" s="57"/>
      </tp>
      <tp>
        <v>8.8800000000000008</v>
        <stp/>
        <stp>6264</stp>
        <stp>Price</stp>
        <tr r="V1504" s="57"/>
      </tp>
      <tp>
        <v>70.599999999999994</v>
        <stp/>
        <stp>6274</stp>
        <stp>Price</stp>
        <tr r="V1184" s="57"/>
      </tp>
      <tp>
        <v>61</v>
        <stp/>
        <stp>6204</stp>
        <stp>Price</stp>
        <tr r="V1171" s="57"/>
      </tp>
      <tp>
        <v>81.3</v>
        <stp/>
        <stp>6214</stp>
        <stp>Price</stp>
        <tr r="V1287" s="57"/>
      </tp>
      <tp>
        <v>99</v>
        <stp/>
        <stp>6224</stp>
        <stp>Price</stp>
        <tr r="V1179" s="57"/>
      </tp>
      <tp>
        <v>20.6</v>
        <stp/>
        <stp>6234</stp>
        <stp>Price</stp>
        <tr r="V901" s="57"/>
      </tp>
      <tp>
        <v>59.9</v>
        <stp/>
        <stp>6284</stp>
        <stp>Price</stp>
        <tr r="V1187" s="57"/>
      </tp>
      <tp>
        <v>126</v>
        <stp/>
        <stp>6294</stp>
        <stp>Price</stp>
        <tr r="V1787" s="57"/>
      </tp>
      <tp>
        <v>37.549999999999997</v>
        <stp/>
        <stp>6024</stp>
        <stp>Price</stp>
        <tr r="V1628" s="57"/>
      </tp>
      <tp>
        <v>16.25</v>
        <stp/>
        <stp>6144</stp>
        <stp>Price</stp>
        <tr r="V1784" s="57"/>
      </tp>
      <tp>
        <v>17.850000000000001</v>
        <stp/>
        <stp>6154</stp>
        <stp>Price</stp>
        <tr r="V1246" s="57"/>
      </tp>
      <tp>
        <v>12.7</v>
        <stp/>
        <stp>6164</stp>
        <stp>Price</stp>
        <tr r="V893" s="57"/>
      </tp>
      <tp>
        <v>36</v>
        <stp/>
        <stp>6174</stp>
        <stp>Price</stp>
        <tr r="V1164" s="57"/>
      </tp>
      <tp>
        <v>232</v>
        <stp/>
        <stp>6104</stp>
        <stp>Price</stp>
        <tr r="V628" s="57"/>
      </tp>
      <tp>
        <v>21.45</v>
        <stp/>
        <stp>6114</stp>
        <stp>Price</stp>
        <tr r="V1150" s="57"/>
      </tp>
      <tp>
        <v>26.05</v>
        <stp/>
        <stp>6124</stp>
        <stp>Price</stp>
        <tr r="V1152" s="57"/>
      </tp>
      <tp>
        <v>24.45</v>
        <stp/>
        <stp>6134</stp>
        <stp>Price</stp>
        <tr r="V1156" s="57"/>
      </tp>
      <tp>
        <v>47.1</v>
        <stp/>
        <stp>6184</stp>
        <stp>Price</stp>
        <tr r="V1338" s="57"/>
      </tp>
      <tp>
        <v>23.8</v>
        <stp/>
        <stp>6194</stp>
        <stp>Price</stp>
        <tr r="V1168" s="57"/>
      </tp>
      <tp>
        <v>66.7</v>
        <stp/>
        <stp>6654</stp>
        <stp>Price</stp>
        <tr r="V1755" s="57"/>
      </tp>
      <tp>
        <v>82.9</v>
        <stp/>
        <stp>6664</stp>
        <stp>Price</stp>
        <tr r="V1196" s="57"/>
      </tp>
      <tp>
        <v>27.9</v>
        <stp/>
        <stp>6674</stp>
        <stp>Price</stp>
        <tr r="V1004" s="57"/>
      </tp>
      <tp>
        <v>40.299999999999997</v>
        <stp/>
        <stp>6624</stp>
        <stp>Price</stp>
        <tr r="V1346" s="57"/>
      </tp>
      <tp>
        <v>132</v>
        <stp/>
        <stp>6684</stp>
        <stp>Price</stp>
        <tr r="V671" s="57"/>
      </tp>
      <tp>
        <v>45.1</v>
        <stp/>
        <stp>6754</stp>
        <stp>Price</stp>
        <tr r="V1353" s="57"/>
      </tp>
      <tp>
        <v>88</v>
        <stp/>
        <stp>6464</stp>
        <stp>Price</stp>
        <tr r="V1341" s="57"/>
      </tp>
      <tp t="s">
        <v>無資料</v>
        <stp/>
        <stp>6404</stp>
        <stp>Price</stp>
        <tr r="V1291" s="57"/>
      </tp>
      <tp>
        <v>202.5</v>
        <stp/>
        <stp>6414</stp>
        <stp>Price</stp>
        <tr r="V31" s="74"/>
        <tr r="V14" s="74"/>
        <tr r="V15" s="114"/>
        <tr r="V789" s="57"/>
      </tp>
      <tp>
        <v>135</v>
        <stp/>
        <stp>6494</stp>
        <stp>Price</stp>
        <tr r="V654" s="57"/>
      </tp>
      <tp>
        <v>49.1</v>
        <stp/>
        <stp>6574</stp>
        <stp>Price</stp>
        <tr r="V392" s="57"/>
      </tp>
      <tp>
        <v>94.7</v>
        <stp/>
        <stp>6504</stp>
        <stp>Price</stp>
        <tr r="V1342" s="57"/>
      </tp>
      <tp>
        <v>71.599999999999994</v>
        <stp/>
        <stp>6514</stp>
        <stp>Price</stp>
        <tr r="V1000" s="57"/>
      </tp>
      <tp>
        <v>42.7</v>
        <stp/>
        <stp>6594</stp>
        <stp>Price</stp>
        <tr r="V665" s="57"/>
      </tp>
      <tp>
        <v>48.35</v>
        <stp/>
        <stp>6804</stp>
        <stp>Price</stp>
        <tr r="V1357" s="57"/>
      </tp>
      <tp>
        <v>13.85</v>
        <stp/>
        <stp>4304</stp>
        <stp>Price</stp>
        <tr r="V63" s="57"/>
      </tp>
      <tp>
        <v>40.35</v>
        <stp/>
        <stp>4154</stp>
        <stp>Price</stp>
        <tr r="V346" s="57"/>
      </tp>
      <tp>
        <v>48.7</v>
        <stp/>
        <stp>4164</stp>
        <stp>Price</stp>
        <tr r="V353" s="57"/>
      </tp>
      <tp>
        <v>106.5</v>
        <stp/>
        <stp>4174</stp>
        <stp>Price</stp>
        <tr r="V357" s="57"/>
      </tp>
      <tp>
        <v>67.599999999999994</v>
        <stp/>
        <stp>4104</stp>
        <stp>Price</stp>
        <tr r="V318" s="57"/>
      </tp>
      <tp>
        <v>27.45</v>
        <stp/>
        <stp>4114</stp>
        <stp>Price</stp>
        <tr r="V325" s="57"/>
      </tp>
      <tp>
        <v>33.299999999999997</v>
        <stp/>
        <stp>4744</stp>
        <stp>Price</stp>
        <tr r="V370" s="57"/>
      </tp>
      <tp>
        <v>39.75</v>
        <stp/>
        <stp>4754</stp>
        <stp>Price</stp>
        <tr r="V276" s="57"/>
      </tp>
      <tp>
        <v>57</v>
        <stp/>
        <stp>4764</stp>
        <stp>Price</stp>
        <tr r="V279" s="57"/>
      </tp>
      <tp>
        <v>13.5</v>
        <stp/>
        <stp>4714</stp>
        <stp>Price</stp>
        <tr r="V269" s="57"/>
      </tp>
      <tp>
        <v>5.46</v>
        <stp/>
        <stp>4414</stp>
        <stp>Price</stp>
        <tr r="V115" s="57"/>
      </tp>
      <tp>
        <v>34.700000000000003</v>
        <stp/>
        <stp>4554</stp>
        <stp>Price</stp>
        <tr r="V1730" s="57"/>
      </tp>
      <tp>
        <v>34.299999999999997</v>
        <stp/>
        <stp>4564</stp>
        <stp>Price</stp>
        <tr r="V201" s="57"/>
      </tp>
      <tp>
        <v>12.25</v>
        <stp/>
        <stp>4534</stp>
        <stp>Price</stp>
        <tr r="V187" s="57"/>
      </tp>
      <tp>
        <v>16.05</v>
        <stp/>
        <stp>4804</stp>
        <stp>Price</stp>
        <tr r="V1574" s="57"/>
      </tp>
      <tp>
        <v>15</v>
        <stp/>
        <stp>4944</stp>
        <stp>Price</stp>
        <tr r="V870" s="57"/>
      </tp>
      <tp>
        <v>56.7</v>
        <stp/>
        <stp>4974</stp>
        <stp>Price</stp>
        <tr r="V1129" s="57"/>
      </tp>
      <tp>
        <v>74.099999999999994</v>
        <stp/>
        <stp>4904</stp>
        <stp>Price</stp>
        <tr r="V971" s="57"/>
      </tp>
      <tp>
        <v>13</v>
        <stp/>
        <stp>4924</stp>
        <stp>Price</stp>
        <tr r="V759" s="57"/>
      </tp>
      <tp>
        <v>26.15</v>
        <stp/>
        <stp>4934</stp>
        <stp>Price</stp>
        <tr r="V867" s="57"/>
      </tp>
      <tp>
        <v>52.7</v>
        <stp/>
        <stp>4994</stp>
        <stp>Price</stp>
        <tr r="V1272" s="57"/>
      </tp>
      <tp>
        <v>38.5</v>
        <stp/>
        <stp>5244</stp>
        <stp>Price</stp>
        <tr r="V880" s="57"/>
      </tp>
      <tp>
        <v>3325</v>
        <stp/>
        <stp>5274</stp>
        <stp>Price</stp>
        <tr r="V614" s="57"/>
        <tr r="V36" s="118"/>
      </tp>
      <tp>
        <v>111</v>
        <stp/>
        <stp>5234</stp>
        <stp>Price</stp>
        <tr r="V878" s="57"/>
      </tp>
      <tp>
        <v>45.2</v>
        <stp/>
        <stp>5284</stp>
        <stp>Price</stp>
        <tr r="V1330" s="57"/>
      </tp>
      <tp>
        <v>22.75</v>
        <stp/>
        <stp>5344</stp>
        <stp>Price</stp>
        <tr r="V619" s="57"/>
      </tp>
      <tp>
        <v>19.3</v>
        <stp/>
        <stp>5364</stp>
        <stp>Price</stp>
        <tr r="V1576" s="57"/>
      </tp>
      <tp>
        <v>5.01</v>
        <stp/>
        <stp>5314</stp>
        <stp>Price</stp>
        <tr r="V618" s="57"/>
      </tp>
      <tp>
        <v>9.31</v>
        <stp/>
        <stp>5324</stp>
        <stp>Price</stp>
        <tr r="V1480" s="57"/>
      </tp>
      <tp>
        <v>24.2</v>
        <stp/>
        <stp>5014</stp>
        <stp>Price</stp>
        <tr r="V467" s="57"/>
      </tp>
      <tp>
        <v>78.599999999999994</v>
        <stp/>
        <stp>5604</stp>
        <stp>Price</stp>
        <tr r="V1534" s="57"/>
      </tp>
      <tp>
        <v>30.7</v>
        <stp/>
        <stp>5704</stp>
        <stp>Price</stp>
        <tr r="V1579" s="57"/>
      </tp>
      <tp>
        <v>22.25</v>
        <stp/>
        <stp>5464</stp>
        <stp>Price</stp>
        <tr r="V1144" s="57"/>
      </tp>
      <tp>
        <v>98</v>
        <stp/>
        <stp>5474</stp>
        <stp>Price</stp>
        <tr r="V772" s="57"/>
      </tp>
      <tp>
        <v>178</v>
        <stp/>
        <stp>5434</stp>
        <stp>Price</stp>
        <tr r="V1243" s="57"/>
      </tp>
      <tp>
        <v>14.25</v>
        <stp/>
        <stp>5484</stp>
        <stp>Price</stp>
        <tr r="V60" s="28"/>
        <tr r="V889" s="57"/>
      </tp>
      <tp>
        <v>21</v>
        <stp/>
        <stp>5514</stp>
        <stp>Price</stp>
        <tr r="V1485" s="57"/>
      </tp>
      <tp>
        <v>73.3</v>
        <stp/>
        <stp>5534</stp>
        <stp>Price</stp>
        <tr r="V1496" s="57"/>
      </tp>
      <tp>
        <v>16.850000000000001</v>
        <stp/>
        <stp>5864</stp>
        <stp>Price</stp>
        <tr r="V1618" s="57"/>
      </tp>
      <tp>
        <v>349</v>
        <stp/>
        <stp>5904</stp>
        <stp>Price</stp>
        <tr r="V1656" s="57"/>
      </tp>
      <tp>
        <v>24.25</v>
        <stp/>
        <stp>8234</stp>
        <stp>Price</stp>
        <tr r="V802" s="57"/>
      </tp>
      <tp>
        <v>56.5</v>
        <stp/>
        <stp>8284</stp>
        <stp>Price</stp>
        <tr r="V1300" s="57"/>
      </tp>
      <tp>
        <v>14.8</v>
        <stp/>
        <stp>8354</stp>
        <stp>Price</stp>
        <tr r="V66" s="57"/>
      </tp>
      <tp>
        <v>30.15</v>
        <stp/>
        <stp>8374</stp>
        <stp>Price</stp>
        <tr r="V219" s="57"/>
      </tp>
      <tp>
        <v>87.8</v>
        <stp/>
        <stp>8044</stp>
        <stp>Price</stp>
        <tr r="V1804" s="57"/>
      </tp>
      <tp>
        <v>54.4</v>
        <stp/>
        <stp>8054</stp>
        <stp>Price</stp>
        <tr r="V684" s="57"/>
      </tp>
      <tp>
        <v>19.399999999999999</v>
        <stp/>
        <stp>8064</stp>
        <stp>Price</stp>
        <tr r="V918" s="57"/>
      </tp>
      <tp>
        <v>23.65</v>
        <stp/>
        <stp>8074</stp>
        <stp>Price</stp>
        <tr r="V1208" s="57"/>
      </tp>
      <tp>
        <v>24.9</v>
        <stp/>
        <stp>8024</stp>
        <stp>Price</stp>
        <tr r="V681" s="57"/>
      </tp>
      <tp>
        <v>17.600000000000001</v>
        <stp/>
        <stp>8034</stp>
        <stp>Price</stp>
        <tr r="V1007" s="57"/>
      </tp>
      <tp>
        <v>76</v>
        <stp/>
        <stp>8084</stp>
        <stp>Price</stp>
        <tr r="V1258" s="57"/>
      </tp>
      <tp>
        <v>56.4</v>
        <stp/>
        <stp>8104</stp>
        <stp>Price</stp>
        <tr r="V921" s="57"/>
      </tp>
      <tp>
        <v>123.5</v>
        <stp/>
        <stp>8114</stp>
        <stp>Price</stp>
        <tr r="V799" s="57"/>
      </tp>
      <tp>
        <v>92.6</v>
        <stp/>
        <stp>8444</stp>
        <stp>Price</stp>
        <tr r="V1377" s="57"/>
      </tp>
      <tp>
        <v>997</v>
        <stp/>
        <stp>8454</stp>
        <stp>Price</stp>
        <tr r="V1666" s="57"/>
      </tp>
      <tp>
        <v>314</v>
        <stp/>
        <stp>8464</stp>
        <stp>Price</stp>
        <tr r="V3" s="114"/>
        <tr r="V1379" s="57"/>
      </tp>
      <tp>
        <v>36.35</v>
        <stp/>
        <stp>8404</stp>
        <stp>Price</stp>
        <tr r="V1364" s="57"/>
      </tp>
      <tp>
        <v>146.5</v>
        <stp/>
        <stp>8924</stp>
        <stp>Price</stp>
        <tr r="V1394" s="57"/>
      </tp>
      <tp>
        <v>21</v>
        <stp/>
        <stp>9944</stp>
        <stp>Price</stp>
        <tr r="V1429" s="57"/>
      </tp>
      <tp>
        <v>31.3</v>
        <stp/>
        <stp>9904</stp>
        <stp>Price</stp>
        <tr r="V1406" s="57"/>
      </tp>
      <tp>
        <v>261</v>
        <stp/>
        <stp>9914</stp>
        <stp>Price</stp>
        <tr r="V1411" s="57"/>
      </tp>
      <tp>
        <v>42.2</v>
        <stp/>
        <stp>9924</stp>
        <stp>Price</stp>
        <tr r="V1415" s="57"/>
      </tp>
      <tp>
        <v>12.4</v>
        <stp/>
        <stp>9934</stp>
        <stp>Price</stp>
        <tr r="V1422" s="57"/>
      </tp>
      <tp>
        <v>1217</v>
        <stp/>
        <stp>6488</stp>
        <stp>PredictVolume</stp>
        <tr r="AJ653" s="57"/>
        <tr r="AJ32" s="118"/>
      </tp>
      <tp>
        <v>635</v>
        <stp/>
        <stp>6438</stp>
        <stp>PredictVolume</stp>
        <tr r="AJ1751" s="57"/>
      </tp>
      <tp>
        <v>1587</v>
        <stp/>
        <stp>6418</stp>
        <stp>PredictVolume</stp>
        <tr r="AJ1191" s="57"/>
      </tp>
      <tp>
        <v>9597</v>
        <stp/>
        <stp>6598</stp>
        <stp>PredictVolume</stp>
        <tr r="AJ395" s="57"/>
      </tp>
      <tp>
        <v>15</v>
        <stp/>
        <stp>6588</stp>
        <stp>PredictVolume</stp>
        <tr r="AJ1003" s="57"/>
      </tp>
      <tp>
        <v>56</v>
        <stp/>
        <stp>6538</stp>
        <stp>PredictVolume</stp>
        <tr r="AJ1194" s="57"/>
      </tp>
      <tp>
        <v>49023</v>
        <stp/>
        <stp>6508</stp>
        <stp>PredictVolume</stp>
        <tr r="AJ1811" s="57"/>
      </tp>
      <tp>
        <v>4970</v>
        <stp/>
        <stp>6578</stp>
        <stp>PredictVolume</stp>
        <tr r="AJ1809" s="57"/>
      </tp>
      <tp>
        <v>211</v>
        <stp/>
        <stp>6568</stp>
        <stp>PredictVolume</stp>
        <tr r="AJ663" s="57"/>
      </tp>
      <tp>
        <v>342</v>
        <stp/>
        <stp>6558</stp>
        <stp>PredictVolume</stp>
        <tr r="AM38" s="28"/>
        <tr r="AJ1753" s="57"/>
      </tp>
      <tp>
        <v>589</v>
        <stp/>
        <stp>6548</stp>
        <stp>PredictVolume</stp>
        <tr r="AJ661" s="57"/>
      </tp>
      <tp>
        <v>240</v>
        <stp/>
        <stp>6698</stp>
        <stp>PredictVolume</stp>
        <tr r="AJ1758" s="57"/>
      </tp>
      <tp>
        <v>273</v>
        <stp/>
        <stp>6668</stp>
        <stp>PredictVolume</stp>
        <tr r="AJ914" s="57"/>
      </tp>
      <tp>
        <v>891</v>
        <stp/>
        <stp>6788</stp>
        <stp>PredictVolume</stp>
        <tr r="AJ678" s="57"/>
      </tp>
      <tp>
        <v>32</v>
        <stp/>
        <stp>6728</stp>
        <stp>PredictVolume</stp>
        <tr r="AJ1661" s="57"/>
      </tp>
      <tp>
        <v>94</v>
        <stp/>
        <stp>6768</stp>
        <stp>PredictVolume</stp>
        <tr r="AJ1354" s="57"/>
      </tp>
      <tp>
        <v>7</v>
        <stp/>
        <stp>6198</stp>
        <stp>PredictVolume</stp>
        <tr r="AJ633" s="57"/>
      </tp>
      <tp>
        <v>706</v>
        <stp/>
        <stp>6188</stp>
        <stp>PredictVolume</stp>
        <tr r="AJ782" s="57"/>
      </tp>
      <tp>
        <v>1809</v>
        <stp/>
        <stp>6138</stp>
        <stp>PredictVolume</stp>
        <tr r="AJ630" s="57"/>
      </tp>
      <tp>
        <v>120</v>
        <stp/>
        <stp>6128</stp>
        <stp>PredictVolume</stp>
        <tr r="AJ777" s="57"/>
      </tp>
      <tp>
        <v>1661</v>
        <stp/>
        <stp>6118</stp>
        <stp>PredictVolume</stp>
        <tr r="AJ1245" s="57"/>
      </tp>
      <tp>
        <v>139</v>
        <stp/>
        <stp>6108</stp>
        <stp>PredictVolume</stp>
        <tr r="AJ1149" s="57"/>
      </tp>
      <tp>
        <v>458</v>
        <stp/>
        <stp>6168</stp>
        <stp>PredictVolume</stp>
        <tr r="AJ895" s="57"/>
      </tp>
      <tp>
        <v>197</v>
        <stp/>
        <stp>6158</stp>
        <stp>PredictVolume</stp>
        <tr r="AJ1161" s="57"/>
      </tp>
      <tp>
        <v>114</v>
        <stp/>
        <stp>6148</stp>
        <stp>PredictVolume</stp>
        <tr r="AJ1285" s="57"/>
      </tp>
      <tp>
        <v>474</v>
        <stp/>
        <stp>6288</stp>
        <stp>PredictVolume</stp>
        <tr r="AJ524" s="57"/>
      </tp>
      <tp>
        <v>211</v>
        <stp/>
        <stp>6228</stp>
        <stp>PredictVolume</stp>
        <tr r="AJ784" s="57"/>
      </tp>
      <tp>
        <v>67</v>
        <stp/>
        <stp>6218</stp>
        <stp>PredictVolume</stp>
        <tr r="AJ989" s="57"/>
      </tp>
      <tp>
        <v>435</v>
        <stp/>
        <stp>6208</stp>
        <stp>PredictVolume</stp>
        <tr r="AJ1174" s="57"/>
      </tp>
      <tp>
        <v>2102</v>
        <stp/>
        <stp>6278</stp>
        <stp>PredictVolume</stp>
        <tr r="AJ904" s="57"/>
      </tp>
      <tp>
        <v>366</v>
        <stp/>
        <stp>6248</stp>
        <stp>PredictVolume</stp>
        <tr r="AJ471" s="57"/>
      </tp>
      <tp>
        <v>87</v>
        <stp/>
        <stp>4438</stp>
        <stp>PredictVolume</stp>
        <tr r="AJ123" s="57"/>
      </tp>
      <tp>
        <v>4</v>
        <stp/>
        <stp>4538</stp>
        <stp>PredictVolume</stp>
        <tr r="AJ189" s="57"/>
      </tp>
      <tp>
        <v>55</v>
        <stp/>
        <stp>4528</stp>
        <stp>PredictVolume</stp>
        <tr r="AJ183" s="57"/>
      </tp>
      <tp>
        <v>11</v>
        <stp/>
        <stp>4568</stp>
        <stp>PredictVolume</stp>
        <tr r="AJ203" s="57"/>
      </tp>
      <tp>
        <v>53</v>
        <stp/>
        <stp>4558</stp>
        <stp>PredictVolume</stp>
        <tr r="AJ196" s="57"/>
      </tp>
      <tp>
        <v>140</v>
        <stp/>
        <stp>4728</stp>
        <stp>PredictVolume</stp>
        <tr r="AJ365" s="57"/>
      </tp>
      <tp>
        <v>1369</v>
        <stp/>
        <stp>4768</stp>
        <stp>PredictVolume</stp>
        <tr r="AJ282" s="57"/>
        <tr r="AM55" s="28"/>
      </tp>
      <tp>
        <v>33</v>
        <stp/>
        <stp>4198</stp>
        <stp>PredictVolume</stp>
        <tr r="AJ363" s="57"/>
      </tp>
      <tp>
        <v>19</v>
        <stp/>
        <stp>4188</stp>
        <stp>PredictVolume</stp>
        <tr r="AJ360" s="57"/>
      </tp>
      <tp>
        <v>28</v>
        <stp/>
        <stp>4138</stp>
        <stp>PredictVolume</stp>
        <tr r="AJ339" s="57"/>
      </tp>
      <tp>
        <v>1253</v>
        <stp/>
        <stp>4128</stp>
        <stp>PredictVolume</stp>
        <tr r="AM21" s="28"/>
        <tr r="AJ333" s="57"/>
      </tp>
      <tp>
        <v>241</v>
        <stp/>
        <stp>4108</stp>
        <stp>PredictVolume</stp>
        <tr r="AJ322" s="57"/>
      </tp>
      <tp>
        <v>461</v>
        <stp/>
        <stp>4168</stp>
        <stp>PredictVolume</stp>
        <tr r="AJ355" s="57"/>
      </tp>
      <tp>
        <v>5471</v>
        <stp/>
        <stp>4148</stp>
        <stp>PredictVolume</stp>
        <tr r="AJ344" s="57"/>
      </tp>
      <tp>
        <v>2904</v>
        <stp/>
        <stp>4938</stp>
        <stp>PredictVolume</stp>
        <tr r="AM20" s="28"/>
        <tr r="AJ761" s="57"/>
      </tp>
      <tp>
        <v>330</v>
        <stp/>
        <stp>4908</stp>
        <stp>PredictVolume</stp>
        <tr r="AJ973" s="57"/>
      </tp>
      <tp>
        <v>7666</v>
        <stp/>
        <stp>4968</stp>
        <stp>PredictVolume</stp>
        <tr r="AJ606" s="57"/>
      </tp>
      <tp>
        <v>3965</v>
        <stp/>
        <stp>4958</stp>
        <stp>PredictVolume</stp>
        <tr r="AM19" s="28"/>
        <tr r="AJ1128" s="57"/>
      </tp>
      <tp>
        <v>362</v>
        <stp/>
        <stp>5498</stp>
        <stp>PredictVolume</stp>
        <tr r="AJ1148" s="57"/>
      </tp>
      <tp>
        <v>116</v>
        <stp/>
        <stp>5488</stp>
        <stp>PredictVolume</stp>
        <tr r="AJ1147" s="57"/>
      </tp>
      <tp>
        <v>109</v>
        <stp/>
        <stp>5438</stp>
        <stp>PredictVolume</stp>
        <tr r="AJ770" s="57"/>
      </tp>
      <tp>
        <v>136</v>
        <stp/>
        <stp>5478</stp>
        <stp>PredictVolume</stp>
        <tr r="AJ1781" s="57"/>
      </tp>
      <tp>
        <v>594</v>
        <stp/>
        <stp>5468</stp>
        <stp>PredictVolume</stp>
        <tr r="AJ623" s="57"/>
      </tp>
      <tp>
        <v>94</v>
        <stp/>
        <stp>5538</stp>
        <stp>PredictVolume</stp>
        <tr r="AJ470" s="57"/>
      </tp>
      <tp>
        <v>145</v>
        <stp/>
        <stp>5508</stp>
        <stp>PredictVolume</stp>
        <tr r="AJ1482" s="57"/>
      </tp>
      <tp>
        <v>6500</v>
        <stp/>
        <stp>5608</stp>
        <stp>PredictVolume</stp>
        <tr r="AJ1536" s="57"/>
      </tp>
      <tp>
        <v>60</v>
        <stp/>
        <stp>5288</stp>
        <stp>PredictVolume</stp>
        <tr r="AJ208" s="57"/>
      </tp>
      <tp>
        <v>7</v>
        <stp/>
        <stp>5278</stp>
        <stp>PredictVolume</stp>
        <tr r="AJ1800" s="57"/>
      </tp>
      <tp>
        <v>2223</v>
        <stp/>
        <stp>5258</stp>
        <stp>PredictVolume</stp>
        <tr r="AJ765" s="57"/>
      </tp>
      <tp>
        <v>25</v>
        <stp/>
        <stp>5398</stp>
        <stp>PredictVolume</stp>
        <tr r="AJ1332" s="57"/>
      </tp>
      <tp>
        <v>1238</v>
        <stp/>
        <stp>5388</stp>
        <stp>PredictVolume</stp>
        <tr r="AJ979" s="57"/>
      </tp>
      <tp>
        <v>131</v>
        <stp/>
        <stp>5328</stp>
        <stp>PredictVolume</stp>
        <tr r="AJ1136" s="57"/>
      </tp>
      <tp>
        <v>77</v>
        <stp/>
        <stp>5348</stp>
        <stp>PredictVolume</stp>
        <tr r="AJ977" s="57"/>
      </tp>
      <tp>
        <v>0</v>
        <stp/>
        <stp>5878</stp>
        <stp>PredictVolume</stp>
        <tr r="AJ1620" s="57"/>
      </tp>
      <tp>
        <v>8213</v>
        <stp/>
        <stp>2498</stp>
        <stp>PredictVolume</stp>
        <tr r="AJ939" s="57"/>
      </tp>
      <tp>
        <v>24</v>
        <stp/>
        <stp>2488</stp>
        <stp>PredictVolume</stp>
        <tr r="AJ1701" s="57"/>
      </tp>
      <tp>
        <v>12</v>
        <stp/>
        <stp>2438</stp>
        <stp>PredictVolume</stp>
        <tr r="AJ815" s="57"/>
      </tp>
      <tp>
        <v>122</v>
        <stp/>
        <stp>2428</stp>
        <stp>PredictVolume</stp>
        <tr r="AJ1040" s="57"/>
      </tp>
      <tp>
        <v>19604</v>
        <stp/>
        <stp>2408</stp>
        <stp>PredictVolume</stp>
        <tr r="AJ542" s="57"/>
      </tp>
      <tp>
        <v>216</v>
        <stp/>
        <stp>2478</stp>
        <stp>PredictVolume</stp>
        <tr r="AJ1050" s="57"/>
      </tp>
      <tp>
        <v>8</v>
        <stp/>
        <stp>2468</stp>
        <stp>PredictVolume</stp>
        <tr r="AJ1265" s="57"/>
      </tp>
      <tp>
        <v>842</v>
        <stp/>
        <stp>2458</stp>
        <stp>PredictVolume</stp>
        <tr r="AJ549" s="57"/>
      </tp>
      <tp>
        <v>689</v>
        <stp/>
        <stp>2538</stp>
        <stp>PredictVolume</stp>
        <tr r="AJ1456" s="57"/>
      </tp>
      <tp>
        <v>114</v>
        <stp/>
        <stp>2528</stp>
        <stp>PredictVolume</stp>
        <tr r="AJ1450" s="57"/>
      </tp>
      <tp>
        <v>1575</v>
        <stp/>
        <stp>2548</stp>
        <stp>PredictVolume</stp>
        <tr r="AJ1464" s="57"/>
      </tp>
      <tp>
        <v>464956</v>
        <stp/>
        <stp>2618</stp>
        <stp>PredictVolume</stp>
        <tr r="AJ1523" s="57"/>
      </tp>
      <tp>
        <v>1141</v>
        <stp/>
        <stp>2608</stp>
        <stp>PredictVolume</stp>
        <tr r="AJ1515" s="57"/>
      </tp>
      <tp>
        <v>1</v>
        <stp/>
        <stp>2718</stp>
        <stp>PredictVolume</stp>
        <tr r="AJ1550" s="57"/>
      </tp>
      <tp>
        <v>193</v>
        <stp/>
        <stp>2748</stp>
        <stp>PredictVolume</stp>
        <tr r="AJ1566" s="57"/>
      </tp>
      <tp>
        <v>4776</v>
        <stp/>
        <stp>2038</stp>
        <stp>PredictVolume</stp>
        <tr r="AJ456" s="57"/>
      </tp>
      <tp>
        <v>10069</v>
        <stp/>
        <stp>2028</stp>
        <stp>PredictVolume</stp>
        <tr r="AJ448" s="57"/>
      </tp>
      <tp>
        <v>246</v>
        <stp/>
        <stp>2008</stp>
        <stp>PredictVolume</stp>
        <tr r="AJ434" s="57"/>
      </tp>
      <tp>
        <v>1487</v>
        <stp/>
        <stp>2108</stp>
        <stp>PredictVolume</stp>
        <tr r="AJ486" s="57"/>
      </tp>
      <tp>
        <v>48</v>
        <stp/>
        <stp>2228</stp>
        <stp>PredictVolume</stp>
        <tr r="AJ511" s="57"/>
      </tp>
      <tp>
        <v>2825</v>
        <stp/>
        <stp>2208</stp>
        <stp>PredictVolume</stp>
        <tr r="AJ1510" s="57"/>
      </tp>
      <tp>
        <v>1293</v>
        <stp/>
        <stp>2388</stp>
        <stp>PredictVolume</stp>
        <tr r="AJ540" s="57"/>
      </tp>
      <tp>
        <v>3499</v>
        <stp/>
        <stp>2338</stp>
        <stp>PredictVolume</stp>
        <tr r="AJ533" s="57"/>
      </tp>
      <tp>
        <v>6317</v>
        <stp/>
        <stp>2328</stp>
        <stp>PredictVolume</stp>
        <tr r="AJ1027" s="57"/>
      </tp>
      <tp>
        <v>2683</v>
        <stp/>
        <stp>2308</stp>
        <stp>PredictVolume</stp>
        <tr r="AJ1023" s="57"/>
        <tr r="AJ6" s="118"/>
      </tp>
      <tp>
        <v>7937</v>
        <stp/>
        <stp>2368</stp>
        <stp>PredictVolume</stp>
        <tr r="AJ1030" s="57"/>
      </tp>
      <tp>
        <v>1086</v>
        <stp/>
        <stp>2358</stp>
        <stp>PredictVolume</stp>
        <tr r="AJ1314" s="57"/>
      </tp>
      <tp>
        <v>143</v>
        <stp/>
        <stp>2348</stp>
        <stp>PredictVolume</stp>
        <tr r="AJ1313" s="57"/>
      </tp>
      <tp>
        <v>72906</v>
        <stp/>
        <stp>2888</stp>
        <stp>PredictVolume</stp>
        <tr r="AJ1611" s="57"/>
      </tp>
      <tp>
        <v>7324</v>
        <stp/>
        <stp>2838</stp>
        <stp>PredictVolume</stp>
        <tr r="AJ1595" s="57"/>
      </tp>
      <tp>
        <v>120</v>
        <stp/>
        <stp>2908</stp>
        <stp>PredictVolume</stp>
        <tr r="AJ1639" s="57"/>
      </tp>
      <tp>
        <v>72</v>
        <stp/>
        <stp>3498</stp>
        <stp>PredictVolume</stp>
        <tr r="AJ1717" s="57"/>
      </tp>
      <tp>
        <v>175</v>
        <stp/>
        <stp>3438</stp>
        <stp>PredictVolume</stp>
        <tr r="AJ578" s="57"/>
      </tp>
      <tp>
        <v>1043</v>
        <stp/>
        <stp>3588</stp>
        <stp>PredictVolume</stp>
        <tr r="AJ591" s="57"/>
      </tp>
      <tp>
        <v>90</v>
        <stp/>
        <stp>3528</stp>
        <stp>PredictVolume</stp>
        <tr r="AJ1241" s="57"/>
      </tp>
      <tp>
        <v>60</v>
        <stp/>
        <stp>3518</stp>
        <stp>PredictVolume</stp>
        <tr r="AJ1719" s="57"/>
      </tp>
      <tp>
        <v>1002</v>
        <stp/>
        <stp>3508</stp>
        <stp>PredictVolume</stp>
        <tr r="AJ1718" s="57"/>
      </tp>
      <tp>
        <v>6012</v>
        <stp/>
        <stp>3558</stp>
        <stp>PredictVolume</stp>
        <tr r="AJ960" s="57"/>
      </tp>
      <tp>
        <v>394</v>
        <stp/>
        <stp>3548</stp>
        <stp>PredictVolume</stp>
        <tr r="AJ1106" s="57"/>
      </tp>
      <tp>
        <v>349</v>
        <stp/>
        <stp>3628</stp>
        <stp>PredictVolume</stp>
        <tr r="AJ1726" s="57"/>
      </tp>
      <tp>
        <v>8162</v>
        <stp/>
        <stp>3708</stp>
        <stp>PredictVolume</stp>
        <tr r="AJ264" s="57"/>
      </tp>
      <tp>
        <v>4620</v>
        <stp/>
        <stp>3088</stp>
        <stp>PredictVolume</stp>
        <tr r="AJ732" s="57"/>
      </tp>
      <tp>
        <v>172</v>
        <stp/>
        <stp>3038</stp>
        <stp>PredictVolume</stp>
        <tr r="AJ824" s="57"/>
      </tp>
      <tp>
        <v>533</v>
        <stp/>
        <stp>3028</stp>
        <stp>PredictVolume</stp>
        <tr r="AJ1230" s="57"/>
      </tp>
      <tp>
        <v>701</v>
        <stp/>
        <stp>3018</stp>
        <stp>PredictVolume</stp>
        <tr r="AJ1703" s="57"/>
      </tp>
      <tp>
        <v>435</v>
        <stp/>
        <stp>3008</stp>
        <stp>PredictVolume</stp>
        <tr r="AJ820" s="57"/>
      </tp>
      <tp>
        <v>121</v>
        <stp/>
        <stp>3078</stp>
        <stp>PredictVolume</stp>
        <tr r="AJ1066" s="57"/>
      </tp>
      <tp>
        <v>165</v>
        <stp/>
        <stp>3058</stp>
        <stp>PredictVolume</stp>
        <tr r="AJ1065" s="57"/>
      </tp>
      <tp>
        <v>564</v>
        <stp/>
        <stp>3048</stp>
        <stp>PredictVolume</stp>
        <tr r="AJ1233" s="57"/>
      </tp>
      <tp>
        <v>147</v>
        <stp/>
        <stp>3188</stp>
        <stp>PredictVolume</stp>
        <tr r="AJ1471" s="57"/>
      </tp>
      <tp>
        <v>316</v>
        <stp/>
        <stp>3138</stp>
        <stp>PredictVolume</stp>
        <tr r="AJ947" s="57"/>
      </tp>
      <tp>
        <v>74</v>
        <stp/>
        <stp>3128</stp>
        <stp>PredictVolume</stp>
        <tr r="AJ830" s="57"/>
      </tp>
      <tp>
        <v>28</v>
        <stp/>
        <stp>3118</stp>
        <stp>PredictVolume</stp>
        <tr r="AJ311" s="57"/>
      </tp>
      <tp>
        <v>22</v>
        <stp/>
        <stp>3178</stp>
        <stp>PredictVolume</stp>
        <tr r="AJ171" s="57"/>
      </tp>
      <tp>
        <v>28</v>
        <stp/>
        <stp>3288</stp>
        <stp>PredictVolume</stp>
        <tr r="AJ1079" s="57"/>
      </tp>
      <tp>
        <v>1090</v>
        <stp/>
        <stp>3228</stp>
        <stp>PredictVolume</stp>
        <tr r="AJ567" s="57"/>
      </tp>
      <tp>
        <v>132</v>
        <stp/>
        <stp>3218</stp>
        <stp>PredictVolume</stp>
        <tr r="AJ315" s="57"/>
      </tp>
      <tp>
        <v>54</v>
        <stp/>
        <stp>3268</stp>
        <stp>PredictVolume</stp>
        <tr r="AJ573" s="57"/>
      </tp>
      <tp>
        <v>66</v>
        <stp/>
        <stp>3388</stp>
        <stp>PredictVolume</stp>
        <tr r="AJ1093" s="57"/>
      </tp>
      <tp>
        <v>248</v>
        <stp/>
        <stp>3338</stp>
        <stp>PredictVolume</stp>
        <tr r="AJ1089" s="57"/>
      </tp>
      <tp>
        <v>69</v>
        <stp/>
        <stp>3308</stp>
        <stp>PredictVolume</stp>
        <tr r="AJ1083" s="57"/>
      </tp>
      <tp>
        <v>284</v>
        <stp/>
        <stp>1438</stp>
        <stp>PredictVolume</stp>
        <tr r="AJ1436" s="57"/>
      </tp>
      <tp>
        <v>18</v>
        <stp/>
        <stp>1418</stp>
        <stp>PredictVolume</stp>
        <tr r="AJ76" s="57"/>
      </tp>
      <tp>
        <v>52</v>
        <stp/>
        <stp>1468</stp>
        <stp>PredictVolume</stp>
        <tr r="AJ103" s="57"/>
      </tp>
      <tp>
        <v>220</v>
        <stp/>
        <stp>1598</stp>
        <stp>PredictVolume</stp>
        <tr r="AM39" s="28"/>
        <tr r="AJ290" s="57"/>
      </tp>
      <tp>
        <v>12</v>
        <stp/>
        <stp>1538</stp>
        <stp>PredictVolume</stp>
        <tr r="AJ146" s="57"/>
      </tp>
      <tp>
        <v>616</v>
        <stp/>
        <stp>1528</stp>
        <stp>PredictVolume</stp>
        <tr r="AJ139" s="57"/>
      </tp>
      <tp>
        <v>38</v>
        <stp/>
        <stp>1568</stp>
        <stp>PredictVolume</stp>
        <tr r="AJ503" s="57"/>
      </tp>
      <tp>
        <v>49</v>
        <stp/>
        <stp>1558</stp>
        <stp>PredictVolume</stp>
        <tr r="AJ150" s="57"/>
      </tp>
      <tp>
        <v>1663</v>
        <stp/>
        <stp>1618</stp>
        <stp>PredictVolume</stp>
        <tr r="AJ235" s="57"/>
      </tp>
      <tp>
        <v>6038</v>
        <stp/>
        <stp>1608</stp>
        <stp>PredictVolume</stp>
        <tr r="AJ227" s="57"/>
      </tp>
      <tp>
        <v>12</v>
        <stp/>
        <stp>1788</stp>
        <stp>PredictVolume</stp>
        <tr r="AJ306" s="57"/>
      </tp>
      <tp>
        <v>1906</v>
        <stp/>
        <stp>1718</stp>
        <stp>PredictVolume</stp>
        <tr r="AJ251" s="57"/>
      </tp>
      <tp>
        <v>109888</v>
        <stp/>
        <stp>1708</stp>
        <stp>PredictVolume</stp>
        <tr r="AJ243" s="57"/>
        <tr r="AJ1712" s="57"/>
      </tp>
      <tp>
        <v>287</v>
        <stp/>
        <stp>1108</stp>
        <stp>PredictVolume</stp>
        <tr r="AJ8" s="57"/>
      </tp>
      <tp>
        <v>1220</v>
        <stp/>
        <stp>1218</stp>
        <stp>PredictVolume</stp>
        <tr r="AJ20" s="57"/>
      </tp>
      <tp>
        <v>7</v>
        <stp/>
        <stp>1268</stp>
        <stp>PredictVolume</stp>
        <tr r="AJ1542" s="57"/>
      </tp>
      <tp>
        <v>152</v>
        <stp/>
        <stp>1258</stp>
        <stp>PredictVolume</stp>
        <tr r="AJ33" s="57"/>
      </tp>
      <tp>
        <v>123</v>
        <stp/>
        <stp>1338</stp>
        <stp>PredictVolume</stp>
        <tr r="AJ494" s="57"/>
      </tp>
      <tp>
        <v>1156</v>
        <stp/>
        <stp>1308</stp>
        <stp>PredictVolume</stp>
        <tr r="AJ47" s="57"/>
      </tp>
      <tp>
        <v>86</v>
        <stp/>
        <stp>1808</stp>
        <stp>PredictVolume</stp>
        <tr r="AJ1439" s="57"/>
      </tp>
      <tp>
        <v>4</v>
        <stp/>
        <stp>8488</stp>
        <stp>PredictVolume</stp>
        <tr r="AJ1388" s="57"/>
      </tp>
      <tp>
        <v>46</v>
        <stp/>
        <stp>8438</stp>
        <stp>PredictVolume</stp>
        <tr r="AJ1374" s="57"/>
      </tp>
      <tp>
        <v>66</v>
        <stp/>
        <stp>8418</stp>
        <stp>PredictVolume</stp>
        <tr r="AJ1366" s="57"/>
      </tp>
      <tp>
        <v>9375</v>
        <stp/>
        <stp>8478</stp>
        <stp>PredictVolume</stp>
        <tr r="AJ1384" s="57"/>
      </tp>
      <tp>
        <v>126</v>
        <stp/>
        <stp>8088</stp>
        <stp>PredictVolume</stp>
        <tr r="AJ687" s="57"/>
      </tp>
      <tp>
        <v>418</v>
        <stp/>
        <stp>8038</stp>
        <stp>PredictVolume</stp>
        <tr r="AJ1202" s="57"/>
      </tp>
      <tp>
        <v>6872</v>
        <stp/>
        <stp>8028</stp>
        <stp>PredictVolume</stp>
        <tr r="AJ682" s="57"/>
      </tp>
      <tp>
        <v>94</v>
        <stp/>
        <stp>8068</stp>
        <stp>PredictVolume</stp>
        <tr r="AJ1255" s="57"/>
      </tp>
      <tp>
        <v>46</v>
        <stp/>
        <stp>8048</stp>
        <stp>PredictVolume</stp>
        <tr r="AJ1008" s="57"/>
      </tp>
      <tp>
        <v>1526</v>
        <stp/>
        <stp>8358</stp>
        <stp>PredictVolume</stp>
        <tr r="AJ1222" s="57"/>
      </tp>
      <tp>
        <v>601</v>
        <stp/>
        <stp>8938</stp>
        <stp>PredictVolume</stp>
        <tr r="AJ1402" s="57"/>
      </tp>
      <tp>
        <v>165</v>
        <stp/>
        <stp>8928</stp>
        <stp>PredictVolume</stp>
        <tr r="AJ1395" s="57"/>
      </tp>
      <tp>
        <v>133</v>
        <stp/>
        <stp>8908</stp>
        <stp>PredictVolume</stp>
        <tr r="AJ1678" s="57"/>
      </tp>
      <tp>
        <v>540</v>
        <stp/>
        <stp>9938</stp>
        <stp>PredictVolume</stp>
        <tr r="AJ4" s="114"/>
        <tr r="AJ1424" s="57"/>
      </tp>
      <tp>
        <v>241</v>
        <stp/>
        <stp>9928</stp>
        <stp>PredictVolume</stp>
        <tr r="AJ1418" s="57"/>
      </tp>
      <tp>
        <v>187</v>
        <stp/>
        <stp>9918</stp>
        <stp>PredictVolume</stp>
        <tr r="AJ1676" s="57"/>
      </tp>
      <tp>
        <v>81</v>
        <stp/>
        <stp>9908</stp>
        <stp>PredictVolume</stp>
        <tr r="AJ1679" s="57"/>
      </tp>
      <tp>
        <v>15004</v>
        <stp/>
        <stp>9958</stp>
        <stp>PredictVolume</stp>
        <tr r="AJ475" s="57"/>
      </tp>
      <tp>
        <v>39.950000000000003</v>
        <stp/>
        <stp>2235</stp>
        <stp>Price</stp>
        <tr r="V166" s="57"/>
      </tp>
      <tp>
        <v>226</v>
        <stp/>
        <stp>2345</stp>
        <stp>Price</stp>
        <tr r="V931" s="57"/>
      </tp>
      <tp>
        <v>31.5</v>
        <stp/>
        <stp>2355</stp>
        <stp>Price</stp>
        <tr r="V1028" s="57"/>
      </tp>
      <tp>
        <v>10.9</v>
        <stp/>
        <stp>2365</stp>
        <stp>Price</stp>
        <tr r="V708" s="57"/>
      </tp>
      <tp>
        <v>71.2</v>
        <stp/>
        <stp>2375</stp>
        <stp>Price</stp>
        <tr r="V1031" s="57"/>
      </tp>
      <tp>
        <v>8.81</v>
        <stp/>
        <stp>2305</stp>
        <stp>Price</stp>
        <tr r="V699" s="57"/>
      </tp>
      <tp>
        <v>86.8</v>
        <stp/>
        <stp>2385</stp>
        <stp>Price</stp>
        <tr r="V1033" s="57"/>
      </tp>
      <tp>
        <v>380</v>
        <stp/>
        <stp>2395</stp>
        <stp>Price</stp>
        <tr r="V714" s="57"/>
      </tp>
      <tp>
        <v>47.75</v>
        <stp/>
        <stp>2065</stp>
        <stp>Price</stp>
        <tr r="V459" s="57"/>
      </tp>
      <tp>
        <v>91</v>
        <stp/>
        <stp>2015</stp>
        <stp>Price</stp>
        <tr r="V440" s="57"/>
      </tp>
      <tp>
        <v>5.7</v>
        <stp/>
        <stp>2025</stp>
        <stp>Price</stp>
        <tr r="V446" s="57"/>
      </tp>
      <tp>
        <v>36.85</v>
        <stp/>
        <stp>2035</stp>
        <stp>Price</stp>
        <tr r="V455" s="57"/>
      </tp>
      <tp>
        <v>34.75</v>
        <stp/>
        <stp>2105</stp>
        <stp>Price</stp>
        <tr r="V483" s="57"/>
      </tp>
      <tp>
        <v>38.15</v>
        <stp/>
        <stp>2115</stp>
        <stp>Price</stp>
        <tr r="V505" s="57"/>
      </tp>
      <tp>
        <v>27.3</v>
        <stp/>
        <stp>2605</stp>
        <stp>Price</stp>
        <tr r="V1512" s="57"/>
      </tp>
      <tp>
        <v>154.5</v>
        <stp/>
        <stp>2615</stp>
        <stp>Price</stp>
        <tr r="V1521" s="57"/>
        <tr r="V25" s="118"/>
      </tp>
      <tp>
        <v>40.299999999999997</v>
        <stp/>
        <stp>2745</stp>
        <stp>Price</stp>
        <tr r="V1565" s="57"/>
      </tp>
      <tp>
        <v>57.3</v>
        <stp/>
        <stp>2755</stp>
        <stp>Price</stp>
        <tr r="V1570" s="57"/>
      </tp>
      <tp>
        <v>17.25</v>
        <stp/>
        <stp>2705</stp>
        <stp>Price</stp>
        <tr r="V1546" s="57"/>
      </tp>
      <tp>
        <v>95.9</v>
        <stp/>
        <stp>2455</stp>
        <stp>Price</stp>
        <tr r="V937" s="57"/>
      </tp>
      <tp>
        <v>56.4</v>
        <stp/>
        <stp>2465</stp>
        <stp>Price</stp>
        <tr r="V38" s="74"/>
        <tr r="V722" s="57"/>
      </tp>
      <tp>
        <v>13.35</v>
        <stp/>
        <stp>2405</stp>
        <stp>Price</stp>
        <tr r="V717" s="57"/>
      </tp>
      <tp>
        <v>41.75</v>
        <stp/>
        <stp>2415</stp>
        <stp>Price</stp>
        <tr r="V1037" s="57"/>
      </tp>
      <tp>
        <v>27.85</v>
        <stp/>
        <stp>2425</stp>
        <stp>Price</stp>
        <tr r="V720" s="57"/>
      </tp>
      <tp>
        <v>17.850000000000001</v>
        <stp/>
        <stp>2485</stp>
        <stp>Price</stp>
        <tr r="V938" s="57"/>
      </tp>
      <tp>
        <v>15.5</v>
        <stp/>
        <stp>2495</stp>
        <stp>Price</stp>
        <tr r="V1702" s="57"/>
      </tp>
      <tp>
        <v>54.8</v>
        <stp/>
        <stp>2545</stp>
        <stp>Price</stp>
        <tr r="V1461" s="57"/>
      </tp>
      <tp>
        <v>22.25</v>
        <stp/>
        <stp>2505</stp>
        <stp>Price</stp>
        <tr r="V1442" s="57"/>
      </tp>
      <tp>
        <v>10.050000000000001</v>
        <stp/>
        <stp>2515</stp>
        <stp>Price</stp>
        <tr r="V1815" s="57"/>
      </tp>
      <tp>
        <v>31.3</v>
        <stp/>
        <stp>2535</stp>
        <stp>Price</stp>
        <tr r="V1453" s="57"/>
      </tp>
      <tp>
        <v>12.4</v>
        <stp/>
        <stp>2845</stp>
        <stp>Price</stp>
        <tr r="V1596" s="57"/>
      </tp>
      <tp>
        <v>21.8</v>
        <stp/>
        <stp>2855</stp>
        <stp>Price</stp>
        <tr r="V1601" s="57"/>
      </tp>
      <tp>
        <v>26.55</v>
        <stp/>
        <stp>2885</stp>
        <stp>Price</stp>
        <tr r="V1608" s="57"/>
        <tr r="V22" s="118"/>
      </tp>
      <tp>
        <v>61.8</v>
        <stp/>
        <stp>2945</stp>
        <stp>Price</stp>
        <tr r="V1650" s="57"/>
      </tp>
      <tp>
        <v>22.25</v>
        <stp/>
        <stp>2905</stp>
        <stp>Price</stp>
        <tr r="V1637" s="57"/>
      </tp>
      <tp>
        <v>107.5</v>
        <stp/>
        <stp>2915</stp>
        <stp>Price</stp>
        <tr r="V1644" s="57"/>
      </tp>
      <tp>
        <v>36</v>
        <stp/>
        <stp>3265</stp>
        <stp>Price</stp>
        <tr r="V26" s="22"/>
        <tr r="V27" s="22"/>
        <tr r="V28" s="22"/>
        <tr r="V29" s="22"/>
        <tr r="V572" s="57"/>
        <tr r="V18" s="28"/>
      </tp>
      <tp>
        <v>23.1</v>
        <stp/>
        <stp>3205</stp>
        <stp>Price</stp>
        <tr r="V314" s="57"/>
      </tp>
      <tp>
        <v>20.7</v>
        <stp/>
        <stp>3285</stp>
        <stp>Price</stp>
        <tr r="V1709" s="57"/>
      </tp>
      <tp>
        <v>15.3</v>
        <stp/>
        <stp>3325</stp>
        <stp>Price</stp>
        <tr r="V739" s="57"/>
      </tp>
      <tp>
        <v>106</v>
        <stp/>
        <stp>3045</stp>
        <stp>Price</stp>
        <tr r="V942" s="57"/>
        <tr r="V28" s="118"/>
      </tp>
      <tp>
        <v>28.7</v>
        <stp/>
        <stp>3055</stp>
        <stp>Price</stp>
        <tr r="V1234" s="57"/>
      </tp>
      <tp>
        <v>46.85</v>
        <stp/>
        <stp>3005</stp>
        <stp>Price</stp>
        <tr r="V724" s="57"/>
      </tp>
      <tp>
        <v>42.3</v>
        <stp/>
        <stp>3015</stp>
        <stp>Price</stp>
        <tr r="V63" s="22"/>
        <tr r="V1057" s="57"/>
        <tr r="V24" s="28"/>
      </tp>
      <tp>
        <v>21.55</v>
        <stp/>
        <stp>3025</stp>
        <stp>Price</stp>
        <tr r="V940" s="57"/>
      </tp>
      <tp>
        <v>281.5</v>
        <stp/>
        <stp>3035</stp>
        <stp>Price</stp>
        <tr r="V555" s="57"/>
      </tp>
      <tp>
        <v>10</v>
        <stp/>
        <stp>3085</stp>
        <stp>Price</stp>
        <tr r="V1798" s="57"/>
      </tp>
      <tp>
        <v>2.94</v>
        <stp/>
        <stp>3095</stp>
        <stp>Price</stp>
        <tr r="V946" s="57"/>
      </tp>
      <tp>
        <v>230</v>
        <stp/>
        <stp>3105</stp>
        <stp>Price</stp>
        <tr r="V560" s="57"/>
        <tr r="V37" s="118"/>
      </tp>
      <tp>
        <v>11.3</v>
        <stp/>
        <stp>3115</stp>
        <stp>Price</stp>
        <tr r="V1070" s="57"/>
      </tp>
      <tp>
        <v>58.2</v>
        <stp/>
        <stp>3645</stp>
        <stp>Price</stp>
        <tr r="V1115" s="57"/>
      </tp>
      <tp>
        <v>299.5</v>
        <stp/>
        <stp>3665</stp>
        <stp>Price</stp>
        <tr r="V1729" s="57"/>
      </tp>
      <tp>
        <v>319</v>
        <stp/>
        <stp>3675</stp>
        <stp>Price</stp>
        <tr r="V594" s="57"/>
      </tp>
      <tp>
        <v>44.75</v>
        <stp/>
        <stp>3605</stp>
        <stp>Price</stp>
        <tr r="V1110" s="57"/>
      </tp>
      <tp>
        <v>21</v>
        <stp/>
        <stp>3615</stp>
        <stp>Price</stp>
        <tr r="V854" s="57"/>
      </tp>
      <tp>
        <v>20.2</v>
        <stp/>
        <stp>3625</stp>
        <stp>Price</stp>
        <tr r="V62" s="28"/>
        <tr r="V751" s="57"/>
      </tp>
      <tp>
        <v>30.1</v>
        <stp/>
        <stp>3685</stp>
        <stp>Price</stp>
        <tr r="V861" s="57"/>
      </tp>
      <tp>
        <v>42.35</v>
        <stp/>
        <stp>3705</stp>
        <stp>Price</stp>
        <tr r="V316" s="57"/>
      </tp>
      <tp>
        <v>91.6</v>
        <stp/>
        <stp>3455</stp>
        <stp>Price</stp>
        <tr r="V843" s="57"/>
      </tp>
      <tp>
        <v>121.5</v>
        <stp/>
        <stp>3465</stp>
        <stp>Price</stp>
        <tr r="V1096" s="57"/>
      </tp>
      <tp>
        <v>129</v>
        <stp/>
        <stp>3545</stp>
        <stp>Price</stp>
        <tr r="V585" s="57"/>
      </tp>
      <tp>
        <v>33.9</v>
        <stp/>
        <stp>3555</stp>
        <stp>Price</stp>
        <tr r="V586" s="57"/>
      </tp>
      <tp>
        <v>176</v>
        <stp/>
        <stp>3515</stp>
        <stp>Price</stp>
        <tr r="V745" s="57"/>
      </tp>
      <tp>
        <v>22.5</v>
        <stp/>
        <stp>3535</stp>
        <stp>Price</stp>
        <tr r="V849" s="57"/>
      </tp>
      <tp>
        <v>81.7</v>
        <stp/>
        <stp>1215</stp>
        <stp>Price</stp>
        <tr r="V17" s="57"/>
      </tp>
      <tp>
        <v>60</v>
        <stp/>
        <stp>1225</stp>
        <stp>Price</stp>
        <tr r="V23" s="57"/>
      </tp>
      <tp>
        <v>44.85</v>
        <stp/>
        <stp>1235</stp>
        <stp>Price</stp>
        <tr r="V30" s="57"/>
      </tp>
      <tp>
        <v>33.950000000000003</v>
        <stp/>
        <stp>1305</stp>
        <stp>Price</stp>
        <tr r="V45" s="57"/>
      </tp>
      <tp>
        <v>81.3</v>
        <stp/>
        <stp>1315</stp>
        <stp>Price</stp>
        <tr r="V53" s="57"/>
      </tp>
      <tp>
        <v>43</v>
        <stp/>
        <stp>1325</stp>
        <stp>Price</stp>
        <tr r="V10" s="22"/>
        <tr r="V11" s="22"/>
        <tr r="V12" s="22"/>
        <tr r="V13" s="22"/>
        <tr r="V14" s="22"/>
        <tr r="V15" s="22"/>
        <tr r="V57" s="57"/>
        <tr r="V15" s="28"/>
      </tp>
      <tp>
        <v>37.200000000000003</v>
        <stp/>
        <stp>1605</stp>
        <stp>Price</stp>
        <tr r="V226" s="57"/>
      </tp>
      <tp>
        <v>35.4</v>
        <stp/>
        <stp>1615</stp>
        <stp>Price</stp>
        <tr r="V232" s="57"/>
      </tp>
      <tp>
        <v>26.1</v>
        <stp/>
        <stp>1725</stp>
        <stp>Price</stp>
        <tr r="V255" s="57"/>
      </tp>
      <tp>
        <v>18.2</v>
        <stp/>
        <stp>1735</stp>
        <stp>Price</stp>
        <tr r="V260" s="57"/>
      </tp>
      <tp>
        <v>51.6</v>
        <stp/>
        <stp>1785</stp>
        <stp>Price</stp>
        <tr r="V1685" s="57"/>
      </tp>
      <tp>
        <v>130</v>
        <stp/>
        <stp>1795</stp>
        <stp>Price</stp>
        <tr r="V308" s="57"/>
      </tp>
      <tp>
        <v>15.3</v>
        <stp/>
        <stp>1445</stp>
        <stp>Price</stp>
        <tr r="V85" s="57"/>
      </tp>
      <tp>
        <v>15.5</v>
        <stp/>
        <stp>1455</stp>
        <stp>Price</stp>
        <tr r="V93" s="57"/>
      </tp>
      <tp>
        <v>12.5</v>
        <stp/>
        <stp>1465</stp>
        <stp>Price</stp>
        <tr r="V100" s="57"/>
      </tp>
      <tp>
        <v>75.900000000000006</v>
        <stp/>
        <stp>1475</stp>
        <stp>Price</stp>
        <tr r="V108" s="57"/>
      </tp>
      <tp>
        <v>63.4</v>
        <stp/>
        <stp>1435</stp>
        <stp>Price</stp>
        <tr r="V1307" s="57"/>
      </tp>
      <tp>
        <v>279</v>
        <stp/>
        <stp>1565</stp>
        <stp>Price</stp>
        <tr r="V288" s="57"/>
      </tp>
      <tp>
        <v>42.2</v>
        <stp/>
        <stp>1515</stp>
        <stp>Price</stp>
        <tr r="V134" s="57"/>
      </tp>
      <tp>
        <v>59.3</v>
        <stp/>
        <stp>1525</stp>
        <stp>Price</stp>
        <tr r="V500" s="57"/>
      </tp>
      <tp>
        <v>42.65</v>
        <stp/>
        <stp>1535</stp>
        <stp>Price</stp>
        <tr r="V144" s="57"/>
      </tp>
      <tp>
        <v>39</v>
        <stp/>
        <stp>1595</stp>
        <stp>Price</stp>
        <tr r="V1020" s="57"/>
      </tp>
      <tp>
        <v>13.5</v>
        <stp/>
        <stp>1805</stp>
        <stp>Price</stp>
        <tr r="V1438" s="57"/>
      </tp>
      <tp>
        <v>14.15</v>
        <stp/>
        <stp>1815</stp>
        <stp>Price</stp>
        <tr r="V1021" s="57"/>
      </tp>
      <tp>
        <v>21.1</v>
        <stp/>
        <stp>1905</stp>
        <stp>Price</stp>
        <tr r="V425" s="57"/>
      </tp>
      <tp>
        <v>59.6</v>
        <stp/>
        <stp>6245</stp>
        <stp>Price</stp>
        <tr r="V991" s="57"/>
      </tp>
      <tp>
        <v>12.1</v>
        <stp/>
        <stp>6265</stp>
        <stp>Price</stp>
        <tr r="V1249" s="57"/>
      </tp>
      <tp>
        <v>35.5</v>
        <stp/>
        <stp>6275</stp>
        <stp>Price</stp>
        <tr r="V1748" s="57"/>
      </tp>
      <tp>
        <v>83.7</v>
        <stp/>
        <stp>6205</stp>
        <stp>Price</stp>
        <tr r="V1172" s="57"/>
      </tp>
      <tp>
        <v>26</v>
        <stp/>
        <stp>6215</stp>
        <stp>Price</stp>
        <tr r="V1746" s="57"/>
      </tp>
      <tp>
        <v>12.4</v>
        <stp/>
        <stp>6225</stp>
        <stp>Price</stp>
        <tr r="V899" s="57"/>
      </tp>
      <tp>
        <v>42.15</v>
        <stp/>
        <stp>6235</stp>
        <stp>Price</stp>
        <tr r="V786" s="57"/>
      </tp>
      <tp>
        <v>72.7</v>
        <stp/>
        <stp>6285</stp>
        <stp>Price</stp>
        <tr r="V993" s="57"/>
      </tp>
      <tp>
        <v>16.25</v>
        <stp/>
        <stp>6005</stp>
        <stp>Price</stp>
        <tr r="V1622" s="57"/>
      </tp>
      <tp>
        <v>15</v>
        <stp/>
        <stp>6015</stp>
        <stp>Price</stp>
        <tr r="V1623" s="57"/>
      </tp>
      <tp>
        <v>23.8</v>
        <stp/>
        <stp>6155</stp>
        <stp>Price</stp>
        <tr r="V1159" s="57"/>
      </tp>
      <tp>
        <v>29.95</v>
        <stp/>
        <stp>6165</stp>
        <stp>Price</stp>
        <tr r="V1162" s="57"/>
      </tp>
      <tp>
        <v>40.9</v>
        <stp/>
        <stp>6175</stp>
        <stp>Price</stp>
        <tr r="V1165" s="57"/>
      </tp>
      <tp>
        <v>42.9</v>
        <stp/>
        <stp>6115</stp>
        <stp>Price</stp>
        <tr r="V1151" s="57"/>
      </tp>
      <tp>
        <v>24.75</v>
        <stp/>
        <stp>6125</stp>
        <stp>Price</stp>
        <tr r="V892" s="57"/>
      </tp>
      <tp>
        <v>13.45</v>
        <stp/>
        <stp>6185</stp>
        <stp>Price</stp>
        <tr r="V1166" s="57"/>
      </tp>
      <tp>
        <v>53</v>
        <stp/>
        <stp>6195</stp>
        <stp>Price</stp>
        <tr r="V1660" s="57"/>
      </tp>
      <tp>
        <v>111.5</v>
        <stp/>
        <stp>6655</stp>
        <stp>Price</stp>
        <tr r="V1350" s="57"/>
      </tp>
      <tp>
        <v>59</v>
        <stp/>
        <stp>6605</stp>
        <stp>Price</stp>
        <tr r="V525" s="57"/>
      </tp>
      <tp>
        <v>47.1</v>
        <stp/>
        <stp>6615</stp>
        <stp>Price</stp>
        <tr r="V397" s="57"/>
        <tr r="V400" s="57"/>
      </tp>
      <tp>
        <v>28.5</v>
        <stp/>
        <stp>6625</stp>
        <stp>Price</stp>
        <tr r="V1347" s="57"/>
      </tp>
      <tp>
        <v>101.5</v>
        <stp/>
        <stp>6715</stp>
        <stp>Price</stp>
        <tr r="V1198" s="57"/>
      </tp>
      <tp>
        <v>27</v>
        <stp/>
        <stp>6405</stp>
        <stp>Price</stp>
        <tr r="V906" s="57"/>
      </tp>
      <tp>
        <v>2910</v>
        <stp/>
        <stp>6415</stp>
        <stp>Price</stp>
        <tr r="V647" s="57"/>
      </tp>
      <tp>
        <v>23.9</v>
        <stp/>
        <stp>6425</stp>
        <stp>Price</stp>
        <tr r="V210" s="57"/>
      </tp>
      <tp>
        <v>143</v>
        <stp/>
        <stp>6435</stp>
        <stp>Price</stp>
        <tr r="V648" s="57"/>
      </tp>
      <tp>
        <v>133.5</v>
        <stp/>
        <stp>6485</stp>
        <stp>Price</stp>
        <tr r="V652" s="57"/>
      </tp>
      <tp>
        <v>93.4</v>
        <stp/>
        <stp>6505</stp>
        <stp>Price</stp>
        <tr r="V1681" s="57"/>
        <tr r="V9" s="118"/>
      </tp>
      <tp>
        <v>373.5</v>
        <stp/>
        <stp>6515</stp>
        <stp>Price</stp>
        <tr r="V656" s="57"/>
      </tp>
      <tp>
        <v>84.5</v>
        <stp/>
        <stp>6525</stp>
        <stp>Price</stp>
        <tr r="V657" s="57"/>
      </tp>
      <tp>
        <v>34.9</v>
        <stp/>
        <stp>6535</stp>
        <stp>Price</stp>
        <tr r="V388" s="57"/>
      </tp>
      <tp>
        <v>117.5</v>
        <stp/>
        <stp>4205</stp>
        <stp>Price</stp>
        <tr r="V38" s="57"/>
      </tp>
      <tp t="s">
        <v>無資料</v>
        <stp/>
        <stp>4305</stp>
        <stp>Price</stp>
        <tr r="V64" s="57"/>
      </tp>
      <tp>
        <v>23</v>
        <stp/>
        <stp>4155</stp>
        <stp>Price</stp>
        <tr r="V347" s="57"/>
      </tp>
      <tp>
        <v>69.400000000000006</v>
        <stp/>
        <stp>4175</stp>
        <stp>Price</stp>
        <tr r="V358" s="57"/>
      </tp>
      <tp>
        <v>75.8</v>
        <stp/>
        <stp>4105</stp>
        <stp>Price</stp>
        <tr r="V319" s="57"/>
      </tp>
      <tp>
        <v>34.6</v>
        <stp/>
        <stp>4745</stp>
        <stp>Price</stp>
        <tr r="V371" s="57"/>
      </tp>
      <tp>
        <v>187.5</v>
        <stp/>
        <stp>4755</stp>
        <stp>Price</stp>
        <tr r="V277" s="57"/>
      </tp>
      <tp>
        <v>49.5</v>
        <stp/>
        <stp>4735</stp>
        <stp>Price</stp>
        <tr r="V125" s="22"/>
        <tr r="V127" s="22"/>
        <tr r="V126" s="22"/>
        <tr r="V366" s="57"/>
        <tr r="V37" s="28"/>
      </tp>
      <tp>
        <v>30.5</v>
        <stp/>
        <stp>4545</stp>
        <stp>Price</stp>
        <tr r="V1122" s="57"/>
      </tp>
      <tp>
        <v>57.8</v>
        <stp/>
        <stp>4555</stp>
        <stp>Price</stp>
        <tr r="V195" s="57"/>
      </tp>
      <tp>
        <v>35.9</v>
        <stp/>
        <stp>4535</stp>
        <stp>Price</stp>
        <tr r="V188" s="57"/>
      </tp>
      <tp>
        <v>77.5</v>
        <stp/>
        <stp>4945</stp>
        <stp>Price</stp>
        <tr r="V601" s="57"/>
      </tp>
      <tp>
        <v>55.3</v>
        <stp/>
        <stp>4915</stp>
        <stp>Price</stp>
        <tr r="V1124" s="57"/>
      </tp>
      <tp>
        <v>68.900000000000006</v>
        <stp/>
        <stp>4935</stp>
        <stp>Price</stp>
        <tr r="V868" s="57"/>
      </tp>
      <tp>
        <v>42.7</v>
        <stp/>
        <stp>4995</stp>
        <stp>Price</stp>
        <tr r="V875" s="57"/>
      </tp>
      <tp>
        <v>69.599999999999994</v>
        <stp/>
        <stp>5245</stp>
        <stp>Price</stp>
        <tr r="V881" s="57"/>
      </tp>
      <tp t="s">
        <v>無資料</v>
        <stp/>
        <stp>5205</stp>
        <stp>Price</stp>
        <tr r="V1732" s="57"/>
      </tp>
      <tp>
        <v>60.8</v>
        <stp/>
        <stp>5215</stp>
        <stp>Price</stp>
        <tr r="V763" s="57"/>
      </tp>
      <tp>
        <v>24</v>
        <stp/>
        <stp>5225</stp>
        <stp>Price</stp>
        <tr r="V1733" s="57"/>
      </tp>
      <tp>
        <v>97.9</v>
        <stp/>
        <stp>5285</stp>
        <stp>Price</stp>
        <tr r="V16" s="74"/>
        <tr r="V615" s="57"/>
      </tp>
      <tp>
        <v>5.16</v>
        <stp/>
        <stp>5345</stp>
        <stp>Price</stp>
        <tr r="V1138" s="57"/>
      </tp>
      <tp>
        <v>6.62</v>
        <stp/>
        <stp>5355</stp>
        <stp>Price</stp>
        <tr r="V1139" s="57"/>
      </tp>
      <tp>
        <v>17.600000000000001</v>
        <stp/>
        <stp>5315</stp>
        <stp>Price</stp>
        <tr r="V884" s="57"/>
      </tp>
      <tp>
        <v>44.05</v>
        <stp/>
        <stp>5015</stp>
        <stp>Price</stp>
        <tr r="V468" s="57"/>
      </tp>
      <tp>
        <v>28</v>
        <stp/>
        <stp>5455</stp>
        <stp>Price</stp>
        <tr r="V1481" s="57"/>
      </tp>
      <tp>
        <v>15.9</v>
        <stp/>
        <stp>5465</stp>
        <stp>Price</stp>
        <tr r="V771" s="57"/>
      </tp>
      <tp>
        <v>17.75</v>
        <stp/>
        <stp>5475</stp>
        <stp>Price</stp>
        <tr r="V1146" s="57"/>
      </tp>
      <tp>
        <v>83</v>
        <stp/>
        <stp>5425</stp>
        <stp>Price</stp>
        <tr r="V622" s="57"/>
      </tp>
      <tp>
        <v>13.9</v>
        <stp/>
        <stp>5515</stp>
        <stp>Price</stp>
        <tr r="V1486" s="57"/>
      </tp>
      <tp>
        <v>27.1</v>
        <stp/>
        <stp>5525</stp>
        <stp>Price</stp>
        <tr r="V1492" s="57"/>
      </tp>
      <tp>
        <v>14</v>
        <stp/>
        <stp>5905</stp>
        <stp>Price</stp>
        <tr r="V1657" s="57"/>
      </tp>
      <tp>
        <v>216</v>
        <stp/>
        <stp>8255</stp>
        <stp>Price</stp>
        <tr r="V218" s="57"/>
      </tp>
      <tp>
        <v>34.049999999999997</v>
        <stp/>
        <stp>8215</stp>
        <stp>Price</stp>
        <tr r="V924" s="57"/>
      </tp>
      <tp>
        <v>18.8</v>
        <stp/>
        <stp>8085</stp>
        <stp>Price</stp>
        <tr r="V1762" s="57"/>
      </tp>
      <tp>
        <v>180</v>
        <stp/>
        <stp>8155</stp>
        <stp>Price</stp>
        <tr r="V1216" s="57"/>
      </tp>
      <tp>
        <v>11.3</v>
        <stp/>
        <stp>8105</stp>
        <stp>Price</stp>
        <tr r="V922" s="57"/>
      </tp>
      <tp>
        <v>28.65</v>
        <stp/>
        <stp>8455</stp>
        <stp>Price</stp>
        <tr r="V1768" s="57"/>
      </tp>
      <tp>
        <v>41</v>
        <stp/>
        <stp>8415</stp>
        <stp>Price</stp>
        <tr r="V473" s="57"/>
      </tp>
      <tp>
        <v>64.5</v>
        <stp/>
        <stp>8435</stp>
        <stp>Price</stp>
        <tr r="V1372" s="57"/>
      </tp>
      <tp>
        <v>24.8</v>
        <stp/>
        <stp>8905</stp>
        <stp>Price</stp>
        <tr r="V1390" s="57"/>
      </tp>
      <tp>
        <v>13.7</v>
        <stp/>
        <stp>8935</stp>
        <stp>Price</stp>
        <tr r="V1399" s="57"/>
      </tp>
      <tp>
        <v>73.8</v>
        <stp/>
        <stp>9945</stp>
        <stp>Price</stp>
        <tr r="V1430" s="57"/>
      </tp>
      <tp>
        <v>32.549999999999997</v>
        <stp/>
        <stp>9955</stp>
        <stp>Price</stp>
        <tr r="V1431" s="57"/>
      </tp>
      <tp>
        <v>26.85</v>
        <stp/>
        <stp>9905</stp>
        <stp>Price</stp>
        <tr r="V1407" s="57"/>
      </tp>
      <tp>
        <v>40.25</v>
        <stp/>
        <stp>9925</stp>
        <stp>Price</stp>
        <tr r="V1416" s="57"/>
      </tp>
      <tp>
        <v>17.5</v>
        <stp/>
        <stp>9935</stp>
        <stp>Price</stp>
        <tr r="V1423" s="57"/>
      </tp>
      <tp>
        <v>22541.89</v>
        <stp/>
        <stp>$TWIT</stp>
        <stp>Price</stp>
        <tr r="T2" s="85"/>
      </tp>
      <tp>
        <v>17245.650000000001</v>
        <stp/>
        <stp>$TWT</stp>
        <stp>Price</stp>
        <tr r="T9" s="85"/>
      </tp>
      <tp>
        <v>207.93</v>
        <stp/>
        <stp>$TWO</stp>
        <stp>Price</stp>
        <tr r="T10" s="85"/>
      </tp>
      <tp>
        <v>172.45</v>
        <stp/>
        <stp>$TWOIGI</stp>
        <stp>Price</stp>
        <tr r="T7" s="85"/>
      </tp>
      <tp>
        <v>99.22</v>
        <stp/>
        <stp>$TWO28</stp>
        <stp>Price</stp>
        <tr r="N7" s="85"/>
      </tp>
      <tp>
        <v>178.05</v>
        <stp/>
        <stp>$TWT28</stp>
        <stp>Price</stp>
        <tr r="G7" s="85"/>
      </tp>
      <tp>
        <v>62.65</v>
        <stp/>
        <stp>$TWT08</stp>
        <stp>Price</stp>
        <tr r="G18" s="85"/>
      </tp>
      <tp>
        <v>315.42</v>
        <stp/>
        <stp>$TWT18</stp>
        <stp>Price</stp>
        <tr r="G26" s="85"/>
      </tp>
      <tp>
        <v>86.08</v>
        <stp/>
        <stp>$TWO29</stp>
        <stp>Price</stp>
        <tr r="N8" s="85"/>
      </tp>
      <tp>
        <v>207.42</v>
        <stp/>
        <stp>$TWT29</stp>
        <stp>Price</stp>
        <tr r="G8" s="85"/>
      </tp>
      <tp>
        <v>377.15</v>
        <stp/>
        <stp>$TWT09</stp>
        <stp>Price</stp>
        <tr r="G19" s="85"/>
      </tp>
      <tp>
        <v>179.86</v>
        <stp/>
        <stp>$TWO22</stp>
        <stp>Price</stp>
        <tr r="N20" s="85"/>
      </tp>
      <tp>
        <v>112.12</v>
        <stp/>
        <stp>$TWO32</stp>
        <stp>Price</stp>
        <tr r="N18" s="85"/>
      </tp>
      <tp>
        <v>68.78</v>
        <stp/>
        <stp>$TWT22</stp>
        <stp>Price</stp>
        <tr r="G29" s="85"/>
      </tp>
      <tp>
        <v>1897.49</v>
        <stp/>
        <stp>$TWT02</stp>
        <stp>Price</stp>
        <tr r="G13" s="85"/>
      </tp>
      <tp>
        <v>319.19</v>
        <stp/>
        <stp>$TWT12</stp>
        <stp>Price</stp>
        <tr r="G22" s="85"/>
      </tp>
      <tp>
        <v>121.85</v>
        <stp/>
        <stp>$TWT23</stp>
        <stp>Price</stp>
        <tr r="G30" s="85"/>
      </tp>
      <tp>
        <v>288.27</v>
        <stp/>
        <stp>$TWT03</stp>
        <stp>Price</stp>
        <tr r="G14" s="85"/>
      </tp>
      <tp>
        <v>123.38</v>
        <stp/>
        <stp>$TWO20</stp>
        <stp>Price</stp>
        <tr r="N19" s="85"/>
      </tp>
      <tp>
        <v>120.55</v>
        <stp/>
        <stp>$TWO30</stp>
        <stp>Price</stp>
        <tr r="N9" s="85"/>
      </tp>
      <tp>
        <v>175.81</v>
        <stp/>
        <stp>$TWO10</stp>
        <stp>Price</stp>
        <tr r="N13" s="85"/>
      </tp>
      <tp>
        <v>390.23</v>
        <stp/>
        <stp>$TWT20</stp>
        <stp>Price</stp>
        <tr r="G27" s="85"/>
      </tp>
      <tp>
        <v>131.41</v>
        <stp/>
        <stp>$TWT30</stp>
        <stp>Price</stp>
        <tr r="G9" s="85"/>
      </tp>
      <tp>
        <v>191.53</v>
        <stp/>
        <stp>$TWT10</stp>
        <stp>Price</stp>
        <tr r="G20" s="85"/>
      </tp>
      <tp>
        <v>148.88</v>
        <stp/>
        <stp>$TWO21</stp>
        <stp>Price</stp>
        <tr r="N17" s="85"/>
      </tp>
      <tp>
        <v>155.61000000000001</v>
        <stp/>
        <stp>$TWO31</stp>
        <stp>Price</stp>
        <tr r="N10" s="85"/>
      </tp>
      <tp>
        <v>156.47999999999999</v>
        <stp/>
        <stp>$TWT21</stp>
        <stp>Price</stp>
        <tr r="G28" s="85"/>
      </tp>
      <tp>
        <v>97.4</v>
        <stp/>
        <stp>$TWT31</stp>
        <stp>Price</stp>
        <tr r="G10" s="85"/>
      </tp>
      <tp>
        <v>187.6</v>
        <stp/>
        <stp>$TWT01</stp>
        <stp>Price</stp>
        <tr r="G12" s="85"/>
      </tp>
      <tp>
        <v>266.76</v>
        <stp/>
        <stp>$TWT11</stp>
        <stp>Price</stp>
        <tr r="G21" s="85"/>
      </tp>
      <tp>
        <v>53.82</v>
        <stp/>
        <stp>$TWO26</stp>
        <stp>Price</stp>
        <tr r="N5" s="85"/>
      </tp>
      <tp>
        <v>66.91</v>
        <stp/>
        <stp>$TWO16</stp>
        <stp>Price</stp>
        <tr r="N16" s="85"/>
      </tp>
      <tp>
        <v>36.58</v>
        <stp/>
        <stp>$TWT26</stp>
        <stp>Price</stp>
        <tr r="G5" s="85"/>
      </tp>
      <tp>
        <v>99.82</v>
        <stp/>
        <stp>$TWT06</stp>
        <stp>Price</stp>
        <tr r="G17" s="85"/>
      </tp>
      <tp>
        <v>96.14</v>
        <stp/>
        <stp>$TWT16</stp>
        <stp>Price</stp>
        <tr r="G25" s="85"/>
      </tp>
      <tp>
        <v>177.09</v>
        <stp/>
        <stp>$TWOIHD</stp>
        <stp>Price</stp>
        <tr r="T6" s="85"/>
      </tp>
      <tp>
        <v>80.41</v>
        <stp/>
        <stp>$TWO27</stp>
        <stp>Price</stp>
        <tr r="N6" s="85"/>
      </tp>
      <tp>
        <v>138.34</v>
        <stp/>
        <stp>$TWT27</stp>
        <stp>Price</stp>
        <tr r="G6" s="85"/>
      </tp>
      <tp>
        <v>118.76</v>
        <stp/>
        <stp>$TWO24</stp>
        <stp>Price</stp>
        <tr r="N3" s="85"/>
      </tp>
      <tp>
        <v>109.73</v>
        <stp/>
        <stp>$TWO04</stp>
        <stp>Price</stp>
        <tr r="N11" s="85"/>
      </tp>
      <tp>
        <v>170.96</v>
        <stp/>
        <stp>$TWO14</stp>
        <stp>Price</stp>
        <tr r="N14" s="85"/>
      </tp>
      <tp>
        <v>390.3</v>
        <stp/>
        <stp>$TWT24</stp>
        <stp>Price</stp>
        <tr r="G3" s="85"/>
      </tp>
      <tp>
        <v>589.67999999999995</v>
        <stp/>
        <stp>$TWT04</stp>
        <stp>Price</stp>
        <tr r="G15" s="85"/>
      </tp>
      <tp>
        <v>380.37</v>
        <stp/>
        <stp>$TWT14</stp>
        <stp>Price</stp>
        <tr r="G23" s="85"/>
      </tp>
      <tp>
        <v>84.47</v>
        <stp/>
        <stp>$TWO25</stp>
        <stp>Price</stp>
        <tr r="N4" s="85"/>
      </tp>
      <tp>
        <v>159.08000000000001</v>
        <stp/>
        <stp>$TWO05</stp>
        <stp>Price</stp>
        <tr r="N12" s="85"/>
      </tp>
      <tp>
        <v>233.29</v>
        <stp/>
        <stp>$TWO15</stp>
        <stp>Price</stp>
        <tr r="N15" s="85"/>
      </tp>
      <tp>
        <v>138.6</v>
        <stp/>
        <stp>$TWT25</stp>
        <stp>Price</stp>
        <tr r="G4" s="85"/>
      </tp>
      <tp>
        <v>233.62</v>
        <stp/>
        <stp>$TWT05</stp>
        <stp>Price</stp>
        <tr r="G16" s="85"/>
      </tp>
      <tp>
        <v>267.99</v>
        <stp/>
        <stp>$TWT15</stp>
        <stp>Price</stp>
        <tr r="G24" s="8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mailto:secretshop@163.com" TargetMode="External"/><Relationship Id="rId2" Type="http://schemas.openxmlformats.org/officeDocument/2006/relationships/hyperlink" Target="mailto:judyyuezhu@hotmail.com" TargetMode="External"/><Relationship Id="rId1" Type="http://schemas.openxmlformats.org/officeDocument/2006/relationships/hyperlink" Target="mailto:yuezhujudy@hotmail.com" TargetMode="External"/><Relationship Id="rId4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工作表1"/>
  <dimension ref="A1:AV5370"/>
  <sheetViews>
    <sheetView tabSelected="1" workbookViewId="0">
      <selection activeCell="K21" sqref="K21"/>
    </sheetView>
  </sheetViews>
  <sheetFormatPr defaultColWidth="9.140625" defaultRowHeight="16.5"/>
  <cols>
    <col min="1" max="1" width="5.7109375" style="130" customWidth="1"/>
    <col min="2" max="5" width="5.7109375" style="92" customWidth="1"/>
    <col min="6" max="6" width="8.7109375" style="63" customWidth="1"/>
    <col min="7" max="7" width="7.7109375" style="19" customWidth="1"/>
    <col min="8" max="8" width="5.7109375" style="12" customWidth="1"/>
    <col min="9" max="9" width="8.7109375" style="9" customWidth="1"/>
    <col min="10" max="10" width="6.7109375" style="31" customWidth="1"/>
    <col min="11" max="11" width="6.7109375" style="320" customWidth="1"/>
    <col min="12" max="12" width="6.7109375" style="73" customWidth="1"/>
    <col min="13" max="13" width="6.7109375" style="318" customWidth="1"/>
    <col min="14" max="14" width="7.7109375" style="320" customWidth="1"/>
    <col min="15" max="15" width="5.7109375" style="26" customWidth="1"/>
    <col min="16" max="16" width="6" style="380" customWidth="1"/>
    <col min="17" max="17" width="2.7109375" style="389" customWidth="1"/>
    <col min="18" max="18" width="7.42578125" style="297" customWidth="1"/>
    <col min="19" max="19" width="7.7109375" style="61" customWidth="1"/>
    <col min="20" max="20" width="6.7109375" style="354" customWidth="1"/>
    <col min="21" max="21" width="7.7109375" style="228" customWidth="1"/>
    <col min="22" max="22" width="9.7109375" style="265" customWidth="1"/>
    <col min="23" max="23" width="9.7109375" style="69" customWidth="1"/>
    <col min="24" max="24" width="9.7109375" style="58" customWidth="1"/>
    <col min="25" max="25" width="8.7109375" style="11" customWidth="1"/>
    <col min="26" max="26" width="6.7109375" style="101" customWidth="1"/>
    <col min="27" max="27" width="3.7109375" style="124" customWidth="1"/>
    <col min="28" max="28" width="3.7109375" style="251" customWidth="1"/>
    <col min="29" max="29" width="4.7109375" style="251" customWidth="1"/>
    <col min="30" max="30" width="8.7109375" style="9" customWidth="1"/>
    <col min="31" max="31" width="11.7109375" style="84" customWidth="1"/>
    <col min="32" max="32" width="11.7109375" style="83" customWidth="1"/>
    <col min="33" max="33" width="3.7109375" style="78" customWidth="1"/>
    <col min="34" max="34" width="8.7109375" style="264" customWidth="1"/>
    <col min="35" max="35" width="7.7109375" style="240" customWidth="1"/>
    <col min="36" max="36" width="7.7109375" style="264" customWidth="1"/>
    <col min="37" max="37" width="7.7109375" style="22" customWidth="1"/>
    <col min="38" max="38" width="2.7109375" style="302" customWidth="1"/>
    <col min="39" max="39" width="12.7109375" style="240" customWidth="1"/>
    <col min="40" max="40" width="5.7109375" style="253" customWidth="1"/>
    <col min="41" max="16384" width="9.140625" style="264"/>
  </cols>
  <sheetData>
    <row r="1" spans="1:40" ht="17.25" customHeight="1">
      <c r="A1" s="130" t="s">
        <v>1732</v>
      </c>
      <c r="B1" s="91" t="s">
        <v>1588</v>
      </c>
      <c r="C1" s="91" t="s">
        <v>1589</v>
      </c>
      <c r="D1" s="91" t="s">
        <v>1590</v>
      </c>
      <c r="E1" s="91" t="s">
        <v>1591</v>
      </c>
      <c r="F1" s="8" t="s">
        <v>1066</v>
      </c>
      <c r="G1" s="26" t="s">
        <v>3691</v>
      </c>
      <c r="H1" s="55" t="s">
        <v>322</v>
      </c>
      <c r="I1" s="50" t="s">
        <v>8439</v>
      </c>
      <c r="J1" s="317" t="s">
        <v>1467</v>
      </c>
      <c r="K1" s="317" t="s">
        <v>1157</v>
      </c>
      <c r="L1" s="317" t="s">
        <v>284</v>
      </c>
      <c r="M1" s="317" t="s">
        <v>1059</v>
      </c>
      <c r="N1" s="317" t="s">
        <v>5048</v>
      </c>
      <c r="O1" s="26" t="s">
        <v>8670</v>
      </c>
      <c r="P1" s="373" t="s">
        <v>5059</v>
      </c>
      <c r="Q1" s="245" t="s">
        <v>5087</v>
      </c>
      <c r="R1" s="391" t="s">
        <v>5059</v>
      </c>
      <c r="S1" s="10" t="s">
        <v>66</v>
      </c>
      <c r="T1" s="351" t="s">
        <v>5076</v>
      </c>
      <c r="U1" s="68" t="s">
        <v>3844</v>
      </c>
      <c r="V1" s="28" t="s">
        <v>3860</v>
      </c>
      <c r="W1" s="17" t="s">
        <v>1405</v>
      </c>
      <c r="X1" s="14" t="s">
        <v>5</v>
      </c>
      <c r="Y1" s="21" t="s">
        <v>3</v>
      </c>
      <c r="Z1" s="51" t="s">
        <v>6627</v>
      </c>
      <c r="AA1" s="406" t="s">
        <v>8647</v>
      </c>
      <c r="AB1" s="407" t="s">
        <v>8648</v>
      </c>
      <c r="AC1" s="408" t="s">
        <v>8649</v>
      </c>
      <c r="AD1" s="50" t="s">
        <v>8439</v>
      </c>
      <c r="AE1" s="71" t="s">
        <v>1406</v>
      </c>
      <c r="AF1" s="72" t="s">
        <v>1163</v>
      </c>
      <c r="AG1" s="32" t="s">
        <v>1164</v>
      </c>
      <c r="AH1" s="249" t="s">
        <v>5092</v>
      </c>
      <c r="AI1" s="8" t="s">
        <v>3852</v>
      </c>
      <c r="AJ1" s="50" t="s">
        <v>3586</v>
      </c>
      <c r="AK1" s="22" t="s">
        <v>5038</v>
      </c>
      <c r="AM1" s="126"/>
      <c r="AN1" s="251"/>
    </row>
    <row r="2" spans="1:40" ht="17.25" customHeight="1">
      <c r="B2" s="91"/>
      <c r="C2" s="91"/>
      <c r="D2" s="91"/>
      <c r="E2" s="91"/>
      <c r="F2" s="8"/>
      <c r="G2" s="26"/>
      <c r="H2" s="55"/>
      <c r="I2" s="50"/>
      <c r="J2" s="317"/>
      <c r="K2" s="317"/>
      <c r="L2" s="317"/>
      <c r="M2" s="317"/>
      <c r="N2" s="317"/>
      <c r="P2" s="379"/>
      <c r="Q2" s="245"/>
      <c r="R2" s="391"/>
      <c r="S2" s="10"/>
      <c r="T2" s="351"/>
      <c r="U2" s="68"/>
      <c r="V2" s="28"/>
      <c r="W2" s="17"/>
      <c r="X2" s="14"/>
      <c r="Y2" s="21"/>
      <c r="Z2" s="51"/>
      <c r="AA2" s="406"/>
      <c r="AB2" s="407"/>
      <c r="AC2" s="408"/>
      <c r="AD2" s="50"/>
      <c r="AE2" s="71"/>
      <c r="AF2" s="72"/>
      <c r="AG2" s="32"/>
      <c r="AH2" s="249"/>
      <c r="AI2" s="8"/>
      <c r="AJ2" s="50"/>
      <c r="AM2" s="126"/>
      <c r="AN2" s="251"/>
    </row>
    <row r="3" spans="1:40">
      <c r="A3" s="130" t="s">
        <v>1726</v>
      </c>
      <c r="B3" s="79">
        <v>11</v>
      </c>
      <c r="C3" s="79">
        <v>11</v>
      </c>
      <c r="D3" s="79">
        <v>11</v>
      </c>
      <c r="E3" s="80">
        <v>-7</v>
      </c>
      <c r="F3" s="57">
        <v>26.71</v>
      </c>
      <c r="G3" s="80">
        <v>8464</v>
      </c>
      <c r="H3" s="205" t="s">
        <v>235</v>
      </c>
      <c r="I3" s="22" t="s">
        <v>259</v>
      </c>
      <c r="J3" s="323">
        <v>76.5</v>
      </c>
      <c r="K3" s="323">
        <v>46.4</v>
      </c>
      <c r="L3" s="73">
        <v>7.63</v>
      </c>
      <c r="M3" s="323">
        <v>36.950000000000003</v>
      </c>
      <c r="N3" s="73">
        <f t="shared" ref="N3" si="0">J3+K3+L3+M3</f>
        <v>167.48000000000002</v>
      </c>
      <c r="O3" s="81">
        <f>IFERROR(VLOOKUP($G3,'321買'!A:E,3,0),"'沒有資料'")</f>
        <v>0</v>
      </c>
      <c r="P3" s="380">
        <f>IFERROR(VLOOKUP($G3,'321買'!$A:$G,7,0),"'沒有資料'")</f>
        <v>911</v>
      </c>
      <c r="Q3" s="388" t="s">
        <v>6636</v>
      </c>
      <c r="R3" s="297">
        <f>IFERROR(RANK(VLOOKUP($G3,連買!$A:$D,4,0),連買!$D:$D,0),"'沒有資料'")</f>
        <v>1697</v>
      </c>
      <c r="S3" s="45">
        <v>11</v>
      </c>
      <c r="T3" s="353">
        <f t="shared" ref="T3" si="1">S3/V3</f>
        <v>3.5031847133757961E-2</v>
      </c>
      <c r="U3" s="57">
        <v>18.16</v>
      </c>
      <c r="V3" s="13">
        <f>RTD("money.excel",,"8464","Price")</f>
        <v>314</v>
      </c>
      <c r="W3" s="66">
        <v>318.5</v>
      </c>
      <c r="X3" s="15">
        <f t="shared" ref="X3" si="2">V3-W3</f>
        <v>-4.5</v>
      </c>
      <c r="Y3" s="3">
        <f t="shared" ref="Y3" si="3">X3/W3</f>
        <v>-1.4128728414442701E-2</v>
      </c>
      <c r="Z3" s="413">
        <v>-37.14</v>
      </c>
      <c r="AA3" s="2">
        <v>2</v>
      </c>
      <c r="AB3" s="409">
        <v>1</v>
      </c>
      <c r="AC3" s="259">
        <f t="shared" ref="AC3:AC4" si="4">AA3-AB3</f>
        <v>1</v>
      </c>
      <c r="AD3" s="22" t="s">
        <v>259</v>
      </c>
      <c r="AE3" s="84">
        <v>44664</v>
      </c>
      <c r="AG3" s="33">
        <f t="shared" ref="AG3" si="5">AF3-AE3</f>
        <v>-44664</v>
      </c>
      <c r="AH3" s="120" t="s">
        <v>1424</v>
      </c>
      <c r="AI3" s="63">
        <f t="shared" ref="AI3:AI4" si="6">AJ3/(A3*10000)</f>
        <v>1.7508532423208191E-3</v>
      </c>
      <c r="AJ3" s="307">
        <f>RTD("money.excel",,$G3,"PredictVolume")</f>
        <v>513</v>
      </c>
      <c r="AK3" s="339"/>
      <c r="AM3" s="264"/>
      <c r="AN3" s="264"/>
    </row>
    <row r="4" spans="1:40">
      <c r="A4" s="130" t="s">
        <v>1988</v>
      </c>
      <c r="B4" s="79">
        <v>48</v>
      </c>
      <c r="C4" s="79">
        <v>41</v>
      </c>
      <c r="D4" s="79">
        <v>65</v>
      </c>
      <c r="E4" s="80">
        <v>-23</v>
      </c>
      <c r="F4" s="57">
        <v>21.75</v>
      </c>
      <c r="G4" s="80">
        <v>9938</v>
      </c>
      <c r="H4" s="8" t="s">
        <v>235</v>
      </c>
      <c r="I4" s="22" t="s">
        <v>136</v>
      </c>
      <c r="J4" s="73">
        <v>68.739999999999995</v>
      </c>
      <c r="K4" s="73">
        <v>32.42</v>
      </c>
      <c r="L4" s="323">
        <v>2.23</v>
      </c>
      <c r="M4" s="73">
        <v>11.39</v>
      </c>
      <c r="N4" s="318">
        <f t="shared" ref="N4" si="7">J4+K4+L4+M4</f>
        <v>114.78</v>
      </c>
      <c r="O4" s="81">
        <f>IFERROR(VLOOKUP($G4,'321買'!A:E,3,0),"'沒有資料'")</f>
        <v>3</v>
      </c>
      <c r="P4" s="380">
        <f>IFERROR(VLOOKUP($G4,'321買'!$A:$G,7,0),"'沒有資料'")</f>
        <v>636</v>
      </c>
      <c r="Q4" s="388" t="s">
        <v>3816</v>
      </c>
      <c r="R4" s="297">
        <f>IFERROR(RANK(VLOOKUP($G4,連買!$A:$D,4,0),連買!$D:$D,0),"'沒有資料'")</f>
        <v>1720</v>
      </c>
      <c r="S4" s="45">
        <v>3.5</v>
      </c>
      <c r="T4" s="353">
        <f t="shared" ref="T4" si="8">S4/V4</f>
        <v>4.8209366391184574E-2</v>
      </c>
      <c r="U4" s="57">
        <v>6.91</v>
      </c>
      <c r="V4" s="36">
        <f>RTD("money.excel",,"9938","Price")</f>
        <v>72.599999999999994</v>
      </c>
      <c r="W4" s="66">
        <v>73.7</v>
      </c>
      <c r="X4" s="15">
        <f t="shared" ref="X4" si="9">V4-W4</f>
        <v>-1.1000000000000085</v>
      </c>
      <c r="Y4" s="3">
        <f t="shared" ref="Y4" si="10">X4/W4</f>
        <v>-1.4925373134328474E-2</v>
      </c>
      <c r="Z4" s="413">
        <v>-32.659999999999997</v>
      </c>
      <c r="AA4" s="2">
        <v>1</v>
      </c>
      <c r="AB4" s="409">
        <v>2</v>
      </c>
      <c r="AC4" s="259">
        <f t="shared" si="4"/>
        <v>-1</v>
      </c>
      <c r="AD4" s="22" t="s">
        <v>136</v>
      </c>
      <c r="AE4" s="84">
        <v>44664</v>
      </c>
      <c r="AG4" s="33">
        <f t="shared" ref="AG4" si="11">AF4-AE4</f>
        <v>-44664</v>
      </c>
      <c r="AH4" s="120" t="s">
        <v>3034</v>
      </c>
      <c r="AI4" s="63">
        <f t="shared" si="6"/>
        <v>1.8120805369127517E-3</v>
      </c>
      <c r="AJ4" s="307">
        <f>RTD("money.excel",,$G4,"PredictVolume")</f>
        <v>540</v>
      </c>
      <c r="AK4" s="339">
        <v>5.57</v>
      </c>
      <c r="AM4" s="264"/>
      <c r="AN4" s="264"/>
    </row>
    <row r="5" spans="1:40">
      <c r="A5" s="130" t="s">
        <v>1676</v>
      </c>
      <c r="B5" s="79">
        <v>17</v>
      </c>
      <c r="C5" s="80">
        <v>-28</v>
      </c>
      <c r="D5" s="79">
        <v>33</v>
      </c>
      <c r="E5" s="80">
        <v>-10</v>
      </c>
      <c r="F5" s="57">
        <v>15.52</v>
      </c>
      <c r="G5" s="80">
        <v>4126</v>
      </c>
      <c r="H5" s="5" t="s">
        <v>311</v>
      </c>
      <c r="I5" s="16" t="s">
        <v>4052</v>
      </c>
      <c r="J5" s="73">
        <v>38.93</v>
      </c>
      <c r="K5" s="73">
        <v>9.98</v>
      </c>
      <c r="L5" s="73">
        <v>4.96</v>
      </c>
      <c r="M5" s="73">
        <v>9.26</v>
      </c>
      <c r="N5" s="318">
        <f t="shared" ref="N5" si="12">J5+K5+L5+M5</f>
        <v>63.129999999999995</v>
      </c>
      <c r="O5" s="81">
        <f>IFERROR(VLOOKUP($G5,'321買'!A:E,3,0),"'沒有資料'")</f>
        <v>1</v>
      </c>
      <c r="P5" s="380">
        <f>IFERROR(VLOOKUP($G5,'321買'!$A:$G,7,0),"'沒有資料'")</f>
        <v>783</v>
      </c>
      <c r="Q5" s="388" t="s">
        <v>3816</v>
      </c>
      <c r="R5" s="297">
        <f>IFERROR(RANK(VLOOKUP($G5,連買!$A:$D,4,0),連買!$D:$D,0),"'沒有資料'")</f>
        <v>527</v>
      </c>
      <c r="S5" s="45">
        <v>4.5</v>
      </c>
      <c r="T5" s="353">
        <f t="shared" ref="T5" si="13">S5/V5</f>
        <v>6.1728395061728392E-2</v>
      </c>
      <c r="U5" s="95">
        <v>5.87</v>
      </c>
      <c r="V5" s="36">
        <f>RTD("money.excel",,"4126","Price")</f>
        <v>72.900000000000006</v>
      </c>
      <c r="W5" s="66">
        <v>72.3</v>
      </c>
      <c r="X5" s="15">
        <f t="shared" ref="X5" si="14">V5-W5</f>
        <v>0.60000000000000853</v>
      </c>
      <c r="Y5" s="3">
        <f t="shared" ref="Y5" si="15">X5/W5</f>
        <v>8.2987551867221097E-3</v>
      </c>
      <c r="Z5" s="413">
        <v>-15.23</v>
      </c>
      <c r="AA5" s="161">
        <v>1</v>
      </c>
      <c r="AB5" s="409">
        <v>0</v>
      </c>
      <c r="AC5" s="259">
        <f t="shared" ref="AC5" si="16">AA5-AB5</f>
        <v>1</v>
      </c>
      <c r="AD5" s="16" t="s">
        <v>4052</v>
      </c>
      <c r="AE5" s="84">
        <v>44663</v>
      </c>
      <c r="AG5" s="33">
        <f t="shared" ref="AG5" si="17">AF5-AE5</f>
        <v>-44663</v>
      </c>
      <c r="AH5" s="120" t="s">
        <v>4053</v>
      </c>
      <c r="AI5" s="161"/>
      <c r="AJ5" s="409"/>
      <c r="AK5" s="259"/>
      <c r="AM5" s="264"/>
      <c r="AN5" s="264"/>
    </row>
    <row r="6" spans="1:40">
      <c r="A6" s="130" t="s">
        <v>2029</v>
      </c>
      <c r="B6" s="79">
        <v>21</v>
      </c>
      <c r="C6" s="79">
        <v>23</v>
      </c>
      <c r="D6" s="79">
        <v>22</v>
      </c>
      <c r="E6" s="79">
        <v>10</v>
      </c>
      <c r="F6" s="57">
        <v>32.35</v>
      </c>
      <c r="G6" s="80">
        <v>6732</v>
      </c>
      <c r="H6" s="204" t="s">
        <v>3254</v>
      </c>
      <c r="I6" s="16" t="s">
        <v>2032</v>
      </c>
      <c r="J6" s="323">
        <v>56.71</v>
      </c>
      <c r="K6" s="73">
        <v>9.25</v>
      </c>
      <c r="L6" s="73">
        <v>7.88</v>
      </c>
      <c r="M6" s="323">
        <v>48.19</v>
      </c>
      <c r="N6" s="318">
        <f t="shared" ref="N6:N7" si="18">J6+K6+L6+M6</f>
        <v>122.03</v>
      </c>
      <c r="O6" s="81">
        <f>IFERROR(VLOOKUP($G6,'321買'!A:E,3,0),"'沒有資料'")</f>
        <v>21</v>
      </c>
      <c r="P6" s="380">
        <f>IFERROR(VLOOKUP($G6,'321買'!$A:$G,7,0),"'沒有資料'")</f>
        <v>241</v>
      </c>
      <c r="Q6" s="388" t="s">
        <v>3816</v>
      </c>
      <c r="R6" s="297">
        <f>IFERROR(RANK(VLOOKUP($G6,連買!$A:$D,4,0),連買!$D:$D,0),"'沒有資料'")</f>
        <v>1754</v>
      </c>
      <c r="S6" s="45">
        <v>30</v>
      </c>
      <c r="T6" s="353">
        <f t="shared" ref="T6:T7" si="19">S6/V6</f>
        <v>7.1343638525564801E-2</v>
      </c>
      <c r="U6" s="57">
        <v>33.97</v>
      </c>
      <c r="V6" s="36">
        <f>RTD("money.excel",,"6732","Price")</f>
        <v>420.5</v>
      </c>
      <c r="W6" s="66">
        <v>439</v>
      </c>
      <c r="X6" s="15">
        <f t="shared" ref="X6:X7" si="20">V6-W6</f>
        <v>-18.5</v>
      </c>
      <c r="Y6" s="3">
        <f t="shared" ref="Y6:Y7" si="21">X6/W6</f>
        <v>-4.2141230068337129E-2</v>
      </c>
      <c r="Z6" s="413">
        <v>-49.65</v>
      </c>
      <c r="AA6" s="161">
        <v>0</v>
      </c>
      <c r="AB6" s="409">
        <v>0</v>
      </c>
      <c r="AC6" s="259">
        <f t="shared" ref="AC6:AC19" si="22">AA6-AB6</f>
        <v>0</v>
      </c>
      <c r="AD6" s="16" t="s">
        <v>2032</v>
      </c>
      <c r="AE6" s="84">
        <v>44659</v>
      </c>
      <c r="AG6" s="33">
        <f t="shared" ref="AG6:AG7" si="23">AF6-AE6</f>
        <v>-44659</v>
      </c>
      <c r="AH6" s="43" t="s">
        <v>2723</v>
      </c>
      <c r="AI6" s="161"/>
      <c r="AJ6" s="409"/>
      <c r="AK6" s="259"/>
      <c r="AM6" s="264"/>
      <c r="AN6" s="264"/>
    </row>
    <row r="7" spans="1:40">
      <c r="A7" s="130" t="s">
        <v>1685</v>
      </c>
      <c r="B7" s="79">
        <v>49</v>
      </c>
      <c r="C7" s="79">
        <v>58</v>
      </c>
      <c r="D7" s="79">
        <v>4</v>
      </c>
      <c r="E7" s="79">
        <v>35</v>
      </c>
      <c r="F7" s="57">
        <v>29.16</v>
      </c>
      <c r="G7" s="80">
        <v>4966</v>
      </c>
      <c r="H7" s="195" t="s">
        <v>3254</v>
      </c>
      <c r="I7" s="16" t="s">
        <v>4379</v>
      </c>
      <c r="J7" s="73">
        <v>26.99</v>
      </c>
      <c r="K7" s="73">
        <v>74.709999999999994</v>
      </c>
      <c r="L7" s="323">
        <v>4.43</v>
      </c>
      <c r="M7" s="323">
        <v>7.48</v>
      </c>
      <c r="N7" s="318">
        <f t="shared" si="18"/>
        <v>113.61</v>
      </c>
      <c r="O7" s="81">
        <f>IFERROR(VLOOKUP($G7,'321買'!A:E,3,0),"'沒有資料'")</f>
        <v>8</v>
      </c>
      <c r="P7" s="380">
        <f>IFERROR(VLOOKUP($G7,'321買'!$A:$G,7,0),"'沒有資料'")</f>
        <v>475</v>
      </c>
      <c r="Q7" s="388" t="s">
        <v>3817</v>
      </c>
      <c r="R7" s="297">
        <f>IFERROR(RANK(VLOOKUP($G7,連買!$A:$D,4,0),連買!$D:$D,0),"'沒有資料'")</f>
        <v>6</v>
      </c>
      <c r="S7" s="45">
        <v>18.23</v>
      </c>
      <c r="T7" s="353">
        <f t="shared" si="19"/>
        <v>1.1954098360655738E-2</v>
      </c>
      <c r="U7" s="95">
        <v>66.349999999999994</v>
      </c>
      <c r="V7" s="155">
        <f>RTD("money.excel",,"4966","Price")</f>
        <v>1525</v>
      </c>
      <c r="W7" s="66">
        <v>1650</v>
      </c>
      <c r="X7" s="141">
        <f t="shared" si="20"/>
        <v>-125</v>
      </c>
      <c r="Y7" s="3">
        <f t="shared" si="21"/>
        <v>-7.575757575757576E-2</v>
      </c>
      <c r="Z7" s="413">
        <v>-27.68</v>
      </c>
      <c r="AA7" s="161">
        <v>1</v>
      </c>
      <c r="AB7" s="409">
        <v>2</v>
      </c>
      <c r="AC7" s="259">
        <f t="shared" si="22"/>
        <v>-1</v>
      </c>
      <c r="AD7" s="16" t="s">
        <v>4379</v>
      </c>
      <c r="AE7" s="84">
        <v>44659</v>
      </c>
      <c r="AG7" s="33">
        <f t="shared" si="23"/>
        <v>-44659</v>
      </c>
      <c r="AH7" s="120" t="s">
        <v>2543</v>
      </c>
      <c r="AI7" s="161"/>
      <c r="AJ7" s="409"/>
      <c r="AK7" s="259"/>
      <c r="AM7" s="264"/>
      <c r="AN7" s="264"/>
    </row>
    <row r="8" spans="1:40">
      <c r="A8" s="130" t="s">
        <v>1567</v>
      </c>
      <c r="B8" s="80">
        <v>-12</v>
      </c>
      <c r="C8" s="80">
        <v>-4</v>
      </c>
      <c r="D8" s="80">
        <v>-8</v>
      </c>
      <c r="E8" s="80">
        <v>-21</v>
      </c>
      <c r="F8" s="57">
        <v>15.96</v>
      </c>
      <c r="G8" s="80">
        <v>5478</v>
      </c>
      <c r="H8" s="8" t="s">
        <v>1030</v>
      </c>
      <c r="I8" s="16" t="s">
        <v>219</v>
      </c>
      <c r="J8" s="323">
        <v>58.95</v>
      </c>
      <c r="K8" s="73">
        <v>31.35</v>
      </c>
      <c r="L8" s="323">
        <v>5.03</v>
      </c>
      <c r="M8" s="73">
        <v>17.239999999999998</v>
      </c>
      <c r="N8" s="318">
        <f t="shared" ref="N8:N9" si="24">J8+K8+L8+M8</f>
        <v>112.57000000000001</v>
      </c>
      <c r="O8" s="81">
        <f>IFERROR(VLOOKUP($G8,'321買'!A:E,3,0),"'沒有資料'")</f>
        <v>1</v>
      </c>
      <c r="P8" s="380">
        <f>IFERROR(VLOOKUP($G8,'321買'!$A:$G,7,0),"'沒有資料'")</f>
        <v>783</v>
      </c>
      <c r="Q8" s="388" t="s">
        <v>3816</v>
      </c>
      <c r="R8" s="297">
        <f>IFERROR(RANK(VLOOKUP($G8,連買!$A:$D,4,0),連買!$D:$D,0),"'沒有資料'")</f>
        <v>128</v>
      </c>
      <c r="S8" s="45">
        <v>5.2</v>
      </c>
      <c r="T8" s="353">
        <f t="shared" ref="T8:T9" si="25">S8/V8</f>
        <v>5.6830601092896178E-2</v>
      </c>
      <c r="U8" s="57">
        <v>6.89</v>
      </c>
      <c r="V8" s="36">
        <f>RTD("money.excel",,"5478","Price")</f>
        <v>91.5</v>
      </c>
      <c r="W8" s="66">
        <v>92.6</v>
      </c>
      <c r="X8" s="15">
        <f t="shared" ref="X8:X9" si="26">V8-W8</f>
        <v>-1.0999999999999943</v>
      </c>
      <c r="Y8" s="3">
        <f t="shared" ref="Y8:Y9" si="27">X8/W8</f>
        <v>-1.1879049676025858E-2</v>
      </c>
      <c r="Z8" s="413">
        <v>-26.61</v>
      </c>
      <c r="AA8" s="161">
        <v>1</v>
      </c>
      <c r="AB8" s="409">
        <v>0</v>
      </c>
      <c r="AC8" s="259">
        <f t="shared" si="22"/>
        <v>1</v>
      </c>
      <c r="AD8" s="16" t="s">
        <v>219</v>
      </c>
      <c r="AE8" s="84">
        <v>44658</v>
      </c>
      <c r="AG8" s="33">
        <f t="shared" ref="AG8:AG9" si="28">AF8-AE8</f>
        <v>-44658</v>
      </c>
      <c r="AH8" s="120" t="s">
        <v>2502</v>
      </c>
      <c r="AI8" s="161"/>
      <c r="AJ8" s="409"/>
      <c r="AK8" s="259"/>
      <c r="AM8" s="264"/>
      <c r="AN8" s="264"/>
    </row>
    <row r="9" spans="1:40">
      <c r="A9" s="146" t="s">
        <v>3642</v>
      </c>
      <c r="B9" s="79">
        <v>54</v>
      </c>
      <c r="C9" s="79">
        <v>93</v>
      </c>
      <c r="D9" s="80">
        <v>-10</v>
      </c>
      <c r="E9" s="80">
        <v>-29</v>
      </c>
      <c r="F9" s="6">
        <v>5.26</v>
      </c>
      <c r="G9" s="56" t="s">
        <v>998</v>
      </c>
      <c r="H9" s="5" t="s">
        <v>315</v>
      </c>
      <c r="I9" s="16" t="s">
        <v>999</v>
      </c>
      <c r="J9" s="73">
        <v>40.97</v>
      </c>
      <c r="K9" s="73">
        <v>0.48</v>
      </c>
      <c r="M9" s="73">
        <v>14.7</v>
      </c>
      <c r="N9" s="318">
        <f t="shared" si="24"/>
        <v>56.149999999999991</v>
      </c>
      <c r="O9" s="81" t="str">
        <f>IFERROR(VLOOKUP($G9,'321買'!A:E,3,0),"'沒有資料'")</f>
        <v>'沒有資料'</v>
      </c>
      <c r="P9" s="380" t="str">
        <f>IFERROR(VLOOKUP($G9,'321買'!$A:$G,7,0),"'沒有資料'")</f>
        <v>'沒有資料'</v>
      </c>
      <c r="Q9" s="388" t="s">
        <v>3816</v>
      </c>
      <c r="R9" s="297" t="str">
        <f>IFERROR(RANK(VLOOKUP($G9,連買!$A:$D,4,0),連買!$D:$D,0),"'沒有資料'")</f>
        <v>'沒有資料'</v>
      </c>
      <c r="S9" s="45">
        <v>4</v>
      </c>
      <c r="T9" s="353">
        <f t="shared" si="25"/>
        <v>8.7912087912087919E-2</v>
      </c>
      <c r="U9" s="95">
        <v>5.07</v>
      </c>
      <c r="V9" s="36">
        <f>RTD("money.excel",,"3147","Price")</f>
        <v>45.5</v>
      </c>
      <c r="W9" s="66">
        <v>47.15</v>
      </c>
      <c r="X9" s="15">
        <f t="shared" si="26"/>
        <v>-1.6499999999999986</v>
      </c>
      <c r="Y9" s="3">
        <f t="shared" si="27"/>
        <v>-3.4994697773064659E-2</v>
      </c>
      <c r="Z9" s="413">
        <v>-27.43</v>
      </c>
      <c r="AA9" s="161">
        <v>1</v>
      </c>
      <c r="AB9" s="409">
        <v>0</v>
      </c>
      <c r="AC9" s="259">
        <f t="shared" si="22"/>
        <v>1</v>
      </c>
      <c r="AD9" s="16" t="s">
        <v>999</v>
      </c>
      <c r="AE9" s="84">
        <v>44658</v>
      </c>
      <c r="AG9" s="33">
        <f t="shared" si="28"/>
        <v>-44658</v>
      </c>
      <c r="AH9" s="43" t="s">
        <v>2869</v>
      </c>
      <c r="AI9" s="161"/>
      <c r="AJ9" s="409"/>
      <c r="AK9" s="259"/>
      <c r="AM9" s="264"/>
      <c r="AN9" s="264"/>
    </row>
    <row r="10" spans="1:40">
      <c r="A10" s="130" t="s">
        <v>3220</v>
      </c>
      <c r="B10" s="79">
        <v>13</v>
      </c>
      <c r="C10" s="80">
        <v>-14</v>
      </c>
      <c r="D10" s="80">
        <v>-23</v>
      </c>
      <c r="E10" s="80">
        <v>-1</v>
      </c>
      <c r="F10" s="57">
        <v>12</v>
      </c>
      <c r="G10" s="79">
        <v>4190</v>
      </c>
      <c r="H10" s="8" t="s">
        <v>311</v>
      </c>
      <c r="I10" s="22" t="s">
        <v>4107</v>
      </c>
      <c r="J10" s="323">
        <v>65.510000000000005</v>
      </c>
      <c r="K10" s="73">
        <v>63.85</v>
      </c>
      <c r="L10" s="73">
        <v>8</v>
      </c>
      <c r="M10" s="73">
        <v>43.19</v>
      </c>
      <c r="N10" s="73">
        <f>J10+K10+L10+M10</f>
        <v>180.55</v>
      </c>
      <c r="O10" s="81">
        <f>IFERROR(VLOOKUP($G10,'321買'!A:E,3,0),"'沒有資料'")</f>
        <v>0</v>
      </c>
      <c r="P10" s="380">
        <f>IFERROR(VLOOKUP($G10,'321買'!$A:$G,7,0),"'沒有資料'")</f>
        <v>911</v>
      </c>
      <c r="Q10" s="388" t="s">
        <v>3816</v>
      </c>
      <c r="R10" s="297">
        <f>IFERROR(RANK(VLOOKUP($G10,連買!$A:$D,4,0),連買!$D:$D,0),"'沒有資料'")</f>
        <v>950</v>
      </c>
      <c r="S10" s="45">
        <v>3.5</v>
      </c>
      <c r="T10" s="353">
        <f>S10/V10</f>
        <v>4.9226441631504927E-2</v>
      </c>
      <c r="U10" s="57">
        <v>4.99</v>
      </c>
      <c r="V10" s="13">
        <f>RTD("money.excel",,"4190","Price")</f>
        <v>71.099999999999994</v>
      </c>
      <c r="W10" s="66">
        <v>71.3</v>
      </c>
      <c r="X10" s="15">
        <f>V10-W10</f>
        <v>-0.20000000000000284</v>
      </c>
      <c r="Y10" s="3">
        <f>X10/W10</f>
        <v>-2.8050490883590861E-3</v>
      </c>
      <c r="Z10" s="413">
        <v>-21.77</v>
      </c>
      <c r="AA10" s="161">
        <v>1</v>
      </c>
      <c r="AB10" s="409">
        <v>0</v>
      </c>
      <c r="AC10" s="259">
        <f t="shared" si="22"/>
        <v>1</v>
      </c>
      <c r="AD10" s="22" t="s">
        <v>4107</v>
      </c>
      <c r="AE10" s="84">
        <v>44658</v>
      </c>
      <c r="AG10" s="33">
        <f>AF10-AE10</f>
        <v>-44658</v>
      </c>
      <c r="AH10" s="43" t="s">
        <v>4108</v>
      </c>
      <c r="AI10" s="161"/>
      <c r="AJ10" s="409"/>
      <c r="AK10" s="259"/>
      <c r="AM10" s="264"/>
      <c r="AN10" s="264"/>
    </row>
    <row r="11" spans="1:40">
      <c r="A11" s="130" t="s">
        <v>8440</v>
      </c>
      <c r="B11" s="79">
        <v>7</v>
      </c>
      <c r="C11" s="79">
        <v>7</v>
      </c>
      <c r="D11" s="80">
        <v>-31</v>
      </c>
      <c r="E11" s="79">
        <v>37</v>
      </c>
      <c r="F11" s="57">
        <v>17.25</v>
      </c>
      <c r="G11" s="79">
        <v>6409</v>
      </c>
      <c r="H11" s="8" t="s">
        <v>316</v>
      </c>
      <c r="I11" s="22" t="s">
        <v>45</v>
      </c>
      <c r="J11" s="73">
        <v>40.729999999999997</v>
      </c>
      <c r="K11" s="73">
        <v>8.19</v>
      </c>
      <c r="L11" s="323">
        <v>13.3</v>
      </c>
      <c r="M11" s="323">
        <v>31.44</v>
      </c>
      <c r="N11" s="318">
        <f t="shared" ref="N11:N15" si="29">J11+K11+L11+M11</f>
        <v>93.66</v>
      </c>
      <c r="O11" s="81">
        <f>IFERROR(VLOOKUP($G11,'321買'!A:E,3,0),"'沒有資料'")</f>
        <v>0</v>
      </c>
      <c r="P11" s="380">
        <f>IFERROR(VLOOKUP($G11,'321買'!$A:$G,7,0),"'沒有資料'")</f>
        <v>911</v>
      </c>
      <c r="Q11" s="388" t="s">
        <v>3816</v>
      </c>
      <c r="R11" s="297">
        <f>IFERROR(RANK(VLOOKUP($G11,連買!$A:$D,4,0),連買!$D:$D,0),"'沒有資料'")</f>
        <v>4</v>
      </c>
      <c r="S11" s="45">
        <v>23.5</v>
      </c>
      <c r="T11" s="353">
        <f t="shared" ref="T11:T15" si="30">S11/V11</f>
        <v>1.6607773851590107E-2</v>
      </c>
      <c r="U11" s="95">
        <v>27.14</v>
      </c>
      <c r="V11" s="155">
        <f>RTD("money.excel",,"6409","Price")</f>
        <v>1415</v>
      </c>
      <c r="W11" s="66">
        <v>1500</v>
      </c>
      <c r="X11" s="141">
        <f t="shared" ref="X11:X15" si="31">V11-W11</f>
        <v>-85</v>
      </c>
      <c r="Y11" s="3">
        <f t="shared" ref="Y11:Y15" si="32">X11/W11</f>
        <v>-5.6666666666666664E-2</v>
      </c>
      <c r="Z11" s="413">
        <v>-20.74</v>
      </c>
      <c r="AA11" s="161">
        <v>1</v>
      </c>
      <c r="AB11" s="409">
        <v>0</v>
      </c>
      <c r="AC11" s="259">
        <f t="shared" si="22"/>
        <v>1</v>
      </c>
      <c r="AD11" s="22" t="s">
        <v>45</v>
      </c>
      <c r="AE11" s="84">
        <v>44657</v>
      </c>
      <c r="AG11" s="33">
        <f t="shared" ref="AG11:AG15" si="33">AF11-AE11</f>
        <v>-44657</v>
      </c>
      <c r="AH11" s="120" t="s">
        <v>1447</v>
      </c>
      <c r="AI11" s="161"/>
      <c r="AJ11" s="409"/>
      <c r="AK11" s="259"/>
      <c r="AM11" s="264"/>
      <c r="AN11" s="264"/>
    </row>
    <row r="12" spans="1:40">
      <c r="A12" s="130" t="s">
        <v>1662</v>
      </c>
      <c r="B12" s="79">
        <v>54</v>
      </c>
      <c r="C12" s="79">
        <v>54</v>
      </c>
      <c r="D12" s="80">
        <v>-45</v>
      </c>
      <c r="E12" s="79">
        <v>89</v>
      </c>
      <c r="F12" s="57">
        <v>53.68</v>
      </c>
      <c r="G12" s="80">
        <v>3529</v>
      </c>
      <c r="H12" s="149" t="s">
        <v>3254</v>
      </c>
      <c r="I12" s="16" t="s">
        <v>36</v>
      </c>
      <c r="J12" s="323">
        <v>35.26</v>
      </c>
      <c r="K12" s="323">
        <v>73.83</v>
      </c>
      <c r="L12" s="73">
        <v>3.98</v>
      </c>
      <c r="M12" s="73">
        <v>8.83</v>
      </c>
      <c r="N12" s="318">
        <f t="shared" si="29"/>
        <v>121.9</v>
      </c>
      <c r="O12" s="81">
        <f>IFERROR(VLOOKUP($G12,'321買'!A:E,3,0),"'沒有資料'")</f>
        <v>5</v>
      </c>
      <c r="P12" s="380">
        <f>IFERROR(VLOOKUP($G12,'321買'!$A:$G,7,0),"'沒有資料'")</f>
        <v>558</v>
      </c>
      <c r="Q12" s="388" t="s">
        <v>3817</v>
      </c>
      <c r="R12" s="297">
        <f>IFERROR(RANK(VLOOKUP($G12,連買!$A:$D,4,0),連買!$D:$D,0),"'沒有資料'")</f>
        <v>5</v>
      </c>
      <c r="S12" s="45">
        <v>14</v>
      </c>
      <c r="T12" s="353">
        <f t="shared" si="30"/>
        <v>9.5890410958904115E-3</v>
      </c>
      <c r="U12" s="95">
        <v>14.78</v>
      </c>
      <c r="V12" s="155">
        <f>RTD("money.excel",,"3529","Price")</f>
        <v>1460</v>
      </c>
      <c r="W12" s="66">
        <v>1720</v>
      </c>
      <c r="X12" s="141">
        <f t="shared" si="31"/>
        <v>-260</v>
      </c>
      <c r="Y12" s="3">
        <f t="shared" si="32"/>
        <v>-0.15116279069767441</v>
      </c>
      <c r="Z12" s="413">
        <v>-30.16</v>
      </c>
      <c r="AA12" s="161">
        <v>1</v>
      </c>
      <c r="AB12" s="409">
        <v>0</v>
      </c>
      <c r="AC12" s="259">
        <f t="shared" si="22"/>
        <v>1</v>
      </c>
      <c r="AD12" s="16" t="s">
        <v>36</v>
      </c>
      <c r="AE12" s="84">
        <v>44657</v>
      </c>
      <c r="AG12" s="33">
        <f t="shared" si="33"/>
        <v>-44657</v>
      </c>
      <c r="AH12" s="120" t="s">
        <v>3110</v>
      </c>
      <c r="AI12" s="161"/>
      <c r="AJ12" s="409"/>
      <c r="AK12" s="259"/>
      <c r="AM12" s="264"/>
      <c r="AN12" s="264"/>
    </row>
    <row r="13" spans="1:40">
      <c r="A13" s="130" t="s">
        <v>3174</v>
      </c>
      <c r="B13" s="79">
        <v>191</v>
      </c>
      <c r="C13" s="79">
        <v>178</v>
      </c>
      <c r="D13" s="79">
        <v>0</v>
      </c>
      <c r="E13" s="79">
        <v>51</v>
      </c>
      <c r="F13" s="57">
        <v>21.45</v>
      </c>
      <c r="G13" s="80">
        <v>6706</v>
      </c>
      <c r="H13" s="8" t="s">
        <v>308</v>
      </c>
      <c r="I13" s="22" t="s">
        <v>1826</v>
      </c>
      <c r="J13" s="73">
        <v>24.65</v>
      </c>
      <c r="K13" s="73">
        <v>12.12</v>
      </c>
      <c r="L13" s="323">
        <v>31.89</v>
      </c>
      <c r="M13" s="323">
        <v>11.22</v>
      </c>
      <c r="N13" s="318">
        <f t="shared" si="29"/>
        <v>79.88</v>
      </c>
      <c r="O13" s="81">
        <f>IFERROR(VLOOKUP($G13,'321買'!A:E,3,0),"'沒有資料'")</f>
        <v>67</v>
      </c>
      <c r="P13" s="380">
        <f>IFERROR(VLOOKUP($G13,'321買'!$A:$G,7,0),"'沒有資料'")</f>
        <v>19</v>
      </c>
      <c r="Q13" s="388" t="s">
        <v>3817</v>
      </c>
      <c r="R13" s="297">
        <f>IFERROR(RANK(VLOOKUP($G13,連買!$A:$D,4,0),連買!$D:$D,0),"'沒有資料'")</f>
        <v>264</v>
      </c>
      <c r="S13" s="45">
        <v>10</v>
      </c>
      <c r="T13" s="353">
        <f t="shared" si="30"/>
        <v>5.5555555555555552E-2</v>
      </c>
      <c r="U13" s="95">
        <v>14.04</v>
      </c>
      <c r="V13" s="36">
        <f>RTD("money.excel",,"6706","Price")</f>
        <v>180</v>
      </c>
      <c r="W13" s="66">
        <v>191</v>
      </c>
      <c r="X13" s="15">
        <f t="shared" si="31"/>
        <v>-11</v>
      </c>
      <c r="Y13" s="35">
        <f t="shared" si="32"/>
        <v>-5.7591623036649213E-2</v>
      </c>
      <c r="Z13" s="413">
        <v>-25.48</v>
      </c>
      <c r="AA13" s="161">
        <v>1</v>
      </c>
      <c r="AB13" s="409">
        <v>0</v>
      </c>
      <c r="AC13" s="259">
        <f t="shared" si="22"/>
        <v>1</v>
      </c>
      <c r="AD13" s="22" t="s">
        <v>1826</v>
      </c>
      <c r="AE13" s="84">
        <v>44657</v>
      </c>
      <c r="AG13" s="33">
        <f t="shared" si="33"/>
        <v>-44657</v>
      </c>
      <c r="AH13" s="122" t="s">
        <v>1970</v>
      </c>
      <c r="AI13" s="161"/>
      <c r="AJ13" s="409"/>
      <c r="AK13" s="259"/>
      <c r="AM13" s="264"/>
      <c r="AN13" s="264"/>
    </row>
    <row r="14" spans="1:40">
      <c r="A14" s="130" t="s">
        <v>1687</v>
      </c>
      <c r="B14" s="79">
        <v>118</v>
      </c>
      <c r="C14" s="79">
        <v>114</v>
      </c>
      <c r="D14" s="80">
        <v>-16</v>
      </c>
      <c r="E14" s="80">
        <v>-2</v>
      </c>
      <c r="F14" s="57">
        <v>22.79</v>
      </c>
      <c r="G14" s="79">
        <v>3042</v>
      </c>
      <c r="H14" s="8" t="s">
        <v>310</v>
      </c>
      <c r="I14" s="22" t="s">
        <v>4869</v>
      </c>
      <c r="J14" s="323">
        <v>33.21</v>
      </c>
      <c r="K14" s="73">
        <v>13.73</v>
      </c>
      <c r="L14" s="323">
        <v>21.37</v>
      </c>
      <c r="M14" s="323">
        <v>6.72</v>
      </c>
      <c r="N14" s="318">
        <f t="shared" si="29"/>
        <v>75.03</v>
      </c>
      <c r="O14" s="81">
        <f>IFERROR(VLOOKUP($G14,'321買'!A:E,3,0),"'沒有資料'")</f>
        <v>34</v>
      </c>
      <c r="P14" s="380">
        <f>IFERROR(VLOOKUP($G14,'321買'!$A:$G,7,0),"'沒有資料'")</f>
        <v>104</v>
      </c>
      <c r="Q14" s="388" t="s">
        <v>3816</v>
      </c>
      <c r="R14" s="297">
        <f>IFERROR(RANK(VLOOKUP($G14,連買!$A:$D,4,0),連買!$D:$D,0),"'沒有資料'")</f>
        <v>193</v>
      </c>
      <c r="S14" s="45">
        <v>7.5</v>
      </c>
      <c r="T14" s="353">
        <f t="shared" si="30"/>
        <v>7.716049382716049E-2</v>
      </c>
      <c r="U14" s="95">
        <v>10.06</v>
      </c>
      <c r="V14" s="36">
        <f>RTD("money.excel",,"3042","Price")</f>
        <v>97.2</v>
      </c>
      <c r="W14" s="66">
        <v>101.5</v>
      </c>
      <c r="X14" s="15">
        <f t="shared" si="31"/>
        <v>-4.2999999999999972</v>
      </c>
      <c r="Y14" s="3">
        <f t="shared" si="32"/>
        <v>-4.2364532019704408E-2</v>
      </c>
      <c r="Z14" s="413">
        <v>-29.41</v>
      </c>
      <c r="AA14" s="161">
        <v>1</v>
      </c>
      <c r="AB14" s="409">
        <v>0</v>
      </c>
      <c r="AC14" s="259">
        <f t="shared" si="22"/>
        <v>1</v>
      </c>
      <c r="AD14" s="22" t="s">
        <v>4869</v>
      </c>
      <c r="AE14" s="84">
        <v>44657</v>
      </c>
      <c r="AG14" s="33">
        <f t="shared" si="33"/>
        <v>-44657</v>
      </c>
      <c r="AH14" s="120" t="s">
        <v>1808</v>
      </c>
      <c r="AI14" s="161"/>
      <c r="AJ14" s="409"/>
      <c r="AK14" s="259"/>
      <c r="AM14" s="264"/>
      <c r="AN14" s="264"/>
    </row>
    <row r="15" spans="1:40">
      <c r="A15" s="146" t="s">
        <v>1785</v>
      </c>
      <c r="B15" s="79">
        <v>6</v>
      </c>
      <c r="C15" s="80">
        <v>-13</v>
      </c>
      <c r="D15" s="80">
        <v>-14</v>
      </c>
      <c r="E15" s="79">
        <v>15</v>
      </c>
      <c r="F15" s="6">
        <v>3.31</v>
      </c>
      <c r="G15" s="80">
        <v>6414</v>
      </c>
      <c r="H15" s="205" t="s">
        <v>1152</v>
      </c>
      <c r="I15" s="22" t="s">
        <v>213</v>
      </c>
      <c r="J15" s="323">
        <v>42.99</v>
      </c>
      <c r="K15" s="73">
        <v>10.79</v>
      </c>
      <c r="L15" s="323">
        <v>16.170000000000002</v>
      </c>
      <c r="M15" s="323">
        <v>32.32</v>
      </c>
      <c r="N15" s="318">
        <f t="shared" si="29"/>
        <v>102.27000000000001</v>
      </c>
      <c r="O15" s="81">
        <f>IFERROR(VLOOKUP($G15,'321買'!A:E,3,0),"'沒有資料'")</f>
        <v>15</v>
      </c>
      <c r="P15" s="380">
        <f>IFERROR(VLOOKUP($G15,'321買'!$A:$G,7,0),"'沒有資料'")</f>
        <v>321</v>
      </c>
      <c r="Q15" s="388" t="s">
        <v>3816</v>
      </c>
      <c r="R15" s="297">
        <f>IFERROR(RANK(VLOOKUP($G15,連買!$A:$D,4,0),連買!$D:$D,0),"'沒有資料'")</f>
        <v>273</v>
      </c>
      <c r="S15" s="45">
        <v>7</v>
      </c>
      <c r="T15" s="353">
        <f t="shared" si="30"/>
        <v>3.4567901234567898E-2</v>
      </c>
      <c r="U15" s="95">
        <v>13.92</v>
      </c>
      <c r="V15" s="36">
        <f>RTD("money.excel",,"6414","Price")</f>
        <v>202.5</v>
      </c>
      <c r="W15" s="66">
        <v>203</v>
      </c>
      <c r="X15" s="15">
        <f t="shared" si="31"/>
        <v>-0.5</v>
      </c>
      <c r="Y15" s="3">
        <f t="shared" si="32"/>
        <v>-2.4630541871921183E-3</v>
      </c>
      <c r="Z15" s="413">
        <v>-26.45</v>
      </c>
      <c r="AA15" s="161">
        <v>1</v>
      </c>
      <c r="AB15" s="409">
        <v>0</v>
      </c>
      <c r="AC15" s="259">
        <f t="shared" si="22"/>
        <v>1</v>
      </c>
      <c r="AD15" s="22" t="s">
        <v>213</v>
      </c>
      <c r="AE15" s="84">
        <v>44657</v>
      </c>
      <c r="AG15" s="33">
        <f t="shared" si="33"/>
        <v>-44657</v>
      </c>
      <c r="AH15" s="120" t="s">
        <v>1518</v>
      </c>
      <c r="AI15" s="161"/>
      <c r="AJ15" s="409"/>
      <c r="AK15" s="259"/>
      <c r="AM15" s="264"/>
      <c r="AN15" s="264"/>
    </row>
    <row r="16" spans="1:40">
      <c r="A16" s="130" t="s">
        <v>8444</v>
      </c>
      <c r="B16" s="79">
        <v>445</v>
      </c>
      <c r="C16" s="79">
        <v>461</v>
      </c>
      <c r="D16" s="80">
        <v>-14</v>
      </c>
      <c r="E16" s="79">
        <v>41</v>
      </c>
      <c r="F16" s="57">
        <v>29.97</v>
      </c>
      <c r="G16" s="79">
        <v>3141</v>
      </c>
      <c r="H16" s="149" t="s">
        <v>3254</v>
      </c>
      <c r="I16" s="16" t="s">
        <v>181</v>
      </c>
      <c r="J16" s="73">
        <v>11.72</v>
      </c>
      <c r="K16" s="323">
        <v>15.29</v>
      </c>
      <c r="L16" s="323">
        <v>50.68</v>
      </c>
      <c r="M16" s="323">
        <v>4.07</v>
      </c>
      <c r="N16" s="318">
        <f t="shared" ref="N16" si="34">J16+K16+L16+M16</f>
        <v>81.759999999999991</v>
      </c>
      <c r="O16" s="81">
        <f>IFERROR(VLOOKUP($G16,'321買'!A:E,3,0),"'沒有資料'")</f>
        <v>118</v>
      </c>
      <c r="P16" s="380">
        <f>IFERROR(VLOOKUP($G16,'321買'!$A:$G,7,0),"'沒有資料'")</f>
        <v>3</v>
      </c>
      <c r="Q16" s="388" t="s">
        <v>3817</v>
      </c>
      <c r="R16" s="297">
        <f>IFERROR(RANK(VLOOKUP($G16,連買!$A:$D,4,0),連買!$D:$D,0),"'沒有資料'")</f>
        <v>84</v>
      </c>
      <c r="S16" s="45">
        <v>4</v>
      </c>
      <c r="T16" s="353">
        <f t="shared" ref="T16" si="35">S16/V16</f>
        <v>2.4169184290030211E-2</v>
      </c>
      <c r="U16" s="95">
        <v>9.9600000000000009</v>
      </c>
      <c r="V16" s="36">
        <f>RTD("money.excel",,"3141","Price")</f>
        <v>165.5</v>
      </c>
      <c r="W16" s="66">
        <v>179.5</v>
      </c>
      <c r="X16" s="15">
        <f t="shared" ref="X16" si="36">V16-W16</f>
        <v>-14</v>
      </c>
      <c r="Y16" s="3">
        <f t="shared" ref="Y16" si="37">X16/W16</f>
        <v>-7.7994428969359333E-2</v>
      </c>
      <c r="Z16" s="413">
        <v>-37.44</v>
      </c>
      <c r="AA16" s="161">
        <v>1</v>
      </c>
      <c r="AB16" s="409">
        <v>0</v>
      </c>
      <c r="AC16" s="259">
        <f t="shared" si="22"/>
        <v>1</v>
      </c>
      <c r="AD16" s="16" t="s">
        <v>181</v>
      </c>
      <c r="AE16" s="84">
        <v>44657</v>
      </c>
      <c r="AG16" s="33">
        <f t="shared" ref="AG16" si="38">AF16-AE16</f>
        <v>-44657</v>
      </c>
      <c r="AH16" s="122" t="s">
        <v>2310</v>
      </c>
      <c r="AI16" s="161"/>
      <c r="AJ16" s="409"/>
      <c r="AK16" s="259"/>
      <c r="AM16" s="264"/>
      <c r="AN16" s="264"/>
    </row>
    <row r="17" spans="1:48">
      <c r="A17" s="130" t="s">
        <v>3212</v>
      </c>
      <c r="B17" s="79">
        <v>38</v>
      </c>
      <c r="C17" s="79">
        <v>29</v>
      </c>
      <c r="D17" s="80">
        <v>-6</v>
      </c>
      <c r="E17" s="79">
        <v>2</v>
      </c>
      <c r="F17" s="57">
        <v>14.93</v>
      </c>
      <c r="G17" s="79">
        <v>5439</v>
      </c>
      <c r="H17" s="8" t="s">
        <v>310</v>
      </c>
      <c r="I17" s="171" t="s">
        <v>80</v>
      </c>
      <c r="J17" s="323">
        <v>29.67</v>
      </c>
      <c r="K17" s="73">
        <v>5.14</v>
      </c>
      <c r="L17" s="73">
        <v>12.53</v>
      </c>
      <c r="M17" s="323">
        <v>10.4</v>
      </c>
      <c r="N17" s="318">
        <f>J17+K17+L17+M17</f>
        <v>57.74</v>
      </c>
      <c r="O17" s="81">
        <f>IFERROR(VLOOKUP($G17,'321買'!A:E,3,0),"'沒有資料'")</f>
        <v>22</v>
      </c>
      <c r="P17" s="380">
        <f>IFERROR(VLOOKUP($G17,'321買'!$A:$G,7,0),"'沒有資料'")</f>
        <v>215</v>
      </c>
      <c r="Q17" s="388" t="s">
        <v>3816</v>
      </c>
      <c r="R17" s="297">
        <f>IFERROR(RANK(VLOOKUP($G17,連買!$A:$D,4,0),連買!$D:$D,0),"'沒有資料'")</f>
        <v>1608</v>
      </c>
      <c r="S17" s="160">
        <v>3.6</v>
      </c>
      <c r="T17" s="353">
        <f>S17/V17</f>
        <v>6.8311195445920306E-2</v>
      </c>
      <c r="U17" s="95">
        <v>4.67</v>
      </c>
      <c r="V17" s="36">
        <f>RTD("money.excel",,"5439","Price")</f>
        <v>52.7</v>
      </c>
      <c r="W17" s="66">
        <v>55</v>
      </c>
      <c r="X17" s="15">
        <f>V17-W17</f>
        <v>-2.2999999999999972</v>
      </c>
      <c r="Y17" s="3">
        <f>X17/W17</f>
        <v>-4.1818181818181768E-2</v>
      </c>
      <c r="Z17" s="413">
        <v>-27.03</v>
      </c>
      <c r="AA17" s="161">
        <v>1</v>
      </c>
      <c r="AB17" s="409">
        <v>0</v>
      </c>
      <c r="AC17" s="259">
        <f t="shared" si="22"/>
        <v>1</v>
      </c>
      <c r="AD17" s="16" t="s">
        <v>80</v>
      </c>
      <c r="AE17" s="84">
        <v>44657</v>
      </c>
      <c r="AG17" s="33">
        <f>AF17-AE17</f>
        <v>-44657</v>
      </c>
      <c r="AH17" s="120" t="s">
        <v>1049</v>
      </c>
      <c r="AI17" s="161"/>
      <c r="AJ17" s="409"/>
      <c r="AK17" s="259"/>
      <c r="AM17" s="264"/>
      <c r="AN17" s="264"/>
    </row>
    <row r="18" spans="1:48">
      <c r="A18" s="130" t="s">
        <v>1994</v>
      </c>
      <c r="B18" s="79">
        <v>51</v>
      </c>
      <c r="C18" s="79">
        <v>39</v>
      </c>
      <c r="D18" s="80">
        <v>-23</v>
      </c>
      <c r="E18" s="79">
        <v>19</v>
      </c>
      <c r="F18" s="57">
        <v>18.03</v>
      </c>
      <c r="G18" s="79">
        <v>2472</v>
      </c>
      <c r="H18" s="208" t="s">
        <v>310</v>
      </c>
      <c r="I18" s="22" t="s">
        <v>4848</v>
      </c>
      <c r="J18" s="73">
        <v>47.33</v>
      </c>
      <c r="K18" s="73">
        <v>1.73</v>
      </c>
      <c r="L18" s="323">
        <v>17.72</v>
      </c>
      <c r="M18" s="323">
        <v>18.39</v>
      </c>
      <c r="N18" s="318">
        <f t="shared" ref="N18:N19" si="39">J18+K18+L18+M18</f>
        <v>85.17</v>
      </c>
      <c r="O18" s="81">
        <f>IFERROR(VLOOKUP($G18,'321買'!A:E,3,0),"'沒有資料'")</f>
        <v>6</v>
      </c>
      <c r="P18" s="380">
        <f>IFERROR(VLOOKUP($G18,'321買'!$A:$G,7,0),"'沒有資料'")</f>
        <v>521</v>
      </c>
      <c r="Q18" s="388" t="s">
        <v>3816</v>
      </c>
      <c r="R18" s="297">
        <f>IFERROR(RANK(VLOOKUP($G18,連買!$A:$D,4,0),連買!$D:$D,0),"'沒有資料'")</f>
        <v>351</v>
      </c>
      <c r="S18" s="45">
        <v>3.2</v>
      </c>
      <c r="T18" s="353">
        <f t="shared" ref="T18:T19" si="40">S18/V18</f>
        <v>5.0078247261345854E-2</v>
      </c>
      <c r="U18" s="95">
        <v>6.15</v>
      </c>
      <c r="V18" s="36">
        <f>RTD("money.excel",,"2472","Price")</f>
        <v>63.9</v>
      </c>
      <c r="W18" s="66">
        <v>64.7</v>
      </c>
      <c r="X18" s="15">
        <f t="shared" ref="X18:X20" si="41">V18-W18</f>
        <v>-0.80000000000000426</v>
      </c>
      <c r="Y18" s="3">
        <f t="shared" ref="Y18:Y20" si="42">X18/W18</f>
        <v>-1.2364760432766681E-2</v>
      </c>
      <c r="Z18" s="413">
        <v>-19.12</v>
      </c>
      <c r="AA18" s="161">
        <v>1</v>
      </c>
      <c r="AB18" s="409">
        <v>0</v>
      </c>
      <c r="AC18" s="259">
        <f t="shared" si="22"/>
        <v>1</v>
      </c>
      <c r="AD18" s="22" t="s">
        <v>4848</v>
      </c>
      <c r="AE18" s="84">
        <v>44657</v>
      </c>
      <c r="AG18" s="33">
        <f t="shared" ref="AG18:AG19" si="43">AF18-AE18</f>
        <v>-44657</v>
      </c>
      <c r="AH18" s="122" t="s">
        <v>2513</v>
      </c>
      <c r="AI18" s="161"/>
      <c r="AJ18" s="409"/>
      <c r="AK18" s="259"/>
      <c r="AM18" s="264"/>
      <c r="AN18" s="264"/>
    </row>
    <row r="19" spans="1:48">
      <c r="A19" s="146" t="s">
        <v>1969</v>
      </c>
      <c r="B19" s="80">
        <v>-51</v>
      </c>
      <c r="C19" s="80">
        <v>-54</v>
      </c>
      <c r="D19" s="79">
        <v>25</v>
      </c>
      <c r="E19" s="80">
        <v>-20</v>
      </c>
      <c r="F19" s="6">
        <v>8.2100000000000009</v>
      </c>
      <c r="G19" s="79">
        <v>4977</v>
      </c>
      <c r="H19" s="8" t="s">
        <v>313</v>
      </c>
      <c r="I19" s="22" t="s">
        <v>4731</v>
      </c>
      <c r="J19" s="73">
        <v>44.99</v>
      </c>
      <c r="K19" s="73">
        <v>39.21</v>
      </c>
      <c r="L19" s="73">
        <v>10.41</v>
      </c>
      <c r="M19" s="73">
        <v>21.95</v>
      </c>
      <c r="N19" s="318">
        <f t="shared" si="39"/>
        <v>116.56</v>
      </c>
      <c r="O19" s="81">
        <f>IFERROR(VLOOKUP($G19,'321買'!A:E,3,0),"'沒有資料'")</f>
        <v>0</v>
      </c>
      <c r="P19" s="380">
        <f>IFERROR(VLOOKUP($G19,'321買'!$A:$G,7,0),"'沒有資料'")</f>
        <v>911</v>
      </c>
      <c r="Q19" s="388" t="s">
        <v>3816</v>
      </c>
      <c r="R19" s="297">
        <f>IFERROR(RANK(VLOOKUP($G19,連買!$A:$D,4,0),連買!$D:$D,0),"'沒有資料'")</f>
        <v>1707</v>
      </c>
      <c r="S19" s="45">
        <v>3.2</v>
      </c>
      <c r="T19" s="353">
        <f t="shared" si="40"/>
        <v>4.0150564617314935E-2</v>
      </c>
      <c r="U19" s="95">
        <v>3.88</v>
      </c>
      <c r="V19" s="36">
        <f>RTD("money.excel",,"4977","Price")</f>
        <v>79.7</v>
      </c>
      <c r="W19" s="66">
        <v>80.8</v>
      </c>
      <c r="X19" s="15">
        <f t="shared" si="41"/>
        <v>-1.0999999999999943</v>
      </c>
      <c r="Y19" s="3">
        <f t="shared" si="42"/>
        <v>-1.3613861386138544E-2</v>
      </c>
      <c r="Z19" s="413">
        <v>-19.8</v>
      </c>
      <c r="AA19" s="161">
        <v>1</v>
      </c>
      <c r="AB19" s="409">
        <v>0</v>
      </c>
      <c r="AC19" s="259">
        <f t="shared" si="22"/>
        <v>1</v>
      </c>
      <c r="AD19" s="22" t="s">
        <v>4731</v>
      </c>
      <c r="AE19" s="84">
        <v>44657</v>
      </c>
      <c r="AG19" s="33">
        <f t="shared" si="43"/>
        <v>-44657</v>
      </c>
      <c r="AH19" s="122" t="s">
        <v>4689</v>
      </c>
      <c r="AI19" s="161"/>
      <c r="AJ19" s="409"/>
      <c r="AK19" s="259"/>
      <c r="AM19" s="264"/>
      <c r="AN19" s="264"/>
    </row>
    <row r="20" spans="1:48" s="268" customFormat="1">
      <c r="A20" s="145"/>
      <c r="B20" s="79"/>
      <c r="C20" s="79"/>
      <c r="D20" s="79"/>
      <c r="E20" s="79"/>
      <c r="F20" s="6"/>
      <c r="G20" s="41"/>
      <c r="H20" s="8"/>
      <c r="I20" s="158"/>
      <c r="J20" s="323"/>
      <c r="K20" s="323"/>
      <c r="L20" s="323"/>
      <c r="M20" s="318"/>
      <c r="N20" s="318"/>
      <c r="O20" s="306"/>
      <c r="P20" s="380"/>
      <c r="Q20" s="389"/>
      <c r="R20" s="297"/>
      <c r="S20" s="197"/>
      <c r="T20" s="353"/>
      <c r="U20" s="95"/>
      <c r="V20" s="349">
        <f>SUM(V5:V19)</f>
        <v>5942.9999999999991</v>
      </c>
      <c r="W20" s="331">
        <f>SUM(W5:W19)</f>
        <v>6467.85</v>
      </c>
      <c r="X20" s="243">
        <f t="shared" si="41"/>
        <v>-524.85000000000127</v>
      </c>
      <c r="Y20" s="163">
        <f t="shared" si="42"/>
        <v>-8.1147521974071948E-2</v>
      </c>
      <c r="Z20" s="101"/>
      <c r="AA20" s="168"/>
      <c r="AD20" s="244">
        <f>V20*(0.001425*0.5)+V20*0.003+W20*(0.001425*0.5)</f>
        <v>26.671730624999999</v>
      </c>
      <c r="AE20" s="6">
        <f>X20-AD20</f>
        <v>-551.52173062500128</v>
      </c>
      <c r="AF20" s="83"/>
      <c r="AG20" s="33"/>
      <c r="AH20" s="46" t="s">
        <v>8577</v>
      </c>
      <c r="AI20" s="406"/>
      <c r="AJ20" s="407"/>
      <c r="AK20" s="408"/>
    </row>
    <row r="21" spans="1:48" ht="17.25" customHeight="1">
      <c r="B21" s="91"/>
      <c r="C21" s="91"/>
      <c r="D21" s="91"/>
      <c r="E21" s="91"/>
      <c r="F21" s="8"/>
      <c r="G21" s="26"/>
      <c r="I21" s="50"/>
      <c r="J21" s="317"/>
      <c r="K21" s="317"/>
      <c r="L21" s="317"/>
      <c r="M21" s="317"/>
      <c r="N21" s="317"/>
      <c r="T21" s="351"/>
      <c r="U21" s="68"/>
      <c r="V21" s="28"/>
      <c r="W21" s="17"/>
      <c r="X21" s="14"/>
      <c r="Y21" s="21"/>
      <c r="Z21" s="420"/>
      <c r="AA21" s="264"/>
      <c r="AD21" s="50"/>
      <c r="AE21" s="71"/>
      <c r="AF21" s="72"/>
      <c r="AG21" s="32"/>
      <c r="AH21" s="249"/>
      <c r="AI21" s="161"/>
      <c r="AJ21" s="409"/>
      <c r="AK21" s="259"/>
      <c r="AM21" s="126"/>
      <c r="AN21" s="251"/>
    </row>
    <row r="22" spans="1:48">
      <c r="B22" s="347"/>
      <c r="C22" s="177"/>
      <c r="D22" s="177"/>
      <c r="E22" s="177"/>
      <c r="F22" s="178"/>
      <c r="G22" s="356"/>
      <c r="H22" s="181"/>
      <c r="I22" s="250" t="s">
        <v>8437</v>
      </c>
      <c r="J22" s="319"/>
      <c r="K22" s="319"/>
      <c r="L22" s="324"/>
      <c r="M22" s="325"/>
      <c r="N22" s="319">
        <v>130</v>
      </c>
      <c r="P22" s="423" t="s">
        <v>8645</v>
      </c>
      <c r="Q22" s="245"/>
      <c r="R22" s="216" t="s">
        <v>8646</v>
      </c>
      <c r="S22" s="10"/>
      <c r="T22" s="351"/>
      <c r="U22" s="4" t="s">
        <v>1467</v>
      </c>
      <c r="V22" s="4" t="s">
        <v>1157</v>
      </c>
      <c r="W22" s="10" t="s">
        <v>284</v>
      </c>
      <c r="X22" s="182"/>
      <c r="AA22" s="126"/>
      <c r="AD22" s="250" t="s">
        <v>5053</v>
      </c>
      <c r="AF22" s="338" t="s">
        <v>5045</v>
      </c>
      <c r="AG22" s="185"/>
      <c r="AH22" s="363" t="s">
        <v>5106</v>
      </c>
      <c r="AI22" s="250"/>
      <c r="AJ22" s="250"/>
      <c r="AN22" s="252"/>
      <c r="AO22" s="267"/>
      <c r="AP22" s="267"/>
      <c r="AQ22" s="267"/>
      <c r="AS22" s="267"/>
      <c r="AT22" s="267"/>
      <c r="AU22" s="267"/>
      <c r="AV22" s="267"/>
    </row>
    <row r="23" spans="1:48">
      <c r="A23" s="130" t="s">
        <v>1732</v>
      </c>
      <c r="B23" s="91" t="s">
        <v>1588</v>
      </c>
      <c r="C23" s="91" t="s">
        <v>1589</v>
      </c>
      <c r="D23" s="91" t="s">
        <v>1590</v>
      </c>
      <c r="E23" s="91" t="s">
        <v>1591</v>
      </c>
      <c r="F23" s="8" t="s">
        <v>1066</v>
      </c>
      <c r="G23" s="26" t="s">
        <v>3691</v>
      </c>
      <c r="H23" s="55" t="s">
        <v>322</v>
      </c>
      <c r="I23" s="50" t="s">
        <v>8439</v>
      </c>
      <c r="J23" s="317" t="s">
        <v>1467</v>
      </c>
      <c r="K23" s="317" t="s">
        <v>1157</v>
      </c>
      <c r="L23" s="317" t="s">
        <v>284</v>
      </c>
      <c r="M23" s="317" t="s">
        <v>1059</v>
      </c>
      <c r="N23" s="317" t="s">
        <v>5048</v>
      </c>
      <c r="O23" s="26" t="s">
        <v>5107</v>
      </c>
      <c r="P23" s="373" t="s">
        <v>5059</v>
      </c>
      <c r="Q23" s="245" t="s">
        <v>5087</v>
      </c>
      <c r="R23" s="391" t="s">
        <v>5059</v>
      </c>
      <c r="S23" s="10" t="s">
        <v>66</v>
      </c>
      <c r="T23" s="351" t="s">
        <v>5076</v>
      </c>
      <c r="U23" s="68" t="s">
        <v>3844</v>
      </c>
      <c r="V23" s="28" t="s">
        <v>3860</v>
      </c>
      <c r="W23" s="17" t="s">
        <v>1405</v>
      </c>
      <c r="X23" s="14" t="s">
        <v>5</v>
      </c>
      <c r="Y23" s="21" t="s">
        <v>3</v>
      </c>
      <c r="Z23" s="420" t="s">
        <v>6627</v>
      </c>
      <c r="AA23" s="406" t="s">
        <v>8647</v>
      </c>
      <c r="AB23" s="407" t="s">
        <v>8648</v>
      </c>
      <c r="AC23" s="408" t="s">
        <v>8649</v>
      </c>
      <c r="AD23" s="50" t="s">
        <v>8439</v>
      </c>
      <c r="AE23" s="71" t="s">
        <v>1406</v>
      </c>
      <c r="AF23" s="72" t="s">
        <v>1163</v>
      </c>
      <c r="AG23" s="32" t="s">
        <v>1164</v>
      </c>
      <c r="AH23" s="249" t="s">
        <v>5092</v>
      </c>
      <c r="AI23" s="8" t="s">
        <v>3852</v>
      </c>
      <c r="AJ23" s="50" t="s">
        <v>3586</v>
      </c>
      <c r="AK23" s="22" t="s">
        <v>5038</v>
      </c>
      <c r="AM23" s="126"/>
      <c r="AN23" s="251"/>
    </row>
    <row r="24" spans="1:48">
      <c r="B24" s="91"/>
      <c r="C24" s="91"/>
      <c r="D24" s="91"/>
      <c r="E24" s="91"/>
      <c r="F24" s="8"/>
      <c r="G24" s="26"/>
      <c r="H24" s="55"/>
      <c r="I24" s="50"/>
      <c r="J24" s="317"/>
      <c r="K24" s="317"/>
      <c r="L24" s="317"/>
      <c r="M24" s="317"/>
      <c r="N24" s="317"/>
      <c r="P24" s="379"/>
      <c r="Q24" s="245"/>
      <c r="R24" s="391"/>
      <c r="S24" s="10"/>
      <c r="T24" s="351"/>
      <c r="U24" s="68"/>
      <c r="V24" s="28"/>
      <c r="W24" s="17"/>
      <c r="X24" s="14"/>
      <c r="Y24" s="21"/>
      <c r="Z24" s="420"/>
      <c r="AA24" s="406"/>
      <c r="AB24" s="407"/>
      <c r="AC24" s="408"/>
      <c r="AD24" s="50"/>
      <c r="AE24" s="71"/>
      <c r="AF24" s="72"/>
      <c r="AG24" s="32"/>
      <c r="AH24" s="249"/>
      <c r="AI24" s="8"/>
      <c r="AJ24" s="50"/>
      <c r="AM24" s="126"/>
      <c r="AN24" s="251"/>
    </row>
    <row r="25" spans="1:48">
      <c r="A25" s="130" t="s">
        <v>8661</v>
      </c>
      <c r="B25" s="79">
        <v>140</v>
      </c>
      <c r="C25" s="79">
        <v>151</v>
      </c>
      <c r="D25" s="79">
        <v>30</v>
      </c>
      <c r="E25" s="79">
        <v>53</v>
      </c>
      <c r="F25" s="57">
        <v>13.68</v>
      </c>
      <c r="G25" s="79">
        <v>8183</v>
      </c>
      <c r="H25" s="8" t="s">
        <v>316</v>
      </c>
      <c r="I25" s="16" t="s">
        <v>239</v>
      </c>
      <c r="J25" s="73">
        <v>49.57</v>
      </c>
      <c r="K25" s="73">
        <v>8.07</v>
      </c>
      <c r="L25" s="73">
        <v>33.11</v>
      </c>
      <c r="M25" s="323">
        <v>32.06</v>
      </c>
      <c r="N25" s="318">
        <f t="shared" ref="N25" si="44">J25+K25+L25+M25</f>
        <v>122.81</v>
      </c>
      <c r="O25" s="81">
        <f>IFERROR(VLOOKUP($G25,'321買'!A:E,3,0),"'沒有資料'")</f>
        <v>37</v>
      </c>
      <c r="P25" s="380">
        <f>IFERROR(VLOOKUP($G25,'321買'!$A:$G,7,0),"'沒有資料'")</f>
        <v>104</v>
      </c>
      <c r="Q25" s="247" t="s">
        <v>8662</v>
      </c>
      <c r="R25" s="297">
        <f>IFERROR(RANK(VLOOKUP($G25,連買!$A:$D,4,0),連買!$D:$D,0),"'沒有資料'")</f>
        <v>375</v>
      </c>
      <c r="S25" s="34"/>
      <c r="T25" s="353">
        <f t="shared" ref="T25" si="45">S25/V25</f>
        <v>0</v>
      </c>
      <c r="U25" s="95">
        <v>4.16</v>
      </c>
      <c r="V25" s="36">
        <v>76.7</v>
      </c>
      <c r="W25" s="66">
        <v>74.900000000000006</v>
      </c>
      <c r="X25" s="15">
        <f t="shared" ref="X25" si="46">V25-W25</f>
        <v>1.7999999999999972</v>
      </c>
      <c r="Y25" s="63">
        <f t="shared" ref="Y25" si="47">X25/W25</f>
        <v>2.4032042723631467E-2</v>
      </c>
      <c r="Z25" s="413">
        <v>-3.16</v>
      </c>
      <c r="AA25" s="161">
        <v>6</v>
      </c>
      <c r="AB25" s="409">
        <v>0</v>
      </c>
      <c r="AC25" s="259">
        <f t="shared" ref="AC25" si="48">AA25-AB25</f>
        <v>6</v>
      </c>
      <c r="AD25" s="16" t="s">
        <v>239</v>
      </c>
      <c r="AE25" s="84">
        <v>44665</v>
      </c>
      <c r="AF25" s="86">
        <v>44665</v>
      </c>
      <c r="AG25" s="33">
        <f t="shared" ref="AG25" si="49">AF25-AE25</f>
        <v>0</v>
      </c>
      <c r="AH25" s="120" t="s">
        <v>2511</v>
      </c>
      <c r="AI25" s="63"/>
      <c r="AJ25" s="307"/>
      <c r="AK25" s="339"/>
      <c r="AM25" s="264"/>
      <c r="AN25" s="264"/>
    </row>
    <row r="26" spans="1:48">
      <c r="A26" s="130" t="s">
        <v>1689</v>
      </c>
      <c r="B26" s="79">
        <v>26</v>
      </c>
      <c r="C26" s="79">
        <v>52</v>
      </c>
      <c r="D26" s="79">
        <v>36</v>
      </c>
      <c r="E26" s="79">
        <v>40</v>
      </c>
      <c r="F26" s="57">
        <v>19.43</v>
      </c>
      <c r="G26" s="79">
        <v>3653</v>
      </c>
      <c r="H26" s="255" t="s">
        <v>310</v>
      </c>
      <c r="I26" s="22" t="s">
        <v>394</v>
      </c>
      <c r="J26" s="323">
        <v>63.5</v>
      </c>
      <c r="K26" s="73">
        <v>27.82</v>
      </c>
      <c r="L26" s="323">
        <v>4.5999999999999996</v>
      </c>
      <c r="M26" s="323">
        <v>28.46</v>
      </c>
      <c r="N26" s="73">
        <f>J26+K26+L26+M26</f>
        <v>124.38</v>
      </c>
      <c r="O26" s="81">
        <f>IFERROR(VLOOKUP($G26,'321買'!A:E,3,0),"'沒有資料'")</f>
        <v>41</v>
      </c>
      <c r="P26" s="380">
        <f>IFERROR(VLOOKUP($G26,'321買'!$A:$G,7,0),"'沒有資料'")</f>
        <v>100</v>
      </c>
      <c r="Q26" s="388" t="s">
        <v>3816</v>
      </c>
      <c r="R26" s="297">
        <f>IFERROR(RANK(VLOOKUP($G26,連買!$A:$D,4,0),連買!$D:$D,0),"'沒有資料'")</f>
        <v>32</v>
      </c>
      <c r="S26" s="45">
        <v>7</v>
      </c>
      <c r="T26" s="353">
        <f>S26/V26</f>
        <v>1.7478152309612985E-2</v>
      </c>
      <c r="U26" s="57">
        <v>6.82</v>
      </c>
      <c r="V26" s="36">
        <v>400.5</v>
      </c>
      <c r="W26" s="66">
        <v>389.5</v>
      </c>
      <c r="X26" s="15">
        <f>V26-W26</f>
        <v>11</v>
      </c>
      <c r="Y26" s="63">
        <f>X26/W26</f>
        <v>2.8241335044929396E-2</v>
      </c>
      <c r="Z26" s="413">
        <v>-15.18</v>
      </c>
      <c r="AA26" s="161">
        <v>1</v>
      </c>
      <c r="AB26" s="409">
        <v>0</v>
      </c>
      <c r="AC26" s="259">
        <f>AA26-AB26</f>
        <v>1</v>
      </c>
      <c r="AD26" s="22" t="s">
        <v>394</v>
      </c>
      <c r="AE26" s="84">
        <v>44663</v>
      </c>
      <c r="AF26" s="83">
        <v>44664</v>
      </c>
      <c r="AG26" s="33">
        <f>AF26-AE26</f>
        <v>1</v>
      </c>
      <c r="AH26" s="43" t="s">
        <v>2585</v>
      </c>
      <c r="AI26" s="161"/>
      <c r="AJ26" s="409"/>
      <c r="AK26" s="259"/>
      <c r="AM26" s="264"/>
      <c r="AN26" s="264"/>
    </row>
    <row r="27" spans="1:48">
      <c r="A27" s="130" t="s">
        <v>1700</v>
      </c>
      <c r="B27" s="80">
        <v>-15</v>
      </c>
      <c r="C27" s="79">
        <v>19</v>
      </c>
      <c r="D27" s="80">
        <v>-35</v>
      </c>
      <c r="E27" s="79">
        <v>1</v>
      </c>
      <c r="F27" s="57">
        <v>25.15</v>
      </c>
      <c r="G27" s="79">
        <v>4105</v>
      </c>
      <c r="H27" s="8" t="s">
        <v>311</v>
      </c>
      <c r="I27" s="16" t="s">
        <v>4032</v>
      </c>
      <c r="J27" s="73">
        <v>39.19</v>
      </c>
      <c r="K27" s="73">
        <v>14.49</v>
      </c>
      <c r="L27" s="73">
        <v>4.54</v>
      </c>
      <c r="M27" s="323">
        <v>12.44</v>
      </c>
      <c r="N27" s="318">
        <f t="shared" ref="N27" si="50">J27+K27+L27+M27</f>
        <v>70.66</v>
      </c>
      <c r="O27" s="81">
        <f>IFERROR(VLOOKUP($G27,'321買'!A:E,3,0),"'沒有資料'")</f>
        <v>7</v>
      </c>
      <c r="P27" s="380">
        <f>IFERROR(VLOOKUP($G27,'321買'!$A:$G,7,0),"'沒有資料'")</f>
        <v>408</v>
      </c>
      <c r="Q27" s="388" t="s">
        <v>3816</v>
      </c>
      <c r="R27" s="297">
        <f>IFERROR(RANK(VLOOKUP($G27,連買!$A:$D,4,0),連買!$D:$D,0),"'沒有資料'")</f>
        <v>832</v>
      </c>
      <c r="S27" s="45">
        <v>3</v>
      </c>
      <c r="T27" s="353">
        <f t="shared" ref="T27" si="51">S27/V27</f>
        <v>4.2253521126760563E-2</v>
      </c>
      <c r="U27" s="95">
        <v>3.02</v>
      </c>
      <c r="V27" s="36">
        <v>71</v>
      </c>
      <c r="W27" s="66">
        <v>69.3</v>
      </c>
      <c r="X27" s="15">
        <f t="shared" ref="X27" si="52">V27-W27</f>
        <v>1.7000000000000028</v>
      </c>
      <c r="Y27" s="63">
        <f t="shared" ref="Y27" si="53">X27/W27</f>
        <v>2.4531024531024574E-2</v>
      </c>
      <c r="Z27" s="413">
        <v>-28.72</v>
      </c>
      <c r="AA27" s="161">
        <v>2</v>
      </c>
      <c r="AB27" s="409">
        <v>0</v>
      </c>
      <c r="AC27" s="259">
        <f>AA27-AB27</f>
        <v>2</v>
      </c>
      <c r="AD27" s="16" t="s">
        <v>4032</v>
      </c>
      <c r="AE27" s="84">
        <v>44658</v>
      </c>
      <c r="AF27" s="83">
        <v>44664</v>
      </c>
      <c r="AG27" s="33">
        <f t="shared" ref="AG27" si="54">AF27-AE27</f>
        <v>6</v>
      </c>
      <c r="AH27" s="120" t="s">
        <v>4033</v>
      </c>
      <c r="AI27" s="161"/>
      <c r="AJ27" s="409"/>
      <c r="AK27" s="259"/>
      <c r="AM27" s="264"/>
      <c r="AN27" s="264"/>
    </row>
    <row r="28" spans="1:48">
      <c r="A28" s="130" t="s">
        <v>1663</v>
      </c>
      <c r="B28" s="79">
        <v>30</v>
      </c>
      <c r="C28" s="79">
        <v>30</v>
      </c>
      <c r="D28" s="79">
        <v>29</v>
      </c>
      <c r="E28" s="79">
        <v>66</v>
      </c>
      <c r="F28" s="57">
        <v>45.42</v>
      </c>
      <c r="G28" s="79">
        <v>5274</v>
      </c>
      <c r="H28" s="195" t="s">
        <v>3254</v>
      </c>
      <c r="I28" s="16" t="s">
        <v>217</v>
      </c>
      <c r="J28" s="73">
        <v>21.33</v>
      </c>
      <c r="K28" s="323">
        <v>69.25</v>
      </c>
      <c r="L28" s="73">
        <v>1.01</v>
      </c>
      <c r="M28" s="323">
        <v>21.79</v>
      </c>
      <c r="N28" s="73">
        <f>J28+K28+L28+M28</f>
        <v>113.38</v>
      </c>
      <c r="O28" s="81">
        <f>IFERROR(VLOOKUP($G28,'321買'!A:E,3,0),"'沒有資料'")</f>
        <v>12</v>
      </c>
      <c r="P28" s="380">
        <f>IFERROR(VLOOKUP($G28,'321買'!$A:$G,7,0),"'沒有資料'")</f>
        <v>387</v>
      </c>
      <c r="Q28" s="388" t="s">
        <v>3818</v>
      </c>
      <c r="R28" s="297">
        <f>IFERROR(RANK(VLOOKUP($G28,連買!$A:$D,4,0),連買!$D:$D,0),"'沒有資料'")</f>
        <v>1</v>
      </c>
      <c r="S28" s="45">
        <v>36</v>
      </c>
      <c r="T28" s="353">
        <f>S28/V28</f>
        <v>1.1410459587955626E-2</v>
      </c>
      <c r="U28" s="95">
        <v>38.32</v>
      </c>
      <c r="V28" s="155">
        <v>3155</v>
      </c>
      <c r="W28" s="66">
        <v>3085</v>
      </c>
      <c r="X28" s="141">
        <f>V28-W28</f>
        <v>70</v>
      </c>
      <c r="Y28" s="63">
        <f>X28/W28</f>
        <v>2.2690437601296597E-2</v>
      </c>
      <c r="Z28" s="413">
        <v>-17.55</v>
      </c>
      <c r="AA28" s="2">
        <v>1</v>
      </c>
      <c r="AB28" s="409">
        <v>0</v>
      </c>
      <c r="AC28" s="259">
        <f>AA28-AB28</f>
        <v>1</v>
      </c>
      <c r="AD28" s="16" t="s">
        <v>217</v>
      </c>
      <c r="AE28" s="84">
        <v>44664</v>
      </c>
      <c r="AF28" s="86">
        <v>44664</v>
      </c>
      <c r="AG28" s="33">
        <f>AF28-AE28</f>
        <v>0</v>
      </c>
      <c r="AH28" s="120" t="s">
        <v>2541</v>
      </c>
      <c r="AI28" s="63"/>
      <c r="AJ28" s="307"/>
      <c r="AK28" s="339"/>
      <c r="AM28" s="264"/>
      <c r="AN28" s="264"/>
    </row>
    <row r="29" spans="1:48">
      <c r="A29" s="130" t="s">
        <v>1809</v>
      </c>
      <c r="B29" s="79">
        <v>7</v>
      </c>
      <c r="C29" s="79">
        <v>4</v>
      </c>
      <c r="D29" s="79">
        <v>9</v>
      </c>
      <c r="E29" s="79">
        <v>13</v>
      </c>
      <c r="F29" s="57">
        <v>17.010000000000002</v>
      </c>
      <c r="G29" s="80">
        <v>5234</v>
      </c>
      <c r="H29" s="5" t="s">
        <v>1985</v>
      </c>
      <c r="I29" s="22" t="s">
        <v>4574</v>
      </c>
      <c r="J29" s="323">
        <v>63</v>
      </c>
      <c r="K29" s="323">
        <v>12.02</v>
      </c>
      <c r="L29" s="73">
        <v>8</v>
      </c>
      <c r="M29" s="73">
        <v>44.1</v>
      </c>
      <c r="N29" s="73">
        <f>J29+K29+L29+M29</f>
        <v>127.12</v>
      </c>
      <c r="O29" s="81">
        <f>IFERROR(VLOOKUP($G29,'321買'!A:E,3,0),"'沒有資料'")</f>
        <v>13</v>
      </c>
      <c r="P29" s="380">
        <f>IFERROR(VLOOKUP($G29,'321買'!$A:$G,7,0),"'沒有資料'")</f>
        <v>368</v>
      </c>
      <c r="Q29" s="388" t="s">
        <v>5063</v>
      </c>
      <c r="R29" s="297">
        <f>IFERROR(RANK(VLOOKUP($G29,連買!$A:$D,4,0),連買!$D:$D,0),"'沒有資料'")</f>
        <v>1560</v>
      </c>
      <c r="S29" s="45">
        <v>5.3</v>
      </c>
      <c r="T29" s="353">
        <f>S29/V29</f>
        <v>4.7533632286995517E-2</v>
      </c>
      <c r="U29" s="57">
        <v>6.43</v>
      </c>
      <c r="V29" s="36">
        <v>111.5</v>
      </c>
      <c r="W29" s="66">
        <v>110</v>
      </c>
      <c r="X29" s="15">
        <f>V29-W29</f>
        <v>1.5</v>
      </c>
      <c r="Y29" s="63">
        <f>X29/W29</f>
        <v>1.3636363636363636E-2</v>
      </c>
      <c r="Z29" s="413">
        <v>-32.520000000000003</v>
      </c>
      <c r="AA29" s="161">
        <v>1</v>
      </c>
      <c r="AB29" s="409">
        <v>0</v>
      </c>
      <c r="AC29" s="259">
        <f>AA29-AB29</f>
        <v>1</v>
      </c>
      <c r="AD29" s="22" t="s">
        <v>4574</v>
      </c>
      <c r="AE29" s="84">
        <v>44663</v>
      </c>
      <c r="AF29" s="83">
        <v>44664</v>
      </c>
      <c r="AG29" s="33">
        <f>AF29-AE29</f>
        <v>1</v>
      </c>
      <c r="AH29" s="43" t="s">
        <v>4575</v>
      </c>
      <c r="AI29" s="161"/>
      <c r="AJ29" s="409"/>
      <c r="AK29" s="259"/>
      <c r="AM29" s="264"/>
      <c r="AN29" s="264"/>
    </row>
    <row r="30" spans="1:48">
      <c r="A30" s="130" t="s">
        <v>1663</v>
      </c>
      <c r="B30" s="79">
        <v>30</v>
      </c>
      <c r="C30" s="79">
        <v>30</v>
      </c>
      <c r="D30" s="79">
        <v>29</v>
      </c>
      <c r="E30" s="79">
        <v>66</v>
      </c>
      <c r="F30" s="57">
        <v>45.42</v>
      </c>
      <c r="G30" s="80">
        <v>5274</v>
      </c>
      <c r="H30" s="149" t="s">
        <v>3254</v>
      </c>
      <c r="I30" s="16" t="s">
        <v>217</v>
      </c>
      <c r="J30" s="73">
        <v>42.85</v>
      </c>
      <c r="K30" s="73">
        <v>69.22</v>
      </c>
      <c r="L30" s="73">
        <v>1.05</v>
      </c>
      <c r="M30" s="73">
        <v>21.8</v>
      </c>
      <c r="N30" s="73">
        <f t="shared" ref="N30" si="55">J30+K30+L30+M30</f>
        <v>134.91999999999999</v>
      </c>
      <c r="O30" s="81">
        <f>IFERROR(VLOOKUP($G30,'321買'!A:E,3,0),"'沒有資料'")</f>
        <v>12</v>
      </c>
      <c r="P30" s="380">
        <f>IFERROR(VLOOKUP($G30,'321買'!$A:$G,7,0),"'沒有資料'")</f>
        <v>387</v>
      </c>
      <c r="Q30" s="388" t="s">
        <v>3818</v>
      </c>
      <c r="R30" s="297">
        <f>IFERROR(RANK(VLOOKUP($G30,連買!$A:$D,4,0),連買!$D:$D,0),"'沒有資料'")</f>
        <v>1</v>
      </c>
      <c r="S30" s="45">
        <v>36</v>
      </c>
      <c r="T30" s="353">
        <f t="shared" ref="T30" si="56">S30/V30</f>
        <v>1.1783960720130934E-2</v>
      </c>
      <c r="U30" s="95">
        <v>38.32</v>
      </c>
      <c r="V30" s="155">
        <v>3055</v>
      </c>
      <c r="W30" s="66">
        <v>3015</v>
      </c>
      <c r="X30" s="141">
        <f t="shared" ref="X30" si="57">V30-W30</f>
        <v>40</v>
      </c>
      <c r="Y30" s="63">
        <f t="shared" ref="Y30" si="58">X30/W30</f>
        <v>1.3266998341625208E-2</v>
      </c>
      <c r="Z30" s="413">
        <v>-17.96</v>
      </c>
      <c r="AA30" s="126"/>
      <c r="AD30" s="16" t="s">
        <v>217</v>
      </c>
      <c r="AE30" s="84">
        <v>44662</v>
      </c>
      <c r="AF30" s="86">
        <v>44662</v>
      </c>
      <c r="AG30" s="33">
        <f t="shared" ref="AG30" si="59">AF30-AE30</f>
        <v>0</v>
      </c>
      <c r="AH30" s="120" t="s">
        <v>2541</v>
      </c>
      <c r="AI30" s="63"/>
      <c r="AJ30" s="307"/>
      <c r="AK30" s="339"/>
      <c r="AM30" s="264"/>
      <c r="AN30" s="264"/>
    </row>
    <row r="31" spans="1:48">
      <c r="A31" s="130" t="s">
        <v>8572</v>
      </c>
      <c r="B31" s="80">
        <v>-29</v>
      </c>
      <c r="C31" s="80">
        <v>-29</v>
      </c>
      <c r="D31" s="79">
        <v>72</v>
      </c>
      <c r="E31" s="79">
        <v>45</v>
      </c>
      <c r="F31" s="57">
        <v>12.97</v>
      </c>
      <c r="G31" s="80">
        <v>4763</v>
      </c>
      <c r="H31" s="8" t="s">
        <v>3879</v>
      </c>
      <c r="I31" s="22" t="s">
        <v>3941</v>
      </c>
      <c r="J31" s="323">
        <v>40.68</v>
      </c>
      <c r="K31" s="73">
        <v>68.64</v>
      </c>
      <c r="L31" s="73">
        <v>0.13</v>
      </c>
      <c r="M31" s="73">
        <v>20.48</v>
      </c>
      <c r="N31" s="318">
        <f>J31+K31+L31+M31</f>
        <v>129.92999999999998</v>
      </c>
      <c r="O31" s="81">
        <f>IFERROR(VLOOKUP($G31,'321買'!A:E,3,0),"'沒有資料'")</f>
        <v>0</v>
      </c>
      <c r="P31" s="380">
        <f>IFERROR(VLOOKUP($G31,'321買'!$A:$G,7,0),"'沒有資料'")</f>
        <v>911</v>
      </c>
      <c r="Q31" s="388" t="s">
        <v>3816</v>
      </c>
      <c r="R31" s="297">
        <f>IFERROR(RANK(VLOOKUP($G31,連買!$A:$D,4,0),連買!$D:$D,0),"'沒有資料'")</f>
        <v>33</v>
      </c>
      <c r="S31" s="45">
        <v>5.5</v>
      </c>
      <c r="T31" s="353">
        <f>S31/V31</f>
        <v>5.3921568627450983E-2</v>
      </c>
      <c r="U31" s="95">
        <v>9.18</v>
      </c>
      <c r="V31" s="13">
        <v>102</v>
      </c>
      <c r="W31" s="66">
        <v>100</v>
      </c>
      <c r="X31" s="15">
        <f>V31-W31</f>
        <v>2</v>
      </c>
      <c r="Y31" s="63">
        <f>X31/W31</f>
        <v>0.02</v>
      </c>
      <c r="Z31" s="413">
        <v>-28.61</v>
      </c>
      <c r="AA31" s="126"/>
      <c r="AD31" s="22" t="s">
        <v>3941</v>
      </c>
      <c r="AE31" s="84">
        <v>44658</v>
      </c>
      <c r="AF31" s="83">
        <v>44659</v>
      </c>
      <c r="AG31" s="33">
        <f>AF31-AE31</f>
        <v>1</v>
      </c>
      <c r="AH31" s="43" t="s">
        <v>3942</v>
      </c>
      <c r="AI31" s="63"/>
      <c r="AJ31" s="307"/>
      <c r="AK31" s="339"/>
      <c r="AM31" s="264"/>
      <c r="AN31" s="264"/>
    </row>
    <row r="32" spans="1:48" s="268" customFormat="1">
      <c r="A32" s="145"/>
      <c r="B32" s="79"/>
      <c r="C32" s="79"/>
      <c r="D32" s="79"/>
      <c r="E32" s="79"/>
      <c r="F32" s="6"/>
      <c r="G32" s="41"/>
      <c r="H32" s="8"/>
      <c r="I32" s="158"/>
      <c r="J32" s="323"/>
      <c r="K32" s="323"/>
      <c r="L32" s="323"/>
      <c r="M32" s="318"/>
      <c r="N32" s="318"/>
      <c r="O32" s="306"/>
      <c r="P32" s="374"/>
      <c r="Q32" s="389"/>
      <c r="R32" s="151"/>
      <c r="S32" s="197"/>
      <c r="T32" s="351"/>
      <c r="U32" s="95"/>
      <c r="V32" s="349">
        <f>SUM(V25:V31)</f>
        <v>6971.7</v>
      </c>
      <c r="W32" s="331">
        <f>SUM(W25:W31)</f>
        <v>6843.7</v>
      </c>
      <c r="X32" s="167">
        <f t="shared" ref="X32" si="60">V32-W32</f>
        <v>128</v>
      </c>
      <c r="Y32" s="163">
        <f t="shared" ref="Y32" si="61">X32/W32</f>
        <v>1.8703332992387158E-2</v>
      </c>
      <c r="Z32" s="101"/>
      <c r="AA32" s="168"/>
      <c r="AD32" s="244">
        <f>V32*(0.001425*0.5)+V32*0.003+W32*(0.001425*0.5)</f>
        <v>30.7585725</v>
      </c>
      <c r="AE32" s="6">
        <f>X32-AD32</f>
        <v>97.2414275</v>
      </c>
      <c r="AF32" s="83"/>
      <c r="AG32" s="33"/>
      <c r="AH32" s="46" t="s">
        <v>8438</v>
      </c>
    </row>
    <row r="33" spans="1:40">
      <c r="B33" s="91"/>
      <c r="C33" s="91"/>
      <c r="D33" s="91"/>
      <c r="E33" s="91"/>
      <c r="F33" s="8"/>
      <c r="G33" s="26"/>
      <c r="H33" s="55"/>
      <c r="I33" s="50"/>
      <c r="J33" s="317"/>
      <c r="K33" s="317"/>
      <c r="L33" s="317"/>
      <c r="M33" s="317"/>
      <c r="N33" s="317"/>
      <c r="P33" s="379"/>
      <c r="Q33" s="245"/>
      <c r="R33" s="391"/>
      <c r="S33" s="10"/>
      <c r="T33" s="351"/>
      <c r="U33" s="68"/>
      <c r="V33" s="28"/>
      <c r="W33" s="17"/>
      <c r="X33" s="14"/>
      <c r="Y33" s="21"/>
      <c r="Z33" s="420"/>
      <c r="AA33" s="126"/>
      <c r="AD33" s="50"/>
      <c r="AE33" s="71"/>
      <c r="AF33" s="72"/>
      <c r="AG33" s="32"/>
      <c r="AH33" s="249"/>
      <c r="AI33" s="8"/>
      <c r="AJ33" s="50"/>
      <c r="AM33" s="126"/>
      <c r="AN33" s="251"/>
    </row>
    <row r="34" spans="1:40">
      <c r="A34" s="130" t="s">
        <v>2134</v>
      </c>
      <c r="B34" s="79">
        <v>249</v>
      </c>
      <c r="C34" s="79">
        <v>154</v>
      </c>
      <c r="D34" s="80">
        <v>-15</v>
      </c>
      <c r="E34" s="79">
        <v>19</v>
      </c>
      <c r="F34" s="57">
        <v>16.510000000000002</v>
      </c>
      <c r="G34" s="79">
        <v>3675</v>
      </c>
      <c r="H34" s="149" t="s">
        <v>3254</v>
      </c>
      <c r="I34" s="16" t="s">
        <v>367</v>
      </c>
      <c r="J34" s="73">
        <v>57.54</v>
      </c>
      <c r="K34" s="73">
        <v>67.650000000000006</v>
      </c>
      <c r="L34" s="73">
        <v>18.91</v>
      </c>
      <c r="M34" s="323">
        <v>54.85</v>
      </c>
      <c r="N34" s="73">
        <f>J34+K34+L34+M34</f>
        <v>198.95</v>
      </c>
      <c r="O34" s="81">
        <f>IFERROR(VLOOKUP($G34,'321買'!A:E,3,0),"'沒有資料'")</f>
        <v>60</v>
      </c>
      <c r="P34" s="380">
        <f>IFERROR(VLOOKUP($G34,'321買'!$A:$G,7,0),"'沒有資料'")</f>
        <v>49</v>
      </c>
      <c r="Q34" s="245" t="s">
        <v>5097</v>
      </c>
      <c r="R34" s="297">
        <f>IFERROR(RANK(VLOOKUP($G34,連買!$A:$D,4,0),連買!$D:$D,0),"'沒有資料'")</f>
        <v>62</v>
      </c>
      <c r="S34" s="45">
        <v>5</v>
      </c>
      <c r="T34" s="353">
        <f>S34/V34</f>
        <v>1.5015015015015015E-2</v>
      </c>
      <c r="U34" s="57">
        <v>7.36</v>
      </c>
      <c r="V34" s="13">
        <v>333</v>
      </c>
      <c r="W34" s="66">
        <v>308.5</v>
      </c>
      <c r="X34" s="15">
        <f>V34-W34</f>
        <v>24.5</v>
      </c>
      <c r="Y34" s="63">
        <f>X34/W34</f>
        <v>7.9416531604538085E-2</v>
      </c>
      <c r="Z34" s="413">
        <v>-6.88</v>
      </c>
      <c r="AA34" s="126"/>
      <c r="AD34" s="16" t="s">
        <v>367</v>
      </c>
      <c r="AE34" s="84">
        <v>44650</v>
      </c>
      <c r="AF34" s="83">
        <v>44651</v>
      </c>
      <c r="AG34" s="33">
        <f>AF34-AE34</f>
        <v>1</v>
      </c>
      <c r="AH34" s="43" t="s">
        <v>3129</v>
      </c>
      <c r="AI34" s="63"/>
      <c r="AJ34" s="307"/>
      <c r="AK34" s="339"/>
      <c r="AM34" s="264"/>
      <c r="AN34" s="264"/>
    </row>
    <row r="35" spans="1:40">
      <c r="A35" s="130" t="s">
        <v>1792</v>
      </c>
      <c r="B35" s="79">
        <v>285</v>
      </c>
      <c r="C35" s="79">
        <v>220</v>
      </c>
      <c r="D35" s="79">
        <v>17</v>
      </c>
      <c r="E35" s="79">
        <v>172</v>
      </c>
      <c r="F35" s="57">
        <v>16.97</v>
      </c>
      <c r="G35" s="79">
        <v>1708</v>
      </c>
      <c r="H35" s="8" t="s">
        <v>757</v>
      </c>
      <c r="I35" s="22" t="s">
        <v>760</v>
      </c>
      <c r="J35" s="73">
        <v>44.07</v>
      </c>
      <c r="K35" s="73">
        <v>11.13</v>
      </c>
      <c r="L35" s="73">
        <v>40.450000000000003</v>
      </c>
      <c r="M35" s="73">
        <v>13.75</v>
      </c>
      <c r="N35" s="318">
        <f>J35+K35+L35+M35</f>
        <v>109.4</v>
      </c>
      <c r="O35" s="81">
        <f>IFERROR(VLOOKUP($G35,'321買'!A:E,3,0),"'沒有資料'")</f>
        <v>44</v>
      </c>
      <c r="P35" s="380">
        <f>IFERROR(VLOOKUP($G35,'321買'!$A:$G,7,0),"'沒有資料'")</f>
        <v>74</v>
      </c>
      <c r="Q35" s="245" t="s">
        <v>5097</v>
      </c>
      <c r="R35" s="297">
        <f>IFERROR(RANK(VLOOKUP($G35,連買!$A:$D,4,0),連買!$D:$D,0),"'沒有資料'")</f>
        <v>528</v>
      </c>
      <c r="S35" s="34">
        <v>2</v>
      </c>
      <c r="T35" s="353">
        <f>S35/V35</f>
        <v>3.2840722495894911E-2</v>
      </c>
      <c r="U35" s="95">
        <v>2.81</v>
      </c>
      <c r="V35" s="36">
        <v>60.9</v>
      </c>
      <c r="W35" s="66">
        <v>55.4</v>
      </c>
      <c r="X35" s="15">
        <f>V35-W35</f>
        <v>5.5</v>
      </c>
      <c r="Y35" s="63">
        <f>X35/W35</f>
        <v>9.927797833935019E-2</v>
      </c>
      <c r="Z35" s="413">
        <v>-1.26</v>
      </c>
      <c r="AA35" s="126"/>
      <c r="AD35" s="22" t="s">
        <v>760</v>
      </c>
      <c r="AE35" s="84">
        <v>44648</v>
      </c>
      <c r="AF35" s="83">
        <v>44649</v>
      </c>
      <c r="AG35" s="33">
        <f>AF35-AE35</f>
        <v>1</v>
      </c>
      <c r="AH35" s="43" t="s">
        <v>1537</v>
      </c>
      <c r="AI35" s="63"/>
      <c r="AJ35" s="307"/>
      <c r="AK35" s="339"/>
      <c r="AM35" s="264"/>
      <c r="AN35" s="264"/>
    </row>
    <row r="36" spans="1:40">
      <c r="A36" s="130" t="s">
        <v>1698</v>
      </c>
      <c r="B36" s="79">
        <v>284</v>
      </c>
      <c r="C36" s="79">
        <v>230</v>
      </c>
      <c r="D36" s="80">
        <v>-3</v>
      </c>
      <c r="E36" s="79">
        <v>74</v>
      </c>
      <c r="F36" s="57">
        <v>11.28</v>
      </c>
      <c r="G36" s="79">
        <v>3305</v>
      </c>
      <c r="H36" s="8" t="s">
        <v>316</v>
      </c>
      <c r="I36" s="22" t="s">
        <v>506</v>
      </c>
      <c r="J36" s="73">
        <v>41.95</v>
      </c>
      <c r="K36" s="73">
        <v>9.2100000000000009</v>
      </c>
      <c r="L36" s="73">
        <v>30.23</v>
      </c>
      <c r="M36" s="323">
        <v>12.81</v>
      </c>
      <c r="N36" s="318">
        <f t="shared" ref="N36" si="62">J36+K36+L36+M36</f>
        <v>94.2</v>
      </c>
      <c r="O36" s="81">
        <f>IFERROR(VLOOKUP($G36,'321買'!A:E,3,0),"'沒有資料'")</f>
        <v>47</v>
      </c>
      <c r="P36" s="380">
        <f>IFERROR(VLOOKUP($G36,'321買'!$A:$G,7,0),"'沒有資料'")</f>
        <v>71</v>
      </c>
      <c r="Q36" s="245" t="s">
        <v>5097</v>
      </c>
      <c r="R36" s="297">
        <f>IFERROR(RANK(VLOOKUP($G36,連買!$A:$D,4,0),連買!$D:$D,0),"'沒有資料'")</f>
        <v>302</v>
      </c>
      <c r="S36" s="34">
        <v>2.5</v>
      </c>
      <c r="T36" s="353">
        <f t="shared" ref="T36" si="63">S36/V36</f>
        <v>3.048780487804878E-2</v>
      </c>
      <c r="U36" s="95">
        <v>4.29</v>
      </c>
      <c r="V36" s="36">
        <v>82</v>
      </c>
      <c r="W36" s="66">
        <v>78.3</v>
      </c>
      <c r="X36" s="15">
        <f t="shared" ref="X36" si="64">V36-W36</f>
        <v>3.7000000000000028</v>
      </c>
      <c r="Y36" s="63">
        <f t="shared" ref="Y36" si="65">X36/W36</f>
        <v>4.7254150702426605E-2</v>
      </c>
      <c r="Z36" s="413">
        <v>-13.42</v>
      </c>
      <c r="AA36" s="126"/>
      <c r="AD36" s="22" t="s">
        <v>506</v>
      </c>
      <c r="AE36" s="84">
        <v>44648</v>
      </c>
      <c r="AF36" s="83">
        <v>44649</v>
      </c>
      <c r="AG36" s="33">
        <f t="shared" ref="AG36" si="66">AF36-AE36</f>
        <v>1</v>
      </c>
      <c r="AH36" s="43" t="s">
        <v>2760</v>
      </c>
      <c r="AI36" s="63"/>
      <c r="AJ36" s="307"/>
      <c r="AK36" s="339"/>
      <c r="AM36" s="264"/>
      <c r="AN36" s="264"/>
    </row>
    <row r="37" spans="1:40">
      <c r="A37" s="130" t="s">
        <v>2175</v>
      </c>
      <c r="B37" s="79">
        <v>192</v>
      </c>
      <c r="C37" s="79">
        <v>175</v>
      </c>
      <c r="D37" s="80">
        <v>-11</v>
      </c>
      <c r="E37" s="79">
        <v>117</v>
      </c>
      <c r="F37" s="57">
        <v>10.11</v>
      </c>
      <c r="G37" s="79">
        <v>4721</v>
      </c>
      <c r="H37" s="8" t="s">
        <v>3879</v>
      </c>
      <c r="I37" s="16" t="s">
        <v>3932</v>
      </c>
      <c r="J37" s="323">
        <v>28.35</v>
      </c>
      <c r="K37" s="73">
        <v>4.78</v>
      </c>
      <c r="L37" s="73">
        <v>32.79</v>
      </c>
      <c r="M37" s="323">
        <v>9.5299999999999994</v>
      </c>
      <c r="N37" s="318">
        <f>J37+K37+L37+M37</f>
        <v>75.45</v>
      </c>
      <c r="O37" s="81">
        <f>IFERROR(VLOOKUP($G37,'321買'!A:E,3,0),"'沒有資料'")</f>
        <v>66</v>
      </c>
      <c r="P37" s="380">
        <f>IFERROR(VLOOKUP($G37,'321買'!$A:$G,7,0),"'沒有資料'")</f>
        <v>21</v>
      </c>
      <c r="Q37" s="245" t="s">
        <v>5097</v>
      </c>
      <c r="R37" s="297">
        <f>IFERROR(RANK(VLOOKUP($G37,連買!$A:$D,4,0),連買!$D:$D,0),"'沒有資料'")</f>
        <v>254</v>
      </c>
      <c r="S37" s="45">
        <v>3.8</v>
      </c>
      <c r="T37" s="353">
        <f>S37/V37</f>
        <v>2.4050632911392405E-2</v>
      </c>
      <c r="U37" s="95">
        <v>4.8099999999999996</v>
      </c>
      <c r="V37" s="36">
        <v>158</v>
      </c>
      <c r="W37" s="66">
        <v>155</v>
      </c>
      <c r="X37" s="15">
        <f>V37-W37</f>
        <v>3</v>
      </c>
      <c r="Y37" s="63">
        <f>X37/W37</f>
        <v>1.935483870967742E-2</v>
      </c>
      <c r="Z37" s="413">
        <v>-15.99</v>
      </c>
      <c r="AA37" s="126"/>
      <c r="AD37" s="16" t="s">
        <v>3932</v>
      </c>
      <c r="AE37" s="84">
        <v>44645</v>
      </c>
      <c r="AF37" s="83">
        <v>44649</v>
      </c>
      <c r="AG37" s="33">
        <f>AF37-AE37</f>
        <v>4</v>
      </c>
      <c r="AH37" s="120" t="s">
        <v>2473</v>
      </c>
      <c r="AI37" s="63"/>
      <c r="AJ37" s="307"/>
      <c r="AK37" s="339"/>
      <c r="AM37" s="264"/>
      <c r="AN37" s="264"/>
    </row>
    <row r="38" spans="1:40">
      <c r="A38" s="146" t="s">
        <v>2069</v>
      </c>
      <c r="B38" s="79">
        <v>484</v>
      </c>
      <c r="C38" s="79">
        <v>69</v>
      </c>
      <c r="D38" s="80">
        <v>-11</v>
      </c>
      <c r="E38" s="79">
        <v>25</v>
      </c>
      <c r="F38" s="6">
        <v>4.95</v>
      </c>
      <c r="G38" s="79">
        <v>5603</v>
      </c>
      <c r="H38" s="208" t="s">
        <v>304</v>
      </c>
      <c r="I38" s="16" t="s">
        <v>81</v>
      </c>
      <c r="J38" s="323">
        <v>46.73</v>
      </c>
      <c r="K38" s="73">
        <v>9.0500000000000007</v>
      </c>
      <c r="L38" s="73">
        <v>20.7</v>
      </c>
      <c r="M38" s="323">
        <v>15.09</v>
      </c>
      <c r="N38" s="318">
        <f t="shared" ref="N38" si="67">J38+K38+L38+M38</f>
        <v>91.570000000000007</v>
      </c>
      <c r="O38" s="81">
        <f>IFERROR(VLOOKUP($G38,'321買'!A:E,3,0),"'沒有資料'")</f>
        <v>27</v>
      </c>
      <c r="P38" s="380">
        <f>IFERROR(VLOOKUP($G38,'321買'!$A:$G,7,0),"'沒有資料'")</f>
        <v>180</v>
      </c>
      <c r="Q38" s="245" t="s">
        <v>5088</v>
      </c>
      <c r="R38" s="297">
        <f>IFERROR(RANK(VLOOKUP($G38,連買!$A:$D,4,0),連買!$D:$D,0),"'沒有資料'")</f>
        <v>695</v>
      </c>
      <c r="S38" s="45">
        <v>7</v>
      </c>
      <c r="T38" s="355">
        <f t="shared" ref="T38" si="68">S38/V38</f>
        <v>0.145985401459854</v>
      </c>
      <c r="U38" s="95">
        <v>9.34</v>
      </c>
      <c r="V38" s="36">
        <v>47.95</v>
      </c>
      <c r="W38" s="66">
        <v>47.05</v>
      </c>
      <c r="X38" s="15">
        <f t="shared" ref="X38" si="69">V38-W38</f>
        <v>0.90000000000000568</v>
      </c>
      <c r="Y38" s="63">
        <f t="shared" ref="Y38" si="70">X38/W38</f>
        <v>1.9128586609989496E-2</v>
      </c>
      <c r="Z38" s="413">
        <v>-7.94</v>
      </c>
      <c r="AA38" s="126"/>
      <c r="AD38" s="16" t="s">
        <v>81</v>
      </c>
      <c r="AE38" s="84">
        <v>44649</v>
      </c>
      <c r="AF38" s="86">
        <v>44649</v>
      </c>
      <c r="AG38" s="33">
        <f t="shared" ref="AG38" si="71">AF38-AE38</f>
        <v>0</v>
      </c>
      <c r="AH38" s="120" t="s">
        <v>2848</v>
      </c>
      <c r="AI38" s="63"/>
      <c r="AJ38" s="307"/>
      <c r="AK38" s="339"/>
      <c r="AM38" s="264"/>
      <c r="AN38" s="264"/>
    </row>
    <row r="39" spans="1:40">
      <c r="A39" s="130" t="s">
        <v>1756</v>
      </c>
      <c r="B39" s="79">
        <v>120</v>
      </c>
      <c r="C39" s="79">
        <v>264</v>
      </c>
      <c r="D39" s="80">
        <v>-16</v>
      </c>
      <c r="E39" s="79">
        <v>46</v>
      </c>
      <c r="F39" s="57">
        <v>12.77</v>
      </c>
      <c r="G39" s="80">
        <v>2436</v>
      </c>
      <c r="H39" s="17" t="s">
        <v>3254</v>
      </c>
      <c r="I39" s="22" t="s">
        <v>112</v>
      </c>
      <c r="J39" s="323">
        <v>17.16</v>
      </c>
      <c r="K39" s="73">
        <v>7.05</v>
      </c>
      <c r="L39" s="73">
        <v>40.24</v>
      </c>
      <c r="M39" s="323">
        <v>8.25</v>
      </c>
      <c r="N39" s="318">
        <f t="shared" ref="N39" si="72">J39+K39+L39+M39</f>
        <v>72.7</v>
      </c>
      <c r="O39" s="81">
        <f>IFERROR(VLOOKUP($G39,'321買'!A:E,3,0),"'沒有資料'")</f>
        <v>72</v>
      </c>
      <c r="P39" s="380">
        <f>IFERROR(VLOOKUP($G39,'321買'!$A:$G,7,0),"'沒有資料'")</f>
        <v>14</v>
      </c>
      <c r="Q39" s="245" t="s">
        <v>5088</v>
      </c>
      <c r="R39" s="297">
        <f>IFERROR(RANK(VLOOKUP($G39,連買!$A:$D,4,0),連買!$D:$D,0),"'沒有資料'")</f>
        <v>219</v>
      </c>
      <c r="S39" s="45">
        <v>3</v>
      </c>
      <c r="T39" s="353">
        <f t="shared" ref="T39" si="73">S39/V39</f>
        <v>3.2967032967032968E-2</v>
      </c>
      <c r="U39" s="95">
        <v>4.25</v>
      </c>
      <c r="V39" s="36">
        <v>91</v>
      </c>
      <c r="W39" s="66">
        <v>89.4</v>
      </c>
      <c r="X39" s="15">
        <f t="shared" ref="X39" si="74">V39-W39</f>
        <v>1.5999999999999943</v>
      </c>
      <c r="Y39" s="63">
        <f t="shared" ref="Y39" si="75">X39/W39</f>
        <v>1.7897091722595012E-2</v>
      </c>
      <c r="Z39" s="413">
        <v>-20.079999999999998</v>
      </c>
      <c r="AA39" s="126"/>
      <c r="AD39" s="22" t="s">
        <v>112</v>
      </c>
      <c r="AE39" s="84">
        <v>44644</v>
      </c>
      <c r="AF39" s="83">
        <v>44645</v>
      </c>
      <c r="AG39" s="33">
        <f t="shared" ref="AG39" si="76">AF39-AE39</f>
        <v>1</v>
      </c>
      <c r="AH39" s="43" t="s">
        <v>2366</v>
      </c>
      <c r="AI39" s="63"/>
      <c r="AJ39" s="307"/>
      <c r="AK39" s="339"/>
      <c r="AM39" s="264"/>
      <c r="AN39" s="264"/>
    </row>
    <row r="40" spans="1:40">
      <c r="A40" s="130" t="s">
        <v>6573</v>
      </c>
      <c r="B40" s="79">
        <v>64</v>
      </c>
      <c r="C40" s="79">
        <v>6</v>
      </c>
      <c r="D40" s="80">
        <v>-23</v>
      </c>
      <c r="E40" s="79">
        <v>26</v>
      </c>
      <c r="F40" s="57">
        <v>11.41</v>
      </c>
      <c r="G40" s="80">
        <v>3491</v>
      </c>
      <c r="H40" s="8" t="s">
        <v>313</v>
      </c>
      <c r="I40" s="16" t="s">
        <v>4700</v>
      </c>
      <c r="J40" s="323">
        <v>18.440000000000001</v>
      </c>
      <c r="K40" s="73">
        <v>14.34</v>
      </c>
      <c r="L40" s="323">
        <v>34.85</v>
      </c>
      <c r="M40" s="323">
        <v>10.39</v>
      </c>
      <c r="N40" s="318">
        <f>J40+K40+L40+M40</f>
        <v>78.02</v>
      </c>
      <c r="O40" s="81">
        <f>IFERROR(VLOOKUP($G40,'321買'!A:E,3,0),"'沒有資料'")</f>
        <v>60</v>
      </c>
      <c r="P40" s="380">
        <f>IFERROR(VLOOKUP($G40,'321買'!$A:$G,7,0),"'沒有資料'")</f>
        <v>38</v>
      </c>
      <c r="Q40" s="245" t="s">
        <v>5088</v>
      </c>
      <c r="R40" s="297">
        <f>IFERROR(RANK(VLOOKUP($G40,連買!$A:$D,4,0),連買!$D:$D,0),"'沒有資料'")</f>
        <v>77</v>
      </c>
      <c r="S40" s="34">
        <v>2.5</v>
      </c>
      <c r="T40" s="353">
        <f>S40/V40</f>
        <v>1.3812154696132596E-2</v>
      </c>
      <c r="U40" s="95">
        <v>3.19</v>
      </c>
      <c r="V40" s="36">
        <v>181</v>
      </c>
      <c r="W40" s="66">
        <v>178</v>
      </c>
      <c r="X40" s="15">
        <f>V40-W40</f>
        <v>3</v>
      </c>
      <c r="Y40" s="63">
        <f>X40/W40</f>
        <v>1.6853932584269662E-2</v>
      </c>
      <c r="Z40" s="413">
        <v>-24.89</v>
      </c>
      <c r="AA40" s="126"/>
      <c r="AD40" s="16" t="s">
        <v>4700</v>
      </c>
      <c r="AE40" s="84">
        <v>44643</v>
      </c>
      <c r="AF40" s="83">
        <v>44644</v>
      </c>
      <c r="AG40" s="33">
        <f>AF40-AE40</f>
        <v>1</v>
      </c>
      <c r="AH40" s="120" t="s">
        <v>4701</v>
      </c>
      <c r="AI40" s="63"/>
      <c r="AJ40" s="307"/>
      <c r="AK40" s="339"/>
      <c r="AM40" s="264"/>
      <c r="AN40" s="264"/>
    </row>
    <row r="41" spans="1:40">
      <c r="A41" s="130" t="s">
        <v>1729</v>
      </c>
      <c r="B41" s="80">
        <v>-29</v>
      </c>
      <c r="C41" s="80">
        <v>-55</v>
      </c>
      <c r="D41" s="80">
        <v>-38</v>
      </c>
      <c r="E41" s="79">
        <v>15</v>
      </c>
      <c r="F41" s="57">
        <v>55.39</v>
      </c>
      <c r="G41" s="79">
        <v>4162</v>
      </c>
      <c r="H41" s="8" t="s">
        <v>311</v>
      </c>
      <c r="I41" s="16" t="s">
        <v>37</v>
      </c>
      <c r="J41" s="73">
        <v>43</v>
      </c>
      <c r="K41" s="73">
        <v>8.7200000000000006</v>
      </c>
      <c r="L41" s="323">
        <v>24.59</v>
      </c>
      <c r="M41" s="73">
        <v>33.450000000000003</v>
      </c>
      <c r="N41" s="318">
        <f t="shared" ref="N41" si="77">J41+K41+L41+M41</f>
        <v>109.76</v>
      </c>
      <c r="O41" s="81">
        <f>IFERROR(VLOOKUP($G41,'321買'!A:E,3,0),"'沒有資料'")</f>
        <v>15</v>
      </c>
      <c r="P41" s="380">
        <f>IFERROR(VLOOKUP($G41,'321買'!$A:$G,7,0),"'沒有資料'")</f>
        <v>290</v>
      </c>
      <c r="Q41" s="245" t="s">
        <v>5088</v>
      </c>
      <c r="R41" s="297">
        <f>IFERROR(RANK(VLOOKUP($G41,連買!$A:$D,4,0),連買!$D:$D,0),"'沒有資料'")</f>
        <v>224</v>
      </c>
      <c r="S41" s="34">
        <v>2.7</v>
      </c>
      <c r="T41" s="353">
        <f>S41/V41</f>
        <v>2.7383367139959435E-2</v>
      </c>
      <c r="U41" s="95">
        <v>2.94</v>
      </c>
      <c r="V41" s="36">
        <v>98.6</v>
      </c>
      <c r="W41" s="66">
        <v>96.4</v>
      </c>
      <c r="X41" s="15">
        <f>V41-W41</f>
        <v>2.1999999999999886</v>
      </c>
      <c r="Y41" s="63">
        <f>X41/W41</f>
        <v>2.2821576763485358E-2</v>
      </c>
      <c r="Z41" s="413">
        <v>-3.78</v>
      </c>
      <c r="AA41" s="126"/>
      <c r="AD41" s="16" t="s">
        <v>37</v>
      </c>
      <c r="AE41" s="84">
        <v>44643</v>
      </c>
      <c r="AF41" s="83">
        <v>44644</v>
      </c>
      <c r="AG41" s="33">
        <f>AF41-AE41</f>
        <v>1</v>
      </c>
      <c r="AH41" s="120" t="s">
        <v>4090</v>
      </c>
      <c r="AI41" s="63"/>
      <c r="AJ41" s="307"/>
      <c r="AK41" s="339"/>
      <c r="AM41" s="264"/>
      <c r="AN41" s="264"/>
    </row>
    <row r="42" spans="1:40">
      <c r="A42" s="130" t="s">
        <v>1882</v>
      </c>
      <c r="B42" s="79">
        <v>179</v>
      </c>
      <c r="C42" s="79">
        <v>203</v>
      </c>
      <c r="D42" s="80">
        <v>-19</v>
      </c>
      <c r="E42" s="79">
        <v>49</v>
      </c>
      <c r="F42" s="57">
        <v>19.670000000000002</v>
      </c>
      <c r="G42" s="79">
        <v>3624</v>
      </c>
      <c r="H42" s="8" t="s">
        <v>310</v>
      </c>
      <c r="I42" s="16" t="s">
        <v>4914</v>
      </c>
      <c r="J42" s="73">
        <v>58.02</v>
      </c>
      <c r="K42" s="73">
        <v>57.64</v>
      </c>
      <c r="L42" s="73">
        <v>27.45</v>
      </c>
      <c r="M42" s="323">
        <v>42.24</v>
      </c>
      <c r="N42" s="73">
        <f>J42+K42+L42+M42</f>
        <v>185.35</v>
      </c>
      <c r="O42" s="81">
        <f>IFERROR(VLOOKUP($G42,'321買'!A:E,3,0),"'沒有資料'")</f>
        <v>57</v>
      </c>
      <c r="P42" s="380">
        <f>IFERROR(VLOOKUP($G42,'321買'!$A:$G,7,0),"'沒有資料'")</f>
        <v>35</v>
      </c>
      <c r="Q42" s="245" t="s">
        <v>5088</v>
      </c>
      <c r="R42" s="297">
        <f>IFERROR(RANK(VLOOKUP($G42,連買!$A:$D,4,0),連買!$D:$D,0),"'沒有資料'")</f>
        <v>580</v>
      </c>
      <c r="S42" s="34">
        <v>2.2000000000000002</v>
      </c>
      <c r="T42" s="353">
        <f>S42/V42</f>
        <v>2.4553571428571432E-2</v>
      </c>
      <c r="U42" s="57">
        <v>4.04</v>
      </c>
      <c r="V42" s="13">
        <v>89.6</v>
      </c>
      <c r="W42" s="66">
        <v>88</v>
      </c>
      <c r="X42" s="15">
        <f>V42-W42</f>
        <v>1.5999999999999943</v>
      </c>
      <c r="Y42" s="63">
        <f>X42/W42</f>
        <v>1.8181818181818118E-2</v>
      </c>
      <c r="Z42" s="413">
        <v>-4.51</v>
      </c>
      <c r="AA42" s="126"/>
      <c r="AD42" s="16" t="s">
        <v>4914</v>
      </c>
      <c r="AE42" s="84">
        <v>44644</v>
      </c>
      <c r="AF42" s="86">
        <v>44644</v>
      </c>
      <c r="AG42" s="33">
        <f>AF42-AE42</f>
        <v>0</v>
      </c>
      <c r="AH42" s="43" t="s">
        <v>2590</v>
      </c>
      <c r="AI42" s="63"/>
      <c r="AJ42" s="307"/>
      <c r="AK42" s="339"/>
      <c r="AM42" s="264"/>
      <c r="AN42" s="264"/>
    </row>
    <row r="43" spans="1:40">
      <c r="A43" s="130" t="s">
        <v>3167</v>
      </c>
      <c r="B43" s="93">
        <v>1610</v>
      </c>
      <c r="C43" s="93">
        <v>2987</v>
      </c>
      <c r="D43" s="80">
        <v>-2</v>
      </c>
      <c r="E43" s="79">
        <v>51</v>
      </c>
      <c r="F43" s="57">
        <v>31.91</v>
      </c>
      <c r="G43" s="79">
        <v>6485</v>
      </c>
      <c r="H43" s="17" t="s">
        <v>3254</v>
      </c>
      <c r="I43" s="16" t="s">
        <v>232</v>
      </c>
      <c r="J43" s="323">
        <v>10.130000000000001</v>
      </c>
      <c r="K43" s="73">
        <v>8.31</v>
      </c>
      <c r="L43" s="323">
        <v>62.83</v>
      </c>
      <c r="M43" s="323">
        <v>10.25</v>
      </c>
      <c r="N43" s="318">
        <f>J43+K43+L43+M43</f>
        <v>91.52</v>
      </c>
      <c r="O43" s="81">
        <f>IFERROR(VLOOKUP($G43,'321買'!A:E,3,0),"'沒有資料'")</f>
        <v>82</v>
      </c>
      <c r="P43" s="380">
        <f>IFERROR(VLOOKUP($G43,'321買'!$A:$G,7,0),"'沒有資料'")</f>
        <v>14</v>
      </c>
      <c r="Q43" s="245" t="s">
        <v>5088</v>
      </c>
      <c r="R43" s="297">
        <f>IFERROR(RANK(VLOOKUP($G43,連買!$A:$D,4,0),連買!$D:$D,0),"'沒有資料'")</f>
        <v>98</v>
      </c>
      <c r="S43" s="45">
        <v>5</v>
      </c>
      <c r="T43" s="353">
        <f>S43/V43</f>
        <v>3.2786885245901641E-2</v>
      </c>
      <c r="U43" s="95">
        <v>12.29</v>
      </c>
      <c r="V43" s="36">
        <v>152.5</v>
      </c>
      <c r="W43" s="66">
        <v>150</v>
      </c>
      <c r="X43" s="15">
        <f>V43-W43</f>
        <v>2.5</v>
      </c>
      <c r="Y43" s="63">
        <f>X43/W43</f>
        <v>1.6666666666666666E-2</v>
      </c>
      <c r="Z43" s="413">
        <v>-20.94</v>
      </c>
      <c r="AA43" s="126"/>
      <c r="AD43" s="16" t="s">
        <v>232</v>
      </c>
      <c r="AE43" s="84">
        <v>44644</v>
      </c>
      <c r="AF43" s="86">
        <v>44644</v>
      </c>
      <c r="AG43" s="33">
        <f>AF43-AE43</f>
        <v>0</v>
      </c>
      <c r="AH43" s="43" t="s">
        <v>2548</v>
      </c>
      <c r="AI43" s="63"/>
      <c r="AJ43" s="307"/>
      <c r="AK43" s="339"/>
      <c r="AM43" s="264"/>
      <c r="AN43" s="264"/>
    </row>
    <row r="44" spans="1:40">
      <c r="A44" s="130" t="s">
        <v>4331</v>
      </c>
      <c r="B44" s="79">
        <v>89</v>
      </c>
      <c r="C44" s="79">
        <v>88</v>
      </c>
      <c r="D44" s="79">
        <v>1</v>
      </c>
      <c r="E44" s="79">
        <v>1</v>
      </c>
      <c r="F44" s="57">
        <v>17.809999999999999</v>
      </c>
      <c r="G44" s="80">
        <v>3661</v>
      </c>
      <c r="H44" s="5" t="s">
        <v>3254</v>
      </c>
      <c r="I44" s="22" t="s">
        <v>4377</v>
      </c>
      <c r="J44" s="73">
        <v>29.45</v>
      </c>
      <c r="K44" s="73">
        <v>76.47</v>
      </c>
      <c r="L44" s="323">
        <v>11.99</v>
      </c>
      <c r="M44" s="73">
        <v>3.91</v>
      </c>
      <c r="N44" s="318">
        <f>J44+K44+L44+M44</f>
        <v>121.82</v>
      </c>
      <c r="O44" s="81">
        <f>IFERROR(VLOOKUP($G44,'321買'!A:E,3,0),"'沒有資料'")</f>
        <v>69</v>
      </c>
      <c r="P44" s="380">
        <f>IFERROR(VLOOKUP($G44,'321買'!$A:$G,7,0),"'沒有資料'")</f>
        <v>42</v>
      </c>
      <c r="Q44" s="245" t="s">
        <v>5088</v>
      </c>
      <c r="R44" s="297">
        <f>IFERROR(RANK(VLOOKUP($G44,連買!$A:$D,4,0),連買!$D:$D,0),"'沒有資料'")</f>
        <v>8</v>
      </c>
      <c r="S44" s="45">
        <v>10.59</v>
      </c>
      <c r="T44" s="353">
        <f t="shared" ref="T44" si="78">S44/V44</f>
        <v>1.0433497536945812E-2</v>
      </c>
      <c r="U44" s="95">
        <v>21.4</v>
      </c>
      <c r="V44" s="155">
        <v>1015</v>
      </c>
      <c r="W44" s="66">
        <v>999</v>
      </c>
      <c r="X44" s="141">
        <f t="shared" ref="X44" si="79">V44-W44</f>
        <v>16</v>
      </c>
      <c r="Y44" s="63">
        <f t="shared" ref="Y44" si="80">X44/W44</f>
        <v>1.6016016016016016E-2</v>
      </c>
      <c r="Z44" s="413">
        <v>-26.79</v>
      </c>
      <c r="AA44" s="126"/>
      <c r="AD44" s="22" t="s">
        <v>4377</v>
      </c>
      <c r="AE44" s="84">
        <v>44643</v>
      </c>
      <c r="AF44" s="83">
        <v>44644</v>
      </c>
      <c r="AG44" s="33">
        <f t="shared" ref="AG44" si="81">AF44-AE44</f>
        <v>1</v>
      </c>
      <c r="AH44" s="43" t="s">
        <v>3256</v>
      </c>
      <c r="AI44" s="63"/>
      <c r="AJ44" s="307"/>
      <c r="AK44" s="339"/>
      <c r="AM44" s="264"/>
      <c r="AN44" s="264"/>
    </row>
    <row r="45" spans="1:40">
      <c r="A45" s="146" t="s">
        <v>1810</v>
      </c>
      <c r="B45" s="79">
        <v>170</v>
      </c>
      <c r="C45" s="79">
        <v>170</v>
      </c>
      <c r="D45" s="79">
        <v>1</v>
      </c>
      <c r="E45" s="79">
        <v>41</v>
      </c>
      <c r="F45" s="6">
        <v>7.96</v>
      </c>
      <c r="G45" s="79">
        <v>4739</v>
      </c>
      <c r="H45" s="8" t="s">
        <v>3879</v>
      </c>
      <c r="I45" s="22" t="s">
        <v>3935</v>
      </c>
      <c r="J45" s="73">
        <v>32.950000000000003</v>
      </c>
      <c r="K45" s="73">
        <v>10.84</v>
      </c>
      <c r="L45" s="73">
        <v>34.5</v>
      </c>
      <c r="M45" s="323">
        <v>26.67</v>
      </c>
      <c r="N45" s="318">
        <f t="shared" ref="N45" si="82">J45+K45+L45+M45</f>
        <v>104.96000000000001</v>
      </c>
      <c r="O45" s="81">
        <f>IFERROR(VLOOKUP($G45,'321買'!A:E,3,0),"'沒有資料'")</f>
        <v>80</v>
      </c>
      <c r="P45" s="380">
        <f>IFERROR(VLOOKUP($G45,'321買'!$A:$G,7,0),"'沒有資料'")</f>
        <v>18</v>
      </c>
      <c r="Q45" s="245" t="s">
        <v>5088</v>
      </c>
      <c r="R45" s="297">
        <f>IFERROR(RANK(VLOOKUP($G45,連買!$A:$D,4,0),連買!$D:$D,0),"'沒有資料'")</f>
        <v>127</v>
      </c>
      <c r="S45" s="45">
        <v>3</v>
      </c>
      <c r="T45" s="353">
        <f t="shared" ref="T45" si="83">S45/V45</f>
        <v>1.8018018018018018E-2</v>
      </c>
      <c r="U45" s="95">
        <v>4.7</v>
      </c>
      <c r="V45" s="36">
        <v>166.5</v>
      </c>
      <c r="W45" s="66">
        <v>163.5</v>
      </c>
      <c r="X45" s="15">
        <f t="shared" ref="X45" si="84">V45-W45</f>
        <v>3</v>
      </c>
      <c r="Y45" s="63">
        <f t="shared" ref="Y45" si="85">X45/W45</f>
        <v>1.834862385321101E-2</v>
      </c>
      <c r="Z45" s="413">
        <v>-7.65</v>
      </c>
      <c r="AA45" s="126"/>
      <c r="AD45" s="22" t="s">
        <v>3935</v>
      </c>
      <c r="AE45" s="84">
        <v>44634</v>
      </c>
      <c r="AF45" s="83">
        <v>44644</v>
      </c>
      <c r="AG45" s="33">
        <f t="shared" ref="AG45" si="86">AF45-AE45</f>
        <v>10</v>
      </c>
      <c r="AH45" s="120" t="s">
        <v>2473</v>
      </c>
      <c r="AI45" s="63"/>
      <c r="AJ45" s="307"/>
      <c r="AK45" s="339"/>
      <c r="AM45" s="264"/>
      <c r="AN45" s="264"/>
    </row>
    <row r="46" spans="1:40">
      <c r="A46" s="130" t="s">
        <v>3146</v>
      </c>
      <c r="B46" s="79">
        <v>84</v>
      </c>
      <c r="C46" s="79">
        <v>110</v>
      </c>
      <c r="D46" s="79">
        <v>34</v>
      </c>
      <c r="E46" s="79">
        <v>33</v>
      </c>
      <c r="F46" s="57">
        <v>15</v>
      </c>
      <c r="G46" s="79">
        <v>6435</v>
      </c>
      <c r="H46" s="8" t="s">
        <v>3254</v>
      </c>
      <c r="I46" s="16" t="s">
        <v>4388</v>
      </c>
      <c r="J46" s="323">
        <v>43.41</v>
      </c>
      <c r="K46" s="323">
        <v>4.54</v>
      </c>
      <c r="L46" s="73">
        <v>32.18</v>
      </c>
      <c r="M46" s="73">
        <v>48.47</v>
      </c>
      <c r="N46" s="318">
        <f>J46+K46+L46+M46</f>
        <v>128.6</v>
      </c>
      <c r="O46" s="81">
        <f>IFERROR(VLOOKUP($G46,'321買'!A:E,3,0),"'沒有資料'")</f>
        <v>29</v>
      </c>
      <c r="P46" s="380">
        <f>IFERROR(VLOOKUP($G46,'321買'!$A:$G,7,0),"'沒有資料'")</f>
        <v>135</v>
      </c>
      <c r="Q46" s="245" t="s">
        <v>5088</v>
      </c>
      <c r="R46" s="297">
        <f>IFERROR(RANK(VLOOKUP($G46,連買!$A:$D,4,0),連買!$D:$D,0),"'沒有資料'")</f>
        <v>114</v>
      </c>
      <c r="S46" s="45">
        <v>5</v>
      </c>
      <c r="T46" s="353">
        <f>S46/V46</f>
        <v>3.1545741324921134E-2</v>
      </c>
      <c r="U46" s="95">
        <v>11.25</v>
      </c>
      <c r="V46" s="36">
        <v>158.5</v>
      </c>
      <c r="W46" s="66">
        <v>155</v>
      </c>
      <c r="X46" s="15">
        <f>V46-W46</f>
        <v>3.5</v>
      </c>
      <c r="Y46" s="63">
        <f>X46/W46</f>
        <v>2.2580645161290321E-2</v>
      </c>
      <c r="Z46" s="413">
        <v>-10.23</v>
      </c>
      <c r="AA46" s="126"/>
      <c r="AD46" s="16" t="s">
        <v>4388</v>
      </c>
      <c r="AE46" s="84">
        <v>44607</v>
      </c>
      <c r="AF46" s="83">
        <v>44643</v>
      </c>
      <c r="AG46" s="33">
        <f>AF46-AE46</f>
        <v>36</v>
      </c>
      <c r="AH46" s="43" t="s">
        <v>2344</v>
      </c>
      <c r="AI46" s="63"/>
      <c r="AJ46" s="307"/>
      <c r="AK46" s="339"/>
      <c r="AM46" s="264"/>
      <c r="AN46" s="264"/>
    </row>
    <row r="47" spans="1:40">
      <c r="A47" s="130" t="s">
        <v>2134</v>
      </c>
      <c r="B47" s="79">
        <v>249</v>
      </c>
      <c r="C47" s="79">
        <v>154</v>
      </c>
      <c r="D47" s="80">
        <v>-15</v>
      </c>
      <c r="E47" s="79">
        <v>19</v>
      </c>
      <c r="F47" s="57">
        <v>16.510000000000002</v>
      </c>
      <c r="G47" s="79">
        <v>3675</v>
      </c>
      <c r="H47" s="195" t="s">
        <v>3254</v>
      </c>
      <c r="I47" s="16" t="s">
        <v>367</v>
      </c>
      <c r="J47" s="323">
        <v>54.72</v>
      </c>
      <c r="K47" s="73">
        <v>66.78</v>
      </c>
      <c r="L47" s="323">
        <v>13.67</v>
      </c>
      <c r="M47" s="323">
        <v>54.85</v>
      </c>
      <c r="N47" s="73">
        <f>J47+K47+L47+M47</f>
        <v>190.01999999999998</v>
      </c>
      <c r="O47" s="81">
        <f>IFERROR(VLOOKUP($G47,'321買'!A:E,3,0),"'沒有資料'")</f>
        <v>60</v>
      </c>
      <c r="P47" s="380">
        <f>IFERROR(VLOOKUP($G47,'321買'!$A:$G,7,0),"'沒有資料'")</f>
        <v>49</v>
      </c>
      <c r="Q47" s="245" t="s">
        <v>5088</v>
      </c>
      <c r="R47" s="297">
        <f>IFERROR(RANK(VLOOKUP($G47,連買!$A:$D,4,0),連買!$D:$D,0),"'沒有資料'")</f>
        <v>62</v>
      </c>
      <c r="S47" s="45">
        <v>5</v>
      </c>
      <c r="T47" s="353">
        <f t="shared" ref="T47" si="87">S47/V47</f>
        <v>1.6977928692699491E-2</v>
      </c>
      <c r="U47" s="57">
        <v>7.36</v>
      </c>
      <c r="V47" s="13">
        <v>294.5</v>
      </c>
      <c r="W47" s="66">
        <v>288.5</v>
      </c>
      <c r="X47" s="15">
        <f t="shared" ref="X47" si="88">V47-W47</f>
        <v>6</v>
      </c>
      <c r="Y47" s="63">
        <f t="shared" ref="Y47" si="89">X47/W47</f>
        <v>2.0797227036395149E-2</v>
      </c>
      <c r="Z47" s="413">
        <v>-10.16</v>
      </c>
      <c r="AA47" s="126"/>
      <c r="AD47" s="16" t="s">
        <v>367</v>
      </c>
      <c r="AE47" s="84">
        <v>44638</v>
      </c>
      <c r="AF47" s="83">
        <v>44643</v>
      </c>
      <c r="AG47" s="33">
        <f t="shared" ref="AG47" si="90">AF47-AE47</f>
        <v>5</v>
      </c>
      <c r="AH47" s="43" t="s">
        <v>3129</v>
      </c>
      <c r="AI47" s="63"/>
      <c r="AJ47" s="307"/>
      <c r="AK47" s="339"/>
      <c r="AM47" s="264"/>
      <c r="AN47" s="264"/>
    </row>
    <row r="48" spans="1:40">
      <c r="A48" s="130" t="s">
        <v>1500</v>
      </c>
      <c r="B48" s="79">
        <v>119</v>
      </c>
      <c r="C48" s="79">
        <v>111</v>
      </c>
      <c r="D48" s="79">
        <v>30</v>
      </c>
      <c r="E48" s="79">
        <v>43</v>
      </c>
      <c r="F48" s="57">
        <v>24.41</v>
      </c>
      <c r="G48" s="79">
        <v>6187</v>
      </c>
      <c r="H48" s="5" t="s">
        <v>3579</v>
      </c>
      <c r="I48" s="16" t="s">
        <v>5023</v>
      </c>
      <c r="J48" s="73">
        <v>35.28</v>
      </c>
      <c r="K48" s="73">
        <v>25.79</v>
      </c>
      <c r="L48" s="73">
        <v>32.68</v>
      </c>
      <c r="M48" s="73">
        <v>20.57</v>
      </c>
      <c r="N48" s="318">
        <f>J48+K48+L48+M48</f>
        <v>114.32</v>
      </c>
      <c r="O48" s="81">
        <f>IFERROR(VLOOKUP($G48,'321買'!A:E,3,0),"'沒有資料'")</f>
        <v>57</v>
      </c>
      <c r="P48" s="380">
        <f>IFERROR(VLOOKUP($G48,'321買'!$A:$G,7,0),"'沒有資料'")</f>
        <v>45</v>
      </c>
      <c r="Q48" s="245" t="s">
        <v>5097</v>
      </c>
      <c r="R48" s="297">
        <f>IFERROR(RANK(VLOOKUP($G48,連買!$A:$D,4,0),連買!$D:$D,0),"'沒有資料'")</f>
        <v>64</v>
      </c>
      <c r="S48" s="45">
        <v>4.5</v>
      </c>
      <c r="T48" s="353">
        <f>S48/V48</f>
        <v>3.0612244897959183E-2</v>
      </c>
      <c r="U48" s="95">
        <v>6.37</v>
      </c>
      <c r="V48" s="36">
        <v>147</v>
      </c>
      <c r="W48" s="66">
        <v>144</v>
      </c>
      <c r="X48" s="15">
        <f>V48-W48</f>
        <v>3</v>
      </c>
      <c r="Y48" s="63">
        <f>X48/W48</f>
        <v>2.0833333333333332E-2</v>
      </c>
      <c r="Z48" s="413">
        <v>-13.31</v>
      </c>
      <c r="AA48" s="126"/>
      <c r="AD48" s="16" t="s">
        <v>5023</v>
      </c>
      <c r="AE48" s="84">
        <v>44638</v>
      </c>
      <c r="AF48" s="83">
        <v>44643</v>
      </c>
      <c r="AG48" s="33">
        <f>AF48-AE48</f>
        <v>5</v>
      </c>
      <c r="AH48" s="43" t="s">
        <v>2492</v>
      </c>
      <c r="AI48" s="63"/>
      <c r="AJ48" s="307"/>
      <c r="AK48" s="339"/>
      <c r="AM48" s="264"/>
      <c r="AN48" s="264"/>
    </row>
    <row r="49" spans="1:40">
      <c r="A49" s="130" t="s">
        <v>6555</v>
      </c>
      <c r="B49" s="79">
        <v>23</v>
      </c>
      <c r="C49" s="80">
        <v>-4</v>
      </c>
      <c r="D49" s="80">
        <v>-21</v>
      </c>
      <c r="E49" s="79">
        <v>52</v>
      </c>
      <c r="F49" s="57">
        <v>16.68</v>
      </c>
      <c r="G49" s="79">
        <v>8091</v>
      </c>
      <c r="H49" s="149" t="s">
        <v>310</v>
      </c>
      <c r="I49" s="16" t="s">
        <v>162</v>
      </c>
      <c r="J49" s="323">
        <v>25.47</v>
      </c>
      <c r="K49" s="73">
        <v>9.99</v>
      </c>
      <c r="L49" s="73">
        <v>21.42</v>
      </c>
      <c r="M49" s="73">
        <v>10.27</v>
      </c>
      <c r="N49" s="318">
        <f>J49+K49+L49+M49</f>
        <v>67.150000000000006</v>
      </c>
      <c r="O49" s="81">
        <f>IFERROR(VLOOKUP($G49,'321買'!A:E,3,0),"'沒有資料'")</f>
        <v>14</v>
      </c>
      <c r="P49" s="380">
        <f>IFERROR(VLOOKUP($G49,'321買'!$A:$G,7,0),"'沒有資料'")</f>
        <v>321</v>
      </c>
      <c r="Q49" s="245" t="s">
        <v>5088</v>
      </c>
      <c r="R49" s="297">
        <f>IFERROR(RANK(VLOOKUP($G49,連買!$A:$D,4,0),連買!$D:$D,0),"'沒有資料'")</f>
        <v>285</v>
      </c>
      <c r="S49" s="45">
        <v>4</v>
      </c>
      <c r="T49" s="353">
        <f>S49/V49</f>
        <v>4.1152263374485597E-2</v>
      </c>
      <c r="U49" s="95">
        <v>5.91</v>
      </c>
      <c r="V49" s="36">
        <v>97.2</v>
      </c>
      <c r="W49" s="66">
        <v>95.2</v>
      </c>
      <c r="X49" s="15">
        <f>V49-W49</f>
        <v>2</v>
      </c>
      <c r="Y49" s="63">
        <f>X49/W49</f>
        <v>2.1008403361344536E-2</v>
      </c>
      <c r="Z49" s="413">
        <v>-2.88</v>
      </c>
      <c r="AA49" s="126"/>
      <c r="AD49" s="16" t="s">
        <v>162</v>
      </c>
      <c r="AE49" s="84">
        <v>44643</v>
      </c>
      <c r="AF49" s="86">
        <v>44643</v>
      </c>
      <c r="AG49" s="33">
        <f>AF49-AE49</f>
        <v>0</v>
      </c>
      <c r="AH49" s="120" t="s">
        <v>2611</v>
      </c>
      <c r="AI49" s="63"/>
      <c r="AJ49" s="307"/>
      <c r="AK49" s="339"/>
      <c r="AM49" s="264"/>
      <c r="AN49" s="264"/>
    </row>
    <row r="50" spans="1:40">
      <c r="A50" s="130" t="s">
        <v>1507</v>
      </c>
      <c r="B50" s="79">
        <v>164</v>
      </c>
      <c r="C50" s="79">
        <v>92</v>
      </c>
      <c r="D50" s="80">
        <v>-9</v>
      </c>
      <c r="E50" s="79">
        <v>14</v>
      </c>
      <c r="F50" s="57">
        <v>11.14</v>
      </c>
      <c r="G50" s="79">
        <v>8255</v>
      </c>
      <c r="H50" s="8" t="s">
        <v>297</v>
      </c>
      <c r="I50" s="16" t="s">
        <v>3899</v>
      </c>
      <c r="J50" s="73">
        <v>46.26</v>
      </c>
      <c r="K50" s="73">
        <v>15.63</v>
      </c>
      <c r="L50" s="323">
        <v>15.89</v>
      </c>
      <c r="M50" s="323">
        <v>38.869999999999997</v>
      </c>
      <c r="N50" s="318">
        <f>J50+K50+L50+M50</f>
        <v>116.65</v>
      </c>
      <c r="O50" s="81">
        <f>IFERROR(VLOOKUP($G50,'321買'!A:E,3,0),"'沒有資料'")</f>
        <v>76</v>
      </c>
      <c r="P50" s="380">
        <f>IFERROR(VLOOKUP($G50,'321買'!$A:$G,7,0),"'沒有資料'")</f>
        <v>25</v>
      </c>
      <c r="Q50" s="245" t="s">
        <v>5097</v>
      </c>
      <c r="R50" s="297">
        <f>IFERROR(RANK(VLOOKUP($G50,連買!$A:$D,4,0),連買!$D:$D,0),"'沒有資料'")</f>
        <v>58</v>
      </c>
      <c r="S50" s="45">
        <v>4</v>
      </c>
      <c r="T50" s="353">
        <f>S50/V50</f>
        <v>1.6064257028112448E-2</v>
      </c>
      <c r="U50" s="95">
        <v>5.25</v>
      </c>
      <c r="V50" s="36">
        <v>249</v>
      </c>
      <c r="W50" s="66">
        <v>245</v>
      </c>
      <c r="X50" s="15">
        <f>V50-W50</f>
        <v>4</v>
      </c>
      <c r="Y50" s="63">
        <f>X50/W50</f>
        <v>1.6326530612244899E-2</v>
      </c>
      <c r="Z50" s="413">
        <v>-18.86</v>
      </c>
      <c r="AA50" s="126"/>
      <c r="AD50" s="16" t="s">
        <v>3899</v>
      </c>
      <c r="AE50" s="84">
        <v>44641</v>
      </c>
      <c r="AF50" s="83">
        <v>44642</v>
      </c>
      <c r="AG50" s="33">
        <f>AF50-AE50</f>
        <v>1</v>
      </c>
      <c r="AH50" s="120" t="s">
        <v>2524</v>
      </c>
      <c r="AI50" s="63"/>
      <c r="AJ50" s="307"/>
      <c r="AK50" s="339"/>
      <c r="AM50" s="264"/>
      <c r="AN50" s="264"/>
    </row>
    <row r="51" spans="1:40">
      <c r="A51" s="130" t="s">
        <v>3641</v>
      </c>
      <c r="B51" s="79">
        <v>364</v>
      </c>
      <c r="C51" s="79">
        <v>408</v>
      </c>
      <c r="D51" s="80">
        <v>-7</v>
      </c>
      <c r="E51" s="79">
        <v>9</v>
      </c>
      <c r="F51" s="57">
        <v>24.64</v>
      </c>
      <c r="G51" s="79">
        <v>3006</v>
      </c>
      <c r="H51" s="8" t="s">
        <v>3254</v>
      </c>
      <c r="I51" s="22" t="s">
        <v>95</v>
      </c>
      <c r="J51" s="323">
        <v>39.65</v>
      </c>
      <c r="K51" s="73">
        <v>26.74</v>
      </c>
      <c r="L51" s="323">
        <v>54.67</v>
      </c>
      <c r="M51" s="323">
        <v>5.75</v>
      </c>
      <c r="N51" s="318">
        <f t="shared" ref="N51" si="91">J51+K51+L51+M51</f>
        <v>126.81</v>
      </c>
      <c r="O51" s="81">
        <f>IFERROR(VLOOKUP($G51,'321買'!A:E,3,0),"'沒有資料'")</f>
        <v>78</v>
      </c>
      <c r="P51" s="380">
        <f>IFERROR(VLOOKUP($G51,'321買'!$A:$G,7,0),"'沒有資料'")</f>
        <v>13</v>
      </c>
      <c r="Q51" s="245" t="s">
        <v>5097</v>
      </c>
      <c r="R51" s="297">
        <f>IFERROR(RANK(VLOOKUP($G51,連買!$A:$D,4,0),連買!$D:$D,0),"'沒有資料'")</f>
        <v>74</v>
      </c>
      <c r="S51" s="45">
        <v>8</v>
      </c>
      <c r="T51" s="353">
        <f t="shared" ref="T51" si="92">S51/V51</f>
        <v>4.4444444444444446E-2</v>
      </c>
      <c r="U51" s="95">
        <v>17.760000000000002</v>
      </c>
      <c r="V51" s="36">
        <v>180</v>
      </c>
      <c r="W51" s="66">
        <v>175.5</v>
      </c>
      <c r="X51" s="15">
        <f t="shared" ref="X51" si="93">V51-W51</f>
        <v>4.5</v>
      </c>
      <c r="Y51" s="63">
        <f t="shared" ref="Y51" si="94">X51/W51</f>
        <v>2.564102564102564E-2</v>
      </c>
      <c r="Z51" s="413">
        <v>-18.309999999999999</v>
      </c>
      <c r="AA51" s="126"/>
      <c r="AD51" s="22" t="s">
        <v>95</v>
      </c>
      <c r="AE51" s="84">
        <v>44638</v>
      </c>
      <c r="AF51" s="83">
        <v>44641</v>
      </c>
      <c r="AG51" s="33">
        <f t="shared" ref="AG51" si="95">AF51-AE51</f>
        <v>3</v>
      </c>
      <c r="AH51" s="120" t="s">
        <v>2289</v>
      </c>
      <c r="AI51" s="63"/>
      <c r="AJ51" s="307"/>
      <c r="AK51" s="339"/>
      <c r="AM51" s="264"/>
      <c r="AN51" s="264"/>
    </row>
    <row r="52" spans="1:40">
      <c r="A52" s="130" t="s">
        <v>1743</v>
      </c>
      <c r="B52" s="79">
        <v>231</v>
      </c>
      <c r="C52" s="79">
        <v>245</v>
      </c>
      <c r="D52" s="80">
        <v>-6</v>
      </c>
      <c r="E52" s="79">
        <v>28</v>
      </c>
      <c r="F52" s="57">
        <v>19.72</v>
      </c>
      <c r="G52" s="79">
        <v>8261</v>
      </c>
      <c r="H52" s="8" t="s">
        <v>3254</v>
      </c>
      <c r="I52" s="22" t="s">
        <v>324</v>
      </c>
      <c r="J52" s="323">
        <v>20.010000000000002</v>
      </c>
      <c r="K52" s="73">
        <v>15.97</v>
      </c>
      <c r="L52" s="73">
        <v>47.56</v>
      </c>
      <c r="M52" s="323">
        <v>13.85</v>
      </c>
      <c r="N52" s="318">
        <f>J52+K52+L52+M52</f>
        <v>97.39</v>
      </c>
      <c r="O52" s="81">
        <f>IFERROR(VLOOKUP($G52,'321買'!A:E,3,0),"'沒有資料'")</f>
        <v>73</v>
      </c>
      <c r="P52" s="380">
        <f>IFERROR(VLOOKUP($G52,'321買'!$A:$G,7,0),"'沒有資料'")</f>
        <v>28</v>
      </c>
      <c r="Q52" s="245" t="s">
        <v>5088</v>
      </c>
      <c r="R52" s="297">
        <f>IFERROR(RANK(VLOOKUP($G52,連買!$A:$D,4,0),連買!$D:$D,0),"'沒有資料'")</f>
        <v>180</v>
      </c>
      <c r="S52" s="45">
        <v>6</v>
      </c>
      <c r="T52" s="353">
        <f>S52/V52</f>
        <v>5.2173913043478258E-2</v>
      </c>
      <c r="U52" s="95">
        <v>8.0299999999999994</v>
      </c>
      <c r="V52" s="36">
        <v>115</v>
      </c>
      <c r="W52" s="66">
        <v>111.5</v>
      </c>
      <c r="X52" s="15">
        <f>V52-W52</f>
        <v>3.5</v>
      </c>
      <c r="Y52" s="63">
        <f>X52/W52</f>
        <v>3.1390134529147982E-2</v>
      </c>
      <c r="Z52" s="413">
        <v>-18.25</v>
      </c>
      <c r="AA52" s="126"/>
      <c r="AD52" s="22" t="s">
        <v>324</v>
      </c>
      <c r="AE52" s="84">
        <v>44638</v>
      </c>
      <c r="AF52" s="83">
        <v>44641</v>
      </c>
      <c r="AG52" s="33">
        <f>AF52-AE52</f>
        <v>3</v>
      </c>
      <c r="AH52" s="43" t="s">
        <v>2345</v>
      </c>
      <c r="AI52" s="63"/>
      <c r="AJ52" s="307"/>
      <c r="AK52" s="339"/>
      <c r="AM52" s="264"/>
      <c r="AN52" s="264"/>
    </row>
    <row r="53" spans="1:40">
      <c r="A53" s="130" t="s">
        <v>1507</v>
      </c>
      <c r="B53" s="79">
        <v>164</v>
      </c>
      <c r="C53" s="79">
        <v>92</v>
      </c>
      <c r="D53" s="80">
        <v>-9</v>
      </c>
      <c r="E53" s="79">
        <v>14</v>
      </c>
      <c r="F53" s="57">
        <v>11.14</v>
      </c>
      <c r="G53" s="79">
        <v>8255</v>
      </c>
      <c r="H53" s="8" t="s">
        <v>297</v>
      </c>
      <c r="I53" s="16" t="s">
        <v>3899</v>
      </c>
      <c r="J53" s="73">
        <v>46.07</v>
      </c>
      <c r="K53" s="73">
        <v>14.17</v>
      </c>
      <c r="L53" s="73">
        <v>16.98</v>
      </c>
      <c r="M53" s="323">
        <v>38.869999999999997</v>
      </c>
      <c r="N53" s="318">
        <f>J53+K53+L53+M53</f>
        <v>116.09</v>
      </c>
      <c r="O53" s="81">
        <f>IFERROR(VLOOKUP($G53,'321買'!A:E,3,0),"'沒有資料'")</f>
        <v>76</v>
      </c>
      <c r="P53" s="380">
        <f>IFERROR(VLOOKUP($G53,'321買'!$A:$G,7,0),"'沒有資料'")</f>
        <v>25</v>
      </c>
      <c r="Q53" s="245" t="s">
        <v>5088</v>
      </c>
      <c r="R53" s="297">
        <f>IFERROR(RANK(VLOOKUP($G53,連買!$A:$D,4,0),連買!$D:$D,0),"'沒有資料'")</f>
        <v>58</v>
      </c>
      <c r="S53" s="45">
        <v>4</v>
      </c>
      <c r="T53" s="353">
        <f>S53/V53</f>
        <v>1.6427104722792608E-2</v>
      </c>
      <c r="U53" s="95">
        <v>3.09</v>
      </c>
      <c r="V53" s="36">
        <v>243.5</v>
      </c>
      <c r="W53" s="66">
        <v>233.5</v>
      </c>
      <c r="X53" s="15">
        <f>V53-W53</f>
        <v>10</v>
      </c>
      <c r="Y53" s="63">
        <f>X53/W53</f>
        <v>4.2826552462526764E-2</v>
      </c>
      <c r="Z53" s="413">
        <v>-22.39</v>
      </c>
      <c r="AA53" s="126"/>
      <c r="AD53" s="16" t="s">
        <v>3899</v>
      </c>
      <c r="AE53" s="84">
        <v>44638</v>
      </c>
      <c r="AF53" s="83">
        <v>44641</v>
      </c>
      <c r="AG53" s="33">
        <f>AF53-AE53</f>
        <v>3</v>
      </c>
      <c r="AH53" s="120" t="s">
        <v>2524</v>
      </c>
      <c r="AI53" s="63"/>
      <c r="AJ53" s="307"/>
      <c r="AK53" s="339"/>
      <c r="AM53" s="264"/>
      <c r="AN53" s="264"/>
    </row>
    <row r="54" spans="1:40">
      <c r="A54" s="130" t="s">
        <v>3156</v>
      </c>
      <c r="B54" s="79">
        <v>71</v>
      </c>
      <c r="C54" s="79">
        <v>65</v>
      </c>
      <c r="D54" s="80">
        <v>-20</v>
      </c>
      <c r="E54" s="79">
        <v>30</v>
      </c>
      <c r="F54" s="57">
        <v>16.79</v>
      </c>
      <c r="G54" s="79">
        <v>6438</v>
      </c>
      <c r="H54" s="8" t="s">
        <v>316</v>
      </c>
      <c r="I54" s="22" t="s">
        <v>486</v>
      </c>
      <c r="J54" s="73">
        <v>23.65</v>
      </c>
      <c r="K54" s="73">
        <v>24.69</v>
      </c>
      <c r="L54" s="323">
        <v>33.409999999999997</v>
      </c>
      <c r="M54" s="73">
        <v>13.6</v>
      </c>
      <c r="N54" s="318">
        <f t="shared" ref="N54" si="96">J54+K54+L54+M54</f>
        <v>95.35</v>
      </c>
      <c r="O54" s="81">
        <f>IFERROR(VLOOKUP($G54,'321買'!A:E,3,0),"'沒有資料'")</f>
        <v>44</v>
      </c>
      <c r="P54" s="380">
        <f>IFERROR(VLOOKUP($G54,'321買'!$A:$G,7,0),"'沒有資料'")</f>
        <v>98</v>
      </c>
      <c r="Q54" s="245" t="s">
        <v>5088</v>
      </c>
      <c r="R54" s="297">
        <f>IFERROR(RANK(VLOOKUP($G54,連買!$A:$D,4,0),連買!$D:$D,0),"'沒有資料'")</f>
        <v>133</v>
      </c>
      <c r="S54" s="45">
        <v>6.5</v>
      </c>
      <c r="T54" s="353">
        <f>S54/V54</f>
        <v>5.078125E-2</v>
      </c>
      <c r="U54" s="95">
        <v>10.36</v>
      </c>
      <c r="V54" s="36">
        <v>128</v>
      </c>
      <c r="W54" s="66">
        <v>123</v>
      </c>
      <c r="X54" s="15">
        <f>V54-W54</f>
        <v>5</v>
      </c>
      <c r="Y54" s="63">
        <f>X54/W54</f>
        <v>4.065040650406504E-2</v>
      </c>
      <c r="Z54" s="413">
        <v>-7.58</v>
      </c>
      <c r="AA54" s="264"/>
      <c r="AD54" s="22" t="s">
        <v>486</v>
      </c>
      <c r="AE54" s="84">
        <v>44638</v>
      </c>
      <c r="AF54" s="83">
        <v>44641</v>
      </c>
      <c r="AG54" s="33">
        <f>AF54-AE54</f>
        <v>3</v>
      </c>
      <c r="AH54" s="43" t="s">
        <v>2492</v>
      </c>
      <c r="AI54" s="63"/>
      <c r="AJ54" s="307"/>
      <c r="AK54" s="339"/>
      <c r="AM54" s="264"/>
      <c r="AN54" s="264"/>
    </row>
    <row r="55" spans="1:40">
      <c r="A55" s="130" t="s">
        <v>6563</v>
      </c>
      <c r="B55" s="80">
        <v>-39</v>
      </c>
      <c r="C55" s="80">
        <v>-40</v>
      </c>
      <c r="D55" s="79">
        <v>-26</v>
      </c>
      <c r="E55" s="79">
        <v>60</v>
      </c>
      <c r="F55" s="57">
        <v>16.149999999999999</v>
      </c>
      <c r="G55" s="79">
        <v>6515</v>
      </c>
      <c r="H55" s="8" t="s">
        <v>3254</v>
      </c>
      <c r="I55" s="22" t="s">
        <v>2445</v>
      </c>
      <c r="J55" s="323">
        <v>30.28</v>
      </c>
      <c r="K55" s="73">
        <v>16.309999999999999</v>
      </c>
      <c r="L55" s="73">
        <v>11.48</v>
      </c>
      <c r="M55" s="323">
        <v>21.3</v>
      </c>
      <c r="N55" s="318">
        <f t="shared" ref="N55" si="97">J55+K55+L55+M55</f>
        <v>79.37</v>
      </c>
      <c r="O55" s="81">
        <f>IFERROR(VLOOKUP($G55,'321買'!A:E,3,0),"'沒有資料'")</f>
        <v>37</v>
      </c>
      <c r="P55" s="380">
        <f>IFERROR(VLOOKUP($G55,'321買'!$A:$G,7,0),"'沒有資料'")</f>
        <v>117</v>
      </c>
      <c r="Q55" s="245" t="s">
        <v>5097</v>
      </c>
      <c r="R55" s="297">
        <f>IFERROR(RANK(VLOOKUP($G55,連買!$A:$D,4,0),連買!$D:$D,0),"'沒有資料'")</f>
        <v>18</v>
      </c>
      <c r="S55" s="45">
        <v>11</v>
      </c>
      <c r="T55" s="353">
        <f t="shared" ref="T55" si="98">S55/V55</f>
        <v>2.430939226519337E-2</v>
      </c>
      <c r="U55" s="95">
        <v>11.24</v>
      </c>
      <c r="V55" s="36">
        <v>452.5</v>
      </c>
      <c r="W55" s="66">
        <v>431</v>
      </c>
      <c r="X55" s="15">
        <f t="shared" ref="X55" si="99">V55-W55</f>
        <v>21.5</v>
      </c>
      <c r="Y55" s="63">
        <f t="shared" ref="Y55" si="100">X55/W55</f>
        <v>4.9883990719257539E-2</v>
      </c>
      <c r="Z55" s="413">
        <v>-3.46</v>
      </c>
      <c r="AA55" s="126"/>
      <c r="AD55" s="22" t="s">
        <v>2445</v>
      </c>
      <c r="AE55" s="84">
        <v>44638</v>
      </c>
      <c r="AF55" s="83">
        <v>44641</v>
      </c>
      <c r="AG55" s="33">
        <f t="shared" ref="AG55" si="101">AF55-AE55</f>
        <v>3</v>
      </c>
      <c r="AH55" s="120" t="s">
        <v>2447</v>
      </c>
      <c r="AI55" s="63"/>
      <c r="AJ55" s="307"/>
      <c r="AK55" s="339"/>
      <c r="AM55" s="264"/>
      <c r="AN55" s="264"/>
    </row>
    <row r="56" spans="1:40">
      <c r="A56" s="130" t="s">
        <v>3156</v>
      </c>
      <c r="B56" s="79">
        <v>71</v>
      </c>
      <c r="C56" s="79">
        <v>65</v>
      </c>
      <c r="D56" s="80">
        <v>-20</v>
      </c>
      <c r="E56" s="79">
        <v>30</v>
      </c>
      <c r="F56" s="57">
        <v>16.79</v>
      </c>
      <c r="G56" s="79">
        <v>6438</v>
      </c>
      <c r="H56" s="8" t="s">
        <v>316</v>
      </c>
      <c r="I56" s="22" t="s">
        <v>486</v>
      </c>
      <c r="J56" s="73">
        <v>23.97</v>
      </c>
      <c r="K56" s="73">
        <v>26.05</v>
      </c>
      <c r="L56" s="323">
        <v>32.92</v>
      </c>
      <c r="M56" s="73">
        <v>13.6</v>
      </c>
      <c r="N56" s="318">
        <f>J56+K56+L56+M56</f>
        <v>96.539999999999992</v>
      </c>
      <c r="O56" s="81">
        <f>IFERROR(VLOOKUP($G56,'321買'!A:E,3,0),"'沒有資料'")</f>
        <v>44</v>
      </c>
      <c r="P56" s="380">
        <f>IFERROR(VLOOKUP($G56,'321買'!$A:$G,7,0),"'沒有資料'")</f>
        <v>98</v>
      </c>
      <c r="Q56" s="245" t="s">
        <v>5088</v>
      </c>
      <c r="R56" s="297">
        <f>IFERROR(RANK(VLOOKUP($G56,連買!$A:$D,4,0),連買!$D:$D,0),"'沒有資料'")</f>
        <v>133</v>
      </c>
      <c r="S56" s="45">
        <v>6.5</v>
      </c>
      <c r="T56" s="353">
        <f>S56/V56</f>
        <v>4.924242424242424E-2</v>
      </c>
      <c r="U56" s="95">
        <v>10.36</v>
      </c>
      <c r="V56" s="36">
        <v>132</v>
      </c>
      <c r="W56" s="66">
        <v>129.5</v>
      </c>
      <c r="X56" s="15">
        <f>V56-W56</f>
        <v>2.5</v>
      </c>
      <c r="Y56" s="63">
        <f>X56/W56</f>
        <v>1.9305019305019305E-2</v>
      </c>
      <c r="Z56" s="413">
        <v>-5.3</v>
      </c>
      <c r="AA56" s="264"/>
      <c r="AD56" s="22" t="s">
        <v>486</v>
      </c>
      <c r="AE56" s="84">
        <v>44641</v>
      </c>
      <c r="AF56" s="86">
        <v>44641</v>
      </c>
      <c r="AG56" s="33">
        <f>AF56-AE56</f>
        <v>0</v>
      </c>
      <c r="AH56" s="43" t="s">
        <v>2492</v>
      </c>
      <c r="AI56" s="63"/>
      <c r="AJ56" s="307"/>
      <c r="AK56" s="339"/>
      <c r="AM56" s="264"/>
      <c r="AN56" s="264"/>
    </row>
    <row r="57" spans="1:40">
      <c r="A57" s="130" t="s">
        <v>1882</v>
      </c>
      <c r="B57" s="79">
        <v>179</v>
      </c>
      <c r="C57" s="79">
        <v>203</v>
      </c>
      <c r="D57" s="80">
        <v>-19</v>
      </c>
      <c r="E57" s="79">
        <v>49</v>
      </c>
      <c r="F57" s="57">
        <v>19.670000000000002</v>
      </c>
      <c r="G57" s="79">
        <v>3624</v>
      </c>
      <c r="H57" s="8" t="s">
        <v>310</v>
      </c>
      <c r="I57" s="16" t="s">
        <v>4914</v>
      </c>
      <c r="J57" s="73">
        <v>58.02</v>
      </c>
      <c r="K57" s="73">
        <v>57.53</v>
      </c>
      <c r="L57" s="73">
        <v>23.2</v>
      </c>
      <c r="M57" s="323">
        <v>42.24</v>
      </c>
      <c r="N57" s="73">
        <f>J57+K57+L57+M57</f>
        <v>180.99</v>
      </c>
      <c r="O57" s="81">
        <f>IFERROR(VLOOKUP($G57,'321買'!A:E,3,0),"'沒有資料'")</f>
        <v>57</v>
      </c>
      <c r="P57" s="380">
        <f>IFERROR(VLOOKUP($G57,'321買'!$A:$G,7,0),"'沒有資料'")</f>
        <v>35</v>
      </c>
      <c r="Q57" s="245" t="s">
        <v>5097</v>
      </c>
      <c r="R57" s="297">
        <f>IFERROR(RANK(VLOOKUP($G57,連買!$A:$D,4,0),連買!$D:$D,0),"'沒有資料'")</f>
        <v>580</v>
      </c>
      <c r="S57" s="34">
        <v>2.2000000000000002</v>
      </c>
      <c r="T57" s="353">
        <f>S57/V57</f>
        <v>2.5056947608200458E-2</v>
      </c>
      <c r="U57" s="57">
        <v>4.04</v>
      </c>
      <c r="V57" s="13">
        <v>87.8</v>
      </c>
      <c r="W57" s="66">
        <v>86.2</v>
      </c>
      <c r="X57" s="15">
        <f>V57-W57</f>
        <v>1.5999999999999943</v>
      </c>
      <c r="Y57" s="63">
        <f>X57/W57</f>
        <v>1.8561484918793437E-2</v>
      </c>
      <c r="Z57" s="413">
        <v>-9.8699999999999992</v>
      </c>
      <c r="AA57" s="126"/>
      <c r="AD57" s="16" t="s">
        <v>4914</v>
      </c>
      <c r="AE57" s="84">
        <v>44641</v>
      </c>
      <c r="AF57" s="86">
        <v>44641</v>
      </c>
      <c r="AG57" s="33">
        <f>AF57-AE57</f>
        <v>0</v>
      </c>
      <c r="AH57" s="43" t="s">
        <v>2590</v>
      </c>
      <c r="AI57" s="63"/>
      <c r="AJ57" s="307"/>
      <c r="AK57" s="339"/>
      <c r="AM57" s="264"/>
      <c r="AN57" s="264"/>
    </row>
    <row r="58" spans="1:40">
      <c r="A58" s="130" t="s">
        <v>2469</v>
      </c>
      <c r="B58" s="79">
        <v>64</v>
      </c>
      <c r="C58" s="79">
        <v>6</v>
      </c>
      <c r="D58" s="80">
        <v>-13</v>
      </c>
      <c r="E58" s="79">
        <v>7</v>
      </c>
      <c r="F58" s="57">
        <v>11.41</v>
      </c>
      <c r="G58" s="80">
        <v>3491</v>
      </c>
      <c r="H58" s="5" t="s">
        <v>313</v>
      </c>
      <c r="I58" s="16" t="s">
        <v>4700</v>
      </c>
      <c r="J58" s="323">
        <v>19.09</v>
      </c>
      <c r="K58" s="323">
        <v>14.15</v>
      </c>
      <c r="L58" s="73">
        <v>31.08</v>
      </c>
      <c r="M58" s="323">
        <v>10.39</v>
      </c>
      <c r="N58" s="318">
        <f>J58+K58+L58+M58</f>
        <v>74.709999999999994</v>
      </c>
      <c r="O58" s="81">
        <f>IFERROR(VLOOKUP($G58,'321買'!A:E,3,0),"'沒有資料'")</f>
        <v>60</v>
      </c>
      <c r="P58" s="380">
        <f>IFERROR(VLOOKUP($G58,'321買'!$A:$G,7,0),"'沒有資料'")</f>
        <v>38</v>
      </c>
      <c r="Q58" s="245" t="s">
        <v>5088</v>
      </c>
      <c r="R58" s="297">
        <f>IFERROR(RANK(VLOOKUP($G58,連買!$A:$D,4,0),連買!$D:$D,0),"'沒有資料'")</f>
        <v>77</v>
      </c>
      <c r="S58" s="34">
        <v>2.5</v>
      </c>
      <c r="T58" s="353">
        <f>S58/V58</f>
        <v>1.4326647564469915E-2</v>
      </c>
      <c r="U58" s="95">
        <v>3.19</v>
      </c>
      <c r="V58" s="36">
        <v>174.5</v>
      </c>
      <c r="W58" s="66">
        <v>171.5</v>
      </c>
      <c r="X58" s="15">
        <f>V58-W58</f>
        <v>3</v>
      </c>
      <c r="Y58" s="63">
        <f>X58/W58</f>
        <v>1.7492711370262391E-2</v>
      </c>
      <c r="Z58" s="413">
        <v>-26.64</v>
      </c>
      <c r="AA58" s="126"/>
      <c r="AD58" s="16" t="s">
        <v>4700</v>
      </c>
      <c r="AE58" s="84">
        <v>44602</v>
      </c>
      <c r="AF58" s="83">
        <v>44641</v>
      </c>
      <c r="AG58" s="33">
        <f>AF58-AE58</f>
        <v>39</v>
      </c>
      <c r="AH58" s="120" t="s">
        <v>4701</v>
      </c>
      <c r="AI58" s="63"/>
      <c r="AJ58" s="307"/>
      <c r="AK58" s="339"/>
      <c r="AM58" s="264"/>
      <c r="AN58" s="264"/>
    </row>
    <row r="59" spans="1:40">
      <c r="A59" s="130" t="s">
        <v>1700</v>
      </c>
      <c r="B59" s="79">
        <v>403</v>
      </c>
      <c r="C59" s="79">
        <v>840</v>
      </c>
      <c r="D59" s="80">
        <v>-1</v>
      </c>
      <c r="E59" s="79">
        <v>122</v>
      </c>
      <c r="F59" s="57">
        <v>17.34</v>
      </c>
      <c r="G59" s="79">
        <v>3035</v>
      </c>
      <c r="H59" s="5" t="s">
        <v>3254</v>
      </c>
      <c r="I59" s="22" t="s">
        <v>1926</v>
      </c>
      <c r="J59" s="323">
        <v>48.65</v>
      </c>
      <c r="K59" s="73">
        <v>49.71</v>
      </c>
      <c r="L59" s="323">
        <v>14.55</v>
      </c>
      <c r="M59" s="323">
        <v>14.35</v>
      </c>
      <c r="N59" s="318">
        <f>J59+K59+L59+M59</f>
        <v>127.25999999999999</v>
      </c>
      <c r="O59" s="81">
        <f>IFERROR(VLOOKUP($G59,'321買'!A:E,3,0),"'沒有資料'")</f>
        <v>125</v>
      </c>
      <c r="P59" s="380">
        <f>IFERROR(VLOOKUP($G59,'321買'!$A:$G,7,0),"'沒有資料'")</f>
        <v>5</v>
      </c>
      <c r="Q59" s="245" t="s">
        <v>5088</v>
      </c>
      <c r="R59" s="297">
        <f>IFERROR(RANK(VLOOKUP($G59,連買!$A:$D,4,0),連買!$D:$D,0),"'沒有資料'")</f>
        <v>117</v>
      </c>
      <c r="S59" s="45">
        <v>3.3</v>
      </c>
      <c r="T59" s="353">
        <f>S59/V59</f>
        <v>1.1764705882352941E-2</v>
      </c>
      <c r="U59" s="95">
        <v>2.82</v>
      </c>
      <c r="V59" s="13">
        <v>280.5</v>
      </c>
      <c r="W59" s="66">
        <v>275.5</v>
      </c>
      <c r="X59" s="15">
        <f>V59-W59</f>
        <v>5</v>
      </c>
      <c r="Y59" s="63">
        <f>X59/W59</f>
        <v>1.8148820326678767E-2</v>
      </c>
      <c r="Z59" s="413">
        <v>-16.16</v>
      </c>
      <c r="AA59" s="126"/>
      <c r="AD59" s="22" t="s">
        <v>1926</v>
      </c>
      <c r="AE59" s="84">
        <v>44638</v>
      </c>
      <c r="AF59" s="83">
        <v>44641</v>
      </c>
      <c r="AG59" s="33">
        <f>AF59-AE59</f>
        <v>3</v>
      </c>
      <c r="AH59" s="120" t="s">
        <v>2498</v>
      </c>
      <c r="AI59" s="63"/>
      <c r="AJ59" s="307"/>
      <c r="AK59" s="339"/>
      <c r="AM59" s="264"/>
      <c r="AN59" s="264"/>
    </row>
    <row r="60" spans="1:40">
      <c r="A60" s="130" t="s">
        <v>2364</v>
      </c>
      <c r="B60" s="79">
        <v>23</v>
      </c>
      <c r="C60" s="79">
        <v>31</v>
      </c>
      <c r="D60" s="80">
        <v>-10</v>
      </c>
      <c r="E60" s="79">
        <v>160</v>
      </c>
      <c r="F60" s="57">
        <v>18.86</v>
      </c>
      <c r="G60" s="79">
        <v>6104</v>
      </c>
      <c r="H60" s="149" t="s">
        <v>3254</v>
      </c>
      <c r="I60" s="16" t="s">
        <v>374</v>
      </c>
      <c r="J60" s="323">
        <v>19.96</v>
      </c>
      <c r="K60" s="73">
        <v>28.32</v>
      </c>
      <c r="L60" s="73">
        <v>57.5</v>
      </c>
      <c r="M60" s="73">
        <v>8.69</v>
      </c>
      <c r="N60" s="318">
        <f>J60+K60+L60+M60</f>
        <v>114.47</v>
      </c>
      <c r="O60" s="81">
        <f>IFERROR(VLOOKUP($G60,'321買'!A:E,3,0),"'沒有資料'")</f>
        <v>116</v>
      </c>
      <c r="P60" s="380">
        <f>IFERROR(VLOOKUP($G60,'321買'!$A:$G,7,0),"'沒有資料'")</f>
        <v>2</v>
      </c>
      <c r="Q60" s="245" t="s">
        <v>5097</v>
      </c>
      <c r="R60" s="297">
        <f>IFERROR(RANK(VLOOKUP($G60,連買!$A:$D,4,0),連買!$D:$D,0),"'沒有資料'")</f>
        <v>90</v>
      </c>
      <c r="S60" s="45">
        <v>4.5</v>
      </c>
      <c r="T60" s="353">
        <f>S60/V60</f>
        <v>1.4975041597337771E-2</v>
      </c>
      <c r="U60" s="95">
        <v>6.41</v>
      </c>
      <c r="V60" s="36">
        <v>300.5</v>
      </c>
      <c r="W60" s="66">
        <v>295</v>
      </c>
      <c r="X60" s="15">
        <f>V60-W60</f>
        <v>5.5</v>
      </c>
      <c r="Y60" s="63">
        <f>X60/W60</f>
        <v>1.864406779661017E-2</v>
      </c>
      <c r="Z60" s="413">
        <v>-3.5</v>
      </c>
      <c r="AA60" s="126"/>
      <c r="AD60" s="16" t="s">
        <v>374</v>
      </c>
      <c r="AE60" s="84">
        <v>44634</v>
      </c>
      <c r="AF60" s="83">
        <v>44641</v>
      </c>
      <c r="AG60" s="33">
        <f>AF60-AE60</f>
        <v>7</v>
      </c>
      <c r="AH60" s="43" t="s">
        <v>3261</v>
      </c>
      <c r="AI60" s="63"/>
      <c r="AJ60" s="307"/>
      <c r="AK60" s="221"/>
      <c r="AM60" s="264"/>
      <c r="AN60" s="264"/>
    </row>
    <row r="61" spans="1:40">
      <c r="A61" s="130" t="s">
        <v>1882</v>
      </c>
      <c r="B61" s="79">
        <v>179</v>
      </c>
      <c r="C61" s="79">
        <v>203</v>
      </c>
      <c r="D61" s="80">
        <v>-19</v>
      </c>
      <c r="E61" s="79">
        <v>49</v>
      </c>
      <c r="F61" s="57">
        <v>19.670000000000002</v>
      </c>
      <c r="G61" s="80">
        <v>3624</v>
      </c>
      <c r="H61" s="5" t="s">
        <v>3620</v>
      </c>
      <c r="I61" s="16" t="s">
        <v>4914</v>
      </c>
      <c r="J61" s="323">
        <v>56.34</v>
      </c>
      <c r="K61" s="73">
        <v>56.45</v>
      </c>
      <c r="L61" s="323">
        <v>19.57</v>
      </c>
      <c r="M61" s="323">
        <v>42.24</v>
      </c>
      <c r="N61" s="73">
        <f t="shared" ref="N61" si="102">J61+K61+L61+M61</f>
        <v>174.60000000000002</v>
      </c>
      <c r="O61" s="81">
        <f>IFERROR(VLOOKUP($G61,'321買'!A:E,3,0),"'沒有資料'")</f>
        <v>57</v>
      </c>
      <c r="P61" s="380">
        <f>IFERROR(VLOOKUP($G61,'321買'!$A:$G,7,0),"'沒有資料'")</f>
        <v>35</v>
      </c>
      <c r="Q61" s="245" t="s">
        <v>5088</v>
      </c>
      <c r="R61" s="297">
        <f>IFERROR(RANK(VLOOKUP($G61,連買!$A:$D,4,0),連買!$D:$D,0),"'沒有資料'")</f>
        <v>580</v>
      </c>
      <c r="S61" s="34">
        <v>2.2000000000000002</v>
      </c>
      <c r="T61" s="353">
        <f t="shared" ref="T61" si="103">S61/V61</f>
        <v>2.802547770700637E-2</v>
      </c>
      <c r="U61" s="57">
        <v>4.04</v>
      </c>
      <c r="V61" s="13">
        <v>78.5</v>
      </c>
      <c r="W61" s="66">
        <v>76.099999999999994</v>
      </c>
      <c r="X61" s="15">
        <f t="shared" ref="X61" si="104">V61-W61</f>
        <v>2.4000000000000057</v>
      </c>
      <c r="Y61" s="63">
        <f t="shared" ref="Y61" si="105">X61/W61</f>
        <v>3.1537450722733326E-2</v>
      </c>
      <c r="Z61" s="413">
        <v>-22.75</v>
      </c>
      <c r="AA61" s="126"/>
      <c r="AD61" s="16" t="s">
        <v>4914</v>
      </c>
      <c r="AE61" s="84">
        <v>44637</v>
      </c>
      <c r="AF61" s="83">
        <v>44638</v>
      </c>
      <c r="AG61" s="33">
        <f t="shared" ref="AG61" si="106">AF61-AE61</f>
        <v>1</v>
      </c>
      <c r="AH61" s="43" t="s">
        <v>2590</v>
      </c>
      <c r="AI61" s="63"/>
      <c r="AJ61" s="307"/>
      <c r="AK61" s="339"/>
      <c r="AM61" s="264"/>
      <c r="AN61" s="264"/>
    </row>
    <row r="62" spans="1:40">
      <c r="A62" s="130" t="s">
        <v>6555</v>
      </c>
      <c r="B62" s="79">
        <v>23</v>
      </c>
      <c r="C62" s="80">
        <v>-4</v>
      </c>
      <c r="D62" s="80">
        <v>-21</v>
      </c>
      <c r="E62" s="79">
        <v>52</v>
      </c>
      <c r="F62" s="57">
        <v>16.68</v>
      </c>
      <c r="G62" s="79">
        <v>8091</v>
      </c>
      <c r="H62" s="149" t="s">
        <v>3620</v>
      </c>
      <c r="I62" s="16" t="s">
        <v>6556</v>
      </c>
      <c r="J62" s="323">
        <v>25.47</v>
      </c>
      <c r="K62" s="73">
        <v>9.83</v>
      </c>
      <c r="L62" s="323">
        <v>15.94</v>
      </c>
      <c r="M62" s="73">
        <v>10.27</v>
      </c>
      <c r="N62" s="318">
        <f t="shared" ref="N62:N67" si="107">J62+K62+L62+M62</f>
        <v>61.509999999999991</v>
      </c>
      <c r="O62" s="81">
        <f>IFERROR(VLOOKUP($G62,'321買'!A:E,3,0),"'沒有資料'")</f>
        <v>14</v>
      </c>
      <c r="P62" s="380">
        <f>IFERROR(VLOOKUP($G62,'321買'!$A:$G,7,0),"'沒有資料'")</f>
        <v>321</v>
      </c>
      <c r="Q62" s="245" t="s">
        <v>5088</v>
      </c>
      <c r="R62" s="297">
        <f>IFERROR(RANK(VLOOKUP($G62,連買!$A:$D,4,0),連買!$D:$D,0),"'沒有資料'")</f>
        <v>285</v>
      </c>
      <c r="S62" s="34">
        <v>2.58</v>
      </c>
      <c r="T62" s="353">
        <f>S62/V62</f>
        <v>2.7505330490405117E-2</v>
      </c>
      <c r="U62" s="95">
        <v>4.63</v>
      </c>
      <c r="V62" s="36">
        <v>93.8</v>
      </c>
      <c r="W62" s="66">
        <v>92</v>
      </c>
      <c r="X62" s="15">
        <f t="shared" ref="X62:X67" si="108">V62-W62</f>
        <v>1.7999999999999972</v>
      </c>
      <c r="Y62" s="63">
        <f t="shared" ref="Y62:Y67" si="109">X62/W62</f>
        <v>1.9565217391304318E-2</v>
      </c>
      <c r="Z62" s="413">
        <v>-3.54</v>
      </c>
      <c r="AA62" s="126"/>
      <c r="AD62" s="16" t="s">
        <v>6556</v>
      </c>
      <c r="AE62" s="84">
        <v>44634</v>
      </c>
      <c r="AF62" s="83">
        <v>44638</v>
      </c>
      <c r="AG62" s="33">
        <f t="shared" ref="AG62:AG67" si="110">AF62-AE62</f>
        <v>4</v>
      </c>
      <c r="AH62" s="120" t="s">
        <v>2611</v>
      </c>
      <c r="AI62" s="63"/>
      <c r="AJ62" s="307"/>
      <c r="AK62" s="339"/>
      <c r="AM62" s="264"/>
      <c r="AN62" s="264"/>
    </row>
    <row r="63" spans="1:40">
      <c r="A63" s="130" t="s">
        <v>3641</v>
      </c>
      <c r="B63" s="79">
        <v>364</v>
      </c>
      <c r="C63" s="79">
        <v>408</v>
      </c>
      <c r="D63" s="80">
        <v>-12</v>
      </c>
      <c r="E63" s="79">
        <v>3</v>
      </c>
      <c r="F63" s="57">
        <v>24.64</v>
      </c>
      <c r="G63" s="79">
        <v>3006</v>
      </c>
      <c r="H63" s="8" t="s">
        <v>3254</v>
      </c>
      <c r="I63" s="22" t="s">
        <v>95</v>
      </c>
      <c r="J63" s="73">
        <v>40.950000000000003</v>
      </c>
      <c r="K63" s="73">
        <v>24.24</v>
      </c>
      <c r="L63" s="73">
        <v>56.87</v>
      </c>
      <c r="M63" s="323">
        <v>5.75</v>
      </c>
      <c r="N63" s="318">
        <f t="shared" si="107"/>
        <v>127.81</v>
      </c>
      <c r="O63" s="81">
        <f>IFERROR(VLOOKUP($G63,'321買'!A:E,3,0),"'沒有資料'")</f>
        <v>78</v>
      </c>
      <c r="P63" s="380">
        <f>IFERROR(VLOOKUP($G63,'321買'!$A:$G,7,0),"'沒有資料'")</f>
        <v>13</v>
      </c>
      <c r="Q63" s="245" t="s">
        <v>5088</v>
      </c>
      <c r="R63" s="297">
        <f>IFERROR(RANK(VLOOKUP($G63,連買!$A:$D,4,0),連買!$D:$D,0),"'沒有資料'")</f>
        <v>74</v>
      </c>
      <c r="S63" s="45">
        <v>8</v>
      </c>
      <c r="T63" s="353">
        <f>S63/V63</f>
        <v>4.6376811594202899E-2</v>
      </c>
      <c r="U63" s="95">
        <v>17.760000000000002</v>
      </c>
      <c r="V63" s="36">
        <v>172.5</v>
      </c>
      <c r="W63" s="66">
        <v>166.5</v>
      </c>
      <c r="X63" s="15">
        <f t="shared" si="108"/>
        <v>6</v>
      </c>
      <c r="Y63" s="63">
        <f t="shared" si="109"/>
        <v>3.6036036036036036E-2</v>
      </c>
      <c r="Z63" s="413">
        <v>-20.66</v>
      </c>
      <c r="AA63" s="126"/>
      <c r="AD63" s="22" t="s">
        <v>95</v>
      </c>
      <c r="AE63" s="84">
        <v>44627</v>
      </c>
      <c r="AF63" s="83">
        <v>44637</v>
      </c>
      <c r="AG63" s="33">
        <f t="shared" si="110"/>
        <v>10</v>
      </c>
      <c r="AH63" s="120" t="s">
        <v>2289</v>
      </c>
      <c r="AI63" s="63"/>
      <c r="AJ63" s="307"/>
      <c r="AK63" s="339"/>
      <c r="AM63" s="264"/>
      <c r="AN63" s="264"/>
    </row>
    <row r="64" spans="1:40">
      <c r="A64" s="130" t="s">
        <v>3641</v>
      </c>
      <c r="B64" s="79">
        <v>364</v>
      </c>
      <c r="C64" s="79">
        <v>408</v>
      </c>
      <c r="D64" s="80">
        <v>-12</v>
      </c>
      <c r="E64" s="79">
        <v>3</v>
      </c>
      <c r="F64" s="57">
        <v>24.64</v>
      </c>
      <c r="G64" s="79">
        <v>3006</v>
      </c>
      <c r="H64" s="8" t="s">
        <v>3254</v>
      </c>
      <c r="I64" s="22" t="s">
        <v>95</v>
      </c>
      <c r="J64" s="323">
        <v>36.35</v>
      </c>
      <c r="K64" s="73">
        <v>24.17</v>
      </c>
      <c r="L64" s="323">
        <v>53</v>
      </c>
      <c r="M64" s="323">
        <v>5.75</v>
      </c>
      <c r="N64" s="318">
        <f t="shared" si="107"/>
        <v>119.27000000000001</v>
      </c>
      <c r="O64" s="81">
        <f>IFERROR(VLOOKUP($G64,'321買'!A:E,3,0),"'沒有資料'")</f>
        <v>78</v>
      </c>
      <c r="P64" s="380">
        <f>IFERROR(VLOOKUP($G64,'321買'!$A:$G,7,0),"'沒有資料'")</f>
        <v>13</v>
      </c>
      <c r="Q64" s="245" t="s">
        <v>5088</v>
      </c>
      <c r="R64" s="297">
        <f>IFERROR(RANK(VLOOKUP($G64,連買!$A:$D,4,0),連買!$D:$D,0),"'沒有資料'")</f>
        <v>74</v>
      </c>
      <c r="S64" s="45">
        <v>8</v>
      </c>
      <c r="T64" s="353">
        <f>S64/V64</f>
        <v>4.6376811594202899E-2</v>
      </c>
      <c r="U64" s="95">
        <v>17.760000000000002</v>
      </c>
      <c r="V64" s="36">
        <v>172.5</v>
      </c>
      <c r="W64" s="66">
        <v>172</v>
      </c>
      <c r="X64" s="15">
        <f t="shared" si="108"/>
        <v>0.5</v>
      </c>
      <c r="Y64" s="63">
        <f t="shared" si="109"/>
        <v>2.9069767441860465E-3</v>
      </c>
      <c r="Z64" s="413">
        <v>-19.48</v>
      </c>
      <c r="AA64" s="126"/>
      <c r="AD64" s="22" t="s">
        <v>95</v>
      </c>
      <c r="AE64" s="84">
        <v>44624</v>
      </c>
      <c r="AF64" s="83">
        <v>44637</v>
      </c>
      <c r="AG64" s="33">
        <f t="shared" si="110"/>
        <v>13</v>
      </c>
      <c r="AH64" s="120" t="s">
        <v>2289</v>
      </c>
      <c r="AI64" s="63"/>
      <c r="AJ64" s="307"/>
      <c r="AK64" s="339"/>
      <c r="AM64" s="264"/>
      <c r="AN64" s="264"/>
    </row>
    <row r="65" spans="1:40">
      <c r="A65" s="130" t="s">
        <v>1500</v>
      </c>
      <c r="B65" s="79">
        <v>119</v>
      </c>
      <c r="C65" s="79">
        <v>111</v>
      </c>
      <c r="D65" s="79">
        <v>30</v>
      </c>
      <c r="E65" s="79">
        <v>43</v>
      </c>
      <c r="F65" s="57">
        <v>24.41</v>
      </c>
      <c r="G65" s="79">
        <v>6187</v>
      </c>
      <c r="H65" s="5" t="s">
        <v>316</v>
      </c>
      <c r="I65" s="16" t="s">
        <v>5023</v>
      </c>
      <c r="J65" s="73">
        <v>35.28</v>
      </c>
      <c r="K65" s="73">
        <v>25.37</v>
      </c>
      <c r="L65" s="323">
        <v>32.89</v>
      </c>
      <c r="M65" s="73">
        <v>20.57</v>
      </c>
      <c r="N65" s="318">
        <f t="shared" si="107"/>
        <v>114.11000000000001</v>
      </c>
      <c r="O65" s="81">
        <f>IFERROR(VLOOKUP($G65,'321買'!A:E,3,0),"'沒有資料'")</f>
        <v>57</v>
      </c>
      <c r="P65" s="380">
        <f>IFERROR(VLOOKUP($G65,'321買'!$A:$G,7,0),"'沒有資料'")</f>
        <v>45</v>
      </c>
      <c r="Q65" s="245" t="s">
        <v>5088</v>
      </c>
      <c r="R65" s="297">
        <f>IFERROR(RANK(VLOOKUP($G65,連買!$A:$D,4,0),連買!$D:$D,0),"'沒有資料'")</f>
        <v>64</v>
      </c>
      <c r="S65" s="45">
        <v>4.5</v>
      </c>
      <c r="T65" s="353">
        <f>S65/V65</f>
        <v>3.0716723549488054E-2</v>
      </c>
      <c r="U65" s="95">
        <v>6.65</v>
      </c>
      <c r="V65" s="36">
        <v>146.5</v>
      </c>
      <c r="W65" s="66">
        <v>144</v>
      </c>
      <c r="X65" s="15">
        <f t="shared" si="108"/>
        <v>2.5</v>
      </c>
      <c r="Y65" s="63">
        <f t="shared" si="109"/>
        <v>1.7361111111111112E-2</v>
      </c>
      <c r="Z65" s="413">
        <v>-17.75</v>
      </c>
      <c r="AA65" s="126"/>
      <c r="AD65" s="16" t="s">
        <v>5023</v>
      </c>
      <c r="AE65" s="84">
        <v>44634</v>
      </c>
      <c r="AF65" s="83">
        <v>44637</v>
      </c>
      <c r="AG65" s="33">
        <f t="shared" si="110"/>
        <v>3</v>
      </c>
      <c r="AH65" s="43" t="s">
        <v>2492</v>
      </c>
      <c r="AI65" s="63"/>
      <c r="AJ65" s="307"/>
      <c r="AK65" s="339"/>
      <c r="AM65" s="264"/>
      <c r="AN65" s="264"/>
    </row>
    <row r="66" spans="1:40">
      <c r="A66" s="130" t="s">
        <v>3723</v>
      </c>
      <c r="B66" s="79">
        <v>71</v>
      </c>
      <c r="C66" s="79">
        <v>65</v>
      </c>
      <c r="D66" s="80">
        <v>-20</v>
      </c>
      <c r="E66" s="79">
        <v>30</v>
      </c>
      <c r="F66" s="57">
        <v>16.79</v>
      </c>
      <c r="G66" s="79">
        <v>6438</v>
      </c>
      <c r="H66" s="5" t="s">
        <v>316</v>
      </c>
      <c r="I66" s="22" t="s">
        <v>5024</v>
      </c>
      <c r="J66" s="323">
        <v>23.09</v>
      </c>
      <c r="K66" s="73">
        <v>23.57</v>
      </c>
      <c r="L66" s="323">
        <v>34.4</v>
      </c>
      <c r="M66" s="73">
        <v>13.6</v>
      </c>
      <c r="N66" s="318">
        <f t="shared" si="107"/>
        <v>94.66</v>
      </c>
      <c r="O66" s="81">
        <f>IFERROR(VLOOKUP($G66,'321買'!A:E,3,0),"'沒有資料'")</f>
        <v>44</v>
      </c>
      <c r="P66" s="380">
        <f>IFERROR(VLOOKUP($G66,'321買'!$A:$G,7,0),"'沒有資料'")</f>
        <v>98</v>
      </c>
      <c r="Q66" s="245" t="s">
        <v>5088</v>
      </c>
      <c r="R66" s="297">
        <f>IFERROR(RANK(VLOOKUP($G66,連買!$A:$D,4,0),連買!$D:$D,0),"'沒有資料'")</f>
        <v>133</v>
      </c>
      <c r="S66" s="45">
        <v>6.5</v>
      </c>
      <c r="T66" s="353">
        <f t="shared" ref="T66:T72" si="111">S66/V66</f>
        <v>5.3278688524590161E-2</v>
      </c>
      <c r="U66" s="95">
        <v>10.36</v>
      </c>
      <c r="V66" s="36">
        <v>122</v>
      </c>
      <c r="W66" s="66">
        <v>120</v>
      </c>
      <c r="X66" s="15">
        <f t="shared" si="108"/>
        <v>2</v>
      </c>
      <c r="Y66" s="63">
        <f t="shared" si="109"/>
        <v>1.6666666666666666E-2</v>
      </c>
      <c r="Z66" s="413">
        <v>-9.4700000000000006</v>
      </c>
      <c r="AA66" s="264"/>
      <c r="AD66" s="22" t="s">
        <v>5024</v>
      </c>
      <c r="AE66" s="84">
        <v>44631</v>
      </c>
      <c r="AF66" s="83">
        <v>44634</v>
      </c>
      <c r="AG66" s="33">
        <f t="shared" si="110"/>
        <v>3</v>
      </c>
      <c r="AH66" s="43" t="s">
        <v>2492</v>
      </c>
      <c r="AI66" s="63"/>
      <c r="AJ66" s="307"/>
      <c r="AK66" s="339"/>
      <c r="AM66" s="264"/>
      <c r="AN66" s="264"/>
    </row>
    <row r="67" spans="1:40">
      <c r="A67" s="130" t="s">
        <v>2364</v>
      </c>
      <c r="B67" s="79">
        <v>23</v>
      </c>
      <c r="C67" s="79">
        <v>31</v>
      </c>
      <c r="D67" s="79">
        <v>13</v>
      </c>
      <c r="E67" s="79">
        <v>123</v>
      </c>
      <c r="F67" s="57">
        <v>18.86</v>
      </c>
      <c r="G67" s="79">
        <v>6104</v>
      </c>
      <c r="H67" s="149" t="s">
        <v>3254</v>
      </c>
      <c r="I67" s="16" t="s">
        <v>374</v>
      </c>
      <c r="J67" s="323">
        <v>19.649999999999999</v>
      </c>
      <c r="K67" s="73">
        <v>25.67</v>
      </c>
      <c r="L67" s="73">
        <v>68.150000000000006</v>
      </c>
      <c r="M67" s="73">
        <v>8.68</v>
      </c>
      <c r="N67" s="318">
        <f t="shared" si="107"/>
        <v>122.15</v>
      </c>
      <c r="O67" s="81">
        <f>IFERROR(VLOOKUP($G67,'321買'!A:E,3,0),"'沒有資料'")</f>
        <v>116</v>
      </c>
      <c r="P67" s="380">
        <f>IFERROR(VLOOKUP($G67,'321買'!$A:$G,7,0),"'沒有資料'")</f>
        <v>2</v>
      </c>
      <c r="Q67" s="245" t="s">
        <v>5088</v>
      </c>
      <c r="R67" s="297">
        <f>IFERROR(RANK(VLOOKUP($G67,連買!$A:$D,4,0),連買!$D:$D,0),"'沒有資料'")</f>
        <v>90</v>
      </c>
      <c r="S67" s="45">
        <v>3</v>
      </c>
      <c r="T67" s="353">
        <f t="shared" si="111"/>
        <v>1.0084033613445379E-2</v>
      </c>
      <c r="U67" s="95">
        <v>4.42</v>
      </c>
      <c r="V67" s="36">
        <v>297.5</v>
      </c>
      <c r="W67" s="66">
        <v>292.5</v>
      </c>
      <c r="X67" s="15">
        <f t="shared" si="108"/>
        <v>5</v>
      </c>
      <c r="Y67" s="63">
        <f t="shared" si="109"/>
        <v>1.7094017094017096E-2</v>
      </c>
      <c r="Z67" s="413">
        <v>-2.17</v>
      </c>
      <c r="AA67" s="126"/>
      <c r="AD67" s="16" t="s">
        <v>374</v>
      </c>
      <c r="AE67" s="84">
        <v>44624</v>
      </c>
      <c r="AF67" s="83">
        <v>44634</v>
      </c>
      <c r="AG67" s="33">
        <f t="shared" si="110"/>
        <v>10</v>
      </c>
      <c r="AH67" s="43" t="s">
        <v>3261</v>
      </c>
      <c r="AI67" s="63"/>
      <c r="AJ67" s="307"/>
      <c r="AK67" s="221"/>
      <c r="AM67" s="264"/>
      <c r="AN67" s="264"/>
    </row>
    <row r="68" spans="1:40">
      <c r="A68" s="130" t="s">
        <v>1723</v>
      </c>
      <c r="B68" s="80">
        <v>-42</v>
      </c>
      <c r="C68" s="80">
        <v>-44</v>
      </c>
      <c r="D68" s="80">
        <v>-8</v>
      </c>
      <c r="E68" s="79">
        <v>64</v>
      </c>
      <c r="F68" s="57">
        <v>14.35</v>
      </c>
      <c r="G68" s="79">
        <v>8155</v>
      </c>
      <c r="H68" s="5" t="s">
        <v>3620</v>
      </c>
      <c r="I68" s="16" t="s">
        <v>84</v>
      </c>
      <c r="J68" s="323">
        <v>42.85</v>
      </c>
      <c r="K68" s="73">
        <v>26.54</v>
      </c>
      <c r="L68" s="323">
        <v>17.829999999999998</v>
      </c>
      <c r="M68" s="323">
        <v>28.34</v>
      </c>
      <c r="N68" s="318">
        <f t="shared" ref="N68:N82" si="112">J68+K68+L68+M68</f>
        <v>115.56</v>
      </c>
      <c r="O68" s="81">
        <f>IFERROR(VLOOKUP($G68,'321買'!A:E,3,0),"'沒有資料'")</f>
        <v>86</v>
      </c>
      <c r="P68" s="380">
        <f>IFERROR(VLOOKUP($G68,'321買'!$A:$G,7,0),"'沒有資料'")</f>
        <v>9</v>
      </c>
      <c r="Q68" s="245" t="s">
        <v>5088</v>
      </c>
      <c r="R68" s="297">
        <f>IFERROR(RANK(VLOOKUP($G68,連買!$A:$D,4,0),連買!$D:$D,0),"'沒有資料'")</f>
        <v>88</v>
      </c>
      <c r="S68" s="45">
        <v>7</v>
      </c>
      <c r="T68" s="353">
        <f t="shared" si="111"/>
        <v>3.5897435897435895E-2</v>
      </c>
      <c r="U68" s="95">
        <v>6.99</v>
      </c>
      <c r="V68" s="36">
        <v>195</v>
      </c>
      <c r="W68" s="66">
        <v>191.5</v>
      </c>
      <c r="X68" s="15">
        <f t="shared" ref="X68:X83" si="113">V68-W68</f>
        <v>3.5</v>
      </c>
      <c r="Y68" s="63">
        <f t="shared" ref="Y68:Y83" si="114">X68/W68</f>
        <v>1.8276762402088774E-2</v>
      </c>
      <c r="Z68" s="413">
        <v>-4.96</v>
      </c>
      <c r="AA68" s="126"/>
      <c r="AD68" s="16" t="s">
        <v>84</v>
      </c>
      <c r="AE68" s="84">
        <v>44631</v>
      </c>
      <c r="AF68" s="86">
        <v>44631</v>
      </c>
      <c r="AG68" s="33">
        <f t="shared" ref="AG68:AG82" si="115">AF68-AE68</f>
        <v>0</v>
      </c>
      <c r="AH68" s="120" t="s">
        <v>1054</v>
      </c>
      <c r="AI68" s="63"/>
      <c r="AJ68" s="307"/>
      <c r="AK68" s="339"/>
      <c r="AM68" s="264"/>
      <c r="AN68" s="264"/>
    </row>
    <row r="69" spans="1:40">
      <c r="A69" s="146" t="s">
        <v>1810</v>
      </c>
      <c r="B69" s="79">
        <v>170</v>
      </c>
      <c r="C69" s="79">
        <v>170</v>
      </c>
      <c r="D69" s="79">
        <v>1</v>
      </c>
      <c r="E69" s="79">
        <v>41</v>
      </c>
      <c r="F69" s="6">
        <v>7.96</v>
      </c>
      <c r="G69" s="79">
        <v>4739</v>
      </c>
      <c r="H69" s="8" t="s">
        <v>3879</v>
      </c>
      <c r="I69" s="22" t="s">
        <v>3935</v>
      </c>
      <c r="J69" s="73">
        <v>32.81</v>
      </c>
      <c r="K69" s="73">
        <v>7.04</v>
      </c>
      <c r="L69" s="73">
        <v>33.53</v>
      </c>
      <c r="M69" s="323">
        <v>26.67</v>
      </c>
      <c r="N69" s="318">
        <f t="shared" si="112"/>
        <v>100.05</v>
      </c>
      <c r="O69" s="81">
        <f>IFERROR(VLOOKUP($G69,'321買'!A:E,3,0),"'沒有資料'")</f>
        <v>80</v>
      </c>
      <c r="P69" s="380">
        <f>IFERROR(VLOOKUP($G69,'321買'!$A:$G,7,0),"'沒有資料'")</f>
        <v>18</v>
      </c>
      <c r="Q69" s="245" t="s">
        <v>3817</v>
      </c>
      <c r="R69" s="297">
        <f>IFERROR(RANK(VLOOKUP($G69,連買!$A:$D,4,0),連買!$D:$D,0),"'沒有資料'")</f>
        <v>127</v>
      </c>
      <c r="S69" s="45">
        <v>3</v>
      </c>
      <c r="T69" s="353">
        <f t="shared" si="111"/>
        <v>1.8633540372670808E-2</v>
      </c>
      <c r="U69" s="95">
        <v>4.7</v>
      </c>
      <c r="V69" s="36">
        <v>161</v>
      </c>
      <c r="W69" s="66">
        <v>158</v>
      </c>
      <c r="X69" s="15">
        <f t="shared" si="113"/>
        <v>3</v>
      </c>
      <c r="Y69" s="63">
        <f t="shared" si="114"/>
        <v>1.8987341772151899E-2</v>
      </c>
      <c r="Z69" s="413">
        <v>-13.31</v>
      </c>
      <c r="AA69" s="126"/>
      <c r="AD69" s="22" t="s">
        <v>3935</v>
      </c>
      <c r="AE69" s="84">
        <v>44630</v>
      </c>
      <c r="AF69" s="83">
        <v>44631</v>
      </c>
      <c r="AG69" s="33">
        <f t="shared" si="115"/>
        <v>1</v>
      </c>
      <c r="AH69" s="120" t="s">
        <v>2473</v>
      </c>
      <c r="AI69" s="63"/>
      <c r="AJ69" s="307"/>
      <c r="AK69" s="339"/>
      <c r="AM69" s="264"/>
      <c r="AN69" s="264"/>
    </row>
    <row r="70" spans="1:40">
      <c r="A70" s="130" t="s">
        <v>2134</v>
      </c>
      <c r="B70" s="79">
        <v>249</v>
      </c>
      <c r="C70" s="79">
        <v>154</v>
      </c>
      <c r="D70" s="80">
        <v>-15</v>
      </c>
      <c r="E70" s="79">
        <v>19</v>
      </c>
      <c r="F70" s="57">
        <v>16.510000000000002</v>
      </c>
      <c r="G70" s="79">
        <v>3675</v>
      </c>
      <c r="H70" s="149" t="s">
        <v>3254</v>
      </c>
      <c r="I70" s="16" t="s">
        <v>367</v>
      </c>
      <c r="J70" s="323">
        <v>54.72</v>
      </c>
      <c r="K70" s="73">
        <v>67.400000000000006</v>
      </c>
      <c r="L70" s="323">
        <v>15.21</v>
      </c>
      <c r="M70" s="323">
        <v>54.85</v>
      </c>
      <c r="N70" s="73">
        <f t="shared" si="112"/>
        <v>192.18</v>
      </c>
      <c r="O70" s="81">
        <f>IFERROR(VLOOKUP($G70,'321買'!A:E,3,0),"'沒有資料'")</f>
        <v>60</v>
      </c>
      <c r="P70" s="380">
        <f>IFERROR(VLOOKUP($G70,'321買'!$A:$G,7,0),"'沒有資料'")</f>
        <v>49</v>
      </c>
      <c r="Q70" s="245" t="s">
        <v>5088</v>
      </c>
      <c r="R70" s="297">
        <f>IFERROR(RANK(VLOOKUP($G70,連買!$A:$D,4,0),連買!$D:$D,0),"'沒有資料'")</f>
        <v>62</v>
      </c>
      <c r="S70" s="45">
        <v>5</v>
      </c>
      <c r="T70" s="353">
        <f t="shared" si="111"/>
        <v>1.7211703958691909E-2</v>
      </c>
      <c r="U70" s="57">
        <v>7.36</v>
      </c>
      <c r="V70" s="13">
        <v>290.5</v>
      </c>
      <c r="W70" s="66">
        <v>284.5</v>
      </c>
      <c r="X70" s="15">
        <f t="shared" si="113"/>
        <v>6</v>
      </c>
      <c r="Y70" s="63">
        <f t="shared" si="114"/>
        <v>2.10896309314587E-2</v>
      </c>
      <c r="Z70" s="413">
        <v>-11.09</v>
      </c>
      <c r="AA70" s="126"/>
      <c r="AD70" s="16" t="s">
        <v>367</v>
      </c>
      <c r="AE70" s="84">
        <v>44627</v>
      </c>
      <c r="AF70" s="83">
        <v>44631</v>
      </c>
      <c r="AG70" s="33">
        <f t="shared" si="115"/>
        <v>4</v>
      </c>
      <c r="AH70" s="43" t="s">
        <v>3129</v>
      </c>
      <c r="AI70" s="63"/>
      <c r="AJ70" s="307"/>
      <c r="AK70" s="339"/>
      <c r="AM70" s="264"/>
      <c r="AN70" s="264"/>
    </row>
    <row r="71" spans="1:40">
      <c r="A71" s="130" t="s">
        <v>1723</v>
      </c>
      <c r="B71" s="80">
        <v>-42</v>
      </c>
      <c r="C71" s="80">
        <v>-44</v>
      </c>
      <c r="D71" s="79">
        <v>13</v>
      </c>
      <c r="E71" s="79">
        <v>36</v>
      </c>
      <c r="F71" s="57">
        <v>14.35</v>
      </c>
      <c r="G71" s="80">
        <v>8155</v>
      </c>
      <c r="H71" s="5" t="s">
        <v>3620</v>
      </c>
      <c r="I71" s="16" t="s">
        <v>84</v>
      </c>
      <c r="J71" s="323">
        <v>42.85</v>
      </c>
      <c r="K71" s="73">
        <v>22.83</v>
      </c>
      <c r="L71" s="73">
        <v>19.059999999999999</v>
      </c>
      <c r="M71" s="323">
        <v>28.34</v>
      </c>
      <c r="N71" s="318">
        <f t="shared" si="112"/>
        <v>113.08000000000001</v>
      </c>
      <c r="O71" s="81">
        <f>IFERROR(VLOOKUP($G71,'321買'!A:E,3,0),"'沒有資料'")</f>
        <v>86</v>
      </c>
      <c r="P71" s="380">
        <f>IFERROR(VLOOKUP($G71,'321買'!$A:$G,7,0),"'沒有資料'")</f>
        <v>9</v>
      </c>
      <c r="Q71" s="245" t="s">
        <v>5088</v>
      </c>
      <c r="R71" s="297">
        <f>IFERROR(RANK(VLOOKUP($G71,連買!$A:$D,4,0),連買!$D:$D,0),"'沒有資料'")</f>
        <v>88</v>
      </c>
      <c r="S71" s="45">
        <v>7</v>
      </c>
      <c r="T71" s="353">
        <f t="shared" si="111"/>
        <v>3.9886039886039885E-2</v>
      </c>
      <c r="U71" s="95">
        <v>6.99</v>
      </c>
      <c r="V71" s="36">
        <v>175.5</v>
      </c>
      <c r="W71" s="66">
        <v>172.5</v>
      </c>
      <c r="X71" s="15">
        <f t="shared" si="113"/>
        <v>3</v>
      </c>
      <c r="Y71" s="63">
        <f t="shared" si="114"/>
        <v>1.7391304347826087E-2</v>
      </c>
      <c r="Z71" s="413">
        <v>-18.61</v>
      </c>
      <c r="AA71" s="126"/>
      <c r="AD71" s="16" t="s">
        <v>84</v>
      </c>
      <c r="AE71" s="84">
        <v>44629</v>
      </c>
      <c r="AF71" s="86">
        <v>44629</v>
      </c>
      <c r="AG71" s="33">
        <f t="shared" si="115"/>
        <v>0</v>
      </c>
      <c r="AH71" s="120" t="s">
        <v>1054</v>
      </c>
      <c r="AI71" s="63"/>
      <c r="AJ71" s="307"/>
      <c r="AK71" s="339"/>
      <c r="AM71" s="264"/>
      <c r="AN71" s="264"/>
    </row>
    <row r="72" spans="1:40">
      <c r="A72" s="130" t="s">
        <v>3641</v>
      </c>
      <c r="B72" s="79">
        <v>364</v>
      </c>
      <c r="C72" s="79">
        <v>408</v>
      </c>
      <c r="D72" s="80">
        <v>-12</v>
      </c>
      <c r="E72" s="79">
        <v>3</v>
      </c>
      <c r="F72" s="57">
        <v>24.64</v>
      </c>
      <c r="G72" s="79">
        <v>3006</v>
      </c>
      <c r="H72" s="5" t="s">
        <v>3254</v>
      </c>
      <c r="I72" s="22" t="s">
        <v>95</v>
      </c>
      <c r="J72" s="323">
        <v>36.35</v>
      </c>
      <c r="K72" s="73">
        <v>20.57</v>
      </c>
      <c r="L72" s="73">
        <v>54</v>
      </c>
      <c r="M72" s="323">
        <v>5.75</v>
      </c>
      <c r="N72" s="318">
        <f t="shared" si="112"/>
        <v>116.67</v>
      </c>
      <c r="O72" s="81">
        <f>IFERROR(VLOOKUP($G72,'321買'!A:E,3,0),"'沒有資料'")</f>
        <v>78</v>
      </c>
      <c r="P72" s="380">
        <f>IFERROR(VLOOKUP($G72,'321買'!$A:$G,7,0),"'沒有資料'")</f>
        <v>13</v>
      </c>
      <c r="Q72" s="245" t="s">
        <v>5088</v>
      </c>
      <c r="R72" s="297">
        <f>IFERROR(RANK(VLOOKUP($G72,連買!$A:$D,4,0),連買!$D:$D,0),"'沒有資料'")</f>
        <v>74</v>
      </c>
      <c r="S72" s="45">
        <v>8</v>
      </c>
      <c r="T72" s="353">
        <f t="shared" si="111"/>
        <v>4.6647230320699708E-2</v>
      </c>
      <c r="U72" s="95">
        <v>17.760000000000002</v>
      </c>
      <c r="V72" s="36">
        <v>171.5</v>
      </c>
      <c r="W72" s="66">
        <v>165</v>
      </c>
      <c r="X72" s="15">
        <f t="shared" si="113"/>
        <v>6.5</v>
      </c>
      <c r="Y72" s="63">
        <f t="shared" si="114"/>
        <v>3.9393939393939391E-2</v>
      </c>
      <c r="Z72" s="413">
        <v>-24.88</v>
      </c>
      <c r="AA72" s="126"/>
      <c r="AD72" s="22" t="s">
        <v>95</v>
      </c>
      <c r="AE72" s="84">
        <v>44623</v>
      </c>
      <c r="AF72" s="83">
        <v>44624</v>
      </c>
      <c r="AG72" s="33">
        <f t="shared" si="115"/>
        <v>1</v>
      </c>
      <c r="AH72" s="120" t="s">
        <v>2289</v>
      </c>
      <c r="AI72" s="63"/>
      <c r="AJ72" s="307"/>
      <c r="AK72" s="339"/>
      <c r="AM72" s="264"/>
      <c r="AN72" s="264"/>
    </row>
    <row r="73" spans="1:40">
      <c r="A73" s="146" t="s">
        <v>1810</v>
      </c>
      <c r="B73" s="79">
        <v>170</v>
      </c>
      <c r="C73" s="79">
        <v>170</v>
      </c>
      <c r="D73" s="79">
        <v>7</v>
      </c>
      <c r="E73" s="79">
        <v>28</v>
      </c>
      <c r="F73" s="6">
        <v>7.96</v>
      </c>
      <c r="G73" s="79">
        <v>4739</v>
      </c>
      <c r="H73" s="8" t="s">
        <v>3879</v>
      </c>
      <c r="I73" s="22" t="s">
        <v>3935</v>
      </c>
      <c r="J73" s="73">
        <v>32.81</v>
      </c>
      <c r="K73" s="73">
        <v>6.01</v>
      </c>
      <c r="L73" s="73">
        <v>37.24</v>
      </c>
      <c r="M73" s="323">
        <v>26.67</v>
      </c>
      <c r="N73" s="318">
        <f t="shared" si="112"/>
        <v>102.73</v>
      </c>
      <c r="O73" s="81">
        <f>IFERROR(VLOOKUP($G73,'321買'!A:E,3,0),"'沒有資料'")</f>
        <v>80</v>
      </c>
      <c r="P73" s="380">
        <f>IFERROR(VLOOKUP($G73,'321買'!$A:$G,7,0),"'沒有資料'")</f>
        <v>18</v>
      </c>
      <c r="Q73" s="245" t="s">
        <v>5088</v>
      </c>
      <c r="R73" s="297">
        <f>IFERROR(RANK(VLOOKUP($G73,連買!$A:$D,4,0),連買!$D:$D,0),"'沒有資料'")</f>
        <v>127</v>
      </c>
      <c r="S73" s="45">
        <v>3</v>
      </c>
      <c r="T73" s="353">
        <f t="shared" ref="T73:T82" si="116">S73/V73</f>
        <v>1.9292604501607719E-2</v>
      </c>
      <c r="U73" s="95">
        <v>4.7</v>
      </c>
      <c r="V73" s="36">
        <v>155.5</v>
      </c>
      <c r="W73" s="66">
        <v>149.5</v>
      </c>
      <c r="X73" s="15">
        <f t="shared" si="113"/>
        <v>6</v>
      </c>
      <c r="Y73" s="63">
        <f t="shared" si="114"/>
        <v>4.0133779264214048E-2</v>
      </c>
      <c r="Z73" s="413">
        <v>-14.45</v>
      </c>
      <c r="AA73" s="126"/>
      <c r="AD73" s="22" t="s">
        <v>3935</v>
      </c>
      <c r="AE73" s="84">
        <v>44622</v>
      </c>
      <c r="AF73" s="83">
        <v>44623</v>
      </c>
      <c r="AG73" s="33">
        <f t="shared" si="115"/>
        <v>1</v>
      </c>
      <c r="AH73" s="120" t="s">
        <v>2473</v>
      </c>
      <c r="AI73" s="63"/>
      <c r="AJ73" s="307"/>
      <c r="AK73" s="339"/>
      <c r="AM73" s="264"/>
      <c r="AN73" s="264"/>
    </row>
    <row r="74" spans="1:40">
      <c r="A74" s="130" t="s">
        <v>3641</v>
      </c>
      <c r="B74" s="79">
        <v>364</v>
      </c>
      <c r="C74" s="79">
        <v>371</v>
      </c>
      <c r="D74" s="80">
        <v>-12</v>
      </c>
      <c r="E74" s="79">
        <v>3</v>
      </c>
      <c r="F74" s="57">
        <v>24.55</v>
      </c>
      <c r="G74" s="79">
        <v>3006</v>
      </c>
      <c r="H74" s="8" t="s">
        <v>3254</v>
      </c>
      <c r="I74" s="22" t="s">
        <v>95</v>
      </c>
      <c r="J74" s="73">
        <v>38.85</v>
      </c>
      <c r="K74" s="73">
        <v>22.5</v>
      </c>
      <c r="L74" s="73">
        <v>54</v>
      </c>
      <c r="M74" s="323">
        <v>5.75</v>
      </c>
      <c r="N74" s="318">
        <f t="shared" si="112"/>
        <v>121.1</v>
      </c>
      <c r="O74" s="81">
        <f>IFERROR(VLOOKUP($G74,'321買'!A:E,3,0),"'沒有資料'")</f>
        <v>78</v>
      </c>
      <c r="P74" s="380">
        <f>IFERROR(VLOOKUP($G74,'321買'!$A:$G,7,0),"'沒有資料'")</f>
        <v>13</v>
      </c>
      <c r="Q74" s="245" t="s">
        <v>5088</v>
      </c>
      <c r="R74" s="297">
        <f>IFERROR(RANK(VLOOKUP($G74,連買!$A:$D,4,0),連買!$D:$D,0),"'沒有資料'")</f>
        <v>74</v>
      </c>
      <c r="S74" s="34">
        <v>2</v>
      </c>
      <c r="T74" s="353">
        <f t="shared" si="116"/>
        <v>1.2121212121212121E-2</v>
      </c>
      <c r="U74" s="95">
        <v>14.61</v>
      </c>
      <c r="V74" s="36">
        <v>165</v>
      </c>
      <c r="W74" s="66">
        <v>162.5</v>
      </c>
      <c r="X74" s="15">
        <f t="shared" si="113"/>
        <v>2.5</v>
      </c>
      <c r="Y74" s="63">
        <f t="shared" si="114"/>
        <v>1.5384615384615385E-2</v>
      </c>
      <c r="Z74" s="413">
        <v>-23.71</v>
      </c>
      <c r="AA74" s="126"/>
      <c r="AD74" s="22" t="s">
        <v>95</v>
      </c>
      <c r="AE74" s="84">
        <v>44613</v>
      </c>
      <c r="AF74" s="83">
        <v>44623</v>
      </c>
      <c r="AG74" s="33">
        <f t="shared" si="115"/>
        <v>10</v>
      </c>
      <c r="AH74" s="120" t="s">
        <v>2289</v>
      </c>
      <c r="AI74" s="63"/>
      <c r="AJ74" s="307"/>
      <c r="AK74" s="339"/>
      <c r="AM74" s="264"/>
      <c r="AN74" s="264"/>
    </row>
    <row r="75" spans="1:40">
      <c r="A75" s="130" t="s">
        <v>3723</v>
      </c>
      <c r="B75" s="79">
        <v>95</v>
      </c>
      <c r="C75" s="79">
        <v>94</v>
      </c>
      <c r="D75" s="79">
        <v>1</v>
      </c>
      <c r="E75" s="79">
        <v>26</v>
      </c>
      <c r="F75" s="57">
        <v>16.350000000000001</v>
      </c>
      <c r="G75" s="79">
        <v>6438</v>
      </c>
      <c r="H75" s="5" t="s">
        <v>316</v>
      </c>
      <c r="I75" s="22" t="s">
        <v>5024</v>
      </c>
      <c r="J75" s="323">
        <v>24.92</v>
      </c>
      <c r="K75" s="73">
        <v>22.21</v>
      </c>
      <c r="L75" s="323">
        <v>40.56</v>
      </c>
      <c r="M75" s="323">
        <v>13.71</v>
      </c>
      <c r="N75" s="318">
        <f t="shared" si="112"/>
        <v>101.4</v>
      </c>
      <c r="O75" s="81">
        <f>IFERROR(VLOOKUP($G75,'321買'!A:E,3,0),"'沒有資料'")</f>
        <v>44</v>
      </c>
      <c r="P75" s="380">
        <f>IFERROR(VLOOKUP($G75,'321買'!$A:$G,7,0),"'沒有資料'")</f>
        <v>98</v>
      </c>
      <c r="Q75" s="245" t="s">
        <v>5088</v>
      </c>
      <c r="R75" s="297">
        <f>IFERROR(RANK(VLOOKUP($G75,連買!$A:$D,4,0),連買!$D:$D,0),"'沒有資料'")</f>
        <v>133</v>
      </c>
      <c r="S75" s="45">
        <v>4.1399999999999997</v>
      </c>
      <c r="T75" s="353">
        <f t="shared" si="116"/>
        <v>3.3658536585365849E-2</v>
      </c>
      <c r="U75" s="95">
        <v>9.81</v>
      </c>
      <c r="V75" s="36">
        <v>123</v>
      </c>
      <c r="W75" s="66">
        <v>121.5</v>
      </c>
      <c r="X75" s="15">
        <f t="shared" si="113"/>
        <v>1.5</v>
      </c>
      <c r="Y75" s="63">
        <f t="shared" si="114"/>
        <v>1.2345679012345678E-2</v>
      </c>
      <c r="Z75" s="413">
        <v>-8.7100000000000009</v>
      </c>
      <c r="AA75" s="264"/>
      <c r="AD75" s="22" t="s">
        <v>5024</v>
      </c>
      <c r="AE75" s="84">
        <v>44600</v>
      </c>
      <c r="AF75" s="83">
        <v>44623</v>
      </c>
      <c r="AG75" s="33">
        <f t="shared" si="115"/>
        <v>23</v>
      </c>
      <c r="AH75" s="43" t="s">
        <v>2492</v>
      </c>
      <c r="AI75" s="63"/>
      <c r="AJ75" s="307"/>
      <c r="AK75" s="339"/>
      <c r="AM75" s="264"/>
      <c r="AN75" s="264"/>
    </row>
    <row r="76" spans="1:40">
      <c r="A76" s="130" t="s">
        <v>2469</v>
      </c>
      <c r="B76" s="79">
        <v>159</v>
      </c>
      <c r="C76" s="79">
        <v>141</v>
      </c>
      <c r="D76" s="79">
        <v>3</v>
      </c>
      <c r="E76" s="79">
        <v>59</v>
      </c>
      <c r="F76" s="57">
        <v>32.9</v>
      </c>
      <c r="G76" s="80">
        <v>3169</v>
      </c>
      <c r="H76" s="195" t="s">
        <v>3254</v>
      </c>
      <c r="I76" s="16" t="s">
        <v>361</v>
      </c>
      <c r="J76" s="73">
        <v>28.42</v>
      </c>
      <c r="K76" s="73">
        <v>10.71</v>
      </c>
      <c r="L76" s="73">
        <v>53.72</v>
      </c>
      <c r="M76" s="323">
        <v>24.21</v>
      </c>
      <c r="N76" s="318">
        <f t="shared" si="112"/>
        <v>117.06</v>
      </c>
      <c r="O76" s="81">
        <f>IFERROR(VLOOKUP($G76,'321買'!A:E,3,0),"'沒有資料'")</f>
        <v>85</v>
      </c>
      <c r="P76" s="380">
        <f>IFERROR(VLOOKUP($G76,'321買'!$A:$G,7,0),"'沒有資料'")</f>
        <v>12</v>
      </c>
      <c r="Q76" s="245" t="s">
        <v>5088</v>
      </c>
      <c r="R76" s="297">
        <f>IFERROR(RANK(VLOOKUP($G76,連買!$A:$D,4,0),連買!$D:$D,0),"'沒有資料'")</f>
        <v>1620</v>
      </c>
      <c r="S76" s="34">
        <v>2.5</v>
      </c>
      <c r="T76" s="353">
        <f t="shared" si="116"/>
        <v>1.1160714285714286E-2</v>
      </c>
      <c r="U76" s="95">
        <v>5.5</v>
      </c>
      <c r="V76" s="36">
        <v>224</v>
      </c>
      <c r="W76" s="66">
        <v>219.5</v>
      </c>
      <c r="X76" s="15">
        <f t="shared" si="113"/>
        <v>4.5</v>
      </c>
      <c r="Y76" s="63">
        <f t="shared" si="114"/>
        <v>2.0501138952164009E-2</v>
      </c>
      <c r="Z76" s="413">
        <v>-26.71</v>
      </c>
      <c r="AA76" s="126"/>
      <c r="AD76" s="16" t="s">
        <v>361</v>
      </c>
      <c r="AE76" s="84">
        <v>44609</v>
      </c>
      <c r="AF76" s="83">
        <v>44623</v>
      </c>
      <c r="AG76" s="33">
        <f t="shared" si="115"/>
        <v>14</v>
      </c>
      <c r="AH76" s="43" t="s">
        <v>3078</v>
      </c>
      <c r="AI76" s="63"/>
      <c r="AJ76" s="307"/>
      <c r="AK76" s="339"/>
      <c r="AM76" s="264"/>
      <c r="AN76" s="264"/>
    </row>
    <row r="77" spans="1:40">
      <c r="A77" s="130" t="s">
        <v>2469</v>
      </c>
      <c r="B77" s="79">
        <v>159</v>
      </c>
      <c r="C77" s="79">
        <v>141</v>
      </c>
      <c r="D77" s="79">
        <v>3</v>
      </c>
      <c r="E77" s="79">
        <v>59</v>
      </c>
      <c r="F77" s="57">
        <v>32.9</v>
      </c>
      <c r="G77" s="80">
        <v>3169</v>
      </c>
      <c r="H77" s="149" t="s">
        <v>3254</v>
      </c>
      <c r="I77" s="16" t="s">
        <v>361</v>
      </c>
      <c r="J77" s="323">
        <v>28.32</v>
      </c>
      <c r="K77" s="73">
        <v>10.24</v>
      </c>
      <c r="L77" s="323">
        <v>51.36</v>
      </c>
      <c r="M77" s="323">
        <v>24.22</v>
      </c>
      <c r="N77" s="318">
        <f t="shared" si="112"/>
        <v>114.14</v>
      </c>
      <c r="O77" s="81">
        <f>IFERROR(VLOOKUP($G77,'321買'!A:E,3,0),"'沒有資料'")</f>
        <v>85</v>
      </c>
      <c r="P77" s="380">
        <f>IFERROR(VLOOKUP($G77,'321買'!$A:$G,7,0),"'沒有資料'")</f>
        <v>12</v>
      </c>
      <c r="Q77" s="245" t="s">
        <v>5088</v>
      </c>
      <c r="R77" s="297">
        <f>IFERROR(RANK(VLOOKUP($G77,連買!$A:$D,4,0),連買!$D:$D,0),"'沒有資料'")</f>
        <v>1620</v>
      </c>
      <c r="S77" s="34">
        <v>2.5</v>
      </c>
      <c r="T77" s="353">
        <f t="shared" si="116"/>
        <v>1.1160714285714286E-2</v>
      </c>
      <c r="U77" s="95">
        <v>5.5</v>
      </c>
      <c r="V77" s="36">
        <v>224</v>
      </c>
      <c r="W77" s="66">
        <v>222</v>
      </c>
      <c r="X77" s="15">
        <f t="shared" si="113"/>
        <v>2</v>
      </c>
      <c r="Y77" s="63">
        <f t="shared" si="114"/>
        <v>9.0090090090090089E-3</v>
      </c>
      <c r="Z77" s="413">
        <v>-26.54</v>
      </c>
      <c r="AA77" s="126"/>
      <c r="AD77" s="16" t="s">
        <v>361</v>
      </c>
      <c r="AE77" s="84">
        <v>44602</v>
      </c>
      <c r="AF77" s="83">
        <v>44623</v>
      </c>
      <c r="AG77" s="33">
        <f t="shared" si="115"/>
        <v>21</v>
      </c>
      <c r="AH77" s="43" t="s">
        <v>3078</v>
      </c>
      <c r="AI77" s="63"/>
      <c r="AJ77" s="307"/>
      <c r="AK77" s="339"/>
      <c r="AM77" s="264"/>
      <c r="AN77" s="264"/>
    </row>
    <row r="78" spans="1:40">
      <c r="A78" s="130" t="s">
        <v>1723</v>
      </c>
      <c r="B78" s="80">
        <v>-42</v>
      </c>
      <c r="C78" s="80">
        <v>-44</v>
      </c>
      <c r="D78" s="79">
        <v>13</v>
      </c>
      <c r="E78" s="79">
        <v>36</v>
      </c>
      <c r="F78" s="57">
        <v>14.35</v>
      </c>
      <c r="G78" s="79">
        <v>8155</v>
      </c>
      <c r="H78" s="5" t="s">
        <v>3620</v>
      </c>
      <c r="I78" s="16" t="s">
        <v>84</v>
      </c>
      <c r="J78" s="323">
        <v>42.85</v>
      </c>
      <c r="K78" s="73">
        <v>21.7</v>
      </c>
      <c r="L78" s="73">
        <v>24.99</v>
      </c>
      <c r="M78" s="323">
        <v>28.34</v>
      </c>
      <c r="N78" s="318">
        <f t="shared" si="112"/>
        <v>117.88</v>
      </c>
      <c r="O78" s="81">
        <f>IFERROR(VLOOKUP($G78,'321買'!A:E,3,0),"'沒有資料'")</f>
        <v>86</v>
      </c>
      <c r="P78" s="380">
        <f>IFERROR(VLOOKUP($G78,'321買'!$A:$G,7,0),"'沒有資料'")</f>
        <v>9</v>
      </c>
      <c r="Q78" s="245" t="s">
        <v>5088</v>
      </c>
      <c r="R78" s="297">
        <f>IFERROR(RANK(VLOOKUP($G78,連買!$A:$D,4,0),連買!$D:$D,0),"'沒有資料'")</f>
        <v>88</v>
      </c>
      <c r="S78" s="45">
        <v>7</v>
      </c>
      <c r="T78" s="353">
        <f t="shared" si="116"/>
        <v>3.5087719298245612E-2</v>
      </c>
      <c r="U78" s="95">
        <v>6.99</v>
      </c>
      <c r="V78" s="36">
        <v>199.5</v>
      </c>
      <c r="W78" s="66">
        <v>195</v>
      </c>
      <c r="X78" s="15">
        <f t="shared" si="113"/>
        <v>4.5</v>
      </c>
      <c r="Y78" s="63">
        <f t="shared" si="114"/>
        <v>2.3076923076923078E-2</v>
      </c>
      <c r="Z78" s="413">
        <v>-2.99</v>
      </c>
      <c r="AA78" s="126"/>
      <c r="AD78" s="16" t="s">
        <v>84</v>
      </c>
      <c r="AE78" s="84">
        <v>44614</v>
      </c>
      <c r="AF78" s="83">
        <v>44623</v>
      </c>
      <c r="AG78" s="33">
        <f t="shared" si="115"/>
        <v>9</v>
      </c>
      <c r="AH78" s="120" t="s">
        <v>1054</v>
      </c>
      <c r="AI78" s="63"/>
      <c r="AJ78" s="307"/>
      <c r="AK78" s="339"/>
      <c r="AM78" s="264"/>
      <c r="AN78" s="264"/>
    </row>
    <row r="79" spans="1:40">
      <c r="A79" s="130" t="s">
        <v>1723</v>
      </c>
      <c r="B79" s="80">
        <v>-42</v>
      </c>
      <c r="C79" s="80">
        <v>-44</v>
      </c>
      <c r="D79" s="79">
        <v>4</v>
      </c>
      <c r="E79" s="79">
        <v>38</v>
      </c>
      <c r="F79" s="57">
        <v>14.35</v>
      </c>
      <c r="G79" s="79">
        <v>8155</v>
      </c>
      <c r="H79" s="8" t="s">
        <v>310</v>
      </c>
      <c r="I79" s="16" t="s">
        <v>84</v>
      </c>
      <c r="J79" s="323">
        <v>44.89</v>
      </c>
      <c r="K79" s="323">
        <v>20.91</v>
      </c>
      <c r="L79" s="73">
        <v>25.31</v>
      </c>
      <c r="M79" s="323">
        <v>28.34</v>
      </c>
      <c r="N79" s="318">
        <f t="shared" si="112"/>
        <v>119.45</v>
      </c>
      <c r="O79" s="81">
        <f>IFERROR(VLOOKUP($G79,'321買'!A:E,3,0),"'沒有資料'")</f>
        <v>86</v>
      </c>
      <c r="P79" s="380">
        <f>IFERROR(VLOOKUP($G79,'321買'!$A:$G,7,0),"'沒有資料'")</f>
        <v>9</v>
      </c>
      <c r="Q79" s="245" t="s">
        <v>5097</v>
      </c>
      <c r="R79" s="297">
        <f>IFERROR(RANK(VLOOKUP($G79,連買!$A:$D,4,0),連買!$D:$D,0),"'沒有資料'")</f>
        <v>88</v>
      </c>
      <c r="S79" s="45">
        <v>7</v>
      </c>
      <c r="T79" s="353">
        <f t="shared" si="116"/>
        <v>3.5087719298245612E-2</v>
      </c>
      <c r="U79" s="95">
        <v>6.99</v>
      </c>
      <c r="V79" s="36">
        <v>199.5</v>
      </c>
      <c r="W79" s="66">
        <v>196.5</v>
      </c>
      <c r="X79" s="15">
        <f t="shared" si="113"/>
        <v>3</v>
      </c>
      <c r="Y79" s="63">
        <f t="shared" si="114"/>
        <v>1.5267175572519083E-2</v>
      </c>
      <c r="Z79" s="413">
        <v>0</v>
      </c>
      <c r="AA79" s="126"/>
      <c r="AD79" s="16" t="s">
        <v>84</v>
      </c>
      <c r="AE79" s="84">
        <v>44600</v>
      </c>
      <c r="AF79" s="83">
        <v>44623</v>
      </c>
      <c r="AG79" s="33">
        <f t="shared" si="115"/>
        <v>23</v>
      </c>
      <c r="AH79" s="120" t="s">
        <v>1054</v>
      </c>
      <c r="AI79" s="63"/>
      <c r="AJ79" s="307"/>
      <c r="AK79" s="339"/>
      <c r="AM79" s="264"/>
      <c r="AN79" s="264"/>
    </row>
    <row r="80" spans="1:40">
      <c r="A80" s="130" t="s">
        <v>2364</v>
      </c>
      <c r="B80" s="79">
        <v>23</v>
      </c>
      <c r="C80" s="79">
        <v>31</v>
      </c>
      <c r="D80" s="79">
        <v>13</v>
      </c>
      <c r="E80" s="79">
        <v>123</v>
      </c>
      <c r="F80" s="57">
        <v>18.86</v>
      </c>
      <c r="G80" s="79">
        <v>6104</v>
      </c>
      <c r="H80" s="149" t="s">
        <v>3254</v>
      </c>
      <c r="I80" s="16" t="s">
        <v>374</v>
      </c>
      <c r="J80" s="323">
        <v>21.46</v>
      </c>
      <c r="K80" s="73">
        <v>21.49</v>
      </c>
      <c r="L80" s="73">
        <v>59.17</v>
      </c>
      <c r="M80" s="73">
        <v>8.68</v>
      </c>
      <c r="N80" s="318">
        <f t="shared" si="112"/>
        <v>110.80000000000001</v>
      </c>
      <c r="O80" s="81">
        <f>IFERROR(VLOOKUP($G80,'321買'!A:E,3,0),"'沒有資料'")</f>
        <v>116</v>
      </c>
      <c r="P80" s="380">
        <f>IFERROR(VLOOKUP($G80,'321買'!$A:$G,7,0),"'沒有資料'")</f>
        <v>2</v>
      </c>
      <c r="Q80" s="245" t="s">
        <v>5088</v>
      </c>
      <c r="R80" s="297">
        <f>IFERROR(RANK(VLOOKUP($G80,連買!$A:$D,4,0),連買!$D:$D,0),"'沒有資料'")</f>
        <v>90</v>
      </c>
      <c r="S80" s="45">
        <v>3</v>
      </c>
      <c r="T80" s="353">
        <f t="shared" si="116"/>
        <v>1.160541586073501E-2</v>
      </c>
      <c r="U80" s="95">
        <v>4.42</v>
      </c>
      <c r="V80" s="36">
        <v>258.5</v>
      </c>
      <c r="W80" s="66">
        <v>236.5</v>
      </c>
      <c r="X80" s="15">
        <f t="shared" si="113"/>
        <v>22</v>
      </c>
      <c r="Y80" s="63">
        <f t="shared" si="114"/>
        <v>9.3023255813953487E-2</v>
      </c>
      <c r="Z80" s="413">
        <v>-12.64</v>
      </c>
      <c r="AA80" s="126"/>
      <c r="AD80" s="16" t="s">
        <v>374</v>
      </c>
      <c r="AE80" s="84">
        <v>44616</v>
      </c>
      <c r="AF80" s="83">
        <v>44622</v>
      </c>
      <c r="AG80" s="33">
        <f t="shared" si="115"/>
        <v>6</v>
      </c>
      <c r="AH80" s="43" t="s">
        <v>3261</v>
      </c>
      <c r="AI80" s="63"/>
      <c r="AJ80" s="307"/>
      <c r="AK80" s="221"/>
      <c r="AM80" s="264"/>
      <c r="AN80" s="264"/>
    </row>
    <row r="81" spans="1:40">
      <c r="A81" s="130" t="s">
        <v>2364</v>
      </c>
      <c r="B81" s="79">
        <v>23</v>
      </c>
      <c r="C81" s="79">
        <v>31</v>
      </c>
      <c r="D81" s="79">
        <v>13</v>
      </c>
      <c r="E81" s="79">
        <v>123</v>
      </c>
      <c r="F81" s="57">
        <v>18.86</v>
      </c>
      <c r="G81" s="79">
        <v>6104</v>
      </c>
      <c r="H81" s="149" t="s">
        <v>3254</v>
      </c>
      <c r="I81" s="16" t="s">
        <v>374</v>
      </c>
      <c r="J81" s="73">
        <v>29.02</v>
      </c>
      <c r="K81" s="73">
        <v>30.79</v>
      </c>
      <c r="L81" s="323">
        <v>59.16</v>
      </c>
      <c r="M81" s="73">
        <v>8.68</v>
      </c>
      <c r="N81" s="318">
        <f t="shared" si="112"/>
        <v>127.65</v>
      </c>
      <c r="O81" s="81">
        <f>IFERROR(VLOOKUP($G81,'321買'!A:E,3,0),"'沒有資料'")</f>
        <v>116</v>
      </c>
      <c r="P81" s="380">
        <f>IFERROR(VLOOKUP($G81,'321買'!$A:$G,7,0),"'沒有資料'")</f>
        <v>2</v>
      </c>
      <c r="Q81" s="245" t="s">
        <v>5088</v>
      </c>
      <c r="R81" s="297">
        <f>IFERROR(RANK(VLOOKUP($G81,連買!$A:$D,4,0),連買!$D:$D,0),"'沒有資料'")</f>
        <v>90</v>
      </c>
      <c r="S81" s="45">
        <v>3</v>
      </c>
      <c r="T81" s="353">
        <f t="shared" si="116"/>
        <v>1.160541586073501E-2</v>
      </c>
      <c r="U81" s="95">
        <v>4.42</v>
      </c>
      <c r="V81" s="36">
        <v>258.5</v>
      </c>
      <c r="W81" s="66">
        <v>271</v>
      </c>
      <c r="X81" s="15">
        <f t="shared" si="113"/>
        <v>-12.5</v>
      </c>
      <c r="Y81" s="76">
        <f t="shared" si="114"/>
        <v>-4.6125461254612546E-2</v>
      </c>
      <c r="Z81" s="413">
        <v>0</v>
      </c>
      <c r="AA81" s="126"/>
      <c r="AD81" s="16" t="s">
        <v>374</v>
      </c>
      <c r="AE81" s="84">
        <v>44606</v>
      </c>
      <c r="AF81" s="83">
        <v>44622</v>
      </c>
      <c r="AG81" s="33">
        <f t="shared" si="115"/>
        <v>16</v>
      </c>
      <c r="AH81" s="43" t="s">
        <v>3261</v>
      </c>
      <c r="AI81" s="63"/>
      <c r="AJ81" s="307"/>
      <c r="AK81" s="221"/>
      <c r="AM81" s="264"/>
      <c r="AN81" s="264"/>
    </row>
    <row r="82" spans="1:40">
      <c r="A82" s="130" t="s">
        <v>1500</v>
      </c>
      <c r="B82" s="79">
        <v>119</v>
      </c>
      <c r="C82" s="79">
        <v>111</v>
      </c>
      <c r="D82" s="79">
        <v>31</v>
      </c>
      <c r="E82" s="79">
        <v>-5</v>
      </c>
      <c r="F82" s="57">
        <v>24.41</v>
      </c>
      <c r="G82" s="79">
        <v>6187</v>
      </c>
      <c r="H82" s="8" t="s">
        <v>316</v>
      </c>
      <c r="I82" s="16" t="s">
        <v>5023</v>
      </c>
      <c r="J82" s="73">
        <v>38.64</v>
      </c>
      <c r="K82" s="73">
        <v>25.28</v>
      </c>
      <c r="L82" s="73">
        <v>27.79</v>
      </c>
      <c r="M82" s="73">
        <v>20.57</v>
      </c>
      <c r="N82" s="318">
        <f t="shared" si="112"/>
        <v>112.28</v>
      </c>
      <c r="O82" s="81">
        <f>IFERROR(VLOOKUP($G82,'321買'!A:E,3,0),"'沒有資料'")</f>
        <v>57</v>
      </c>
      <c r="P82" s="380">
        <f>IFERROR(VLOOKUP($G82,'321買'!$A:$G,7,0),"'沒有資料'")</f>
        <v>45</v>
      </c>
      <c r="Q82" s="245" t="s">
        <v>5136</v>
      </c>
      <c r="R82" s="297">
        <f>IFERROR(RANK(VLOOKUP($G82,連買!$A:$D,4,0),連買!$D:$D,0),"'沒有資料'")</f>
        <v>64</v>
      </c>
      <c r="S82" s="45">
        <v>4.5</v>
      </c>
      <c r="T82" s="353">
        <f t="shared" si="116"/>
        <v>3.214285714285714E-2</v>
      </c>
      <c r="U82" s="95">
        <v>6.37</v>
      </c>
      <c r="V82" s="36">
        <v>140</v>
      </c>
      <c r="W82" s="66">
        <v>137.5</v>
      </c>
      <c r="X82" s="15">
        <f t="shared" si="113"/>
        <v>2.5</v>
      </c>
      <c r="Y82" s="63">
        <f t="shared" si="114"/>
        <v>1.8181818181818181E-2</v>
      </c>
      <c r="Z82" s="413">
        <v>-18.34</v>
      </c>
      <c r="AA82" s="126"/>
      <c r="AD82" s="16" t="s">
        <v>5023</v>
      </c>
      <c r="AE82" s="84">
        <v>44616</v>
      </c>
      <c r="AF82" s="83">
        <v>44621</v>
      </c>
      <c r="AG82" s="33">
        <f t="shared" si="115"/>
        <v>5</v>
      </c>
      <c r="AH82" s="43" t="s">
        <v>2492</v>
      </c>
      <c r="AI82" s="63"/>
      <c r="AJ82" s="307"/>
      <c r="AK82" s="339"/>
      <c r="AM82" s="264"/>
      <c r="AN82" s="264"/>
    </row>
    <row r="83" spans="1:40" s="268" customFormat="1">
      <c r="A83" s="145"/>
      <c r="B83" s="79"/>
      <c r="C83" s="79"/>
      <c r="D83" s="79"/>
      <c r="E83" s="79"/>
      <c r="F83" s="6"/>
      <c r="G83" s="41"/>
      <c r="H83" s="8"/>
      <c r="I83" s="158"/>
      <c r="J83" s="323"/>
      <c r="K83" s="323"/>
      <c r="L83" s="323"/>
      <c r="M83" s="318"/>
      <c r="N83" s="318"/>
      <c r="O83" s="306"/>
      <c r="P83" s="380"/>
      <c r="Q83" s="389"/>
      <c r="R83" s="297"/>
      <c r="S83" s="107"/>
      <c r="T83" s="351"/>
      <c r="U83" s="95"/>
      <c r="V83" s="349">
        <f>SUM(V34:V82)</f>
        <v>9540.85</v>
      </c>
      <c r="W83" s="331">
        <f>SUM(W34:W82)</f>
        <v>9314.5499999999993</v>
      </c>
      <c r="X83" s="167">
        <f t="shared" si="113"/>
        <v>226.30000000000109</v>
      </c>
      <c r="Y83" s="163">
        <f t="shared" si="114"/>
        <v>2.4295322908782616E-2</v>
      </c>
      <c r="Z83" s="101"/>
      <c r="AA83" s="168"/>
      <c r="AD83" s="244">
        <f>V83*(0.001425*0.5)+V83*0.003+W83*(0.001425*0.5)</f>
        <v>42.057022500000002</v>
      </c>
      <c r="AE83" s="6">
        <f>X83-AD83</f>
        <v>184.24297750000107</v>
      </c>
      <c r="AF83" s="83"/>
      <c r="AG83" s="33"/>
      <c r="AH83" s="46" t="s">
        <v>5144</v>
      </c>
    </row>
    <row r="84" spans="1:40">
      <c r="B84" s="79"/>
      <c r="C84" s="79"/>
      <c r="D84" s="79"/>
      <c r="E84" s="79"/>
      <c r="F84" s="57"/>
      <c r="G84" s="79"/>
      <c r="H84" s="8"/>
      <c r="I84" s="16"/>
      <c r="J84" s="73"/>
      <c r="K84" s="73"/>
      <c r="M84" s="73"/>
      <c r="N84" s="318"/>
      <c r="Q84" s="245"/>
      <c r="S84" s="45"/>
      <c r="T84" s="353"/>
      <c r="U84" s="95"/>
      <c r="V84" s="36"/>
      <c r="W84" s="66"/>
      <c r="X84" s="15"/>
      <c r="Y84" s="63"/>
      <c r="AA84" s="126"/>
      <c r="AD84" s="16"/>
      <c r="AG84" s="33"/>
      <c r="AH84" s="43"/>
      <c r="AI84" s="63"/>
      <c r="AJ84" s="307"/>
      <c r="AK84" s="339"/>
      <c r="AM84" s="264"/>
      <c r="AN84" s="264"/>
    </row>
    <row r="85" spans="1:40">
      <c r="A85" s="130" t="s">
        <v>1700</v>
      </c>
      <c r="B85" s="79">
        <v>403</v>
      </c>
      <c r="C85" s="79">
        <v>840</v>
      </c>
      <c r="D85" s="79">
        <v>12</v>
      </c>
      <c r="E85" s="79">
        <v>117</v>
      </c>
      <c r="F85" s="57">
        <v>17.34</v>
      </c>
      <c r="G85" s="79">
        <v>3035</v>
      </c>
      <c r="H85" s="8" t="s">
        <v>3254</v>
      </c>
      <c r="I85" s="22" t="s">
        <v>1926</v>
      </c>
      <c r="J85" s="323">
        <v>47.09</v>
      </c>
      <c r="K85" s="73">
        <v>46.88</v>
      </c>
      <c r="L85" s="323">
        <v>19.53</v>
      </c>
      <c r="M85" s="323">
        <v>14.36</v>
      </c>
      <c r="N85" s="318">
        <f t="shared" ref="N85:N112" si="117">J85+K85+L85+M85</f>
        <v>127.86</v>
      </c>
      <c r="O85" s="81">
        <f>IFERROR(VLOOKUP($G85,'321買'!A:E,3,0),"'沒有資料'")</f>
        <v>125</v>
      </c>
      <c r="P85" s="380">
        <f>IFERROR(VLOOKUP($G85,'321買'!$A:$G,7,0),"'沒有資料'")</f>
        <v>5</v>
      </c>
      <c r="Q85" s="245" t="s">
        <v>5097</v>
      </c>
      <c r="R85" s="297">
        <f>IFERROR(RANK(VLOOKUP($G85,連買!$A:$D,4,0),連買!$D:$D,0),"'沒有資料'")</f>
        <v>117</v>
      </c>
      <c r="S85" s="45">
        <v>3.3</v>
      </c>
      <c r="T85" s="353">
        <f t="shared" ref="T85:T112" si="118">S85/V85</f>
        <v>1.2890624999999999E-2</v>
      </c>
      <c r="U85" s="95">
        <v>2.82</v>
      </c>
      <c r="V85" s="13">
        <v>256</v>
      </c>
      <c r="W85" s="66">
        <v>242.5</v>
      </c>
      <c r="X85" s="15">
        <f t="shared" ref="X85:X113" si="119">V85-W85</f>
        <v>13.5</v>
      </c>
      <c r="Y85" s="63">
        <f t="shared" ref="Y85:Y113" si="120">X85/W85</f>
        <v>5.5670103092783509E-2</v>
      </c>
      <c r="Z85" s="413">
        <v>-4.1100000000000003</v>
      </c>
      <c r="AA85" s="126"/>
      <c r="AD85" s="22" t="s">
        <v>1926</v>
      </c>
      <c r="AE85" s="84">
        <v>44616</v>
      </c>
      <c r="AF85" s="83">
        <v>44617</v>
      </c>
      <c r="AG85" s="33">
        <f t="shared" ref="AG85:AG112" si="121">AF85-AE85</f>
        <v>1</v>
      </c>
      <c r="AH85" s="120" t="s">
        <v>2498</v>
      </c>
      <c r="AI85" s="63"/>
      <c r="AJ85" s="307"/>
      <c r="AK85" s="339"/>
      <c r="AM85" s="264"/>
      <c r="AN85" s="264"/>
    </row>
    <row r="86" spans="1:40">
      <c r="A86" s="130" t="s">
        <v>1705</v>
      </c>
      <c r="B86" s="79">
        <v>181</v>
      </c>
      <c r="C86" s="79">
        <v>158</v>
      </c>
      <c r="D86" s="80">
        <v>-7</v>
      </c>
      <c r="E86" s="79">
        <v>27</v>
      </c>
      <c r="F86" s="57">
        <v>21.4</v>
      </c>
      <c r="G86" s="79">
        <v>8358</v>
      </c>
      <c r="H86" s="8" t="s">
        <v>310</v>
      </c>
      <c r="I86" s="16" t="s">
        <v>222</v>
      </c>
      <c r="J86" s="73">
        <v>37.840000000000003</v>
      </c>
      <c r="K86" s="73">
        <v>15.7</v>
      </c>
      <c r="L86" s="73">
        <v>20.5</v>
      </c>
      <c r="M86" s="73">
        <v>17.29</v>
      </c>
      <c r="N86" s="318">
        <f t="shared" si="117"/>
        <v>91.330000000000013</v>
      </c>
      <c r="O86" s="81">
        <f>IFERROR(VLOOKUP($G86,'321買'!A:E,3,0),"'沒有資料'")</f>
        <v>43</v>
      </c>
      <c r="P86" s="380">
        <f>IFERROR(VLOOKUP($G86,'321買'!$A:$G,7,0),"'沒有資料'")</f>
        <v>62</v>
      </c>
      <c r="Q86" s="245" t="s">
        <v>5088</v>
      </c>
      <c r="R86" s="297">
        <f>IFERROR(RANK(VLOOKUP($G86,連買!$A:$D,4,0),連買!$D:$D,0),"'沒有資料'")</f>
        <v>236</v>
      </c>
      <c r="S86" s="45">
        <v>4.2</v>
      </c>
      <c r="T86" s="353">
        <f t="shared" si="118"/>
        <v>5.5702917771883284E-2</v>
      </c>
      <c r="U86" s="95">
        <v>2.14</v>
      </c>
      <c r="V86" s="36">
        <v>75.400000000000006</v>
      </c>
      <c r="W86" s="66">
        <v>74.099999999999994</v>
      </c>
      <c r="X86" s="15">
        <f t="shared" si="119"/>
        <v>1.3000000000000114</v>
      </c>
      <c r="Y86" s="63">
        <f t="shared" si="120"/>
        <v>1.7543859649122962E-2</v>
      </c>
      <c r="Z86" s="413">
        <v>-20.13</v>
      </c>
      <c r="AA86" s="126"/>
      <c r="AD86" s="16" t="s">
        <v>222</v>
      </c>
      <c r="AE86" s="84">
        <v>44616</v>
      </c>
      <c r="AF86" s="83">
        <v>44617</v>
      </c>
      <c r="AG86" s="33">
        <f t="shared" si="121"/>
        <v>1</v>
      </c>
      <c r="AH86" s="120" t="s">
        <v>2614</v>
      </c>
      <c r="AI86" s="63"/>
      <c r="AJ86" s="307"/>
      <c r="AK86" s="339"/>
      <c r="AM86" s="264"/>
      <c r="AN86" s="264"/>
    </row>
    <row r="87" spans="1:40">
      <c r="A87" s="130" t="s">
        <v>1725</v>
      </c>
      <c r="B87" s="79">
        <v>28</v>
      </c>
      <c r="C87" s="79">
        <v>80</v>
      </c>
      <c r="D87" s="79">
        <v>8</v>
      </c>
      <c r="E87" s="79">
        <v>33</v>
      </c>
      <c r="F87" s="57">
        <v>15.8</v>
      </c>
      <c r="G87" s="79">
        <v>8299</v>
      </c>
      <c r="H87" s="204" t="s">
        <v>3254</v>
      </c>
      <c r="I87" s="16" t="s">
        <v>4398</v>
      </c>
      <c r="J87" s="73">
        <v>37.409999999999997</v>
      </c>
      <c r="K87" s="73">
        <v>46.17</v>
      </c>
      <c r="L87" s="323">
        <v>14.11</v>
      </c>
      <c r="M87" s="73">
        <v>18.95</v>
      </c>
      <c r="N87" s="318">
        <f t="shared" si="117"/>
        <v>116.64</v>
      </c>
      <c r="O87" s="81">
        <f>IFERROR(VLOOKUP($G87,'321買'!A:E,3,0),"'沒有資料'")</f>
        <v>21</v>
      </c>
      <c r="P87" s="380">
        <f>IFERROR(VLOOKUP($G87,'321買'!$A:$G,7,0),"'沒有資料'")</f>
        <v>250</v>
      </c>
      <c r="Q87" s="245" t="s">
        <v>5088</v>
      </c>
      <c r="R87" s="297">
        <f>IFERROR(RANK(VLOOKUP($G87,連買!$A:$D,4,0),連買!$D:$D,0),"'沒有資料'")</f>
        <v>19</v>
      </c>
      <c r="S87" s="45">
        <v>10</v>
      </c>
      <c r="T87" s="353">
        <f t="shared" si="118"/>
        <v>1.8975332068311195E-2</v>
      </c>
      <c r="U87" s="95">
        <v>51.35</v>
      </c>
      <c r="V87" s="13">
        <v>527</v>
      </c>
      <c r="W87" s="66">
        <v>517</v>
      </c>
      <c r="X87" s="15">
        <f t="shared" si="119"/>
        <v>10</v>
      </c>
      <c r="Y87" s="63">
        <f t="shared" si="120"/>
        <v>1.9342359767891684E-2</v>
      </c>
      <c r="Z87" s="413">
        <v>-16.29</v>
      </c>
      <c r="AA87" s="126"/>
      <c r="AD87" s="16" t="s">
        <v>4398</v>
      </c>
      <c r="AE87" s="84">
        <v>44610</v>
      </c>
      <c r="AF87" s="86">
        <v>44610</v>
      </c>
      <c r="AG87" s="33">
        <f t="shared" si="121"/>
        <v>0</v>
      </c>
      <c r="AH87" s="120" t="s">
        <v>2289</v>
      </c>
      <c r="AI87" s="63"/>
      <c r="AJ87" s="307"/>
      <c r="AK87" s="339"/>
      <c r="AM87" s="264"/>
      <c r="AN87" s="264"/>
    </row>
    <row r="88" spans="1:40">
      <c r="A88" s="130" t="s">
        <v>2134</v>
      </c>
      <c r="B88" s="93">
        <v>1166</v>
      </c>
      <c r="C88" s="234">
        <v>25679</v>
      </c>
      <c r="D88" s="79">
        <v>5</v>
      </c>
      <c r="E88" s="79">
        <v>26</v>
      </c>
      <c r="F88" s="57">
        <v>18.239999999999998</v>
      </c>
      <c r="G88" s="79">
        <v>3527</v>
      </c>
      <c r="H88" s="8" t="s">
        <v>3254</v>
      </c>
      <c r="I88" s="16" t="s">
        <v>328</v>
      </c>
      <c r="J88" s="73">
        <v>23.18</v>
      </c>
      <c r="K88" s="73">
        <v>13.16</v>
      </c>
      <c r="L88" s="73">
        <v>30.96</v>
      </c>
      <c r="M88" s="73">
        <v>16.39</v>
      </c>
      <c r="N88" s="318">
        <f t="shared" si="117"/>
        <v>83.690000000000012</v>
      </c>
      <c r="O88" s="81">
        <f>IFERROR(VLOOKUP($G88,'321買'!A:E,3,0),"'沒有資料'")</f>
        <v>58</v>
      </c>
      <c r="P88" s="380">
        <f>IFERROR(VLOOKUP($G88,'321買'!$A:$G,7,0),"'沒有資料'")</f>
        <v>41</v>
      </c>
      <c r="Q88" s="245" t="s">
        <v>5088</v>
      </c>
      <c r="R88" s="297">
        <f>IFERROR(RANK(VLOOKUP($G88,連買!$A:$D,4,0),連買!$D:$D,0),"'沒有資料'")</f>
        <v>83</v>
      </c>
      <c r="S88" s="34">
        <v>2</v>
      </c>
      <c r="T88" s="353">
        <f t="shared" si="118"/>
        <v>1.0362694300518135E-2</v>
      </c>
      <c r="U88" s="95">
        <v>10.47</v>
      </c>
      <c r="V88" s="36">
        <v>193</v>
      </c>
      <c r="W88" s="66">
        <v>189.5</v>
      </c>
      <c r="X88" s="15">
        <f t="shared" si="119"/>
        <v>3.5</v>
      </c>
      <c r="Y88" s="63">
        <f t="shared" si="120"/>
        <v>1.8469656992084433E-2</v>
      </c>
      <c r="Z88" s="413">
        <v>-31.18</v>
      </c>
      <c r="AA88" s="126"/>
      <c r="AD88" s="16" t="s">
        <v>328</v>
      </c>
      <c r="AE88" s="84">
        <v>44609</v>
      </c>
      <c r="AF88" s="83">
        <v>44610</v>
      </c>
      <c r="AG88" s="33">
        <f t="shared" si="121"/>
        <v>1</v>
      </c>
      <c r="AH88" s="43" t="s">
        <v>2539</v>
      </c>
      <c r="AI88" s="63"/>
      <c r="AJ88" s="307"/>
      <c r="AK88" s="339"/>
      <c r="AM88" s="264"/>
      <c r="AN88" s="264"/>
    </row>
    <row r="89" spans="1:40">
      <c r="A89" s="130" t="s">
        <v>1750</v>
      </c>
      <c r="B89" s="80">
        <v>-8</v>
      </c>
      <c r="C89" s="80">
        <v>-16</v>
      </c>
      <c r="D89" s="80">
        <v>-1</v>
      </c>
      <c r="E89" s="79">
        <v>10</v>
      </c>
      <c r="F89" s="57">
        <v>10.72</v>
      </c>
      <c r="G89" s="79">
        <v>3324</v>
      </c>
      <c r="H89" s="8" t="s">
        <v>316</v>
      </c>
      <c r="I89" s="16" t="s">
        <v>228</v>
      </c>
      <c r="J89" s="73">
        <v>30.47</v>
      </c>
      <c r="K89" s="73">
        <v>24.85</v>
      </c>
      <c r="L89" s="323">
        <v>40.69</v>
      </c>
      <c r="M89" s="323">
        <v>19.97</v>
      </c>
      <c r="N89" s="318">
        <f t="shared" si="117"/>
        <v>115.97999999999999</v>
      </c>
      <c r="O89" s="81">
        <f>IFERROR(VLOOKUP($G89,'321買'!A:E,3,0),"'沒有資料'")</f>
        <v>76</v>
      </c>
      <c r="P89" s="380">
        <f>IFERROR(VLOOKUP($G89,'321買'!$A:$G,7,0),"'沒有資料'")</f>
        <v>24</v>
      </c>
      <c r="Q89" s="245" t="s">
        <v>5088</v>
      </c>
      <c r="R89" s="297">
        <f>IFERROR(RANK(VLOOKUP($G89,連買!$A:$D,4,0),連買!$D:$D,0),"'沒有資料'")</f>
        <v>60</v>
      </c>
      <c r="S89" s="45">
        <v>5.6</v>
      </c>
      <c r="T89" s="353">
        <f t="shared" si="118"/>
        <v>2.2444889779559118E-2</v>
      </c>
      <c r="U89" s="95">
        <v>12.05</v>
      </c>
      <c r="V89" s="36">
        <v>249.5</v>
      </c>
      <c r="W89" s="66">
        <v>245</v>
      </c>
      <c r="X89" s="15">
        <f t="shared" si="119"/>
        <v>4.5</v>
      </c>
      <c r="Y89" s="63">
        <f t="shared" si="120"/>
        <v>1.8367346938775512E-2</v>
      </c>
      <c r="Z89" s="413">
        <v>-1.64</v>
      </c>
      <c r="AA89" s="126"/>
      <c r="AD89" s="16" t="s">
        <v>228</v>
      </c>
      <c r="AE89" s="84">
        <v>44608</v>
      </c>
      <c r="AF89" s="83">
        <v>44609</v>
      </c>
      <c r="AG89" s="33">
        <f t="shared" si="121"/>
        <v>1</v>
      </c>
      <c r="AH89" s="43" t="s">
        <v>3111</v>
      </c>
      <c r="AI89" s="63"/>
      <c r="AJ89" s="307"/>
      <c r="AK89" s="339"/>
      <c r="AM89" s="264"/>
      <c r="AN89" s="264"/>
    </row>
    <row r="90" spans="1:40">
      <c r="A90" s="130" t="s">
        <v>2134</v>
      </c>
      <c r="B90" s="79">
        <v>193</v>
      </c>
      <c r="C90" s="79">
        <v>122</v>
      </c>
      <c r="D90" s="79">
        <v>0</v>
      </c>
      <c r="E90" s="79">
        <v>18</v>
      </c>
      <c r="F90" s="57">
        <v>15.78</v>
      </c>
      <c r="G90" s="79">
        <v>3675</v>
      </c>
      <c r="H90" s="149" t="s">
        <v>3254</v>
      </c>
      <c r="I90" s="16" t="s">
        <v>367</v>
      </c>
      <c r="J90" s="323">
        <v>54.72</v>
      </c>
      <c r="K90" s="73">
        <v>65.19</v>
      </c>
      <c r="L90" s="323">
        <v>17.010000000000002</v>
      </c>
      <c r="M90" s="323">
        <v>54.85</v>
      </c>
      <c r="N90" s="73">
        <f t="shared" si="117"/>
        <v>191.76999999999998</v>
      </c>
      <c r="O90" s="81">
        <f>IFERROR(VLOOKUP($G90,'321買'!A:E,3,0),"'沒有資料'")</f>
        <v>60</v>
      </c>
      <c r="P90" s="380">
        <f>IFERROR(VLOOKUP($G90,'321買'!$A:$G,7,0),"'沒有資料'")</f>
        <v>49</v>
      </c>
      <c r="Q90" s="245" t="s">
        <v>5088</v>
      </c>
      <c r="R90" s="297">
        <f>IFERROR(RANK(VLOOKUP($G90,連買!$A:$D,4,0),連買!$D:$D,0),"'沒有資料'")</f>
        <v>62</v>
      </c>
      <c r="S90" s="34">
        <v>2</v>
      </c>
      <c r="T90" s="353">
        <f t="shared" si="118"/>
        <v>7.0298769771528994E-3</v>
      </c>
      <c r="U90" s="57">
        <v>5.49</v>
      </c>
      <c r="V90" s="13">
        <v>284.5</v>
      </c>
      <c r="W90" s="66">
        <v>279</v>
      </c>
      <c r="X90" s="15">
        <f t="shared" si="119"/>
        <v>5.5</v>
      </c>
      <c r="Y90" s="63">
        <f t="shared" si="120"/>
        <v>1.9713261648745518E-2</v>
      </c>
      <c r="Z90" s="413">
        <v>-16.41</v>
      </c>
      <c r="AA90" s="126"/>
      <c r="AD90" s="16" t="s">
        <v>367</v>
      </c>
      <c r="AE90" s="84">
        <v>44608</v>
      </c>
      <c r="AF90" s="83">
        <v>44609</v>
      </c>
      <c r="AG90" s="33">
        <f t="shared" si="121"/>
        <v>1</v>
      </c>
      <c r="AH90" s="43" t="s">
        <v>3129</v>
      </c>
      <c r="AI90" s="63"/>
      <c r="AJ90" s="307"/>
      <c r="AK90" s="339"/>
      <c r="AM90" s="264"/>
      <c r="AN90" s="264"/>
    </row>
    <row r="91" spans="1:40">
      <c r="A91" s="130" t="s">
        <v>1725</v>
      </c>
      <c r="B91" s="79">
        <v>28</v>
      </c>
      <c r="C91" s="79">
        <v>80</v>
      </c>
      <c r="D91" s="79">
        <v>8</v>
      </c>
      <c r="E91" s="79">
        <v>33</v>
      </c>
      <c r="F91" s="57">
        <v>15.8</v>
      </c>
      <c r="G91" s="79">
        <v>8299</v>
      </c>
      <c r="H91" s="204" t="s">
        <v>3254</v>
      </c>
      <c r="I91" s="16" t="s">
        <v>4398</v>
      </c>
      <c r="J91" s="73">
        <v>37.409999999999997</v>
      </c>
      <c r="K91" s="73">
        <v>44.15</v>
      </c>
      <c r="L91" s="323">
        <v>16.62</v>
      </c>
      <c r="M91" s="73">
        <v>18.95</v>
      </c>
      <c r="N91" s="318">
        <f t="shared" si="117"/>
        <v>117.13000000000001</v>
      </c>
      <c r="O91" s="81">
        <f>IFERROR(VLOOKUP($G91,'321買'!A:E,3,0),"'沒有資料'")</f>
        <v>21</v>
      </c>
      <c r="P91" s="380">
        <f>IFERROR(VLOOKUP($G91,'321買'!$A:$G,7,0),"'沒有資料'")</f>
        <v>250</v>
      </c>
      <c r="Q91" s="245" t="s">
        <v>5088</v>
      </c>
      <c r="R91" s="297">
        <f>IFERROR(RANK(VLOOKUP($G91,連買!$A:$D,4,0),連買!$D:$D,0),"'沒有資料'")</f>
        <v>19</v>
      </c>
      <c r="S91" s="45">
        <v>10</v>
      </c>
      <c r="T91" s="353">
        <f t="shared" si="118"/>
        <v>1.9607843137254902E-2</v>
      </c>
      <c r="U91" s="95">
        <v>51.35</v>
      </c>
      <c r="V91" s="13">
        <v>510</v>
      </c>
      <c r="W91" s="66">
        <v>487</v>
      </c>
      <c r="X91" s="15">
        <f t="shared" si="119"/>
        <v>23</v>
      </c>
      <c r="Y91" s="63">
        <f t="shared" si="120"/>
        <v>4.7227926078028747E-2</v>
      </c>
      <c r="Z91" s="413">
        <v>-20.97</v>
      </c>
      <c r="AA91" s="126"/>
      <c r="AD91" s="16" t="s">
        <v>4398</v>
      </c>
      <c r="AE91" s="84">
        <v>44606</v>
      </c>
      <c r="AF91" s="83">
        <v>44608</v>
      </c>
      <c r="AG91" s="33">
        <f t="shared" si="121"/>
        <v>2</v>
      </c>
      <c r="AH91" s="120" t="s">
        <v>2289</v>
      </c>
      <c r="AI91" s="63"/>
      <c r="AJ91" s="307"/>
      <c r="AK91" s="339"/>
      <c r="AM91" s="264"/>
      <c r="AN91" s="264"/>
    </row>
    <row r="92" spans="1:40">
      <c r="A92" s="130" t="s">
        <v>1725</v>
      </c>
      <c r="B92" s="79">
        <v>28</v>
      </c>
      <c r="C92" s="79">
        <v>80</v>
      </c>
      <c r="D92" s="79">
        <v>8</v>
      </c>
      <c r="E92" s="79">
        <v>33</v>
      </c>
      <c r="F92" s="57">
        <v>15.8</v>
      </c>
      <c r="G92" s="79">
        <v>8299</v>
      </c>
      <c r="H92" s="204" t="s">
        <v>3254</v>
      </c>
      <c r="I92" s="16" t="s">
        <v>4398</v>
      </c>
      <c r="J92" s="73">
        <v>36.25</v>
      </c>
      <c r="K92" s="73">
        <v>42.68</v>
      </c>
      <c r="L92" s="73">
        <v>17.75</v>
      </c>
      <c r="M92" s="73">
        <v>18.95</v>
      </c>
      <c r="N92" s="318">
        <f t="shared" si="117"/>
        <v>115.63000000000001</v>
      </c>
      <c r="O92" s="81">
        <f>IFERROR(VLOOKUP($G92,'321買'!A:E,3,0),"'沒有資料'")</f>
        <v>21</v>
      </c>
      <c r="P92" s="380">
        <f>IFERROR(VLOOKUP($G92,'321買'!$A:$G,7,0),"'沒有資料'")</f>
        <v>250</v>
      </c>
      <c r="Q92" s="245" t="s">
        <v>5088</v>
      </c>
      <c r="R92" s="297">
        <f>IFERROR(RANK(VLOOKUP($G92,連買!$A:$D,4,0),連買!$D:$D,0),"'沒有資料'")</f>
        <v>19</v>
      </c>
      <c r="S92" s="45">
        <v>10</v>
      </c>
      <c r="T92" s="353">
        <f t="shared" si="118"/>
        <v>1.9607843137254902E-2</v>
      </c>
      <c r="U92" s="95">
        <v>51.35</v>
      </c>
      <c r="V92" s="13">
        <v>510</v>
      </c>
      <c r="W92" s="66">
        <v>499.5</v>
      </c>
      <c r="X92" s="15">
        <f t="shared" si="119"/>
        <v>10.5</v>
      </c>
      <c r="Y92" s="63">
        <f t="shared" si="120"/>
        <v>2.1021021021021023E-2</v>
      </c>
      <c r="Z92" s="413">
        <v>-20</v>
      </c>
      <c r="AA92" s="126"/>
      <c r="AD92" s="16" t="s">
        <v>4398</v>
      </c>
      <c r="AE92" s="84">
        <v>44603</v>
      </c>
      <c r="AF92" s="83">
        <v>44608</v>
      </c>
      <c r="AG92" s="33">
        <f t="shared" si="121"/>
        <v>5</v>
      </c>
      <c r="AH92" s="120" t="s">
        <v>2289</v>
      </c>
      <c r="AI92" s="63"/>
      <c r="AJ92" s="307"/>
      <c r="AK92" s="339"/>
      <c r="AM92" s="264"/>
      <c r="AN92" s="264"/>
    </row>
    <row r="93" spans="1:40">
      <c r="A93" s="146" t="s">
        <v>1694</v>
      </c>
      <c r="B93" s="79">
        <v>116</v>
      </c>
      <c r="C93" s="79">
        <v>35</v>
      </c>
      <c r="D93" s="79">
        <v>1</v>
      </c>
      <c r="E93" s="79">
        <v>13</v>
      </c>
      <c r="F93" s="6">
        <v>7.23</v>
      </c>
      <c r="G93" s="79">
        <v>3260</v>
      </c>
      <c r="H93" s="149" t="s">
        <v>3254</v>
      </c>
      <c r="I93" s="16" t="s">
        <v>215</v>
      </c>
      <c r="J93" s="73">
        <v>14.82</v>
      </c>
      <c r="K93" s="73">
        <v>5.14</v>
      </c>
      <c r="L93" s="73">
        <v>27.73</v>
      </c>
      <c r="M93" s="73">
        <v>5.58</v>
      </c>
      <c r="N93" s="318">
        <f t="shared" si="117"/>
        <v>53.269999999999996</v>
      </c>
      <c r="O93" s="81">
        <f>IFERROR(VLOOKUP($G93,'321買'!A:E,3,0),"'沒有資料'")</f>
        <v>42</v>
      </c>
      <c r="P93" s="380">
        <f>IFERROR(VLOOKUP($G93,'321買'!$A:$G,7,0),"'沒有資料'")</f>
        <v>63</v>
      </c>
      <c r="Q93" s="245" t="s">
        <v>5088</v>
      </c>
      <c r="R93" s="297">
        <f>IFERROR(RANK(VLOOKUP($G93,連買!$A:$D,4,0),連買!$D:$D,0),"'沒有資料'")</f>
        <v>175</v>
      </c>
      <c r="S93" s="45">
        <v>3.18</v>
      </c>
      <c r="T93" s="353">
        <f t="shared" si="118"/>
        <v>3.4678298800436207E-2</v>
      </c>
      <c r="U93" s="95">
        <v>10.55</v>
      </c>
      <c r="V93" s="36">
        <v>91.7</v>
      </c>
      <c r="W93" s="66">
        <v>90</v>
      </c>
      <c r="X93" s="15">
        <f t="shared" si="119"/>
        <v>1.7000000000000028</v>
      </c>
      <c r="Y93" s="63">
        <f t="shared" si="120"/>
        <v>1.888888888888892E-2</v>
      </c>
      <c r="Z93" s="413">
        <v>-30.98</v>
      </c>
      <c r="AA93" s="126"/>
      <c r="AD93" s="16" t="s">
        <v>215</v>
      </c>
      <c r="AE93" s="84">
        <v>44603</v>
      </c>
      <c r="AF93" s="83">
        <v>44608</v>
      </c>
      <c r="AG93" s="33">
        <f t="shared" si="121"/>
        <v>5</v>
      </c>
      <c r="AH93" s="120" t="s">
        <v>1420</v>
      </c>
      <c r="AI93" s="63"/>
      <c r="AJ93" s="307"/>
      <c r="AK93" s="339"/>
      <c r="AM93" s="264"/>
      <c r="AN93" s="264"/>
    </row>
    <row r="94" spans="1:40">
      <c r="A94" s="130" t="s">
        <v>2134</v>
      </c>
      <c r="B94" s="93">
        <v>1166</v>
      </c>
      <c r="C94" s="234">
        <v>25679</v>
      </c>
      <c r="D94" s="80">
        <v>-1</v>
      </c>
      <c r="E94" s="79">
        <v>11</v>
      </c>
      <c r="F94" s="57">
        <v>18.239999999999998</v>
      </c>
      <c r="G94" s="80">
        <v>3527</v>
      </c>
      <c r="H94" s="8" t="s">
        <v>3254</v>
      </c>
      <c r="I94" s="16" t="s">
        <v>328</v>
      </c>
      <c r="J94" s="73">
        <v>23.03</v>
      </c>
      <c r="K94" s="73">
        <v>11.51</v>
      </c>
      <c r="L94" s="323">
        <v>31.44</v>
      </c>
      <c r="M94" s="73">
        <v>16.39</v>
      </c>
      <c r="N94" s="318">
        <f t="shared" si="117"/>
        <v>82.37</v>
      </c>
      <c r="O94" s="81">
        <f>IFERROR(VLOOKUP($G94,'321買'!A:E,3,0),"'沒有資料'")</f>
        <v>58</v>
      </c>
      <c r="P94" s="380">
        <f>IFERROR(VLOOKUP($G94,'321買'!$A:$G,7,0),"'沒有資料'")</f>
        <v>41</v>
      </c>
      <c r="Q94" s="245" t="s">
        <v>5088</v>
      </c>
      <c r="R94" s="297">
        <f>IFERROR(RANK(VLOOKUP($G94,連買!$A:$D,4,0),連買!$D:$D,0),"'沒有資料'")</f>
        <v>83</v>
      </c>
      <c r="S94" s="34">
        <v>2</v>
      </c>
      <c r="T94" s="353">
        <f t="shared" si="118"/>
        <v>1.06951871657754E-2</v>
      </c>
      <c r="U94" s="95">
        <v>10.47</v>
      </c>
      <c r="V94" s="36">
        <v>187</v>
      </c>
      <c r="W94" s="66">
        <v>183.5</v>
      </c>
      <c r="X94" s="15">
        <f t="shared" si="119"/>
        <v>3.5</v>
      </c>
      <c r="Y94" s="63">
        <f t="shared" si="120"/>
        <v>1.9073569482288829E-2</v>
      </c>
      <c r="Z94" s="413">
        <v>-34.950000000000003</v>
      </c>
      <c r="AA94" s="126"/>
      <c r="AD94" s="16" t="s">
        <v>328</v>
      </c>
      <c r="AE94" s="84">
        <v>44602</v>
      </c>
      <c r="AF94" s="83">
        <v>44608</v>
      </c>
      <c r="AG94" s="33">
        <f t="shared" si="121"/>
        <v>6</v>
      </c>
      <c r="AH94" s="43" t="s">
        <v>2539</v>
      </c>
      <c r="AI94" s="63"/>
      <c r="AJ94" s="307"/>
      <c r="AK94" s="339"/>
      <c r="AM94" s="264"/>
      <c r="AN94" s="264"/>
    </row>
    <row r="95" spans="1:40">
      <c r="A95" s="130" t="s">
        <v>1737</v>
      </c>
      <c r="B95" s="79">
        <v>101</v>
      </c>
      <c r="C95" s="79">
        <v>100</v>
      </c>
      <c r="D95" s="79">
        <v>8</v>
      </c>
      <c r="E95" s="79">
        <v>12</v>
      </c>
      <c r="F95" s="57">
        <v>29.73</v>
      </c>
      <c r="G95" s="79">
        <v>3014</v>
      </c>
      <c r="H95" s="8" t="s">
        <v>3254</v>
      </c>
      <c r="I95" s="22" t="s">
        <v>97</v>
      </c>
      <c r="J95" s="73">
        <v>19.690000000000001</v>
      </c>
      <c r="K95" s="73">
        <v>14.17</v>
      </c>
      <c r="L95" s="73">
        <v>15.89</v>
      </c>
      <c r="M95" s="323">
        <v>12.51</v>
      </c>
      <c r="N95" s="318">
        <f t="shared" si="117"/>
        <v>62.26</v>
      </c>
      <c r="O95" s="81">
        <f>IFERROR(VLOOKUP($G95,'321買'!A:E,3,0),"'沒有資料'")</f>
        <v>32</v>
      </c>
      <c r="P95" s="380">
        <f>IFERROR(VLOOKUP($G95,'321買'!$A:$G,7,0),"'沒有資料'")</f>
        <v>110</v>
      </c>
      <c r="Q95" s="245" t="s">
        <v>5097</v>
      </c>
      <c r="R95" s="297">
        <f>IFERROR(RANK(VLOOKUP($G95,連買!$A:$D,4,0),連買!$D:$D,0),"'沒有資料'")</f>
        <v>136</v>
      </c>
      <c r="S95" s="45">
        <v>6</v>
      </c>
      <c r="T95" s="353">
        <f t="shared" si="118"/>
        <v>5.2863436123348019E-2</v>
      </c>
      <c r="U95" s="95">
        <v>10.19</v>
      </c>
      <c r="V95" s="36">
        <v>113.5</v>
      </c>
      <c r="W95" s="66">
        <v>111.5</v>
      </c>
      <c r="X95" s="15">
        <f t="shared" si="119"/>
        <v>2</v>
      </c>
      <c r="Y95" s="63">
        <f t="shared" si="120"/>
        <v>1.7937219730941704E-2</v>
      </c>
      <c r="Z95" s="413">
        <v>-21.6</v>
      </c>
      <c r="AA95" s="126"/>
      <c r="AD95" s="22" t="s">
        <v>97</v>
      </c>
      <c r="AE95" s="84">
        <v>44606</v>
      </c>
      <c r="AF95" s="86">
        <v>44606</v>
      </c>
      <c r="AG95" s="33">
        <f t="shared" si="121"/>
        <v>0</v>
      </c>
      <c r="AH95" s="120" t="s">
        <v>1444</v>
      </c>
      <c r="AI95" s="63"/>
      <c r="AJ95" s="307"/>
      <c r="AK95" s="339"/>
      <c r="AM95" s="264"/>
      <c r="AN95" s="264"/>
    </row>
    <row r="96" spans="1:40">
      <c r="A96" s="130" t="s">
        <v>1742</v>
      </c>
      <c r="B96" s="79">
        <v>56</v>
      </c>
      <c r="C96" s="79">
        <v>58</v>
      </c>
      <c r="D96" s="79">
        <v>25</v>
      </c>
      <c r="E96" s="79">
        <v>47</v>
      </c>
      <c r="F96" s="57">
        <v>28.75</v>
      </c>
      <c r="G96" s="79">
        <v>3556</v>
      </c>
      <c r="H96" s="149" t="s">
        <v>3254</v>
      </c>
      <c r="I96" s="16" t="s">
        <v>365</v>
      </c>
      <c r="J96" s="73">
        <v>15.79</v>
      </c>
      <c r="K96" s="73">
        <v>9.41</v>
      </c>
      <c r="L96" s="73">
        <v>26.94</v>
      </c>
      <c r="M96" s="323">
        <v>11.21</v>
      </c>
      <c r="N96" s="318">
        <f t="shared" si="117"/>
        <v>63.35</v>
      </c>
      <c r="O96" s="81">
        <f>IFERROR(VLOOKUP($G96,'321買'!A:E,3,0),"'沒有資料'")</f>
        <v>43</v>
      </c>
      <c r="P96" s="380">
        <f>IFERROR(VLOOKUP($G96,'321買'!$A:$G,7,0),"'沒有資料'")</f>
        <v>89</v>
      </c>
      <c r="Q96" s="245" t="s">
        <v>5088</v>
      </c>
      <c r="R96" s="297">
        <f>IFERROR(RANK(VLOOKUP($G96,連買!$A:$D,4,0),連買!$D:$D,0),"'沒有資料'")</f>
        <v>242</v>
      </c>
      <c r="S96" s="45">
        <v>3.45</v>
      </c>
      <c r="T96" s="353">
        <f t="shared" si="118"/>
        <v>3.8851351351351357E-2</v>
      </c>
      <c r="U96" s="95">
        <v>5.72</v>
      </c>
      <c r="V96" s="36">
        <v>88.8</v>
      </c>
      <c r="W96" s="66">
        <v>86.7</v>
      </c>
      <c r="X96" s="15">
        <f t="shared" si="119"/>
        <v>2.0999999999999943</v>
      </c>
      <c r="Y96" s="63">
        <f t="shared" si="120"/>
        <v>2.4221453287197166E-2</v>
      </c>
      <c r="Z96" s="413">
        <v>-26.67</v>
      </c>
      <c r="AA96" s="126"/>
      <c r="AD96" s="16" t="s">
        <v>365</v>
      </c>
      <c r="AE96" s="84">
        <v>44606</v>
      </c>
      <c r="AF96" s="86">
        <v>44606</v>
      </c>
      <c r="AG96" s="33">
        <f t="shared" si="121"/>
        <v>0</v>
      </c>
      <c r="AH96" s="43" t="s">
        <v>2540</v>
      </c>
      <c r="AI96" s="63"/>
      <c r="AJ96" s="307"/>
      <c r="AK96" s="339"/>
      <c r="AM96" s="264"/>
      <c r="AN96" s="264"/>
    </row>
    <row r="97" spans="1:40">
      <c r="A97" s="130" t="s">
        <v>2364</v>
      </c>
      <c r="B97" s="79">
        <v>23</v>
      </c>
      <c r="C97" s="79">
        <v>31</v>
      </c>
      <c r="D97" s="79">
        <v>13</v>
      </c>
      <c r="E97" s="79">
        <v>123</v>
      </c>
      <c r="F97" s="57">
        <v>18.86</v>
      </c>
      <c r="G97" s="79">
        <v>6104</v>
      </c>
      <c r="H97" s="149" t="s">
        <v>3254</v>
      </c>
      <c r="I97" s="16" t="s">
        <v>374</v>
      </c>
      <c r="J97" s="73">
        <v>26.89</v>
      </c>
      <c r="K97" s="73">
        <v>28.29</v>
      </c>
      <c r="L97" s="73">
        <v>62.64</v>
      </c>
      <c r="M97" s="323">
        <v>8.57</v>
      </c>
      <c r="N97" s="318">
        <f t="shared" si="117"/>
        <v>126.38999999999999</v>
      </c>
      <c r="O97" s="81">
        <f>IFERROR(VLOOKUP($G97,'321買'!A:E,3,0),"'沒有資料'")</f>
        <v>116</v>
      </c>
      <c r="P97" s="380">
        <f>IFERROR(VLOOKUP($G97,'321買'!$A:$G,7,0),"'沒有資料'")</f>
        <v>2</v>
      </c>
      <c r="Q97" s="245" t="s">
        <v>5088</v>
      </c>
      <c r="R97" s="297">
        <f>IFERROR(RANK(VLOOKUP($G97,連買!$A:$D,4,0),連買!$D:$D,0),"'沒有資料'")</f>
        <v>90</v>
      </c>
      <c r="S97" s="45">
        <v>3</v>
      </c>
      <c r="T97" s="353">
        <f t="shared" si="118"/>
        <v>1.1952191235059761E-2</v>
      </c>
      <c r="U97" s="95">
        <v>4.42</v>
      </c>
      <c r="V97" s="36">
        <v>251</v>
      </c>
      <c r="W97" s="66">
        <v>245</v>
      </c>
      <c r="X97" s="15">
        <f t="shared" si="119"/>
        <v>6</v>
      </c>
      <c r="Y97" s="63">
        <f t="shared" si="120"/>
        <v>2.4489795918367346E-2</v>
      </c>
      <c r="Z97" s="413">
        <v>-4.46</v>
      </c>
      <c r="AA97" s="126"/>
      <c r="AD97" s="16" t="s">
        <v>374</v>
      </c>
      <c r="AE97" s="84">
        <v>44603</v>
      </c>
      <c r="AF97" s="86">
        <v>44603</v>
      </c>
      <c r="AG97" s="33">
        <f t="shared" si="121"/>
        <v>0</v>
      </c>
      <c r="AH97" s="43" t="s">
        <v>3261</v>
      </c>
      <c r="AI97" s="63"/>
      <c r="AJ97" s="307"/>
      <c r="AK97" s="221"/>
      <c r="AM97" s="264"/>
      <c r="AN97" s="264"/>
    </row>
    <row r="98" spans="1:40">
      <c r="A98" s="130" t="s">
        <v>2364</v>
      </c>
      <c r="B98" s="79">
        <v>23</v>
      </c>
      <c r="C98" s="79">
        <v>31</v>
      </c>
      <c r="D98" s="79">
        <v>13</v>
      </c>
      <c r="E98" s="79">
        <v>123</v>
      </c>
      <c r="F98" s="57">
        <v>18.86</v>
      </c>
      <c r="G98" s="79">
        <v>6104</v>
      </c>
      <c r="H98" s="149" t="s">
        <v>3254</v>
      </c>
      <c r="I98" s="16" t="s">
        <v>374</v>
      </c>
      <c r="J98" s="73">
        <v>26.89</v>
      </c>
      <c r="K98" s="73">
        <v>27.12</v>
      </c>
      <c r="L98" s="73">
        <v>59.54</v>
      </c>
      <c r="M98" s="323">
        <v>8.57</v>
      </c>
      <c r="N98" s="318">
        <f t="shared" si="117"/>
        <v>122.12</v>
      </c>
      <c r="O98" s="81">
        <f>IFERROR(VLOOKUP($G98,'321買'!A:E,3,0),"'沒有資料'")</f>
        <v>116</v>
      </c>
      <c r="P98" s="380">
        <f>IFERROR(VLOOKUP($G98,'321買'!$A:$G,7,0),"'沒有資料'")</f>
        <v>2</v>
      </c>
      <c r="Q98" s="245" t="s">
        <v>5088</v>
      </c>
      <c r="R98" s="297">
        <f>IFERROR(RANK(VLOOKUP($G98,連買!$A:$D,4,0),連買!$D:$D,0),"'沒有資料'")</f>
        <v>90</v>
      </c>
      <c r="S98" s="45">
        <v>3</v>
      </c>
      <c r="T98" s="353">
        <f t="shared" si="118"/>
        <v>1.1952191235059761E-2</v>
      </c>
      <c r="U98" s="95">
        <v>4.42</v>
      </c>
      <c r="V98" s="36">
        <v>251</v>
      </c>
      <c r="W98" s="66">
        <v>258</v>
      </c>
      <c r="X98" s="15">
        <f t="shared" si="119"/>
        <v>-7</v>
      </c>
      <c r="Y98" s="76">
        <f t="shared" si="120"/>
        <v>-2.7131782945736434E-2</v>
      </c>
      <c r="Z98" s="413">
        <v>0</v>
      </c>
      <c r="AA98" s="126"/>
      <c r="AD98" s="16" t="s">
        <v>374</v>
      </c>
      <c r="AE98" s="84">
        <v>44602</v>
      </c>
      <c r="AF98" s="83">
        <v>44603</v>
      </c>
      <c r="AG98" s="33">
        <f t="shared" si="121"/>
        <v>1</v>
      </c>
      <c r="AH98" s="43" t="s">
        <v>3261</v>
      </c>
      <c r="AI98" s="63"/>
      <c r="AJ98" s="307"/>
      <c r="AK98" s="221"/>
      <c r="AM98" s="264"/>
      <c r="AN98" s="264"/>
    </row>
    <row r="99" spans="1:40">
      <c r="A99" s="146" t="s">
        <v>4704</v>
      </c>
      <c r="B99" s="79">
        <v>16</v>
      </c>
      <c r="C99" s="79">
        <v>0</v>
      </c>
      <c r="D99" s="79">
        <v>25</v>
      </c>
      <c r="E99" s="79">
        <v>10</v>
      </c>
      <c r="F99" s="6">
        <v>5.41</v>
      </c>
      <c r="G99" s="79">
        <v>3558</v>
      </c>
      <c r="H99" s="8" t="s">
        <v>313</v>
      </c>
      <c r="I99" s="16" t="s">
        <v>4705</v>
      </c>
      <c r="J99" s="73">
        <v>45.85</v>
      </c>
      <c r="K99" s="73">
        <v>6.87</v>
      </c>
      <c r="L99" s="73">
        <v>10.85</v>
      </c>
      <c r="M99" s="323">
        <v>40.380000000000003</v>
      </c>
      <c r="N99" s="318">
        <f t="shared" si="117"/>
        <v>103.95</v>
      </c>
      <c r="O99" s="81">
        <f>IFERROR(VLOOKUP($G99,'321買'!A:E,3,0),"'沒有資料'")</f>
        <v>11</v>
      </c>
      <c r="P99" s="380">
        <f>IFERROR(VLOOKUP($G99,'321買'!$A:$G,7,0),"'沒有資料'")</f>
        <v>290</v>
      </c>
      <c r="Q99" s="245" t="s">
        <v>5088</v>
      </c>
      <c r="R99" s="297">
        <f>IFERROR(RANK(VLOOKUP($G99,連買!$A:$D,4,0),連買!$D:$D,0),"'沒有資料'")</f>
        <v>131</v>
      </c>
      <c r="S99" s="45">
        <v>4</v>
      </c>
      <c r="T99" s="353">
        <f t="shared" si="118"/>
        <v>3.3057851239669422E-2</v>
      </c>
      <c r="U99" s="95">
        <v>8.49</v>
      </c>
      <c r="V99" s="36">
        <v>121</v>
      </c>
      <c r="W99" s="66">
        <v>119</v>
      </c>
      <c r="X99" s="15">
        <f t="shared" si="119"/>
        <v>2</v>
      </c>
      <c r="Y99" s="63">
        <f t="shared" si="120"/>
        <v>1.680672268907563E-2</v>
      </c>
      <c r="Z99" s="413">
        <v>-2.46</v>
      </c>
      <c r="AA99" s="126"/>
      <c r="AD99" s="16" t="s">
        <v>4705</v>
      </c>
      <c r="AE99" s="84">
        <v>44601</v>
      </c>
      <c r="AF99" s="83">
        <v>44603</v>
      </c>
      <c r="AG99" s="33">
        <f t="shared" si="121"/>
        <v>2</v>
      </c>
      <c r="AH99" s="120" t="s">
        <v>4706</v>
      </c>
      <c r="AI99" s="63"/>
      <c r="AJ99" s="307"/>
      <c r="AK99" s="339"/>
      <c r="AM99" s="264"/>
      <c r="AN99" s="264"/>
    </row>
    <row r="100" spans="1:40">
      <c r="A100" s="130" t="s">
        <v>3723</v>
      </c>
      <c r="B100" s="79">
        <v>254</v>
      </c>
      <c r="C100" s="79">
        <v>240</v>
      </c>
      <c r="D100" s="79">
        <v>4</v>
      </c>
      <c r="E100" s="79">
        <v>69</v>
      </c>
      <c r="F100" s="57">
        <v>20.85</v>
      </c>
      <c r="G100" s="79">
        <v>6706</v>
      </c>
      <c r="H100" s="5" t="s">
        <v>308</v>
      </c>
      <c r="I100" s="22" t="s">
        <v>1826</v>
      </c>
      <c r="J100" s="323">
        <v>23.99</v>
      </c>
      <c r="K100" s="73">
        <v>24.21</v>
      </c>
      <c r="L100" s="323">
        <v>31.18</v>
      </c>
      <c r="M100" s="323">
        <v>11.36</v>
      </c>
      <c r="N100" s="318">
        <f t="shared" si="117"/>
        <v>90.74</v>
      </c>
      <c r="O100" s="81">
        <f>IFERROR(VLOOKUP($G100,'321買'!A:E,3,0),"'沒有資料'")</f>
        <v>67</v>
      </c>
      <c r="P100" s="380">
        <f>IFERROR(VLOOKUP($G100,'321買'!$A:$G,7,0),"'沒有資料'")</f>
        <v>19</v>
      </c>
      <c r="Q100" s="245" t="s">
        <v>5088</v>
      </c>
      <c r="R100" s="297">
        <f>IFERROR(RANK(VLOOKUP($G100,連買!$A:$D,4,0),連買!$D:$D,0),"'沒有資料'")</f>
        <v>264</v>
      </c>
      <c r="S100" s="45">
        <v>4</v>
      </c>
      <c r="T100" s="353">
        <f t="shared" si="118"/>
        <v>1.5810276679841896E-2</v>
      </c>
      <c r="U100" s="95">
        <v>11.85</v>
      </c>
      <c r="V100" s="36">
        <v>253</v>
      </c>
      <c r="W100" s="66">
        <v>247.5</v>
      </c>
      <c r="X100" s="15">
        <f t="shared" si="119"/>
        <v>5.5</v>
      </c>
      <c r="Y100" s="63">
        <f t="shared" si="120"/>
        <v>2.2222222222222223E-2</v>
      </c>
      <c r="Z100" s="413">
        <v>-7.34</v>
      </c>
      <c r="AA100" s="126"/>
      <c r="AD100" s="22" t="s">
        <v>1826</v>
      </c>
      <c r="AE100" s="84">
        <v>44601</v>
      </c>
      <c r="AF100" s="86">
        <v>44601</v>
      </c>
      <c r="AG100" s="33">
        <f t="shared" si="121"/>
        <v>0</v>
      </c>
      <c r="AH100" s="122" t="s">
        <v>1970</v>
      </c>
      <c r="AI100" s="63"/>
      <c r="AJ100" s="307"/>
      <c r="AK100" s="339"/>
      <c r="AM100" s="264"/>
      <c r="AN100" s="264"/>
    </row>
    <row r="101" spans="1:40">
      <c r="A101" s="130" t="s">
        <v>3873</v>
      </c>
      <c r="B101" s="79">
        <v>135</v>
      </c>
      <c r="C101" s="79">
        <v>168</v>
      </c>
      <c r="D101" s="79">
        <v>0</v>
      </c>
      <c r="E101" s="79">
        <v>29</v>
      </c>
      <c r="F101" s="57">
        <v>18.399999999999999</v>
      </c>
      <c r="G101" s="79">
        <v>3455</v>
      </c>
      <c r="H101" s="5" t="s">
        <v>308</v>
      </c>
      <c r="I101" s="16" t="s">
        <v>4513</v>
      </c>
      <c r="J101" s="323">
        <v>13.94</v>
      </c>
      <c r="K101" s="73">
        <v>9.6300000000000008</v>
      </c>
      <c r="L101" s="73">
        <v>56.59</v>
      </c>
      <c r="M101" s="323">
        <v>9.02</v>
      </c>
      <c r="N101" s="318">
        <f t="shared" si="117"/>
        <v>89.179999999999993</v>
      </c>
      <c r="O101" s="81">
        <f>IFERROR(VLOOKUP($G101,'321買'!A:E,3,0),"'沒有資料'")</f>
        <v>39</v>
      </c>
      <c r="P101" s="380">
        <f>IFERROR(VLOOKUP($G101,'321買'!$A:$G,7,0),"'沒有資料'")</f>
        <v>77</v>
      </c>
      <c r="Q101" s="245" t="s">
        <v>5097</v>
      </c>
      <c r="R101" s="297">
        <f>IFERROR(RANK(VLOOKUP($G101,連買!$A:$D,4,0),連買!$D:$D,0),"'沒有資料'")</f>
        <v>301</v>
      </c>
      <c r="S101" s="45">
        <v>4</v>
      </c>
      <c r="T101" s="353">
        <f t="shared" si="118"/>
        <v>3.5555555555555556E-2</v>
      </c>
      <c r="U101" s="95">
        <v>6.76</v>
      </c>
      <c r="V101" s="36">
        <v>112.5</v>
      </c>
      <c r="W101" s="66">
        <v>110.5</v>
      </c>
      <c r="X101" s="15">
        <f t="shared" si="119"/>
        <v>2</v>
      </c>
      <c r="Y101" s="63">
        <f t="shared" si="120"/>
        <v>1.8099547511312219E-2</v>
      </c>
      <c r="Z101" s="413">
        <v>-7.56</v>
      </c>
      <c r="AA101" s="126"/>
      <c r="AD101" s="16" t="s">
        <v>4513</v>
      </c>
      <c r="AE101" s="84">
        <v>44601</v>
      </c>
      <c r="AF101" s="86">
        <v>44601</v>
      </c>
      <c r="AG101" s="33">
        <f t="shared" si="121"/>
        <v>0</v>
      </c>
      <c r="AH101" s="43" t="s">
        <v>2617</v>
      </c>
      <c r="AI101" s="63"/>
      <c r="AJ101" s="307"/>
      <c r="AM101" s="264"/>
      <c r="AN101" s="264"/>
    </row>
    <row r="102" spans="1:40">
      <c r="A102" s="146" t="s">
        <v>1604</v>
      </c>
      <c r="B102" s="80">
        <v>-60</v>
      </c>
      <c r="C102" s="80">
        <v>-58</v>
      </c>
      <c r="D102" s="79">
        <v>15</v>
      </c>
      <c r="E102" s="79">
        <v>70</v>
      </c>
      <c r="F102" s="6">
        <v>1.66</v>
      </c>
      <c r="G102" s="79">
        <v>3548</v>
      </c>
      <c r="H102" s="8" t="s">
        <v>310</v>
      </c>
      <c r="I102" s="16" t="s">
        <v>141</v>
      </c>
      <c r="J102" s="73">
        <v>29.11</v>
      </c>
      <c r="K102" s="73">
        <v>5.31</v>
      </c>
      <c r="L102" s="323">
        <v>43.8</v>
      </c>
      <c r="M102" s="73">
        <v>21.73</v>
      </c>
      <c r="N102" s="318">
        <f t="shared" si="117"/>
        <v>99.95</v>
      </c>
      <c r="O102" s="81">
        <f>IFERROR(VLOOKUP($G102,'321買'!A:E,3,0),"'沒有資料'")</f>
        <v>16</v>
      </c>
      <c r="P102" s="380">
        <f>IFERROR(VLOOKUP($G102,'321買'!$A:$G,7,0),"'沒有資料'")</f>
        <v>290</v>
      </c>
      <c r="Q102" s="245" t="s">
        <v>5088</v>
      </c>
      <c r="R102" s="297">
        <f>IFERROR(RANK(VLOOKUP($G102,連買!$A:$D,4,0),連買!$D:$D,0),"'沒有資料'")</f>
        <v>316</v>
      </c>
      <c r="S102" s="34">
        <v>2.5</v>
      </c>
      <c r="T102" s="353">
        <f t="shared" si="118"/>
        <v>3.2216494845360828E-2</v>
      </c>
      <c r="U102" s="95">
        <v>2.6</v>
      </c>
      <c r="V102" s="36">
        <v>77.599999999999994</v>
      </c>
      <c r="W102" s="66">
        <v>75.8</v>
      </c>
      <c r="X102" s="15">
        <f t="shared" si="119"/>
        <v>1.7999999999999972</v>
      </c>
      <c r="Y102" s="63">
        <f t="shared" si="120"/>
        <v>2.3746701846965663E-2</v>
      </c>
      <c r="Z102" s="413">
        <v>-10.71</v>
      </c>
      <c r="AA102" s="126"/>
      <c r="AD102" s="16" t="s">
        <v>141</v>
      </c>
      <c r="AE102" s="84">
        <v>44601</v>
      </c>
      <c r="AF102" s="86">
        <v>44601</v>
      </c>
      <c r="AG102" s="33">
        <f t="shared" si="121"/>
        <v>0</v>
      </c>
      <c r="AH102" s="120" t="s">
        <v>3075</v>
      </c>
      <c r="AI102" s="63"/>
      <c r="AJ102" s="307"/>
      <c r="AK102" s="339"/>
      <c r="AM102" s="264"/>
      <c r="AN102" s="264"/>
    </row>
    <row r="103" spans="1:40">
      <c r="A103" s="130" t="s">
        <v>1727</v>
      </c>
      <c r="B103" s="79">
        <v>144</v>
      </c>
      <c r="C103" s="79">
        <v>119</v>
      </c>
      <c r="D103" s="79">
        <v>0</v>
      </c>
      <c r="E103" s="79">
        <v>13</v>
      </c>
      <c r="F103" s="57">
        <v>11.15</v>
      </c>
      <c r="G103" s="79">
        <v>8938</v>
      </c>
      <c r="H103" s="8" t="s">
        <v>2084</v>
      </c>
      <c r="I103" s="16" t="s">
        <v>86</v>
      </c>
      <c r="J103" s="73">
        <v>52.06</v>
      </c>
      <c r="K103" s="73">
        <v>11.41</v>
      </c>
      <c r="L103" s="73">
        <v>5.09</v>
      </c>
      <c r="M103" s="73">
        <v>15.15</v>
      </c>
      <c r="N103" s="318">
        <f t="shared" si="117"/>
        <v>83.710000000000008</v>
      </c>
      <c r="O103" s="81">
        <f>IFERROR(VLOOKUP($G103,'321買'!A:E,3,0),"'沒有資料'")</f>
        <v>22</v>
      </c>
      <c r="P103" s="380">
        <f>IFERROR(VLOOKUP($G103,'321買'!$A:$G,7,0),"'沒有資料'")</f>
        <v>222</v>
      </c>
      <c r="Q103" s="245" t="s">
        <v>5093</v>
      </c>
      <c r="R103" s="297">
        <f>IFERROR(RANK(VLOOKUP($G103,連買!$A:$D,4,0),連買!$D:$D,0),"'沒有資料'")</f>
        <v>313</v>
      </c>
      <c r="S103" s="34">
        <v>2.7</v>
      </c>
      <c r="T103" s="353">
        <f t="shared" si="118"/>
        <v>3.2258064516129031E-2</v>
      </c>
      <c r="U103" s="57">
        <v>9</v>
      </c>
      <c r="V103" s="36">
        <v>83.7</v>
      </c>
      <c r="W103" s="66">
        <v>82</v>
      </c>
      <c r="X103" s="15">
        <f t="shared" si="119"/>
        <v>1.7000000000000028</v>
      </c>
      <c r="Y103" s="63">
        <f t="shared" si="120"/>
        <v>2.0731707317073206E-2</v>
      </c>
      <c r="Z103" s="413">
        <v>-14.26</v>
      </c>
      <c r="AA103" s="126"/>
      <c r="AD103" s="16" t="s">
        <v>86</v>
      </c>
      <c r="AE103" s="84">
        <v>44599</v>
      </c>
      <c r="AF103" s="83">
        <v>44601</v>
      </c>
      <c r="AG103" s="33">
        <f t="shared" si="121"/>
        <v>2</v>
      </c>
      <c r="AH103" s="43" t="s">
        <v>3275</v>
      </c>
      <c r="AI103" s="63"/>
      <c r="AJ103" s="307"/>
      <c r="AK103" s="339"/>
      <c r="AM103" s="264"/>
      <c r="AN103" s="264"/>
    </row>
    <row r="104" spans="1:40">
      <c r="A104" s="130" t="s">
        <v>2270</v>
      </c>
      <c r="B104" s="79">
        <v>18</v>
      </c>
      <c r="C104" s="79">
        <v>10</v>
      </c>
      <c r="D104" s="80">
        <v>-3</v>
      </c>
      <c r="E104" s="79">
        <v>10</v>
      </c>
      <c r="F104" s="57">
        <v>26.73</v>
      </c>
      <c r="G104" s="79">
        <v>3526</v>
      </c>
      <c r="H104" s="8" t="s">
        <v>310</v>
      </c>
      <c r="I104" s="16" t="s">
        <v>156</v>
      </c>
      <c r="J104" s="73">
        <v>35.17</v>
      </c>
      <c r="K104" s="323">
        <v>13.79</v>
      </c>
      <c r="L104" s="73">
        <v>19.98</v>
      </c>
      <c r="M104" s="323">
        <v>28.98</v>
      </c>
      <c r="N104" s="318">
        <f t="shared" si="117"/>
        <v>97.92</v>
      </c>
      <c r="O104" s="81">
        <f>IFERROR(VLOOKUP($G104,'321買'!A:E,3,0),"'沒有資料'")</f>
        <v>53</v>
      </c>
      <c r="P104" s="380">
        <f>IFERROR(VLOOKUP($G104,'321買'!$A:$G,7,0),"'沒有資料'")</f>
        <v>52</v>
      </c>
      <c r="Q104" s="245" t="s">
        <v>5097</v>
      </c>
      <c r="R104" s="297">
        <f>IFERROR(RANK(VLOOKUP($G104,連買!$A:$D,4,0),連買!$D:$D,0),"'沒有資料'")</f>
        <v>65</v>
      </c>
      <c r="S104" s="45">
        <v>9.1300000000000008</v>
      </c>
      <c r="T104" s="353">
        <f t="shared" si="118"/>
        <v>4.3270142180094791E-2</v>
      </c>
      <c r="U104" s="95">
        <v>9.74</v>
      </c>
      <c r="V104" s="36">
        <v>211</v>
      </c>
      <c r="W104" s="66">
        <v>207</v>
      </c>
      <c r="X104" s="15">
        <f t="shared" si="119"/>
        <v>4</v>
      </c>
      <c r="Y104" s="63">
        <f t="shared" si="120"/>
        <v>1.932367149758454E-2</v>
      </c>
      <c r="Z104" s="413">
        <v>-8.59</v>
      </c>
      <c r="AD104" s="16" t="s">
        <v>156</v>
      </c>
      <c r="AE104" s="84">
        <v>44600</v>
      </c>
      <c r="AF104" s="83">
        <v>44601</v>
      </c>
      <c r="AG104" s="33">
        <f t="shared" si="121"/>
        <v>1</v>
      </c>
      <c r="AH104" s="120" t="s">
        <v>2016</v>
      </c>
      <c r="AI104" s="63"/>
      <c r="AJ104" s="307"/>
      <c r="AK104" s="344"/>
      <c r="AM104" s="264"/>
      <c r="AN104" s="264"/>
    </row>
    <row r="105" spans="1:40">
      <c r="A105" s="130" t="s">
        <v>3723</v>
      </c>
      <c r="B105" s="79">
        <v>254</v>
      </c>
      <c r="C105" s="79">
        <v>240</v>
      </c>
      <c r="D105" s="79">
        <v>4</v>
      </c>
      <c r="E105" s="79">
        <v>69</v>
      </c>
      <c r="F105" s="57">
        <v>20.85</v>
      </c>
      <c r="G105" s="79">
        <v>6706</v>
      </c>
      <c r="H105" s="5" t="s">
        <v>308</v>
      </c>
      <c r="I105" s="22" t="s">
        <v>1826</v>
      </c>
      <c r="J105" s="323">
        <v>23.99</v>
      </c>
      <c r="K105" s="73">
        <v>23.23</v>
      </c>
      <c r="L105" s="73">
        <v>31.78</v>
      </c>
      <c r="M105" s="323">
        <v>11.36</v>
      </c>
      <c r="N105" s="318">
        <f t="shared" si="117"/>
        <v>90.36</v>
      </c>
      <c r="O105" s="81">
        <f>IFERROR(VLOOKUP($G105,'321買'!A:E,3,0),"'沒有資料'")</f>
        <v>67</v>
      </c>
      <c r="P105" s="380">
        <f>IFERROR(VLOOKUP($G105,'321買'!$A:$G,7,0),"'沒有資料'")</f>
        <v>19</v>
      </c>
      <c r="Q105" s="245" t="s">
        <v>5088</v>
      </c>
      <c r="R105" s="297">
        <f>IFERROR(RANK(VLOOKUP($G105,連買!$A:$D,4,0),連買!$D:$D,0),"'沒有資料'")</f>
        <v>264</v>
      </c>
      <c r="S105" s="45">
        <v>4</v>
      </c>
      <c r="T105" s="353">
        <f t="shared" si="118"/>
        <v>1.680672268907563E-2</v>
      </c>
      <c r="U105" s="95">
        <v>11.85</v>
      </c>
      <c r="V105" s="36">
        <v>238</v>
      </c>
      <c r="W105" s="66">
        <v>232.5</v>
      </c>
      <c r="X105" s="15">
        <f t="shared" si="119"/>
        <v>5.5</v>
      </c>
      <c r="Y105" s="63">
        <f t="shared" si="120"/>
        <v>2.3655913978494623E-2</v>
      </c>
      <c r="Z105" s="413">
        <v>-8.49</v>
      </c>
      <c r="AA105" s="126"/>
      <c r="AD105" s="22" t="s">
        <v>1826</v>
      </c>
      <c r="AE105" s="84">
        <v>44600</v>
      </c>
      <c r="AF105" s="86">
        <v>44600</v>
      </c>
      <c r="AG105" s="33">
        <f t="shared" si="121"/>
        <v>0</v>
      </c>
      <c r="AH105" s="122" t="s">
        <v>1970</v>
      </c>
      <c r="AI105" s="63"/>
      <c r="AJ105" s="307"/>
      <c r="AK105" s="339"/>
      <c r="AM105" s="264"/>
      <c r="AN105" s="264"/>
    </row>
    <row r="106" spans="1:40">
      <c r="A106" s="130" t="s">
        <v>2364</v>
      </c>
      <c r="B106" s="79">
        <v>23</v>
      </c>
      <c r="C106" s="79">
        <v>31</v>
      </c>
      <c r="D106" s="79">
        <v>12</v>
      </c>
      <c r="E106" s="79">
        <v>90</v>
      </c>
      <c r="F106" s="57">
        <v>18.86</v>
      </c>
      <c r="G106" s="79">
        <v>6104</v>
      </c>
      <c r="H106" s="149" t="s">
        <v>3254</v>
      </c>
      <c r="I106" s="16" t="s">
        <v>374</v>
      </c>
      <c r="J106" s="73">
        <v>26.89</v>
      </c>
      <c r="K106" s="73">
        <v>23.02</v>
      </c>
      <c r="L106" s="73">
        <v>51.99</v>
      </c>
      <c r="M106" s="323">
        <v>8.57</v>
      </c>
      <c r="N106" s="318">
        <f t="shared" si="117"/>
        <v>110.47</v>
      </c>
      <c r="O106" s="81">
        <f>IFERROR(VLOOKUP($G106,'321買'!A:E,3,0),"'沒有資料'")</f>
        <v>116</v>
      </c>
      <c r="P106" s="380">
        <f>IFERROR(VLOOKUP($G106,'321買'!$A:$G,7,0),"'沒有資料'")</f>
        <v>2</v>
      </c>
      <c r="Q106" s="245" t="s">
        <v>5097</v>
      </c>
      <c r="R106" s="297">
        <f>IFERROR(RANK(VLOOKUP($G106,連買!$A:$D,4,0),連買!$D:$D,0),"'沒有資料'")</f>
        <v>90</v>
      </c>
      <c r="S106" s="45">
        <v>3</v>
      </c>
      <c r="T106" s="353">
        <f t="shared" si="118"/>
        <v>1.3698630136986301E-2</v>
      </c>
      <c r="U106" s="95">
        <v>4.42</v>
      </c>
      <c r="V106" s="36">
        <v>219</v>
      </c>
      <c r="W106" s="66">
        <v>214</v>
      </c>
      <c r="X106" s="15">
        <f t="shared" si="119"/>
        <v>5</v>
      </c>
      <c r="Y106" s="63">
        <f t="shared" si="120"/>
        <v>2.336448598130841E-2</v>
      </c>
      <c r="Z106" s="413">
        <v>-3.83</v>
      </c>
      <c r="AA106" s="126"/>
      <c r="AD106" s="16" t="s">
        <v>374</v>
      </c>
      <c r="AE106" s="84">
        <v>44600</v>
      </c>
      <c r="AF106" s="86">
        <v>44600</v>
      </c>
      <c r="AG106" s="33">
        <f t="shared" si="121"/>
        <v>0</v>
      </c>
      <c r="AH106" s="43" t="s">
        <v>3261</v>
      </c>
      <c r="AI106" s="63"/>
      <c r="AJ106" s="307"/>
      <c r="AK106" s="221"/>
      <c r="AM106" s="264"/>
      <c r="AN106" s="264"/>
    </row>
    <row r="107" spans="1:40">
      <c r="A107" s="146" t="s">
        <v>1604</v>
      </c>
      <c r="B107" s="80">
        <v>-60</v>
      </c>
      <c r="C107" s="80">
        <v>-58</v>
      </c>
      <c r="D107" s="79">
        <v>15</v>
      </c>
      <c r="E107" s="79">
        <v>70</v>
      </c>
      <c r="F107" s="6">
        <v>1.66</v>
      </c>
      <c r="G107" s="79">
        <v>3548</v>
      </c>
      <c r="H107" s="5" t="s">
        <v>3620</v>
      </c>
      <c r="I107" s="16" t="s">
        <v>141</v>
      </c>
      <c r="J107" s="73">
        <v>29.11</v>
      </c>
      <c r="K107" s="73">
        <v>4.4000000000000004</v>
      </c>
      <c r="L107" s="73">
        <v>47.7</v>
      </c>
      <c r="M107" s="73">
        <v>21.73</v>
      </c>
      <c r="N107" s="318">
        <f t="shared" si="117"/>
        <v>102.94000000000001</v>
      </c>
      <c r="O107" s="81">
        <f>IFERROR(VLOOKUP($G107,'321買'!A:E,3,0),"'沒有資料'")</f>
        <v>16</v>
      </c>
      <c r="P107" s="380">
        <f>IFERROR(VLOOKUP($G107,'321買'!$A:$G,7,0),"'沒有資料'")</f>
        <v>290</v>
      </c>
      <c r="Q107" s="245" t="s">
        <v>5088</v>
      </c>
      <c r="R107" s="297">
        <f>IFERROR(RANK(VLOOKUP($G107,連買!$A:$D,4,0),連買!$D:$D,0),"'沒有資料'")</f>
        <v>316</v>
      </c>
      <c r="S107" s="34">
        <v>2.5</v>
      </c>
      <c r="T107" s="353">
        <f t="shared" si="118"/>
        <v>3.3921302578018994E-2</v>
      </c>
      <c r="U107" s="95">
        <v>2.6</v>
      </c>
      <c r="V107" s="36">
        <v>73.7</v>
      </c>
      <c r="W107" s="66">
        <v>72.2</v>
      </c>
      <c r="X107" s="15">
        <f t="shared" si="119"/>
        <v>1.5</v>
      </c>
      <c r="Y107" s="63">
        <f t="shared" si="120"/>
        <v>2.077562326869806E-2</v>
      </c>
      <c r="Z107" s="413">
        <v>-18</v>
      </c>
      <c r="AA107" s="126"/>
      <c r="AD107" s="16" t="s">
        <v>141</v>
      </c>
      <c r="AE107" s="84">
        <v>44600</v>
      </c>
      <c r="AF107" s="86">
        <v>44600</v>
      </c>
      <c r="AG107" s="33">
        <f t="shared" si="121"/>
        <v>0</v>
      </c>
      <c r="AH107" s="120" t="s">
        <v>3075</v>
      </c>
      <c r="AI107" s="63"/>
      <c r="AJ107" s="307"/>
      <c r="AK107" s="339"/>
      <c r="AM107" s="264"/>
      <c r="AN107" s="264"/>
    </row>
    <row r="108" spans="1:40">
      <c r="A108" s="130" t="s">
        <v>3444</v>
      </c>
      <c r="B108" s="79">
        <v>84</v>
      </c>
      <c r="C108" s="79">
        <v>120</v>
      </c>
      <c r="D108" s="79">
        <v>2</v>
      </c>
      <c r="E108" s="79">
        <v>32</v>
      </c>
      <c r="F108" s="57">
        <v>15.8</v>
      </c>
      <c r="G108" s="80">
        <v>6548</v>
      </c>
      <c r="H108" s="204" t="s">
        <v>3254</v>
      </c>
      <c r="I108" s="16" t="s">
        <v>1404</v>
      </c>
      <c r="J108" s="323">
        <v>84.12</v>
      </c>
      <c r="K108" s="73">
        <v>6.06</v>
      </c>
      <c r="L108" s="323">
        <v>7.37</v>
      </c>
      <c r="M108" s="323">
        <v>63.22</v>
      </c>
      <c r="N108" s="73">
        <f t="shared" si="117"/>
        <v>160.77000000000001</v>
      </c>
      <c r="O108" s="81">
        <f>IFERROR(VLOOKUP($G108,'321買'!A:E,3,0),"'沒有資料'")</f>
        <v>105</v>
      </c>
      <c r="P108" s="380">
        <f>IFERROR(VLOOKUP($G108,'321買'!$A:$G,7,0),"'沒有資料'")</f>
        <v>4</v>
      </c>
      <c r="Q108" s="245" t="s">
        <v>5088</v>
      </c>
      <c r="R108" s="297">
        <f>IFERROR(RANK(VLOOKUP($G108,連買!$A:$D,4,0),連買!$D:$D,0),"'沒有資料'")</f>
        <v>218</v>
      </c>
      <c r="S108" s="45">
        <v>0.68</v>
      </c>
      <c r="T108" s="353">
        <f t="shared" si="118"/>
        <v>6.4761904761904765E-3</v>
      </c>
      <c r="U108" s="57">
        <v>3.64</v>
      </c>
      <c r="V108" s="36">
        <v>105</v>
      </c>
      <c r="W108" s="66">
        <v>99.4</v>
      </c>
      <c r="X108" s="15">
        <f t="shared" si="119"/>
        <v>5.5999999999999943</v>
      </c>
      <c r="Y108" s="63">
        <f t="shared" si="120"/>
        <v>5.6338028169014023E-2</v>
      </c>
      <c r="Z108" s="413">
        <v>-14.89</v>
      </c>
      <c r="AA108" s="126"/>
      <c r="AD108" s="16" t="s">
        <v>1404</v>
      </c>
      <c r="AE108" s="84">
        <v>44587</v>
      </c>
      <c r="AF108" s="83">
        <v>44600</v>
      </c>
      <c r="AG108" s="33">
        <f t="shared" si="121"/>
        <v>13</v>
      </c>
      <c r="AH108" s="120" t="s">
        <v>2990</v>
      </c>
      <c r="AI108" s="63"/>
      <c r="AJ108" s="307"/>
      <c r="AK108" s="339"/>
      <c r="AM108" s="264"/>
      <c r="AN108" s="264"/>
    </row>
    <row r="109" spans="1:40">
      <c r="A109" s="130" t="s">
        <v>2270</v>
      </c>
      <c r="B109" s="79">
        <v>18</v>
      </c>
      <c r="C109" s="79">
        <v>10</v>
      </c>
      <c r="D109" s="80">
        <v>-3</v>
      </c>
      <c r="E109" s="79">
        <v>10</v>
      </c>
      <c r="F109" s="57">
        <v>26.73</v>
      </c>
      <c r="G109" s="79">
        <v>3526</v>
      </c>
      <c r="H109" s="8" t="s">
        <v>310</v>
      </c>
      <c r="I109" s="16" t="s">
        <v>156</v>
      </c>
      <c r="J109" s="73">
        <v>35.17</v>
      </c>
      <c r="K109" s="73">
        <v>13.78</v>
      </c>
      <c r="L109" s="323">
        <v>14.45</v>
      </c>
      <c r="M109" s="323">
        <v>28.98</v>
      </c>
      <c r="N109" s="318">
        <f t="shared" si="117"/>
        <v>92.38000000000001</v>
      </c>
      <c r="O109" s="81">
        <f>IFERROR(VLOOKUP($G109,'321買'!A:E,3,0),"'沒有資料'")</f>
        <v>53</v>
      </c>
      <c r="P109" s="380">
        <f>IFERROR(VLOOKUP($G109,'321買'!$A:$G,7,0),"'沒有資料'")</f>
        <v>52</v>
      </c>
      <c r="Q109" s="245" t="s">
        <v>5093</v>
      </c>
      <c r="R109" s="297">
        <f>IFERROR(RANK(VLOOKUP($G109,連買!$A:$D,4,0),連買!$D:$D,0),"'沒有資料'")</f>
        <v>65</v>
      </c>
      <c r="S109" s="45">
        <v>9.1300000000000008</v>
      </c>
      <c r="T109" s="353">
        <f t="shared" si="118"/>
        <v>4.5310173697270473E-2</v>
      </c>
      <c r="U109" s="95">
        <v>9.74</v>
      </c>
      <c r="V109" s="36">
        <v>201.5</v>
      </c>
      <c r="W109" s="66">
        <v>197</v>
      </c>
      <c r="X109" s="15">
        <f t="shared" si="119"/>
        <v>4.5</v>
      </c>
      <c r="Y109" s="63">
        <f t="shared" si="120"/>
        <v>2.2842639593908629E-2</v>
      </c>
      <c r="Z109" s="413">
        <v>-16.52</v>
      </c>
      <c r="AD109" s="16" t="s">
        <v>156</v>
      </c>
      <c r="AE109" s="84">
        <v>44599</v>
      </c>
      <c r="AF109" s="86">
        <v>44599</v>
      </c>
      <c r="AG109" s="33">
        <f t="shared" si="121"/>
        <v>0</v>
      </c>
      <c r="AH109" s="120" t="s">
        <v>2016</v>
      </c>
      <c r="AI109" s="63"/>
      <c r="AJ109" s="307"/>
      <c r="AK109" s="344"/>
      <c r="AM109" s="264"/>
      <c r="AN109" s="264"/>
    </row>
    <row r="110" spans="1:40">
      <c r="A110" s="130" t="s">
        <v>1723</v>
      </c>
      <c r="B110" s="80">
        <v>-42</v>
      </c>
      <c r="C110" s="80">
        <v>-44</v>
      </c>
      <c r="D110" s="79">
        <v>4</v>
      </c>
      <c r="E110" s="79">
        <v>38</v>
      </c>
      <c r="F110" s="57">
        <v>14.35</v>
      </c>
      <c r="G110" s="79">
        <v>8155</v>
      </c>
      <c r="H110" s="8" t="s">
        <v>310</v>
      </c>
      <c r="I110" s="16" t="s">
        <v>84</v>
      </c>
      <c r="J110" s="323">
        <v>44.89</v>
      </c>
      <c r="K110" s="73">
        <v>21.03</v>
      </c>
      <c r="L110" s="323">
        <v>22.97</v>
      </c>
      <c r="M110" s="323">
        <v>28.34</v>
      </c>
      <c r="N110" s="318">
        <f t="shared" si="117"/>
        <v>117.23</v>
      </c>
      <c r="O110" s="81">
        <f>IFERROR(VLOOKUP($G110,'321買'!A:E,3,0),"'沒有資料'")</f>
        <v>86</v>
      </c>
      <c r="P110" s="380">
        <f>IFERROR(VLOOKUP($G110,'321買'!$A:$G,7,0),"'沒有資料'")</f>
        <v>9</v>
      </c>
      <c r="Q110" s="245" t="s">
        <v>5093</v>
      </c>
      <c r="R110" s="297">
        <f>IFERROR(RANK(VLOOKUP($G110,連買!$A:$D,4,0),連買!$D:$D,0),"'沒有資料'")</f>
        <v>88</v>
      </c>
      <c r="S110" s="45">
        <v>7</v>
      </c>
      <c r="T110" s="353">
        <f t="shared" si="118"/>
        <v>3.6363636363636362E-2</v>
      </c>
      <c r="U110" s="95">
        <v>6.99</v>
      </c>
      <c r="V110" s="36">
        <v>192.5</v>
      </c>
      <c r="W110" s="66">
        <v>188</v>
      </c>
      <c r="X110" s="15">
        <f t="shared" si="119"/>
        <v>4.5</v>
      </c>
      <c r="Y110" s="63">
        <f t="shared" si="120"/>
        <v>2.3936170212765957E-2</v>
      </c>
      <c r="Z110" s="413">
        <v>-5.91</v>
      </c>
      <c r="AA110" s="126"/>
      <c r="AD110" s="16" t="s">
        <v>84</v>
      </c>
      <c r="AE110" s="84">
        <v>44599</v>
      </c>
      <c r="AF110" s="86">
        <v>44599</v>
      </c>
      <c r="AG110" s="33">
        <f t="shared" si="121"/>
        <v>0</v>
      </c>
      <c r="AH110" s="120" t="s">
        <v>1054</v>
      </c>
      <c r="AI110" s="63"/>
      <c r="AJ110" s="307"/>
      <c r="AK110" s="339"/>
      <c r="AM110" s="264"/>
      <c r="AN110" s="264"/>
    </row>
    <row r="111" spans="1:40">
      <c r="A111" s="146" t="s">
        <v>1750</v>
      </c>
      <c r="B111" s="80">
        <v>-8</v>
      </c>
      <c r="C111" s="80">
        <v>-16</v>
      </c>
      <c r="D111" s="79">
        <v>1</v>
      </c>
      <c r="E111" s="79">
        <v>19</v>
      </c>
      <c r="F111" s="6">
        <v>9.17</v>
      </c>
      <c r="G111" s="79">
        <v>3324</v>
      </c>
      <c r="H111" s="5" t="s">
        <v>316</v>
      </c>
      <c r="I111" s="16" t="s">
        <v>228</v>
      </c>
      <c r="J111" s="73">
        <v>30.19</v>
      </c>
      <c r="K111" s="73">
        <v>22.26</v>
      </c>
      <c r="L111" s="323">
        <v>40.090000000000003</v>
      </c>
      <c r="M111" s="73">
        <v>19.989999999999998</v>
      </c>
      <c r="N111" s="318">
        <f t="shared" si="117"/>
        <v>112.53</v>
      </c>
      <c r="O111" s="81">
        <f>IFERROR(VLOOKUP($G111,'321買'!A:E,3,0),"'沒有資料'")</f>
        <v>76</v>
      </c>
      <c r="P111" s="380">
        <f>IFERROR(VLOOKUP($G111,'321買'!$A:$G,7,0),"'沒有資料'")</f>
        <v>24</v>
      </c>
      <c r="Q111" s="245" t="s">
        <v>5093</v>
      </c>
      <c r="R111" s="297">
        <f>IFERROR(RANK(VLOOKUP($G111,連買!$A:$D,4,0),連買!$D:$D,0),"'沒有資料'")</f>
        <v>60</v>
      </c>
      <c r="S111" s="45">
        <v>5.6</v>
      </c>
      <c r="T111" s="353">
        <f t="shared" si="118"/>
        <v>2.4190064794816415E-2</v>
      </c>
      <c r="U111" s="95">
        <v>12.05</v>
      </c>
      <c r="V111" s="36">
        <v>231.5</v>
      </c>
      <c r="W111" s="66">
        <v>226</v>
      </c>
      <c r="X111" s="15">
        <f t="shared" si="119"/>
        <v>5.5</v>
      </c>
      <c r="Y111" s="63">
        <f t="shared" si="120"/>
        <v>2.4336283185840708E-2</v>
      </c>
      <c r="Z111" s="413">
        <v>-4.5999999999999996</v>
      </c>
      <c r="AA111" s="126"/>
      <c r="AD111" s="16" t="s">
        <v>228</v>
      </c>
      <c r="AE111" s="84">
        <v>44599</v>
      </c>
      <c r="AF111" s="86">
        <v>44599</v>
      </c>
      <c r="AG111" s="33">
        <f t="shared" si="121"/>
        <v>0</v>
      </c>
      <c r="AH111" s="43" t="s">
        <v>3111</v>
      </c>
      <c r="AI111" s="63"/>
      <c r="AJ111" s="307"/>
      <c r="AK111" s="339"/>
      <c r="AM111" s="264"/>
      <c r="AN111" s="264"/>
    </row>
    <row r="112" spans="1:40">
      <c r="A112" s="146" t="s">
        <v>5089</v>
      </c>
      <c r="B112" s="79">
        <v>18</v>
      </c>
      <c r="C112" s="79">
        <v>9</v>
      </c>
      <c r="D112" s="79">
        <v>6</v>
      </c>
      <c r="E112" s="79">
        <v>44</v>
      </c>
      <c r="F112" s="6">
        <v>9.18</v>
      </c>
      <c r="G112" s="79">
        <v>3665</v>
      </c>
      <c r="H112" s="204" t="s">
        <v>316</v>
      </c>
      <c r="I112" s="22" t="s">
        <v>269</v>
      </c>
      <c r="J112" s="323">
        <v>57.22</v>
      </c>
      <c r="K112" s="73">
        <v>46.92</v>
      </c>
      <c r="L112" s="323">
        <v>8.9700000000000006</v>
      </c>
      <c r="M112" s="323">
        <v>4</v>
      </c>
      <c r="N112" s="318">
        <f t="shared" si="117"/>
        <v>117.11</v>
      </c>
      <c r="O112" s="81">
        <f>IFERROR(VLOOKUP($G112,'321買'!A:E,3,0),"'沒有資料'")</f>
        <v>19</v>
      </c>
      <c r="P112" s="380">
        <f>IFERROR(VLOOKUP($G112,'321買'!$A:$G,7,0),"'沒有資料'")</f>
        <v>273</v>
      </c>
      <c r="Q112" s="245" t="s">
        <v>5088</v>
      </c>
      <c r="R112" s="297">
        <f>IFERROR(RANK(VLOOKUP($G112,連買!$A:$D,4,0),連買!$D:$D,0),"'沒有資料'")</f>
        <v>30</v>
      </c>
      <c r="S112" s="45">
        <v>8.1</v>
      </c>
      <c r="T112" s="353">
        <f t="shared" si="118"/>
        <v>2.6470588235294117E-2</v>
      </c>
      <c r="U112" s="57">
        <v>15.51</v>
      </c>
      <c r="V112" s="13">
        <v>306</v>
      </c>
      <c r="W112" s="66">
        <v>291</v>
      </c>
      <c r="X112" s="15">
        <f t="shared" si="119"/>
        <v>15</v>
      </c>
      <c r="Y112" s="63">
        <f t="shared" si="120"/>
        <v>5.1546391752577317E-2</v>
      </c>
      <c r="Z112" s="413">
        <v>0</v>
      </c>
      <c r="AA112" s="126"/>
      <c r="AD112" s="22" t="s">
        <v>269</v>
      </c>
      <c r="AE112" s="84">
        <v>44587</v>
      </c>
      <c r="AF112" s="83">
        <v>44599</v>
      </c>
      <c r="AG112" s="33">
        <f t="shared" si="121"/>
        <v>12</v>
      </c>
      <c r="AH112" s="120" t="s">
        <v>2494</v>
      </c>
      <c r="AI112" s="63"/>
      <c r="AJ112" s="307"/>
      <c r="AK112" s="339"/>
      <c r="AM112" s="264"/>
      <c r="AN112" s="264"/>
    </row>
    <row r="113" spans="1:40" s="268" customFormat="1">
      <c r="A113" s="145"/>
      <c r="B113" s="79"/>
      <c r="C113" s="79"/>
      <c r="D113" s="79"/>
      <c r="E113" s="79"/>
      <c r="F113" s="6"/>
      <c r="G113" s="41"/>
      <c r="H113" s="8"/>
      <c r="I113" s="158"/>
      <c r="J113" s="323"/>
      <c r="K113" s="323"/>
      <c r="L113" s="323"/>
      <c r="M113" s="318"/>
      <c r="N113" s="318"/>
      <c r="O113" s="306"/>
      <c r="P113" s="380"/>
      <c r="Q113" s="389"/>
      <c r="R113" s="297"/>
      <c r="S113" s="107"/>
      <c r="T113" s="353"/>
      <c r="U113" s="95"/>
      <c r="V113" s="349">
        <f>SUM(V87:V112)</f>
        <v>5682.9999999999991</v>
      </c>
      <c r="W113" s="331">
        <f>SUM(W87:W112)</f>
        <v>5553.5999999999995</v>
      </c>
      <c r="X113" s="167">
        <f t="shared" si="119"/>
        <v>129.39999999999964</v>
      </c>
      <c r="Y113" s="163">
        <f t="shared" si="120"/>
        <v>2.3300201670988126E-2</v>
      </c>
      <c r="Z113" s="101"/>
      <c r="AA113" s="168"/>
      <c r="AD113" s="244">
        <f>V113*(0.001425*0.5)+V113*0.003+W113*(0.001425*0.5)</f>
        <v>25.055077499999996</v>
      </c>
      <c r="AE113" s="6">
        <f>X113-AD113</f>
        <v>104.34492249999964</v>
      </c>
      <c r="AF113" s="83"/>
      <c r="AG113" s="33"/>
      <c r="AH113" s="46" t="s">
        <v>5096</v>
      </c>
    </row>
    <row r="114" spans="1:40">
      <c r="B114" s="91"/>
      <c r="C114" s="91"/>
      <c r="D114" s="91"/>
      <c r="E114" s="91"/>
      <c r="F114" s="8"/>
      <c r="G114" s="26"/>
      <c r="H114" s="55"/>
      <c r="I114" s="50"/>
      <c r="J114" s="317"/>
      <c r="K114" s="317"/>
      <c r="L114" s="317"/>
      <c r="M114" s="317"/>
      <c r="N114" s="317"/>
      <c r="Q114" s="245"/>
      <c r="S114" s="10"/>
      <c r="T114" s="351"/>
      <c r="U114" s="68"/>
      <c r="V114" s="28"/>
      <c r="W114" s="17"/>
      <c r="X114" s="14"/>
      <c r="Y114" s="21"/>
      <c r="AA114" s="126"/>
      <c r="AD114" s="50"/>
      <c r="AE114" s="71"/>
      <c r="AF114" s="72"/>
      <c r="AG114" s="32"/>
      <c r="AH114" s="249"/>
      <c r="AI114" s="8"/>
      <c r="AJ114" s="50"/>
      <c r="AM114" s="126"/>
      <c r="AN114" s="251"/>
    </row>
    <row r="115" spans="1:40">
      <c r="A115" s="146" t="s">
        <v>5089</v>
      </c>
      <c r="B115" s="79">
        <v>18</v>
      </c>
      <c r="C115" s="79">
        <v>9</v>
      </c>
      <c r="D115" s="79">
        <v>6</v>
      </c>
      <c r="E115" s="79">
        <v>44</v>
      </c>
      <c r="F115" s="6">
        <v>9.18</v>
      </c>
      <c r="G115" s="79">
        <v>3665</v>
      </c>
      <c r="H115" s="204" t="s">
        <v>316</v>
      </c>
      <c r="I115" s="22" t="s">
        <v>269</v>
      </c>
      <c r="J115" s="323">
        <v>57.22</v>
      </c>
      <c r="K115" s="73">
        <v>45.1</v>
      </c>
      <c r="L115" s="323">
        <v>9.9</v>
      </c>
      <c r="M115" s="323">
        <v>4</v>
      </c>
      <c r="N115" s="318">
        <f>J115+K115+L115+M115</f>
        <v>116.22</v>
      </c>
      <c r="O115" s="81">
        <f>IFERROR(VLOOKUP($G115,'321買'!A:E,3,0),"'沒有資料'")</f>
        <v>19</v>
      </c>
      <c r="P115" s="380">
        <f>IFERROR(VLOOKUP($G115,'321買'!$A:$G,7,0),"'沒有資料'")</f>
        <v>273</v>
      </c>
      <c r="Q115" s="245" t="s">
        <v>5088</v>
      </c>
      <c r="R115" s="297">
        <f>IFERROR(RANK(VLOOKUP($G115,連買!$A:$D,4,0),連買!$D:$D,0),"'沒有資料'")</f>
        <v>30</v>
      </c>
      <c r="S115" s="45">
        <v>8.1</v>
      </c>
      <c r="T115" s="353">
        <f>S115/V115</f>
        <v>2.8723404255319149E-2</v>
      </c>
      <c r="U115" s="57">
        <v>15.51</v>
      </c>
      <c r="V115" s="13">
        <v>282</v>
      </c>
      <c r="W115" s="66">
        <v>276</v>
      </c>
      <c r="X115" s="15">
        <f>V115-W115</f>
        <v>6</v>
      </c>
      <c r="Y115" s="63">
        <f>X115/W115</f>
        <v>2.1739130434782608E-2</v>
      </c>
      <c r="Z115" s="413">
        <v>-2.29</v>
      </c>
      <c r="AA115" s="126"/>
      <c r="AD115" s="22" t="s">
        <v>269</v>
      </c>
      <c r="AE115" s="84">
        <v>44586</v>
      </c>
      <c r="AF115" s="86">
        <v>44586</v>
      </c>
      <c r="AG115" s="33">
        <f>AF115-AE115</f>
        <v>0</v>
      </c>
      <c r="AH115" s="120" t="s">
        <v>2494</v>
      </c>
      <c r="AI115" s="63"/>
      <c r="AJ115" s="307"/>
      <c r="AK115" s="339"/>
      <c r="AM115" s="264"/>
      <c r="AN115" s="264"/>
    </row>
    <row r="116" spans="1:40">
      <c r="A116" s="130" t="s">
        <v>3725</v>
      </c>
      <c r="B116" s="79">
        <v>73</v>
      </c>
      <c r="C116" s="79">
        <v>135</v>
      </c>
      <c r="D116" s="79">
        <v>0</v>
      </c>
      <c r="E116" s="79">
        <v>52</v>
      </c>
      <c r="F116" s="57">
        <v>18.690000000000001</v>
      </c>
      <c r="G116" s="80">
        <v>6182</v>
      </c>
      <c r="H116" s="255" t="s">
        <v>3254</v>
      </c>
      <c r="I116" s="16" t="s">
        <v>166</v>
      </c>
      <c r="J116" s="323">
        <v>36.03</v>
      </c>
      <c r="K116" s="73">
        <v>25.53</v>
      </c>
      <c r="L116" s="323">
        <v>28.48</v>
      </c>
      <c r="M116" s="323">
        <v>4.22</v>
      </c>
      <c r="N116" s="318">
        <f>J116+K116+L116+M116</f>
        <v>94.26</v>
      </c>
      <c r="O116" s="81">
        <f>IFERROR(VLOOKUP($G116,'321買'!A:E,3,0),"'沒有資料'")</f>
        <v>79</v>
      </c>
      <c r="P116" s="380">
        <f>IFERROR(VLOOKUP($G116,'321買'!$A:$G,7,0),"'沒有資料'")</f>
        <v>17</v>
      </c>
      <c r="Q116" s="245" t="s">
        <v>5088</v>
      </c>
      <c r="R116" s="297">
        <f>IFERROR(RANK(VLOOKUP($G116,連買!$A:$D,4,0),連買!$D:$D,0),"'沒有資料'")</f>
        <v>344</v>
      </c>
      <c r="S116" s="34">
        <v>1.1000000000000001</v>
      </c>
      <c r="T116" s="353">
        <f>S116/V116</f>
        <v>1.4416775884665795E-2</v>
      </c>
      <c r="U116" s="95">
        <v>1.54</v>
      </c>
      <c r="V116" s="36">
        <v>76.3</v>
      </c>
      <c r="W116" s="66">
        <v>74.5</v>
      </c>
      <c r="X116" s="15">
        <f>V116-W116</f>
        <v>1.7999999999999972</v>
      </c>
      <c r="Y116" s="63">
        <f>X116/W116</f>
        <v>2.4161073825503317E-2</v>
      </c>
      <c r="Z116" s="413">
        <v>-15.87</v>
      </c>
      <c r="AA116" s="264"/>
      <c r="AD116" s="16" t="s">
        <v>166</v>
      </c>
      <c r="AE116" s="84">
        <v>44586</v>
      </c>
      <c r="AF116" s="86">
        <v>44586</v>
      </c>
      <c r="AG116" s="33">
        <f>AF116-AE116</f>
        <v>0</v>
      </c>
      <c r="AH116" s="120" t="s">
        <v>2337</v>
      </c>
      <c r="AI116" s="63"/>
      <c r="AJ116" s="307"/>
      <c r="AK116" s="339"/>
      <c r="AM116" s="264"/>
      <c r="AN116" s="264"/>
    </row>
    <row r="117" spans="1:40" s="268" customFormat="1">
      <c r="A117" s="145"/>
      <c r="B117" s="79"/>
      <c r="C117" s="79"/>
      <c r="D117" s="79"/>
      <c r="E117" s="79"/>
      <c r="F117" s="6"/>
      <c r="G117" s="41"/>
      <c r="H117" s="8"/>
      <c r="I117" s="158"/>
      <c r="J117" s="323"/>
      <c r="K117" s="323"/>
      <c r="L117" s="323"/>
      <c r="M117" s="318"/>
      <c r="N117" s="318"/>
      <c r="O117" s="306"/>
      <c r="P117" s="380"/>
      <c r="Q117" s="389"/>
      <c r="R117" s="297"/>
      <c r="S117" s="197"/>
      <c r="T117" s="353"/>
      <c r="U117" s="95"/>
      <c r="V117" s="349">
        <f>SUM(V115:V116)</f>
        <v>358.3</v>
      </c>
      <c r="W117" s="331">
        <f>SUM(W115:W116)</f>
        <v>350.5</v>
      </c>
      <c r="X117" s="167">
        <f>V117-W117</f>
        <v>7.8000000000000114</v>
      </c>
      <c r="Y117" s="163">
        <f>X117/W117</f>
        <v>2.2253922967189761E-2</v>
      </c>
      <c r="Z117" s="101"/>
      <c r="AA117" s="168"/>
      <c r="AD117" s="244">
        <f>V117*(0.001425*0.5)+V117*0.003+W117*(0.001425*0.5)</f>
        <v>1.57992</v>
      </c>
      <c r="AE117" s="6">
        <f>X117-AD117</f>
        <v>6.2200800000000118</v>
      </c>
      <c r="AF117" s="83"/>
      <c r="AG117" s="33"/>
      <c r="AH117" s="46" t="s">
        <v>5095</v>
      </c>
    </row>
    <row r="118" spans="1:40" s="268" customFormat="1">
      <c r="A118" s="145"/>
      <c r="B118" s="79"/>
      <c r="C118" s="79"/>
      <c r="D118" s="79"/>
      <c r="E118" s="79"/>
      <c r="F118" s="6"/>
      <c r="G118" s="41"/>
      <c r="H118" s="8"/>
      <c r="I118" s="158"/>
      <c r="J118" s="323"/>
      <c r="K118" s="323"/>
      <c r="L118" s="323"/>
      <c r="M118" s="318"/>
      <c r="N118" s="318"/>
      <c r="O118" s="306"/>
      <c r="P118" s="380"/>
      <c r="Q118" s="389"/>
      <c r="R118" s="297"/>
      <c r="S118" s="197"/>
      <c r="T118" s="353"/>
      <c r="U118" s="95"/>
      <c r="V118" s="349"/>
      <c r="W118" s="331"/>
      <c r="X118" s="167"/>
      <c r="Y118" s="163"/>
      <c r="Z118" s="384"/>
      <c r="AA118" s="168"/>
      <c r="AD118" s="244"/>
      <c r="AE118" s="6"/>
      <c r="AF118" s="83"/>
      <c r="AG118" s="33"/>
      <c r="AH118" s="212"/>
    </row>
    <row r="119" spans="1:40">
      <c r="T119" s="355"/>
      <c r="AA119" s="126"/>
    </row>
    <row r="120" spans="1:40">
      <c r="T120" s="351"/>
      <c r="AA120" s="264"/>
    </row>
    <row r="121" spans="1:40">
      <c r="T121" s="351"/>
      <c r="AA121" s="126"/>
    </row>
    <row r="122" spans="1:40">
      <c r="T122" s="351"/>
      <c r="AA122" s="126"/>
    </row>
    <row r="123" spans="1:40">
      <c r="T123" s="351"/>
      <c r="AA123" s="126"/>
    </row>
    <row r="124" spans="1:40">
      <c r="T124" s="353"/>
      <c r="AA124" s="126"/>
    </row>
    <row r="125" spans="1:40">
      <c r="T125" s="353"/>
      <c r="AA125" s="264"/>
    </row>
    <row r="126" spans="1:40">
      <c r="T126" s="353"/>
      <c r="AA126" s="126"/>
    </row>
    <row r="127" spans="1:40">
      <c r="T127" s="353"/>
      <c r="AA127" s="126"/>
    </row>
    <row r="128" spans="1:40">
      <c r="T128" s="353"/>
      <c r="AA128" s="126"/>
    </row>
    <row r="129" spans="20:38">
      <c r="T129" s="353"/>
      <c r="AA129" s="264"/>
    </row>
    <row r="130" spans="20:38">
      <c r="T130" s="353"/>
      <c r="AA130" s="126"/>
    </row>
    <row r="131" spans="20:38">
      <c r="T131" s="353"/>
      <c r="AA131" s="126"/>
      <c r="AL131" s="303"/>
    </row>
    <row r="132" spans="20:38">
      <c r="T132" s="353"/>
      <c r="AA132" s="126"/>
      <c r="AL132" s="264"/>
    </row>
    <row r="133" spans="20:38">
      <c r="T133" s="353"/>
      <c r="AA133" s="126"/>
      <c r="AL133" s="264"/>
    </row>
    <row r="134" spans="20:38">
      <c r="T134" s="353"/>
      <c r="AA134" s="126"/>
      <c r="AL134" s="264"/>
    </row>
    <row r="135" spans="20:38">
      <c r="T135" s="353"/>
      <c r="AA135" s="264"/>
      <c r="AL135" s="264"/>
    </row>
    <row r="136" spans="20:38">
      <c r="T136" s="353"/>
      <c r="AA136" s="264"/>
      <c r="AK136" s="180"/>
      <c r="AL136" s="264"/>
    </row>
    <row r="137" spans="20:38">
      <c r="T137" s="353"/>
      <c r="AA137" s="126"/>
      <c r="AL137" s="264"/>
    </row>
    <row r="138" spans="20:38">
      <c r="T138" s="353"/>
      <c r="AA138" s="126"/>
      <c r="AL138" s="264"/>
    </row>
    <row r="139" spans="20:38">
      <c r="AA139" s="126"/>
      <c r="AL139" s="264"/>
    </row>
    <row r="140" spans="20:38">
      <c r="AA140" s="126"/>
      <c r="AL140" s="264"/>
    </row>
    <row r="141" spans="20:38">
      <c r="AA141" s="126"/>
      <c r="AL141" s="264"/>
    </row>
    <row r="142" spans="20:38">
      <c r="AA142" s="126"/>
      <c r="AL142" s="264"/>
    </row>
    <row r="143" spans="20:38">
      <c r="AA143" s="126"/>
      <c r="AL143" s="264"/>
    </row>
    <row r="144" spans="20:38">
      <c r="AA144" s="126"/>
      <c r="AL144" s="264"/>
    </row>
    <row r="145" spans="20:38">
      <c r="AA145" s="126"/>
      <c r="AL145" s="264"/>
    </row>
    <row r="146" spans="20:38">
      <c r="AL146" s="264"/>
    </row>
    <row r="147" spans="20:38">
      <c r="T147" s="351"/>
      <c r="AA147" s="126"/>
      <c r="AL147" s="264"/>
    </row>
    <row r="148" spans="20:38">
      <c r="T148" s="353"/>
      <c r="AA148" s="126"/>
      <c r="AL148" s="264"/>
    </row>
    <row r="149" spans="20:38">
      <c r="T149" s="353"/>
      <c r="AA149" s="126"/>
    </row>
    <row r="150" spans="20:38">
      <c r="T150" s="353"/>
      <c r="AA150" s="264"/>
    </row>
    <row r="151" spans="20:38">
      <c r="T151" s="353"/>
      <c r="AA151" s="126"/>
    </row>
    <row r="152" spans="20:38">
      <c r="T152" s="353"/>
      <c r="AA152" s="264"/>
    </row>
    <row r="153" spans="20:38">
      <c r="T153" s="353"/>
      <c r="AA153" s="126"/>
    </row>
    <row r="154" spans="20:38">
      <c r="T154" s="353"/>
      <c r="AA154" s="264"/>
    </row>
    <row r="155" spans="20:38">
      <c r="T155" s="353"/>
      <c r="AA155" s="126"/>
    </row>
    <row r="156" spans="20:38">
      <c r="T156" s="353"/>
      <c r="AA156" s="126"/>
    </row>
    <row r="157" spans="20:38">
      <c r="AA157" s="126"/>
      <c r="AL157" s="303"/>
    </row>
    <row r="158" spans="20:38">
      <c r="AA158" s="126"/>
      <c r="AL158" s="264"/>
    </row>
    <row r="159" spans="20:38">
      <c r="T159" s="351"/>
      <c r="AA159" s="126"/>
      <c r="AL159" s="264"/>
    </row>
    <row r="160" spans="20:38">
      <c r="T160" s="353"/>
      <c r="AA160" s="126"/>
      <c r="AL160" s="264"/>
    </row>
    <row r="161" spans="20:38">
      <c r="T161" s="353"/>
      <c r="AA161" s="126"/>
      <c r="AL161" s="264"/>
    </row>
    <row r="162" spans="20:38">
      <c r="T162" s="353"/>
      <c r="AA162" s="126"/>
      <c r="AL162" s="264"/>
    </row>
    <row r="163" spans="20:38">
      <c r="T163" s="353"/>
      <c r="AA163" s="126"/>
      <c r="AL163" s="264"/>
    </row>
    <row r="164" spans="20:38">
      <c r="T164" s="353"/>
      <c r="AA164" s="264"/>
    </row>
    <row r="165" spans="20:38">
      <c r="T165" s="353"/>
      <c r="AA165" s="126"/>
    </row>
    <row r="166" spans="20:38">
      <c r="AA166" s="126"/>
    </row>
    <row r="167" spans="20:38">
      <c r="AA167" s="126"/>
      <c r="AL167" s="303"/>
    </row>
    <row r="168" spans="20:38">
      <c r="AA168" s="126"/>
    </row>
    <row r="169" spans="20:38">
      <c r="AA169" s="126"/>
    </row>
    <row r="170" spans="20:38">
      <c r="AA170" s="264"/>
    </row>
    <row r="171" spans="20:38">
      <c r="AA171" s="126"/>
    </row>
    <row r="172" spans="20:38">
      <c r="AA172" s="126"/>
    </row>
    <row r="173" spans="20:38">
      <c r="AA173" s="264"/>
      <c r="AL173" s="303"/>
    </row>
    <row r="174" spans="20:38">
      <c r="AA174" s="126"/>
    </row>
    <row r="175" spans="20:38">
      <c r="AA175" s="126"/>
    </row>
    <row r="176" spans="20:38">
      <c r="AA176" s="126"/>
    </row>
    <row r="177" spans="27:37">
      <c r="AA177" s="126"/>
      <c r="AK177" s="48"/>
    </row>
    <row r="178" spans="27:37">
      <c r="AA178" s="126"/>
    </row>
    <row r="179" spans="27:37">
      <c r="AA179" s="126"/>
    </row>
    <row r="180" spans="27:37">
      <c r="AA180" s="126"/>
    </row>
    <row r="181" spans="27:37">
      <c r="AA181" s="126"/>
    </row>
    <row r="182" spans="27:37">
      <c r="AA182" s="126"/>
    </row>
    <row r="183" spans="27:37">
      <c r="AA183" s="126"/>
    </row>
    <row r="184" spans="27:37">
      <c r="AA184" s="126"/>
    </row>
    <row r="185" spans="27:37">
      <c r="AA185" s="126"/>
    </row>
    <row r="186" spans="27:37">
      <c r="AA186" s="126"/>
    </row>
    <row r="187" spans="27:37">
      <c r="AA187" s="126"/>
    </row>
    <row r="188" spans="27:37">
      <c r="AA188" s="126"/>
    </row>
    <row r="189" spans="27:37">
      <c r="AA189" s="126"/>
    </row>
    <row r="190" spans="27:37">
      <c r="AA190" s="126"/>
    </row>
    <row r="191" spans="27:37">
      <c r="AA191" s="126"/>
    </row>
    <row r="192" spans="27:37">
      <c r="AA192" s="126"/>
    </row>
    <row r="193" spans="27:27">
      <c r="AA193" s="126"/>
    </row>
    <row r="194" spans="27:27">
      <c r="AA194" s="126"/>
    </row>
    <row r="195" spans="27:27">
      <c r="AA195" s="126"/>
    </row>
    <row r="196" spans="27:27">
      <c r="AA196" s="126"/>
    </row>
    <row r="197" spans="27:27">
      <c r="AA197" s="126"/>
    </row>
    <row r="198" spans="27:27">
      <c r="AA198" s="126"/>
    </row>
    <row r="199" spans="27:27">
      <c r="AA199" s="126"/>
    </row>
    <row r="200" spans="27:27">
      <c r="AA200" s="126"/>
    </row>
    <row r="201" spans="27:27">
      <c r="AA201" s="126"/>
    </row>
    <row r="202" spans="27:27">
      <c r="AA202" s="126"/>
    </row>
    <row r="203" spans="27:27">
      <c r="AA203" s="126"/>
    </row>
    <row r="204" spans="27:27">
      <c r="AA204" s="126"/>
    </row>
    <row r="205" spans="27:27">
      <c r="AA205" s="126"/>
    </row>
    <row r="206" spans="27:27">
      <c r="AA206" s="126"/>
    </row>
    <row r="207" spans="27:27">
      <c r="AA207" s="126"/>
    </row>
    <row r="208" spans="27:27">
      <c r="AA208" s="126"/>
    </row>
    <row r="209" spans="27:27">
      <c r="AA209" s="126"/>
    </row>
    <row r="210" spans="27:27">
      <c r="AA210" s="264"/>
    </row>
    <row r="211" spans="27:27">
      <c r="AA211" s="126"/>
    </row>
    <row r="212" spans="27:27">
      <c r="AA212" s="126"/>
    </row>
    <row r="213" spans="27:27">
      <c r="AA213" s="126"/>
    </row>
    <row r="214" spans="27:27">
      <c r="AA214" s="126"/>
    </row>
    <row r="215" spans="27:27">
      <c r="AA215" s="126"/>
    </row>
    <row r="216" spans="27:27">
      <c r="AA216" s="126"/>
    </row>
    <row r="217" spans="27:27">
      <c r="AA217" s="126"/>
    </row>
    <row r="218" spans="27:27">
      <c r="AA218" s="126"/>
    </row>
    <row r="219" spans="27:27">
      <c r="AA219" s="126"/>
    </row>
    <row r="220" spans="27:27">
      <c r="AA220" s="126"/>
    </row>
    <row r="221" spans="27:27">
      <c r="AA221" s="126"/>
    </row>
    <row r="222" spans="27:27">
      <c r="AA222" s="126"/>
    </row>
    <row r="223" spans="27:27">
      <c r="AA223" s="126"/>
    </row>
    <row r="224" spans="27:27">
      <c r="AA224" s="126"/>
    </row>
    <row r="225" spans="27:27">
      <c r="AA225" s="126"/>
    </row>
    <row r="226" spans="27:27">
      <c r="AA226" s="126"/>
    </row>
    <row r="227" spans="27:27">
      <c r="AA227" s="126"/>
    </row>
    <row r="228" spans="27:27">
      <c r="AA228" s="126"/>
    </row>
    <row r="229" spans="27:27">
      <c r="AA229" s="126"/>
    </row>
    <row r="230" spans="27:27">
      <c r="AA230" s="126"/>
    </row>
    <row r="231" spans="27:27">
      <c r="AA231" s="126"/>
    </row>
    <row r="232" spans="27:27">
      <c r="AA232" s="126"/>
    </row>
    <row r="233" spans="27:27">
      <c r="AA233" s="126"/>
    </row>
    <row r="234" spans="27:27">
      <c r="AA234" s="126"/>
    </row>
    <row r="235" spans="27:27">
      <c r="AA235" s="126"/>
    </row>
    <row r="236" spans="27:27">
      <c r="AA236" s="126"/>
    </row>
    <row r="237" spans="27:27">
      <c r="AA237" s="126"/>
    </row>
    <row r="238" spans="27:27">
      <c r="AA238" s="126"/>
    </row>
    <row r="240" spans="27:27">
      <c r="AA240" s="126"/>
    </row>
    <row r="241" spans="27:27">
      <c r="AA241" s="126"/>
    </row>
    <row r="242" spans="27:27">
      <c r="AA242" s="126"/>
    </row>
    <row r="243" spans="27:27">
      <c r="AA243" s="126"/>
    </row>
    <row r="244" spans="27:27">
      <c r="AA244" s="126"/>
    </row>
    <row r="246" spans="27:27">
      <c r="AA246" s="126"/>
    </row>
    <row r="247" spans="27:27">
      <c r="AA247" s="126"/>
    </row>
    <row r="248" spans="27:27">
      <c r="AA248" s="126"/>
    </row>
    <row r="249" spans="27:27">
      <c r="AA249" s="126"/>
    </row>
    <row r="250" spans="27:27">
      <c r="AA250" s="126"/>
    </row>
    <row r="251" spans="27:27">
      <c r="AA251" s="126"/>
    </row>
    <row r="252" spans="27:27">
      <c r="AA252" s="126"/>
    </row>
    <row r="253" spans="27:27">
      <c r="AA253" s="126"/>
    </row>
    <row r="254" spans="27:27">
      <c r="AA254" s="126"/>
    </row>
    <row r="255" spans="27:27">
      <c r="AA255" s="126"/>
    </row>
    <row r="256" spans="27:27">
      <c r="AA256" s="126"/>
    </row>
    <row r="257" spans="27:27">
      <c r="AA257" s="264"/>
    </row>
    <row r="258" spans="27:27">
      <c r="AA258" s="126"/>
    </row>
    <row r="260" spans="27:27">
      <c r="AA260" s="126"/>
    </row>
    <row r="261" spans="27:27">
      <c r="AA261" s="126"/>
    </row>
    <row r="262" spans="27:27">
      <c r="AA262" s="126"/>
    </row>
    <row r="263" spans="27:27">
      <c r="AA263" s="126"/>
    </row>
    <row r="264" spans="27:27">
      <c r="AA264" s="126"/>
    </row>
    <row r="265" spans="27:27">
      <c r="AA265" s="126"/>
    </row>
    <row r="266" spans="27:27">
      <c r="AA266" s="126"/>
    </row>
    <row r="267" spans="27:27">
      <c r="AA267" s="126"/>
    </row>
    <row r="268" spans="27:27">
      <c r="AA268" s="126"/>
    </row>
    <row r="269" spans="27:27">
      <c r="AA269" s="126"/>
    </row>
    <row r="270" spans="27:27">
      <c r="AA270" s="126"/>
    </row>
    <row r="272" spans="27:27">
      <c r="AA272" s="126"/>
    </row>
    <row r="273" spans="27:37">
      <c r="AA273" s="126"/>
    </row>
    <row r="274" spans="27:37">
      <c r="AA274" s="126"/>
    </row>
    <row r="275" spans="27:37">
      <c r="AA275" s="126"/>
    </row>
    <row r="276" spans="27:37">
      <c r="AA276" s="126"/>
    </row>
    <row r="277" spans="27:37">
      <c r="AA277" s="126"/>
    </row>
    <row r="278" spans="27:37">
      <c r="AA278" s="126"/>
    </row>
    <row r="279" spans="27:37">
      <c r="AA279" s="126"/>
    </row>
    <row r="280" spans="27:37">
      <c r="AA280" s="126"/>
    </row>
    <row r="281" spans="27:37">
      <c r="AA281" s="126"/>
    </row>
    <row r="282" spans="27:37">
      <c r="AA282" s="126"/>
    </row>
    <row r="283" spans="27:37">
      <c r="AA283" s="126"/>
    </row>
    <row r="284" spans="27:37">
      <c r="AA284" s="126"/>
    </row>
    <row r="285" spans="27:37">
      <c r="AA285" s="126"/>
    </row>
    <row r="286" spans="27:37">
      <c r="AA286" s="126"/>
    </row>
    <row r="287" spans="27:37">
      <c r="AA287" s="126"/>
      <c r="AK287" s="48"/>
    </row>
    <row r="288" spans="27:37">
      <c r="AA288" s="126"/>
      <c r="AK288" s="48"/>
    </row>
    <row r="289" spans="27:37">
      <c r="AA289" s="126"/>
    </row>
    <row r="290" spans="27:37">
      <c r="AA290" s="126"/>
    </row>
    <row r="291" spans="27:37">
      <c r="AA291" s="126"/>
    </row>
    <row r="292" spans="27:37">
      <c r="AA292" s="126"/>
    </row>
    <row r="293" spans="27:37">
      <c r="AA293" s="126"/>
    </row>
    <row r="294" spans="27:37">
      <c r="AA294" s="126"/>
      <c r="AK294" s="48"/>
    </row>
    <row r="295" spans="27:37">
      <c r="AA295" s="126"/>
    </row>
    <row r="296" spans="27:37">
      <c r="AA296" s="126"/>
    </row>
    <row r="297" spans="27:37">
      <c r="AA297" s="126"/>
    </row>
    <row r="298" spans="27:37">
      <c r="AA298" s="126"/>
      <c r="AK298" s="23"/>
    </row>
    <row r="299" spans="27:37">
      <c r="AA299" s="126"/>
      <c r="AK299" s="23"/>
    </row>
    <row r="300" spans="27:37">
      <c r="AA300" s="126"/>
    </row>
    <row r="301" spans="27:37">
      <c r="AA301" s="126"/>
    </row>
    <row r="302" spans="27:37">
      <c r="AA302" s="126"/>
    </row>
    <row r="303" spans="27:37">
      <c r="AA303" s="126"/>
    </row>
    <row r="304" spans="27:37">
      <c r="AA304" s="126"/>
    </row>
    <row r="305" spans="27:27">
      <c r="AA305" s="126"/>
    </row>
    <row r="306" spans="27:27">
      <c r="AA306" s="126"/>
    </row>
    <row r="307" spans="27:27">
      <c r="AA307" s="126"/>
    </row>
    <row r="308" spans="27:27">
      <c r="AA308" s="126"/>
    </row>
    <row r="309" spans="27:27">
      <c r="AA309" s="126"/>
    </row>
    <row r="310" spans="27:27">
      <c r="AA310" s="126"/>
    </row>
    <row r="311" spans="27:27">
      <c r="AA311" s="126"/>
    </row>
    <row r="312" spans="27:27">
      <c r="AA312" s="126"/>
    </row>
    <row r="313" spans="27:27">
      <c r="AA313" s="126"/>
    </row>
    <row r="314" spans="27:27">
      <c r="AA314" s="126"/>
    </row>
    <row r="315" spans="27:27">
      <c r="AA315" s="126"/>
    </row>
    <row r="316" spans="27:27">
      <c r="AA316" s="126"/>
    </row>
    <row r="317" spans="27:27">
      <c r="AA317" s="126"/>
    </row>
    <row r="318" spans="27:27">
      <c r="AA318" s="126"/>
    </row>
    <row r="319" spans="27:27">
      <c r="AA319" s="126"/>
    </row>
    <row r="320" spans="27:27">
      <c r="AA320" s="126"/>
    </row>
    <row r="321" spans="27:37">
      <c r="AA321" s="126"/>
    </row>
    <row r="322" spans="27:37">
      <c r="AA322" s="126"/>
    </row>
    <row r="323" spans="27:37">
      <c r="AA323" s="126"/>
    </row>
    <row r="324" spans="27:37">
      <c r="AA324" s="126"/>
    </row>
    <row r="325" spans="27:37">
      <c r="AA325" s="126"/>
    </row>
    <row r="326" spans="27:37">
      <c r="AA326" s="126"/>
    </row>
    <row r="327" spans="27:37">
      <c r="AA327" s="126"/>
    </row>
    <row r="328" spans="27:37">
      <c r="AA328" s="126"/>
    </row>
    <row r="329" spans="27:37">
      <c r="AA329" s="126"/>
    </row>
    <row r="330" spans="27:37">
      <c r="AA330" s="126"/>
    </row>
    <row r="331" spans="27:37">
      <c r="AA331" s="126"/>
    </row>
    <row r="332" spans="27:37">
      <c r="AA332" s="126"/>
    </row>
    <row r="333" spans="27:37">
      <c r="AA333" s="264"/>
    </row>
    <row r="334" spans="27:37">
      <c r="AA334" s="126"/>
    </row>
    <row r="335" spans="27:37">
      <c r="AA335" s="126"/>
      <c r="AK335" s="48"/>
    </row>
    <row r="336" spans="27:37">
      <c r="AA336" s="126"/>
      <c r="AK336" s="48"/>
    </row>
    <row r="337" spans="27:27">
      <c r="AA337" s="126"/>
    </row>
    <row r="338" spans="27:27">
      <c r="AA338" s="126"/>
    </row>
    <row r="339" spans="27:27">
      <c r="AA339" s="126"/>
    </row>
    <row r="340" spans="27:27">
      <c r="AA340" s="126"/>
    </row>
    <row r="341" spans="27:27">
      <c r="AA341" s="51"/>
    </row>
    <row r="342" spans="27:27">
      <c r="AA342" s="126"/>
    </row>
    <row r="343" spans="27:27">
      <c r="AA343" s="126"/>
    </row>
    <row r="344" spans="27:27">
      <c r="AA344" s="126"/>
    </row>
    <row r="345" spans="27:27">
      <c r="AA345" s="126"/>
    </row>
    <row r="346" spans="27:27">
      <c r="AA346" s="126"/>
    </row>
    <row r="347" spans="27:27">
      <c r="AA347" s="126"/>
    </row>
    <row r="348" spans="27:27">
      <c r="AA348" s="126"/>
    </row>
    <row r="349" spans="27:27">
      <c r="AA349" s="126"/>
    </row>
    <row r="350" spans="27:27">
      <c r="AA350" s="126"/>
    </row>
    <row r="351" spans="27:27">
      <c r="AA351" s="126"/>
    </row>
    <row r="352" spans="27:27">
      <c r="AA352" s="126"/>
    </row>
    <row r="353" spans="27:27">
      <c r="AA353" s="126"/>
    </row>
    <row r="354" spans="27:27">
      <c r="AA354" s="126"/>
    </row>
    <row r="355" spans="27:27">
      <c r="AA355" s="126"/>
    </row>
    <row r="356" spans="27:27">
      <c r="AA356" s="126"/>
    </row>
    <row r="357" spans="27:27">
      <c r="AA357" s="126"/>
    </row>
    <row r="358" spans="27:27">
      <c r="AA358" s="126"/>
    </row>
    <row r="359" spans="27:27">
      <c r="AA359" s="126"/>
    </row>
    <row r="360" spans="27:27">
      <c r="AA360" s="126"/>
    </row>
    <row r="361" spans="27:27">
      <c r="AA361" s="126"/>
    </row>
    <row r="362" spans="27:27">
      <c r="AA362" s="126"/>
    </row>
    <row r="363" spans="27:27">
      <c r="AA363" s="126"/>
    </row>
    <row r="364" spans="27:27">
      <c r="AA364" s="126"/>
    </row>
    <row r="365" spans="27:27">
      <c r="AA365" s="126"/>
    </row>
    <row r="366" spans="27:27">
      <c r="AA366" s="126"/>
    </row>
    <row r="367" spans="27:27">
      <c r="AA367" s="126"/>
    </row>
    <row r="368" spans="27:27">
      <c r="AA368" s="126"/>
    </row>
    <row r="369" spans="27:27">
      <c r="AA369" s="126"/>
    </row>
    <row r="370" spans="27:27">
      <c r="AA370" s="126"/>
    </row>
    <row r="371" spans="27:27">
      <c r="AA371" s="264"/>
    </row>
    <row r="372" spans="27:27">
      <c r="AA372" s="126"/>
    </row>
    <row r="374" spans="27:27">
      <c r="AA374" s="126"/>
    </row>
    <row r="375" spans="27:27">
      <c r="AA375" s="126"/>
    </row>
    <row r="376" spans="27:27">
      <c r="AA376" s="126"/>
    </row>
    <row r="377" spans="27:27">
      <c r="AA377" s="126"/>
    </row>
    <row r="378" spans="27:27">
      <c r="AA378" s="126"/>
    </row>
    <row r="379" spans="27:27">
      <c r="AA379" s="126"/>
    </row>
    <row r="380" spans="27:27">
      <c r="AA380" s="126"/>
    </row>
    <row r="381" spans="27:27">
      <c r="AA381" s="126"/>
    </row>
    <row r="382" spans="27:27">
      <c r="AA382" s="126"/>
    </row>
    <row r="383" spans="27:27">
      <c r="AA383" s="126"/>
    </row>
    <row r="384" spans="27:27">
      <c r="AA384" s="126"/>
    </row>
    <row r="385" spans="27:27">
      <c r="AA385" s="126"/>
    </row>
    <row r="386" spans="27:27">
      <c r="AA386" s="126"/>
    </row>
    <row r="387" spans="27:27">
      <c r="AA387" s="126"/>
    </row>
    <row r="388" spans="27:27">
      <c r="AA388" s="126"/>
    </row>
    <row r="389" spans="27:27">
      <c r="AA389" s="264"/>
    </row>
    <row r="390" spans="27:27">
      <c r="AA390" s="126"/>
    </row>
    <row r="391" spans="27:27">
      <c r="AA391" s="126"/>
    </row>
    <row r="392" spans="27:27">
      <c r="AA392" s="126"/>
    </row>
    <row r="393" spans="27:27">
      <c r="AA393" s="126"/>
    </row>
    <row r="394" spans="27:27">
      <c r="AA394" s="126"/>
    </row>
    <row r="395" spans="27:27">
      <c r="AA395" s="126"/>
    </row>
    <row r="396" spans="27:27">
      <c r="AA396" s="126"/>
    </row>
    <row r="397" spans="27:27">
      <c r="AA397" s="126"/>
    </row>
    <row r="398" spans="27:27">
      <c r="AA398" s="126"/>
    </row>
    <row r="399" spans="27:27">
      <c r="AA399" s="126"/>
    </row>
    <row r="400" spans="27:27">
      <c r="AA400" s="126"/>
    </row>
    <row r="401" spans="27:27">
      <c r="AA401" s="126"/>
    </row>
    <row r="402" spans="27:27">
      <c r="AA402" s="126"/>
    </row>
    <row r="403" spans="27:27">
      <c r="AA403" s="126"/>
    </row>
    <row r="404" spans="27:27">
      <c r="AA404" s="126"/>
    </row>
    <row r="405" spans="27:27">
      <c r="AA405" s="126"/>
    </row>
    <row r="406" spans="27:27">
      <c r="AA406" s="126"/>
    </row>
    <row r="407" spans="27:27">
      <c r="AA407" s="126"/>
    </row>
    <row r="408" spans="27:27">
      <c r="AA408" s="126"/>
    </row>
    <row r="409" spans="27:27">
      <c r="AA409" s="126"/>
    </row>
    <row r="410" spans="27:27">
      <c r="AA410" s="126"/>
    </row>
    <row r="411" spans="27:27">
      <c r="AA411" s="126"/>
    </row>
    <row r="412" spans="27:27">
      <c r="AA412" s="126"/>
    </row>
    <row r="413" spans="27:27">
      <c r="AA413" s="126"/>
    </row>
    <row r="414" spans="27:27">
      <c r="AA414" s="126"/>
    </row>
    <row r="415" spans="27:27">
      <c r="AA415" s="126"/>
    </row>
    <row r="416" spans="27:27">
      <c r="AA416" s="126"/>
    </row>
    <row r="417" spans="27:27">
      <c r="AA417" s="264"/>
    </row>
    <row r="418" spans="27:27">
      <c r="AA418" s="126"/>
    </row>
    <row r="419" spans="27:27">
      <c r="AA419" s="126"/>
    </row>
    <row r="420" spans="27:27">
      <c r="AA420" s="126"/>
    </row>
    <row r="421" spans="27:27">
      <c r="AA421" s="126"/>
    </row>
    <row r="422" spans="27:27">
      <c r="AA422" s="126"/>
    </row>
    <row r="423" spans="27:27">
      <c r="AA423" s="126"/>
    </row>
    <row r="424" spans="27:27">
      <c r="AA424" s="126"/>
    </row>
    <row r="425" spans="27:27">
      <c r="AA425" s="126"/>
    </row>
    <row r="426" spans="27:27">
      <c r="AA426" s="126"/>
    </row>
    <row r="427" spans="27:27">
      <c r="AA427" s="126"/>
    </row>
    <row r="428" spans="27:27">
      <c r="AA428" s="126"/>
    </row>
    <row r="429" spans="27:27">
      <c r="AA429" s="126"/>
    </row>
    <row r="430" spans="27:27">
      <c r="AA430" s="126"/>
    </row>
    <row r="431" spans="27:27">
      <c r="AA431" s="126"/>
    </row>
    <row r="432" spans="27:27">
      <c r="AA432" s="126"/>
    </row>
    <row r="433" spans="27:27">
      <c r="AA433" s="126"/>
    </row>
    <row r="434" spans="27:27">
      <c r="AA434" s="126"/>
    </row>
    <row r="435" spans="27:27">
      <c r="AA435" s="264"/>
    </row>
    <row r="436" spans="27:27">
      <c r="AA436" s="126"/>
    </row>
    <row r="437" spans="27:27">
      <c r="AA437" s="264"/>
    </row>
    <row r="438" spans="27:27">
      <c r="AA438" s="126"/>
    </row>
    <row r="439" spans="27:27">
      <c r="AA439" s="126"/>
    </row>
    <row r="440" spans="27:27">
      <c r="AA440" s="126"/>
    </row>
    <row r="441" spans="27:27">
      <c r="AA441" s="126"/>
    </row>
    <row r="442" spans="27:27">
      <c r="AA442" s="126"/>
    </row>
    <row r="443" spans="27:27">
      <c r="AA443" s="126"/>
    </row>
    <row r="444" spans="27:27">
      <c r="AA444" s="126"/>
    </row>
    <row r="445" spans="27:27">
      <c r="AA445" s="126"/>
    </row>
    <row r="446" spans="27:27">
      <c r="AA446" s="126"/>
    </row>
    <row r="447" spans="27:27">
      <c r="AA447" s="126"/>
    </row>
    <row r="448" spans="27:27">
      <c r="AA448" s="126"/>
    </row>
    <row r="449" spans="27:27">
      <c r="AA449" s="126"/>
    </row>
    <row r="450" spans="27:27">
      <c r="AA450" s="126"/>
    </row>
    <row r="451" spans="27:27">
      <c r="AA451" s="126"/>
    </row>
    <row r="452" spans="27:27">
      <c r="AA452" s="126"/>
    </row>
    <row r="453" spans="27:27">
      <c r="AA453" s="126"/>
    </row>
    <row r="454" spans="27:27">
      <c r="AA454" s="126"/>
    </row>
    <row r="455" spans="27:27">
      <c r="AA455" s="126"/>
    </row>
    <row r="456" spans="27:27">
      <c r="AA456" s="126"/>
    </row>
    <row r="457" spans="27:27">
      <c r="AA457" s="126"/>
    </row>
    <row r="458" spans="27:27">
      <c r="AA458" s="126"/>
    </row>
    <row r="459" spans="27:27">
      <c r="AA459" s="126"/>
    </row>
    <row r="460" spans="27:27">
      <c r="AA460" s="126"/>
    </row>
    <row r="461" spans="27:27">
      <c r="AA461" s="126"/>
    </row>
    <row r="462" spans="27:27">
      <c r="AA462" s="126"/>
    </row>
    <row r="463" spans="27:27">
      <c r="AA463" s="126"/>
    </row>
    <row r="464" spans="27:27">
      <c r="AA464" s="126"/>
    </row>
    <row r="465" spans="27:27">
      <c r="AA465" s="126"/>
    </row>
    <row r="466" spans="27:27">
      <c r="AA466" s="126"/>
    </row>
    <row r="467" spans="27:27">
      <c r="AA467" s="126"/>
    </row>
    <row r="468" spans="27:27">
      <c r="AA468" s="126"/>
    </row>
    <row r="469" spans="27:27">
      <c r="AA469" s="126"/>
    </row>
    <row r="470" spans="27:27">
      <c r="AA470" s="126"/>
    </row>
    <row r="471" spans="27:27">
      <c r="AA471" s="126"/>
    </row>
    <row r="472" spans="27:27">
      <c r="AA472" s="264"/>
    </row>
    <row r="473" spans="27:27">
      <c r="AA473" s="126"/>
    </row>
    <row r="474" spans="27:27">
      <c r="AA474" s="126"/>
    </row>
    <row r="475" spans="27:27">
      <c r="AA475" s="126"/>
    </row>
    <row r="476" spans="27:27">
      <c r="AA476" s="126"/>
    </row>
    <row r="477" spans="27:27">
      <c r="AA477" s="126"/>
    </row>
    <row r="478" spans="27:27">
      <c r="AA478" s="126"/>
    </row>
    <row r="479" spans="27:27">
      <c r="AA479" s="126"/>
    </row>
    <row r="480" spans="27:27">
      <c r="AA480" s="126"/>
    </row>
    <row r="481" spans="27:27">
      <c r="AA481" s="126"/>
    </row>
    <row r="482" spans="27:27">
      <c r="AA482" s="126"/>
    </row>
    <row r="483" spans="27:27">
      <c r="AA483" s="126"/>
    </row>
    <row r="484" spans="27:27">
      <c r="AA484" s="126"/>
    </row>
    <row r="485" spans="27:27">
      <c r="AA485" s="126"/>
    </row>
    <row r="486" spans="27:27">
      <c r="AA486" s="126"/>
    </row>
    <row r="487" spans="27:27">
      <c r="AA487" s="126"/>
    </row>
    <row r="488" spans="27:27">
      <c r="AA488" s="126"/>
    </row>
    <row r="489" spans="27:27">
      <c r="AA489" s="126"/>
    </row>
    <row r="490" spans="27:27">
      <c r="AA490" s="126"/>
    </row>
    <row r="491" spans="27:27">
      <c r="AA491" s="126"/>
    </row>
    <row r="492" spans="27:27">
      <c r="AA492" s="126"/>
    </row>
    <row r="493" spans="27:27">
      <c r="AA493" s="126"/>
    </row>
    <row r="494" spans="27:27">
      <c r="AA494" s="126"/>
    </row>
    <row r="495" spans="27:27">
      <c r="AA495" s="126"/>
    </row>
    <row r="496" spans="27:27">
      <c r="AA496" s="126"/>
    </row>
    <row r="497" spans="27:27">
      <c r="AA497" s="126"/>
    </row>
    <row r="498" spans="27:27">
      <c r="AA498" s="126"/>
    </row>
    <row r="499" spans="27:27">
      <c r="AA499" s="126"/>
    </row>
    <row r="500" spans="27:27">
      <c r="AA500" s="126"/>
    </row>
    <row r="501" spans="27:27">
      <c r="AA501" s="126"/>
    </row>
    <row r="502" spans="27:27">
      <c r="AA502" s="126"/>
    </row>
    <row r="503" spans="27:27">
      <c r="AA503" s="126"/>
    </row>
    <row r="504" spans="27:27">
      <c r="AA504" s="126"/>
    </row>
    <row r="505" spans="27:27">
      <c r="AA505" s="126"/>
    </row>
    <row r="506" spans="27:27">
      <c r="AA506" s="126"/>
    </row>
    <row r="507" spans="27:27">
      <c r="AA507" s="126"/>
    </row>
    <row r="508" spans="27:27">
      <c r="AA508" s="126"/>
    </row>
    <row r="509" spans="27:27">
      <c r="AA509" s="126"/>
    </row>
    <row r="510" spans="27:27">
      <c r="AA510" s="126"/>
    </row>
    <row r="511" spans="27:27">
      <c r="AA511" s="126"/>
    </row>
    <row r="512" spans="27:27">
      <c r="AA512" s="126"/>
    </row>
    <row r="513" spans="27:27">
      <c r="AA513" s="126"/>
    </row>
    <row r="514" spans="27:27">
      <c r="AA514" s="126"/>
    </row>
    <row r="515" spans="27:27">
      <c r="AA515" s="126"/>
    </row>
    <row r="516" spans="27:27">
      <c r="AA516" s="126"/>
    </row>
    <row r="517" spans="27:27">
      <c r="AA517" s="266"/>
    </row>
    <row r="518" spans="27:27">
      <c r="AA518" s="126"/>
    </row>
    <row r="519" spans="27:27">
      <c r="AA519" s="126"/>
    </row>
    <row r="520" spans="27:27">
      <c r="AA520" s="126"/>
    </row>
    <row r="521" spans="27:27">
      <c r="AA521" s="126"/>
    </row>
    <row r="522" spans="27:27">
      <c r="AA522" s="126"/>
    </row>
    <row r="523" spans="27:27">
      <c r="AA523" s="126"/>
    </row>
    <row r="524" spans="27:27">
      <c r="AA524" s="126"/>
    </row>
    <row r="525" spans="27:27">
      <c r="AA525" s="126"/>
    </row>
    <row r="526" spans="27:27">
      <c r="AA526" s="126"/>
    </row>
    <row r="527" spans="27:27">
      <c r="AA527" s="126"/>
    </row>
    <row r="528" spans="27:27">
      <c r="AA528" s="126"/>
    </row>
    <row r="529" spans="27:27">
      <c r="AA529" s="126"/>
    </row>
    <row r="530" spans="27:27">
      <c r="AA530" s="126"/>
    </row>
    <row r="531" spans="27:27">
      <c r="AA531" s="126"/>
    </row>
    <row r="532" spans="27:27">
      <c r="AA532" s="126"/>
    </row>
    <row r="533" spans="27:27">
      <c r="AA533" s="126"/>
    </row>
    <row r="534" spans="27:27">
      <c r="AA534" s="126"/>
    </row>
    <row r="535" spans="27:27">
      <c r="AA535" s="126"/>
    </row>
    <row r="536" spans="27:27">
      <c r="AA536" s="126"/>
    </row>
    <row r="537" spans="27:27">
      <c r="AA537" s="126"/>
    </row>
    <row r="538" spans="27:27">
      <c r="AA538" s="126"/>
    </row>
    <row r="539" spans="27:27">
      <c r="AA539" s="126"/>
    </row>
    <row r="540" spans="27:27">
      <c r="AA540" s="126"/>
    </row>
    <row r="541" spans="27:27">
      <c r="AA541" s="126"/>
    </row>
    <row r="542" spans="27:27">
      <c r="AA542" s="126"/>
    </row>
    <row r="543" spans="27:27">
      <c r="AA543" s="126"/>
    </row>
    <row r="544" spans="27:27">
      <c r="AA544" s="126"/>
    </row>
    <row r="545" spans="27:27">
      <c r="AA545" s="126"/>
    </row>
    <row r="546" spans="27:27">
      <c r="AA546" s="126"/>
    </row>
    <row r="547" spans="27:27">
      <c r="AA547" s="126"/>
    </row>
    <row r="548" spans="27:27">
      <c r="AA548" s="126"/>
    </row>
    <row r="549" spans="27:27">
      <c r="AA549" s="126"/>
    </row>
    <row r="550" spans="27:27">
      <c r="AA550" s="126"/>
    </row>
    <row r="551" spans="27:27">
      <c r="AA551" s="126"/>
    </row>
    <row r="552" spans="27:27">
      <c r="AA552" s="126"/>
    </row>
    <row r="553" spans="27:27">
      <c r="AA553" s="126"/>
    </row>
    <row r="554" spans="27:27">
      <c r="AA554" s="126"/>
    </row>
    <row r="555" spans="27:27">
      <c r="AA555" s="126"/>
    </row>
    <row r="556" spans="27:27">
      <c r="AA556" s="126"/>
    </row>
    <row r="557" spans="27:27">
      <c r="AA557" s="126"/>
    </row>
    <row r="558" spans="27:27">
      <c r="AA558" s="33"/>
    </row>
    <row r="559" spans="27:27">
      <c r="AA559" s="126"/>
    </row>
    <row r="560" spans="27:27">
      <c r="AA560" s="126"/>
    </row>
    <row r="561" spans="27:27">
      <c r="AA561" s="264"/>
    </row>
    <row r="562" spans="27:27">
      <c r="AA562" s="126"/>
    </row>
    <row r="563" spans="27:27">
      <c r="AA563" s="126"/>
    </row>
    <row r="564" spans="27:27">
      <c r="AA564" s="126"/>
    </row>
    <row r="565" spans="27:27">
      <c r="AA565" s="126"/>
    </row>
    <row r="566" spans="27:27">
      <c r="AA566" s="126"/>
    </row>
    <row r="567" spans="27:27">
      <c r="AA567" s="264"/>
    </row>
    <row r="568" spans="27:27">
      <c r="AA568" s="126"/>
    </row>
    <row r="569" spans="27:27">
      <c r="AA569" s="126"/>
    </row>
    <row r="570" spans="27:27">
      <c r="AA570" s="126"/>
    </row>
    <row r="571" spans="27:27">
      <c r="AA571" s="126"/>
    </row>
    <row r="572" spans="27:27">
      <c r="AA572" s="126"/>
    </row>
    <row r="573" spans="27:27">
      <c r="AA573" s="126"/>
    </row>
    <row r="574" spans="27:27">
      <c r="AA574" s="126"/>
    </row>
    <row r="575" spans="27:27">
      <c r="AA575" s="126"/>
    </row>
    <row r="576" spans="27:27">
      <c r="AA576" s="126"/>
    </row>
    <row r="577" spans="27:27">
      <c r="AA577" s="126"/>
    </row>
    <row r="578" spans="27:27">
      <c r="AA578" s="264"/>
    </row>
    <row r="579" spans="27:27">
      <c r="AA579" s="126"/>
    </row>
    <row r="580" spans="27:27">
      <c r="AA580" s="126"/>
    </row>
    <row r="581" spans="27:27">
      <c r="AA581" s="126"/>
    </row>
    <row r="582" spans="27:27">
      <c r="AA582" s="126"/>
    </row>
    <row r="583" spans="27:27">
      <c r="AA583" s="126"/>
    </row>
    <row r="584" spans="27:27">
      <c r="AA584" s="126"/>
    </row>
    <row r="585" spans="27:27">
      <c r="AA585" s="126"/>
    </row>
    <row r="586" spans="27:27">
      <c r="AA586" s="126"/>
    </row>
    <row r="587" spans="27:27">
      <c r="AA587" s="126"/>
    </row>
    <row r="588" spans="27:27">
      <c r="AA588" s="264"/>
    </row>
    <row r="589" spans="27:27">
      <c r="AA589" s="126"/>
    </row>
    <row r="590" spans="27:27">
      <c r="AA590" s="126"/>
    </row>
    <row r="591" spans="27:27">
      <c r="AA591" s="126"/>
    </row>
    <row r="592" spans="27:27">
      <c r="AA592" s="126"/>
    </row>
    <row r="593" spans="27:27">
      <c r="AA593" s="126"/>
    </row>
    <row r="594" spans="27:27">
      <c r="AA594" s="126"/>
    </row>
    <row r="595" spans="27:27">
      <c r="AA595" s="126"/>
    </row>
    <row r="596" spans="27:27">
      <c r="AA596" s="264"/>
    </row>
    <row r="597" spans="27:27">
      <c r="AA597" s="126"/>
    </row>
    <row r="598" spans="27:27">
      <c r="AA598" s="126"/>
    </row>
    <row r="599" spans="27:27">
      <c r="AA599" s="126"/>
    </row>
    <row r="600" spans="27:27">
      <c r="AA600" s="126"/>
    </row>
    <row r="601" spans="27:27">
      <c r="AA601" s="126"/>
    </row>
    <row r="602" spans="27:27">
      <c r="AA602" s="126"/>
    </row>
    <row r="603" spans="27:27">
      <c r="AA603" s="126"/>
    </row>
    <row r="604" spans="27:27">
      <c r="AA604" s="126"/>
    </row>
    <row r="605" spans="27:27">
      <c r="AA605" s="126"/>
    </row>
    <row r="606" spans="27:27">
      <c r="AA606" s="264"/>
    </row>
    <row r="607" spans="27:27">
      <c r="AA607" s="126"/>
    </row>
    <row r="608" spans="27:27">
      <c r="AA608" s="126"/>
    </row>
    <row r="609" spans="27:27">
      <c r="AA609" s="126"/>
    </row>
    <row r="610" spans="27:27">
      <c r="AA610" s="126"/>
    </row>
    <row r="611" spans="27:27">
      <c r="AA611" s="126"/>
    </row>
    <row r="612" spans="27:27">
      <c r="AA612" s="126"/>
    </row>
    <row r="613" spans="27:27">
      <c r="AA613" s="126"/>
    </row>
    <row r="614" spans="27:27">
      <c r="AA614" s="126"/>
    </row>
    <row r="615" spans="27:27">
      <c r="AA615" s="126"/>
    </row>
    <row r="616" spans="27:27">
      <c r="AA616" s="126"/>
    </row>
    <row r="617" spans="27:27">
      <c r="AA617" s="126"/>
    </row>
    <row r="618" spans="27:27">
      <c r="AA618" s="126"/>
    </row>
    <row r="619" spans="27:27">
      <c r="AA619" s="126"/>
    </row>
    <row r="620" spans="27:27">
      <c r="AA620" s="126"/>
    </row>
    <row r="621" spans="27:27">
      <c r="AA621" s="126"/>
    </row>
    <row r="622" spans="27:27">
      <c r="AA622" s="126"/>
    </row>
    <row r="623" spans="27:27">
      <c r="AA623" s="126"/>
    </row>
    <row r="624" spans="27:27">
      <c r="AA624" s="126"/>
    </row>
    <row r="625" spans="27:27">
      <c r="AA625" s="126"/>
    </row>
    <row r="626" spans="27:27">
      <c r="AA626" s="126"/>
    </row>
    <row r="627" spans="27:27">
      <c r="AA627" s="264"/>
    </row>
    <row r="628" spans="27:27">
      <c r="AA628" s="126"/>
    </row>
    <row r="629" spans="27:27">
      <c r="AA629" s="126"/>
    </row>
    <row r="630" spans="27:27">
      <c r="AA630" s="126"/>
    </row>
    <row r="632" spans="27:27">
      <c r="AA632" s="126"/>
    </row>
    <row r="633" spans="27:27">
      <c r="AA633" s="126"/>
    </row>
    <row r="634" spans="27:27">
      <c r="AA634" s="126"/>
    </row>
    <row r="635" spans="27:27">
      <c r="AA635" s="126"/>
    </row>
    <row r="636" spans="27:27">
      <c r="AA636" s="126"/>
    </row>
    <row r="637" spans="27:27">
      <c r="AA637" s="126"/>
    </row>
    <row r="638" spans="27:27">
      <c r="AA638" s="126"/>
    </row>
    <row r="639" spans="27:27">
      <c r="AA639" s="126"/>
    </row>
    <row r="640" spans="27:27">
      <c r="AA640" s="264"/>
    </row>
    <row r="641" spans="27:27">
      <c r="AA641" s="126"/>
    </row>
    <row r="642" spans="27:27">
      <c r="AA642" s="126"/>
    </row>
    <row r="643" spans="27:27">
      <c r="AA643" s="126"/>
    </row>
    <row r="644" spans="27:27">
      <c r="AA644" s="264"/>
    </row>
    <row r="645" spans="27:27">
      <c r="AA645" s="126"/>
    </row>
    <row r="646" spans="27:27">
      <c r="AA646" s="126"/>
    </row>
    <row r="647" spans="27:27">
      <c r="AA647" s="126"/>
    </row>
    <row r="648" spans="27:27">
      <c r="AA648" s="126"/>
    </row>
    <row r="649" spans="27:27">
      <c r="AA649" s="126"/>
    </row>
    <row r="650" spans="27:27">
      <c r="AA650" s="126"/>
    </row>
    <row r="651" spans="27:27">
      <c r="AA651" s="126"/>
    </row>
    <row r="652" spans="27:27">
      <c r="AA652" s="126"/>
    </row>
    <row r="653" spans="27:27">
      <c r="AA653" s="126"/>
    </row>
    <row r="654" spans="27:27">
      <c r="AA654" s="126"/>
    </row>
    <row r="655" spans="27:27">
      <c r="AA655" s="126"/>
    </row>
    <row r="656" spans="27:27">
      <c r="AA656" s="126"/>
    </row>
    <row r="657" spans="27:27">
      <c r="AA657" s="126"/>
    </row>
    <row r="658" spans="27:27">
      <c r="AA658" s="126"/>
    </row>
    <row r="659" spans="27:27">
      <c r="AA659" s="126"/>
    </row>
    <row r="660" spans="27:27">
      <c r="AA660" s="126"/>
    </row>
    <row r="661" spans="27:27">
      <c r="AA661" s="126"/>
    </row>
    <row r="662" spans="27:27">
      <c r="AA662" s="126"/>
    </row>
    <row r="663" spans="27:27">
      <c r="AA663" s="126"/>
    </row>
    <row r="664" spans="27:27">
      <c r="AA664" s="126"/>
    </row>
    <row r="665" spans="27:27">
      <c r="AA665" s="126"/>
    </row>
    <row r="666" spans="27:27">
      <c r="AA666" s="126"/>
    </row>
    <row r="667" spans="27:27">
      <c r="AA667" s="126"/>
    </row>
    <row r="668" spans="27:27">
      <c r="AA668" s="126"/>
    </row>
    <row r="669" spans="27:27">
      <c r="AA669" s="126"/>
    </row>
    <row r="670" spans="27:27">
      <c r="AA670" s="126"/>
    </row>
    <row r="671" spans="27:27">
      <c r="AA671" s="126"/>
    </row>
    <row r="672" spans="27:27">
      <c r="AA672" s="126"/>
    </row>
    <row r="673" spans="27:27">
      <c r="AA673" s="126"/>
    </row>
    <row r="674" spans="27:27">
      <c r="AA674" s="126"/>
    </row>
    <row r="675" spans="27:27">
      <c r="AA675" s="126"/>
    </row>
    <row r="676" spans="27:27">
      <c r="AA676" s="126"/>
    </row>
    <row r="677" spans="27:27">
      <c r="AA677" s="126"/>
    </row>
    <row r="678" spans="27:27">
      <c r="AA678" s="126"/>
    </row>
    <row r="679" spans="27:27">
      <c r="AA679" s="126"/>
    </row>
    <row r="680" spans="27:27">
      <c r="AA680" s="126"/>
    </row>
    <row r="681" spans="27:27">
      <c r="AA681" s="126"/>
    </row>
    <row r="682" spans="27:27">
      <c r="AA682" s="126"/>
    </row>
    <row r="683" spans="27:27">
      <c r="AA683" s="126"/>
    </row>
    <row r="684" spans="27:27">
      <c r="AA684" s="126"/>
    </row>
    <row r="685" spans="27:27">
      <c r="AA685" s="126"/>
    </row>
    <row r="686" spans="27:27">
      <c r="AA686" s="126"/>
    </row>
    <row r="687" spans="27:27">
      <c r="AA687" s="126"/>
    </row>
    <row r="688" spans="27:27">
      <c r="AA688" s="126"/>
    </row>
    <row r="689" spans="27:27">
      <c r="AA689" s="27"/>
    </row>
    <row r="690" spans="27:27">
      <c r="AA690" s="126"/>
    </row>
    <row r="691" spans="27:27">
      <c r="AA691" s="126"/>
    </row>
    <row r="692" spans="27:27">
      <c r="AA692" s="126"/>
    </row>
    <row r="693" spans="27:27">
      <c r="AA693" s="126"/>
    </row>
    <row r="694" spans="27:27">
      <c r="AA694" s="126"/>
    </row>
    <row r="695" spans="27:27">
      <c r="AA695" s="126"/>
    </row>
    <row r="696" spans="27:27">
      <c r="AA696" s="126"/>
    </row>
    <row r="697" spans="27:27">
      <c r="AA697" s="126"/>
    </row>
    <row r="698" spans="27:27">
      <c r="AA698" s="126"/>
    </row>
    <row r="699" spans="27:27">
      <c r="AA699" s="126"/>
    </row>
    <row r="700" spans="27:27">
      <c r="AA700" s="126"/>
    </row>
    <row r="701" spans="27:27">
      <c r="AA701" s="126"/>
    </row>
    <row r="702" spans="27:27">
      <c r="AA702" s="126"/>
    </row>
    <row r="703" spans="27:27">
      <c r="AA703" s="126"/>
    </row>
    <row r="704" spans="27:27">
      <c r="AA704" s="126"/>
    </row>
    <row r="705" spans="27:27">
      <c r="AA705" s="126"/>
    </row>
    <row r="706" spans="27:27">
      <c r="AA706" s="126"/>
    </row>
    <row r="707" spans="27:27">
      <c r="AA707" s="126"/>
    </row>
    <row r="708" spans="27:27">
      <c r="AA708" s="126"/>
    </row>
    <row r="709" spans="27:27">
      <c r="AA709" s="126"/>
    </row>
    <row r="710" spans="27:27">
      <c r="AA710" s="126"/>
    </row>
    <row r="711" spans="27:27">
      <c r="AA711" s="126"/>
    </row>
    <row r="712" spans="27:27">
      <c r="AA712" s="126"/>
    </row>
    <row r="713" spans="27:27">
      <c r="AA713" s="126"/>
    </row>
    <row r="714" spans="27:27">
      <c r="AA714" s="126"/>
    </row>
    <row r="715" spans="27:27">
      <c r="AA715" s="126"/>
    </row>
    <row r="716" spans="27:27">
      <c r="AA716" s="126"/>
    </row>
    <row r="717" spans="27:27">
      <c r="AA717" s="126"/>
    </row>
    <row r="718" spans="27:27">
      <c r="AA718" s="126"/>
    </row>
    <row r="719" spans="27:27">
      <c r="AA719" s="126"/>
    </row>
    <row r="720" spans="27:27">
      <c r="AA720" s="126"/>
    </row>
    <row r="721" spans="27:27">
      <c r="AA721" s="126"/>
    </row>
    <row r="722" spans="27:27">
      <c r="AA722" s="264"/>
    </row>
    <row r="723" spans="27:27">
      <c r="AA723" s="264"/>
    </row>
    <row r="724" spans="27:27">
      <c r="AA724" s="126"/>
    </row>
    <row r="725" spans="27:27">
      <c r="AA725" s="126"/>
    </row>
    <row r="726" spans="27:27">
      <c r="AA726" s="126"/>
    </row>
    <row r="727" spans="27:27">
      <c r="AA727" s="126"/>
    </row>
    <row r="728" spans="27:27">
      <c r="AA728" s="126"/>
    </row>
    <row r="729" spans="27:27">
      <c r="AA729" s="126"/>
    </row>
    <row r="730" spans="27:27">
      <c r="AA730" s="126"/>
    </row>
    <row r="731" spans="27:27">
      <c r="AA731" s="126"/>
    </row>
    <row r="732" spans="27:27">
      <c r="AA732" s="126"/>
    </row>
    <row r="733" spans="27:27">
      <c r="AA733" s="126"/>
    </row>
    <row r="734" spans="27:27">
      <c r="AA734" s="126"/>
    </row>
    <row r="735" spans="27:27">
      <c r="AA735" s="126"/>
    </row>
    <row r="736" spans="27:27">
      <c r="AA736" s="126"/>
    </row>
    <row r="737" spans="27:27">
      <c r="AA737" s="126"/>
    </row>
    <row r="738" spans="27:27">
      <c r="AA738" s="126"/>
    </row>
    <row r="739" spans="27:27">
      <c r="AA739" s="126"/>
    </row>
    <row r="740" spans="27:27">
      <c r="AA740" s="126"/>
    </row>
    <row r="741" spans="27:27">
      <c r="AA741" s="126"/>
    </row>
    <row r="742" spans="27:27">
      <c r="AA742" s="126"/>
    </row>
    <row r="743" spans="27:27">
      <c r="AA743" s="126"/>
    </row>
    <row r="744" spans="27:27">
      <c r="AA744" s="126"/>
    </row>
    <row r="745" spans="27:27">
      <c r="AA745" s="126"/>
    </row>
    <row r="746" spans="27:27">
      <c r="AA746" s="126"/>
    </row>
    <row r="747" spans="27:27">
      <c r="AA747" s="126"/>
    </row>
    <row r="748" spans="27:27">
      <c r="AA748" s="126"/>
    </row>
    <row r="749" spans="27:27">
      <c r="AA749" s="126"/>
    </row>
    <row r="750" spans="27:27">
      <c r="AA750" s="126"/>
    </row>
    <row r="751" spans="27:27">
      <c r="AA751" s="126"/>
    </row>
    <row r="752" spans="27:27">
      <c r="AA752" s="126"/>
    </row>
    <row r="753" spans="27:27">
      <c r="AA753" s="126"/>
    </row>
    <row r="754" spans="27:27">
      <c r="AA754" s="126"/>
    </row>
    <row r="755" spans="27:27">
      <c r="AA755" s="126"/>
    </row>
    <row r="756" spans="27:27">
      <c r="AA756" s="126"/>
    </row>
    <row r="757" spans="27:27">
      <c r="AA757" s="126"/>
    </row>
    <row r="758" spans="27:27">
      <c r="AA758" s="126"/>
    </row>
    <row r="759" spans="27:27">
      <c r="AA759" s="126"/>
    </row>
    <row r="760" spans="27:27">
      <c r="AA760" s="126"/>
    </row>
    <row r="761" spans="27:27">
      <c r="AA761" s="126"/>
    </row>
    <row r="762" spans="27:27">
      <c r="AA762" s="264"/>
    </row>
    <row r="763" spans="27:27">
      <c r="AA763" s="126"/>
    </row>
    <row r="764" spans="27:27">
      <c r="AA764" s="126"/>
    </row>
    <row r="765" spans="27:27">
      <c r="AA765" s="126"/>
    </row>
    <row r="766" spans="27:27">
      <c r="AA766" s="126"/>
    </row>
    <row r="767" spans="27:27">
      <c r="AA767" s="126"/>
    </row>
    <row r="768" spans="27:27">
      <c r="AA768" s="126"/>
    </row>
    <row r="769" spans="27:27">
      <c r="AA769" s="126"/>
    </row>
    <row r="770" spans="27:27">
      <c r="AA770" s="126"/>
    </row>
    <row r="771" spans="27:27">
      <c r="AA771" s="126"/>
    </row>
    <row r="772" spans="27:27">
      <c r="AA772" s="126"/>
    </row>
    <row r="773" spans="27:27">
      <c r="AA773" s="126"/>
    </row>
    <row r="774" spans="27:27">
      <c r="AA774" s="126"/>
    </row>
    <row r="775" spans="27:27">
      <c r="AA775" s="126"/>
    </row>
    <row r="776" spans="27:27">
      <c r="AA776" s="126"/>
    </row>
    <row r="777" spans="27:27">
      <c r="AA777" s="126"/>
    </row>
    <row r="778" spans="27:27">
      <c r="AA778" s="126"/>
    </row>
    <row r="779" spans="27:27">
      <c r="AA779" s="126"/>
    </row>
    <row r="780" spans="27:27">
      <c r="AA780" s="126"/>
    </row>
    <row r="781" spans="27:27">
      <c r="AA781" s="126"/>
    </row>
    <row r="782" spans="27:27">
      <c r="AA782" s="126"/>
    </row>
    <row r="783" spans="27:27">
      <c r="AA783" s="126"/>
    </row>
    <row r="784" spans="27:27">
      <c r="AA784" s="126"/>
    </row>
    <row r="785" spans="27:27">
      <c r="AA785" s="126"/>
    </row>
    <row r="786" spans="27:27">
      <c r="AA786" s="126"/>
    </row>
    <row r="787" spans="27:27">
      <c r="AA787" s="126"/>
    </row>
    <row r="788" spans="27:27">
      <c r="AA788" s="126"/>
    </row>
    <row r="789" spans="27:27">
      <c r="AA789" s="126"/>
    </row>
    <row r="790" spans="27:27">
      <c r="AA790" s="126"/>
    </row>
    <row r="791" spans="27:27">
      <c r="AA791" s="126"/>
    </row>
    <row r="792" spans="27:27">
      <c r="AA792" s="126"/>
    </row>
    <row r="793" spans="27:27">
      <c r="AA793" s="126"/>
    </row>
    <row r="794" spans="27:27">
      <c r="AA794" s="126"/>
    </row>
    <row r="795" spans="27:27">
      <c r="AA795" s="126"/>
    </row>
    <row r="796" spans="27:27">
      <c r="AA796" s="126"/>
    </row>
    <row r="797" spans="27:27">
      <c r="AA797" s="126"/>
    </row>
    <row r="798" spans="27:27">
      <c r="AA798" s="126"/>
    </row>
    <row r="799" spans="27:27">
      <c r="AA799" s="126"/>
    </row>
    <row r="800" spans="27:27">
      <c r="AA800" s="126"/>
    </row>
    <row r="801" spans="27:27">
      <c r="AA801" s="126"/>
    </row>
    <row r="802" spans="27:27">
      <c r="AA802" s="126"/>
    </row>
    <row r="803" spans="27:27">
      <c r="AA803" s="126"/>
    </row>
    <row r="804" spans="27:27">
      <c r="AA804" s="126"/>
    </row>
    <row r="805" spans="27:27">
      <c r="AA805" s="126"/>
    </row>
    <row r="806" spans="27:27">
      <c r="AA806" s="126"/>
    </row>
    <row r="807" spans="27:27">
      <c r="AA807" s="126"/>
    </row>
    <row r="808" spans="27:27">
      <c r="AA808" s="126"/>
    </row>
    <row r="809" spans="27:27">
      <c r="AA809" s="126"/>
    </row>
    <row r="810" spans="27:27">
      <c r="AA810" s="126"/>
    </row>
    <row r="811" spans="27:27">
      <c r="AA811" s="126"/>
    </row>
    <row r="812" spans="27:27">
      <c r="AA812" s="126"/>
    </row>
    <row r="813" spans="27:27">
      <c r="AA813" s="126"/>
    </row>
    <row r="814" spans="27:27">
      <c r="AA814" s="126"/>
    </row>
    <row r="815" spans="27:27">
      <c r="AA815" s="126"/>
    </row>
    <row r="816" spans="27:27">
      <c r="AA816" s="126"/>
    </row>
    <row r="817" spans="27:27">
      <c r="AA817" s="126"/>
    </row>
    <row r="818" spans="27:27">
      <c r="AA818" s="126"/>
    </row>
    <row r="819" spans="27:27">
      <c r="AA819" s="126"/>
    </row>
    <row r="820" spans="27:27">
      <c r="AA820" s="264"/>
    </row>
    <row r="821" spans="27:27">
      <c r="AA821" s="126"/>
    </row>
    <row r="822" spans="27:27">
      <c r="AA822" s="126"/>
    </row>
    <row r="823" spans="27:27">
      <c r="AA823" s="126"/>
    </row>
    <row r="824" spans="27:27">
      <c r="AA824" s="126"/>
    </row>
    <row r="825" spans="27:27">
      <c r="AA825" s="126"/>
    </row>
    <row r="826" spans="27:27">
      <c r="AA826" s="126"/>
    </row>
    <row r="827" spans="27:27">
      <c r="AA827" s="126"/>
    </row>
    <row r="828" spans="27:27">
      <c r="AA828" s="126"/>
    </row>
    <row r="829" spans="27:27">
      <c r="AA829" s="126"/>
    </row>
    <row r="830" spans="27:27">
      <c r="AA830" s="126"/>
    </row>
    <row r="831" spans="27:27">
      <c r="AA831" s="126"/>
    </row>
    <row r="832" spans="27:27">
      <c r="AA832" s="126"/>
    </row>
    <row r="833" spans="27:27">
      <c r="AA833" s="126"/>
    </row>
    <row r="834" spans="27:27">
      <c r="AA834" s="126"/>
    </row>
    <row r="835" spans="27:27">
      <c r="AA835" s="126"/>
    </row>
    <row r="836" spans="27:27">
      <c r="AA836" s="126"/>
    </row>
    <row r="837" spans="27:27">
      <c r="AA837" s="126"/>
    </row>
    <row r="838" spans="27:27">
      <c r="AA838" s="126"/>
    </row>
    <row r="839" spans="27:27">
      <c r="AA839" s="126"/>
    </row>
    <row r="840" spans="27:27">
      <c r="AA840" s="126"/>
    </row>
    <row r="841" spans="27:27">
      <c r="AA841" s="126"/>
    </row>
    <row r="842" spans="27:27">
      <c r="AA842" s="126"/>
    </row>
    <row r="843" spans="27:27">
      <c r="AA843" s="126"/>
    </row>
    <row r="844" spans="27:27">
      <c r="AA844" s="126"/>
    </row>
    <row r="845" spans="27:27">
      <c r="AA845" s="126"/>
    </row>
    <row r="846" spans="27:27">
      <c r="AA846" s="126"/>
    </row>
    <row r="847" spans="27:27">
      <c r="AA847" s="126"/>
    </row>
    <row r="848" spans="27:27">
      <c r="AA848" s="126"/>
    </row>
    <row r="849" spans="27:27">
      <c r="AA849" s="126"/>
    </row>
    <row r="850" spans="27:27">
      <c r="AA850" s="126"/>
    </row>
    <row r="851" spans="27:27">
      <c r="AA851" s="126"/>
    </row>
    <row r="852" spans="27:27">
      <c r="AA852" s="126"/>
    </row>
    <row r="853" spans="27:27">
      <c r="AA853" s="126"/>
    </row>
    <row r="854" spans="27:27">
      <c r="AA854" s="126"/>
    </row>
    <row r="855" spans="27:27">
      <c r="AA855" s="126"/>
    </row>
    <row r="856" spans="27:27">
      <c r="AA856" s="126"/>
    </row>
    <row r="857" spans="27:27">
      <c r="AA857" s="126"/>
    </row>
    <row r="858" spans="27:27">
      <c r="AA858" s="126"/>
    </row>
    <row r="859" spans="27:27">
      <c r="AA859" s="126"/>
    </row>
    <row r="860" spans="27:27">
      <c r="AA860" s="126"/>
    </row>
    <row r="861" spans="27:27">
      <c r="AA861" s="126"/>
    </row>
    <row r="862" spans="27:27">
      <c r="AA862" s="126"/>
    </row>
    <row r="863" spans="27:27">
      <c r="AA863" s="126"/>
    </row>
    <row r="864" spans="27:27">
      <c r="AA864" s="126"/>
    </row>
    <row r="865" spans="27:27">
      <c r="AA865" s="126"/>
    </row>
    <row r="866" spans="27:27">
      <c r="AA866" s="126"/>
    </row>
    <row r="867" spans="27:27">
      <c r="AA867" s="126"/>
    </row>
    <row r="868" spans="27:27">
      <c r="AA868" s="126"/>
    </row>
    <row r="869" spans="27:27">
      <c r="AA869" s="126"/>
    </row>
    <row r="870" spans="27:27">
      <c r="AA870" s="126"/>
    </row>
    <row r="871" spans="27:27">
      <c r="AA871" s="126"/>
    </row>
    <row r="872" spans="27:27">
      <c r="AA872" s="126"/>
    </row>
    <row r="873" spans="27:27">
      <c r="AA873" s="126"/>
    </row>
    <row r="874" spans="27:27">
      <c r="AA874" s="126"/>
    </row>
    <row r="875" spans="27:27">
      <c r="AA875" s="126"/>
    </row>
    <row r="876" spans="27:27">
      <c r="AA876" s="126"/>
    </row>
    <row r="877" spans="27:27">
      <c r="AA877" s="264"/>
    </row>
    <row r="878" spans="27:27">
      <c r="AA878" s="126"/>
    </row>
    <row r="879" spans="27:27">
      <c r="AA879" s="126"/>
    </row>
    <row r="880" spans="27:27">
      <c r="AA880" s="126"/>
    </row>
    <row r="881" spans="27:27">
      <c r="AA881" s="126"/>
    </row>
    <row r="882" spans="27:27">
      <c r="AA882" s="126"/>
    </row>
    <row r="883" spans="27:27">
      <c r="AA883" s="126"/>
    </row>
    <row r="884" spans="27:27">
      <c r="AA884" s="126"/>
    </row>
    <row r="885" spans="27:27">
      <c r="AA885" s="126"/>
    </row>
    <row r="886" spans="27:27">
      <c r="AA886" s="126"/>
    </row>
    <row r="887" spans="27:27">
      <c r="AA887" s="126"/>
    </row>
    <row r="888" spans="27:27">
      <c r="AA888" s="126"/>
    </row>
    <row r="889" spans="27:27">
      <c r="AA889" s="126"/>
    </row>
    <row r="890" spans="27:27">
      <c r="AA890" s="126"/>
    </row>
    <row r="891" spans="27:27">
      <c r="AA891" s="126"/>
    </row>
    <row r="892" spans="27:27">
      <c r="AA892" s="126"/>
    </row>
    <row r="893" spans="27:27">
      <c r="AA893" s="126"/>
    </row>
    <row r="894" spans="27:27">
      <c r="AA894" s="126"/>
    </row>
    <row r="895" spans="27:27">
      <c r="AA895" s="126"/>
    </row>
    <row r="896" spans="27:27">
      <c r="AA896" s="126"/>
    </row>
    <row r="897" spans="27:27">
      <c r="AA897" s="126"/>
    </row>
    <row r="898" spans="27:27">
      <c r="AA898" s="126"/>
    </row>
    <row r="899" spans="27:27">
      <c r="AA899" s="126"/>
    </row>
    <row r="900" spans="27:27">
      <c r="AA900" s="126"/>
    </row>
    <row r="901" spans="27:27">
      <c r="AA901" s="126"/>
    </row>
    <row r="902" spans="27:27">
      <c r="AA902" s="126"/>
    </row>
    <row r="903" spans="27:27">
      <c r="AA903" s="126"/>
    </row>
    <row r="904" spans="27:27">
      <c r="AA904" s="126"/>
    </row>
    <row r="905" spans="27:27">
      <c r="AA905" s="241"/>
    </row>
    <row r="906" spans="27:27">
      <c r="AA906" s="126"/>
    </row>
    <row r="907" spans="27:27">
      <c r="AA907" s="126"/>
    </row>
    <row r="908" spans="27:27">
      <c r="AA908" s="126"/>
    </row>
    <row r="909" spans="27:27">
      <c r="AA909" s="126"/>
    </row>
    <row r="910" spans="27:27">
      <c r="AA910" s="126"/>
    </row>
    <row r="911" spans="27:27">
      <c r="AA911" s="126"/>
    </row>
    <row r="912" spans="27:27">
      <c r="AA912" s="126"/>
    </row>
    <row r="913" spans="27:27">
      <c r="AA913" s="126"/>
    </row>
    <row r="914" spans="27:27">
      <c r="AA914" s="126"/>
    </row>
    <row r="915" spans="27:27">
      <c r="AA915" s="126"/>
    </row>
    <row r="916" spans="27:27">
      <c r="AA916" s="126"/>
    </row>
    <row r="917" spans="27:27">
      <c r="AA917" s="126"/>
    </row>
    <row r="918" spans="27:27">
      <c r="AA918" s="126"/>
    </row>
    <row r="919" spans="27:27">
      <c r="AA919" s="264"/>
    </row>
    <row r="920" spans="27:27">
      <c r="AA920" s="126"/>
    </row>
    <row r="921" spans="27:27">
      <c r="AA921" s="126"/>
    </row>
    <row r="922" spans="27:27">
      <c r="AA922" s="126"/>
    </row>
    <row r="923" spans="27:27">
      <c r="AA923" s="126"/>
    </row>
    <row r="924" spans="27:27">
      <c r="AA924" s="126"/>
    </row>
    <row r="925" spans="27:27">
      <c r="AA925" s="126"/>
    </row>
    <row r="926" spans="27:27">
      <c r="AA926" s="126"/>
    </row>
    <row r="927" spans="27:27">
      <c r="AA927" s="126"/>
    </row>
    <row r="929" spans="27:27">
      <c r="AA929" s="126"/>
    </row>
    <row r="930" spans="27:27">
      <c r="AA930" s="126"/>
    </row>
    <row r="931" spans="27:27">
      <c r="AA931" s="264"/>
    </row>
    <row r="932" spans="27:27">
      <c r="AA932" s="126"/>
    </row>
    <row r="933" spans="27:27">
      <c r="AA933" s="264"/>
    </row>
    <row r="934" spans="27:27">
      <c r="AA934" s="126"/>
    </row>
    <row r="935" spans="27:27">
      <c r="AA935" s="126"/>
    </row>
    <row r="936" spans="27:27">
      <c r="AA936" s="126"/>
    </row>
    <row r="937" spans="27:27">
      <c r="AA937" s="264"/>
    </row>
    <row r="938" spans="27:27">
      <c r="AA938" s="123"/>
    </row>
    <row r="940" spans="27:27">
      <c r="AA940" s="126"/>
    </row>
    <row r="941" spans="27:27">
      <c r="AA941" s="264"/>
    </row>
    <row r="942" spans="27:27">
      <c r="AA942" s="126"/>
    </row>
    <row r="943" spans="27:27">
      <c r="AA943" s="126"/>
    </row>
    <row r="944" spans="27:27">
      <c r="AA944" s="264"/>
    </row>
    <row r="945" spans="27:27">
      <c r="AA945" s="126"/>
    </row>
    <row r="946" spans="27:27">
      <c r="AA946" s="126"/>
    </row>
    <row r="947" spans="27:27">
      <c r="AA947" s="126"/>
    </row>
    <row r="948" spans="27:27">
      <c r="AA948" s="126"/>
    </row>
    <row r="949" spans="27:27">
      <c r="AA949" s="126"/>
    </row>
    <row r="950" spans="27:27">
      <c r="AA950" s="264"/>
    </row>
    <row r="951" spans="27:27">
      <c r="AA951" s="126"/>
    </row>
    <row r="952" spans="27:27">
      <c r="AA952" s="126"/>
    </row>
    <row r="953" spans="27:27">
      <c r="AA953" s="126"/>
    </row>
    <row r="954" spans="27:27">
      <c r="AA954" s="126"/>
    </row>
    <row r="956" spans="27:27">
      <c r="AA956" s="264"/>
    </row>
    <row r="957" spans="27:27">
      <c r="AA957" s="126"/>
    </row>
    <row r="958" spans="27:27">
      <c r="AA958" s="126"/>
    </row>
    <row r="959" spans="27:27">
      <c r="AA959" s="126"/>
    </row>
    <row r="960" spans="27:27">
      <c r="AA960" s="126"/>
    </row>
    <row r="961" spans="27:27">
      <c r="AA961" s="126"/>
    </row>
    <row r="962" spans="27:27">
      <c r="AA962" s="126"/>
    </row>
    <row r="963" spans="27:27">
      <c r="AA963" s="126"/>
    </row>
    <row r="964" spans="27:27">
      <c r="AA964" s="126"/>
    </row>
    <row r="965" spans="27:27">
      <c r="AA965" s="26"/>
    </row>
    <row r="966" spans="27:27">
      <c r="AA966" s="126"/>
    </row>
    <row r="967" spans="27:27">
      <c r="AA967" s="126"/>
    </row>
    <row r="968" spans="27:27">
      <c r="AA968" s="126"/>
    </row>
    <row r="969" spans="27:27">
      <c r="AA969" s="126"/>
    </row>
    <row r="970" spans="27:27">
      <c r="AA970" s="126"/>
    </row>
    <row r="971" spans="27:27">
      <c r="AA971" s="126"/>
    </row>
    <row r="972" spans="27:27">
      <c r="AA972" s="126"/>
    </row>
    <row r="973" spans="27:27">
      <c r="AA973" s="264"/>
    </row>
    <row r="974" spans="27:27">
      <c r="AA974" s="126"/>
    </row>
    <row r="975" spans="27:27">
      <c r="AA975" s="126"/>
    </row>
    <row r="976" spans="27:27">
      <c r="AA976" s="126"/>
    </row>
    <row r="977" spans="27:27">
      <c r="AA977" s="126"/>
    </row>
    <row r="978" spans="27:27">
      <c r="AA978" s="126"/>
    </row>
    <row r="979" spans="27:27">
      <c r="AA979" s="126"/>
    </row>
    <row r="980" spans="27:27">
      <c r="AA980" s="264"/>
    </row>
    <row r="981" spans="27:27">
      <c r="AA981" s="126"/>
    </row>
    <row r="982" spans="27:27">
      <c r="AA982" s="126"/>
    </row>
    <row r="983" spans="27:27">
      <c r="AA983" s="126"/>
    </row>
    <row r="984" spans="27:27">
      <c r="AA984" s="126"/>
    </row>
    <row r="985" spans="27:27">
      <c r="AA985" s="126"/>
    </row>
    <row r="986" spans="27:27">
      <c r="AA986" s="126"/>
    </row>
    <row r="987" spans="27:27">
      <c r="AA987" s="126"/>
    </row>
    <row r="988" spans="27:27">
      <c r="AA988" s="264"/>
    </row>
    <row r="989" spans="27:27">
      <c r="AA989" s="126"/>
    </row>
    <row r="990" spans="27:27">
      <c r="AA990" s="126"/>
    </row>
    <row r="991" spans="27:27">
      <c r="AA991" s="126"/>
    </row>
    <row r="992" spans="27:27">
      <c r="AA992" s="126"/>
    </row>
    <row r="993" spans="27:27">
      <c r="AA993" s="126"/>
    </row>
    <row r="994" spans="27:27">
      <c r="AA994" s="126"/>
    </row>
    <row r="995" spans="27:27">
      <c r="AA995" s="126"/>
    </row>
    <row r="996" spans="27:27">
      <c r="AA996" s="126"/>
    </row>
    <row r="997" spans="27:27">
      <c r="AA997" s="126"/>
    </row>
    <row r="998" spans="27:27">
      <c r="AA998" s="123"/>
    </row>
    <row r="999" spans="27:27">
      <c r="AA999" s="123"/>
    </row>
    <row r="1000" spans="27:27">
      <c r="AA1000" s="126"/>
    </row>
    <row r="1001" spans="27:27">
      <c r="AA1001" s="126"/>
    </row>
    <row r="1002" spans="27:27">
      <c r="AA1002" s="126"/>
    </row>
    <row r="1003" spans="27:27">
      <c r="AA1003" s="126"/>
    </row>
    <row r="1004" spans="27:27">
      <c r="AA1004" s="126"/>
    </row>
    <row r="1005" spans="27:27">
      <c r="AA1005" s="126"/>
    </row>
    <row r="1006" spans="27:27">
      <c r="AA1006" s="126"/>
    </row>
    <row r="1007" spans="27:27">
      <c r="AA1007" s="126"/>
    </row>
    <row r="1008" spans="27:27">
      <c r="AA1008" s="126"/>
    </row>
    <row r="1009" spans="27:27">
      <c r="AA1009" s="126"/>
    </row>
    <row r="1010" spans="27:27">
      <c r="AA1010" s="126"/>
    </row>
    <row r="1011" spans="27:27">
      <c r="AA1011" s="264"/>
    </row>
    <row r="1012" spans="27:27">
      <c r="AA1012" s="126"/>
    </row>
    <row r="1013" spans="27:27">
      <c r="AA1013" s="126"/>
    </row>
    <row r="1014" spans="27:27">
      <c r="AA1014" s="264"/>
    </row>
    <row r="1015" spans="27:27">
      <c r="AA1015" s="126"/>
    </row>
    <row r="1016" spans="27:27">
      <c r="AA1016" s="126"/>
    </row>
    <row r="1017" spans="27:27">
      <c r="AA1017" s="126"/>
    </row>
    <row r="1018" spans="27:27">
      <c r="AA1018" s="43"/>
    </row>
    <row r="1020" spans="27:27">
      <c r="AA1020" s="126"/>
    </row>
    <row r="1021" spans="27:27">
      <c r="AA1021" s="126"/>
    </row>
    <row r="1022" spans="27:27">
      <c r="AA1022" s="126"/>
    </row>
    <row r="1023" spans="27:27">
      <c r="AA1023" s="126"/>
    </row>
    <row r="1024" spans="27:27">
      <c r="AA1024" s="126"/>
    </row>
    <row r="1025" spans="27:27">
      <c r="AA1025" s="126"/>
    </row>
    <row r="1026" spans="27:27">
      <c r="AA1026" s="126"/>
    </row>
    <row r="1027" spans="27:27">
      <c r="AA1027" s="126"/>
    </row>
    <row r="1028" spans="27:27">
      <c r="AA1028" s="123"/>
    </row>
    <row r="1029" spans="27:27">
      <c r="AA1029" s="126"/>
    </row>
    <row r="1030" spans="27:27">
      <c r="AA1030" s="126"/>
    </row>
    <row r="1031" spans="27:27">
      <c r="AA1031" s="126"/>
    </row>
    <row r="1032" spans="27:27">
      <c r="AA1032" s="126"/>
    </row>
    <row r="1033" spans="27:27">
      <c r="AA1033" s="126"/>
    </row>
    <row r="1034" spans="27:27">
      <c r="AA1034" s="126"/>
    </row>
    <row r="1035" spans="27:27">
      <c r="AA1035" s="126"/>
    </row>
    <row r="1036" spans="27:27">
      <c r="AA1036" s="126"/>
    </row>
    <row r="1038" spans="27:27">
      <c r="AA1038" s="126"/>
    </row>
    <row r="1039" spans="27:27">
      <c r="AA1039" s="126"/>
    </row>
    <row r="1040" spans="27:27">
      <c r="AA1040" s="126"/>
    </row>
    <row r="1041" spans="27:27">
      <c r="AA1041" s="126"/>
    </row>
    <row r="1042" spans="27:27">
      <c r="AA1042" s="264"/>
    </row>
    <row r="1043" spans="27:27">
      <c r="AA1043" s="126"/>
    </row>
    <row r="1044" spans="27:27">
      <c r="AA1044" s="126"/>
    </row>
    <row r="1045" spans="27:27">
      <c r="AA1045" s="126"/>
    </row>
    <row r="1046" spans="27:27">
      <c r="AA1046" s="126"/>
    </row>
    <row r="1047" spans="27:27">
      <c r="AA1047" s="126"/>
    </row>
    <row r="1048" spans="27:27">
      <c r="AA1048" s="126"/>
    </row>
    <row r="1049" spans="27:27">
      <c r="AA1049" s="123"/>
    </row>
    <row r="1050" spans="27:27">
      <c r="AA1050" s="126"/>
    </row>
    <row r="1051" spans="27:27">
      <c r="AA1051" s="264"/>
    </row>
    <row r="1052" spans="27:27">
      <c r="AA1052" s="126"/>
    </row>
    <row r="1053" spans="27:27">
      <c r="AA1053" s="126"/>
    </row>
    <row r="1054" spans="27:27">
      <c r="AA1054" s="126"/>
    </row>
    <row r="1055" spans="27:27">
      <c r="AA1055" s="126"/>
    </row>
    <row r="1056" spans="27:27">
      <c r="AA1056" s="126"/>
    </row>
    <row r="1057" spans="27:27">
      <c r="AA1057" s="126"/>
    </row>
    <row r="1058" spans="27:27">
      <c r="AA1058" s="126"/>
    </row>
    <row r="1059" spans="27:27">
      <c r="AA1059" s="126"/>
    </row>
    <row r="1060" spans="27:27">
      <c r="AA1060" s="126"/>
    </row>
    <row r="1061" spans="27:27">
      <c r="AA1061" s="126"/>
    </row>
    <row r="1062" spans="27:27">
      <c r="AA1062" s="126"/>
    </row>
    <row r="1063" spans="27:27">
      <c r="AA1063" s="126"/>
    </row>
    <row r="1064" spans="27:27">
      <c r="AA1064" s="126"/>
    </row>
    <row r="1065" spans="27:27">
      <c r="AA1065" s="126"/>
    </row>
    <row r="1066" spans="27:27">
      <c r="AA1066" s="126"/>
    </row>
    <row r="1067" spans="27:27">
      <c r="AA1067" s="126"/>
    </row>
    <row r="1068" spans="27:27">
      <c r="AA1068" s="126"/>
    </row>
    <row r="1069" spans="27:27">
      <c r="AA1069" s="126"/>
    </row>
    <row r="1070" spans="27:27">
      <c r="AA1070" s="123"/>
    </row>
    <row r="1071" spans="27:27">
      <c r="AA1071" s="126"/>
    </row>
    <row r="1072" spans="27:27">
      <c r="AA1072" s="126"/>
    </row>
    <row r="1073" spans="27:27">
      <c r="AA1073" s="126"/>
    </row>
    <row r="1074" spans="27:27">
      <c r="AA1074" s="126"/>
    </row>
    <row r="1075" spans="27:27">
      <c r="AA1075" s="126"/>
    </row>
    <row r="1076" spans="27:27">
      <c r="AA1076" s="27"/>
    </row>
    <row r="1077" spans="27:27">
      <c r="AA1077" s="123"/>
    </row>
    <row r="1078" spans="27:27">
      <c r="AA1078" s="264"/>
    </row>
    <row r="1079" spans="27:27">
      <c r="AA1079" s="264"/>
    </row>
    <row r="1080" spans="27:27">
      <c r="AA1080" s="126"/>
    </row>
    <row r="1081" spans="27:27">
      <c r="AA1081" s="123"/>
    </row>
    <row r="1082" spans="27:27">
      <c r="AA1082" s="126"/>
    </row>
    <row r="1083" spans="27:27">
      <c r="AA1083" s="126"/>
    </row>
    <row r="1084" spans="27:27">
      <c r="AA1084" s="126"/>
    </row>
    <row r="1085" spans="27:27">
      <c r="AA1085" s="43"/>
    </row>
    <row r="1086" spans="27:27">
      <c r="AA1086" s="126"/>
    </row>
    <row r="1088" spans="27:27">
      <c r="AA1088" s="126"/>
    </row>
    <row r="1089" spans="27:27">
      <c r="AA1089" s="123"/>
    </row>
    <row r="1090" spans="27:27">
      <c r="AA1090" s="126"/>
    </row>
    <row r="1091" spans="27:27">
      <c r="AA1091" s="126"/>
    </row>
    <row r="1092" spans="27:27">
      <c r="AA1092" s="123"/>
    </row>
    <row r="1093" spans="27:27">
      <c r="AA1093" s="126"/>
    </row>
    <row r="1094" spans="27:27">
      <c r="AA1094" s="126"/>
    </row>
    <row r="1095" spans="27:27">
      <c r="AA1095" s="126"/>
    </row>
    <row r="1096" spans="27:27">
      <c r="AA1096" s="126"/>
    </row>
    <row r="1097" spans="27:27">
      <c r="AA1097" s="126"/>
    </row>
    <row r="1098" spans="27:27">
      <c r="AA1098" s="126"/>
    </row>
    <row r="1099" spans="27:27">
      <c r="AA1099" s="126"/>
    </row>
    <row r="1100" spans="27:27">
      <c r="AA1100" s="126"/>
    </row>
    <row r="1101" spans="27:27">
      <c r="AA1101" s="126"/>
    </row>
    <row r="1102" spans="27:27">
      <c r="AA1102" s="126"/>
    </row>
    <row r="1103" spans="27:27">
      <c r="AA1103" s="264"/>
    </row>
    <row r="1104" spans="27:27">
      <c r="AA1104" s="126"/>
    </row>
    <row r="1105" spans="27:29">
      <c r="AA1105" s="126"/>
    </row>
    <row r="1106" spans="27:29">
      <c r="AA1106" s="126"/>
    </row>
    <row r="1107" spans="27:29">
      <c r="AA1107" s="126"/>
    </row>
    <row r="1108" spans="27:29">
      <c r="AA1108" s="126"/>
      <c r="AB1108" s="251" t="s">
        <v>3545</v>
      </c>
      <c r="AC1108" s="251" t="s">
        <v>3545</v>
      </c>
    </row>
    <row r="1109" spans="27:29">
      <c r="AA1109" s="126"/>
    </row>
    <row r="1110" spans="27:29">
      <c r="AA1110" s="123"/>
    </row>
    <row r="1111" spans="27:29">
      <c r="AA1111" s="126"/>
    </row>
    <row r="1112" spans="27:29">
      <c r="AA1112" s="126"/>
    </row>
    <row r="1113" spans="27:29">
      <c r="AA1113" s="126"/>
    </row>
    <row r="1114" spans="27:29">
      <c r="AA1114" s="126"/>
    </row>
    <row r="1115" spans="27:29">
      <c r="AA1115" s="264"/>
    </row>
    <row r="1117" spans="27:29">
      <c r="AA1117" s="126"/>
    </row>
    <row r="1118" spans="27:29">
      <c r="AA1118" s="126"/>
    </row>
    <row r="1119" spans="27:29">
      <c r="AA1119" s="126"/>
    </row>
    <row r="1120" spans="27:29">
      <c r="AA1120" s="27"/>
    </row>
    <row r="1121" spans="27:27">
      <c r="AA1121" s="126"/>
    </row>
    <row r="1122" spans="27:27">
      <c r="AA1122" s="264"/>
    </row>
    <row r="1123" spans="27:27">
      <c r="AA1123" s="123"/>
    </row>
    <row r="1124" spans="27:27">
      <c r="AA1124" s="126"/>
    </row>
    <row r="1125" spans="27:27">
      <c r="AA1125" s="126"/>
    </row>
    <row r="1126" spans="27:27">
      <c r="AA1126" s="126"/>
    </row>
    <row r="1127" spans="27:27">
      <c r="AA1127" s="126"/>
    </row>
    <row r="1128" spans="27:27">
      <c r="AA1128" s="126"/>
    </row>
    <row r="1129" spans="27:27">
      <c r="AA1129" s="126"/>
    </row>
    <row r="1130" spans="27:27">
      <c r="AA1130" s="126"/>
    </row>
    <row r="1131" spans="27:27">
      <c r="AA1131" s="126"/>
    </row>
    <row r="1132" spans="27:27">
      <c r="AA1132" s="126"/>
    </row>
    <row r="1133" spans="27:27">
      <c r="AA1133" s="126"/>
    </row>
    <row r="1134" spans="27:27">
      <c r="AA1134" s="126"/>
    </row>
    <row r="1135" spans="27:27">
      <c r="AA1135" s="126"/>
    </row>
    <row r="1136" spans="27:27">
      <c r="AA1136" s="126"/>
    </row>
    <row r="1137" spans="27:27">
      <c r="AA1137" s="264"/>
    </row>
    <row r="1139" spans="27:27">
      <c r="AA1139" s="126"/>
    </row>
    <row r="1140" spans="27:27">
      <c r="AA1140" s="126"/>
    </row>
    <row r="1141" spans="27:27">
      <c r="AA1141" s="126"/>
    </row>
    <row r="1142" spans="27:27">
      <c r="AA1142" s="126"/>
    </row>
    <row r="1143" spans="27:27">
      <c r="AA1143" s="126"/>
    </row>
    <row r="1144" spans="27:27">
      <c r="AA1144" s="126"/>
    </row>
    <row r="1145" spans="27:27">
      <c r="AA1145" s="126"/>
    </row>
    <row r="1146" spans="27:27">
      <c r="AA1146" s="126"/>
    </row>
    <row r="1147" spans="27:27">
      <c r="AA1147" s="126"/>
    </row>
    <row r="1148" spans="27:27">
      <c r="AA1148" s="126"/>
    </row>
    <row r="1149" spans="27:27">
      <c r="AA1149" s="126"/>
    </row>
    <row r="1150" spans="27:27">
      <c r="AA1150" s="126"/>
    </row>
    <row r="1151" spans="27:27">
      <c r="AA1151" s="126"/>
    </row>
    <row r="1152" spans="27:27">
      <c r="AA1152" s="126"/>
    </row>
    <row r="1154" spans="27:27">
      <c r="AA1154" s="126"/>
    </row>
    <row r="1155" spans="27:27">
      <c r="AA1155" s="123"/>
    </row>
    <row r="1156" spans="27:27">
      <c r="AA1156" s="126"/>
    </row>
    <row r="1157" spans="27:27">
      <c r="AA1157" s="126"/>
    </row>
    <row r="1158" spans="27:27">
      <c r="AA1158" s="126"/>
    </row>
    <row r="1159" spans="27:27">
      <c r="AA1159" s="126"/>
    </row>
    <row r="1160" spans="27:27">
      <c r="AA1160" s="126"/>
    </row>
    <row r="1161" spans="27:27">
      <c r="AA1161" s="126"/>
    </row>
    <row r="1163" spans="27:27">
      <c r="AA1163" s="126"/>
    </row>
    <row r="1164" spans="27:27">
      <c r="AA1164" s="126"/>
    </row>
    <row r="1165" spans="27:27">
      <c r="AA1165" s="126"/>
    </row>
    <row r="1166" spans="27:27">
      <c r="AA1166" s="126"/>
    </row>
    <row r="1167" spans="27:27">
      <c r="AA1167" s="126"/>
    </row>
    <row r="1168" spans="27:27">
      <c r="AA1168" s="126"/>
    </row>
    <row r="1169" spans="27:27">
      <c r="AA1169" s="126"/>
    </row>
    <row r="1170" spans="27:27">
      <c r="AA1170" s="126"/>
    </row>
    <row r="1171" spans="27:27">
      <c r="AA1171" s="126"/>
    </row>
    <row r="1172" spans="27:27">
      <c r="AA1172" s="123"/>
    </row>
    <row r="1173" spans="27:27">
      <c r="AA1173" s="126"/>
    </row>
    <row r="1174" spans="27:27">
      <c r="AA1174" s="126"/>
    </row>
    <row r="1175" spans="27:27">
      <c r="AA1175" s="126"/>
    </row>
    <row r="1177" spans="27:27">
      <c r="AA1177" s="126"/>
    </row>
    <row r="1178" spans="27:27">
      <c r="AA1178" s="126"/>
    </row>
    <row r="1179" spans="27:27">
      <c r="AA1179" s="264"/>
    </row>
    <row r="1180" spans="27:27">
      <c r="AA1180" s="126"/>
    </row>
    <row r="1181" spans="27:27">
      <c r="AA1181" s="264"/>
    </row>
    <row r="1182" spans="27:27">
      <c r="AA1182" s="126"/>
    </row>
    <row r="1183" spans="27:27">
      <c r="AA1183" s="126"/>
    </row>
    <row r="1184" spans="27:27">
      <c r="AA1184" s="126"/>
    </row>
    <row r="1185" spans="27:27">
      <c r="AA1185" s="264"/>
    </row>
    <row r="1186" spans="27:27">
      <c r="AA1186" s="264"/>
    </row>
    <row r="1187" spans="27:27">
      <c r="AA1187" s="126"/>
    </row>
    <row r="1188" spans="27:27">
      <c r="AA1188" s="126"/>
    </row>
    <row r="1189" spans="27:27">
      <c r="AA1189" s="126"/>
    </row>
    <row r="1190" spans="27:27">
      <c r="AA1190" s="126"/>
    </row>
    <row r="1191" spans="27:27">
      <c r="AA1191" s="264"/>
    </row>
    <row r="1192" spans="27:27">
      <c r="AA1192" s="126"/>
    </row>
    <row r="1193" spans="27:27">
      <c r="AA1193" s="264"/>
    </row>
    <row r="1194" spans="27:27">
      <c r="AA1194" s="126"/>
    </row>
    <row r="1195" spans="27:27">
      <c r="AA1195" s="264"/>
    </row>
    <row r="1196" spans="27:27">
      <c r="AA1196" s="126"/>
    </row>
    <row r="1197" spans="27:27">
      <c r="AA1197" s="126"/>
    </row>
    <row r="1198" spans="27:27">
      <c r="AA1198" s="126"/>
    </row>
    <row r="1199" spans="27:27">
      <c r="AA1199" s="126"/>
    </row>
    <row r="1200" spans="27:27">
      <c r="AA1200" s="126"/>
    </row>
    <row r="1201" spans="27:27">
      <c r="AA1201" s="126"/>
    </row>
    <row r="1202" spans="27:27">
      <c r="AA1202" s="126"/>
    </row>
    <row r="1203" spans="27:27">
      <c r="AA1203" s="126"/>
    </row>
    <row r="1204" spans="27:27">
      <c r="AA1204" s="126"/>
    </row>
    <row r="1205" spans="27:27">
      <c r="AA1205" s="126"/>
    </row>
    <row r="1206" spans="27:27">
      <c r="AA1206" s="126"/>
    </row>
    <row r="1207" spans="27:27">
      <c r="AA1207" s="126"/>
    </row>
    <row r="1208" spans="27:27">
      <c r="AA1208" s="126"/>
    </row>
    <row r="1209" spans="27:27">
      <c r="AA1209" s="126"/>
    </row>
    <row r="1210" spans="27:27">
      <c r="AA1210" s="126"/>
    </row>
    <row r="1211" spans="27:27">
      <c r="AA1211" s="126"/>
    </row>
    <row r="1212" spans="27:27">
      <c r="AA1212" s="264"/>
    </row>
    <row r="1213" spans="27:27">
      <c r="AA1213" s="126"/>
    </row>
    <row r="1214" spans="27:27">
      <c r="AA1214" s="126"/>
    </row>
    <row r="1215" spans="27:27">
      <c r="AA1215" s="126"/>
    </row>
    <row r="1216" spans="27:27">
      <c r="AA1216" s="126"/>
    </row>
    <row r="1217" spans="27:27">
      <c r="AA1217" s="126"/>
    </row>
    <row r="1218" spans="27:27">
      <c r="AA1218" s="126"/>
    </row>
    <row r="1219" spans="27:27">
      <c r="AA1219" s="126"/>
    </row>
    <row r="1220" spans="27:27">
      <c r="AA1220" s="264"/>
    </row>
    <row r="1221" spans="27:27">
      <c r="AA1221" s="126"/>
    </row>
    <row r="1222" spans="27:27">
      <c r="AA1222" s="126"/>
    </row>
    <row r="1223" spans="27:27">
      <c r="AA1223" s="126"/>
    </row>
    <row r="1224" spans="27:27">
      <c r="AA1224" s="126"/>
    </row>
    <row r="1225" spans="27:27">
      <c r="AA1225" s="126"/>
    </row>
    <row r="1226" spans="27:27">
      <c r="AA1226" s="126"/>
    </row>
    <row r="1227" spans="27:27">
      <c r="AA1227" s="126"/>
    </row>
    <row r="1228" spans="27:27">
      <c r="AA1228" s="126"/>
    </row>
    <row r="1229" spans="27:27">
      <c r="AA1229" s="126"/>
    </row>
    <row r="1230" spans="27:27">
      <c r="AA1230" s="126"/>
    </row>
    <row r="1231" spans="27:27">
      <c r="AA1231" s="123"/>
    </row>
    <row r="1232" spans="27:27">
      <c r="AA1232" s="126"/>
    </row>
    <row r="1233" spans="27:27">
      <c r="AA1233" s="126"/>
    </row>
    <row r="1234" spans="27:27">
      <c r="AA1234" s="264"/>
    </row>
    <row r="1235" spans="27:27">
      <c r="AA1235" s="126"/>
    </row>
    <row r="1236" spans="27:27">
      <c r="AA1236" s="126"/>
    </row>
    <row r="1237" spans="27:27">
      <c r="AA1237" s="126"/>
    </row>
    <row r="1238" spans="27:27">
      <c r="AA1238" s="126"/>
    </row>
    <row r="1239" spans="27:27">
      <c r="AA1239" s="126"/>
    </row>
    <row r="1240" spans="27:27">
      <c r="AA1240" s="126"/>
    </row>
    <row r="1241" spans="27:27">
      <c r="AA1241" s="126"/>
    </row>
    <row r="1242" spans="27:27">
      <c r="AA1242" s="264"/>
    </row>
    <row r="1243" spans="27:27">
      <c r="AA1243" s="264"/>
    </row>
    <row r="1244" spans="27:27">
      <c r="AA1244" s="126"/>
    </row>
    <row r="1245" spans="27:27">
      <c r="AA1245" s="264"/>
    </row>
    <row r="1246" spans="27:27">
      <c r="AA1246" s="126"/>
    </row>
    <row r="1247" spans="27:27">
      <c r="AA1247" s="126"/>
    </row>
    <row r="1248" spans="27:27">
      <c r="AA1248" s="126"/>
    </row>
    <row r="1249" spans="27:27">
      <c r="AA1249" s="126"/>
    </row>
    <row r="1250" spans="27:27">
      <c r="AA1250" s="126"/>
    </row>
    <row r="1251" spans="27:27">
      <c r="AA1251" s="126"/>
    </row>
    <row r="1252" spans="27:27">
      <c r="AA1252" s="126"/>
    </row>
    <row r="1253" spans="27:27">
      <c r="AA1253" s="264"/>
    </row>
    <row r="1254" spans="27:27">
      <c r="AA1254" s="126"/>
    </row>
    <row r="1255" spans="27:27">
      <c r="AA1255" s="126"/>
    </row>
    <row r="1256" spans="27:27">
      <c r="AA1256" s="126"/>
    </row>
    <row r="1257" spans="27:27">
      <c r="AA1257" s="126"/>
    </row>
    <row r="1258" spans="27:27">
      <c r="AA1258" s="126"/>
    </row>
    <row r="1259" spans="27:27">
      <c r="AA1259" s="126"/>
    </row>
    <row r="1260" spans="27:27">
      <c r="AA1260" s="126"/>
    </row>
    <row r="1261" spans="27:27">
      <c r="AA1261" s="126"/>
    </row>
    <row r="1262" spans="27:27">
      <c r="AA1262" s="126"/>
    </row>
    <row r="1263" spans="27:27">
      <c r="AA1263" s="126"/>
    </row>
    <row r="1264" spans="27:27">
      <c r="AA1264" s="126"/>
    </row>
    <row r="1265" spans="27:27">
      <c r="AA1265" s="127"/>
    </row>
    <row r="1266" spans="27:27">
      <c r="AA1266" s="126"/>
    </row>
    <row r="1267" spans="27:27">
      <c r="AA1267" s="126"/>
    </row>
    <row r="1268" spans="27:27">
      <c r="AA1268" s="126"/>
    </row>
    <row r="1269" spans="27:27">
      <c r="AA1269" s="126"/>
    </row>
    <row r="1270" spans="27:27">
      <c r="AA1270" s="126"/>
    </row>
    <row r="1271" spans="27:27">
      <c r="AA1271" s="126"/>
    </row>
    <row r="1272" spans="27:27">
      <c r="AA1272" s="126"/>
    </row>
    <row r="1273" spans="27:27">
      <c r="AA1273" s="264"/>
    </row>
    <row r="1274" spans="27:27">
      <c r="AA1274" s="126"/>
    </row>
    <row r="1275" spans="27:27">
      <c r="AA1275" s="126"/>
    </row>
    <row r="1276" spans="27:27">
      <c r="AA1276" s="126"/>
    </row>
    <row r="1277" spans="27:27">
      <c r="AA1277" s="126"/>
    </row>
    <row r="1278" spans="27:27">
      <c r="AA1278" s="126"/>
    </row>
    <row r="1279" spans="27:27">
      <c r="AA1279" s="126"/>
    </row>
    <row r="1280" spans="27:27">
      <c r="AA1280" s="126"/>
    </row>
    <row r="1281" spans="27:27">
      <c r="AA1281" s="126"/>
    </row>
    <row r="1282" spans="27:27">
      <c r="AA1282" s="126"/>
    </row>
    <row r="1283" spans="27:27">
      <c r="AA1283" s="126"/>
    </row>
    <row r="1284" spans="27:27">
      <c r="AA1284" s="126"/>
    </row>
    <row r="1285" spans="27:27">
      <c r="AA1285" s="126"/>
    </row>
    <row r="1286" spans="27:27">
      <c r="AA1286" s="126"/>
    </row>
    <row r="1287" spans="27:27">
      <c r="AA1287" s="126"/>
    </row>
    <row r="1288" spans="27:27">
      <c r="AA1288" s="264"/>
    </row>
    <row r="1289" spans="27:27">
      <c r="AA1289" s="264"/>
    </row>
    <row r="1290" spans="27:27">
      <c r="AA1290" s="126"/>
    </row>
    <row r="1291" spans="27:27">
      <c r="AA1291" s="126"/>
    </row>
    <row r="1292" spans="27:27">
      <c r="AA1292" s="126"/>
    </row>
    <row r="1293" spans="27:27">
      <c r="AA1293" s="126"/>
    </row>
    <row r="1294" spans="27:27">
      <c r="AA1294" s="126"/>
    </row>
    <row r="1295" spans="27:27">
      <c r="AA1295" s="126"/>
    </row>
    <row r="1296" spans="27:27">
      <c r="AA1296" s="126"/>
    </row>
    <row r="1297" spans="27:27">
      <c r="AA1297" s="126"/>
    </row>
    <row r="1298" spans="27:27">
      <c r="AA1298" s="126"/>
    </row>
    <row r="1299" spans="27:27">
      <c r="AA1299" s="264"/>
    </row>
    <row r="1300" spans="27:27">
      <c r="AA1300" s="126"/>
    </row>
    <row r="1301" spans="27:27">
      <c r="AA1301" s="126"/>
    </row>
    <row r="1302" spans="27:27">
      <c r="AA1302" s="126"/>
    </row>
    <row r="1303" spans="27:27">
      <c r="AA1303" s="126"/>
    </row>
    <row r="1304" spans="27:27">
      <c r="AA1304" s="126"/>
    </row>
    <row r="1305" spans="27:27">
      <c r="AA1305" s="126"/>
    </row>
    <row r="1306" spans="27:27">
      <c r="AA1306" s="123"/>
    </row>
    <row r="1307" spans="27:27">
      <c r="AA1307" s="126"/>
    </row>
    <row r="1309" spans="27:27">
      <c r="AA1309" s="126"/>
    </row>
    <row r="1310" spans="27:27">
      <c r="AA1310" s="264"/>
    </row>
    <row r="1311" spans="27:27">
      <c r="AA1311" s="126"/>
    </row>
    <row r="1312" spans="27:27">
      <c r="AA1312" s="126"/>
    </row>
    <row r="1313" spans="27:27">
      <c r="AA1313" s="126"/>
    </row>
    <row r="1314" spans="27:27">
      <c r="AA1314" s="126"/>
    </row>
    <row r="1315" spans="27:27">
      <c r="AA1315" s="126"/>
    </row>
    <row r="1316" spans="27:27">
      <c r="AA1316" s="126"/>
    </row>
    <row r="1317" spans="27:27">
      <c r="AA1317" s="126"/>
    </row>
    <row r="1318" spans="27:27">
      <c r="AA1318" s="126"/>
    </row>
    <row r="1319" spans="27:27">
      <c r="AA1319" s="126"/>
    </row>
    <row r="1320" spans="27:27">
      <c r="AA1320" s="126"/>
    </row>
    <row r="1321" spans="27:27">
      <c r="AA1321" s="126"/>
    </row>
    <row r="1322" spans="27:27">
      <c r="AA1322" s="126"/>
    </row>
    <row r="1323" spans="27:27">
      <c r="AA1323" s="126"/>
    </row>
    <row r="1324" spans="27:27">
      <c r="AA1324" s="126"/>
    </row>
    <row r="1325" spans="27:27">
      <c r="AA1325" s="126"/>
    </row>
    <row r="1326" spans="27:27">
      <c r="AA1326" s="126"/>
    </row>
    <row r="1327" spans="27:27">
      <c r="AA1327" s="126"/>
    </row>
    <row r="1328" spans="27:27">
      <c r="AA1328" s="126"/>
    </row>
    <row r="1329" spans="27:27">
      <c r="AA1329" s="126"/>
    </row>
    <row r="1330" spans="27:27">
      <c r="AA1330" s="126"/>
    </row>
    <row r="1331" spans="27:27">
      <c r="AA1331" s="126"/>
    </row>
    <row r="1332" spans="27:27">
      <c r="AA1332" s="126"/>
    </row>
    <row r="1333" spans="27:27">
      <c r="AA1333" s="126"/>
    </row>
    <row r="1335" spans="27:27">
      <c r="AA1335" s="126"/>
    </row>
    <row r="1336" spans="27:27">
      <c r="AA1336" s="126"/>
    </row>
    <row r="1337" spans="27:27">
      <c r="AA1337" s="126"/>
    </row>
    <row r="1338" spans="27:27">
      <c r="AA1338" s="126"/>
    </row>
    <row r="1339" spans="27:27">
      <c r="AA1339" s="126"/>
    </row>
    <row r="1340" spans="27:27">
      <c r="AA1340" s="126"/>
    </row>
    <row r="1341" spans="27:27">
      <c r="AA1341" s="126"/>
    </row>
    <row r="1342" spans="27:27">
      <c r="AA1342" s="126"/>
    </row>
    <row r="1343" spans="27:27">
      <c r="AA1343" s="51"/>
    </row>
    <row r="1344" spans="27:27">
      <c r="AA1344" s="126"/>
    </row>
    <row r="1345" spans="1:33">
      <c r="AA1345" s="126"/>
    </row>
    <row r="1346" spans="1:33">
      <c r="AA1346" s="126"/>
    </row>
    <row r="1347" spans="1:33">
      <c r="AA1347" s="126"/>
    </row>
    <row r="1348" spans="1:33">
      <c r="AA1348" s="126"/>
    </row>
    <row r="1349" spans="1:33">
      <c r="AA1349" s="126"/>
    </row>
    <row r="1350" spans="1:33">
      <c r="AA1350" s="126"/>
    </row>
    <row r="1351" spans="1:33">
      <c r="AA1351" s="126"/>
    </row>
    <row r="1352" spans="1:33">
      <c r="AA1352" s="126"/>
    </row>
    <row r="1353" spans="1:33" ht="26.25">
      <c r="A1353" s="264"/>
      <c r="B1353" s="264"/>
      <c r="C1353" s="264"/>
      <c r="D1353" s="264"/>
      <c r="E1353" s="264"/>
      <c r="F1353" s="264"/>
      <c r="H1353" s="264"/>
      <c r="I1353" s="264"/>
      <c r="J1353" s="327"/>
      <c r="K1353" s="327"/>
      <c r="L1353" s="327"/>
      <c r="M1353" s="321"/>
      <c r="N1353" s="321"/>
      <c r="P1353" s="381"/>
      <c r="R1353" s="392"/>
      <c r="S1353" s="61" ph="1"/>
      <c r="U1353" s="229"/>
      <c r="X1353" s="264"/>
      <c r="Y1353" s="264"/>
      <c r="Z1353" s="386"/>
      <c r="AA1353" s="126"/>
      <c r="AD1353" s="264"/>
      <c r="AE1353" s="264"/>
      <c r="AF1353" s="264"/>
      <c r="AG1353" s="7"/>
    </row>
    <row r="1354" spans="1:33">
      <c r="A1354" s="264"/>
      <c r="V1354" s="264"/>
      <c r="W1354" s="199"/>
      <c r="AA1354" s="264"/>
    </row>
    <row r="1355" spans="1:33">
      <c r="AA1355" s="26"/>
    </row>
    <row r="1356" spans="1:33">
      <c r="AA1356" s="264"/>
    </row>
    <row r="1357" spans="1:33">
      <c r="AA1357" s="126"/>
    </row>
    <row r="1358" spans="1:33">
      <c r="AA1358" s="126"/>
    </row>
    <row r="1359" spans="1:33">
      <c r="AA1359" s="126"/>
    </row>
    <row r="1360" spans="1:33">
      <c r="A1360" s="264"/>
      <c r="G1360" s="264"/>
      <c r="AA1360" s="126"/>
    </row>
    <row r="1361" spans="1:33">
      <c r="AA1361" s="126"/>
    </row>
    <row r="1362" spans="1:33">
      <c r="AA1362" s="126"/>
    </row>
    <row r="1363" spans="1:33" ht="26.25">
      <c r="A1363" s="264"/>
      <c r="B1363" s="264"/>
      <c r="C1363" s="264"/>
      <c r="D1363" s="264"/>
      <c r="E1363" s="264"/>
      <c r="F1363" s="264"/>
      <c r="H1363" s="264"/>
      <c r="I1363" s="264"/>
      <c r="J1363" s="327"/>
      <c r="K1363" s="327"/>
      <c r="L1363" s="327"/>
      <c r="M1363" s="321"/>
      <c r="N1363" s="321"/>
      <c r="P1363" s="381"/>
      <c r="R1363" s="392"/>
      <c r="S1363" s="61" ph="1"/>
      <c r="U1363" s="229"/>
      <c r="X1363" s="264"/>
      <c r="Y1363" s="264"/>
      <c r="Z1363" s="386"/>
      <c r="AA1363" s="126"/>
      <c r="AD1363" s="264"/>
      <c r="AE1363" s="264"/>
      <c r="AF1363" s="264"/>
      <c r="AG1363" s="7"/>
    </row>
    <row r="1364" spans="1:33">
      <c r="A1364" s="264"/>
      <c r="V1364" s="264"/>
      <c r="W1364" s="199"/>
      <c r="AA1364" s="126"/>
    </row>
    <row r="1365" spans="1:33">
      <c r="O1365" s="364"/>
      <c r="AA1365" s="126"/>
    </row>
    <row r="1366" spans="1:33">
      <c r="AA1366" s="126"/>
    </row>
    <row r="1367" spans="1:33" ht="26.25">
      <c r="A1367" s="264"/>
      <c r="B1367" s="264"/>
      <c r="C1367" s="264"/>
      <c r="D1367" s="264"/>
      <c r="E1367" s="264"/>
      <c r="F1367" s="264"/>
      <c r="H1367" s="264"/>
      <c r="I1367" s="264"/>
      <c r="J1367" s="327"/>
      <c r="K1367" s="327"/>
      <c r="L1367" s="327"/>
      <c r="M1367" s="321"/>
      <c r="N1367" s="321"/>
      <c r="P1367" s="381"/>
      <c r="R1367" s="392"/>
      <c r="S1367" s="61" ph="1"/>
      <c r="U1367" s="229"/>
      <c r="X1367" s="264"/>
      <c r="Y1367" s="264"/>
      <c r="Z1367" s="386"/>
      <c r="AA1367" s="126"/>
      <c r="AD1367" s="264"/>
      <c r="AE1367" s="264"/>
      <c r="AF1367" s="264"/>
      <c r="AG1367" s="7"/>
    </row>
    <row r="1368" spans="1:33">
      <c r="A1368" s="264"/>
      <c r="V1368" s="264"/>
      <c r="W1368" s="199"/>
      <c r="AA1368" s="126"/>
    </row>
    <row r="1369" spans="1:33">
      <c r="AA1369" s="126"/>
    </row>
    <row r="1370" spans="1:33">
      <c r="A1370" s="264"/>
      <c r="G1370" s="264"/>
      <c r="AA1370" s="126"/>
    </row>
    <row r="1371" spans="1:33">
      <c r="AA1371" s="126"/>
    </row>
    <row r="1372" spans="1:33" ht="26.25">
      <c r="A1372" s="264"/>
      <c r="B1372" s="264"/>
      <c r="C1372" s="264"/>
      <c r="D1372" s="264"/>
      <c r="E1372" s="264"/>
      <c r="F1372" s="264"/>
      <c r="H1372" s="264"/>
      <c r="I1372" s="264"/>
      <c r="J1372" s="327"/>
      <c r="K1372" s="327"/>
      <c r="L1372" s="327"/>
      <c r="M1372" s="321"/>
      <c r="N1372" s="321"/>
      <c r="P1372" s="381"/>
      <c r="R1372" s="392"/>
      <c r="S1372" s="61" ph="1"/>
      <c r="U1372" s="229"/>
      <c r="X1372" s="264"/>
      <c r="Y1372" s="264"/>
      <c r="Z1372" s="386"/>
      <c r="AA1372" s="126"/>
      <c r="AD1372" s="264"/>
      <c r="AE1372" s="264"/>
      <c r="AF1372" s="264"/>
      <c r="AG1372" s="7"/>
    </row>
    <row r="1373" spans="1:33" ht="26.25">
      <c r="A1373" s="264"/>
      <c r="B1373" s="264"/>
      <c r="C1373" s="264"/>
      <c r="D1373" s="264"/>
      <c r="E1373" s="264"/>
      <c r="F1373" s="264"/>
      <c r="H1373" s="264"/>
      <c r="I1373" s="264"/>
      <c r="J1373" s="327"/>
      <c r="K1373" s="327"/>
      <c r="L1373" s="327"/>
      <c r="M1373" s="321"/>
      <c r="N1373" s="321"/>
      <c r="P1373" s="381"/>
      <c r="R1373" s="392"/>
      <c r="S1373" s="61" ph="1"/>
      <c r="U1373" s="229"/>
      <c r="V1373" s="264"/>
      <c r="W1373" s="199"/>
      <c r="X1373" s="264"/>
      <c r="Y1373" s="264"/>
      <c r="Z1373" s="386"/>
      <c r="AA1373" s="126"/>
      <c r="AD1373" s="264"/>
      <c r="AE1373" s="264"/>
      <c r="AF1373" s="264"/>
      <c r="AG1373" s="7"/>
    </row>
    <row r="1374" spans="1:33" ht="26.25">
      <c r="A1374" s="264"/>
      <c r="B1374" s="264"/>
      <c r="C1374" s="264"/>
      <c r="D1374" s="264"/>
      <c r="E1374" s="264"/>
      <c r="F1374" s="264"/>
      <c r="G1374" s="264"/>
      <c r="H1374" s="264"/>
      <c r="I1374" s="264"/>
      <c r="J1374" s="327"/>
      <c r="K1374" s="327"/>
      <c r="L1374" s="327"/>
      <c r="M1374" s="321"/>
      <c r="N1374" s="321"/>
      <c r="P1374" s="381"/>
      <c r="R1374" s="392"/>
      <c r="S1374" s="61" ph="1"/>
      <c r="U1374" s="229"/>
      <c r="V1374" s="264"/>
      <c r="W1374" s="199"/>
      <c r="X1374" s="264"/>
      <c r="Y1374" s="264"/>
      <c r="Z1374" s="386"/>
      <c r="AA1374" s="126"/>
      <c r="AD1374" s="264"/>
      <c r="AE1374" s="264"/>
      <c r="AF1374" s="264"/>
      <c r="AG1374" s="7"/>
    </row>
    <row r="1375" spans="1:33">
      <c r="A1375" s="264"/>
      <c r="O1375" s="364"/>
      <c r="V1375" s="264"/>
      <c r="W1375" s="199"/>
      <c r="AA1375" s="126"/>
    </row>
    <row r="1376" spans="1:33" ht="26.25">
      <c r="A1376" s="264"/>
      <c r="B1376" s="264"/>
      <c r="C1376" s="264"/>
      <c r="D1376" s="264"/>
      <c r="E1376" s="264"/>
      <c r="F1376" s="264"/>
      <c r="H1376" s="264"/>
      <c r="I1376" s="264"/>
      <c r="J1376" s="327"/>
      <c r="K1376" s="327"/>
      <c r="L1376" s="327"/>
      <c r="M1376" s="321"/>
      <c r="N1376" s="321"/>
      <c r="P1376" s="381"/>
      <c r="R1376" s="392"/>
      <c r="S1376" s="61" ph="1"/>
      <c r="U1376" s="229"/>
      <c r="X1376" s="264"/>
      <c r="Y1376" s="264"/>
      <c r="Z1376" s="386"/>
      <c r="AA1376" s="126"/>
      <c r="AD1376" s="264"/>
      <c r="AE1376" s="264"/>
      <c r="AF1376" s="264"/>
      <c r="AG1376" s="7"/>
    </row>
    <row r="1377" spans="1:33" ht="26.25">
      <c r="A1377" s="264"/>
      <c r="B1377" s="264"/>
      <c r="C1377" s="264"/>
      <c r="D1377" s="264"/>
      <c r="E1377" s="264"/>
      <c r="F1377" s="264"/>
      <c r="H1377" s="264"/>
      <c r="I1377" s="264"/>
      <c r="J1377" s="327"/>
      <c r="K1377" s="327"/>
      <c r="L1377" s="327"/>
      <c r="M1377" s="321"/>
      <c r="N1377" s="321"/>
      <c r="P1377" s="381"/>
      <c r="R1377" s="392"/>
      <c r="S1377" s="61" ph="1"/>
      <c r="U1377" s="229"/>
      <c r="V1377" s="264"/>
      <c r="W1377" s="199"/>
      <c r="X1377" s="264"/>
      <c r="Y1377" s="264"/>
      <c r="Z1377" s="386"/>
      <c r="AA1377" s="126"/>
      <c r="AD1377" s="264"/>
      <c r="AE1377" s="264"/>
      <c r="AF1377" s="264"/>
      <c r="AG1377" s="7"/>
    </row>
    <row r="1378" spans="1:33">
      <c r="A1378" s="264"/>
      <c r="V1378" s="264"/>
      <c r="W1378" s="199"/>
      <c r="AA1378" s="264"/>
    </row>
    <row r="1379" spans="1:33" ht="26.25">
      <c r="A1379" s="264"/>
      <c r="B1379" s="264"/>
      <c r="C1379" s="264"/>
      <c r="D1379" s="264"/>
      <c r="E1379" s="264"/>
      <c r="F1379" s="264"/>
      <c r="G1379" s="264"/>
      <c r="H1379" s="264"/>
      <c r="I1379" s="264"/>
      <c r="J1379" s="327"/>
      <c r="K1379" s="327"/>
      <c r="L1379" s="327"/>
      <c r="M1379" s="321"/>
      <c r="N1379" s="321"/>
      <c r="O1379" s="364"/>
      <c r="P1379" s="381"/>
      <c r="R1379" s="392"/>
      <c r="S1379" s="61" ph="1"/>
      <c r="U1379" s="229"/>
      <c r="X1379" s="264"/>
      <c r="Y1379" s="264"/>
      <c r="Z1379" s="386"/>
      <c r="AA1379" s="264"/>
      <c r="AD1379" s="264"/>
      <c r="AE1379" s="264"/>
      <c r="AF1379" s="264"/>
      <c r="AG1379" s="7"/>
    </row>
    <row r="1380" spans="1:33">
      <c r="A1380" s="264"/>
      <c r="G1380" s="264"/>
      <c r="V1380" s="264"/>
      <c r="W1380" s="199"/>
      <c r="AA1380" s="27"/>
    </row>
    <row r="1381" spans="1:33" ht="26.25">
      <c r="A1381" s="264"/>
      <c r="B1381" s="264"/>
      <c r="C1381" s="264"/>
      <c r="D1381" s="264"/>
      <c r="E1381" s="264"/>
      <c r="F1381" s="264"/>
      <c r="G1381" s="264"/>
      <c r="H1381" s="264"/>
      <c r="I1381" s="264"/>
      <c r="J1381" s="327"/>
      <c r="K1381" s="327"/>
      <c r="L1381" s="327"/>
      <c r="M1381" s="321"/>
      <c r="N1381" s="321"/>
      <c r="P1381" s="381"/>
      <c r="R1381" s="392"/>
      <c r="S1381" s="61" ph="1"/>
      <c r="U1381" s="229"/>
      <c r="X1381" s="264"/>
      <c r="Y1381" s="264"/>
      <c r="Z1381" s="386"/>
      <c r="AA1381" s="126"/>
      <c r="AD1381" s="264"/>
      <c r="AE1381" s="264"/>
      <c r="AF1381" s="264"/>
      <c r="AG1381" s="7"/>
    </row>
    <row r="1382" spans="1:33" ht="26.25">
      <c r="A1382" s="264"/>
      <c r="B1382" s="264"/>
      <c r="C1382" s="264"/>
      <c r="D1382" s="264"/>
      <c r="E1382" s="264"/>
      <c r="F1382" s="264"/>
      <c r="H1382" s="264"/>
      <c r="I1382" s="264"/>
      <c r="J1382" s="327"/>
      <c r="K1382" s="327"/>
      <c r="L1382" s="327"/>
      <c r="M1382" s="321"/>
      <c r="N1382" s="321"/>
      <c r="P1382" s="381"/>
      <c r="R1382" s="392"/>
      <c r="S1382" s="61" ph="1"/>
      <c r="U1382" s="229"/>
      <c r="V1382" s="264"/>
      <c r="W1382" s="199"/>
      <c r="X1382" s="264"/>
      <c r="Y1382" s="264"/>
      <c r="Z1382" s="386"/>
      <c r="AA1382" s="126"/>
      <c r="AD1382" s="264"/>
      <c r="AE1382" s="264"/>
      <c r="AF1382" s="264"/>
      <c r="AG1382" s="7"/>
    </row>
    <row r="1383" spans="1:33" ht="26.25">
      <c r="A1383" s="264"/>
      <c r="B1383" s="264"/>
      <c r="C1383" s="264"/>
      <c r="D1383" s="264"/>
      <c r="E1383" s="264"/>
      <c r="F1383" s="264"/>
      <c r="G1383" s="264"/>
      <c r="H1383" s="264"/>
      <c r="I1383" s="264"/>
      <c r="J1383" s="327"/>
      <c r="K1383" s="327"/>
      <c r="L1383" s="327"/>
      <c r="M1383" s="321"/>
      <c r="N1383" s="321"/>
      <c r="P1383" s="381"/>
      <c r="R1383" s="392"/>
      <c r="S1383" s="61" ph="1"/>
      <c r="U1383" s="229"/>
      <c r="V1383" s="264"/>
      <c r="W1383" s="199"/>
      <c r="X1383" s="264"/>
      <c r="Y1383" s="264"/>
      <c r="Z1383" s="386"/>
      <c r="AA1383" s="126"/>
      <c r="AD1383" s="264"/>
      <c r="AE1383" s="264"/>
      <c r="AF1383" s="264"/>
      <c r="AG1383" s="7"/>
    </row>
    <row r="1384" spans="1:33" ht="26.25">
      <c r="A1384" s="264"/>
      <c r="B1384" s="264"/>
      <c r="C1384" s="264"/>
      <c r="D1384" s="264"/>
      <c r="E1384" s="264"/>
      <c r="F1384" s="264"/>
      <c r="G1384" s="264"/>
      <c r="H1384" s="264"/>
      <c r="I1384" s="264"/>
      <c r="J1384" s="327"/>
      <c r="K1384" s="327"/>
      <c r="L1384" s="327"/>
      <c r="M1384" s="321"/>
      <c r="N1384" s="321"/>
      <c r="O1384" s="364"/>
      <c r="P1384" s="381"/>
      <c r="R1384" s="392"/>
      <c r="S1384" s="61" ph="1"/>
      <c r="U1384" s="229"/>
      <c r="V1384" s="264"/>
      <c r="W1384" s="199"/>
      <c r="X1384" s="264"/>
      <c r="Y1384" s="264"/>
      <c r="Z1384" s="386"/>
      <c r="AA1384" s="126"/>
      <c r="AD1384" s="264"/>
      <c r="AE1384" s="264"/>
      <c r="AF1384" s="264"/>
      <c r="AG1384" s="7"/>
    </row>
    <row r="1385" spans="1:33" ht="26.25">
      <c r="A1385" s="264"/>
      <c r="B1385" s="264"/>
      <c r="C1385" s="264"/>
      <c r="D1385" s="264"/>
      <c r="E1385" s="264"/>
      <c r="F1385" s="264"/>
      <c r="H1385" s="264"/>
      <c r="I1385" s="264"/>
      <c r="J1385" s="327"/>
      <c r="K1385" s="327"/>
      <c r="L1385" s="327"/>
      <c r="M1385" s="321"/>
      <c r="N1385" s="321"/>
      <c r="O1385" s="364"/>
      <c r="P1385" s="381"/>
      <c r="R1385" s="392"/>
      <c r="S1385" s="61" ph="1"/>
      <c r="U1385" s="229"/>
      <c r="V1385" s="264"/>
      <c r="W1385" s="199"/>
      <c r="X1385" s="264"/>
      <c r="Y1385" s="264"/>
      <c r="Z1385" s="386"/>
      <c r="AA1385" s="126"/>
      <c r="AD1385" s="264"/>
      <c r="AE1385" s="264"/>
      <c r="AF1385" s="264"/>
      <c r="AG1385" s="7"/>
    </row>
    <row r="1386" spans="1:33" ht="26.25">
      <c r="A1386" s="264"/>
      <c r="B1386" s="264"/>
      <c r="C1386" s="264"/>
      <c r="D1386" s="264"/>
      <c r="E1386" s="264"/>
      <c r="F1386" s="264"/>
      <c r="G1386" s="264"/>
      <c r="H1386" s="264"/>
      <c r="I1386" s="264"/>
      <c r="J1386" s="327"/>
      <c r="K1386" s="327"/>
      <c r="L1386" s="327"/>
      <c r="M1386" s="321"/>
      <c r="N1386" s="321"/>
      <c r="O1386" s="364"/>
      <c r="P1386" s="381"/>
      <c r="R1386" s="392"/>
      <c r="S1386" s="61" ph="1"/>
      <c r="U1386" s="229"/>
      <c r="V1386" s="264"/>
      <c r="W1386" s="199"/>
      <c r="X1386" s="264"/>
      <c r="Y1386" s="264"/>
      <c r="Z1386" s="386"/>
      <c r="AA1386" s="126"/>
      <c r="AD1386" s="264"/>
      <c r="AE1386" s="264"/>
      <c r="AF1386" s="264"/>
      <c r="AG1386" s="7"/>
    </row>
    <row r="1387" spans="1:33" ht="26.25">
      <c r="A1387" s="264"/>
      <c r="B1387" s="264"/>
      <c r="C1387" s="264"/>
      <c r="D1387" s="264"/>
      <c r="E1387" s="264"/>
      <c r="F1387" s="264"/>
      <c r="H1387" s="264"/>
      <c r="I1387" s="264"/>
      <c r="J1387" s="327"/>
      <c r="K1387" s="327"/>
      <c r="L1387" s="327"/>
      <c r="M1387" s="321"/>
      <c r="N1387" s="321"/>
      <c r="P1387" s="381"/>
      <c r="R1387" s="392"/>
      <c r="S1387" s="61" ph="1"/>
      <c r="U1387" s="229"/>
      <c r="V1387" s="264"/>
      <c r="W1387" s="199"/>
      <c r="X1387" s="264"/>
      <c r="Y1387" s="264"/>
      <c r="Z1387" s="386"/>
      <c r="AA1387" s="126"/>
      <c r="AD1387" s="264"/>
      <c r="AE1387" s="264"/>
      <c r="AF1387" s="264"/>
      <c r="AG1387" s="7"/>
    </row>
    <row r="1388" spans="1:33" ht="26.25">
      <c r="A1388" s="264"/>
      <c r="B1388" s="264"/>
      <c r="C1388" s="264"/>
      <c r="D1388" s="264"/>
      <c r="E1388" s="264"/>
      <c r="F1388" s="264"/>
      <c r="G1388" s="264"/>
      <c r="H1388" s="264"/>
      <c r="I1388" s="264"/>
      <c r="J1388" s="327"/>
      <c r="K1388" s="327"/>
      <c r="L1388" s="327"/>
      <c r="M1388" s="321"/>
      <c r="N1388" s="321"/>
      <c r="O1388" s="364"/>
      <c r="P1388" s="381"/>
      <c r="R1388" s="392"/>
      <c r="S1388" s="61" ph="1"/>
      <c r="U1388" s="229"/>
      <c r="V1388" s="264"/>
      <c r="W1388" s="199"/>
      <c r="X1388" s="264"/>
      <c r="Y1388" s="264"/>
      <c r="Z1388" s="386"/>
      <c r="AA1388" s="126"/>
      <c r="AD1388" s="264"/>
      <c r="AE1388" s="264"/>
      <c r="AF1388" s="264"/>
      <c r="AG1388" s="7"/>
    </row>
    <row r="1389" spans="1:33" ht="26.25">
      <c r="A1389" s="264"/>
      <c r="G1389" s="264"/>
      <c r="O1389" s="364"/>
      <c r="S1389" s="61" ph="1"/>
      <c r="V1389" s="264"/>
      <c r="W1389" s="199"/>
      <c r="AA1389" s="126"/>
    </row>
    <row r="1390" spans="1:33" ht="26.25">
      <c r="A1390" s="264"/>
      <c r="G1390" s="264"/>
      <c r="S1390" s="61" ph="1"/>
      <c r="AA1390" s="126"/>
    </row>
    <row r="1391" spans="1:33">
      <c r="A1391" s="264"/>
      <c r="G1391" s="264"/>
      <c r="O1391" s="364"/>
      <c r="AA1391" s="126"/>
    </row>
    <row r="1392" spans="1:33" ht="26.25">
      <c r="A1392" s="264"/>
      <c r="G1392" s="264"/>
      <c r="S1392" s="61" ph="1"/>
      <c r="AA1392" s="126"/>
    </row>
    <row r="1393" spans="1:33" ht="26.25">
      <c r="A1393" s="264"/>
      <c r="G1393" s="264"/>
      <c r="O1393" s="364"/>
      <c r="S1393" s="61" ph="1"/>
      <c r="AA1393" s="126"/>
    </row>
    <row r="1394" spans="1:33" ht="26.25">
      <c r="A1394" s="264"/>
      <c r="G1394" s="264"/>
      <c r="O1394" s="364"/>
      <c r="S1394" s="61" ph="1"/>
      <c r="AA1394" s="264"/>
    </row>
    <row r="1395" spans="1:33" ht="26.25">
      <c r="A1395" s="264"/>
      <c r="G1395" s="264"/>
      <c r="O1395" s="364"/>
      <c r="S1395" s="61" ph="1"/>
      <c r="AA1395" s="126"/>
    </row>
    <row r="1396" spans="1:33" ht="26.25">
      <c r="A1396" s="264"/>
      <c r="O1396" s="364"/>
      <c r="S1396" s="61" ph="1"/>
      <c r="AA1396" s="126"/>
    </row>
    <row r="1397" spans="1:33" ht="26.25">
      <c r="A1397" s="264"/>
      <c r="B1397" s="264"/>
      <c r="C1397" s="264"/>
      <c r="D1397" s="264"/>
      <c r="E1397" s="264"/>
      <c r="F1397" s="264"/>
      <c r="G1397" s="264"/>
      <c r="H1397" s="264"/>
      <c r="I1397" s="264"/>
      <c r="J1397" s="327"/>
      <c r="K1397" s="327"/>
      <c r="L1397" s="327"/>
      <c r="M1397" s="321"/>
      <c r="N1397" s="321"/>
      <c r="O1397" s="364"/>
      <c r="P1397" s="381"/>
      <c r="R1397" s="392"/>
      <c r="S1397" s="61" ph="1"/>
      <c r="U1397" s="229"/>
      <c r="V1397" s="264"/>
      <c r="W1397" s="199"/>
      <c r="X1397" s="264"/>
      <c r="Y1397" s="264"/>
      <c r="Z1397" s="386"/>
      <c r="AA1397" s="126"/>
      <c r="AD1397" s="264"/>
      <c r="AE1397" s="264"/>
      <c r="AF1397" s="264"/>
      <c r="AG1397" s="264"/>
    </row>
    <row r="1398" spans="1:33" ht="26.25">
      <c r="A1398" s="264"/>
      <c r="B1398" s="264"/>
      <c r="C1398" s="264"/>
      <c r="D1398" s="264"/>
      <c r="E1398" s="264"/>
      <c r="F1398" s="264"/>
      <c r="G1398" s="264"/>
      <c r="H1398" s="264"/>
      <c r="I1398" s="264"/>
      <c r="J1398" s="327"/>
      <c r="K1398" s="327"/>
      <c r="L1398" s="327"/>
      <c r="M1398" s="321"/>
      <c r="N1398" s="321"/>
      <c r="O1398" s="364"/>
      <c r="P1398" s="381"/>
      <c r="R1398" s="392"/>
      <c r="S1398" s="61" ph="1"/>
      <c r="U1398" s="229"/>
      <c r="V1398" s="264"/>
      <c r="W1398" s="199"/>
      <c r="X1398" s="264"/>
      <c r="Y1398" s="264"/>
      <c r="Z1398" s="386"/>
      <c r="AA1398" s="126"/>
      <c r="AD1398" s="264"/>
      <c r="AE1398" s="264"/>
      <c r="AF1398" s="264"/>
      <c r="AG1398" s="264"/>
    </row>
    <row r="1399" spans="1:33" ht="26.25">
      <c r="A1399" s="264"/>
      <c r="B1399" s="264"/>
      <c r="C1399" s="264"/>
      <c r="D1399" s="264"/>
      <c r="E1399" s="264"/>
      <c r="F1399" s="264"/>
      <c r="G1399" s="264"/>
      <c r="H1399" s="264"/>
      <c r="I1399" s="264"/>
      <c r="J1399" s="327"/>
      <c r="K1399" s="327"/>
      <c r="L1399" s="327"/>
      <c r="M1399" s="321"/>
      <c r="N1399" s="321"/>
      <c r="O1399" s="364"/>
      <c r="P1399" s="381"/>
      <c r="R1399" s="392"/>
      <c r="S1399" s="61" ph="1"/>
      <c r="U1399" s="229"/>
      <c r="V1399" s="264"/>
      <c r="W1399" s="199"/>
      <c r="X1399" s="264"/>
      <c r="Y1399" s="264"/>
      <c r="Z1399" s="386"/>
      <c r="AA1399" s="126"/>
      <c r="AD1399" s="264"/>
      <c r="AE1399" s="264"/>
      <c r="AF1399" s="264"/>
      <c r="AG1399" s="264"/>
    </row>
    <row r="1400" spans="1:33">
      <c r="O1400" s="364"/>
      <c r="AA1400" s="126"/>
    </row>
    <row r="1401" spans="1:33" ht="26.25">
      <c r="A1401" s="264"/>
      <c r="B1401" s="264"/>
      <c r="C1401" s="264"/>
      <c r="D1401" s="264"/>
      <c r="E1401" s="264"/>
      <c r="F1401" s="264"/>
      <c r="G1401" s="264"/>
      <c r="H1401" s="264"/>
      <c r="I1401" s="264"/>
      <c r="J1401" s="327"/>
      <c r="K1401" s="327"/>
      <c r="L1401" s="327"/>
      <c r="M1401" s="321"/>
      <c r="N1401" s="321"/>
      <c r="P1401" s="381"/>
      <c r="R1401" s="392"/>
      <c r="S1401" s="61" ph="1"/>
      <c r="U1401" s="229"/>
      <c r="V1401" s="264"/>
      <c r="W1401" s="199"/>
      <c r="X1401" s="264"/>
      <c r="Y1401" s="264"/>
      <c r="Z1401" s="386"/>
      <c r="AA1401" s="126"/>
      <c r="AD1401" s="264"/>
      <c r="AE1401" s="264"/>
      <c r="AF1401" s="264"/>
      <c r="AG1401" s="264"/>
    </row>
    <row r="1402" spans="1:33" ht="26.25">
      <c r="A1402" s="264"/>
      <c r="B1402" s="264"/>
      <c r="C1402" s="264"/>
      <c r="D1402" s="264"/>
      <c r="E1402" s="264"/>
      <c r="F1402" s="264"/>
      <c r="G1402" s="264"/>
      <c r="H1402" s="264"/>
      <c r="I1402" s="264"/>
      <c r="J1402" s="327"/>
      <c r="K1402" s="327"/>
      <c r="L1402" s="327"/>
      <c r="M1402" s="321"/>
      <c r="N1402" s="321"/>
      <c r="P1402" s="381"/>
      <c r="R1402" s="392"/>
      <c r="S1402" s="61" ph="1"/>
      <c r="U1402" s="229"/>
      <c r="V1402" s="264"/>
      <c r="W1402" s="199"/>
      <c r="X1402" s="264"/>
      <c r="Y1402" s="264"/>
      <c r="Z1402" s="386"/>
      <c r="AA1402" s="126"/>
      <c r="AD1402" s="264"/>
      <c r="AE1402" s="264"/>
      <c r="AF1402" s="264"/>
      <c r="AG1402" s="264"/>
    </row>
    <row r="1403" spans="1:33" ht="26.25">
      <c r="A1403" s="264"/>
      <c r="B1403" s="264"/>
      <c r="C1403" s="264"/>
      <c r="D1403" s="264"/>
      <c r="E1403" s="264"/>
      <c r="F1403" s="264"/>
      <c r="G1403" s="264"/>
      <c r="H1403" s="264"/>
      <c r="I1403" s="264"/>
      <c r="J1403" s="327"/>
      <c r="K1403" s="327"/>
      <c r="L1403" s="327"/>
      <c r="M1403" s="321"/>
      <c r="N1403" s="321"/>
      <c r="P1403" s="381"/>
      <c r="R1403" s="392"/>
      <c r="S1403" s="61" ph="1"/>
      <c r="U1403" s="229"/>
      <c r="V1403" s="264"/>
      <c r="W1403" s="199"/>
      <c r="X1403" s="264"/>
      <c r="Y1403" s="264"/>
      <c r="Z1403" s="386"/>
      <c r="AA1403" s="126"/>
      <c r="AD1403" s="264"/>
      <c r="AE1403" s="264"/>
      <c r="AF1403" s="264"/>
      <c r="AG1403" s="264"/>
    </row>
    <row r="1404" spans="1:33" ht="26.25">
      <c r="A1404" s="264"/>
      <c r="B1404" s="264"/>
      <c r="C1404" s="264"/>
      <c r="D1404" s="264"/>
      <c r="E1404" s="264"/>
      <c r="F1404" s="264"/>
      <c r="G1404" s="264"/>
      <c r="H1404" s="264"/>
      <c r="I1404" s="264"/>
      <c r="J1404" s="327"/>
      <c r="K1404" s="327"/>
      <c r="L1404" s="327"/>
      <c r="M1404" s="321"/>
      <c r="N1404" s="321"/>
      <c r="P1404" s="381"/>
      <c r="R1404" s="392"/>
      <c r="S1404" s="61" ph="1"/>
      <c r="U1404" s="229"/>
      <c r="V1404" s="264"/>
      <c r="W1404" s="199"/>
      <c r="X1404" s="264"/>
      <c r="Y1404" s="264"/>
      <c r="Z1404" s="386"/>
      <c r="AA1404" s="126"/>
      <c r="AD1404" s="264"/>
      <c r="AE1404" s="264"/>
      <c r="AF1404" s="264"/>
      <c r="AG1404" s="264"/>
    </row>
    <row r="1405" spans="1:33">
      <c r="AA1405" s="126"/>
    </row>
    <row r="1406" spans="1:33">
      <c r="AA1406" s="27"/>
    </row>
    <row r="1407" spans="1:33">
      <c r="AA1407" s="126"/>
    </row>
    <row r="1408" spans="1:33">
      <c r="AA1408" s="126"/>
    </row>
    <row r="1409" spans="15:27">
      <c r="O1409" s="364"/>
      <c r="AA1409" s="126"/>
    </row>
    <row r="1410" spans="15:27">
      <c r="O1410" s="364"/>
      <c r="AA1410" s="126"/>
    </row>
    <row r="1411" spans="15:27">
      <c r="O1411" s="364"/>
      <c r="AA1411" s="126"/>
    </row>
    <row r="1412" spans="15:27">
      <c r="AA1412" s="126"/>
    </row>
    <row r="1413" spans="15:27">
      <c r="O1413" s="364"/>
      <c r="AA1413" s="123"/>
    </row>
    <row r="1414" spans="15:27">
      <c r="O1414" s="364"/>
      <c r="AA1414" s="126"/>
    </row>
    <row r="1415" spans="15:27">
      <c r="O1415" s="364"/>
      <c r="AA1415" s="126"/>
    </row>
    <row r="1416" spans="15:27">
      <c r="O1416" s="364"/>
      <c r="AA1416" s="126"/>
    </row>
    <row r="1417" spans="15:27">
      <c r="AA1417" s="126"/>
    </row>
    <row r="1418" spans="15:27">
      <c r="AA1418" s="126"/>
    </row>
    <row r="1419" spans="15:27">
      <c r="AA1419" s="126"/>
    </row>
    <row r="1420" spans="15:27">
      <c r="AA1420" s="126"/>
    </row>
    <row r="1421" spans="15:27">
      <c r="AA1421" s="126"/>
    </row>
    <row r="1422" spans="15:27">
      <c r="AA1422" s="126"/>
    </row>
    <row r="1423" spans="15:27">
      <c r="AA1423" s="126"/>
    </row>
    <row r="1424" spans="15:27">
      <c r="AA1424" s="126"/>
    </row>
    <row r="1425" spans="27:27">
      <c r="AA1425" s="126"/>
    </row>
    <row r="1426" spans="27:27">
      <c r="AA1426" s="126"/>
    </row>
    <row r="1427" spans="27:27">
      <c r="AA1427" s="126"/>
    </row>
    <row r="1428" spans="27:27">
      <c r="AA1428" s="126"/>
    </row>
    <row r="1429" spans="27:27">
      <c r="AA1429" s="126"/>
    </row>
    <row r="1430" spans="27:27">
      <c r="AA1430" s="126"/>
    </row>
    <row r="1431" spans="27:27">
      <c r="AA1431" s="126"/>
    </row>
    <row r="1432" spans="27:27">
      <c r="AA1432" s="126"/>
    </row>
    <row r="1433" spans="27:27">
      <c r="AA1433" s="126"/>
    </row>
    <row r="1434" spans="27:27">
      <c r="AA1434" s="126"/>
    </row>
    <row r="1435" spans="27:27">
      <c r="AA1435" s="126"/>
    </row>
    <row r="1436" spans="27:27">
      <c r="AA1436" s="126"/>
    </row>
    <row r="1437" spans="27:27">
      <c r="AA1437" s="126"/>
    </row>
    <row r="1438" spans="27:27">
      <c r="AA1438" s="126"/>
    </row>
    <row r="1439" spans="27:27">
      <c r="AA1439" s="126"/>
    </row>
    <row r="1440" spans="27:27">
      <c r="AA1440" s="126"/>
    </row>
    <row r="1441" spans="27:27">
      <c r="AA1441" s="126"/>
    </row>
    <row r="1442" spans="27:27">
      <c r="AA1442" s="126"/>
    </row>
    <row r="1443" spans="27:27">
      <c r="AA1443" s="126"/>
    </row>
    <row r="1444" spans="27:27">
      <c r="AA1444" s="126"/>
    </row>
    <row r="1445" spans="27:27">
      <c r="AA1445" s="126"/>
    </row>
    <row r="1446" spans="27:27">
      <c r="AA1446" s="126"/>
    </row>
    <row r="1447" spans="27:27">
      <c r="AA1447" s="126"/>
    </row>
    <row r="1448" spans="27:27">
      <c r="AA1448" s="126"/>
    </row>
    <row r="1449" spans="27:27">
      <c r="AA1449" s="126"/>
    </row>
    <row r="1450" spans="27:27">
      <c r="AA1450" s="126"/>
    </row>
    <row r="1451" spans="27:27">
      <c r="AA1451" s="126"/>
    </row>
    <row r="1452" spans="27:27">
      <c r="AA1452" s="126"/>
    </row>
    <row r="1453" spans="27:27">
      <c r="AA1453" s="264"/>
    </row>
    <row r="1454" spans="27:27">
      <c r="AA1454" s="126"/>
    </row>
    <row r="1455" spans="27:27">
      <c r="AA1455" s="126"/>
    </row>
    <row r="1456" spans="27:27">
      <c r="AA1456" s="126"/>
    </row>
    <row r="1457" spans="27:27">
      <c r="AA1457" s="126"/>
    </row>
    <row r="1458" spans="27:27">
      <c r="AA1458" s="266"/>
    </row>
    <row r="1459" spans="27:27">
      <c r="AA1459" s="126"/>
    </row>
    <row r="1460" spans="27:27">
      <c r="AA1460" s="126"/>
    </row>
    <row r="1461" spans="27:27">
      <c r="AA1461" s="126"/>
    </row>
    <row r="1462" spans="27:27">
      <c r="AA1462" s="126"/>
    </row>
    <row r="1463" spans="27:27">
      <c r="AA1463" s="126"/>
    </row>
    <row r="1464" spans="27:27">
      <c r="AA1464" s="126"/>
    </row>
    <row r="1465" spans="27:27">
      <c r="AA1465" s="224"/>
    </row>
    <row r="1466" spans="27:27">
      <c r="AA1466" s="126"/>
    </row>
    <row r="1467" spans="27:27">
      <c r="AA1467" s="126"/>
    </row>
    <row r="1468" spans="27:27">
      <c r="AA1468" s="126"/>
    </row>
    <row r="1469" spans="27:27">
      <c r="AA1469" s="126"/>
    </row>
    <row r="1470" spans="27:27">
      <c r="AA1470" s="126"/>
    </row>
    <row r="1471" spans="27:27">
      <c r="AA1471" s="126"/>
    </row>
    <row r="1472" spans="27:27">
      <c r="AA1472" s="126"/>
    </row>
    <row r="1473" spans="27:27">
      <c r="AA1473" s="126"/>
    </row>
    <row r="1474" spans="27:27">
      <c r="AA1474" s="126"/>
    </row>
    <row r="1475" spans="27:27">
      <c r="AA1475" s="126"/>
    </row>
    <row r="1476" spans="27:27">
      <c r="AA1476" s="264"/>
    </row>
    <row r="1477" spans="27:27">
      <c r="AA1477" s="126"/>
    </row>
    <row r="1478" spans="27:27">
      <c r="AA1478" s="126"/>
    </row>
    <row r="1479" spans="27:27">
      <c r="AA1479" s="126"/>
    </row>
    <row r="1480" spans="27:27">
      <c r="AA1480" s="126"/>
    </row>
    <row r="1481" spans="27:27">
      <c r="AA1481" s="126"/>
    </row>
    <row r="1482" spans="27:27">
      <c r="AA1482" s="126"/>
    </row>
    <row r="1483" spans="27:27">
      <c r="AA1483" s="126"/>
    </row>
    <row r="1484" spans="27:27">
      <c r="AA1484" s="126"/>
    </row>
    <row r="1485" spans="27:27">
      <c r="AA1485" s="126"/>
    </row>
    <row r="1486" spans="27:27">
      <c r="AA1486" s="126"/>
    </row>
    <row r="1487" spans="27:27">
      <c r="AA1487" s="126"/>
    </row>
    <row r="1488" spans="27:27">
      <c r="AA1488" s="264"/>
    </row>
    <row r="1489" spans="27:27">
      <c r="AA1489" s="126"/>
    </row>
    <row r="1490" spans="27:27">
      <c r="AA1490" s="27"/>
    </row>
    <row r="1491" spans="27:27">
      <c r="AA1491" s="264"/>
    </row>
    <row r="1492" spans="27:27">
      <c r="AA1492" s="126"/>
    </row>
    <row r="1493" spans="27:27">
      <c r="AA1493" s="126"/>
    </row>
    <row r="1494" spans="27:27">
      <c r="AA1494" s="126"/>
    </row>
    <row r="1495" spans="27:27">
      <c r="AA1495" s="126"/>
    </row>
    <row r="1496" spans="27:27">
      <c r="AA1496" s="264"/>
    </row>
    <row r="1497" spans="27:27">
      <c r="AA1497" s="126"/>
    </row>
    <row r="1498" spans="27:27">
      <c r="AA1498" s="126"/>
    </row>
    <row r="1499" spans="27:27">
      <c r="AA1499" s="126"/>
    </row>
    <row r="1500" spans="27:27">
      <c r="AA1500" s="126"/>
    </row>
    <row r="1501" spans="27:27">
      <c r="AA1501" s="126"/>
    </row>
    <row r="1502" spans="27:27">
      <c r="AA1502" s="126"/>
    </row>
    <row r="1503" spans="27:27">
      <c r="AA1503" s="126"/>
    </row>
    <row r="1504" spans="27:27">
      <c r="AA1504" s="126"/>
    </row>
    <row r="1505" spans="27:27">
      <c r="AA1505" s="126"/>
    </row>
    <row r="1506" spans="27:27">
      <c r="AA1506" s="126"/>
    </row>
    <row r="1507" spans="27:27">
      <c r="AA1507" s="126"/>
    </row>
    <row r="1508" spans="27:27">
      <c r="AA1508" s="126"/>
    </row>
    <row r="1509" spans="27:27">
      <c r="AA1509" s="126"/>
    </row>
    <row r="1510" spans="27:27">
      <c r="AA1510" s="126"/>
    </row>
    <row r="1511" spans="27:27">
      <c r="AA1511" s="126"/>
    </row>
    <row r="1512" spans="27:27">
      <c r="AA1512" s="126"/>
    </row>
    <row r="1513" spans="27:27">
      <c r="AA1513" s="126"/>
    </row>
    <row r="1514" spans="27:27">
      <c r="AA1514" s="126"/>
    </row>
    <row r="1515" spans="27:27">
      <c r="AA1515" s="126"/>
    </row>
    <row r="1516" spans="27:27">
      <c r="AA1516" s="264"/>
    </row>
    <row r="1517" spans="27:27">
      <c r="AA1517" s="126"/>
    </row>
    <row r="1518" spans="27:27">
      <c r="AA1518" s="126"/>
    </row>
    <row r="1519" spans="27:27">
      <c r="AA1519" s="126"/>
    </row>
    <row r="1520" spans="27:27">
      <c r="AA1520" s="126"/>
    </row>
    <row r="1521" spans="1:33">
      <c r="AA1521" s="126"/>
    </row>
    <row r="1522" spans="1:33">
      <c r="AA1522" s="126"/>
    </row>
    <row r="1523" spans="1:33">
      <c r="AA1523" s="126"/>
    </row>
    <row r="1524" spans="1:33">
      <c r="AA1524" s="126"/>
    </row>
    <row r="1525" spans="1:33">
      <c r="AA1525" s="126"/>
    </row>
    <row r="1526" spans="1:33">
      <c r="AA1526" s="126"/>
    </row>
    <row r="1527" spans="1:33">
      <c r="AA1527" s="126"/>
    </row>
    <row r="1528" spans="1:33">
      <c r="AA1528" s="126"/>
    </row>
    <row r="1529" spans="1:33">
      <c r="AA1529" s="126"/>
    </row>
    <row r="1530" spans="1:33" ht="26.25">
      <c r="A1530" s="264"/>
      <c r="B1530" s="264"/>
      <c r="C1530" s="264"/>
      <c r="D1530" s="264"/>
      <c r="E1530" s="264"/>
      <c r="F1530" s="264"/>
      <c r="G1530" s="264"/>
      <c r="H1530" s="264"/>
      <c r="I1530" s="264"/>
      <c r="J1530" s="327"/>
      <c r="K1530" s="327"/>
      <c r="L1530" s="327"/>
      <c r="M1530" s="321"/>
      <c r="N1530" s="321"/>
      <c r="P1530" s="381"/>
      <c r="R1530" s="392"/>
      <c r="S1530" s="61" ph="1"/>
      <c r="U1530" s="229"/>
      <c r="V1530" s="264"/>
      <c r="W1530" s="199"/>
      <c r="X1530" s="264"/>
      <c r="Y1530" s="264"/>
      <c r="Z1530" s="386"/>
      <c r="AA1530" s="126"/>
      <c r="AD1530" s="264"/>
      <c r="AE1530" s="264"/>
      <c r="AF1530" s="264"/>
      <c r="AG1530" s="264"/>
    </row>
    <row r="1531" spans="1:33">
      <c r="AA1531" s="126"/>
    </row>
    <row r="1532" spans="1:33">
      <c r="AA1532" s="126"/>
    </row>
    <row r="1533" spans="1:33">
      <c r="AA1533" s="126"/>
    </row>
    <row r="1534" spans="1:33">
      <c r="AA1534" s="126"/>
    </row>
    <row r="1535" spans="1:33">
      <c r="AA1535" s="126"/>
    </row>
    <row r="1536" spans="1:33">
      <c r="AA1536" s="126"/>
    </row>
    <row r="1537" spans="1:33">
      <c r="AA1537" s="126"/>
    </row>
    <row r="1538" spans="1:33">
      <c r="AA1538" s="126"/>
    </row>
    <row r="1539" spans="1:33">
      <c r="AA1539" s="126"/>
    </row>
    <row r="1540" spans="1:33" ht="26.25">
      <c r="A1540" s="264"/>
      <c r="B1540" s="264"/>
      <c r="C1540" s="264"/>
      <c r="D1540" s="264"/>
      <c r="E1540" s="264"/>
      <c r="F1540" s="264"/>
      <c r="G1540" s="264"/>
      <c r="H1540" s="264"/>
      <c r="I1540" s="264"/>
      <c r="J1540" s="327"/>
      <c r="K1540" s="327"/>
      <c r="L1540" s="327"/>
      <c r="M1540" s="321"/>
      <c r="N1540" s="321"/>
      <c r="P1540" s="381"/>
      <c r="R1540" s="392"/>
      <c r="S1540" s="61" ph="1"/>
      <c r="U1540" s="229"/>
      <c r="V1540" s="264"/>
      <c r="W1540" s="199"/>
      <c r="X1540" s="264"/>
      <c r="Y1540" s="264"/>
      <c r="Z1540" s="386"/>
      <c r="AA1540" s="126"/>
      <c r="AD1540" s="264"/>
      <c r="AE1540" s="264"/>
      <c r="AF1540" s="264"/>
      <c r="AG1540" s="264"/>
    </row>
    <row r="1541" spans="1:33">
      <c r="AA1541" s="126"/>
    </row>
    <row r="1542" spans="1:33">
      <c r="O1542" s="364"/>
      <c r="AA1542" s="126"/>
    </row>
    <row r="1543" spans="1:33">
      <c r="AA1543" s="126"/>
    </row>
    <row r="1544" spans="1:33" ht="26.25">
      <c r="A1544" s="264"/>
      <c r="B1544" s="264"/>
      <c r="C1544" s="264"/>
      <c r="D1544" s="264"/>
      <c r="E1544" s="264"/>
      <c r="F1544" s="264"/>
      <c r="G1544" s="264"/>
      <c r="H1544" s="264"/>
      <c r="I1544" s="264"/>
      <c r="J1544" s="327"/>
      <c r="K1544" s="327"/>
      <c r="L1544" s="327"/>
      <c r="M1544" s="321"/>
      <c r="N1544" s="321"/>
      <c r="P1544" s="381"/>
      <c r="R1544" s="392"/>
      <c r="S1544" s="61" ph="1"/>
      <c r="U1544" s="229"/>
      <c r="V1544" s="264"/>
      <c r="W1544" s="199"/>
      <c r="X1544" s="264"/>
      <c r="Y1544" s="264"/>
      <c r="Z1544" s="386"/>
      <c r="AA1544" s="126"/>
      <c r="AD1544" s="264"/>
      <c r="AE1544" s="264"/>
      <c r="AF1544" s="264"/>
      <c r="AG1544" s="264"/>
    </row>
    <row r="1545" spans="1:33">
      <c r="AA1545" s="126"/>
    </row>
    <row r="1546" spans="1:33">
      <c r="AA1546" s="126"/>
    </row>
    <row r="1547" spans="1:33">
      <c r="AA1547" s="126"/>
    </row>
    <row r="1548" spans="1:33">
      <c r="AA1548" s="126"/>
    </row>
    <row r="1549" spans="1:33" ht="26.25">
      <c r="A1549" s="264"/>
      <c r="B1549" s="264"/>
      <c r="C1549" s="264"/>
      <c r="D1549" s="264"/>
      <c r="E1549" s="264"/>
      <c r="F1549" s="264"/>
      <c r="G1549" s="264"/>
      <c r="H1549" s="264"/>
      <c r="I1549" s="264"/>
      <c r="J1549" s="327"/>
      <c r="K1549" s="327"/>
      <c r="L1549" s="327"/>
      <c r="M1549" s="321"/>
      <c r="N1549" s="321"/>
      <c r="P1549" s="381"/>
      <c r="R1549" s="392"/>
      <c r="S1549" s="61" ph="1"/>
      <c r="U1549" s="229"/>
      <c r="V1549" s="264"/>
      <c r="W1549" s="199"/>
      <c r="X1549" s="264"/>
      <c r="Y1549" s="264"/>
      <c r="Z1549" s="386"/>
      <c r="AA1549" s="126"/>
      <c r="AD1549" s="264"/>
      <c r="AE1549" s="264"/>
      <c r="AF1549" s="264"/>
      <c r="AG1549" s="264"/>
    </row>
    <row r="1550" spans="1:33" ht="26.25">
      <c r="A1550" s="264"/>
      <c r="B1550" s="264"/>
      <c r="C1550" s="264"/>
      <c r="D1550" s="264"/>
      <c r="E1550" s="264"/>
      <c r="F1550" s="264"/>
      <c r="G1550" s="264"/>
      <c r="H1550" s="264"/>
      <c r="I1550" s="264"/>
      <c r="J1550" s="327"/>
      <c r="K1550" s="327"/>
      <c r="L1550" s="327"/>
      <c r="M1550" s="321"/>
      <c r="N1550" s="321"/>
      <c r="P1550" s="381"/>
      <c r="R1550" s="392"/>
      <c r="S1550" s="61" ph="1"/>
      <c r="U1550" s="229"/>
      <c r="V1550" s="264"/>
      <c r="W1550" s="199"/>
      <c r="X1550" s="264"/>
      <c r="Y1550" s="264"/>
      <c r="Z1550" s="386"/>
      <c r="AA1550" s="126"/>
      <c r="AD1550" s="264"/>
      <c r="AE1550" s="264"/>
      <c r="AF1550" s="264"/>
      <c r="AG1550" s="264"/>
    </row>
    <row r="1551" spans="1:33" ht="26.25">
      <c r="A1551" s="264"/>
      <c r="B1551" s="264"/>
      <c r="C1551" s="264"/>
      <c r="D1551" s="264"/>
      <c r="E1551" s="264"/>
      <c r="F1551" s="264"/>
      <c r="G1551" s="264"/>
      <c r="H1551" s="264"/>
      <c r="I1551" s="264"/>
      <c r="J1551" s="327"/>
      <c r="K1551" s="327"/>
      <c r="L1551" s="327"/>
      <c r="M1551" s="321"/>
      <c r="N1551" s="321"/>
      <c r="P1551" s="381"/>
      <c r="R1551" s="392"/>
      <c r="S1551" s="61" ph="1"/>
      <c r="U1551" s="229"/>
      <c r="V1551" s="264"/>
      <c r="W1551" s="199"/>
      <c r="X1551" s="264"/>
      <c r="Y1551" s="264"/>
      <c r="Z1551" s="386"/>
      <c r="AA1551" s="126"/>
      <c r="AD1551" s="264"/>
      <c r="AE1551" s="264"/>
      <c r="AF1551" s="264"/>
      <c r="AG1551" s="264"/>
    </row>
    <row r="1552" spans="1:33">
      <c r="O1552" s="364"/>
      <c r="AA1552" s="126"/>
    </row>
    <row r="1553" spans="1:33" ht="26.25">
      <c r="A1553" s="264"/>
      <c r="B1553" s="264"/>
      <c r="C1553" s="264"/>
      <c r="D1553" s="264"/>
      <c r="E1553" s="264"/>
      <c r="F1553" s="264"/>
      <c r="G1553" s="264"/>
      <c r="H1553" s="264"/>
      <c r="I1553" s="264"/>
      <c r="J1553" s="327"/>
      <c r="K1553" s="327"/>
      <c r="L1553" s="327"/>
      <c r="M1553" s="321"/>
      <c r="N1553" s="321"/>
      <c r="P1553" s="381"/>
      <c r="R1553" s="392"/>
      <c r="S1553" s="61" ph="1"/>
      <c r="U1553" s="229"/>
      <c r="V1553" s="264"/>
      <c r="W1553" s="199"/>
      <c r="X1553" s="264"/>
      <c r="Y1553" s="264"/>
      <c r="Z1553" s="386"/>
      <c r="AA1553" s="126"/>
      <c r="AD1553" s="264"/>
      <c r="AE1553" s="264"/>
      <c r="AF1553" s="264"/>
      <c r="AG1553" s="264"/>
    </row>
    <row r="1554" spans="1:33" ht="26.25">
      <c r="A1554" s="264"/>
      <c r="B1554" s="264"/>
      <c r="C1554" s="264"/>
      <c r="D1554" s="264"/>
      <c r="E1554" s="264"/>
      <c r="F1554" s="264"/>
      <c r="G1554" s="264"/>
      <c r="H1554" s="264"/>
      <c r="I1554" s="264"/>
      <c r="J1554" s="327"/>
      <c r="K1554" s="327"/>
      <c r="L1554" s="327"/>
      <c r="M1554" s="321"/>
      <c r="N1554" s="321"/>
      <c r="P1554" s="381"/>
      <c r="R1554" s="392"/>
      <c r="S1554" s="61" ph="1"/>
      <c r="U1554" s="229"/>
      <c r="V1554" s="264"/>
      <c r="W1554" s="199"/>
      <c r="X1554" s="264"/>
      <c r="Y1554" s="264"/>
      <c r="Z1554" s="386"/>
      <c r="AA1554" s="126"/>
      <c r="AD1554" s="264"/>
      <c r="AE1554" s="264"/>
      <c r="AF1554" s="264"/>
      <c r="AG1554" s="264"/>
    </row>
    <row r="1555" spans="1:33">
      <c r="AA1555" s="264"/>
    </row>
    <row r="1556" spans="1:33" ht="26.25">
      <c r="A1556" s="264"/>
      <c r="B1556" s="264"/>
      <c r="C1556" s="264"/>
      <c r="D1556" s="264"/>
      <c r="E1556" s="264"/>
      <c r="F1556" s="264"/>
      <c r="G1556" s="264"/>
      <c r="H1556" s="264"/>
      <c r="I1556" s="264"/>
      <c r="J1556" s="327"/>
      <c r="K1556" s="327"/>
      <c r="L1556" s="327"/>
      <c r="M1556" s="321"/>
      <c r="N1556" s="321"/>
      <c r="O1556" s="364"/>
      <c r="P1556" s="381"/>
      <c r="R1556" s="392"/>
      <c r="S1556" s="61" ph="1"/>
      <c r="U1556" s="229"/>
      <c r="V1556" s="264"/>
      <c r="W1556" s="199"/>
      <c r="X1556" s="264"/>
      <c r="Y1556" s="264"/>
      <c r="Z1556" s="386"/>
      <c r="AA1556" s="126"/>
      <c r="AD1556" s="264"/>
      <c r="AE1556" s="264"/>
      <c r="AF1556" s="264"/>
      <c r="AG1556" s="264"/>
    </row>
    <row r="1557" spans="1:33">
      <c r="AA1557" s="126"/>
    </row>
    <row r="1558" spans="1:33" ht="26.25">
      <c r="A1558" s="264"/>
      <c r="B1558" s="264"/>
      <c r="C1558" s="264"/>
      <c r="D1558" s="264"/>
      <c r="E1558" s="264"/>
      <c r="F1558" s="264"/>
      <c r="G1558" s="264"/>
      <c r="H1558" s="264"/>
      <c r="I1558" s="264"/>
      <c r="J1558" s="327"/>
      <c r="K1558" s="327"/>
      <c r="L1558" s="327"/>
      <c r="M1558" s="321"/>
      <c r="N1558" s="321"/>
      <c r="P1558" s="381"/>
      <c r="R1558" s="392"/>
      <c r="S1558" s="61" ph="1"/>
      <c r="U1558" s="229"/>
      <c r="V1558" s="264"/>
      <c r="W1558" s="199"/>
      <c r="X1558" s="264"/>
      <c r="Y1558" s="264"/>
      <c r="Z1558" s="386"/>
      <c r="AA1558" s="126"/>
      <c r="AD1558" s="264"/>
      <c r="AE1558" s="264"/>
      <c r="AF1558" s="264"/>
      <c r="AG1558" s="264"/>
    </row>
    <row r="1559" spans="1:33" ht="26.25">
      <c r="A1559" s="264"/>
      <c r="B1559" s="264"/>
      <c r="C1559" s="264"/>
      <c r="D1559" s="264"/>
      <c r="E1559" s="264"/>
      <c r="F1559" s="264"/>
      <c r="G1559" s="264"/>
      <c r="H1559" s="264"/>
      <c r="I1559" s="264"/>
      <c r="J1559" s="327"/>
      <c r="K1559" s="327"/>
      <c r="L1559" s="327"/>
      <c r="M1559" s="321"/>
      <c r="N1559" s="321"/>
      <c r="P1559" s="381"/>
      <c r="R1559" s="392"/>
      <c r="S1559" s="61" ph="1"/>
      <c r="U1559" s="229"/>
      <c r="V1559" s="264"/>
      <c r="W1559" s="199"/>
      <c r="X1559" s="264"/>
      <c r="Y1559" s="264"/>
      <c r="Z1559" s="386"/>
      <c r="AA1559" s="126"/>
      <c r="AD1559" s="264"/>
      <c r="AE1559" s="264"/>
      <c r="AF1559" s="264"/>
      <c r="AG1559" s="264"/>
    </row>
    <row r="1560" spans="1:33" ht="26.25">
      <c r="A1560" s="264"/>
      <c r="B1560" s="264"/>
      <c r="C1560" s="264"/>
      <c r="D1560" s="264"/>
      <c r="E1560" s="264"/>
      <c r="F1560" s="264"/>
      <c r="G1560" s="264"/>
      <c r="H1560" s="264"/>
      <c r="I1560" s="264"/>
      <c r="J1560" s="327"/>
      <c r="K1560" s="327"/>
      <c r="L1560" s="327"/>
      <c r="M1560" s="321"/>
      <c r="N1560" s="321"/>
      <c r="P1560" s="381"/>
      <c r="R1560" s="392"/>
      <c r="S1560" s="61" ph="1"/>
      <c r="U1560" s="229"/>
      <c r="V1560" s="264"/>
      <c r="W1560" s="199"/>
      <c r="X1560" s="264"/>
      <c r="Y1560" s="264"/>
      <c r="Z1560" s="386"/>
      <c r="AA1560" s="126"/>
      <c r="AD1560" s="264"/>
      <c r="AE1560" s="264"/>
      <c r="AF1560" s="264"/>
      <c r="AG1560" s="264"/>
    </row>
    <row r="1561" spans="1:33" ht="26.25">
      <c r="A1561" s="264"/>
      <c r="B1561" s="264"/>
      <c r="C1561" s="264"/>
      <c r="D1561" s="264"/>
      <c r="E1561" s="264"/>
      <c r="F1561" s="264"/>
      <c r="G1561" s="264"/>
      <c r="H1561" s="264"/>
      <c r="I1561" s="264"/>
      <c r="J1561" s="327"/>
      <c r="K1561" s="327"/>
      <c r="L1561" s="327"/>
      <c r="M1561" s="321"/>
      <c r="N1561" s="321"/>
      <c r="O1561" s="364"/>
      <c r="P1561" s="381"/>
      <c r="R1561" s="392"/>
      <c r="S1561" s="61" ph="1"/>
      <c r="U1561" s="229"/>
      <c r="V1561" s="264"/>
      <c r="W1561" s="199"/>
      <c r="X1561" s="264"/>
      <c r="Y1561" s="264"/>
      <c r="Z1561" s="386"/>
      <c r="AA1561" s="126"/>
      <c r="AD1561" s="264"/>
      <c r="AE1561" s="264"/>
      <c r="AF1561" s="264"/>
      <c r="AG1561" s="264"/>
    </row>
    <row r="1562" spans="1:33" ht="26.25">
      <c r="A1562" s="264"/>
      <c r="B1562" s="264"/>
      <c r="C1562" s="264"/>
      <c r="D1562" s="264"/>
      <c r="E1562" s="264"/>
      <c r="F1562" s="264"/>
      <c r="G1562" s="264"/>
      <c r="H1562" s="264"/>
      <c r="I1562" s="264"/>
      <c r="J1562" s="327"/>
      <c r="K1562" s="327"/>
      <c r="L1562" s="327"/>
      <c r="M1562" s="321"/>
      <c r="N1562" s="321"/>
      <c r="O1562" s="364"/>
      <c r="P1562" s="381"/>
      <c r="R1562" s="392"/>
      <c r="S1562" s="61" ph="1"/>
      <c r="U1562" s="229"/>
      <c r="V1562" s="264"/>
      <c r="W1562" s="199"/>
      <c r="X1562" s="264"/>
      <c r="Y1562" s="264"/>
      <c r="Z1562" s="386"/>
      <c r="AA1562" s="126"/>
      <c r="AD1562" s="264"/>
      <c r="AE1562" s="264"/>
      <c r="AF1562" s="264"/>
      <c r="AG1562" s="264"/>
    </row>
    <row r="1563" spans="1:33" ht="26.25">
      <c r="A1563" s="264"/>
      <c r="B1563" s="264"/>
      <c r="C1563" s="264"/>
      <c r="D1563" s="264"/>
      <c r="E1563" s="264"/>
      <c r="F1563" s="264"/>
      <c r="G1563" s="264"/>
      <c r="H1563" s="264"/>
      <c r="I1563" s="264"/>
      <c r="J1563" s="327"/>
      <c r="K1563" s="327"/>
      <c r="L1563" s="327"/>
      <c r="M1563" s="321"/>
      <c r="N1563" s="321"/>
      <c r="O1563" s="364"/>
      <c r="P1563" s="381"/>
      <c r="R1563" s="392"/>
      <c r="S1563" s="61" ph="1"/>
      <c r="U1563" s="229"/>
      <c r="V1563" s="264"/>
      <c r="W1563" s="199"/>
      <c r="X1563" s="264"/>
      <c r="Y1563" s="264"/>
      <c r="Z1563" s="386"/>
      <c r="AA1563" s="126"/>
      <c r="AD1563" s="264"/>
      <c r="AE1563" s="264"/>
      <c r="AF1563" s="264"/>
      <c r="AG1563" s="264"/>
    </row>
    <row r="1564" spans="1:33" ht="26.25">
      <c r="A1564" s="264"/>
      <c r="B1564" s="264"/>
      <c r="C1564" s="264"/>
      <c r="D1564" s="264"/>
      <c r="E1564" s="264"/>
      <c r="F1564" s="264"/>
      <c r="G1564" s="264"/>
      <c r="H1564" s="264"/>
      <c r="I1564" s="264"/>
      <c r="J1564" s="327"/>
      <c r="K1564" s="327"/>
      <c r="L1564" s="327"/>
      <c r="M1564" s="321"/>
      <c r="N1564" s="321"/>
      <c r="P1564" s="381"/>
      <c r="R1564" s="392"/>
      <c r="S1564" s="61" ph="1"/>
      <c r="U1564" s="229"/>
      <c r="V1564" s="264"/>
      <c r="W1564" s="199"/>
      <c r="X1564" s="264"/>
      <c r="Y1564" s="264"/>
      <c r="Z1564" s="386"/>
      <c r="AA1564" s="126"/>
      <c r="AD1564" s="264"/>
      <c r="AE1564" s="264"/>
      <c r="AF1564" s="264"/>
      <c r="AG1564" s="264"/>
    </row>
    <row r="1565" spans="1:33" ht="26.25">
      <c r="A1565" s="264"/>
      <c r="B1565" s="264"/>
      <c r="C1565" s="264"/>
      <c r="D1565" s="264"/>
      <c r="E1565" s="264"/>
      <c r="F1565" s="264"/>
      <c r="G1565" s="264"/>
      <c r="H1565" s="264"/>
      <c r="I1565" s="264"/>
      <c r="J1565" s="327"/>
      <c r="K1565" s="327"/>
      <c r="L1565" s="327"/>
      <c r="M1565" s="321"/>
      <c r="N1565" s="321"/>
      <c r="O1565" s="364"/>
      <c r="P1565" s="381"/>
      <c r="R1565" s="392"/>
      <c r="S1565" s="61" ph="1"/>
      <c r="U1565" s="229"/>
      <c r="V1565" s="264"/>
      <c r="W1565" s="199"/>
      <c r="X1565" s="264"/>
      <c r="Y1565" s="264"/>
      <c r="Z1565" s="386"/>
      <c r="AA1565" s="126"/>
      <c r="AD1565" s="264"/>
      <c r="AE1565" s="264"/>
      <c r="AF1565" s="264"/>
      <c r="AG1565" s="264"/>
    </row>
    <row r="1566" spans="1:33" ht="26.25">
      <c r="A1566" s="264"/>
      <c r="B1566" s="264"/>
      <c r="C1566" s="264"/>
      <c r="D1566" s="264"/>
      <c r="E1566" s="264"/>
      <c r="F1566" s="264"/>
      <c r="G1566" s="264"/>
      <c r="H1566" s="264"/>
      <c r="I1566" s="264"/>
      <c r="J1566" s="327"/>
      <c r="K1566" s="327"/>
      <c r="L1566" s="327"/>
      <c r="M1566" s="321"/>
      <c r="N1566" s="321"/>
      <c r="O1566" s="364"/>
      <c r="P1566" s="381"/>
      <c r="R1566" s="392"/>
      <c r="S1566" s="61" ph="1"/>
      <c r="U1566" s="229"/>
      <c r="V1566" s="264"/>
      <c r="W1566" s="199"/>
      <c r="X1566" s="264"/>
      <c r="Y1566" s="264"/>
      <c r="Z1566" s="386"/>
      <c r="AA1566" s="126"/>
      <c r="AD1566" s="264"/>
      <c r="AE1566" s="264"/>
      <c r="AF1566" s="264"/>
      <c r="AG1566" s="264"/>
    </row>
    <row r="1567" spans="1:33" ht="26.25">
      <c r="A1567" s="264"/>
      <c r="B1567" s="264"/>
      <c r="C1567" s="264"/>
      <c r="D1567" s="264"/>
      <c r="E1567" s="264"/>
      <c r="F1567" s="264"/>
      <c r="G1567" s="264"/>
      <c r="H1567" s="264"/>
      <c r="I1567" s="264"/>
      <c r="J1567" s="327"/>
      <c r="K1567" s="327"/>
      <c r="L1567" s="327"/>
      <c r="M1567" s="321"/>
      <c r="N1567" s="321"/>
      <c r="P1567" s="381"/>
      <c r="R1567" s="392"/>
      <c r="S1567" s="61" ph="1"/>
      <c r="U1567" s="229"/>
      <c r="V1567" s="264"/>
      <c r="W1567" s="199"/>
      <c r="X1567" s="264"/>
      <c r="Y1567" s="264"/>
      <c r="Z1567" s="386"/>
      <c r="AA1567" s="126"/>
      <c r="AD1567" s="264"/>
      <c r="AE1567" s="264"/>
      <c r="AF1567" s="264"/>
      <c r="AG1567" s="264"/>
    </row>
    <row r="1568" spans="1:33">
      <c r="O1568" s="364"/>
      <c r="AA1568" s="126"/>
    </row>
    <row r="1569" spans="1:33" ht="26.25">
      <c r="A1569" s="264"/>
      <c r="B1569" s="264"/>
      <c r="C1569" s="264"/>
      <c r="D1569" s="264"/>
      <c r="E1569" s="264"/>
      <c r="F1569" s="264"/>
      <c r="G1569" s="264"/>
      <c r="H1569" s="264"/>
      <c r="I1569" s="264"/>
      <c r="J1569" s="327"/>
      <c r="K1569" s="327"/>
      <c r="L1569" s="327"/>
      <c r="M1569" s="321"/>
      <c r="N1569" s="321"/>
      <c r="P1569" s="381"/>
      <c r="R1569" s="392"/>
      <c r="S1569" s="61" ph="1"/>
      <c r="U1569" s="229"/>
      <c r="V1569" s="264"/>
      <c r="W1569" s="199"/>
      <c r="X1569" s="264"/>
      <c r="Y1569" s="264"/>
      <c r="Z1569" s="386"/>
      <c r="AA1569" s="126"/>
      <c r="AD1569" s="264"/>
      <c r="AE1569" s="264"/>
      <c r="AF1569" s="264"/>
      <c r="AG1569" s="264"/>
    </row>
    <row r="1570" spans="1:33" ht="26.25">
      <c r="A1570" s="264"/>
      <c r="B1570" s="264"/>
      <c r="C1570" s="264"/>
      <c r="D1570" s="264"/>
      <c r="E1570" s="264"/>
      <c r="F1570" s="264"/>
      <c r="G1570" s="264"/>
      <c r="H1570" s="264"/>
      <c r="I1570" s="264"/>
      <c r="J1570" s="327"/>
      <c r="K1570" s="327"/>
      <c r="L1570" s="327"/>
      <c r="M1570" s="321"/>
      <c r="N1570" s="321"/>
      <c r="O1570" s="364"/>
      <c r="P1570" s="381"/>
      <c r="R1570" s="392"/>
      <c r="S1570" s="61" ph="1"/>
      <c r="U1570" s="229"/>
      <c r="V1570" s="264"/>
      <c r="W1570" s="199"/>
      <c r="X1570" s="264"/>
      <c r="Y1570" s="264"/>
      <c r="Z1570" s="386"/>
      <c r="AA1570" s="126"/>
      <c r="AD1570" s="264"/>
      <c r="AE1570" s="264"/>
      <c r="AF1570" s="264"/>
      <c r="AG1570" s="264"/>
    </row>
    <row r="1571" spans="1:33" ht="26.25">
      <c r="A1571" s="264"/>
      <c r="B1571" s="264"/>
      <c r="C1571" s="264"/>
      <c r="D1571" s="264"/>
      <c r="E1571" s="264"/>
      <c r="F1571" s="264"/>
      <c r="G1571" s="264"/>
      <c r="H1571" s="264"/>
      <c r="I1571" s="264"/>
      <c r="J1571" s="327"/>
      <c r="K1571" s="327"/>
      <c r="L1571" s="327"/>
      <c r="M1571" s="321"/>
      <c r="N1571" s="321"/>
      <c r="O1571" s="364"/>
      <c r="P1571" s="381"/>
      <c r="R1571" s="392"/>
      <c r="S1571" s="61" ph="1"/>
      <c r="U1571" s="229"/>
      <c r="V1571" s="264"/>
      <c r="W1571" s="199"/>
      <c r="X1571" s="264"/>
      <c r="Y1571" s="264"/>
      <c r="Z1571" s="386"/>
      <c r="AA1571" s="126"/>
      <c r="AD1571" s="264"/>
      <c r="AE1571" s="264"/>
      <c r="AF1571" s="264"/>
      <c r="AG1571" s="264"/>
    </row>
    <row r="1572" spans="1:33" ht="26.25">
      <c r="A1572" s="264"/>
      <c r="B1572" s="264"/>
      <c r="C1572" s="264"/>
      <c r="D1572" s="264"/>
      <c r="E1572" s="264"/>
      <c r="F1572" s="264"/>
      <c r="G1572" s="264"/>
      <c r="H1572" s="264"/>
      <c r="I1572" s="264"/>
      <c r="J1572" s="327"/>
      <c r="K1572" s="327"/>
      <c r="L1572" s="327"/>
      <c r="M1572" s="321"/>
      <c r="N1572" s="321"/>
      <c r="O1572" s="364"/>
      <c r="P1572" s="381"/>
      <c r="R1572" s="392"/>
      <c r="S1572" s="61" ph="1"/>
      <c r="U1572" s="229"/>
      <c r="V1572" s="264"/>
      <c r="W1572" s="199"/>
      <c r="X1572" s="264"/>
      <c r="Y1572" s="264"/>
      <c r="Z1572" s="386"/>
      <c r="AA1572" s="126"/>
      <c r="AD1572" s="264"/>
      <c r="AE1572" s="264"/>
      <c r="AF1572" s="264"/>
      <c r="AG1572" s="264"/>
    </row>
    <row r="1573" spans="1:33" ht="26.25">
      <c r="A1573" s="264"/>
      <c r="B1573" s="264"/>
      <c r="C1573" s="264"/>
      <c r="D1573" s="264"/>
      <c r="E1573" s="264"/>
      <c r="F1573" s="264"/>
      <c r="G1573" s="264"/>
      <c r="H1573" s="264"/>
      <c r="I1573" s="264"/>
      <c r="J1573" s="327"/>
      <c r="K1573" s="327"/>
      <c r="L1573" s="327"/>
      <c r="M1573" s="321"/>
      <c r="N1573" s="321"/>
      <c r="O1573" s="364"/>
      <c r="P1573" s="381"/>
      <c r="R1573" s="392"/>
      <c r="S1573" s="61" ph="1"/>
      <c r="U1573" s="229"/>
      <c r="V1573" s="264"/>
      <c r="W1573" s="199"/>
      <c r="X1573" s="264"/>
      <c r="Y1573" s="264"/>
      <c r="Z1573" s="386"/>
      <c r="AA1573" s="126"/>
      <c r="AD1573" s="264"/>
      <c r="AE1573" s="264"/>
      <c r="AF1573" s="264"/>
      <c r="AG1573" s="264"/>
    </row>
    <row r="1574" spans="1:33" ht="26.25">
      <c r="A1574" s="264"/>
      <c r="B1574" s="264"/>
      <c r="C1574" s="264"/>
      <c r="D1574" s="264"/>
      <c r="E1574" s="264"/>
      <c r="F1574" s="264"/>
      <c r="G1574" s="264"/>
      <c r="H1574" s="264"/>
      <c r="I1574" s="264"/>
      <c r="J1574" s="327"/>
      <c r="K1574" s="327"/>
      <c r="L1574" s="327"/>
      <c r="M1574" s="321"/>
      <c r="N1574" s="321"/>
      <c r="O1574" s="364"/>
      <c r="P1574" s="381"/>
      <c r="R1574" s="392"/>
      <c r="S1574" s="61" ph="1"/>
      <c r="U1574" s="229"/>
      <c r="V1574" s="264"/>
      <c r="W1574" s="199"/>
      <c r="X1574" s="264"/>
      <c r="Y1574" s="264"/>
      <c r="Z1574" s="386"/>
      <c r="AA1574" s="126"/>
      <c r="AD1574" s="264"/>
      <c r="AE1574" s="264"/>
      <c r="AF1574" s="264"/>
      <c r="AG1574" s="264"/>
    </row>
    <row r="1575" spans="1:33" ht="26.25">
      <c r="A1575" s="264"/>
      <c r="B1575" s="264"/>
      <c r="C1575" s="264"/>
      <c r="D1575" s="264"/>
      <c r="E1575" s="264"/>
      <c r="F1575" s="264"/>
      <c r="G1575" s="264"/>
      <c r="H1575" s="264"/>
      <c r="I1575" s="264"/>
      <c r="J1575" s="327"/>
      <c r="K1575" s="327"/>
      <c r="L1575" s="327"/>
      <c r="M1575" s="321"/>
      <c r="N1575" s="321"/>
      <c r="O1575" s="364"/>
      <c r="P1575" s="381"/>
      <c r="R1575" s="392"/>
      <c r="S1575" s="61" ph="1"/>
      <c r="U1575" s="229"/>
      <c r="V1575" s="264"/>
      <c r="W1575" s="199"/>
      <c r="X1575" s="264"/>
      <c r="Y1575" s="264"/>
      <c r="Z1575" s="386"/>
      <c r="AA1575" s="126"/>
      <c r="AD1575" s="264"/>
      <c r="AE1575" s="264"/>
      <c r="AF1575" s="264"/>
      <c r="AG1575" s="264"/>
    </row>
    <row r="1576" spans="1:33" ht="26.25">
      <c r="A1576" s="264"/>
      <c r="B1576" s="264"/>
      <c r="C1576" s="264"/>
      <c r="D1576" s="264"/>
      <c r="E1576" s="264"/>
      <c r="F1576" s="264"/>
      <c r="G1576" s="264"/>
      <c r="H1576" s="264"/>
      <c r="I1576" s="264"/>
      <c r="J1576" s="327"/>
      <c r="K1576" s="327"/>
      <c r="L1576" s="327"/>
      <c r="M1576" s="321"/>
      <c r="N1576" s="321"/>
      <c r="O1576" s="364"/>
      <c r="P1576" s="381"/>
      <c r="R1576" s="392"/>
      <c r="S1576" s="61" ph="1"/>
      <c r="U1576" s="229"/>
      <c r="V1576" s="264"/>
      <c r="W1576" s="199"/>
      <c r="X1576" s="264"/>
      <c r="Y1576" s="264"/>
      <c r="Z1576" s="386"/>
      <c r="AA1576" s="126"/>
      <c r="AD1576" s="264"/>
      <c r="AE1576" s="264"/>
      <c r="AF1576" s="264"/>
      <c r="AG1576" s="264"/>
    </row>
    <row r="1577" spans="1:33">
      <c r="O1577" s="364"/>
      <c r="AA1577" s="126"/>
    </row>
    <row r="1578" spans="1:33" ht="26.25">
      <c r="A1578" s="264"/>
      <c r="B1578" s="264"/>
      <c r="C1578" s="264"/>
      <c r="D1578" s="264"/>
      <c r="E1578" s="264"/>
      <c r="F1578" s="264"/>
      <c r="G1578" s="264"/>
      <c r="H1578" s="264"/>
      <c r="I1578" s="264"/>
      <c r="J1578" s="327"/>
      <c r="K1578" s="327"/>
      <c r="L1578" s="327"/>
      <c r="M1578" s="321"/>
      <c r="N1578" s="321"/>
      <c r="O1578" s="364"/>
      <c r="P1578" s="381"/>
      <c r="R1578" s="392"/>
      <c r="S1578" s="61" ph="1"/>
      <c r="U1578" s="229"/>
      <c r="V1578" s="264"/>
      <c r="W1578" s="199"/>
      <c r="X1578" s="264"/>
      <c r="Y1578" s="264"/>
      <c r="Z1578" s="386"/>
      <c r="AA1578" s="126"/>
      <c r="AD1578" s="264"/>
      <c r="AE1578" s="264"/>
      <c r="AF1578" s="264"/>
      <c r="AG1578" s="264"/>
    </row>
    <row r="1579" spans="1:33" ht="26.25">
      <c r="A1579" s="264"/>
      <c r="B1579" s="264"/>
      <c r="C1579" s="264"/>
      <c r="D1579" s="264"/>
      <c r="E1579" s="264"/>
      <c r="F1579" s="264"/>
      <c r="G1579" s="264"/>
      <c r="H1579" s="264"/>
      <c r="I1579" s="264"/>
      <c r="J1579" s="327"/>
      <c r="K1579" s="327"/>
      <c r="L1579" s="327"/>
      <c r="M1579" s="321"/>
      <c r="N1579" s="321"/>
      <c r="O1579" s="364"/>
      <c r="P1579" s="381"/>
      <c r="R1579" s="392"/>
      <c r="S1579" s="61" ph="1"/>
      <c r="U1579" s="229"/>
      <c r="V1579" s="264"/>
      <c r="W1579" s="199"/>
      <c r="X1579" s="264"/>
      <c r="Y1579" s="264"/>
      <c r="Z1579" s="386"/>
      <c r="AA1579" s="126"/>
      <c r="AD1579" s="264"/>
      <c r="AE1579" s="264"/>
      <c r="AF1579" s="264"/>
      <c r="AG1579" s="264"/>
    </row>
    <row r="1580" spans="1:33" ht="26.25">
      <c r="A1580" s="264"/>
      <c r="B1580" s="264"/>
      <c r="C1580" s="264"/>
      <c r="D1580" s="264"/>
      <c r="E1580" s="264"/>
      <c r="F1580" s="264"/>
      <c r="G1580" s="264"/>
      <c r="H1580" s="264"/>
      <c r="I1580" s="264"/>
      <c r="J1580" s="327"/>
      <c r="K1580" s="327"/>
      <c r="L1580" s="327"/>
      <c r="M1580" s="321"/>
      <c r="N1580" s="321"/>
      <c r="P1580" s="381"/>
      <c r="R1580" s="392"/>
      <c r="S1580" s="61" ph="1"/>
      <c r="U1580" s="229"/>
      <c r="V1580" s="264"/>
      <c r="W1580" s="199"/>
      <c r="X1580" s="264"/>
      <c r="Y1580" s="264"/>
      <c r="Z1580" s="386"/>
      <c r="AA1580" s="126"/>
      <c r="AD1580" s="264"/>
      <c r="AE1580" s="264"/>
      <c r="AF1580" s="264"/>
      <c r="AG1580" s="264"/>
    </row>
    <row r="1581" spans="1:33" ht="26.25">
      <c r="A1581" s="264"/>
      <c r="B1581" s="264"/>
      <c r="C1581" s="264"/>
      <c r="D1581" s="264"/>
      <c r="E1581" s="264"/>
      <c r="F1581" s="264"/>
      <c r="G1581" s="264"/>
      <c r="H1581" s="264"/>
      <c r="I1581" s="264"/>
      <c r="J1581" s="327"/>
      <c r="K1581" s="327"/>
      <c r="L1581" s="327"/>
      <c r="M1581" s="321"/>
      <c r="N1581" s="321"/>
      <c r="O1581" s="364"/>
      <c r="P1581" s="381"/>
      <c r="R1581" s="392"/>
      <c r="S1581" s="61" ph="1"/>
      <c r="U1581" s="229"/>
      <c r="V1581" s="264"/>
      <c r="W1581" s="199"/>
      <c r="X1581" s="264"/>
      <c r="Y1581" s="264"/>
      <c r="Z1581" s="386"/>
      <c r="AA1581" s="126"/>
      <c r="AD1581" s="264"/>
      <c r="AE1581" s="264"/>
      <c r="AF1581" s="264"/>
      <c r="AG1581" s="264"/>
    </row>
    <row r="1582" spans="1:33" ht="26.25">
      <c r="A1582" s="264"/>
      <c r="B1582" s="264"/>
      <c r="C1582" s="264"/>
      <c r="D1582" s="264"/>
      <c r="E1582" s="264"/>
      <c r="F1582" s="264"/>
      <c r="G1582" s="264"/>
      <c r="H1582" s="264"/>
      <c r="I1582" s="264"/>
      <c r="J1582" s="327"/>
      <c r="K1582" s="327"/>
      <c r="L1582" s="327"/>
      <c r="M1582" s="321"/>
      <c r="N1582" s="321"/>
      <c r="O1582" s="364"/>
      <c r="P1582" s="381"/>
      <c r="R1582" s="392"/>
      <c r="S1582" s="61" ph="1"/>
      <c r="U1582" s="229"/>
      <c r="V1582" s="264"/>
      <c r="W1582" s="199"/>
      <c r="X1582" s="264"/>
      <c r="Y1582" s="264"/>
      <c r="Z1582" s="386"/>
      <c r="AA1582" s="126"/>
      <c r="AD1582" s="264"/>
      <c r="AE1582" s="264"/>
      <c r="AF1582" s="264"/>
      <c r="AG1582" s="264"/>
    </row>
    <row r="1583" spans="1:33" ht="26.25">
      <c r="A1583" s="264"/>
      <c r="B1583" s="264"/>
      <c r="C1583" s="264"/>
      <c r="D1583" s="264"/>
      <c r="E1583" s="264"/>
      <c r="F1583" s="264"/>
      <c r="G1583" s="264"/>
      <c r="H1583" s="264"/>
      <c r="I1583" s="264"/>
      <c r="J1583" s="327"/>
      <c r="K1583" s="327"/>
      <c r="L1583" s="327"/>
      <c r="M1583" s="321"/>
      <c r="N1583" s="321"/>
      <c r="O1583" s="364"/>
      <c r="P1583" s="381"/>
      <c r="R1583" s="392"/>
      <c r="S1583" s="61" ph="1"/>
      <c r="U1583" s="229"/>
      <c r="V1583" s="264"/>
      <c r="W1583" s="199"/>
      <c r="X1583" s="264"/>
      <c r="Y1583" s="264"/>
      <c r="Z1583" s="386"/>
      <c r="AA1583" s="126"/>
      <c r="AD1583" s="264"/>
      <c r="AE1583" s="264"/>
      <c r="AF1583" s="264"/>
      <c r="AG1583" s="264"/>
    </row>
    <row r="1584" spans="1:33" ht="26.25">
      <c r="A1584" s="264"/>
      <c r="B1584" s="264"/>
      <c r="C1584" s="264"/>
      <c r="D1584" s="264"/>
      <c r="E1584" s="264"/>
      <c r="F1584" s="264"/>
      <c r="G1584" s="264"/>
      <c r="H1584" s="264"/>
      <c r="I1584" s="264"/>
      <c r="J1584" s="327"/>
      <c r="K1584" s="327"/>
      <c r="L1584" s="327"/>
      <c r="M1584" s="321"/>
      <c r="N1584" s="321"/>
      <c r="O1584" s="364"/>
      <c r="P1584" s="381"/>
      <c r="R1584" s="392"/>
      <c r="S1584" s="61" ph="1"/>
      <c r="U1584" s="229"/>
      <c r="V1584" s="264"/>
      <c r="W1584" s="199"/>
      <c r="X1584" s="264"/>
      <c r="Y1584" s="264"/>
      <c r="Z1584" s="386"/>
      <c r="AA1584" s="126"/>
      <c r="AD1584" s="264"/>
      <c r="AE1584" s="264"/>
      <c r="AF1584" s="264"/>
      <c r="AG1584" s="264"/>
    </row>
    <row r="1585" spans="1:33" ht="26.25">
      <c r="A1585" s="264"/>
      <c r="B1585" s="264"/>
      <c r="C1585" s="264"/>
      <c r="D1585" s="264"/>
      <c r="E1585" s="264"/>
      <c r="F1585" s="264"/>
      <c r="G1585" s="264"/>
      <c r="H1585" s="264"/>
      <c r="I1585" s="264"/>
      <c r="J1585" s="327"/>
      <c r="K1585" s="327"/>
      <c r="L1585" s="327"/>
      <c r="M1585" s="321"/>
      <c r="N1585" s="321"/>
      <c r="O1585" s="364"/>
      <c r="P1585" s="381"/>
      <c r="R1585" s="392"/>
      <c r="S1585" s="61" ph="1"/>
      <c r="U1585" s="229"/>
      <c r="V1585" s="264"/>
      <c r="W1585" s="199"/>
      <c r="X1585" s="264"/>
      <c r="Y1585" s="264"/>
      <c r="Z1585" s="386"/>
      <c r="AA1585" s="126"/>
      <c r="AD1585" s="264"/>
      <c r="AE1585" s="264"/>
      <c r="AF1585" s="264"/>
      <c r="AG1585" s="264"/>
    </row>
    <row r="1586" spans="1:33" ht="26.25">
      <c r="A1586" s="264"/>
      <c r="B1586" s="264"/>
      <c r="C1586" s="264"/>
      <c r="D1586" s="264"/>
      <c r="E1586" s="264"/>
      <c r="F1586" s="264"/>
      <c r="G1586" s="264"/>
      <c r="H1586" s="264"/>
      <c r="I1586" s="264"/>
      <c r="J1586" s="327"/>
      <c r="K1586" s="327"/>
      <c r="L1586" s="327"/>
      <c r="M1586" s="321"/>
      <c r="N1586" s="321"/>
      <c r="O1586" s="364"/>
      <c r="P1586" s="381"/>
      <c r="R1586" s="392"/>
      <c r="S1586" s="61" ph="1"/>
      <c r="U1586" s="229"/>
      <c r="V1586" s="264"/>
      <c r="W1586" s="199"/>
      <c r="X1586" s="264"/>
      <c r="Y1586" s="264"/>
      <c r="Z1586" s="386"/>
      <c r="AA1586" s="126"/>
      <c r="AD1586" s="264"/>
      <c r="AE1586" s="264"/>
      <c r="AF1586" s="264"/>
      <c r="AG1586" s="264"/>
    </row>
    <row r="1587" spans="1:33" ht="26.25">
      <c r="A1587" s="264"/>
      <c r="B1587" s="264"/>
      <c r="C1587" s="264"/>
      <c r="D1587" s="264"/>
      <c r="E1587" s="264"/>
      <c r="F1587" s="264"/>
      <c r="G1587" s="264"/>
      <c r="H1587" s="264"/>
      <c r="I1587" s="264"/>
      <c r="J1587" s="327"/>
      <c r="K1587" s="327"/>
      <c r="L1587" s="327"/>
      <c r="M1587" s="321"/>
      <c r="N1587" s="321"/>
      <c r="O1587" s="364"/>
      <c r="P1587" s="381"/>
      <c r="R1587" s="392"/>
      <c r="S1587" s="61" ph="1"/>
      <c r="U1587" s="229"/>
      <c r="V1587" s="264"/>
      <c r="W1587" s="199"/>
      <c r="X1587" s="264"/>
      <c r="Y1587" s="264"/>
      <c r="Z1587" s="386"/>
      <c r="AA1587" s="126"/>
      <c r="AD1587" s="264"/>
      <c r="AE1587" s="264"/>
      <c r="AF1587" s="264"/>
      <c r="AG1587" s="264"/>
    </row>
    <row r="1588" spans="1:33" ht="26.25">
      <c r="A1588" s="264"/>
      <c r="B1588" s="264"/>
      <c r="C1588" s="264"/>
      <c r="D1588" s="264"/>
      <c r="E1588" s="264"/>
      <c r="F1588" s="264"/>
      <c r="G1588" s="264"/>
      <c r="H1588" s="264"/>
      <c r="I1588" s="264"/>
      <c r="J1588" s="327"/>
      <c r="K1588" s="327"/>
      <c r="L1588" s="327"/>
      <c r="M1588" s="321"/>
      <c r="N1588" s="321"/>
      <c r="O1588" s="364"/>
      <c r="P1588" s="381"/>
      <c r="R1588" s="392"/>
      <c r="S1588" s="61" ph="1"/>
      <c r="U1588" s="229"/>
      <c r="V1588" s="264"/>
      <c r="W1588" s="199"/>
      <c r="X1588" s="264"/>
      <c r="Y1588" s="264"/>
      <c r="Z1588" s="386"/>
      <c r="AA1588" s="123"/>
      <c r="AD1588" s="264"/>
      <c r="AE1588" s="264"/>
      <c r="AF1588" s="264"/>
      <c r="AG1588" s="264"/>
    </row>
    <row r="1589" spans="1:33">
      <c r="AA1589" s="126"/>
    </row>
    <row r="1590" spans="1:33" ht="26.25">
      <c r="A1590" s="264"/>
      <c r="B1590" s="264"/>
      <c r="C1590" s="264"/>
      <c r="D1590" s="264"/>
      <c r="E1590" s="264"/>
      <c r="F1590" s="264"/>
      <c r="G1590" s="264"/>
      <c r="H1590" s="264"/>
      <c r="I1590" s="264"/>
      <c r="J1590" s="327"/>
      <c r="K1590" s="327"/>
      <c r="L1590" s="327"/>
      <c r="M1590" s="321"/>
      <c r="N1590" s="321"/>
      <c r="O1590" s="364"/>
      <c r="P1590" s="381"/>
      <c r="R1590" s="392"/>
      <c r="S1590" s="61" ph="1"/>
      <c r="U1590" s="229"/>
      <c r="V1590" s="264"/>
      <c r="W1590" s="199"/>
      <c r="X1590" s="264"/>
      <c r="Y1590" s="264"/>
      <c r="Z1590" s="386"/>
      <c r="AA1590" s="126"/>
      <c r="AD1590" s="264"/>
      <c r="AE1590" s="264"/>
      <c r="AF1590" s="264"/>
      <c r="AG1590" s="264"/>
    </row>
    <row r="1591" spans="1:33" ht="26.25">
      <c r="A1591" s="264"/>
      <c r="B1591" s="264"/>
      <c r="C1591" s="264"/>
      <c r="D1591" s="264"/>
      <c r="E1591" s="264"/>
      <c r="F1591" s="264"/>
      <c r="G1591" s="264"/>
      <c r="H1591" s="264"/>
      <c r="I1591" s="264"/>
      <c r="J1591" s="327"/>
      <c r="K1591" s="327"/>
      <c r="L1591" s="327"/>
      <c r="M1591" s="321"/>
      <c r="N1591" s="321"/>
      <c r="O1591" s="364"/>
      <c r="P1591" s="381"/>
      <c r="R1591" s="392"/>
      <c r="S1591" s="61" ph="1"/>
      <c r="U1591" s="229"/>
      <c r="V1591" s="264"/>
      <c r="W1591" s="199"/>
      <c r="X1591" s="264"/>
      <c r="Y1591" s="264"/>
      <c r="Z1591" s="386"/>
      <c r="AA1591" s="126"/>
      <c r="AD1591" s="264"/>
      <c r="AE1591" s="264"/>
      <c r="AF1591" s="264"/>
      <c r="AG1591" s="264"/>
    </row>
    <row r="1592" spans="1:33" ht="26.25">
      <c r="A1592" s="264"/>
      <c r="B1592" s="264"/>
      <c r="C1592" s="264"/>
      <c r="D1592" s="264"/>
      <c r="E1592" s="264"/>
      <c r="F1592" s="264"/>
      <c r="G1592" s="264"/>
      <c r="H1592" s="264"/>
      <c r="I1592" s="264"/>
      <c r="J1592" s="327"/>
      <c r="K1592" s="327"/>
      <c r="L1592" s="327"/>
      <c r="M1592" s="321"/>
      <c r="N1592" s="321"/>
      <c r="O1592" s="364"/>
      <c r="P1592" s="381"/>
      <c r="R1592" s="392"/>
      <c r="S1592" s="61" ph="1"/>
      <c r="U1592" s="229"/>
      <c r="V1592" s="264"/>
      <c r="W1592" s="199"/>
      <c r="X1592" s="264"/>
      <c r="Y1592" s="264"/>
      <c r="Z1592" s="386"/>
      <c r="AA1592" s="126"/>
      <c r="AD1592" s="264"/>
      <c r="AE1592" s="264"/>
      <c r="AF1592" s="264"/>
      <c r="AG1592" s="264"/>
    </row>
    <row r="1593" spans="1:33" ht="26.25">
      <c r="A1593" s="264"/>
      <c r="B1593" s="264"/>
      <c r="C1593" s="264"/>
      <c r="D1593" s="264"/>
      <c r="E1593" s="264"/>
      <c r="F1593" s="264"/>
      <c r="G1593" s="264"/>
      <c r="H1593" s="264"/>
      <c r="I1593" s="264"/>
      <c r="J1593" s="327"/>
      <c r="K1593" s="327"/>
      <c r="L1593" s="327"/>
      <c r="M1593" s="321"/>
      <c r="N1593" s="321"/>
      <c r="O1593" s="364"/>
      <c r="P1593" s="381"/>
      <c r="R1593" s="392"/>
      <c r="S1593" s="61" ph="1"/>
      <c r="U1593" s="229"/>
      <c r="V1593" s="264"/>
      <c r="W1593" s="199"/>
      <c r="X1593" s="264"/>
      <c r="Y1593" s="264"/>
      <c r="Z1593" s="386"/>
      <c r="AA1593" s="126"/>
      <c r="AD1593" s="264"/>
      <c r="AE1593" s="264"/>
      <c r="AF1593" s="264"/>
      <c r="AG1593" s="264"/>
    </row>
    <row r="1594" spans="1:33" ht="26.25">
      <c r="A1594" s="264"/>
      <c r="B1594" s="264"/>
      <c r="C1594" s="264"/>
      <c r="D1594" s="264"/>
      <c r="E1594" s="264"/>
      <c r="F1594" s="264"/>
      <c r="G1594" s="264"/>
      <c r="H1594" s="264"/>
      <c r="I1594" s="264"/>
      <c r="J1594" s="327"/>
      <c r="K1594" s="327"/>
      <c r="L1594" s="327"/>
      <c r="M1594" s="321"/>
      <c r="N1594" s="321"/>
      <c r="O1594" s="364"/>
      <c r="P1594" s="381"/>
      <c r="R1594" s="392"/>
      <c r="S1594" s="61" ph="1"/>
      <c r="U1594" s="229"/>
      <c r="V1594" s="264"/>
      <c r="W1594" s="199"/>
      <c r="X1594" s="264"/>
      <c r="Y1594" s="264"/>
      <c r="Z1594" s="386"/>
      <c r="AA1594" s="126"/>
      <c r="AD1594" s="264"/>
      <c r="AE1594" s="264"/>
      <c r="AF1594" s="264"/>
      <c r="AG1594" s="264"/>
    </row>
    <row r="1595" spans="1:33" ht="26.25">
      <c r="A1595" s="264"/>
      <c r="B1595" s="264"/>
      <c r="C1595" s="264"/>
      <c r="D1595" s="264"/>
      <c r="E1595" s="264"/>
      <c r="F1595" s="264"/>
      <c r="G1595" s="264"/>
      <c r="H1595" s="264"/>
      <c r="I1595" s="264"/>
      <c r="J1595" s="327"/>
      <c r="K1595" s="327"/>
      <c r="L1595" s="327"/>
      <c r="M1595" s="321"/>
      <c r="N1595" s="321"/>
      <c r="O1595" s="364"/>
      <c r="P1595" s="381"/>
      <c r="R1595" s="392"/>
      <c r="S1595" s="61" ph="1"/>
      <c r="U1595" s="229"/>
      <c r="V1595" s="264"/>
      <c r="W1595" s="199"/>
      <c r="X1595" s="264"/>
      <c r="Y1595" s="264"/>
      <c r="Z1595" s="386"/>
      <c r="AA1595" s="126"/>
      <c r="AD1595" s="264"/>
      <c r="AE1595" s="264"/>
      <c r="AF1595" s="264"/>
      <c r="AG1595" s="264"/>
    </row>
    <row r="1596" spans="1:33" ht="26.25">
      <c r="A1596" s="264"/>
      <c r="B1596" s="264"/>
      <c r="C1596" s="264"/>
      <c r="D1596" s="264"/>
      <c r="E1596" s="264"/>
      <c r="F1596" s="264"/>
      <c r="G1596" s="264"/>
      <c r="H1596" s="264"/>
      <c r="I1596" s="264"/>
      <c r="J1596" s="327"/>
      <c r="K1596" s="327"/>
      <c r="L1596" s="327"/>
      <c r="M1596" s="321"/>
      <c r="N1596" s="321"/>
      <c r="O1596" s="364"/>
      <c r="P1596" s="381"/>
      <c r="R1596" s="392"/>
      <c r="S1596" s="61" ph="1"/>
      <c r="U1596" s="229"/>
      <c r="V1596" s="264"/>
      <c r="W1596" s="199"/>
      <c r="X1596" s="264"/>
      <c r="Y1596" s="264"/>
      <c r="Z1596" s="386"/>
      <c r="AA1596" s="126"/>
      <c r="AD1596" s="264"/>
      <c r="AE1596" s="264"/>
      <c r="AF1596" s="264"/>
      <c r="AG1596" s="264"/>
    </row>
    <row r="1597" spans="1:33" ht="26.25">
      <c r="A1597" s="264"/>
      <c r="B1597" s="264"/>
      <c r="C1597" s="264"/>
      <c r="D1597" s="264"/>
      <c r="E1597" s="264"/>
      <c r="F1597" s="264"/>
      <c r="G1597" s="264"/>
      <c r="H1597" s="264"/>
      <c r="I1597" s="264"/>
      <c r="J1597" s="327"/>
      <c r="K1597" s="327"/>
      <c r="L1597" s="327"/>
      <c r="M1597" s="321"/>
      <c r="N1597" s="321"/>
      <c r="O1597" s="364"/>
      <c r="P1597" s="381"/>
      <c r="R1597" s="392"/>
      <c r="S1597" s="61" ph="1"/>
      <c r="U1597" s="229"/>
      <c r="V1597" s="264"/>
      <c r="W1597" s="199"/>
      <c r="X1597" s="264"/>
      <c r="Y1597" s="264"/>
      <c r="Z1597" s="386"/>
      <c r="AA1597" s="126"/>
      <c r="AD1597" s="264"/>
      <c r="AE1597" s="264"/>
      <c r="AF1597" s="264"/>
      <c r="AG1597" s="264"/>
    </row>
    <row r="1598" spans="1:33">
      <c r="O1598" s="364"/>
      <c r="AA1598" s="126"/>
    </row>
    <row r="1599" spans="1:33" ht="26.25">
      <c r="A1599" s="264"/>
      <c r="B1599" s="264"/>
      <c r="C1599" s="264"/>
      <c r="D1599" s="264"/>
      <c r="E1599" s="264"/>
      <c r="F1599" s="264"/>
      <c r="G1599" s="264"/>
      <c r="H1599" s="264"/>
      <c r="I1599" s="264"/>
      <c r="J1599" s="327"/>
      <c r="K1599" s="327"/>
      <c r="L1599" s="327"/>
      <c r="M1599" s="321"/>
      <c r="N1599" s="321"/>
      <c r="O1599" s="364"/>
      <c r="P1599" s="381"/>
      <c r="R1599" s="392"/>
      <c r="S1599" s="61" ph="1"/>
      <c r="U1599" s="229"/>
      <c r="V1599" s="264"/>
      <c r="W1599" s="199"/>
      <c r="X1599" s="264"/>
      <c r="Y1599" s="264"/>
      <c r="Z1599" s="386"/>
      <c r="AA1599" s="126"/>
      <c r="AD1599" s="264"/>
      <c r="AE1599" s="264"/>
      <c r="AF1599" s="264"/>
      <c r="AG1599" s="264"/>
    </row>
    <row r="1600" spans="1:33" ht="26.25">
      <c r="A1600" s="264"/>
      <c r="B1600" s="264"/>
      <c r="C1600" s="264"/>
      <c r="D1600" s="264"/>
      <c r="E1600" s="264"/>
      <c r="F1600" s="264"/>
      <c r="G1600" s="264"/>
      <c r="H1600" s="264"/>
      <c r="I1600" s="264"/>
      <c r="J1600" s="327"/>
      <c r="K1600" s="327"/>
      <c r="L1600" s="327"/>
      <c r="M1600" s="321"/>
      <c r="N1600" s="321"/>
      <c r="O1600" s="364"/>
      <c r="P1600" s="381"/>
      <c r="R1600" s="392"/>
      <c r="S1600" s="61" ph="1"/>
      <c r="U1600" s="229"/>
      <c r="V1600" s="264"/>
      <c r="W1600" s="199"/>
      <c r="X1600" s="264"/>
      <c r="Y1600" s="264"/>
      <c r="Z1600" s="386"/>
      <c r="AA1600" s="126"/>
      <c r="AD1600" s="264"/>
      <c r="AE1600" s="264"/>
      <c r="AF1600" s="264"/>
      <c r="AG1600" s="264"/>
    </row>
    <row r="1601" spans="1:33" ht="26.25">
      <c r="A1601" s="264"/>
      <c r="B1601" s="264"/>
      <c r="C1601" s="264"/>
      <c r="D1601" s="264"/>
      <c r="E1601" s="264"/>
      <c r="F1601" s="264"/>
      <c r="G1601" s="264"/>
      <c r="H1601" s="264"/>
      <c r="I1601" s="264"/>
      <c r="J1601" s="327"/>
      <c r="K1601" s="327"/>
      <c r="L1601" s="327"/>
      <c r="M1601" s="321"/>
      <c r="N1601" s="321"/>
      <c r="P1601" s="381"/>
      <c r="R1601" s="392"/>
      <c r="S1601" s="61" ph="1"/>
      <c r="U1601" s="229"/>
      <c r="V1601" s="264"/>
      <c r="W1601" s="199"/>
      <c r="X1601" s="264"/>
      <c r="Y1601" s="264"/>
      <c r="Z1601" s="386"/>
      <c r="AA1601" s="126"/>
      <c r="AD1601" s="264"/>
      <c r="AE1601" s="264"/>
      <c r="AF1601" s="264"/>
      <c r="AG1601" s="264"/>
    </row>
    <row r="1602" spans="1:33" ht="26.25">
      <c r="A1602" s="264"/>
      <c r="B1602" s="264"/>
      <c r="C1602" s="264"/>
      <c r="D1602" s="264"/>
      <c r="E1602" s="264"/>
      <c r="F1602" s="264"/>
      <c r="G1602" s="264"/>
      <c r="H1602" s="264"/>
      <c r="I1602" s="264"/>
      <c r="J1602" s="327"/>
      <c r="K1602" s="327"/>
      <c r="L1602" s="327"/>
      <c r="M1602" s="321"/>
      <c r="N1602" s="321"/>
      <c r="O1602" s="364"/>
      <c r="P1602" s="381"/>
      <c r="R1602" s="392"/>
      <c r="S1602" s="61" ph="1"/>
      <c r="U1602" s="229"/>
      <c r="V1602" s="264"/>
      <c r="W1602" s="199"/>
      <c r="X1602" s="264"/>
      <c r="Y1602" s="264"/>
      <c r="Z1602" s="386"/>
      <c r="AA1602" s="264"/>
      <c r="AD1602" s="264"/>
      <c r="AE1602" s="264"/>
      <c r="AF1602" s="264"/>
      <c r="AG1602" s="264"/>
    </row>
    <row r="1603" spans="1:33" ht="26.25">
      <c r="A1603" s="264"/>
      <c r="B1603" s="264"/>
      <c r="C1603" s="264"/>
      <c r="D1603" s="264"/>
      <c r="E1603" s="264"/>
      <c r="F1603" s="264"/>
      <c r="G1603" s="264"/>
      <c r="H1603" s="264"/>
      <c r="I1603" s="264"/>
      <c r="J1603" s="327"/>
      <c r="K1603" s="327"/>
      <c r="L1603" s="327"/>
      <c r="M1603" s="321"/>
      <c r="N1603" s="321"/>
      <c r="O1603" s="364"/>
      <c r="P1603" s="381"/>
      <c r="R1603" s="392"/>
      <c r="S1603" s="61" ph="1"/>
      <c r="U1603" s="229"/>
      <c r="V1603" s="264"/>
      <c r="W1603" s="199"/>
      <c r="X1603" s="264"/>
      <c r="Y1603" s="264"/>
      <c r="Z1603" s="386"/>
      <c r="AA1603" s="126"/>
      <c r="AD1603" s="264"/>
      <c r="AE1603" s="264"/>
      <c r="AF1603" s="264"/>
      <c r="AG1603" s="264"/>
    </row>
    <row r="1604" spans="1:33" ht="26.25">
      <c r="A1604" s="264"/>
      <c r="B1604" s="264"/>
      <c r="C1604" s="264"/>
      <c r="D1604" s="264"/>
      <c r="E1604" s="264"/>
      <c r="F1604" s="264"/>
      <c r="G1604" s="264"/>
      <c r="H1604" s="264"/>
      <c r="I1604" s="264"/>
      <c r="J1604" s="327"/>
      <c r="K1604" s="327"/>
      <c r="L1604" s="327"/>
      <c r="M1604" s="321"/>
      <c r="N1604" s="321"/>
      <c r="O1604" s="364"/>
      <c r="P1604" s="381"/>
      <c r="R1604" s="392"/>
      <c r="S1604" s="61" ph="1"/>
      <c r="U1604" s="229"/>
      <c r="V1604" s="264"/>
      <c r="W1604" s="199"/>
      <c r="X1604" s="264"/>
      <c r="Y1604" s="264"/>
      <c r="Z1604" s="386"/>
      <c r="AA1604" s="126"/>
      <c r="AD1604" s="264"/>
      <c r="AE1604" s="264"/>
      <c r="AF1604" s="264"/>
      <c r="AG1604" s="264"/>
    </row>
    <row r="1605" spans="1:33" ht="26.25">
      <c r="A1605" s="264"/>
      <c r="B1605" s="264"/>
      <c r="C1605" s="264"/>
      <c r="D1605" s="264"/>
      <c r="E1605" s="264"/>
      <c r="F1605" s="264"/>
      <c r="G1605" s="264"/>
      <c r="H1605" s="264"/>
      <c r="I1605" s="264"/>
      <c r="J1605" s="327"/>
      <c r="K1605" s="327"/>
      <c r="L1605" s="327"/>
      <c r="M1605" s="321"/>
      <c r="N1605" s="321"/>
      <c r="O1605" s="364"/>
      <c r="P1605" s="381"/>
      <c r="R1605" s="392"/>
      <c r="S1605" s="61" ph="1"/>
      <c r="U1605" s="229"/>
      <c r="V1605" s="264"/>
      <c r="W1605" s="199"/>
      <c r="X1605" s="264"/>
      <c r="Y1605" s="264"/>
      <c r="Z1605" s="386"/>
      <c r="AA1605" s="126"/>
      <c r="AD1605" s="264"/>
      <c r="AE1605" s="264"/>
      <c r="AF1605" s="264"/>
      <c r="AG1605" s="264"/>
    </row>
    <row r="1606" spans="1:33" ht="26.25">
      <c r="A1606" s="264"/>
      <c r="B1606" s="264"/>
      <c r="C1606" s="264"/>
      <c r="D1606" s="264"/>
      <c r="E1606" s="264"/>
      <c r="F1606" s="264"/>
      <c r="G1606" s="264"/>
      <c r="H1606" s="264"/>
      <c r="I1606" s="264"/>
      <c r="J1606" s="327"/>
      <c r="K1606" s="327"/>
      <c r="L1606" s="327"/>
      <c r="M1606" s="321"/>
      <c r="N1606" s="321"/>
      <c r="O1606" s="364"/>
      <c r="P1606" s="381"/>
      <c r="R1606" s="392"/>
      <c r="S1606" s="61" ph="1"/>
      <c r="U1606" s="229"/>
      <c r="V1606" s="264"/>
      <c r="W1606" s="199"/>
      <c r="X1606" s="264"/>
      <c r="Y1606" s="264"/>
      <c r="Z1606" s="386"/>
      <c r="AA1606" s="126"/>
      <c r="AD1606" s="264"/>
      <c r="AE1606" s="264"/>
      <c r="AF1606" s="264"/>
      <c r="AG1606" s="264"/>
    </row>
    <row r="1607" spans="1:33" ht="26.25">
      <c r="A1607" s="264"/>
      <c r="B1607" s="264"/>
      <c r="C1607" s="264"/>
      <c r="D1607" s="264"/>
      <c r="E1607" s="264"/>
      <c r="F1607" s="264"/>
      <c r="G1607" s="264"/>
      <c r="H1607" s="264"/>
      <c r="I1607" s="264"/>
      <c r="J1607" s="327"/>
      <c r="K1607" s="327"/>
      <c r="L1607" s="327"/>
      <c r="M1607" s="321"/>
      <c r="N1607" s="321"/>
      <c r="O1607" s="364"/>
      <c r="P1607" s="381"/>
      <c r="R1607" s="392"/>
      <c r="S1607" s="61" ph="1"/>
      <c r="U1607" s="229"/>
      <c r="V1607" s="264"/>
      <c r="W1607" s="199"/>
      <c r="X1607" s="264"/>
      <c r="Y1607" s="264"/>
      <c r="Z1607" s="386"/>
      <c r="AA1607" s="126"/>
      <c r="AD1607" s="264"/>
      <c r="AE1607" s="264"/>
      <c r="AF1607" s="264"/>
      <c r="AG1607" s="264"/>
    </row>
    <row r="1608" spans="1:33" ht="26.25">
      <c r="A1608" s="264"/>
      <c r="B1608" s="264"/>
      <c r="C1608" s="264"/>
      <c r="D1608" s="264"/>
      <c r="E1608" s="264"/>
      <c r="F1608" s="264"/>
      <c r="G1608" s="264"/>
      <c r="H1608" s="264"/>
      <c r="I1608" s="264"/>
      <c r="J1608" s="327"/>
      <c r="K1608" s="327"/>
      <c r="L1608" s="327"/>
      <c r="M1608" s="321"/>
      <c r="N1608" s="321"/>
      <c r="O1608" s="364"/>
      <c r="P1608" s="381"/>
      <c r="R1608" s="392"/>
      <c r="S1608" s="61" ph="1"/>
      <c r="U1608" s="229"/>
      <c r="V1608" s="264"/>
      <c r="W1608" s="199"/>
      <c r="X1608" s="264"/>
      <c r="Y1608" s="264"/>
      <c r="Z1608" s="386"/>
      <c r="AA1608" s="126"/>
      <c r="AD1608" s="264"/>
      <c r="AE1608" s="264"/>
      <c r="AF1608" s="264"/>
      <c r="AG1608" s="264"/>
    </row>
    <row r="1609" spans="1:33" ht="26.25">
      <c r="A1609" s="264"/>
      <c r="B1609" s="264"/>
      <c r="C1609" s="264"/>
      <c r="D1609" s="264"/>
      <c r="E1609" s="264"/>
      <c r="F1609" s="264"/>
      <c r="G1609" s="264"/>
      <c r="H1609" s="264"/>
      <c r="I1609" s="264"/>
      <c r="J1609" s="327"/>
      <c r="K1609" s="327"/>
      <c r="L1609" s="327"/>
      <c r="M1609" s="321"/>
      <c r="N1609" s="321"/>
      <c r="O1609" s="364"/>
      <c r="P1609" s="381"/>
      <c r="R1609" s="392"/>
      <c r="S1609" s="61" ph="1"/>
      <c r="U1609" s="229"/>
      <c r="V1609" s="264"/>
      <c r="W1609" s="199"/>
      <c r="X1609" s="264"/>
      <c r="Y1609" s="264"/>
      <c r="Z1609" s="386"/>
      <c r="AA1609" s="126"/>
      <c r="AD1609" s="264"/>
      <c r="AE1609" s="264"/>
      <c r="AF1609" s="264"/>
      <c r="AG1609" s="264"/>
    </row>
    <row r="1610" spans="1:33" ht="26.25">
      <c r="A1610" s="264"/>
      <c r="B1610" s="264"/>
      <c r="C1610" s="264"/>
      <c r="D1610" s="264"/>
      <c r="E1610" s="264"/>
      <c r="F1610" s="264"/>
      <c r="G1610" s="264"/>
      <c r="H1610" s="264"/>
      <c r="I1610" s="264"/>
      <c r="J1610" s="327"/>
      <c r="K1610" s="327"/>
      <c r="L1610" s="327"/>
      <c r="M1610" s="321"/>
      <c r="N1610" s="321"/>
      <c r="P1610" s="381"/>
      <c r="R1610" s="392"/>
      <c r="S1610" s="61" ph="1"/>
      <c r="U1610" s="229"/>
      <c r="V1610" s="264"/>
      <c r="W1610" s="199"/>
      <c r="X1610" s="264"/>
      <c r="Y1610" s="264"/>
      <c r="Z1610" s="386"/>
      <c r="AA1610" s="126"/>
      <c r="AD1610" s="264"/>
      <c r="AE1610" s="264"/>
      <c r="AF1610" s="264"/>
      <c r="AG1610" s="264"/>
    </row>
    <row r="1611" spans="1:33" ht="26.25">
      <c r="A1611" s="264"/>
      <c r="B1611" s="264"/>
      <c r="C1611" s="264"/>
      <c r="D1611" s="264"/>
      <c r="E1611" s="264"/>
      <c r="F1611" s="264"/>
      <c r="G1611" s="264"/>
      <c r="H1611" s="264"/>
      <c r="I1611" s="264"/>
      <c r="J1611" s="327"/>
      <c r="K1611" s="327"/>
      <c r="L1611" s="327"/>
      <c r="M1611" s="321"/>
      <c r="N1611" s="321"/>
      <c r="O1611" s="364"/>
      <c r="P1611" s="381"/>
      <c r="R1611" s="392"/>
      <c r="S1611" s="61" ph="1"/>
      <c r="U1611" s="229"/>
      <c r="V1611" s="264"/>
      <c r="W1611" s="199"/>
      <c r="X1611" s="264"/>
      <c r="Y1611" s="264"/>
      <c r="Z1611" s="386"/>
      <c r="AA1611" s="126"/>
      <c r="AD1611" s="264"/>
      <c r="AE1611" s="264"/>
      <c r="AF1611" s="264"/>
      <c r="AG1611" s="264"/>
    </row>
    <row r="1612" spans="1:33" ht="26.25">
      <c r="A1612" s="264"/>
      <c r="B1612" s="264"/>
      <c r="C1612" s="264"/>
      <c r="D1612" s="264"/>
      <c r="E1612" s="264"/>
      <c r="F1612" s="264"/>
      <c r="G1612" s="264"/>
      <c r="H1612" s="264"/>
      <c r="I1612" s="264"/>
      <c r="J1612" s="327"/>
      <c r="K1612" s="327"/>
      <c r="L1612" s="327"/>
      <c r="M1612" s="321"/>
      <c r="N1612" s="321"/>
      <c r="O1612" s="364"/>
      <c r="P1612" s="381"/>
      <c r="R1612" s="392"/>
      <c r="S1612" s="61" ph="1"/>
      <c r="U1612" s="229"/>
      <c r="V1612" s="264"/>
      <c r="W1612" s="199"/>
      <c r="X1612" s="264"/>
      <c r="Y1612" s="264"/>
      <c r="Z1612" s="386"/>
      <c r="AA1612" s="126"/>
      <c r="AD1612" s="264"/>
      <c r="AE1612" s="264"/>
      <c r="AF1612" s="264"/>
      <c r="AG1612" s="264"/>
    </row>
    <row r="1613" spans="1:33" ht="26.25">
      <c r="A1613" s="264"/>
      <c r="B1613" s="264"/>
      <c r="C1613" s="264"/>
      <c r="D1613" s="264"/>
      <c r="E1613" s="264"/>
      <c r="F1613" s="264"/>
      <c r="G1613" s="264"/>
      <c r="H1613" s="264"/>
      <c r="I1613" s="264"/>
      <c r="J1613" s="327"/>
      <c r="K1613" s="327"/>
      <c r="L1613" s="327"/>
      <c r="M1613" s="321"/>
      <c r="N1613" s="321"/>
      <c r="O1613" s="364"/>
      <c r="P1613" s="381"/>
      <c r="R1613" s="392"/>
      <c r="S1613" s="61" ph="1"/>
      <c r="U1613" s="229"/>
      <c r="V1613" s="264"/>
      <c r="W1613" s="199"/>
      <c r="X1613" s="264"/>
      <c r="Y1613" s="264"/>
      <c r="Z1613" s="386"/>
      <c r="AA1613" s="126"/>
      <c r="AD1613" s="264"/>
      <c r="AE1613" s="264"/>
      <c r="AF1613" s="264"/>
      <c r="AG1613" s="264"/>
    </row>
    <row r="1614" spans="1:33" ht="26.25">
      <c r="A1614" s="264"/>
      <c r="B1614" s="264"/>
      <c r="C1614" s="264"/>
      <c r="D1614" s="264"/>
      <c r="E1614" s="264"/>
      <c r="F1614" s="264"/>
      <c r="G1614" s="264"/>
      <c r="H1614" s="264"/>
      <c r="I1614" s="264"/>
      <c r="J1614" s="327"/>
      <c r="K1614" s="327"/>
      <c r="L1614" s="327"/>
      <c r="M1614" s="321"/>
      <c r="N1614" s="321"/>
      <c r="O1614" s="364"/>
      <c r="P1614" s="381"/>
      <c r="R1614" s="392"/>
      <c r="S1614" s="61" ph="1"/>
      <c r="U1614" s="229"/>
      <c r="V1614" s="264"/>
      <c r="W1614" s="199"/>
      <c r="X1614" s="264"/>
      <c r="Y1614" s="264"/>
      <c r="Z1614" s="386"/>
      <c r="AA1614" s="126"/>
      <c r="AD1614" s="264"/>
      <c r="AE1614" s="264"/>
      <c r="AF1614" s="264"/>
      <c r="AG1614" s="264"/>
    </row>
    <row r="1615" spans="1:33" ht="26.25">
      <c r="A1615" s="264"/>
      <c r="B1615" s="264"/>
      <c r="C1615" s="264"/>
      <c r="D1615" s="264"/>
      <c r="E1615" s="264"/>
      <c r="F1615" s="264"/>
      <c r="G1615" s="264"/>
      <c r="H1615" s="264"/>
      <c r="I1615" s="264"/>
      <c r="J1615" s="327"/>
      <c r="K1615" s="327"/>
      <c r="L1615" s="327"/>
      <c r="M1615" s="321"/>
      <c r="N1615" s="321"/>
      <c r="O1615" s="364"/>
      <c r="P1615" s="381"/>
      <c r="R1615" s="392"/>
      <c r="S1615" s="61" ph="1"/>
      <c r="U1615" s="229"/>
      <c r="V1615" s="264"/>
      <c r="W1615" s="199"/>
      <c r="X1615" s="264"/>
      <c r="Y1615" s="264"/>
      <c r="Z1615" s="386"/>
      <c r="AA1615" s="126"/>
      <c r="AD1615" s="264"/>
      <c r="AE1615" s="264"/>
      <c r="AF1615" s="264"/>
      <c r="AG1615" s="264"/>
    </row>
    <row r="1616" spans="1:33" ht="26.25">
      <c r="A1616" s="264"/>
      <c r="B1616" s="264"/>
      <c r="C1616" s="264"/>
      <c r="D1616" s="264"/>
      <c r="E1616" s="264"/>
      <c r="F1616" s="264"/>
      <c r="G1616" s="264"/>
      <c r="H1616" s="264"/>
      <c r="I1616" s="264"/>
      <c r="J1616" s="327"/>
      <c r="K1616" s="327"/>
      <c r="L1616" s="327"/>
      <c r="M1616" s="321"/>
      <c r="N1616" s="321"/>
      <c r="O1616" s="364"/>
      <c r="P1616" s="381"/>
      <c r="R1616" s="392"/>
      <c r="S1616" s="61" ph="1"/>
      <c r="U1616" s="229"/>
      <c r="V1616" s="264"/>
      <c r="W1616" s="199"/>
      <c r="X1616" s="264"/>
      <c r="Y1616" s="264"/>
      <c r="Z1616" s="386"/>
      <c r="AA1616" s="126"/>
      <c r="AD1616" s="264"/>
      <c r="AE1616" s="264"/>
      <c r="AF1616" s="264"/>
      <c r="AG1616" s="264"/>
    </row>
    <row r="1617" spans="1:33" ht="26.25">
      <c r="A1617" s="264"/>
      <c r="B1617" s="264"/>
      <c r="C1617" s="264"/>
      <c r="D1617" s="264"/>
      <c r="E1617" s="264"/>
      <c r="F1617" s="264"/>
      <c r="G1617" s="264"/>
      <c r="H1617" s="264"/>
      <c r="I1617" s="264"/>
      <c r="J1617" s="327"/>
      <c r="K1617" s="327"/>
      <c r="L1617" s="327"/>
      <c r="M1617" s="321"/>
      <c r="N1617" s="321"/>
      <c r="O1617" s="364"/>
      <c r="P1617" s="381"/>
      <c r="R1617" s="392"/>
      <c r="S1617" s="61" ph="1"/>
      <c r="U1617" s="229"/>
      <c r="V1617" s="264"/>
      <c r="W1617" s="199"/>
      <c r="X1617" s="264"/>
      <c r="Y1617" s="264"/>
      <c r="Z1617" s="386"/>
      <c r="AA1617" s="27"/>
      <c r="AD1617" s="264"/>
      <c r="AE1617" s="264"/>
      <c r="AF1617" s="264"/>
      <c r="AG1617" s="264"/>
    </row>
    <row r="1618" spans="1:33" ht="26.25">
      <c r="A1618" s="264"/>
      <c r="B1618" s="264"/>
      <c r="C1618" s="264"/>
      <c r="D1618" s="264"/>
      <c r="E1618" s="264"/>
      <c r="F1618" s="264"/>
      <c r="G1618" s="264"/>
      <c r="H1618" s="264"/>
      <c r="I1618" s="264"/>
      <c r="J1618" s="327"/>
      <c r="K1618" s="327"/>
      <c r="L1618" s="327"/>
      <c r="M1618" s="321"/>
      <c r="N1618" s="321"/>
      <c r="O1618" s="364"/>
      <c r="P1618" s="381"/>
      <c r="R1618" s="392"/>
      <c r="S1618" s="61" ph="1"/>
      <c r="U1618" s="229"/>
      <c r="V1618" s="264"/>
      <c r="W1618" s="199"/>
      <c r="X1618" s="264"/>
      <c r="Y1618" s="264"/>
      <c r="Z1618" s="386"/>
      <c r="AA1618" s="126"/>
      <c r="AD1618" s="264"/>
      <c r="AE1618" s="264"/>
      <c r="AF1618" s="264"/>
      <c r="AG1618" s="264"/>
    </row>
    <row r="1619" spans="1:33" ht="26.25">
      <c r="A1619" s="264"/>
      <c r="B1619" s="264"/>
      <c r="C1619" s="264"/>
      <c r="D1619" s="264"/>
      <c r="E1619" s="264"/>
      <c r="F1619" s="264"/>
      <c r="G1619" s="264"/>
      <c r="H1619" s="264"/>
      <c r="I1619" s="264"/>
      <c r="J1619" s="327"/>
      <c r="K1619" s="327"/>
      <c r="L1619" s="327"/>
      <c r="M1619" s="321"/>
      <c r="N1619" s="321"/>
      <c r="O1619" s="364"/>
      <c r="P1619" s="381"/>
      <c r="R1619" s="392"/>
      <c r="S1619" s="61" ph="1"/>
      <c r="U1619" s="229"/>
      <c r="V1619" s="264"/>
      <c r="W1619" s="199"/>
      <c r="X1619" s="264"/>
      <c r="Y1619" s="264"/>
      <c r="Z1619" s="386"/>
      <c r="AA1619" s="126"/>
      <c r="AD1619" s="264"/>
      <c r="AE1619" s="264"/>
      <c r="AF1619" s="264"/>
      <c r="AG1619" s="264"/>
    </row>
    <row r="1620" spans="1:33" ht="26.25">
      <c r="A1620" s="264"/>
      <c r="B1620" s="264"/>
      <c r="C1620" s="264"/>
      <c r="D1620" s="264"/>
      <c r="E1620" s="264"/>
      <c r="F1620" s="264"/>
      <c r="G1620" s="264"/>
      <c r="H1620" s="264"/>
      <c r="I1620" s="264"/>
      <c r="J1620" s="327"/>
      <c r="K1620" s="327"/>
      <c r="L1620" s="327"/>
      <c r="M1620" s="321"/>
      <c r="N1620" s="321"/>
      <c r="O1620" s="364"/>
      <c r="P1620" s="381"/>
      <c r="R1620" s="392"/>
      <c r="S1620" s="61" ph="1"/>
      <c r="U1620" s="229"/>
      <c r="V1620" s="264"/>
      <c r="W1620" s="199"/>
      <c r="X1620" s="264"/>
      <c r="Y1620" s="264"/>
      <c r="Z1620" s="386"/>
      <c r="AA1620" s="126"/>
      <c r="AD1620" s="264"/>
      <c r="AE1620" s="264"/>
      <c r="AF1620" s="264"/>
      <c r="AG1620" s="264"/>
    </row>
    <row r="1621" spans="1:33" ht="26.25">
      <c r="A1621" s="264"/>
      <c r="B1621" s="264"/>
      <c r="C1621" s="264"/>
      <c r="D1621" s="264"/>
      <c r="E1621" s="264"/>
      <c r="F1621" s="264"/>
      <c r="G1621" s="264"/>
      <c r="H1621" s="264"/>
      <c r="I1621" s="264"/>
      <c r="J1621" s="327"/>
      <c r="K1621" s="327"/>
      <c r="L1621" s="327"/>
      <c r="M1621" s="321"/>
      <c r="N1621" s="321"/>
      <c r="O1621" s="364"/>
      <c r="P1621" s="381"/>
      <c r="R1621" s="392"/>
      <c r="S1621" s="61" ph="1"/>
      <c r="U1621" s="229"/>
      <c r="V1621" s="264"/>
      <c r="W1621" s="199"/>
      <c r="X1621" s="264"/>
      <c r="Y1621" s="264"/>
      <c r="Z1621" s="386"/>
      <c r="AA1621" s="126"/>
      <c r="AD1621" s="264"/>
      <c r="AE1621" s="264"/>
      <c r="AF1621" s="264"/>
      <c r="AG1621" s="264"/>
    </row>
    <row r="1622" spans="1:33" ht="26.25">
      <c r="A1622" s="264"/>
      <c r="B1622" s="264"/>
      <c r="C1622" s="264"/>
      <c r="D1622" s="264"/>
      <c r="E1622" s="264"/>
      <c r="F1622" s="264"/>
      <c r="G1622" s="264"/>
      <c r="H1622" s="264"/>
      <c r="I1622" s="264"/>
      <c r="J1622" s="327"/>
      <c r="K1622" s="327"/>
      <c r="L1622" s="327"/>
      <c r="M1622" s="321"/>
      <c r="N1622" s="321"/>
      <c r="O1622" s="364"/>
      <c r="P1622" s="381"/>
      <c r="R1622" s="392"/>
      <c r="S1622" s="61" ph="1"/>
      <c r="U1622" s="229"/>
      <c r="V1622" s="264"/>
      <c r="W1622" s="199"/>
      <c r="X1622" s="264"/>
      <c r="Y1622" s="264"/>
      <c r="Z1622" s="386"/>
      <c r="AA1622" s="126"/>
      <c r="AD1622" s="264"/>
      <c r="AE1622" s="264"/>
      <c r="AF1622" s="264"/>
      <c r="AG1622" s="264"/>
    </row>
    <row r="1623" spans="1:33" ht="26.25">
      <c r="A1623" s="264"/>
      <c r="B1623" s="264"/>
      <c r="C1623" s="264"/>
      <c r="D1623" s="264"/>
      <c r="E1623" s="264"/>
      <c r="F1623" s="264"/>
      <c r="G1623" s="264"/>
      <c r="H1623" s="264"/>
      <c r="I1623" s="264"/>
      <c r="J1623" s="327"/>
      <c r="K1623" s="327"/>
      <c r="L1623" s="327"/>
      <c r="M1623" s="321"/>
      <c r="N1623" s="321"/>
      <c r="O1623" s="364"/>
      <c r="P1623" s="381"/>
      <c r="R1623" s="392"/>
      <c r="S1623" s="61" ph="1"/>
      <c r="U1623" s="229"/>
      <c r="V1623" s="264"/>
      <c r="W1623" s="199"/>
      <c r="X1623" s="264"/>
      <c r="Y1623" s="264"/>
      <c r="Z1623" s="386"/>
      <c r="AA1623" s="126"/>
      <c r="AD1623" s="264"/>
      <c r="AE1623" s="264"/>
      <c r="AF1623" s="264"/>
      <c r="AG1623" s="264"/>
    </row>
    <row r="1624" spans="1:33" ht="26.25">
      <c r="A1624" s="264"/>
      <c r="B1624" s="264"/>
      <c r="C1624" s="264"/>
      <c r="D1624" s="264"/>
      <c r="E1624" s="264"/>
      <c r="F1624" s="264"/>
      <c r="G1624" s="264"/>
      <c r="H1624" s="264"/>
      <c r="I1624" s="264"/>
      <c r="J1624" s="327"/>
      <c r="K1624" s="327"/>
      <c r="L1624" s="327"/>
      <c r="M1624" s="321"/>
      <c r="N1624" s="321"/>
      <c r="O1624" s="364"/>
      <c r="P1624" s="381"/>
      <c r="R1624" s="392"/>
      <c r="S1624" s="61" ph="1"/>
      <c r="U1624" s="229"/>
      <c r="V1624" s="264"/>
      <c r="W1624" s="199"/>
      <c r="X1624" s="264"/>
      <c r="Y1624" s="264"/>
      <c r="Z1624" s="386"/>
      <c r="AA1624" s="126"/>
      <c r="AD1624" s="264"/>
      <c r="AE1624" s="264"/>
      <c r="AF1624" s="264"/>
      <c r="AG1624" s="264"/>
    </row>
    <row r="1625" spans="1:33" ht="26.25">
      <c r="A1625" s="264"/>
      <c r="B1625" s="264"/>
      <c r="C1625" s="264"/>
      <c r="D1625" s="264"/>
      <c r="E1625" s="264"/>
      <c r="F1625" s="264"/>
      <c r="G1625" s="264"/>
      <c r="H1625" s="264"/>
      <c r="I1625" s="264"/>
      <c r="J1625" s="327"/>
      <c r="K1625" s="327"/>
      <c r="L1625" s="327"/>
      <c r="M1625" s="321"/>
      <c r="N1625" s="321"/>
      <c r="O1625" s="364"/>
      <c r="P1625" s="381"/>
      <c r="R1625" s="392"/>
      <c r="S1625" s="61" ph="1"/>
      <c r="U1625" s="229"/>
      <c r="V1625" s="264"/>
      <c r="W1625" s="199"/>
      <c r="X1625" s="264"/>
      <c r="Y1625" s="264"/>
      <c r="Z1625" s="386"/>
      <c r="AA1625" s="126"/>
      <c r="AD1625" s="264"/>
      <c r="AE1625" s="264"/>
      <c r="AF1625" s="264"/>
      <c r="AG1625" s="264"/>
    </row>
    <row r="1626" spans="1:33" ht="26.25">
      <c r="A1626" s="264"/>
      <c r="B1626" s="264"/>
      <c r="C1626" s="264"/>
      <c r="D1626" s="264"/>
      <c r="E1626" s="264"/>
      <c r="F1626" s="264"/>
      <c r="G1626" s="264"/>
      <c r="H1626" s="264"/>
      <c r="I1626" s="264"/>
      <c r="J1626" s="327"/>
      <c r="K1626" s="327"/>
      <c r="L1626" s="327"/>
      <c r="M1626" s="321"/>
      <c r="N1626" s="321"/>
      <c r="O1626" s="364"/>
      <c r="P1626" s="381"/>
      <c r="R1626" s="392"/>
      <c r="S1626" s="61" ph="1"/>
      <c r="U1626" s="229"/>
      <c r="V1626" s="264"/>
      <c r="W1626" s="199"/>
      <c r="X1626" s="264"/>
      <c r="Y1626" s="264"/>
      <c r="Z1626" s="386"/>
      <c r="AA1626" s="126"/>
      <c r="AD1626" s="264"/>
      <c r="AE1626" s="264"/>
      <c r="AF1626" s="264"/>
      <c r="AG1626" s="264"/>
    </row>
    <row r="1627" spans="1:33" ht="26.25">
      <c r="A1627" s="264"/>
      <c r="B1627" s="264"/>
      <c r="C1627" s="264"/>
      <c r="D1627" s="264"/>
      <c r="E1627" s="264"/>
      <c r="F1627" s="264"/>
      <c r="G1627" s="264"/>
      <c r="H1627" s="264"/>
      <c r="I1627" s="264"/>
      <c r="J1627" s="327"/>
      <c r="K1627" s="327"/>
      <c r="L1627" s="327"/>
      <c r="M1627" s="321"/>
      <c r="N1627" s="321"/>
      <c r="O1627" s="364"/>
      <c r="P1627" s="381"/>
      <c r="R1627" s="392"/>
      <c r="S1627" s="61" ph="1"/>
      <c r="U1627" s="229"/>
      <c r="V1627" s="264"/>
      <c r="W1627" s="199"/>
      <c r="X1627" s="264"/>
      <c r="Y1627" s="264"/>
      <c r="Z1627" s="386"/>
      <c r="AA1627" s="126"/>
      <c r="AD1627" s="264"/>
      <c r="AE1627" s="264"/>
      <c r="AF1627" s="264"/>
      <c r="AG1627" s="264"/>
    </row>
    <row r="1628" spans="1:33" ht="26.25">
      <c r="A1628" s="264"/>
      <c r="B1628" s="264"/>
      <c r="C1628" s="264"/>
      <c r="D1628" s="264"/>
      <c r="E1628" s="264"/>
      <c r="F1628" s="264"/>
      <c r="G1628" s="264"/>
      <c r="H1628" s="264"/>
      <c r="I1628" s="264"/>
      <c r="J1628" s="327"/>
      <c r="K1628" s="327"/>
      <c r="L1628" s="327"/>
      <c r="M1628" s="321"/>
      <c r="N1628" s="321"/>
      <c r="O1628" s="364"/>
      <c r="P1628" s="381"/>
      <c r="R1628" s="392"/>
      <c r="S1628" s="61" ph="1"/>
      <c r="U1628" s="229"/>
      <c r="V1628" s="264"/>
      <c r="W1628" s="199"/>
      <c r="X1628" s="264"/>
      <c r="Y1628" s="264"/>
      <c r="Z1628" s="386"/>
      <c r="AA1628" s="126"/>
      <c r="AD1628" s="264"/>
      <c r="AE1628" s="264"/>
      <c r="AF1628" s="264"/>
      <c r="AG1628" s="264"/>
    </row>
    <row r="1629" spans="1:33" ht="26.25">
      <c r="A1629" s="264"/>
      <c r="B1629" s="264"/>
      <c r="C1629" s="264"/>
      <c r="D1629" s="264"/>
      <c r="E1629" s="264"/>
      <c r="F1629" s="264"/>
      <c r="G1629" s="264"/>
      <c r="H1629" s="264"/>
      <c r="I1629" s="264"/>
      <c r="J1629" s="327"/>
      <c r="K1629" s="327"/>
      <c r="L1629" s="327"/>
      <c r="M1629" s="321"/>
      <c r="N1629" s="321"/>
      <c r="O1629" s="364"/>
      <c r="P1629" s="381"/>
      <c r="R1629" s="392"/>
      <c r="S1629" s="61" ph="1"/>
      <c r="U1629" s="229"/>
      <c r="V1629" s="264"/>
      <c r="W1629" s="199"/>
      <c r="X1629" s="264"/>
      <c r="Y1629" s="264"/>
      <c r="Z1629" s="386"/>
      <c r="AA1629" s="126"/>
      <c r="AD1629" s="264"/>
      <c r="AE1629" s="264"/>
      <c r="AF1629" s="264"/>
      <c r="AG1629" s="264"/>
    </row>
    <row r="1630" spans="1:33" ht="26.25">
      <c r="A1630" s="264"/>
      <c r="B1630" s="264"/>
      <c r="C1630" s="264"/>
      <c r="D1630" s="264"/>
      <c r="E1630" s="264"/>
      <c r="F1630" s="264"/>
      <c r="G1630" s="264"/>
      <c r="H1630" s="264"/>
      <c r="I1630" s="264"/>
      <c r="J1630" s="327"/>
      <c r="K1630" s="327"/>
      <c r="L1630" s="327"/>
      <c r="M1630" s="321"/>
      <c r="N1630" s="321"/>
      <c r="O1630" s="364"/>
      <c r="P1630" s="381"/>
      <c r="R1630" s="392"/>
      <c r="S1630" s="61" ph="1"/>
      <c r="U1630" s="229"/>
      <c r="V1630" s="264"/>
      <c r="W1630" s="199"/>
      <c r="X1630" s="264"/>
      <c r="Y1630" s="264"/>
      <c r="Z1630" s="386"/>
      <c r="AA1630" s="126"/>
      <c r="AD1630" s="264"/>
      <c r="AE1630" s="264"/>
      <c r="AF1630" s="264"/>
      <c r="AG1630" s="264"/>
    </row>
    <row r="1631" spans="1:33" ht="26.25">
      <c r="A1631" s="264"/>
      <c r="B1631" s="264"/>
      <c r="C1631" s="264"/>
      <c r="D1631" s="264"/>
      <c r="E1631" s="264"/>
      <c r="F1631" s="264"/>
      <c r="G1631" s="264"/>
      <c r="H1631" s="264"/>
      <c r="I1631" s="264"/>
      <c r="J1631" s="327"/>
      <c r="K1631" s="327"/>
      <c r="L1631" s="327"/>
      <c r="M1631" s="321"/>
      <c r="N1631" s="321"/>
      <c r="O1631" s="364"/>
      <c r="P1631" s="381"/>
      <c r="R1631" s="392"/>
      <c r="S1631" s="61" ph="1"/>
      <c r="U1631" s="229"/>
      <c r="V1631" s="264"/>
      <c r="W1631" s="199"/>
      <c r="X1631" s="264"/>
      <c r="Y1631" s="264"/>
      <c r="Z1631" s="386"/>
      <c r="AA1631" s="264"/>
      <c r="AD1631" s="264"/>
      <c r="AE1631" s="264"/>
      <c r="AF1631" s="264"/>
      <c r="AG1631" s="264"/>
    </row>
    <row r="1632" spans="1:33" ht="26.25">
      <c r="A1632" s="264"/>
      <c r="B1632" s="264"/>
      <c r="C1632" s="264"/>
      <c r="D1632" s="264"/>
      <c r="E1632" s="264"/>
      <c r="F1632" s="264"/>
      <c r="G1632" s="264"/>
      <c r="H1632" s="264"/>
      <c r="I1632" s="264"/>
      <c r="J1632" s="327"/>
      <c r="K1632" s="327"/>
      <c r="L1632" s="327"/>
      <c r="M1632" s="321"/>
      <c r="N1632" s="321"/>
      <c r="O1632" s="364"/>
      <c r="P1632" s="381"/>
      <c r="R1632" s="392"/>
      <c r="S1632" s="61" ph="1"/>
      <c r="U1632" s="229"/>
      <c r="V1632" s="264"/>
      <c r="W1632" s="199"/>
      <c r="X1632" s="264"/>
      <c r="Y1632" s="264"/>
      <c r="Z1632" s="386"/>
      <c r="AA1632" s="126"/>
      <c r="AD1632" s="264"/>
      <c r="AE1632" s="264"/>
      <c r="AF1632" s="264"/>
      <c r="AG1632" s="264"/>
    </row>
    <row r="1633" spans="1:33" ht="26.25">
      <c r="A1633" s="264"/>
      <c r="B1633" s="264"/>
      <c r="C1633" s="264"/>
      <c r="D1633" s="264"/>
      <c r="E1633" s="264"/>
      <c r="F1633" s="264"/>
      <c r="G1633" s="264"/>
      <c r="H1633" s="264"/>
      <c r="I1633" s="264"/>
      <c r="J1633" s="327"/>
      <c r="K1633" s="327"/>
      <c r="L1633" s="327"/>
      <c r="M1633" s="321"/>
      <c r="N1633" s="321"/>
      <c r="O1633" s="364"/>
      <c r="P1633" s="381"/>
      <c r="R1633" s="392"/>
      <c r="S1633" s="61" ph="1"/>
      <c r="U1633" s="229"/>
      <c r="V1633" s="264"/>
      <c r="W1633" s="199"/>
      <c r="X1633" s="264"/>
      <c r="Y1633" s="264"/>
      <c r="Z1633" s="386"/>
      <c r="AA1633" s="126"/>
      <c r="AD1633" s="264"/>
      <c r="AE1633" s="264"/>
      <c r="AF1633" s="264"/>
      <c r="AG1633" s="264"/>
    </row>
    <row r="1634" spans="1:33" ht="26.25">
      <c r="A1634" s="264"/>
      <c r="B1634" s="264"/>
      <c r="C1634" s="264"/>
      <c r="D1634" s="264"/>
      <c r="E1634" s="264"/>
      <c r="F1634" s="264"/>
      <c r="G1634" s="264"/>
      <c r="H1634" s="264"/>
      <c r="I1634" s="264"/>
      <c r="J1634" s="327"/>
      <c r="K1634" s="327"/>
      <c r="L1634" s="327"/>
      <c r="M1634" s="321"/>
      <c r="N1634" s="321"/>
      <c r="O1634" s="364"/>
      <c r="P1634" s="381"/>
      <c r="R1634" s="392"/>
      <c r="S1634" s="61" ph="1"/>
      <c r="U1634" s="229"/>
      <c r="V1634" s="264"/>
      <c r="W1634" s="199"/>
      <c r="X1634" s="264"/>
      <c r="Y1634" s="264"/>
      <c r="Z1634" s="386"/>
      <c r="AA1634" s="126"/>
      <c r="AD1634" s="264"/>
      <c r="AE1634" s="264"/>
      <c r="AF1634" s="264"/>
      <c r="AG1634" s="264"/>
    </row>
    <row r="1635" spans="1:33" ht="26.25">
      <c r="A1635" s="264"/>
      <c r="B1635" s="264"/>
      <c r="C1635" s="264"/>
      <c r="D1635" s="264"/>
      <c r="E1635" s="264"/>
      <c r="F1635" s="264"/>
      <c r="G1635" s="264"/>
      <c r="H1635" s="264"/>
      <c r="I1635" s="264"/>
      <c r="J1635" s="327"/>
      <c r="K1635" s="327"/>
      <c r="L1635" s="327"/>
      <c r="M1635" s="321"/>
      <c r="N1635" s="321"/>
      <c r="O1635" s="364"/>
      <c r="P1635" s="381"/>
      <c r="R1635" s="392"/>
      <c r="S1635" s="61" ph="1"/>
      <c r="U1635" s="229"/>
      <c r="V1635" s="264"/>
      <c r="W1635" s="199"/>
      <c r="X1635" s="264"/>
      <c r="Y1635" s="264"/>
      <c r="Z1635" s="386"/>
      <c r="AA1635" s="126"/>
      <c r="AD1635" s="264"/>
      <c r="AE1635" s="264"/>
      <c r="AF1635" s="264"/>
      <c r="AG1635" s="264"/>
    </row>
    <row r="1636" spans="1:33" ht="26.25">
      <c r="A1636" s="264"/>
      <c r="B1636" s="264"/>
      <c r="C1636" s="264"/>
      <c r="D1636" s="264"/>
      <c r="E1636" s="264"/>
      <c r="F1636" s="264"/>
      <c r="G1636" s="264"/>
      <c r="H1636" s="264"/>
      <c r="I1636" s="264"/>
      <c r="J1636" s="327"/>
      <c r="K1636" s="327"/>
      <c r="L1636" s="327"/>
      <c r="M1636" s="321"/>
      <c r="N1636" s="321"/>
      <c r="O1636" s="364"/>
      <c r="P1636" s="381"/>
      <c r="R1636" s="392"/>
      <c r="S1636" s="61" ph="1"/>
      <c r="U1636" s="229"/>
      <c r="V1636" s="264"/>
      <c r="W1636" s="199"/>
      <c r="X1636" s="264"/>
      <c r="Y1636" s="264"/>
      <c r="Z1636" s="386"/>
      <c r="AA1636" s="126"/>
      <c r="AD1636" s="264"/>
      <c r="AE1636" s="264"/>
      <c r="AF1636" s="264"/>
      <c r="AG1636" s="264"/>
    </row>
    <row r="1637" spans="1:33" ht="26.25">
      <c r="A1637" s="264"/>
      <c r="B1637" s="264"/>
      <c r="C1637" s="264"/>
      <c r="D1637" s="264"/>
      <c r="E1637" s="264"/>
      <c r="F1637" s="264"/>
      <c r="G1637" s="264"/>
      <c r="H1637" s="264"/>
      <c r="I1637" s="264"/>
      <c r="J1637" s="327"/>
      <c r="K1637" s="327"/>
      <c r="L1637" s="327"/>
      <c r="M1637" s="321"/>
      <c r="N1637" s="321"/>
      <c r="O1637" s="364"/>
      <c r="P1637" s="381"/>
      <c r="R1637" s="392"/>
      <c r="S1637" s="61" ph="1"/>
      <c r="U1637" s="229"/>
      <c r="V1637" s="264"/>
      <c r="W1637" s="199"/>
      <c r="X1637" s="264"/>
      <c r="Y1637" s="264"/>
      <c r="Z1637" s="386"/>
      <c r="AA1637" s="126"/>
      <c r="AD1637" s="264"/>
      <c r="AE1637" s="264"/>
      <c r="AF1637" s="264"/>
      <c r="AG1637" s="264"/>
    </row>
    <row r="1638" spans="1:33" ht="26.25">
      <c r="A1638" s="264"/>
      <c r="B1638" s="264"/>
      <c r="C1638" s="264"/>
      <c r="D1638" s="264"/>
      <c r="E1638" s="264"/>
      <c r="F1638" s="264"/>
      <c r="G1638" s="264"/>
      <c r="H1638" s="264"/>
      <c r="I1638" s="264"/>
      <c r="J1638" s="327"/>
      <c r="K1638" s="327"/>
      <c r="L1638" s="327"/>
      <c r="M1638" s="321"/>
      <c r="N1638" s="321"/>
      <c r="O1638" s="364"/>
      <c r="P1638" s="381"/>
      <c r="R1638" s="392"/>
      <c r="S1638" s="61" ph="1"/>
      <c r="U1638" s="229"/>
      <c r="V1638" s="264"/>
      <c r="W1638" s="199"/>
      <c r="X1638" s="264"/>
      <c r="Y1638" s="264"/>
      <c r="Z1638" s="386"/>
      <c r="AA1638" s="126"/>
      <c r="AD1638" s="264"/>
      <c r="AE1638" s="264"/>
      <c r="AF1638" s="264"/>
      <c r="AG1638" s="264"/>
    </row>
    <row r="1639" spans="1:33" ht="26.25">
      <c r="A1639" s="264"/>
      <c r="B1639" s="264"/>
      <c r="C1639" s="264"/>
      <c r="D1639" s="264"/>
      <c r="E1639" s="264"/>
      <c r="F1639" s="264"/>
      <c r="G1639" s="264"/>
      <c r="H1639" s="264"/>
      <c r="I1639" s="264"/>
      <c r="J1639" s="327"/>
      <c r="K1639" s="327"/>
      <c r="L1639" s="327"/>
      <c r="M1639" s="321"/>
      <c r="N1639" s="321"/>
      <c r="O1639" s="364"/>
      <c r="P1639" s="381"/>
      <c r="R1639" s="392"/>
      <c r="S1639" s="61" ph="1"/>
      <c r="U1639" s="229"/>
      <c r="V1639" s="264"/>
      <c r="W1639" s="199"/>
      <c r="X1639" s="264"/>
      <c r="Y1639" s="264"/>
      <c r="Z1639" s="386"/>
      <c r="AA1639" s="126"/>
      <c r="AD1639" s="264"/>
      <c r="AE1639" s="264"/>
      <c r="AF1639" s="264"/>
      <c r="AG1639" s="264"/>
    </row>
    <row r="1640" spans="1:33" ht="26.25">
      <c r="A1640" s="264"/>
      <c r="B1640" s="264"/>
      <c r="C1640" s="264"/>
      <c r="D1640" s="264"/>
      <c r="E1640" s="264"/>
      <c r="F1640" s="264"/>
      <c r="G1640" s="264"/>
      <c r="H1640" s="264"/>
      <c r="I1640" s="264"/>
      <c r="J1640" s="327"/>
      <c r="K1640" s="327"/>
      <c r="L1640" s="327"/>
      <c r="M1640" s="321"/>
      <c r="N1640" s="321"/>
      <c r="O1640" s="364"/>
      <c r="P1640" s="381"/>
      <c r="R1640" s="392"/>
      <c r="S1640" s="61" ph="1"/>
      <c r="U1640" s="229"/>
      <c r="V1640" s="264"/>
      <c r="W1640" s="199"/>
      <c r="X1640" s="264"/>
      <c r="Y1640" s="264"/>
      <c r="Z1640" s="386"/>
      <c r="AA1640" s="126"/>
      <c r="AD1640" s="264"/>
      <c r="AE1640" s="264"/>
      <c r="AF1640" s="264"/>
      <c r="AG1640" s="264"/>
    </row>
    <row r="1641" spans="1:33" ht="26.25">
      <c r="A1641" s="264"/>
      <c r="B1641" s="264"/>
      <c r="C1641" s="264"/>
      <c r="D1641" s="264"/>
      <c r="E1641" s="264"/>
      <c r="F1641" s="264"/>
      <c r="G1641" s="264"/>
      <c r="H1641" s="264"/>
      <c r="I1641" s="264"/>
      <c r="J1641" s="327"/>
      <c r="K1641" s="327"/>
      <c r="L1641" s="327"/>
      <c r="M1641" s="321"/>
      <c r="N1641" s="321"/>
      <c r="O1641" s="364"/>
      <c r="P1641" s="381"/>
      <c r="R1641" s="392"/>
      <c r="S1641" s="61" ph="1"/>
      <c r="U1641" s="229"/>
      <c r="V1641" s="264"/>
      <c r="W1641" s="199"/>
      <c r="X1641" s="264"/>
      <c r="Y1641" s="264"/>
      <c r="Z1641" s="386"/>
      <c r="AA1641" s="126"/>
      <c r="AD1641" s="264"/>
      <c r="AE1641" s="264"/>
      <c r="AF1641" s="264"/>
      <c r="AG1641" s="264"/>
    </row>
    <row r="1642" spans="1:33" ht="26.25">
      <c r="A1642" s="264"/>
      <c r="B1642" s="264"/>
      <c r="C1642" s="264"/>
      <c r="D1642" s="264"/>
      <c r="E1642" s="264"/>
      <c r="F1642" s="264"/>
      <c r="G1642" s="264"/>
      <c r="H1642" s="264"/>
      <c r="I1642" s="264"/>
      <c r="J1642" s="327"/>
      <c r="K1642" s="327"/>
      <c r="L1642" s="327"/>
      <c r="M1642" s="321"/>
      <c r="N1642" s="321"/>
      <c r="O1642" s="364"/>
      <c r="P1642" s="381"/>
      <c r="R1642" s="392"/>
      <c r="S1642" s="61" ph="1"/>
      <c r="U1642" s="229"/>
      <c r="V1642" s="264"/>
      <c r="W1642" s="199"/>
      <c r="X1642" s="264"/>
      <c r="Y1642" s="264"/>
      <c r="Z1642" s="386"/>
      <c r="AA1642" s="264"/>
      <c r="AD1642" s="264"/>
      <c r="AE1642" s="264"/>
      <c r="AF1642" s="264"/>
      <c r="AG1642" s="264"/>
    </row>
    <row r="1643" spans="1:33" ht="26.25">
      <c r="A1643" s="264"/>
      <c r="B1643" s="264"/>
      <c r="C1643" s="264"/>
      <c r="D1643" s="264"/>
      <c r="E1643" s="264"/>
      <c r="F1643" s="264"/>
      <c r="G1643" s="264"/>
      <c r="H1643" s="264"/>
      <c r="I1643" s="264"/>
      <c r="J1643" s="327"/>
      <c r="K1643" s="327"/>
      <c r="L1643" s="327"/>
      <c r="M1643" s="321"/>
      <c r="N1643" s="321"/>
      <c r="O1643" s="364"/>
      <c r="P1643" s="381"/>
      <c r="R1643" s="392"/>
      <c r="S1643" s="61" ph="1"/>
      <c r="U1643" s="229"/>
      <c r="V1643" s="264"/>
      <c r="W1643" s="199"/>
      <c r="X1643" s="264"/>
      <c r="Y1643" s="264"/>
      <c r="Z1643" s="386"/>
      <c r="AA1643" s="126"/>
      <c r="AD1643" s="264"/>
      <c r="AE1643" s="264"/>
      <c r="AF1643" s="264"/>
      <c r="AG1643" s="264"/>
    </row>
    <row r="1644" spans="1:33" ht="26.25">
      <c r="A1644" s="264"/>
      <c r="B1644" s="264"/>
      <c r="C1644" s="264"/>
      <c r="D1644" s="264"/>
      <c r="E1644" s="264"/>
      <c r="F1644" s="264"/>
      <c r="G1644" s="264"/>
      <c r="H1644" s="264"/>
      <c r="I1644" s="264"/>
      <c r="J1644" s="327"/>
      <c r="K1644" s="327"/>
      <c r="L1644" s="327"/>
      <c r="M1644" s="321"/>
      <c r="N1644" s="321"/>
      <c r="O1644" s="364"/>
      <c r="P1644" s="381"/>
      <c r="R1644" s="392"/>
      <c r="S1644" s="61" ph="1"/>
      <c r="U1644" s="229"/>
      <c r="V1644" s="264"/>
      <c r="W1644" s="199"/>
      <c r="X1644" s="264"/>
      <c r="Y1644" s="264"/>
      <c r="Z1644" s="386"/>
      <c r="AA1644" s="126"/>
      <c r="AD1644" s="264"/>
      <c r="AE1644" s="264"/>
      <c r="AF1644" s="264"/>
      <c r="AG1644" s="264"/>
    </row>
    <row r="1645" spans="1:33" ht="26.25">
      <c r="A1645" s="264"/>
      <c r="B1645" s="264"/>
      <c r="C1645" s="264"/>
      <c r="D1645" s="264"/>
      <c r="E1645" s="264"/>
      <c r="F1645" s="264"/>
      <c r="G1645" s="264"/>
      <c r="H1645" s="264"/>
      <c r="I1645" s="264"/>
      <c r="J1645" s="327"/>
      <c r="K1645" s="327"/>
      <c r="L1645" s="327"/>
      <c r="M1645" s="321"/>
      <c r="N1645" s="321"/>
      <c r="O1645" s="364"/>
      <c r="P1645" s="381"/>
      <c r="R1645" s="392"/>
      <c r="S1645" s="61" ph="1"/>
      <c r="U1645" s="229"/>
      <c r="V1645" s="264"/>
      <c r="W1645" s="199"/>
      <c r="X1645" s="264"/>
      <c r="Y1645" s="264"/>
      <c r="Z1645" s="386"/>
      <c r="AA1645" s="264"/>
      <c r="AD1645" s="264"/>
      <c r="AE1645" s="264"/>
      <c r="AF1645" s="264"/>
      <c r="AG1645" s="264"/>
    </row>
    <row r="1646" spans="1:33" ht="26.25">
      <c r="A1646" s="264"/>
      <c r="B1646" s="264"/>
      <c r="C1646" s="264"/>
      <c r="D1646" s="264"/>
      <c r="E1646" s="264"/>
      <c r="F1646" s="264"/>
      <c r="G1646" s="264"/>
      <c r="H1646" s="264"/>
      <c r="I1646" s="264"/>
      <c r="J1646" s="327"/>
      <c r="K1646" s="327"/>
      <c r="L1646" s="327"/>
      <c r="M1646" s="321"/>
      <c r="N1646" s="321"/>
      <c r="O1646" s="364"/>
      <c r="P1646" s="381"/>
      <c r="R1646" s="392"/>
      <c r="S1646" s="61" ph="1"/>
      <c r="U1646" s="229"/>
      <c r="V1646" s="264"/>
      <c r="W1646" s="199"/>
      <c r="X1646" s="264"/>
      <c r="Y1646" s="264"/>
      <c r="Z1646" s="386"/>
      <c r="AA1646" s="126"/>
      <c r="AD1646" s="264"/>
      <c r="AE1646" s="264"/>
      <c r="AF1646" s="264"/>
      <c r="AG1646" s="264"/>
    </row>
    <row r="1647" spans="1:33" ht="26.25">
      <c r="A1647" s="264"/>
      <c r="B1647" s="264"/>
      <c r="C1647" s="264"/>
      <c r="D1647" s="264"/>
      <c r="E1647" s="264"/>
      <c r="F1647" s="264"/>
      <c r="G1647" s="264"/>
      <c r="H1647" s="264"/>
      <c r="I1647" s="264"/>
      <c r="J1647" s="327"/>
      <c r="K1647" s="327"/>
      <c r="L1647" s="327"/>
      <c r="M1647" s="321"/>
      <c r="N1647" s="321"/>
      <c r="O1647" s="364"/>
      <c r="P1647" s="381"/>
      <c r="R1647" s="392"/>
      <c r="S1647" s="61" ph="1"/>
      <c r="U1647" s="229"/>
      <c r="V1647" s="264"/>
      <c r="W1647" s="199"/>
      <c r="X1647" s="264"/>
      <c r="Y1647" s="264"/>
      <c r="Z1647" s="386"/>
      <c r="AA1647" s="126"/>
      <c r="AD1647" s="264"/>
      <c r="AE1647" s="264"/>
      <c r="AF1647" s="264"/>
      <c r="AG1647" s="264"/>
    </row>
    <row r="1648" spans="1:33" ht="26.25">
      <c r="A1648" s="264"/>
      <c r="B1648" s="264"/>
      <c r="C1648" s="264"/>
      <c r="D1648" s="264"/>
      <c r="E1648" s="264"/>
      <c r="F1648" s="264"/>
      <c r="G1648" s="264"/>
      <c r="H1648" s="264"/>
      <c r="I1648" s="264"/>
      <c r="J1648" s="327"/>
      <c r="K1648" s="327"/>
      <c r="L1648" s="327"/>
      <c r="M1648" s="321"/>
      <c r="N1648" s="321"/>
      <c r="O1648" s="364"/>
      <c r="P1648" s="381"/>
      <c r="R1648" s="392"/>
      <c r="S1648" s="61" ph="1"/>
      <c r="U1648" s="229"/>
      <c r="V1648" s="264"/>
      <c r="W1648" s="199"/>
      <c r="X1648" s="264"/>
      <c r="Y1648" s="264"/>
      <c r="Z1648" s="386"/>
      <c r="AA1648" s="126"/>
      <c r="AD1648" s="264"/>
      <c r="AE1648" s="264"/>
      <c r="AF1648" s="264"/>
      <c r="AG1648" s="264"/>
    </row>
    <row r="1649" spans="1:33" ht="26.25">
      <c r="A1649" s="264"/>
      <c r="B1649" s="264"/>
      <c r="C1649" s="264"/>
      <c r="D1649" s="264"/>
      <c r="E1649" s="264"/>
      <c r="F1649" s="264"/>
      <c r="G1649" s="264"/>
      <c r="H1649" s="264"/>
      <c r="I1649" s="264"/>
      <c r="J1649" s="327"/>
      <c r="K1649" s="327"/>
      <c r="L1649" s="327"/>
      <c r="M1649" s="321"/>
      <c r="N1649" s="321"/>
      <c r="O1649" s="364"/>
      <c r="P1649" s="381"/>
      <c r="R1649" s="392"/>
      <c r="S1649" s="61" ph="1"/>
      <c r="U1649" s="229"/>
      <c r="V1649" s="264"/>
      <c r="W1649" s="199"/>
      <c r="X1649" s="264"/>
      <c r="Y1649" s="264"/>
      <c r="Z1649" s="386"/>
      <c r="AA1649" s="126"/>
      <c r="AD1649" s="264"/>
      <c r="AE1649" s="264"/>
      <c r="AF1649" s="264"/>
      <c r="AG1649" s="264"/>
    </row>
    <row r="1650" spans="1:33" ht="26.25">
      <c r="A1650" s="264"/>
      <c r="B1650" s="264"/>
      <c r="C1650" s="264"/>
      <c r="D1650" s="264"/>
      <c r="E1650" s="264"/>
      <c r="F1650" s="264"/>
      <c r="G1650" s="264"/>
      <c r="H1650" s="264"/>
      <c r="I1650" s="264"/>
      <c r="J1650" s="327"/>
      <c r="K1650" s="327"/>
      <c r="L1650" s="327"/>
      <c r="M1650" s="321"/>
      <c r="N1650" s="321"/>
      <c r="O1650" s="364"/>
      <c r="P1650" s="381"/>
      <c r="R1650" s="392"/>
      <c r="S1650" s="61" ph="1"/>
      <c r="U1650" s="229"/>
      <c r="V1650" s="264"/>
      <c r="W1650" s="199"/>
      <c r="X1650" s="264"/>
      <c r="Y1650" s="264"/>
      <c r="Z1650" s="386"/>
      <c r="AA1650" s="126"/>
      <c r="AD1650" s="264"/>
      <c r="AE1650" s="264"/>
      <c r="AF1650" s="264"/>
      <c r="AG1650" s="264"/>
    </row>
    <row r="1651" spans="1:33" ht="26.25">
      <c r="A1651" s="264"/>
      <c r="B1651" s="264"/>
      <c r="C1651" s="264"/>
      <c r="D1651" s="264"/>
      <c r="E1651" s="264"/>
      <c r="F1651" s="264"/>
      <c r="G1651" s="264"/>
      <c r="H1651" s="264"/>
      <c r="I1651" s="264"/>
      <c r="J1651" s="327"/>
      <c r="K1651" s="327"/>
      <c r="L1651" s="327"/>
      <c r="M1651" s="321"/>
      <c r="N1651" s="321"/>
      <c r="O1651" s="364"/>
      <c r="P1651" s="381"/>
      <c r="R1651" s="392"/>
      <c r="S1651" s="61" ph="1"/>
      <c r="U1651" s="229"/>
      <c r="V1651" s="264"/>
      <c r="W1651" s="199"/>
      <c r="X1651" s="264"/>
      <c r="Y1651" s="264"/>
      <c r="Z1651" s="386"/>
      <c r="AA1651" s="126"/>
      <c r="AD1651" s="264"/>
      <c r="AE1651" s="264"/>
      <c r="AF1651" s="264"/>
      <c r="AG1651" s="264"/>
    </row>
    <row r="1652" spans="1:33" ht="26.25">
      <c r="A1652" s="264"/>
      <c r="B1652" s="264"/>
      <c r="C1652" s="264"/>
      <c r="D1652" s="264"/>
      <c r="E1652" s="264"/>
      <c r="F1652" s="264"/>
      <c r="G1652" s="264"/>
      <c r="H1652" s="264"/>
      <c r="I1652" s="264"/>
      <c r="J1652" s="327"/>
      <c r="K1652" s="327"/>
      <c r="L1652" s="327"/>
      <c r="M1652" s="321"/>
      <c r="N1652" s="321"/>
      <c r="O1652" s="364"/>
      <c r="P1652" s="381"/>
      <c r="R1652" s="392"/>
      <c r="S1652" s="61" ph="1"/>
      <c r="U1652" s="229"/>
      <c r="V1652" s="264"/>
      <c r="W1652" s="199"/>
      <c r="X1652" s="264"/>
      <c r="Y1652" s="264"/>
      <c r="Z1652" s="386"/>
      <c r="AA1652" s="126"/>
      <c r="AD1652" s="264"/>
      <c r="AE1652" s="264"/>
      <c r="AF1652" s="264"/>
      <c r="AG1652" s="264"/>
    </row>
    <row r="1653" spans="1:33" ht="26.25">
      <c r="A1653" s="264"/>
      <c r="B1653" s="264"/>
      <c r="C1653" s="264"/>
      <c r="D1653" s="264"/>
      <c r="E1653" s="264"/>
      <c r="F1653" s="264"/>
      <c r="G1653" s="264"/>
      <c r="H1653" s="264"/>
      <c r="I1653" s="264"/>
      <c r="J1653" s="327"/>
      <c r="K1653" s="327"/>
      <c r="L1653" s="327"/>
      <c r="M1653" s="321"/>
      <c r="N1653" s="321"/>
      <c r="O1653" s="364"/>
      <c r="P1653" s="381"/>
      <c r="R1653" s="392"/>
      <c r="S1653" s="61" ph="1"/>
      <c r="U1653" s="229"/>
      <c r="V1653" s="264"/>
      <c r="W1653" s="199"/>
      <c r="X1653" s="264"/>
      <c r="Y1653" s="264"/>
      <c r="Z1653" s="386"/>
      <c r="AA1653" s="126"/>
      <c r="AD1653" s="264"/>
      <c r="AE1653" s="264"/>
      <c r="AF1653" s="264"/>
      <c r="AG1653" s="264"/>
    </row>
    <row r="1654" spans="1:33" ht="26.25">
      <c r="A1654" s="264"/>
      <c r="B1654" s="264"/>
      <c r="C1654" s="264"/>
      <c r="D1654" s="264"/>
      <c r="E1654" s="264"/>
      <c r="F1654" s="264"/>
      <c r="G1654" s="264"/>
      <c r="H1654" s="264"/>
      <c r="I1654" s="264"/>
      <c r="J1654" s="327"/>
      <c r="K1654" s="327"/>
      <c r="L1654" s="327"/>
      <c r="M1654" s="321"/>
      <c r="N1654" s="321"/>
      <c r="O1654" s="364"/>
      <c r="P1654" s="381"/>
      <c r="R1654" s="392"/>
      <c r="S1654" s="61" ph="1"/>
      <c r="U1654" s="229"/>
      <c r="V1654" s="264"/>
      <c r="W1654" s="199"/>
      <c r="X1654" s="264"/>
      <c r="Y1654" s="264"/>
      <c r="Z1654" s="386"/>
      <c r="AA1654" s="126"/>
      <c r="AD1654" s="264"/>
      <c r="AE1654" s="264"/>
      <c r="AF1654" s="264"/>
      <c r="AG1654" s="264"/>
    </row>
    <row r="1655" spans="1:33" ht="26.25">
      <c r="A1655" s="264"/>
      <c r="B1655" s="264"/>
      <c r="C1655" s="264"/>
      <c r="D1655" s="264"/>
      <c r="E1655" s="264"/>
      <c r="F1655" s="264"/>
      <c r="G1655" s="264"/>
      <c r="H1655" s="264"/>
      <c r="I1655" s="264"/>
      <c r="J1655" s="327"/>
      <c r="K1655" s="327"/>
      <c r="L1655" s="327"/>
      <c r="M1655" s="321"/>
      <c r="N1655" s="321"/>
      <c r="O1655" s="364"/>
      <c r="P1655" s="381"/>
      <c r="R1655" s="392"/>
      <c r="S1655" s="61" ph="1"/>
      <c r="U1655" s="229"/>
      <c r="V1655" s="264"/>
      <c r="W1655" s="199"/>
      <c r="X1655" s="264"/>
      <c r="Y1655" s="264"/>
      <c r="Z1655" s="386"/>
      <c r="AA1655" s="126"/>
      <c r="AD1655" s="264"/>
      <c r="AE1655" s="264"/>
      <c r="AF1655" s="264"/>
      <c r="AG1655" s="264"/>
    </row>
    <row r="1656" spans="1:33" ht="26.25">
      <c r="A1656" s="264"/>
      <c r="B1656" s="264"/>
      <c r="C1656" s="264"/>
      <c r="D1656" s="264"/>
      <c r="E1656" s="264"/>
      <c r="F1656" s="264"/>
      <c r="G1656" s="264"/>
      <c r="H1656" s="264"/>
      <c r="I1656" s="264"/>
      <c r="J1656" s="327"/>
      <c r="K1656" s="327"/>
      <c r="L1656" s="327"/>
      <c r="M1656" s="321"/>
      <c r="N1656" s="321"/>
      <c r="O1656" s="364"/>
      <c r="P1656" s="381"/>
      <c r="R1656" s="392"/>
      <c r="S1656" s="61" ph="1"/>
      <c r="U1656" s="229"/>
      <c r="V1656" s="264"/>
      <c r="W1656" s="199"/>
      <c r="X1656" s="264"/>
      <c r="Y1656" s="264"/>
      <c r="Z1656" s="386"/>
      <c r="AA1656" s="126"/>
      <c r="AD1656" s="264"/>
      <c r="AE1656" s="264"/>
      <c r="AF1656" s="264"/>
      <c r="AG1656" s="264"/>
    </row>
    <row r="1657" spans="1:33" ht="26.25">
      <c r="A1657" s="264"/>
      <c r="B1657" s="264"/>
      <c r="C1657" s="264"/>
      <c r="D1657" s="264"/>
      <c r="E1657" s="264"/>
      <c r="F1657" s="264"/>
      <c r="G1657" s="264"/>
      <c r="H1657" s="264"/>
      <c r="I1657" s="264"/>
      <c r="J1657" s="327"/>
      <c r="K1657" s="327"/>
      <c r="L1657" s="327"/>
      <c r="M1657" s="321"/>
      <c r="N1657" s="321"/>
      <c r="O1657" s="364"/>
      <c r="P1657" s="381"/>
      <c r="R1657" s="392"/>
      <c r="S1657" s="61" ph="1"/>
      <c r="U1657" s="229"/>
      <c r="V1657" s="264"/>
      <c r="W1657" s="199"/>
      <c r="X1657" s="264"/>
      <c r="Y1657" s="264"/>
      <c r="Z1657" s="386"/>
      <c r="AA1657" s="126"/>
      <c r="AD1657" s="264"/>
      <c r="AE1657" s="264"/>
      <c r="AF1657" s="264"/>
      <c r="AG1657" s="264"/>
    </row>
    <row r="1658" spans="1:33" ht="26.25">
      <c r="A1658" s="264"/>
      <c r="B1658" s="264"/>
      <c r="C1658" s="264"/>
      <c r="D1658" s="264"/>
      <c r="E1658" s="264"/>
      <c r="F1658" s="264"/>
      <c r="G1658" s="264"/>
      <c r="H1658" s="264"/>
      <c r="I1658" s="264"/>
      <c r="J1658" s="327"/>
      <c r="K1658" s="327"/>
      <c r="L1658" s="327"/>
      <c r="M1658" s="321"/>
      <c r="N1658" s="321"/>
      <c r="O1658" s="364"/>
      <c r="P1658" s="381"/>
      <c r="R1658" s="392"/>
      <c r="S1658" s="61" ph="1"/>
      <c r="U1658" s="229"/>
      <c r="V1658" s="264"/>
      <c r="W1658" s="199"/>
      <c r="X1658" s="264"/>
      <c r="Y1658" s="264"/>
      <c r="Z1658" s="386"/>
      <c r="AA1658" s="126"/>
      <c r="AD1658" s="264"/>
      <c r="AE1658" s="264"/>
      <c r="AF1658" s="264"/>
      <c r="AG1658" s="264"/>
    </row>
    <row r="1659" spans="1:33" ht="26.25">
      <c r="A1659" s="264"/>
      <c r="B1659" s="264"/>
      <c r="C1659" s="264"/>
      <c r="D1659" s="264"/>
      <c r="E1659" s="264"/>
      <c r="F1659" s="264"/>
      <c r="G1659" s="264"/>
      <c r="H1659" s="264"/>
      <c r="I1659" s="264"/>
      <c r="J1659" s="327"/>
      <c r="K1659" s="327"/>
      <c r="L1659" s="327"/>
      <c r="M1659" s="321"/>
      <c r="N1659" s="321"/>
      <c r="O1659" s="364"/>
      <c r="P1659" s="381"/>
      <c r="R1659" s="392"/>
      <c r="S1659" s="61" ph="1"/>
      <c r="U1659" s="229"/>
      <c r="V1659" s="264"/>
      <c r="W1659" s="199"/>
      <c r="X1659" s="264"/>
      <c r="Y1659" s="264"/>
      <c r="Z1659" s="386"/>
      <c r="AA1659" s="126"/>
      <c r="AD1659" s="264"/>
      <c r="AE1659" s="264"/>
      <c r="AF1659" s="264"/>
      <c r="AG1659" s="264"/>
    </row>
    <row r="1660" spans="1:33" ht="26.25">
      <c r="A1660" s="264"/>
      <c r="B1660" s="264"/>
      <c r="C1660" s="264"/>
      <c r="D1660" s="264"/>
      <c r="E1660" s="264"/>
      <c r="F1660" s="264"/>
      <c r="G1660" s="264"/>
      <c r="H1660" s="264"/>
      <c r="I1660" s="264"/>
      <c r="J1660" s="327"/>
      <c r="K1660" s="327"/>
      <c r="L1660" s="327"/>
      <c r="M1660" s="321"/>
      <c r="N1660" s="321"/>
      <c r="O1660" s="364"/>
      <c r="P1660" s="381"/>
      <c r="R1660" s="392"/>
      <c r="S1660" s="61" ph="1"/>
      <c r="U1660" s="229"/>
      <c r="V1660" s="264"/>
      <c r="W1660" s="199"/>
      <c r="X1660" s="264"/>
      <c r="Y1660" s="264"/>
      <c r="Z1660" s="386"/>
      <c r="AA1660" s="126"/>
      <c r="AD1660" s="264"/>
      <c r="AE1660" s="264"/>
      <c r="AF1660" s="264"/>
      <c r="AG1660" s="264"/>
    </row>
    <row r="1661" spans="1:33" ht="26.25">
      <c r="A1661" s="264"/>
      <c r="B1661" s="264"/>
      <c r="C1661" s="264"/>
      <c r="D1661" s="264"/>
      <c r="E1661" s="264"/>
      <c r="F1661" s="264"/>
      <c r="G1661" s="264"/>
      <c r="H1661" s="264"/>
      <c r="I1661" s="264"/>
      <c r="J1661" s="327"/>
      <c r="K1661" s="327"/>
      <c r="L1661" s="327"/>
      <c r="M1661" s="321"/>
      <c r="N1661" s="321"/>
      <c r="O1661" s="364"/>
      <c r="P1661" s="381"/>
      <c r="R1661" s="392"/>
      <c r="S1661" s="61" ph="1"/>
      <c r="U1661" s="229"/>
      <c r="V1661" s="264"/>
      <c r="W1661" s="199"/>
      <c r="X1661" s="264"/>
      <c r="Y1661" s="264"/>
      <c r="Z1661" s="386"/>
      <c r="AA1661" s="126"/>
      <c r="AD1661" s="264"/>
      <c r="AE1661" s="264"/>
      <c r="AF1661" s="264"/>
      <c r="AG1661" s="264"/>
    </row>
    <row r="1662" spans="1:33" ht="26.25">
      <c r="A1662" s="264"/>
      <c r="B1662" s="264"/>
      <c r="C1662" s="264"/>
      <c r="D1662" s="264"/>
      <c r="E1662" s="264"/>
      <c r="F1662" s="264"/>
      <c r="G1662" s="264"/>
      <c r="H1662" s="264"/>
      <c r="I1662" s="264"/>
      <c r="J1662" s="327"/>
      <c r="K1662" s="327"/>
      <c r="L1662" s="327"/>
      <c r="M1662" s="321"/>
      <c r="N1662" s="321"/>
      <c r="O1662" s="364"/>
      <c r="P1662" s="381"/>
      <c r="R1662" s="392"/>
      <c r="S1662" s="61" ph="1"/>
      <c r="U1662" s="229"/>
      <c r="V1662" s="264"/>
      <c r="W1662" s="199"/>
      <c r="X1662" s="264"/>
      <c r="Y1662" s="264"/>
      <c r="Z1662" s="386"/>
      <c r="AA1662" s="126"/>
      <c r="AD1662" s="264"/>
      <c r="AE1662" s="264"/>
      <c r="AF1662" s="264"/>
      <c r="AG1662" s="264"/>
    </row>
    <row r="1663" spans="1:33" ht="26.25">
      <c r="A1663" s="264"/>
      <c r="B1663" s="264"/>
      <c r="C1663" s="264"/>
      <c r="D1663" s="264"/>
      <c r="E1663" s="264"/>
      <c r="F1663" s="264"/>
      <c r="G1663" s="264"/>
      <c r="H1663" s="264"/>
      <c r="I1663" s="264"/>
      <c r="J1663" s="327"/>
      <c r="K1663" s="327"/>
      <c r="L1663" s="327"/>
      <c r="M1663" s="321"/>
      <c r="N1663" s="321"/>
      <c r="O1663" s="364"/>
      <c r="P1663" s="381"/>
      <c r="R1663" s="392"/>
      <c r="S1663" s="61" ph="1"/>
      <c r="U1663" s="229"/>
      <c r="V1663" s="264"/>
      <c r="W1663" s="199"/>
      <c r="X1663" s="264"/>
      <c r="Y1663" s="264"/>
      <c r="Z1663" s="386"/>
      <c r="AA1663" s="126"/>
      <c r="AD1663" s="264"/>
      <c r="AE1663" s="264"/>
      <c r="AF1663" s="264"/>
      <c r="AG1663" s="264"/>
    </row>
    <row r="1664" spans="1:33" ht="26.25">
      <c r="A1664" s="264"/>
      <c r="B1664" s="264"/>
      <c r="C1664" s="264"/>
      <c r="D1664" s="264"/>
      <c r="E1664" s="264"/>
      <c r="F1664" s="264"/>
      <c r="G1664" s="264"/>
      <c r="H1664" s="264"/>
      <c r="I1664" s="264"/>
      <c r="J1664" s="327"/>
      <c r="K1664" s="327"/>
      <c r="L1664" s="327"/>
      <c r="M1664" s="321"/>
      <c r="N1664" s="321"/>
      <c r="O1664" s="364"/>
      <c r="P1664" s="381"/>
      <c r="R1664" s="392"/>
      <c r="S1664" s="61" ph="1"/>
      <c r="U1664" s="229"/>
      <c r="V1664" s="264"/>
      <c r="W1664" s="199"/>
      <c r="X1664" s="264"/>
      <c r="Y1664" s="264"/>
      <c r="Z1664" s="386"/>
      <c r="AA1664" s="126"/>
      <c r="AD1664" s="264"/>
      <c r="AE1664" s="264"/>
      <c r="AF1664" s="264"/>
      <c r="AG1664" s="264"/>
    </row>
    <row r="1665" spans="1:33" ht="26.25">
      <c r="A1665" s="264"/>
      <c r="B1665" s="264"/>
      <c r="C1665" s="264"/>
      <c r="D1665" s="264"/>
      <c r="E1665" s="264"/>
      <c r="F1665" s="264"/>
      <c r="G1665" s="264"/>
      <c r="H1665" s="264"/>
      <c r="I1665" s="264"/>
      <c r="J1665" s="327"/>
      <c r="K1665" s="327"/>
      <c r="L1665" s="327"/>
      <c r="M1665" s="321"/>
      <c r="N1665" s="321"/>
      <c r="O1665" s="364"/>
      <c r="P1665" s="381"/>
      <c r="R1665" s="392"/>
      <c r="S1665" s="61" ph="1"/>
      <c r="U1665" s="229"/>
      <c r="V1665" s="264"/>
      <c r="W1665" s="199"/>
      <c r="X1665" s="264"/>
      <c r="Y1665" s="264"/>
      <c r="Z1665" s="386"/>
      <c r="AA1665" s="126"/>
      <c r="AD1665" s="264"/>
      <c r="AE1665" s="264"/>
      <c r="AF1665" s="264"/>
      <c r="AG1665" s="264"/>
    </row>
    <row r="1666" spans="1:33" ht="26.25">
      <c r="A1666" s="264"/>
      <c r="B1666" s="264"/>
      <c r="C1666" s="264"/>
      <c r="D1666" s="264"/>
      <c r="E1666" s="264"/>
      <c r="F1666" s="264"/>
      <c r="G1666" s="264"/>
      <c r="H1666" s="264"/>
      <c r="I1666" s="264"/>
      <c r="J1666" s="327"/>
      <c r="K1666" s="327"/>
      <c r="L1666" s="327"/>
      <c r="M1666" s="321"/>
      <c r="N1666" s="321"/>
      <c r="O1666" s="364"/>
      <c r="P1666" s="381"/>
      <c r="R1666" s="392"/>
      <c r="S1666" s="61" ph="1"/>
      <c r="U1666" s="229"/>
      <c r="V1666" s="264"/>
      <c r="W1666" s="199"/>
      <c r="X1666" s="264"/>
      <c r="Y1666" s="264"/>
      <c r="Z1666" s="386"/>
      <c r="AA1666" s="126"/>
      <c r="AD1666" s="264"/>
      <c r="AE1666" s="264"/>
      <c r="AF1666" s="264"/>
      <c r="AG1666" s="264"/>
    </row>
    <row r="1667" spans="1:33" ht="26.25">
      <c r="A1667" s="264"/>
      <c r="B1667" s="264"/>
      <c r="C1667" s="264"/>
      <c r="D1667" s="264"/>
      <c r="E1667" s="264"/>
      <c r="F1667" s="264"/>
      <c r="G1667" s="264"/>
      <c r="H1667" s="264"/>
      <c r="I1667" s="264"/>
      <c r="J1667" s="327"/>
      <c r="K1667" s="327"/>
      <c r="L1667" s="327"/>
      <c r="M1667" s="321"/>
      <c r="N1667" s="321"/>
      <c r="O1667" s="364"/>
      <c r="P1667" s="381"/>
      <c r="R1667" s="392"/>
      <c r="S1667" s="61" ph="1"/>
      <c r="U1667" s="229"/>
      <c r="V1667" s="264"/>
      <c r="W1667" s="199"/>
      <c r="X1667" s="264"/>
      <c r="Y1667" s="264"/>
      <c r="Z1667" s="386"/>
      <c r="AA1667" s="126"/>
      <c r="AD1667" s="264"/>
      <c r="AE1667" s="264"/>
      <c r="AF1667" s="264"/>
      <c r="AG1667" s="264"/>
    </row>
    <row r="1668" spans="1:33" ht="26.25">
      <c r="A1668" s="264"/>
      <c r="B1668" s="264"/>
      <c r="C1668" s="264"/>
      <c r="D1668" s="264"/>
      <c r="E1668" s="264"/>
      <c r="F1668" s="264"/>
      <c r="G1668" s="264"/>
      <c r="H1668" s="264"/>
      <c r="I1668" s="264"/>
      <c r="J1668" s="327"/>
      <c r="K1668" s="327"/>
      <c r="L1668" s="327"/>
      <c r="M1668" s="321"/>
      <c r="N1668" s="321"/>
      <c r="O1668" s="364"/>
      <c r="P1668" s="381"/>
      <c r="R1668" s="392"/>
      <c r="S1668" s="61" ph="1"/>
      <c r="U1668" s="229"/>
      <c r="V1668" s="264"/>
      <c r="W1668" s="199"/>
      <c r="X1668" s="264"/>
      <c r="Y1668" s="264"/>
      <c r="Z1668" s="386"/>
      <c r="AA1668" s="264"/>
      <c r="AD1668" s="264"/>
      <c r="AE1668" s="264"/>
      <c r="AF1668" s="264"/>
      <c r="AG1668" s="264"/>
    </row>
    <row r="1669" spans="1:33" ht="26.25">
      <c r="A1669" s="264"/>
      <c r="B1669" s="264"/>
      <c r="C1669" s="264"/>
      <c r="D1669" s="264"/>
      <c r="E1669" s="264"/>
      <c r="F1669" s="264"/>
      <c r="G1669" s="264"/>
      <c r="H1669" s="264"/>
      <c r="I1669" s="264"/>
      <c r="J1669" s="327"/>
      <c r="K1669" s="327"/>
      <c r="L1669" s="327"/>
      <c r="M1669" s="321"/>
      <c r="N1669" s="321"/>
      <c r="O1669" s="364"/>
      <c r="P1669" s="381"/>
      <c r="R1669" s="392"/>
      <c r="S1669" s="61" ph="1"/>
      <c r="U1669" s="229"/>
      <c r="V1669" s="264"/>
      <c r="W1669" s="199"/>
      <c r="X1669" s="264"/>
      <c r="Y1669" s="264"/>
      <c r="Z1669" s="386"/>
      <c r="AA1669" s="126"/>
      <c r="AD1669" s="264"/>
      <c r="AE1669" s="264"/>
      <c r="AF1669" s="264"/>
      <c r="AG1669" s="264"/>
    </row>
    <row r="1670" spans="1:33" ht="26.25">
      <c r="A1670" s="264"/>
      <c r="B1670" s="264"/>
      <c r="C1670" s="264"/>
      <c r="D1670" s="264"/>
      <c r="E1670" s="264"/>
      <c r="F1670" s="264"/>
      <c r="G1670" s="264"/>
      <c r="H1670" s="264"/>
      <c r="I1670" s="264"/>
      <c r="J1670" s="327"/>
      <c r="K1670" s="327"/>
      <c r="L1670" s="327"/>
      <c r="M1670" s="321"/>
      <c r="N1670" s="321"/>
      <c r="O1670" s="364"/>
      <c r="P1670" s="381"/>
      <c r="R1670" s="392"/>
      <c r="S1670" s="61" ph="1"/>
      <c r="U1670" s="229"/>
      <c r="V1670" s="264"/>
      <c r="W1670" s="199"/>
      <c r="X1670" s="264"/>
      <c r="Y1670" s="264"/>
      <c r="Z1670" s="386"/>
      <c r="AA1670" s="126"/>
      <c r="AD1670" s="264"/>
      <c r="AE1670" s="264"/>
      <c r="AF1670" s="264"/>
      <c r="AG1670" s="264"/>
    </row>
    <row r="1671" spans="1:33" ht="26.25">
      <c r="A1671" s="264"/>
      <c r="B1671" s="264"/>
      <c r="C1671" s="264"/>
      <c r="D1671" s="264"/>
      <c r="E1671" s="264"/>
      <c r="F1671" s="264"/>
      <c r="G1671" s="264"/>
      <c r="H1671" s="264"/>
      <c r="I1671" s="264"/>
      <c r="J1671" s="327"/>
      <c r="K1671" s="327"/>
      <c r="L1671" s="327"/>
      <c r="M1671" s="321"/>
      <c r="N1671" s="321"/>
      <c r="O1671" s="364"/>
      <c r="P1671" s="381"/>
      <c r="R1671" s="392"/>
      <c r="S1671" s="61" ph="1"/>
      <c r="U1671" s="229"/>
      <c r="V1671" s="264"/>
      <c r="W1671" s="199"/>
      <c r="X1671" s="264"/>
      <c r="Y1671" s="264"/>
      <c r="Z1671" s="386"/>
      <c r="AA1671" s="126"/>
      <c r="AD1671" s="264"/>
      <c r="AE1671" s="264"/>
      <c r="AF1671" s="264"/>
      <c r="AG1671" s="264"/>
    </row>
    <row r="1672" spans="1:33" ht="26.25">
      <c r="A1672" s="264"/>
      <c r="B1672" s="264"/>
      <c r="C1672" s="264"/>
      <c r="D1672" s="264"/>
      <c r="E1672" s="264"/>
      <c r="F1672" s="264"/>
      <c r="G1672" s="264"/>
      <c r="H1672" s="264"/>
      <c r="I1672" s="264"/>
      <c r="J1672" s="327"/>
      <c r="K1672" s="327"/>
      <c r="L1672" s="327"/>
      <c r="M1672" s="321"/>
      <c r="N1672" s="321"/>
      <c r="O1672" s="364"/>
      <c r="P1672" s="381"/>
      <c r="R1672" s="392"/>
      <c r="S1672" s="61" ph="1"/>
      <c r="U1672" s="229"/>
      <c r="V1672" s="264"/>
      <c r="W1672" s="199"/>
      <c r="X1672" s="264"/>
      <c r="Y1672" s="264"/>
      <c r="Z1672" s="386"/>
      <c r="AA1672" s="126"/>
      <c r="AD1672" s="264"/>
      <c r="AE1672" s="264"/>
      <c r="AF1672" s="264"/>
      <c r="AG1672" s="264"/>
    </row>
    <row r="1673" spans="1:33" ht="26.25">
      <c r="A1673" s="264"/>
      <c r="B1673" s="264"/>
      <c r="C1673" s="264"/>
      <c r="D1673" s="264"/>
      <c r="E1673" s="264"/>
      <c r="F1673" s="264"/>
      <c r="G1673" s="264"/>
      <c r="H1673" s="264"/>
      <c r="I1673" s="264"/>
      <c r="J1673" s="327"/>
      <c r="K1673" s="327"/>
      <c r="L1673" s="327"/>
      <c r="M1673" s="321"/>
      <c r="N1673" s="321"/>
      <c r="O1673" s="364"/>
      <c r="P1673" s="381"/>
      <c r="R1673" s="392"/>
      <c r="S1673" s="61" ph="1"/>
      <c r="U1673" s="229"/>
      <c r="V1673" s="264"/>
      <c r="W1673" s="199"/>
      <c r="X1673" s="264"/>
      <c r="Y1673" s="264"/>
      <c r="Z1673" s="386"/>
      <c r="AA1673" s="126"/>
      <c r="AD1673" s="264"/>
      <c r="AE1673" s="264"/>
      <c r="AF1673" s="264"/>
      <c r="AG1673" s="264"/>
    </row>
    <row r="1674" spans="1:33" ht="26.25">
      <c r="A1674" s="264"/>
      <c r="B1674" s="264"/>
      <c r="C1674" s="264"/>
      <c r="D1674" s="264"/>
      <c r="E1674" s="264"/>
      <c r="F1674" s="264"/>
      <c r="G1674" s="264"/>
      <c r="H1674" s="264"/>
      <c r="I1674" s="264"/>
      <c r="J1674" s="327"/>
      <c r="K1674" s="327"/>
      <c r="L1674" s="327"/>
      <c r="M1674" s="321"/>
      <c r="N1674" s="321"/>
      <c r="O1674" s="364"/>
      <c r="P1674" s="381"/>
      <c r="R1674" s="392"/>
      <c r="S1674" s="61" ph="1"/>
      <c r="U1674" s="229"/>
      <c r="V1674" s="264"/>
      <c r="W1674" s="199"/>
      <c r="X1674" s="264"/>
      <c r="Y1674" s="264"/>
      <c r="Z1674" s="386"/>
      <c r="AA1674" s="126"/>
      <c r="AD1674" s="264"/>
      <c r="AE1674" s="264"/>
      <c r="AF1674" s="264"/>
      <c r="AG1674" s="264"/>
    </row>
    <row r="1675" spans="1:33" ht="26.25">
      <c r="A1675" s="264"/>
      <c r="B1675" s="264"/>
      <c r="C1675" s="264"/>
      <c r="D1675" s="264"/>
      <c r="E1675" s="264"/>
      <c r="F1675" s="264"/>
      <c r="G1675" s="264"/>
      <c r="H1675" s="264"/>
      <c r="I1675" s="264"/>
      <c r="J1675" s="327"/>
      <c r="K1675" s="327"/>
      <c r="L1675" s="327"/>
      <c r="M1675" s="321"/>
      <c r="N1675" s="321"/>
      <c r="O1675" s="364"/>
      <c r="P1675" s="381"/>
      <c r="R1675" s="392"/>
      <c r="S1675" s="61" ph="1"/>
      <c r="U1675" s="229"/>
      <c r="V1675" s="264"/>
      <c r="W1675" s="199"/>
      <c r="X1675" s="264"/>
      <c r="Y1675" s="264"/>
      <c r="Z1675" s="386"/>
      <c r="AA1675" s="126"/>
      <c r="AD1675" s="264"/>
      <c r="AE1675" s="264"/>
      <c r="AF1675" s="264"/>
      <c r="AG1675" s="264"/>
    </row>
    <row r="1676" spans="1:33" ht="26.25">
      <c r="A1676" s="264"/>
      <c r="B1676" s="264"/>
      <c r="C1676" s="264"/>
      <c r="D1676" s="264"/>
      <c r="E1676" s="264"/>
      <c r="F1676" s="264"/>
      <c r="G1676" s="264"/>
      <c r="H1676" s="264"/>
      <c r="I1676" s="264"/>
      <c r="J1676" s="327"/>
      <c r="K1676" s="327"/>
      <c r="L1676" s="327"/>
      <c r="M1676" s="321"/>
      <c r="N1676" s="321"/>
      <c r="O1676" s="364"/>
      <c r="P1676" s="381"/>
      <c r="R1676" s="392"/>
      <c r="S1676" s="61" ph="1"/>
      <c r="U1676" s="229"/>
      <c r="V1676" s="264"/>
      <c r="W1676" s="199"/>
      <c r="X1676" s="264"/>
      <c r="Y1676" s="264"/>
      <c r="Z1676" s="386"/>
      <c r="AA1676" s="126"/>
      <c r="AD1676" s="264"/>
      <c r="AE1676" s="264"/>
      <c r="AF1676" s="264"/>
      <c r="AG1676" s="264"/>
    </row>
    <row r="1677" spans="1:33" ht="26.25">
      <c r="A1677" s="264"/>
      <c r="B1677" s="264"/>
      <c r="C1677" s="264"/>
      <c r="D1677" s="264"/>
      <c r="E1677" s="264"/>
      <c r="F1677" s="264"/>
      <c r="G1677" s="264"/>
      <c r="H1677" s="264"/>
      <c r="I1677" s="264"/>
      <c r="J1677" s="327"/>
      <c r="K1677" s="327"/>
      <c r="L1677" s="327"/>
      <c r="M1677" s="321"/>
      <c r="N1677" s="321"/>
      <c r="O1677" s="364"/>
      <c r="P1677" s="381"/>
      <c r="R1677" s="392"/>
      <c r="S1677" s="61" ph="1"/>
      <c r="U1677" s="229"/>
      <c r="V1677" s="264"/>
      <c r="W1677" s="199"/>
      <c r="X1677" s="264"/>
      <c r="Y1677" s="264"/>
      <c r="Z1677" s="386"/>
      <c r="AA1677" s="126"/>
      <c r="AD1677" s="264"/>
      <c r="AE1677" s="264"/>
      <c r="AF1677" s="264"/>
      <c r="AG1677" s="264"/>
    </row>
    <row r="1678" spans="1:33" ht="26.25">
      <c r="A1678" s="264"/>
      <c r="B1678" s="264"/>
      <c r="C1678" s="264"/>
      <c r="D1678" s="264"/>
      <c r="E1678" s="264"/>
      <c r="F1678" s="264"/>
      <c r="G1678" s="264"/>
      <c r="H1678" s="264"/>
      <c r="I1678" s="264"/>
      <c r="J1678" s="327"/>
      <c r="K1678" s="327"/>
      <c r="L1678" s="327"/>
      <c r="M1678" s="321"/>
      <c r="N1678" s="321"/>
      <c r="O1678" s="364"/>
      <c r="P1678" s="381"/>
      <c r="R1678" s="392"/>
      <c r="S1678" s="61" ph="1"/>
      <c r="U1678" s="229"/>
      <c r="V1678" s="264"/>
      <c r="W1678" s="199"/>
      <c r="X1678" s="264"/>
      <c r="Y1678" s="264"/>
      <c r="Z1678" s="386"/>
      <c r="AA1678" s="126"/>
      <c r="AD1678" s="264"/>
      <c r="AE1678" s="264"/>
      <c r="AF1678" s="264"/>
      <c r="AG1678" s="264"/>
    </row>
    <row r="1679" spans="1:33" ht="26.25">
      <c r="A1679" s="264"/>
      <c r="B1679" s="264"/>
      <c r="C1679" s="264"/>
      <c r="D1679" s="264"/>
      <c r="E1679" s="264"/>
      <c r="F1679" s="264"/>
      <c r="G1679" s="264"/>
      <c r="H1679" s="264"/>
      <c r="I1679" s="264"/>
      <c r="J1679" s="327"/>
      <c r="K1679" s="327"/>
      <c r="L1679" s="327"/>
      <c r="M1679" s="321"/>
      <c r="N1679" s="321"/>
      <c r="O1679" s="364"/>
      <c r="P1679" s="381"/>
      <c r="R1679" s="392"/>
      <c r="S1679" s="61" ph="1"/>
      <c r="U1679" s="229"/>
      <c r="V1679" s="264"/>
      <c r="W1679" s="199"/>
      <c r="X1679" s="264"/>
      <c r="Y1679" s="264"/>
      <c r="Z1679" s="386"/>
      <c r="AA1679" s="126"/>
      <c r="AD1679" s="264"/>
      <c r="AE1679" s="264"/>
      <c r="AF1679" s="264"/>
      <c r="AG1679" s="264"/>
    </row>
    <row r="1680" spans="1:33" ht="26.25">
      <c r="A1680" s="264"/>
      <c r="B1680" s="264"/>
      <c r="C1680" s="264"/>
      <c r="D1680" s="264"/>
      <c r="E1680" s="264"/>
      <c r="F1680" s="264"/>
      <c r="G1680" s="264"/>
      <c r="H1680" s="264"/>
      <c r="I1680" s="264"/>
      <c r="J1680" s="327"/>
      <c r="K1680" s="327"/>
      <c r="L1680" s="327"/>
      <c r="M1680" s="321"/>
      <c r="N1680" s="321"/>
      <c r="O1680" s="364"/>
      <c r="P1680" s="381"/>
      <c r="R1680" s="392"/>
      <c r="S1680" s="61" ph="1"/>
      <c r="U1680" s="229"/>
      <c r="V1680" s="264"/>
      <c r="W1680" s="199"/>
      <c r="X1680" s="264"/>
      <c r="Y1680" s="264"/>
      <c r="Z1680" s="386"/>
      <c r="AA1680" s="126"/>
      <c r="AD1680" s="264"/>
      <c r="AE1680" s="264"/>
      <c r="AF1680" s="264"/>
      <c r="AG1680" s="264"/>
    </row>
    <row r="1681" spans="1:33" ht="26.25">
      <c r="A1681" s="264"/>
      <c r="B1681" s="264"/>
      <c r="C1681" s="264"/>
      <c r="D1681" s="264"/>
      <c r="E1681" s="264"/>
      <c r="F1681" s="264"/>
      <c r="G1681" s="264"/>
      <c r="H1681" s="264"/>
      <c r="I1681" s="264"/>
      <c r="J1681" s="327"/>
      <c r="K1681" s="327"/>
      <c r="L1681" s="327"/>
      <c r="M1681" s="321"/>
      <c r="N1681" s="321"/>
      <c r="O1681" s="364"/>
      <c r="P1681" s="381"/>
      <c r="R1681" s="392"/>
      <c r="S1681" s="61" ph="1"/>
      <c r="U1681" s="229"/>
      <c r="V1681" s="264"/>
      <c r="W1681" s="199"/>
      <c r="X1681" s="264"/>
      <c r="Y1681" s="264"/>
      <c r="Z1681" s="386"/>
      <c r="AA1681" s="126"/>
      <c r="AD1681" s="264"/>
      <c r="AE1681" s="264"/>
      <c r="AF1681" s="264"/>
      <c r="AG1681" s="264"/>
    </row>
    <row r="1682" spans="1:33" ht="26.25">
      <c r="A1682" s="264"/>
      <c r="B1682" s="264"/>
      <c r="C1682" s="264"/>
      <c r="D1682" s="264"/>
      <c r="E1682" s="264"/>
      <c r="F1682" s="264"/>
      <c r="G1682" s="264"/>
      <c r="H1682" s="264"/>
      <c r="I1682" s="264"/>
      <c r="J1682" s="327"/>
      <c r="K1682" s="327"/>
      <c r="L1682" s="327"/>
      <c r="M1682" s="321"/>
      <c r="N1682" s="321"/>
      <c r="O1682" s="364"/>
      <c r="P1682" s="381"/>
      <c r="R1682" s="392"/>
      <c r="S1682" s="61" ph="1"/>
      <c r="U1682" s="229"/>
      <c r="V1682" s="264"/>
      <c r="W1682" s="199"/>
      <c r="X1682" s="264"/>
      <c r="Y1682" s="264"/>
      <c r="Z1682" s="386"/>
      <c r="AA1682" s="126"/>
      <c r="AD1682" s="264"/>
      <c r="AE1682" s="264"/>
      <c r="AF1682" s="264"/>
      <c r="AG1682" s="264"/>
    </row>
    <row r="1683" spans="1:33" ht="26.25">
      <c r="A1683" s="264"/>
      <c r="B1683" s="264"/>
      <c r="C1683" s="264"/>
      <c r="D1683" s="264"/>
      <c r="E1683" s="264"/>
      <c r="F1683" s="264"/>
      <c r="G1683" s="264"/>
      <c r="H1683" s="264"/>
      <c r="I1683" s="264"/>
      <c r="J1683" s="327"/>
      <c r="K1683" s="327"/>
      <c r="L1683" s="327"/>
      <c r="M1683" s="321"/>
      <c r="N1683" s="321"/>
      <c r="O1683" s="364"/>
      <c r="P1683" s="381"/>
      <c r="R1683" s="392"/>
      <c r="S1683" s="61" ph="1"/>
      <c r="U1683" s="229"/>
      <c r="V1683" s="264"/>
      <c r="W1683" s="199"/>
      <c r="X1683" s="264"/>
      <c r="Y1683" s="264"/>
      <c r="Z1683" s="386"/>
      <c r="AA1683" s="126"/>
      <c r="AD1683" s="264"/>
      <c r="AE1683" s="264"/>
      <c r="AF1683" s="264"/>
      <c r="AG1683" s="264"/>
    </row>
    <row r="1684" spans="1:33" ht="26.25">
      <c r="A1684" s="264"/>
      <c r="B1684" s="264"/>
      <c r="C1684" s="264"/>
      <c r="D1684" s="264"/>
      <c r="E1684" s="264"/>
      <c r="F1684" s="264"/>
      <c r="G1684" s="264"/>
      <c r="H1684" s="264"/>
      <c r="I1684" s="264"/>
      <c r="J1684" s="327"/>
      <c r="K1684" s="327"/>
      <c r="L1684" s="327"/>
      <c r="M1684" s="321"/>
      <c r="N1684" s="321"/>
      <c r="O1684" s="364"/>
      <c r="P1684" s="381"/>
      <c r="R1684" s="392"/>
      <c r="S1684" s="61" ph="1"/>
      <c r="U1684" s="229"/>
      <c r="V1684" s="264"/>
      <c r="W1684" s="199"/>
      <c r="X1684" s="264"/>
      <c r="Y1684" s="264"/>
      <c r="Z1684" s="386"/>
      <c r="AA1684" s="126"/>
      <c r="AD1684" s="264"/>
      <c r="AE1684" s="264"/>
      <c r="AF1684" s="264"/>
      <c r="AG1684" s="264"/>
    </row>
    <row r="1685" spans="1:33" ht="26.25">
      <c r="A1685" s="264"/>
      <c r="B1685" s="264"/>
      <c r="C1685" s="264"/>
      <c r="D1685" s="264"/>
      <c r="E1685" s="264"/>
      <c r="F1685" s="264"/>
      <c r="G1685" s="264"/>
      <c r="H1685" s="264"/>
      <c r="I1685" s="264"/>
      <c r="J1685" s="327"/>
      <c r="K1685" s="327"/>
      <c r="L1685" s="327"/>
      <c r="M1685" s="321"/>
      <c r="N1685" s="321"/>
      <c r="O1685" s="364"/>
      <c r="P1685" s="381"/>
      <c r="R1685" s="392"/>
      <c r="S1685" s="61" ph="1"/>
      <c r="U1685" s="229"/>
      <c r="V1685" s="264"/>
      <c r="W1685" s="199"/>
      <c r="X1685" s="264"/>
      <c r="Y1685" s="264"/>
      <c r="Z1685" s="386"/>
      <c r="AA1685" s="126"/>
      <c r="AD1685" s="264"/>
      <c r="AE1685" s="264"/>
      <c r="AF1685" s="264"/>
      <c r="AG1685" s="264"/>
    </row>
    <row r="1686" spans="1:33" ht="26.25">
      <c r="A1686" s="264"/>
      <c r="B1686" s="264"/>
      <c r="C1686" s="264"/>
      <c r="D1686" s="264"/>
      <c r="E1686" s="264"/>
      <c r="F1686" s="264"/>
      <c r="G1686" s="264"/>
      <c r="H1686" s="264"/>
      <c r="I1686" s="264"/>
      <c r="J1686" s="327"/>
      <c r="K1686" s="327"/>
      <c r="L1686" s="327"/>
      <c r="M1686" s="321"/>
      <c r="N1686" s="321"/>
      <c r="O1686" s="364"/>
      <c r="P1686" s="381"/>
      <c r="R1686" s="392"/>
      <c r="S1686" s="61" ph="1"/>
      <c r="U1686" s="229"/>
      <c r="V1686" s="264"/>
      <c r="W1686" s="199"/>
      <c r="X1686" s="264"/>
      <c r="Y1686" s="264"/>
      <c r="Z1686" s="386"/>
      <c r="AA1686" s="126"/>
      <c r="AD1686" s="264"/>
      <c r="AE1686" s="264"/>
      <c r="AF1686" s="264"/>
      <c r="AG1686" s="264"/>
    </row>
    <row r="1687" spans="1:33" ht="26.25">
      <c r="A1687" s="264"/>
      <c r="B1687" s="264"/>
      <c r="C1687" s="264"/>
      <c r="D1687" s="264"/>
      <c r="E1687" s="264"/>
      <c r="F1687" s="264"/>
      <c r="G1687" s="264"/>
      <c r="H1687" s="264"/>
      <c r="I1687" s="264"/>
      <c r="J1687" s="327"/>
      <c r="K1687" s="327"/>
      <c r="L1687" s="327"/>
      <c r="M1687" s="321"/>
      <c r="N1687" s="321"/>
      <c r="O1687" s="364"/>
      <c r="P1687" s="381"/>
      <c r="R1687" s="392"/>
      <c r="S1687" s="61" ph="1"/>
      <c r="U1687" s="229"/>
      <c r="V1687" s="264"/>
      <c r="W1687" s="199"/>
      <c r="X1687" s="264"/>
      <c r="Y1687" s="264"/>
      <c r="Z1687" s="386"/>
      <c r="AA1687" s="126"/>
      <c r="AD1687" s="264"/>
      <c r="AE1687" s="264"/>
      <c r="AF1687" s="264"/>
      <c r="AG1687" s="264"/>
    </row>
    <row r="1688" spans="1:33" ht="26.25">
      <c r="A1688" s="264"/>
      <c r="B1688" s="264"/>
      <c r="C1688" s="264"/>
      <c r="D1688" s="264"/>
      <c r="E1688" s="264"/>
      <c r="F1688" s="264"/>
      <c r="G1688" s="264"/>
      <c r="H1688" s="264"/>
      <c r="I1688" s="264"/>
      <c r="J1688" s="327"/>
      <c r="K1688" s="327"/>
      <c r="L1688" s="327"/>
      <c r="M1688" s="321"/>
      <c r="N1688" s="321"/>
      <c r="O1688" s="364"/>
      <c r="P1688" s="381"/>
      <c r="R1688" s="392"/>
      <c r="S1688" s="61" ph="1"/>
      <c r="U1688" s="229"/>
      <c r="V1688" s="264"/>
      <c r="W1688" s="199"/>
      <c r="X1688" s="264"/>
      <c r="Y1688" s="264"/>
      <c r="Z1688" s="386"/>
      <c r="AA1688" s="126"/>
      <c r="AD1688" s="264"/>
      <c r="AE1688" s="264"/>
      <c r="AF1688" s="264"/>
      <c r="AG1688" s="264"/>
    </row>
    <row r="1689" spans="1:33" ht="26.25">
      <c r="A1689" s="264"/>
      <c r="B1689" s="264"/>
      <c r="C1689" s="264"/>
      <c r="D1689" s="264"/>
      <c r="E1689" s="264"/>
      <c r="F1689" s="264"/>
      <c r="G1689" s="264"/>
      <c r="H1689" s="264"/>
      <c r="I1689" s="264"/>
      <c r="J1689" s="327"/>
      <c r="K1689" s="327"/>
      <c r="L1689" s="327"/>
      <c r="M1689" s="321"/>
      <c r="N1689" s="321"/>
      <c r="O1689" s="364"/>
      <c r="P1689" s="381"/>
      <c r="R1689" s="392"/>
      <c r="S1689" s="61" ph="1"/>
      <c r="U1689" s="229"/>
      <c r="V1689" s="264"/>
      <c r="W1689" s="199"/>
      <c r="X1689" s="264"/>
      <c r="Y1689" s="264"/>
      <c r="Z1689" s="386"/>
      <c r="AA1689" s="126"/>
      <c r="AD1689" s="264"/>
      <c r="AE1689" s="264"/>
      <c r="AF1689" s="264"/>
      <c r="AG1689" s="264"/>
    </row>
    <row r="1690" spans="1:33" ht="26.25">
      <c r="A1690" s="264"/>
      <c r="B1690" s="264"/>
      <c r="C1690" s="264"/>
      <c r="D1690" s="264"/>
      <c r="E1690" s="264"/>
      <c r="F1690" s="264"/>
      <c r="G1690" s="264"/>
      <c r="H1690" s="264"/>
      <c r="I1690" s="264"/>
      <c r="J1690" s="327"/>
      <c r="K1690" s="327"/>
      <c r="L1690" s="327"/>
      <c r="M1690" s="321"/>
      <c r="N1690" s="321"/>
      <c r="O1690" s="364"/>
      <c r="P1690" s="381"/>
      <c r="R1690" s="392"/>
      <c r="S1690" s="61" ph="1"/>
      <c r="U1690" s="229"/>
      <c r="V1690" s="264"/>
      <c r="W1690" s="199"/>
      <c r="X1690" s="264"/>
      <c r="Y1690" s="264"/>
      <c r="Z1690" s="386"/>
      <c r="AA1690" s="126"/>
      <c r="AD1690" s="264"/>
      <c r="AE1690" s="264"/>
      <c r="AF1690" s="264"/>
      <c r="AG1690" s="264"/>
    </row>
    <row r="1691" spans="1:33" ht="26.25">
      <c r="A1691" s="264"/>
      <c r="B1691" s="264"/>
      <c r="C1691" s="264"/>
      <c r="D1691" s="264"/>
      <c r="E1691" s="264"/>
      <c r="F1691" s="264"/>
      <c r="G1691" s="264"/>
      <c r="H1691" s="264"/>
      <c r="I1691" s="264"/>
      <c r="J1691" s="327"/>
      <c r="K1691" s="327"/>
      <c r="L1691" s="327"/>
      <c r="M1691" s="321"/>
      <c r="N1691" s="321"/>
      <c r="O1691" s="364"/>
      <c r="P1691" s="381"/>
      <c r="R1691" s="392"/>
      <c r="S1691" s="61" ph="1"/>
      <c r="U1691" s="229"/>
      <c r="V1691" s="264"/>
      <c r="W1691" s="199"/>
      <c r="X1691" s="264"/>
      <c r="Y1691" s="264"/>
      <c r="Z1691" s="386"/>
      <c r="AA1691" s="126"/>
      <c r="AD1691" s="264"/>
      <c r="AE1691" s="264"/>
      <c r="AF1691" s="264"/>
      <c r="AG1691" s="264"/>
    </row>
    <row r="1692" spans="1:33" ht="26.25">
      <c r="A1692" s="264"/>
      <c r="B1692" s="264"/>
      <c r="C1692" s="264"/>
      <c r="D1692" s="264"/>
      <c r="E1692" s="264"/>
      <c r="F1692" s="264"/>
      <c r="G1692" s="264"/>
      <c r="H1692" s="264"/>
      <c r="I1692" s="264"/>
      <c r="J1692" s="327"/>
      <c r="K1692" s="327"/>
      <c r="L1692" s="327"/>
      <c r="M1692" s="321"/>
      <c r="N1692" s="321"/>
      <c r="O1692" s="364"/>
      <c r="P1692" s="381"/>
      <c r="R1692" s="392"/>
      <c r="S1692" s="61" ph="1"/>
      <c r="U1692" s="229"/>
      <c r="V1692" s="264"/>
      <c r="W1692" s="199"/>
      <c r="X1692" s="264"/>
      <c r="Y1692" s="264"/>
      <c r="Z1692" s="386"/>
      <c r="AA1692" s="126"/>
      <c r="AD1692" s="264"/>
      <c r="AE1692" s="264"/>
      <c r="AF1692" s="264"/>
      <c r="AG1692" s="264"/>
    </row>
    <row r="1693" spans="1:33" ht="26.25">
      <c r="A1693" s="264"/>
      <c r="B1693" s="264"/>
      <c r="C1693" s="264"/>
      <c r="D1693" s="264"/>
      <c r="E1693" s="264"/>
      <c r="F1693" s="264"/>
      <c r="G1693" s="264"/>
      <c r="H1693" s="264"/>
      <c r="I1693" s="264"/>
      <c r="J1693" s="327"/>
      <c r="K1693" s="327"/>
      <c r="L1693" s="327"/>
      <c r="M1693" s="321"/>
      <c r="N1693" s="321"/>
      <c r="O1693" s="364"/>
      <c r="P1693" s="381"/>
      <c r="R1693" s="392"/>
      <c r="S1693" s="61" ph="1"/>
      <c r="U1693" s="229"/>
      <c r="V1693" s="264"/>
      <c r="W1693" s="199"/>
      <c r="X1693" s="264"/>
      <c r="Y1693" s="264"/>
      <c r="Z1693" s="386"/>
      <c r="AA1693" s="126"/>
      <c r="AD1693" s="264"/>
      <c r="AE1693" s="264"/>
      <c r="AF1693" s="264"/>
      <c r="AG1693" s="264"/>
    </row>
    <row r="1694" spans="1:33" ht="26.25">
      <c r="A1694" s="264"/>
      <c r="B1694" s="264"/>
      <c r="C1694" s="264"/>
      <c r="D1694" s="264"/>
      <c r="E1694" s="264"/>
      <c r="F1694" s="264"/>
      <c r="G1694" s="264"/>
      <c r="H1694" s="264"/>
      <c r="I1694" s="264"/>
      <c r="J1694" s="327"/>
      <c r="K1694" s="327"/>
      <c r="L1694" s="327"/>
      <c r="M1694" s="321"/>
      <c r="N1694" s="321"/>
      <c r="O1694" s="364"/>
      <c r="P1694" s="381"/>
      <c r="R1694" s="392"/>
      <c r="S1694" s="61" ph="1"/>
      <c r="U1694" s="229"/>
      <c r="V1694" s="264"/>
      <c r="W1694" s="199"/>
      <c r="X1694" s="264"/>
      <c r="Y1694" s="264"/>
      <c r="Z1694" s="386"/>
      <c r="AA1694" s="126"/>
      <c r="AD1694" s="264"/>
      <c r="AE1694" s="264"/>
      <c r="AF1694" s="264"/>
      <c r="AG1694" s="264"/>
    </row>
    <row r="1695" spans="1:33" ht="26.25">
      <c r="A1695" s="264"/>
      <c r="B1695" s="264"/>
      <c r="C1695" s="264"/>
      <c r="D1695" s="264"/>
      <c r="E1695" s="264"/>
      <c r="F1695" s="264"/>
      <c r="G1695" s="264"/>
      <c r="H1695" s="264"/>
      <c r="I1695" s="264"/>
      <c r="J1695" s="327"/>
      <c r="K1695" s="327"/>
      <c r="L1695" s="327"/>
      <c r="M1695" s="321"/>
      <c r="N1695" s="321"/>
      <c r="O1695" s="364"/>
      <c r="P1695" s="381"/>
      <c r="R1695" s="392"/>
      <c r="S1695" s="61" ph="1"/>
      <c r="U1695" s="229"/>
      <c r="V1695" s="264"/>
      <c r="W1695" s="199"/>
      <c r="X1695" s="264"/>
      <c r="Y1695" s="264"/>
      <c r="Z1695" s="386"/>
      <c r="AA1695" s="126"/>
      <c r="AD1695" s="264"/>
      <c r="AE1695" s="264"/>
      <c r="AF1695" s="264"/>
      <c r="AG1695" s="264"/>
    </row>
    <row r="1696" spans="1:33" ht="26.25">
      <c r="A1696" s="264"/>
      <c r="B1696" s="264"/>
      <c r="C1696" s="264"/>
      <c r="D1696" s="264"/>
      <c r="E1696" s="264"/>
      <c r="F1696" s="264"/>
      <c r="G1696" s="264"/>
      <c r="H1696" s="264"/>
      <c r="I1696" s="264"/>
      <c r="J1696" s="327"/>
      <c r="K1696" s="327"/>
      <c r="L1696" s="327"/>
      <c r="M1696" s="321"/>
      <c r="N1696" s="321"/>
      <c r="O1696" s="364"/>
      <c r="P1696" s="381"/>
      <c r="R1696" s="392"/>
      <c r="S1696" s="61" ph="1"/>
      <c r="U1696" s="229"/>
      <c r="V1696" s="264"/>
      <c r="W1696" s="199"/>
      <c r="X1696" s="264"/>
      <c r="Y1696" s="264"/>
      <c r="Z1696" s="386"/>
      <c r="AA1696" s="126"/>
      <c r="AD1696" s="264"/>
      <c r="AE1696" s="264"/>
      <c r="AF1696" s="264"/>
      <c r="AG1696" s="264"/>
    </row>
    <row r="1697" spans="1:33" ht="26.25">
      <c r="A1697" s="264"/>
      <c r="B1697" s="264"/>
      <c r="C1697" s="264"/>
      <c r="D1697" s="264"/>
      <c r="E1697" s="264"/>
      <c r="F1697" s="264"/>
      <c r="G1697" s="264"/>
      <c r="H1697" s="264"/>
      <c r="I1697" s="264"/>
      <c r="J1697" s="327"/>
      <c r="K1697" s="327"/>
      <c r="L1697" s="327"/>
      <c r="M1697" s="321"/>
      <c r="N1697" s="321"/>
      <c r="O1697" s="364"/>
      <c r="P1697" s="381"/>
      <c r="R1697" s="392"/>
      <c r="S1697" s="61" ph="1"/>
      <c r="U1697" s="229"/>
      <c r="V1697" s="264"/>
      <c r="W1697" s="199"/>
      <c r="X1697" s="264"/>
      <c r="Y1697" s="264"/>
      <c r="Z1697" s="386"/>
      <c r="AA1697" s="126"/>
      <c r="AD1697" s="264"/>
      <c r="AE1697" s="264"/>
      <c r="AF1697" s="264"/>
      <c r="AG1697" s="264"/>
    </row>
    <row r="1698" spans="1:33" ht="26.25">
      <c r="A1698" s="264"/>
      <c r="B1698" s="264"/>
      <c r="C1698" s="264"/>
      <c r="D1698" s="264"/>
      <c r="E1698" s="264"/>
      <c r="F1698" s="264"/>
      <c r="G1698" s="264"/>
      <c r="H1698" s="264"/>
      <c r="I1698" s="264"/>
      <c r="J1698" s="327"/>
      <c r="K1698" s="327"/>
      <c r="L1698" s="327"/>
      <c r="M1698" s="321"/>
      <c r="N1698" s="321"/>
      <c r="O1698" s="364"/>
      <c r="P1698" s="381"/>
      <c r="R1698" s="392"/>
      <c r="S1698" s="61" ph="1"/>
      <c r="U1698" s="229"/>
      <c r="V1698" s="264"/>
      <c r="W1698" s="199"/>
      <c r="X1698" s="264"/>
      <c r="Y1698" s="264"/>
      <c r="Z1698" s="386"/>
      <c r="AA1698" s="126"/>
      <c r="AD1698" s="264"/>
      <c r="AE1698" s="264"/>
      <c r="AF1698" s="264"/>
      <c r="AG1698" s="264"/>
    </row>
    <row r="1699" spans="1:33" ht="26.25">
      <c r="A1699" s="264"/>
      <c r="B1699" s="264"/>
      <c r="C1699" s="264"/>
      <c r="D1699" s="264"/>
      <c r="E1699" s="264"/>
      <c r="F1699" s="264"/>
      <c r="G1699" s="264"/>
      <c r="H1699" s="264"/>
      <c r="I1699" s="264"/>
      <c r="J1699" s="327"/>
      <c r="K1699" s="327"/>
      <c r="L1699" s="327"/>
      <c r="M1699" s="321"/>
      <c r="N1699" s="321"/>
      <c r="O1699" s="364"/>
      <c r="P1699" s="381"/>
      <c r="R1699" s="392"/>
      <c r="S1699" s="61" ph="1"/>
      <c r="U1699" s="229"/>
      <c r="V1699" s="264"/>
      <c r="W1699" s="199"/>
      <c r="X1699" s="264"/>
      <c r="Y1699" s="264"/>
      <c r="Z1699" s="386"/>
      <c r="AA1699" s="126"/>
      <c r="AD1699" s="264"/>
      <c r="AE1699" s="264"/>
      <c r="AF1699" s="264"/>
      <c r="AG1699" s="264"/>
    </row>
    <row r="1700" spans="1:33" ht="26.25">
      <c r="A1700" s="264"/>
      <c r="B1700" s="264"/>
      <c r="C1700" s="264"/>
      <c r="D1700" s="264"/>
      <c r="E1700" s="264"/>
      <c r="F1700" s="264"/>
      <c r="G1700" s="264"/>
      <c r="H1700" s="264"/>
      <c r="I1700" s="264"/>
      <c r="J1700" s="327"/>
      <c r="K1700" s="327"/>
      <c r="L1700" s="327"/>
      <c r="M1700" s="321"/>
      <c r="N1700" s="321"/>
      <c r="O1700" s="364"/>
      <c r="P1700" s="381"/>
      <c r="R1700" s="392"/>
      <c r="S1700" s="61" ph="1"/>
      <c r="U1700" s="229"/>
      <c r="V1700" s="264"/>
      <c r="W1700" s="199"/>
      <c r="X1700" s="264"/>
      <c r="Y1700" s="264"/>
      <c r="Z1700" s="386"/>
      <c r="AA1700" s="126"/>
      <c r="AD1700" s="264"/>
      <c r="AE1700" s="264"/>
      <c r="AF1700" s="264"/>
      <c r="AG1700" s="264"/>
    </row>
    <row r="1701" spans="1:33" ht="26.25">
      <c r="A1701" s="264"/>
      <c r="B1701" s="264"/>
      <c r="C1701" s="264"/>
      <c r="D1701" s="264"/>
      <c r="E1701" s="264"/>
      <c r="F1701" s="264"/>
      <c r="G1701" s="264"/>
      <c r="H1701" s="264"/>
      <c r="I1701" s="264"/>
      <c r="J1701" s="327"/>
      <c r="K1701" s="327"/>
      <c r="L1701" s="327"/>
      <c r="M1701" s="321"/>
      <c r="N1701" s="321"/>
      <c r="O1701" s="364"/>
      <c r="P1701" s="381"/>
      <c r="R1701" s="392"/>
      <c r="S1701" s="61" ph="1"/>
      <c r="U1701" s="229"/>
      <c r="V1701" s="264"/>
      <c r="W1701" s="199"/>
      <c r="X1701" s="264"/>
      <c r="Y1701" s="264"/>
      <c r="Z1701" s="386"/>
      <c r="AA1701" s="264"/>
      <c r="AD1701" s="264"/>
      <c r="AE1701" s="264"/>
      <c r="AF1701" s="264"/>
      <c r="AG1701" s="264"/>
    </row>
    <row r="1702" spans="1:33" ht="26.25">
      <c r="A1702" s="264"/>
      <c r="B1702" s="264"/>
      <c r="C1702" s="264"/>
      <c r="D1702" s="264"/>
      <c r="E1702" s="264"/>
      <c r="F1702" s="264"/>
      <c r="G1702" s="264"/>
      <c r="H1702" s="264"/>
      <c r="I1702" s="264"/>
      <c r="J1702" s="327"/>
      <c r="K1702" s="327"/>
      <c r="L1702" s="327"/>
      <c r="M1702" s="321"/>
      <c r="N1702" s="321"/>
      <c r="O1702" s="364"/>
      <c r="P1702" s="381"/>
      <c r="R1702" s="392"/>
      <c r="S1702" s="61" ph="1"/>
      <c r="U1702" s="229"/>
      <c r="V1702" s="264"/>
      <c r="W1702" s="199"/>
      <c r="X1702" s="264"/>
      <c r="Y1702" s="264"/>
      <c r="Z1702" s="386"/>
      <c r="AA1702" s="264"/>
      <c r="AD1702" s="264"/>
      <c r="AE1702" s="264"/>
      <c r="AF1702" s="264"/>
      <c r="AG1702" s="264"/>
    </row>
    <row r="1703" spans="1:33" ht="26.25">
      <c r="A1703" s="264"/>
      <c r="B1703" s="264"/>
      <c r="C1703" s="264"/>
      <c r="D1703" s="264"/>
      <c r="E1703" s="264"/>
      <c r="F1703" s="264"/>
      <c r="G1703" s="264"/>
      <c r="H1703" s="264"/>
      <c r="I1703" s="264"/>
      <c r="J1703" s="327"/>
      <c r="K1703" s="327"/>
      <c r="L1703" s="327"/>
      <c r="M1703" s="321"/>
      <c r="N1703" s="321"/>
      <c r="O1703" s="364"/>
      <c r="P1703" s="381"/>
      <c r="R1703" s="392"/>
      <c r="S1703" s="61" ph="1"/>
      <c r="U1703" s="229"/>
      <c r="V1703" s="264"/>
      <c r="W1703" s="199"/>
      <c r="X1703" s="264"/>
      <c r="Y1703" s="264"/>
      <c r="Z1703" s="386"/>
      <c r="AA1703" s="126"/>
      <c r="AD1703" s="264"/>
      <c r="AE1703" s="264"/>
      <c r="AF1703" s="264"/>
      <c r="AG1703" s="264"/>
    </row>
    <row r="1704" spans="1:33" ht="26.25">
      <c r="A1704" s="264"/>
      <c r="B1704" s="264"/>
      <c r="C1704" s="264"/>
      <c r="D1704" s="264"/>
      <c r="E1704" s="264"/>
      <c r="F1704" s="264"/>
      <c r="G1704" s="264"/>
      <c r="H1704" s="264"/>
      <c r="I1704" s="264"/>
      <c r="J1704" s="327"/>
      <c r="K1704" s="327"/>
      <c r="L1704" s="327"/>
      <c r="M1704" s="321"/>
      <c r="N1704" s="321"/>
      <c r="O1704" s="364"/>
      <c r="P1704" s="381"/>
      <c r="R1704" s="392"/>
      <c r="S1704" s="61" ph="1"/>
      <c r="U1704" s="229"/>
      <c r="V1704" s="264"/>
      <c r="W1704" s="199"/>
      <c r="X1704" s="264"/>
      <c r="Y1704" s="264"/>
      <c r="Z1704" s="386"/>
      <c r="AA1704" s="126"/>
      <c r="AD1704" s="264"/>
      <c r="AE1704" s="264"/>
      <c r="AF1704" s="264"/>
      <c r="AG1704" s="264"/>
    </row>
    <row r="1705" spans="1:33" ht="26.25">
      <c r="A1705" s="264"/>
      <c r="B1705" s="264"/>
      <c r="C1705" s="264"/>
      <c r="D1705" s="264"/>
      <c r="E1705" s="264"/>
      <c r="F1705" s="264"/>
      <c r="G1705" s="264"/>
      <c r="H1705" s="264"/>
      <c r="I1705" s="264"/>
      <c r="J1705" s="327"/>
      <c r="K1705" s="327"/>
      <c r="L1705" s="327"/>
      <c r="M1705" s="321"/>
      <c r="N1705" s="321"/>
      <c r="O1705" s="364"/>
      <c r="P1705" s="381"/>
      <c r="R1705" s="392"/>
      <c r="S1705" s="61" ph="1"/>
      <c r="U1705" s="229"/>
      <c r="V1705" s="264"/>
      <c r="W1705" s="199"/>
      <c r="X1705" s="264"/>
      <c r="Y1705" s="264"/>
      <c r="Z1705" s="386"/>
      <c r="AA1705" s="126"/>
      <c r="AD1705" s="264"/>
      <c r="AE1705" s="264"/>
      <c r="AF1705" s="264"/>
      <c r="AG1705" s="264"/>
    </row>
    <row r="1706" spans="1:33" ht="26.25">
      <c r="A1706" s="264"/>
      <c r="B1706" s="264"/>
      <c r="C1706" s="264"/>
      <c r="D1706" s="264"/>
      <c r="E1706" s="264"/>
      <c r="F1706" s="264"/>
      <c r="G1706" s="264"/>
      <c r="H1706" s="264"/>
      <c r="I1706" s="264"/>
      <c r="J1706" s="327"/>
      <c r="K1706" s="327"/>
      <c r="L1706" s="327"/>
      <c r="M1706" s="321"/>
      <c r="N1706" s="321"/>
      <c r="O1706" s="364"/>
      <c r="P1706" s="381"/>
      <c r="R1706" s="392"/>
      <c r="S1706" s="61" ph="1"/>
      <c r="U1706" s="229"/>
      <c r="V1706" s="264"/>
      <c r="W1706" s="199"/>
      <c r="X1706" s="264"/>
      <c r="Y1706" s="264"/>
      <c r="Z1706" s="386"/>
      <c r="AA1706" s="126"/>
      <c r="AD1706" s="264"/>
      <c r="AE1706" s="264"/>
      <c r="AF1706" s="264"/>
      <c r="AG1706" s="264"/>
    </row>
    <row r="1707" spans="1:33" ht="26.25">
      <c r="A1707" s="264"/>
      <c r="B1707" s="264"/>
      <c r="C1707" s="264"/>
      <c r="D1707" s="264"/>
      <c r="E1707" s="264"/>
      <c r="F1707" s="264"/>
      <c r="G1707" s="264"/>
      <c r="H1707" s="264"/>
      <c r="I1707" s="264"/>
      <c r="J1707" s="327"/>
      <c r="K1707" s="327"/>
      <c r="L1707" s="327"/>
      <c r="M1707" s="321"/>
      <c r="N1707" s="321"/>
      <c r="O1707" s="364"/>
      <c r="P1707" s="381"/>
      <c r="R1707" s="392"/>
      <c r="S1707" s="61" ph="1"/>
      <c r="U1707" s="229"/>
      <c r="V1707" s="264"/>
      <c r="W1707" s="199"/>
      <c r="X1707" s="264"/>
      <c r="Y1707" s="264"/>
      <c r="Z1707" s="386"/>
      <c r="AA1707" s="126"/>
      <c r="AD1707" s="264"/>
      <c r="AE1707" s="264"/>
      <c r="AF1707" s="264"/>
      <c r="AG1707" s="264"/>
    </row>
    <row r="1708" spans="1:33" ht="26.25">
      <c r="A1708" s="264"/>
      <c r="B1708" s="264"/>
      <c r="C1708" s="264"/>
      <c r="D1708" s="264"/>
      <c r="E1708" s="264"/>
      <c r="F1708" s="264"/>
      <c r="G1708" s="264"/>
      <c r="H1708" s="264"/>
      <c r="I1708" s="264"/>
      <c r="J1708" s="327"/>
      <c r="K1708" s="327"/>
      <c r="L1708" s="327"/>
      <c r="M1708" s="321"/>
      <c r="N1708" s="321"/>
      <c r="O1708" s="364"/>
      <c r="P1708" s="381"/>
      <c r="R1708" s="392"/>
      <c r="S1708" s="61" ph="1"/>
      <c r="U1708" s="229"/>
      <c r="V1708" s="264"/>
      <c r="W1708" s="199"/>
      <c r="X1708" s="264"/>
      <c r="Y1708" s="264"/>
      <c r="Z1708" s="386"/>
      <c r="AA1708" s="126"/>
      <c r="AD1708" s="264"/>
      <c r="AE1708" s="264"/>
      <c r="AF1708" s="264"/>
      <c r="AG1708" s="264"/>
    </row>
    <row r="1709" spans="1:33" ht="26.25">
      <c r="A1709" s="264"/>
      <c r="B1709" s="264"/>
      <c r="C1709" s="264"/>
      <c r="D1709" s="264"/>
      <c r="E1709" s="264"/>
      <c r="F1709" s="264"/>
      <c r="G1709" s="264"/>
      <c r="H1709" s="264"/>
      <c r="I1709" s="264"/>
      <c r="J1709" s="327"/>
      <c r="K1709" s="327"/>
      <c r="L1709" s="327"/>
      <c r="M1709" s="321"/>
      <c r="N1709" s="321"/>
      <c r="O1709" s="364"/>
      <c r="P1709" s="381"/>
      <c r="R1709" s="392"/>
      <c r="S1709" s="61" ph="1"/>
      <c r="U1709" s="229"/>
      <c r="V1709" s="264"/>
      <c r="W1709" s="199"/>
      <c r="X1709" s="264"/>
      <c r="Y1709" s="264"/>
      <c r="Z1709" s="386"/>
      <c r="AA1709" s="126"/>
      <c r="AD1709" s="264"/>
      <c r="AE1709" s="264"/>
      <c r="AF1709" s="264"/>
      <c r="AG1709" s="264"/>
    </row>
    <row r="1710" spans="1:33" ht="26.25">
      <c r="A1710" s="264"/>
      <c r="B1710" s="264"/>
      <c r="C1710" s="264"/>
      <c r="D1710" s="264"/>
      <c r="E1710" s="264"/>
      <c r="F1710" s="264"/>
      <c r="G1710" s="264"/>
      <c r="H1710" s="264"/>
      <c r="I1710" s="264"/>
      <c r="J1710" s="327"/>
      <c r="K1710" s="327"/>
      <c r="L1710" s="327"/>
      <c r="M1710" s="321"/>
      <c r="N1710" s="321"/>
      <c r="O1710" s="364"/>
      <c r="P1710" s="381"/>
      <c r="R1710" s="392"/>
      <c r="S1710" s="61" ph="1"/>
      <c r="U1710" s="229"/>
      <c r="V1710" s="264"/>
      <c r="W1710" s="199"/>
      <c r="X1710" s="264"/>
      <c r="Y1710" s="264"/>
      <c r="Z1710" s="386"/>
      <c r="AA1710" s="126"/>
      <c r="AD1710" s="264"/>
      <c r="AE1710" s="264"/>
      <c r="AF1710" s="264"/>
      <c r="AG1710" s="264"/>
    </row>
    <row r="1711" spans="1:33" ht="26.25">
      <c r="A1711" s="264"/>
      <c r="B1711" s="264"/>
      <c r="C1711" s="264"/>
      <c r="D1711" s="264"/>
      <c r="E1711" s="264"/>
      <c r="F1711" s="264"/>
      <c r="G1711" s="264"/>
      <c r="H1711" s="264"/>
      <c r="I1711" s="264"/>
      <c r="J1711" s="327"/>
      <c r="K1711" s="327"/>
      <c r="L1711" s="327"/>
      <c r="M1711" s="321"/>
      <c r="N1711" s="321"/>
      <c r="O1711" s="364"/>
      <c r="P1711" s="381"/>
      <c r="R1711" s="392"/>
      <c r="S1711" s="61" ph="1"/>
      <c r="U1711" s="229"/>
      <c r="V1711" s="264"/>
      <c r="W1711" s="199"/>
      <c r="X1711" s="264"/>
      <c r="Y1711" s="264"/>
      <c r="Z1711" s="386"/>
      <c r="AA1711" s="264"/>
      <c r="AD1711" s="264"/>
      <c r="AE1711" s="264"/>
      <c r="AF1711" s="264"/>
      <c r="AG1711" s="264"/>
    </row>
    <row r="1712" spans="1:33" ht="26.25">
      <c r="A1712" s="264"/>
      <c r="B1712" s="264"/>
      <c r="C1712" s="264"/>
      <c r="D1712" s="264"/>
      <c r="E1712" s="264"/>
      <c r="F1712" s="264"/>
      <c r="G1712" s="264"/>
      <c r="H1712" s="264"/>
      <c r="I1712" s="264"/>
      <c r="J1712" s="327"/>
      <c r="K1712" s="327"/>
      <c r="L1712" s="327"/>
      <c r="M1712" s="321"/>
      <c r="N1712" s="321"/>
      <c r="O1712" s="364"/>
      <c r="P1712" s="381"/>
      <c r="R1712" s="392"/>
      <c r="S1712" s="61" ph="1"/>
      <c r="U1712" s="229"/>
      <c r="V1712" s="264"/>
      <c r="W1712" s="199"/>
      <c r="X1712" s="264"/>
      <c r="Y1712" s="264"/>
      <c r="Z1712" s="386"/>
      <c r="AA1712" s="126"/>
      <c r="AD1712" s="264"/>
      <c r="AE1712" s="264"/>
      <c r="AF1712" s="264"/>
      <c r="AG1712" s="264"/>
    </row>
    <row r="1713" spans="1:33" ht="26.25">
      <c r="A1713" s="264"/>
      <c r="B1713" s="264"/>
      <c r="C1713" s="264"/>
      <c r="D1713" s="264"/>
      <c r="E1713" s="264"/>
      <c r="F1713" s="264"/>
      <c r="G1713" s="264"/>
      <c r="H1713" s="264"/>
      <c r="I1713" s="264"/>
      <c r="J1713" s="327"/>
      <c r="K1713" s="327"/>
      <c r="L1713" s="327"/>
      <c r="M1713" s="321"/>
      <c r="N1713" s="321"/>
      <c r="O1713" s="364"/>
      <c r="P1713" s="381"/>
      <c r="R1713" s="392"/>
      <c r="S1713" s="61" ph="1"/>
      <c r="U1713" s="229"/>
      <c r="V1713" s="264"/>
      <c r="W1713" s="199"/>
      <c r="X1713" s="264"/>
      <c r="Y1713" s="264"/>
      <c r="Z1713" s="386"/>
      <c r="AA1713" s="126"/>
      <c r="AD1713" s="264"/>
      <c r="AE1713" s="264"/>
      <c r="AF1713" s="264"/>
      <c r="AG1713" s="264"/>
    </row>
    <row r="1714" spans="1:33" ht="26.25">
      <c r="A1714" s="264"/>
      <c r="B1714" s="264"/>
      <c r="C1714" s="264"/>
      <c r="D1714" s="264"/>
      <c r="E1714" s="264"/>
      <c r="F1714" s="264"/>
      <c r="G1714" s="264"/>
      <c r="H1714" s="264"/>
      <c r="I1714" s="264"/>
      <c r="J1714" s="327"/>
      <c r="K1714" s="327"/>
      <c r="L1714" s="327"/>
      <c r="M1714" s="321"/>
      <c r="N1714" s="321"/>
      <c r="O1714" s="364"/>
      <c r="P1714" s="381"/>
      <c r="R1714" s="392"/>
      <c r="S1714" s="61" ph="1"/>
      <c r="U1714" s="229"/>
      <c r="V1714" s="264"/>
      <c r="W1714" s="199"/>
      <c r="X1714" s="264"/>
      <c r="Y1714" s="264"/>
      <c r="Z1714" s="386"/>
      <c r="AA1714" s="126"/>
      <c r="AD1714" s="264"/>
      <c r="AE1714" s="264"/>
      <c r="AF1714" s="264"/>
      <c r="AG1714" s="264"/>
    </row>
    <row r="1715" spans="1:33" ht="26.25">
      <c r="A1715" s="264"/>
      <c r="B1715" s="264"/>
      <c r="C1715" s="264"/>
      <c r="D1715" s="264"/>
      <c r="E1715" s="264"/>
      <c r="F1715" s="264"/>
      <c r="G1715" s="264"/>
      <c r="H1715" s="264"/>
      <c r="I1715" s="264"/>
      <c r="J1715" s="327"/>
      <c r="K1715" s="327"/>
      <c r="L1715" s="327"/>
      <c r="M1715" s="321"/>
      <c r="N1715" s="321"/>
      <c r="O1715" s="364"/>
      <c r="P1715" s="381"/>
      <c r="R1715" s="392"/>
      <c r="S1715" s="61" ph="1"/>
      <c r="U1715" s="229"/>
      <c r="V1715" s="264"/>
      <c r="W1715" s="199"/>
      <c r="X1715" s="264"/>
      <c r="Y1715" s="264"/>
      <c r="Z1715" s="386"/>
      <c r="AA1715" s="126"/>
      <c r="AD1715" s="264"/>
      <c r="AE1715" s="264"/>
      <c r="AF1715" s="264"/>
      <c r="AG1715" s="264"/>
    </row>
    <row r="1716" spans="1:33" ht="26.25">
      <c r="A1716" s="264"/>
      <c r="B1716" s="264"/>
      <c r="C1716" s="264"/>
      <c r="D1716" s="264"/>
      <c r="E1716" s="264"/>
      <c r="F1716" s="264"/>
      <c r="G1716" s="264"/>
      <c r="H1716" s="264"/>
      <c r="I1716" s="264"/>
      <c r="J1716" s="327"/>
      <c r="K1716" s="327"/>
      <c r="L1716" s="327"/>
      <c r="M1716" s="321"/>
      <c r="N1716" s="321"/>
      <c r="O1716" s="364"/>
      <c r="P1716" s="381"/>
      <c r="R1716" s="392"/>
      <c r="S1716" s="61" ph="1"/>
      <c r="U1716" s="229"/>
      <c r="V1716" s="264"/>
      <c r="W1716" s="199"/>
      <c r="X1716" s="264"/>
      <c r="Y1716" s="264"/>
      <c r="Z1716" s="386"/>
      <c r="AA1716" s="126"/>
      <c r="AD1716" s="264"/>
      <c r="AE1716" s="264"/>
      <c r="AF1716" s="264"/>
      <c r="AG1716" s="264"/>
    </row>
    <row r="1717" spans="1:33" ht="26.25">
      <c r="A1717" s="264"/>
      <c r="B1717" s="264"/>
      <c r="C1717" s="264"/>
      <c r="D1717" s="264"/>
      <c r="E1717" s="264"/>
      <c r="F1717" s="264"/>
      <c r="G1717" s="264"/>
      <c r="H1717" s="264"/>
      <c r="I1717" s="264"/>
      <c r="J1717" s="327"/>
      <c r="K1717" s="327"/>
      <c r="L1717" s="327"/>
      <c r="M1717" s="321"/>
      <c r="N1717" s="321"/>
      <c r="O1717" s="364"/>
      <c r="P1717" s="381"/>
      <c r="R1717" s="392"/>
      <c r="S1717" s="61" ph="1"/>
      <c r="U1717" s="229"/>
      <c r="V1717" s="264"/>
      <c r="W1717" s="199"/>
      <c r="X1717" s="264"/>
      <c r="Y1717" s="264"/>
      <c r="Z1717" s="386"/>
      <c r="AA1717" s="126"/>
      <c r="AD1717" s="264"/>
      <c r="AE1717" s="264"/>
      <c r="AF1717" s="264"/>
      <c r="AG1717" s="264"/>
    </row>
    <row r="1718" spans="1:33" ht="26.25">
      <c r="A1718" s="264"/>
      <c r="B1718" s="264"/>
      <c r="C1718" s="264"/>
      <c r="D1718" s="264"/>
      <c r="E1718" s="264"/>
      <c r="F1718" s="264"/>
      <c r="G1718" s="264"/>
      <c r="H1718" s="264"/>
      <c r="I1718" s="264"/>
      <c r="J1718" s="327"/>
      <c r="K1718" s="327"/>
      <c r="L1718" s="327"/>
      <c r="M1718" s="321"/>
      <c r="N1718" s="321"/>
      <c r="O1718" s="364"/>
      <c r="P1718" s="381"/>
      <c r="R1718" s="392"/>
      <c r="S1718" s="61" ph="1"/>
      <c r="U1718" s="229"/>
      <c r="V1718" s="264"/>
      <c r="W1718" s="199"/>
      <c r="X1718" s="264"/>
      <c r="Y1718" s="264"/>
      <c r="Z1718" s="386"/>
      <c r="AA1718" s="126"/>
      <c r="AD1718" s="264"/>
      <c r="AE1718" s="264"/>
      <c r="AF1718" s="264"/>
      <c r="AG1718" s="264"/>
    </row>
    <row r="1719" spans="1:33" ht="26.25">
      <c r="A1719" s="264"/>
      <c r="B1719" s="264"/>
      <c r="C1719" s="264"/>
      <c r="D1719" s="264"/>
      <c r="E1719" s="264"/>
      <c r="F1719" s="264"/>
      <c r="G1719" s="264"/>
      <c r="H1719" s="264"/>
      <c r="I1719" s="264"/>
      <c r="J1719" s="327"/>
      <c r="K1719" s="327"/>
      <c r="L1719" s="327"/>
      <c r="M1719" s="321"/>
      <c r="N1719" s="321"/>
      <c r="O1719" s="364"/>
      <c r="P1719" s="381"/>
      <c r="R1719" s="392"/>
      <c r="S1719" s="61" ph="1"/>
      <c r="U1719" s="229"/>
      <c r="V1719" s="264"/>
      <c r="W1719" s="199"/>
      <c r="X1719" s="264"/>
      <c r="Y1719" s="264"/>
      <c r="Z1719" s="386"/>
      <c r="AA1719" s="126"/>
      <c r="AD1719" s="264"/>
      <c r="AE1719" s="264"/>
      <c r="AF1719" s="264"/>
      <c r="AG1719" s="264"/>
    </row>
    <row r="1720" spans="1:33" ht="26.25">
      <c r="A1720" s="264"/>
      <c r="B1720" s="264"/>
      <c r="C1720" s="264"/>
      <c r="D1720" s="264"/>
      <c r="E1720" s="264"/>
      <c r="F1720" s="264"/>
      <c r="G1720" s="264"/>
      <c r="H1720" s="264"/>
      <c r="I1720" s="264"/>
      <c r="J1720" s="327"/>
      <c r="K1720" s="327"/>
      <c r="L1720" s="327"/>
      <c r="M1720" s="321"/>
      <c r="N1720" s="321"/>
      <c r="O1720" s="364"/>
      <c r="P1720" s="381"/>
      <c r="R1720" s="392"/>
      <c r="S1720" s="61" ph="1"/>
      <c r="U1720" s="229"/>
      <c r="V1720" s="264"/>
      <c r="W1720" s="199"/>
      <c r="X1720" s="264"/>
      <c r="Y1720" s="264"/>
      <c r="Z1720" s="386"/>
      <c r="AA1720" s="126"/>
      <c r="AD1720" s="264"/>
      <c r="AE1720" s="264"/>
      <c r="AF1720" s="264"/>
      <c r="AG1720" s="264"/>
    </row>
    <row r="1721" spans="1:33" ht="26.25">
      <c r="A1721" s="264"/>
      <c r="B1721" s="264"/>
      <c r="C1721" s="264"/>
      <c r="D1721" s="264"/>
      <c r="E1721" s="264"/>
      <c r="F1721" s="264"/>
      <c r="G1721" s="264"/>
      <c r="H1721" s="264"/>
      <c r="I1721" s="264"/>
      <c r="J1721" s="327"/>
      <c r="K1721" s="327"/>
      <c r="L1721" s="327"/>
      <c r="M1721" s="321"/>
      <c r="N1721" s="321"/>
      <c r="O1721" s="364"/>
      <c r="P1721" s="381"/>
      <c r="R1721" s="392"/>
      <c r="S1721" s="61" ph="1"/>
      <c r="U1721" s="229"/>
      <c r="V1721" s="264"/>
      <c r="W1721" s="199"/>
      <c r="X1721" s="264"/>
      <c r="Y1721" s="264"/>
      <c r="Z1721" s="386"/>
      <c r="AA1721" s="264"/>
      <c r="AD1721" s="264"/>
      <c r="AE1721" s="264"/>
      <c r="AF1721" s="264"/>
      <c r="AG1721" s="264"/>
    </row>
    <row r="1722" spans="1:33" ht="26.25">
      <c r="A1722" s="264"/>
      <c r="B1722" s="264"/>
      <c r="C1722" s="264"/>
      <c r="D1722" s="264"/>
      <c r="E1722" s="264"/>
      <c r="F1722" s="264"/>
      <c r="G1722" s="264"/>
      <c r="H1722" s="264"/>
      <c r="I1722" s="264"/>
      <c r="J1722" s="327"/>
      <c r="K1722" s="327"/>
      <c r="L1722" s="327"/>
      <c r="M1722" s="321"/>
      <c r="N1722" s="321"/>
      <c r="O1722" s="364"/>
      <c r="P1722" s="381"/>
      <c r="R1722" s="392"/>
      <c r="S1722" s="61" ph="1"/>
      <c r="U1722" s="229"/>
      <c r="V1722" s="264"/>
      <c r="W1722" s="199"/>
      <c r="X1722" s="264"/>
      <c r="Y1722" s="264"/>
      <c r="Z1722" s="386"/>
      <c r="AA1722" s="126"/>
      <c r="AD1722" s="264"/>
      <c r="AE1722" s="264"/>
      <c r="AF1722" s="264"/>
      <c r="AG1722" s="264"/>
    </row>
    <row r="1723" spans="1:33" ht="26.25">
      <c r="A1723" s="264"/>
      <c r="B1723" s="264"/>
      <c r="C1723" s="264"/>
      <c r="D1723" s="264"/>
      <c r="E1723" s="264"/>
      <c r="F1723" s="264"/>
      <c r="G1723" s="264"/>
      <c r="H1723" s="264"/>
      <c r="I1723" s="264"/>
      <c r="J1723" s="327"/>
      <c r="K1723" s="327"/>
      <c r="L1723" s="327"/>
      <c r="M1723" s="321"/>
      <c r="N1723" s="321"/>
      <c r="O1723" s="364"/>
      <c r="P1723" s="381"/>
      <c r="R1723" s="392"/>
      <c r="S1723" s="61" ph="1"/>
      <c r="U1723" s="229"/>
      <c r="V1723" s="264"/>
      <c r="W1723" s="199"/>
      <c r="X1723" s="264"/>
      <c r="Y1723" s="264"/>
      <c r="Z1723" s="386"/>
      <c r="AA1723" s="126"/>
      <c r="AD1723" s="264"/>
      <c r="AE1723" s="264"/>
      <c r="AF1723" s="264"/>
      <c r="AG1723" s="264"/>
    </row>
    <row r="1724" spans="1:33" ht="26.25">
      <c r="A1724" s="264"/>
      <c r="B1724" s="264"/>
      <c r="C1724" s="264"/>
      <c r="D1724" s="264"/>
      <c r="E1724" s="264"/>
      <c r="F1724" s="264"/>
      <c r="G1724" s="264"/>
      <c r="H1724" s="264"/>
      <c r="I1724" s="264"/>
      <c r="J1724" s="327"/>
      <c r="K1724" s="327"/>
      <c r="L1724" s="327"/>
      <c r="M1724" s="321"/>
      <c r="N1724" s="321"/>
      <c r="O1724" s="364"/>
      <c r="P1724" s="381"/>
      <c r="R1724" s="392"/>
      <c r="S1724" s="61" ph="1"/>
      <c r="U1724" s="229"/>
      <c r="V1724" s="264"/>
      <c r="W1724" s="199"/>
      <c r="X1724" s="264"/>
      <c r="Y1724" s="264"/>
      <c r="Z1724" s="386"/>
      <c r="AA1724" s="126"/>
      <c r="AD1724" s="264"/>
      <c r="AE1724" s="264"/>
      <c r="AF1724" s="264"/>
      <c r="AG1724" s="264"/>
    </row>
    <row r="1725" spans="1:33" ht="26.25">
      <c r="A1725" s="264"/>
      <c r="B1725" s="264"/>
      <c r="C1725" s="264"/>
      <c r="D1725" s="264"/>
      <c r="E1725" s="264"/>
      <c r="F1725" s="264"/>
      <c r="G1725" s="264"/>
      <c r="H1725" s="264"/>
      <c r="I1725" s="264"/>
      <c r="J1725" s="327"/>
      <c r="K1725" s="327"/>
      <c r="L1725" s="327"/>
      <c r="M1725" s="321"/>
      <c r="N1725" s="321"/>
      <c r="O1725" s="364"/>
      <c r="P1725" s="381"/>
      <c r="R1725" s="392"/>
      <c r="S1725" s="61" ph="1"/>
      <c r="U1725" s="229"/>
      <c r="V1725" s="264"/>
      <c r="W1725" s="199"/>
      <c r="X1725" s="264"/>
      <c r="Y1725" s="264"/>
      <c r="Z1725" s="386"/>
      <c r="AA1725" s="264"/>
      <c r="AD1725" s="264"/>
      <c r="AE1725" s="264"/>
      <c r="AF1725" s="264"/>
      <c r="AG1725" s="264"/>
    </row>
    <row r="1726" spans="1:33" ht="26.25">
      <c r="A1726" s="264"/>
      <c r="B1726" s="264"/>
      <c r="C1726" s="264"/>
      <c r="D1726" s="264"/>
      <c r="E1726" s="264"/>
      <c r="F1726" s="264"/>
      <c r="G1726" s="264"/>
      <c r="H1726" s="264"/>
      <c r="I1726" s="264"/>
      <c r="J1726" s="327"/>
      <c r="K1726" s="327"/>
      <c r="L1726" s="327"/>
      <c r="M1726" s="321"/>
      <c r="N1726" s="321"/>
      <c r="O1726" s="364"/>
      <c r="P1726" s="381"/>
      <c r="R1726" s="392"/>
      <c r="S1726" s="61" ph="1"/>
      <c r="U1726" s="229"/>
      <c r="V1726" s="264"/>
      <c r="W1726" s="199"/>
      <c r="X1726" s="264"/>
      <c r="Y1726" s="264"/>
      <c r="Z1726" s="386"/>
      <c r="AA1726" s="126"/>
      <c r="AD1726" s="264"/>
      <c r="AE1726" s="264"/>
      <c r="AF1726" s="264"/>
      <c r="AG1726" s="264"/>
    </row>
    <row r="1727" spans="1:33" ht="26.25">
      <c r="A1727" s="264"/>
      <c r="B1727" s="264"/>
      <c r="C1727" s="264"/>
      <c r="D1727" s="264"/>
      <c r="E1727" s="264"/>
      <c r="F1727" s="264"/>
      <c r="G1727" s="264"/>
      <c r="H1727" s="264"/>
      <c r="I1727" s="264"/>
      <c r="J1727" s="327"/>
      <c r="K1727" s="327"/>
      <c r="L1727" s="327"/>
      <c r="M1727" s="321"/>
      <c r="N1727" s="321"/>
      <c r="O1727" s="364"/>
      <c r="P1727" s="381"/>
      <c r="R1727" s="392"/>
      <c r="S1727" s="61" ph="1"/>
      <c r="U1727" s="229"/>
      <c r="V1727" s="264"/>
      <c r="W1727" s="199"/>
      <c r="X1727" s="264"/>
      <c r="Y1727" s="264"/>
      <c r="Z1727" s="386"/>
      <c r="AA1727" s="126"/>
      <c r="AD1727" s="264"/>
      <c r="AE1727" s="264"/>
      <c r="AF1727" s="264"/>
      <c r="AG1727" s="264"/>
    </row>
    <row r="1728" spans="1:33" ht="26.25">
      <c r="A1728" s="264"/>
      <c r="B1728" s="264"/>
      <c r="C1728" s="264"/>
      <c r="D1728" s="264"/>
      <c r="E1728" s="264"/>
      <c r="F1728" s="264"/>
      <c r="G1728" s="264"/>
      <c r="H1728" s="264"/>
      <c r="I1728" s="264"/>
      <c r="J1728" s="327"/>
      <c r="K1728" s="327"/>
      <c r="L1728" s="327"/>
      <c r="M1728" s="321"/>
      <c r="N1728" s="321"/>
      <c r="O1728" s="364"/>
      <c r="P1728" s="381"/>
      <c r="R1728" s="392"/>
      <c r="S1728" s="61" ph="1"/>
      <c r="U1728" s="229"/>
      <c r="V1728" s="264"/>
      <c r="W1728" s="199"/>
      <c r="X1728" s="264"/>
      <c r="Y1728" s="264"/>
      <c r="Z1728" s="386"/>
      <c r="AA1728" s="126"/>
      <c r="AD1728" s="264"/>
      <c r="AE1728" s="264"/>
      <c r="AF1728" s="264"/>
      <c r="AG1728" s="264"/>
    </row>
    <row r="1729" spans="1:33" ht="26.25">
      <c r="A1729" s="264"/>
      <c r="B1729" s="264"/>
      <c r="C1729" s="264"/>
      <c r="D1729" s="264"/>
      <c r="E1729" s="264"/>
      <c r="F1729" s="264"/>
      <c r="G1729" s="264"/>
      <c r="H1729" s="264"/>
      <c r="I1729" s="264"/>
      <c r="J1729" s="327"/>
      <c r="K1729" s="327"/>
      <c r="L1729" s="327"/>
      <c r="M1729" s="321"/>
      <c r="N1729" s="321"/>
      <c r="O1729" s="364"/>
      <c r="P1729" s="381"/>
      <c r="R1729" s="392"/>
      <c r="S1729" s="61" ph="1"/>
      <c r="U1729" s="229"/>
      <c r="V1729" s="264"/>
      <c r="W1729" s="199"/>
      <c r="X1729" s="264"/>
      <c r="Y1729" s="264"/>
      <c r="Z1729" s="386"/>
      <c r="AA1729" s="126"/>
      <c r="AD1729" s="264"/>
      <c r="AE1729" s="264"/>
      <c r="AF1729" s="264"/>
      <c r="AG1729" s="264"/>
    </row>
    <row r="1730" spans="1:33" ht="26.25">
      <c r="A1730" s="264"/>
      <c r="B1730" s="264"/>
      <c r="C1730" s="264"/>
      <c r="D1730" s="264"/>
      <c r="E1730" s="264"/>
      <c r="F1730" s="264"/>
      <c r="G1730" s="264"/>
      <c r="H1730" s="264"/>
      <c r="I1730" s="264"/>
      <c r="J1730" s="327"/>
      <c r="K1730" s="327"/>
      <c r="L1730" s="327"/>
      <c r="M1730" s="321"/>
      <c r="N1730" s="321"/>
      <c r="O1730" s="364"/>
      <c r="P1730" s="381"/>
      <c r="R1730" s="392"/>
      <c r="S1730" s="61" ph="1"/>
      <c r="U1730" s="229"/>
      <c r="V1730" s="264"/>
      <c r="W1730" s="199"/>
      <c r="X1730" s="264"/>
      <c r="Y1730" s="264"/>
      <c r="Z1730" s="386"/>
      <c r="AA1730" s="126"/>
      <c r="AD1730" s="264"/>
      <c r="AE1730" s="264"/>
      <c r="AF1730" s="264"/>
      <c r="AG1730" s="264"/>
    </row>
    <row r="1731" spans="1:33" ht="26.25">
      <c r="A1731" s="264"/>
      <c r="B1731" s="264"/>
      <c r="C1731" s="264"/>
      <c r="D1731" s="264"/>
      <c r="E1731" s="264"/>
      <c r="F1731" s="264"/>
      <c r="G1731" s="264"/>
      <c r="H1731" s="264"/>
      <c r="I1731" s="264"/>
      <c r="J1731" s="327"/>
      <c r="K1731" s="327"/>
      <c r="L1731" s="327"/>
      <c r="M1731" s="321"/>
      <c r="N1731" s="321"/>
      <c r="O1731" s="364"/>
      <c r="P1731" s="381"/>
      <c r="R1731" s="392"/>
      <c r="S1731" s="61" ph="1"/>
      <c r="U1731" s="229"/>
      <c r="V1731" s="264"/>
      <c r="W1731" s="199"/>
      <c r="X1731" s="264"/>
      <c r="Y1731" s="264"/>
      <c r="Z1731" s="386"/>
      <c r="AA1731" s="126"/>
      <c r="AD1731" s="264"/>
      <c r="AE1731" s="264"/>
      <c r="AF1731" s="264"/>
      <c r="AG1731" s="264"/>
    </row>
    <row r="1732" spans="1:33" ht="26.25">
      <c r="A1732" s="264"/>
      <c r="B1732" s="264"/>
      <c r="C1732" s="264"/>
      <c r="D1732" s="264"/>
      <c r="E1732" s="264"/>
      <c r="F1732" s="264"/>
      <c r="G1732" s="264"/>
      <c r="H1732" s="264"/>
      <c r="I1732" s="264"/>
      <c r="J1732" s="327"/>
      <c r="K1732" s="327"/>
      <c r="L1732" s="327"/>
      <c r="M1732" s="321"/>
      <c r="N1732" s="321"/>
      <c r="O1732" s="364"/>
      <c r="P1732" s="381"/>
      <c r="R1732" s="392"/>
      <c r="S1732" s="61" ph="1"/>
      <c r="U1732" s="229"/>
      <c r="V1732" s="264"/>
      <c r="W1732" s="199"/>
      <c r="X1732" s="264"/>
      <c r="Y1732" s="264"/>
      <c r="Z1732" s="386"/>
      <c r="AA1732" s="126"/>
      <c r="AD1732" s="264"/>
      <c r="AE1732" s="264"/>
      <c r="AF1732" s="264"/>
      <c r="AG1732" s="264"/>
    </row>
    <row r="1733" spans="1:33" ht="26.25">
      <c r="A1733" s="264"/>
      <c r="B1733" s="264"/>
      <c r="C1733" s="264"/>
      <c r="D1733" s="264"/>
      <c r="E1733" s="264"/>
      <c r="F1733" s="264"/>
      <c r="G1733" s="264"/>
      <c r="H1733" s="264"/>
      <c r="I1733" s="264"/>
      <c r="J1733" s="327"/>
      <c r="K1733" s="327"/>
      <c r="L1733" s="327"/>
      <c r="M1733" s="321"/>
      <c r="N1733" s="321"/>
      <c r="O1733" s="364"/>
      <c r="P1733" s="381"/>
      <c r="R1733" s="392"/>
      <c r="S1733" s="61" ph="1"/>
      <c r="U1733" s="229"/>
      <c r="V1733" s="264"/>
      <c r="W1733" s="199"/>
      <c r="X1733" s="264"/>
      <c r="Y1733" s="264"/>
      <c r="Z1733" s="386"/>
      <c r="AA1733" s="126"/>
      <c r="AD1733" s="264"/>
      <c r="AE1733" s="264"/>
      <c r="AF1733" s="264"/>
      <c r="AG1733" s="264"/>
    </row>
    <row r="1734" spans="1:33" ht="26.25">
      <c r="A1734" s="264"/>
      <c r="B1734" s="264"/>
      <c r="C1734" s="264"/>
      <c r="D1734" s="264"/>
      <c r="E1734" s="264"/>
      <c r="F1734" s="264"/>
      <c r="G1734" s="264"/>
      <c r="H1734" s="264"/>
      <c r="I1734" s="264"/>
      <c r="J1734" s="327"/>
      <c r="K1734" s="327"/>
      <c r="L1734" s="327"/>
      <c r="M1734" s="321"/>
      <c r="N1734" s="321"/>
      <c r="O1734" s="364"/>
      <c r="P1734" s="381"/>
      <c r="R1734" s="392"/>
      <c r="S1734" s="61" ph="1"/>
      <c r="U1734" s="229"/>
      <c r="V1734" s="264"/>
      <c r="W1734" s="199"/>
      <c r="X1734" s="264"/>
      <c r="Y1734" s="264"/>
      <c r="Z1734" s="386"/>
      <c r="AA1734" s="126"/>
      <c r="AD1734" s="264"/>
      <c r="AE1734" s="264"/>
      <c r="AF1734" s="264"/>
      <c r="AG1734" s="264"/>
    </row>
    <row r="1735" spans="1:33" ht="26.25">
      <c r="A1735" s="264"/>
      <c r="B1735" s="264"/>
      <c r="C1735" s="264"/>
      <c r="D1735" s="264"/>
      <c r="E1735" s="264"/>
      <c r="F1735" s="264"/>
      <c r="G1735" s="264"/>
      <c r="H1735" s="264"/>
      <c r="I1735" s="264"/>
      <c r="J1735" s="327"/>
      <c r="K1735" s="327"/>
      <c r="L1735" s="327"/>
      <c r="M1735" s="321"/>
      <c r="N1735" s="321"/>
      <c r="O1735" s="364"/>
      <c r="P1735" s="381"/>
      <c r="R1735" s="392"/>
      <c r="S1735" s="61" ph="1"/>
      <c r="U1735" s="229"/>
      <c r="V1735" s="264"/>
      <c r="W1735" s="199"/>
      <c r="X1735" s="264"/>
      <c r="Y1735" s="264"/>
      <c r="Z1735" s="386"/>
      <c r="AA1735" s="126"/>
      <c r="AD1735" s="264"/>
      <c r="AE1735" s="264"/>
      <c r="AF1735" s="264"/>
      <c r="AG1735" s="264"/>
    </row>
    <row r="1736" spans="1:33" ht="26.25">
      <c r="A1736" s="264"/>
      <c r="B1736" s="264"/>
      <c r="C1736" s="264"/>
      <c r="D1736" s="264"/>
      <c r="E1736" s="264"/>
      <c r="F1736" s="264"/>
      <c r="G1736" s="264"/>
      <c r="H1736" s="264"/>
      <c r="I1736" s="264"/>
      <c r="J1736" s="327"/>
      <c r="K1736" s="327"/>
      <c r="L1736" s="327"/>
      <c r="M1736" s="321"/>
      <c r="N1736" s="321"/>
      <c r="O1736" s="364"/>
      <c r="P1736" s="381"/>
      <c r="R1736" s="392"/>
      <c r="S1736" s="61" ph="1"/>
      <c r="U1736" s="229"/>
      <c r="V1736" s="264"/>
      <c r="W1736" s="199"/>
      <c r="X1736" s="264"/>
      <c r="Y1736" s="264"/>
      <c r="Z1736" s="386"/>
      <c r="AA1736" s="126"/>
      <c r="AD1736" s="264"/>
      <c r="AE1736" s="264"/>
      <c r="AF1736" s="264"/>
      <c r="AG1736" s="264"/>
    </row>
    <row r="1737" spans="1:33" ht="26.25">
      <c r="A1737" s="264"/>
      <c r="B1737" s="264"/>
      <c r="C1737" s="264"/>
      <c r="D1737" s="264"/>
      <c r="E1737" s="264"/>
      <c r="F1737" s="264"/>
      <c r="G1737" s="264"/>
      <c r="H1737" s="264"/>
      <c r="I1737" s="264"/>
      <c r="J1737" s="327"/>
      <c r="K1737" s="327"/>
      <c r="L1737" s="327"/>
      <c r="M1737" s="321"/>
      <c r="N1737" s="321"/>
      <c r="O1737" s="364"/>
      <c r="P1737" s="381"/>
      <c r="R1737" s="392"/>
      <c r="S1737" s="61" ph="1"/>
      <c r="U1737" s="229"/>
      <c r="V1737" s="264"/>
      <c r="W1737" s="199"/>
      <c r="X1737" s="264"/>
      <c r="Y1737" s="264"/>
      <c r="Z1737" s="386"/>
      <c r="AA1737" s="126"/>
      <c r="AD1737" s="264"/>
      <c r="AE1737" s="264"/>
      <c r="AF1737" s="264"/>
      <c r="AG1737" s="264"/>
    </row>
    <row r="1738" spans="1:33" ht="26.25">
      <c r="A1738" s="264"/>
      <c r="B1738" s="264"/>
      <c r="C1738" s="264"/>
      <c r="D1738" s="264"/>
      <c r="E1738" s="264"/>
      <c r="F1738" s="264"/>
      <c r="G1738" s="264"/>
      <c r="H1738" s="264"/>
      <c r="I1738" s="264"/>
      <c r="J1738" s="327"/>
      <c r="K1738" s="327"/>
      <c r="L1738" s="327"/>
      <c r="M1738" s="321"/>
      <c r="N1738" s="321"/>
      <c r="O1738" s="364"/>
      <c r="P1738" s="381"/>
      <c r="R1738" s="392"/>
      <c r="S1738" s="61" ph="1"/>
      <c r="U1738" s="229"/>
      <c r="V1738" s="264"/>
      <c r="W1738" s="199"/>
      <c r="X1738" s="264"/>
      <c r="Y1738" s="264"/>
      <c r="Z1738" s="386"/>
      <c r="AA1738" s="126"/>
      <c r="AD1738" s="264"/>
      <c r="AE1738" s="264"/>
      <c r="AF1738" s="264"/>
      <c r="AG1738" s="264"/>
    </row>
    <row r="1739" spans="1:33" ht="26.25">
      <c r="A1739" s="264"/>
      <c r="B1739" s="264"/>
      <c r="C1739" s="264"/>
      <c r="D1739" s="264"/>
      <c r="E1739" s="264"/>
      <c r="F1739" s="264"/>
      <c r="G1739" s="264"/>
      <c r="H1739" s="264"/>
      <c r="I1739" s="264"/>
      <c r="J1739" s="327"/>
      <c r="K1739" s="327"/>
      <c r="L1739" s="327"/>
      <c r="M1739" s="321"/>
      <c r="N1739" s="321"/>
      <c r="O1739" s="364"/>
      <c r="P1739" s="381"/>
      <c r="R1739" s="392"/>
      <c r="S1739" s="61" ph="1"/>
      <c r="U1739" s="229"/>
      <c r="V1739" s="264"/>
      <c r="W1739" s="199"/>
      <c r="X1739" s="264"/>
      <c r="Y1739" s="264"/>
      <c r="Z1739" s="386"/>
      <c r="AA1739" s="126"/>
      <c r="AD1739" s="264"/>
      <c r="AE1739" s="264"/>
      <c r="AF1739" s="264"/>
      <c r="AG1739" s="264"/>
    </row>
    <row r="1740" spans="1:33" ht="26.25">
      <c r="A1740" s="264"/>
      <c r="B1740" s="264"/>
      <c r="C1740" s="264"/>
      <c r="D1740" s="264"/>
      <c r="E1740" s="264"/>
      <c r="F1740" s="264"/>
      <c r="G1740" s="264"/>
      <c r="H1740" s="264"/>
      <c r="I1740" s="264"/>
      <c r="J1740" s="327"/>
      <c r="K1740" s="327"/>
      <c r="L1740" s="327"/>
      <c r="M1740" s="321"/>
      <c r="N1740" s="321"/>
      <c r="O1740" s="364"/>
      <c r="P1740" s="381"/>
      <c r="R1740" s="392"/>
      <c r="S1740" s="61" ph="1"/>
      <c r="U1740" s="229"/>
      <c r="V1740" s="264"/>
      <c r="W1740" s="199"/>
      <c r="X1740" s="264"/>
      <c r="Y1740" s="264"/>
      <c r="Z1740" s="386"/>
      <c r="AA1740" s="126"/>
      <c r="AD1740" s="264"/>
      <c r="AE1740" s="264"/>
      <c r="AF1740" s="264"/>
      <c r="AG1740" s="264"/>
    </row>
    <row r="1741" spans="1:33" ht="26.25">
      <c r="A1741" s="264"/>
      <c r="B1741" s="264"/>
      <c r="C1741" s="264"/>
      <c r="D1741" s="264"/>
      <c r="E1741" s="264"/>
      <c r="F1741" s="264"/>
      <c r="G1741" s="264"/>
      <c r="H1741" s="264"/>
      <c r="I1741" s="264"/>
      <c r="J1741" s="327"/>
      <c r="K1741" s="327"/>
      <c r="L1741" s="327"/>
      <c r="M1741" s="321"/>
      <c r="N1741" s="321"/>
      <c r="O1741" s="364"/>
      <c r="P1741" s="381"/>
      <c r="R1741" s="392"/>
      <c r="S1741" s="61" ph="1"/>
      <c r="U1741" s="229"/>
      <c r="V1741" s="264"/>
      <c r="W1741" s="199"/>
      <c r="X1741" s="264"/>
      <c r="Y1741" s="264"/>
      <c r="Z1741" s="386"/>
      <c r="AA1741" s="126"/>
      <c r="AD1741" s="264"/>
      <c r="AE1741" s="264"/>
      <c r="AF1741" s="264"/>
      <c r="AG1741" s="264"/>
    </row>
    <row r="1742" spans="1:33" ht="26.25">
      <c r="A1742" s="264"/>
      <c r="B1742" s="264"/>
      <c r="C1742" s="264"/>
      <c r="D1742" s="264"/>
      <c r="E1742" s="264"/>
      <c r="F1742" s="264"/>
      <c r="G1742" s="264"/>
      <c r="H1742" s="264"/>
      <c r="I1742" s="264"/>
      <c r="J1742" s="327"/>
      <c r="K1742" s="327"/>
      <c r="L1742" s="327"/>
      <c r="M1742" s="321"/>
      <c r="N1742" s="321"/>
      <c r="O1742" s="364"/>
      <c r="P1742" s="381"/>
      <c r="R1742" s="392"/>
      <c r="S1742" s="61" ph="1"/>
      <c r="U1742" s="229"/>
      <c r="V1742" s="264"/>
      <c r="W1742" s="199"/>
      <c r="X1742" s="264"/>
      <c r="Y1742" s="264"/>
      <c r="Z1742" s="386"/>
      <c r="AA1742" s="126"/>
      <c r="AD1742" s="264"/>
      <c r="AE1742" s="264"/>
      <c r="AF1742" s="264"/>
      <c r="AG1742" s="264"/>
    </row>
    <row r="1743" spans="1:33" ht="26.25">
      <c r="A1743" s="264"/>
      <c r="B1743" s="264"/>
      <c r="C1743" s="264"/>
      <c r="D1743" s="264"/>
      <c r="E1743" s="264"/>
      <c r="F1743" s="264"/>
      <c r="G1743" s="264"/>
      <c r="H1743" s="264"/>
      <c r="I1743" s="264"/>
      <c r="J1743" s="327"/>
      <c r="K1743" s="327"/>
      <c r="L1743" s="327"/>
      <c r="M1743" s="321"/>
      <c r="N1743" s="321"/>
      <c r="O1743" s="364"/>
      <c r="P1743" s="381"/>
      <c r="R1743" s="392"/>
      <c r="S1743" s="61" ph="1"/>
      <c r="U1743" s="229"/>
      <c r="V1743" s="264"/>
      <c r="W1743" s="199"/>
      <c r="X1743" s="264"/>
      <c r="Y1743" s="264"/>
      <c r="Z1743" s="386"/>
      <c r="AA1743" s="126"/>
      <c r="AD1743" s="264"/>
      <c r="AE1743" s="264"/>
      <c r="AF1743" s="264"/>
      <c r="AG1743" s="264"/>
    </row>
    <row r="1744" spans="1:33" ht="26.25">
      <c r="A1744" s="264"/>
      <c r="B1744" s="264"/>
      <c r="C1744" s="264"/>
      <c r="D1744" s="264"/>
      <c r="E1744" s="264"/>
      <c r="F1744" s="264"/>
      <c r="G1744" s="264"/>
      <c r="H1744" s="264"/>
      <c r="I1744" s="264"/>
      <c r="J1744" s="327"/>
      <c r="K1744" s="327"/>
      <c r="L1744" s="327"/>
      <c r="M1744" s="321"/>
      <c r="N1744" s="321"/>
      <c r="O1744" s="364"/>
      <c r="P1744" s="381"/>
      <c r="R1744" s="392"/>
      <c r="S1744" s="61" ph="1"/>
      <c r="U1744" s="229"/>
      <c r="V1744" s="264"/>
      <c r="W1744" s="199"/>
      <c r="X1744" s="264"/>
      <c r="Y1744" s="264"/>
      <c r="Z1744" s="386"/>
      <c r="AA1744" s="126"/>
      <c r="AD1744" s="264"/>
      <c r="AE1744" s="264"/>
      <c r="AF1744" s="264"/>
      <c r="AG1744" s="264"/>
    </row>
    <row r="1745" spans="1:33" ht="26.25">
      <c r="A1745" s="264"/>
      <c r="B1745" s="264"/>
      <c r="C1745" s="264"/>
      <c r="D1745" s="264"/>
      <c r="E1745" s="264"/>
      <c r="F1745" s="264"/>
      <c r="G1745" s="264"/>
      <c r="H1745" s="264"/>
      <c r="I1745" s="264"/>
      <c r="J1745" s="327"/>
      <c r="K1745" s="327"/>
      <c r="L1745" s="327"/>
      <c r="M1745" s="321"/>
      <c r="N1745" s="321"/>
      <c r="O1745" s="364"/>
      <c r="P1745" s="381"/>
      <c r="R1745" s="392"/>
      <c r="S1745" s="61" ph="1"/>
      <c r="U1745" s="229"/>
      <c r="V1745" s="264"/>
      <c r="W1745" s="199"/>
      <c r="X1745" s="264"/>
      <c r="Y1745" s="264"/>
      <c r="Z1745" s="386"/>
      <c r="AA1745" s="126"/>
      <c r="AD1745" s="264"/>
      <c r="AE1745" s="264"/>
      <c r="AF1745" s="264"/>
      <c r="AG1745" s="264"/>
    </row>
    <row r="1746" spans="1:33" ht="26.25">
      <c r="A1746" s="264"/>
      <c r="B1746" s="264"/>
      <c r="C1746" s="264"/>
      <c r="D1746" s="264"/>
      <c r="E1746" s="264"/>
      <c r="F1746" s="264"/>
      <c r="G1746" s="264"/>
      <c r="H1746" s="264"/>
      <c r="I1746" s="264"/>
      <c r="J1746" s="327"/>
      <c r="K1746" s="327"/>
      <c r="L1746" s="327"/>
      <c r="M1746" s="321"/>
      <c r="N1746" s="321"/>
      <c r="O1746" s="364"/>
      <c r="P1746" s="381"/>
      <c r="R1746" s="392"/>
      <c r="S1746" s="61" ph="1"/>
      <c r="U1746" s="229"/>
      <c r="V1746" s="264"/>
      <c r="W1746" s="199"/>
      <c r="X1746" s="264"/>
      <c r="Y1746" s="264"/>
      <c r="Z1746" s="386"/>
      <c r="AA1746" s="126"/>
      <c r="AD1746" s="264"/>
      <c r="AE1746" s="264"/>
      <c r="AF1746" s="264"/>
      <c r="AG1746" s="264"/>
    </row>
    <row r="1747" spans="1:33" ht="26.25">
      <c r="A1747" s="264"/>
      <c r="B1747" s="264"/>
      <c r="C1747" s="264"/>
      <c r="D1747" s="264"/>
      <c r="E1747" s="264"/>
      <c r="F1747" s="264"/>
      <c r="G1747" s="264"/>
      <c r="H1747" s="264"/>
      <c r="I1747" s="264"/>
      <c r="J1747" s="327"/>
      <c r="K1747" s="327"/>
      <c r="L1747" s="327"/>
      <c r="M1747" s="321"/>
      <c r="N1747" s="321"/>
      <c r="O1747" s="364"/>
      <c r="P1747" s="381"/>
      <c r="R1747" s="392"/>
      <c r="S1747" s="61" ph="1"/>
      <c r="U1747" s="229"/>
      <c r="V1747" s="264"/>
      <c r="W1747" s="199"/>
      <c r="X1747" s="264"/>
      <c r="Y1747" s="264"/>
      <c r="Z1747" s="386"/>
      <c r="AD1747" s="264"/>
      <c r="AE1747" s="264"/>
      <c r="AF1747" s="264"/>
      <c r="AG1747" s="264"/>
    </row>
    <row r="1748" spans="1:33" ht="26.25">
      <c r="A1748" s="264"/>
      <c r="B1748" s="264"/>
      <c r="C1748" s="264"/>
      <c r="D1748" s="264"/>
      <c r="E1748" s="264"/>
      <c r="F1748" s="264"/>
      <c r="G1748" s="264"/>
      <c r="H1748" s="264"/>
      <c r="I1748" s="264"/>
      <c r="J1748" s="327"/>
      <c r="K1748" s="327"/>
      <c r="L1748" s="327"/>
      <c r="M1748" s="321"/>
      <c r="N1748" s="321"/>
      <c r="O1748" s="364"/>
      <c r="P1748" s="381"/>
      <c r="R1748" s="392"/>
      <c r="S1748" s="61" ph="1"/>
      <c r="U1748" s="229"/>
      <c r="V1748" s="264"/>
      <c r="W1748" s="199"/>
      <c r="X1748" s="264"/>
      <c r="Y1748" s="264"/>
      <c r="Z1748" s="386"/>
      <c r="AA1748" s="126"/>
      <c r="AD1748" s="264"/>
      <c r="AE1748" s="264"/>
      <c r="AF1748" s="264"/>
      <c r="AG1748" s="264"/>
    </row>
    <row r="1749" spans="1:33" ht="26.25">
      <c r="A1749" s="264"/>
      <c r="B1749" s="264"/>
      <c r="C1749" s="264"/>
      <c r="D1749" s="264"/>
      <c r="E1749" s="264"/>
      <c r="F1749" s="264"/>
      <c r="G1749" s="264"/>
      <c r="H1749" s="264"/>
      <c r="I1749" s="264"/>
      <c r="J1749" s="327"/>
      <c r="K1749" s="327"/>
      <c r="L1749" s="327"/>
      <c r="M1749" s="321"/>
      <c r="N1749" s="321"/>
      <c r="O1749" s="364"/>
      <c r="P1749" s="381"/>
      <c r="R1749" s="392"/>
      <c r="S1749" s="61" ph="1"/>
      <c r="U1749" s="229"/>
      <c r="V1749" s="264"/>
      <c r="W1749" s="199"/>
      <c r="X1749" s="264"/>
      <c r="Y1749" s="264"/>
      <c r="Z1749" s="386"/>
      <c r="AA1749" s="126"/>
      <c r="AD1749" s="264"/>
      <c r="AE1749" s="264"/>
      <c r="AF1749" s="264"/>
      <c r="AG1749" s="264"/>
    </row>
    <row r="1750" spans="1:33" ht="26.25">
      <c r="A1750" s="264"/>
      <c r="B1750" s="264"/>
      <c r="C1750" s="264"/>
      <c r="D1750" s="264"/>
      <c r="E1750" s="264"/>
      <c r="F1750" s="264"/>
      <c r="G1750" s="264"/>
      <c r="H1750" s="264"/>
      <c r="I1750" s="264"/>
      <c r="J1750" s="327"/>
      <c r="K1750" s="327"/>
      <c r="L1750" s="327"/>
      <c r="M1750" s="321"/>
      <c r="N1750" s="321"/>
      <c r="O1750" s="364"/>
      <c r="P1750" s="381"/>
      <c r="R1750" s="392"/>
      <c r="S1750" s="61" ph="1"/>
      <c r="U1750" s="229"/>
      <c r="V1750" s="264"/>
      <c r="W1750" s="199"/>
      <c r="X1750" s="264"/>
      <c r="Y1750" s="264"/>
      <c r="Z1750" s="386"/>
      <c r="AA1750" s="126"/>
      <c r="AD1750" s="264"/>
      <c r="AE1750" s="264"/>
      <c r="AF1750" s="264"/>
      <c r="AG1750" s="264"/>
    </row>
    <row r="1751" spans="1:33" ht="26.25">
      <c r="A1751" s="264"/>
      <c r="B1751" s="264"/>
      <c r="C1751" s="264"/>
      <c r="D1751" s="264"/>
      <c r="E1751" s="264"/>
      <c r="F1751" s="264"/>
      <c r="G1751" s="264"/>
      <c r="H1751" s="264"/>
      <c r="I1751" s="264"/>
      <c r="J1751" s="327"/>
      <c r="K1751" s="327"/>
      <c r="L1751" s="327"/>
      <c r="M1751" s="321"/>
      <c r="N1751" s="321"/>
      <c r="O1751" s="364"/>
      <c r="P1751" s="381"/>
      <c r="R1751" s="392"/>
      <c r="S1751" s="61" ph="1"/>
      <c r="U1751" s="229"/>
      <c r="V1751" s="264"/>
      <c r="W1751" s="199"/>
      <c r="X1751" s="264"/>
      <c r="Y1751" s="264"/>
      <c r="Z1751" s="386"/>
      <c r="AA1751" s="126"/>
      <c r="AD1751" s="264"/>
      <c r="AE1751" s="264"/>
      <c r="AF1751" s="264"/>
      <c r="AG1751" s="264"/>
    </row>
    <row r="1752" spans="1:33" ht="26.25">
      <c r="A1752" s="264"/>
      <c r="B1752" s="264"/>
      <c r="C1752" s="264"/>
      <c r="D1752" s="264"/>
      <c r="E1752" s="264"/>
      <c r="F1752" s="264"/>
      <c r="G1752" s="264"/>
      <c r="H1752" s="264"/>
      <c r="I1752" s="264"/>
      <c r="J1752" s="327"/>
      <c r="K1752" s="327"/>
      <c r="L1752" s="327"/>
      <c r="M1752" s="321"/>
      <c r="N1752" s="321"/>
      <c r="O1752" s="364"/>
      <c r="P1752" s="381"/>
      <c r="R1752" s="392"/>
      <c r="S1752" s="61" ph="1"/>
      <c r="U1752" s="229"/>
      <c r="V1752" s="264"/>
      <c r="W1752" s="199"/>
      <c r="X1752" s="264"/>
      <c r="Y1752" s="264"/>
      <c r="Z1752" s="386"/>
      <c r="AA1752" s="126"/>
      <c r="AD1752" s="264"/>
      <c r="AE1752" s="264"/>
      <c r="AF1752" s="264"/>
      <c r="AG1752" s="264"/>
    </row>
    <row r="1753" spans="1:33" ht="26.25">
      <c r="A1753" s="264"/>
      <c r="B1753" s="264"/>
      <c r="C1753" s="264"/>
      <c r="D1753" s="264"/>
      <c r="E1753" s="264"/>
      <c r="F1753" s="264"/>
      <c r="G1753" s="264"/>
      <c r="H1753" s="264"/>
      <c r="I1753" s="264"/>
      <c r="J1753" s="327"/>
      <c r="K1753" s="327"/>
      <c r="L1753" s="327"/>
      <c r="M1753" s="321"/>
      <c r="N1753" s="321"/>
      <c r="O1753" s="364"/>
      <c r="P1753" s="381"/>
      <c r="R1753" s="392"/>
      <c r="S1753" s="61" ph="1"/>
      <c r="U1753" s="229"/>
      <c r="V1753" s="264"/>
      <c r="W1753" s="199"/>
      <c r="X1753" s="264"/>
      <c r="Y1753" s="264"/>
      <c r="Z1753" s="386"/>
      <c r="AA1753" s="126"/>
      <c r="AD1753" s="264"/>
      <c r="AE1753" s="264"/>
      <c r="AF1753" s="264"/>
      <c r="AG1753" s="264"/>
    </row>
    <row r="1754" spans="1:33" ht="26.25">
      <c r="A1754" s="264"/>
      <c r="B1754" s="264"/>
      <c r="C1754" s="264"/>
      <c r="D1754" s="264"/>
      <c r="E1754" s="264"/>
      <c r="F1754" s="264"/>
      <c r="G1754" s="264"/>
      <c r="H1754" s="264"/>
      <c r="I1754" s="264"/>
      <c r="J1754" s="327"/>
      <c r="K1754" s="327"/>
      <c r="L1754" s="327"/>
      <c r="M1754" s="321"/>
      <c r="N1754" s="321"/>
      <c r="O1754" s="364"/>
      <c r="P1754" s="381"/>
      <c r="R1754" s="392"/>
      <c r="S1754" s="61" ph="1"/>
      <c r="U1754" s="229"/>
      <c r="V1754" s="264"/>
      <c r="W1754" s="199"/>
      <c r="X1754" s="264"/>
      <c r="Y1754" s="264"/>
      <c r="Z1754" s="386"/>
      <c r="AA1754" s="126"/>
      <c r="AD1754" s="264"/>
      <c r="AE1754" s="264"/>
      <c r="AF1754" s="264"/>
      <c r="AG1754" s="264"/>
    </row>
    <row r="1755" spans="1:33" ht="26.25">
      <c r="A1755" s="264"/>
      <c r="B1755" s="264"/>
      <c r="C1755" s="264"/>
      <c r="D1755" s="264"/>
      <c r="E1755" s="264"/>
      <c r="F1755" s="264"/>
      <c r="G1755" s="264"/>
      <c r="H1755" s="264"/>
      <c r="I1755" s="264"/>
      <c r="J1755" s="327"/>
      <c r="K1755" s="327"/>
      <c r="L1755" s="327"/>
      <c r="M1755" s="321"/>
      <c r="N1755" s="321"/>
      <c r="O1755" s="364"/>
      <c r="P1755" s="381"/>
      <c r="R1755" s="392"/>
      <c r="S1755" s="61" ph="1"/>
      <c r="U1755" s="229"/>
      <c r="V1755" s="264"/>
      <c r="W1755" s="199"/>
      <c r="X1755" s="264"/>
      <c r="Y1755" s="264"/>
      <c r="Z1755" s="386"/>
      <c r="AA1755" s="126"/>
      <c r="AD1755" s="264"/>
      <c r="AE1755" s="264"/>
      <c r="AF1755" s="264"/>
      <c r="AG1755" s="264"/>
    </row>
    <row r="1756" spans="1:33" ht="26.25">
      <c r="A1756" s="264"/>
      <c r="B1756" s="264"/>
      <c r="C1756" s="264"/>
      <c r="D1756" s="264"/>
      <c r="E1756" s="264"/>
      <c r="F1756" s="264"/>
      <c r="G1756" s="264"/>
      <c r="H1756" s="264"/>
      <c r="I1756" s="264"/>
      <c r="J1756" s="327"/>
      <c r="K1756" s="327"/>
      <c r="L1756" s="327"/>
      <c r="M1756" s="321"/>
      <c r="N1756" s="321"/>
      <c r="O1756" s="364"/>
      <c r="P1756" s="381"/>
      <c r="R1756" s="392"/>
      <c r="S1756" s="61" ph="1"/>
      <c r="U1756" s="229"/>
      <c r="V1756" s="264"/>
      <c r="W1756" s="199"/>
      <c r="X1756" s="264"/>
      <c r="Y1756" s="264"/>
      <c r="Z1756" s="386"/>
      <c r="AA1756" s="126"/>
      <c r="AD1756" s="264"/>
      <c r="AE1756" s="264"/>
      <c r="AF1756" s="264"/>
      <c r="AG1756" s="264"/>
    </row>
    <row r="1757" spans="1:33" ht="26.25">
      <c r="A1757" s="264"/>
      <c r="B1757" s="264"/>
      <c r="C1757" s="264"/>
      <c r="D1757" s="264"/>
      <c r="E1757" s="264"/>
      <c r="F1757" s="264"/>
      <c r="G1757" s="264"/>
      <c r="H1757" s="264"/>
      <c r="I1757" s="264"/>
      <c r="J1757" s="327"/>
      <c r="K1757" s="327"/>
      <c r="L1757" s="327"/>
      <c r="M1757" s="321"/>
      <c r="N1757" s="321"/>
      <c r="O1757" s="364"/>
      <c r="P1757" s="381"/>
      <c r="R1757" s="392"/>
      <c r="S1757" s="61" ph="1"/>
      <c r="U1757" s="229"/>
      <c r="V1757" s="264"/>
      <c r="W1757" s="199"/>
      <c r="X1757" s="264"/>
      <c r="Y1757" s="264"/>
      <c r="Z1757" s="386"/>
      <c r="AA1757" s="126"/>
      <c r="AD1757" s="264"/>
      <c r="AE1757" s="264"/>
      <c r="AF1757" s="264"/>
      <c r="AG1757" s="264"/>
    </row>
    <row r="1758" spans="1:33" ht="26.25">
      <c r="A1758" s="264"/>
      <c r="B1758" s="264"/>
      <c r="C1758" s="264"/>
      <c r="D1758" s="264"/>
      <c r="E1758" s="264"/>
      <c r="F1758" s="264"/>
      <c r="G1758" s="264"/>
      <c r="H1758" s="264"/>
      <c r="I1758" s="264"/>
      <c r="J1758" s="327"/>
      <c r="K1758" s="327"/>
      <c r="L1758" s="327"/>
      <c r="M1758" s="321"/>
      <c r="N1758" s="321"/>
      <c r="O1758" s="364"/>
      <c r="P1758" s="381"/>
      <c r="R1758" s="392"/>
      <c r="S1758" s="61" ph="1"/>
      <c r="U1758" s="229"/>
      <c r="V1758" s="264"/>
      <c r="W1758" s="199"/>
      <c r="X1758" s="264"/>
      <c r="Y1758" s="264"/>
      <c r="Z1758" s="386"/>
      <c r="AA1758" s="126"/>
      <c r="AD1758" s="264"/>
      <c r="AE1758" s="264"/>
      <c r="AF1758" s="264"/>
      <c r="AG1758" s="264"/>
    </row>
    <row r="1759" spans="1:33" ht="26.25">
      <c r="A1759" s="264"/>
      <c r="B1759" s="264"/>
      <c r="C1759" s="264"/>
      <c r="D1759" s="264"/>
      <c r="E1759" s="264"/>
      <c r="F1759" s="264"/>
      <c r="G1759" s="264"/>
      <c r="H1759" s="264"/>
      <c r="I1759" s="264"/>
      <c r="J1759" s="327"/>
      <c r="K1759" s="327"/>
      <c r="L1759" s="327"/>
      <c r="M1759" s="321"/>
      <c r="N1759" s="321"/>
      <c r="O1759" s="364"/>
      <c r="P1759" s="381"/>
      <c r="R1759" s="392"/>
      <c r="S1759" s="61" ph="1"/>
      <c r="U1759" s="229"/>
      <c r="V1759" s="264"/>
      <c r="W1759" s="199"/>
      <c r="X1759" s="264"/>
      <c r="Y1759" s="264"/>
      <c r="Z1759" s="386"/>
      <c r="AA1759" s="126"/>
      <c r="AD1759" s="264"/>
      <c r="AE1759" s="264"/>
      <c r="AF1759" s="264"/>
      <c r="AG1759" s="264"/>
    </row>
    <row r="1760" spans="1:33" ht="26.25">
      <c r="A1760" s="264"/>
      <c r="B1760" s="264"/>
      <c r="C1760" s="264"/>
      <c r="D1760" s="264"/>
      <c r="E1760" s="264"/>
      <c r="F1760" s="264"/>
      <c r="G1760" s="264"/>
      <c r="H1760" s="264"/>
      <c r="I1760" s="264"/>
      <c r="J1760" s="327"/>
      <c r="K1760" s="327"/>
      <c r="L1760" s="327"/>
      <c r="M1760" s="321"/>
      <c r="N1760" s="321"/>
      <c r="O1760" s="364"/>
      <c r="P1760" s="381"/>
      <c r="R1760" s="392"/>
      <c r="S1760" s="61" ph="1"/>
      <c r="U1760" s="229"/>
      <c r="V1760" s="264"/>
      <c r="W1760" s="199"/>
      <c r="X1760" s="264"/>
      <c r="Y1760" s="264"/>
      <c r="Z1760" s="386"/>
      <c r="AA1760" s="126"/>
      <c r="AD1760" s="264"/>
      <c r="AE1760" s="264"/>
      <c r="AF1760" s="264"/>
      <c r="AG1760" s="264"/>
    </row>
    <row r="1761" spans="1:33" ht="26.25">
      <c r="A1761" s="264"/>
      <c r="B1761" s="264"/>
      <c r="C1761" s="264"/>
      <c r="D1761" s="264"/>
      <c r="E1761" s="264"/>
      <c r="F1761" s="264"/>
      <c r="G1761" s="264"/>
      <c r="H1761" s="264"/>
      <c r="I1761" s="264"/>
      <c r="J1761" s="327"/>
      <c r="K1761" s="327"/>
      <c r="L1761" s="327"/>
      <c r="M1761" s="321"/>
      <c r="N1761" s="321"/>
      <c r="O1761" s="364"/>
      <c r="P1761" s="381"/>
      <c r="R1761" s="392"/>
      <c r="S1761" s="61" ph="1"/>
      <c r="U1761" s="229"/>
      <c r="V1761" s="264"/>
      <c r="W1761" s="199"/>
      <c r="X1761" s="264"/>
      <c r="Y1761" s="264"/>
      <c r="Z1761" s="386"/>
      <c r="AA1761" s="126"/>
      <c r="AD1761" s="264"/>
      <c r="AE1761" s="264"/>
      <c r="AF1761" s="264"/>
      <c r="AG1761" s="264"/>
    </row>
    <row r="1762" spans="1:33" ht="26.25">
      <c r="A1762" s="264"/>
      <c r="B1762" s="264"/>
      <c r="C1762" s="264"/>
      <c r="D1762" s="264"/>
      <c r="E1762" s="264"/>
      <c r="F1762" s="264"/>
      <c r="G1762" s="264"/>
      <c r="H1762" s="264"/>
      <c r="I1762" s="264"/>
      <c r="J1762" s="327"/>
      <c r="K1762" s="327"/>
      <c r="L1762" s="327"/>
      <c r="M1762" s="321"/>
      <c r="N1762" s="321"/>
      <c r="O1762" s="364"/>
      <c r="P1762" s="381"/>
      <c r="R1762" s="392"/>
      <c r="S1762" s="61" ph="1"/>
      <c r="U1762" s="229"/>
      <c r="V1762" s="264"/>
      <c r="W1762" s="199"/>
      <c r="X1762" s="264"/>
      <c r="Y1762" s="264"/>
      <c r="Z1762" s="386"/>
      <c r="AA1762" s="126"/>
      <c r="AD1762" s="264"/>
      <c r="AE1762" s="264"/>
      <c r="AF1762" s="264"/>
      <c r="AG1762" s="264"/>
    </row>
    <row r="1763" spans="1:33" ht="26.25">
      <c r="A1763" s="264"/>
      <c r="B1763" s="264"/>
      <c r="C1763" s="264"/>
      <c r="D1763" s="264"/>
      <c r="E1763" s="264"/>
      <c r="F1763" s="264"/>
      <c r="G1763" s="264"/>
      <c r="H1763" s="264"/>
      <c r="I1763" s="264"/>
      <c r="J1763" s="327"/>
      <c r="K1763" s="327"/>
      <c r="L1763" s="327"/>
      <c r="M1763" s="321"/>
      <c r="N1763" s="321"/>
      <c r="O1763" s="364"/>
      <c r="P1763" s="381"/>
      <c r="R1763" s="392"/>
      <c r="S1763" s="61" ph="1"/>
      <c r="U1763" s="229"/>
      <c r="V1763" s="264"/>
      <c r="W1763" s="199"/>
      <c r="X1763" s="264"/>
      <c r="Y1763" s="264"/>
      <c r="Z1763" s="386"/>
      <c r="AA1763" s="126"/>
      <c r="AD1763" s="264"/>
      <c r="AE1763" s="264"/>
      <c r="AF1763" s="264"/>
      <c r="AG1763" s="264"/>
    </row>
    <row r="1764" spans="1:33" ht="26.25">
      <c r="A1764" s="264"/>
      <c r="B1764" s="264"/>
      <c r="C1764" s="264"/>
      <c r="D1764" s="264"/>
      <c r="E1764" s="264"/>
      <c r="F1764" s="264"/>
      <c r="G1764" s="264"/>
      <c r="H1764" s="264"/>
      <c r="I1764" s="264"/>
      <c r="J1764" s="327"/>
      <c r="K1764" s="327"/>
      <c r="L1764" s="327"/>
      <c r="M1764" s="321"/>
      <c r="N1764" s="321"/>
      <c r="O1764" s="364"/>
      <c r="P1764" s="381"/>
      <c r="R1764" s="392"/>
      <c r="S1764" s="61" ph="1"/>
      <c r="U1764" s="229"/>
      <c r="V1764" s="264"/>
      <c r="W1764" s="199"/>
      <c r="X1764" s="264"/>
      <c r="Y1764" s="264"/>
      <c r="Z1764" s="386"/>
      <c r="AA1764" s="126"/>
      <c r="AD1764" s="264"/>
      <c r="AE1764" s="264"/>
      <c r="AF1764" s="264"/>
      <c r="AG1764" s="264"/>
    </row>
    <row r="1765" spans="1:33" ht="26.25">
      <c r="A1765" s="264"/>
      <c r="B1765" s="264"/>
      <c r="C1765" s="264"/>
      <c r="D1765" s="264"/>
      <c r="E1765" s="264"/>
      <c r="F1765" s="264"/>
      <c r="G1765" s="264"/>
      <c r="H1765" s="264"/>
      <c r="I1765" s="264"/>
      <c r="J1765" s="327"/>
      <c r="K1765" s="327"/>
      <c r="L1765" s="327"/>
      <c r="M1765" s="321"/>
      <c r="N1765" s="321"/>
      <c r="O1765" s="364"/>
      <c r="P1765" s="381"/>
      <c r="R1765" s="392"/>
      <c r="S1765" s="61" ph="1"/>
      <c r="U1765" s="229"/>
      <c r="V1765" s="264"/>
      <c r="W1765" s="199"/>
      <c r="X1765" s="264"/>
      <c r="Y1765" s="264"/>
      <c r="Z1765" s="386"/>
      <c r="AA1765" s="126"/>
      <c r="AD1765" s="264"/>
      <c r="AE1765" s="264"/>
      <c r="AF1765" s="264"/>
      <c r="AG1765" s="264"/>
    </row>
    <row r="1766" spans="1:33" ht="26.25">
      <c r="A1766" s="264"/>
      <c r="B1766" s="264"/>
      <c r="C1766" s="264"/>
      <c r="D1766" s="264"/>
      <c r="E1766" s="264"/>
      <c r="F1766" s="264"/>
      <c r="G1766" s="264"/>
      <c r="H1766" s="264"/>
      <c r="I1766" s="264"/>
      <c r="J1766" s="327"/>
      <c r="K1766" s="327"/>
      <c r="L1766" s="327"/>
      <c r="M1766" s="321"/>
      <c r="N1766" s="321"/>
      <c r="O1766" s="364"/>
      <c r="P1766" s="381"/>
      <c r="R1766" s="392"/>
      <c r="S1766" s="61" ph="1"/>
      <c r="U1766" s="229"/>
      <c r="V1766" s="264"/>
      <c r="W1766" s="199"/>
      <c r="X1766" s="264"/>
      <c r="Y1766" s="264"/>
      <c r="Z1766" s="386"/>
      <c r="AA1766" s="126"/>
      <c r="AD1766" s="264"/>
      <c r="AE1766" s="264"/>
      <c r="AF1766" s="264"/>
      <c r="AG1766" s="264"/>
    </row>
    <row r="1767" spans="1:33" ht="26.25">
      <c r="A1767" s="264"/>
      <c r="B1767" s="264"/>
      <c r="C1767" s="264"/>
      <c r="D1767" s="264"/>
      <c r="E1767" s="264"/>
      <c r="F1767" s="264"/>
      <c r="G1767" s="264"/>
      <c r="H1767" s="264"/>
      <c r="I1767" s="264"/>
      <c r="J1767" s="327"/>
      <c r="K1767" s="327"/>
      <c r="L1767" s="327"/>
      <c r="M1767" s="321"/>
      <c r="N1767" s="321"/>
      <c r="O1767" s="364"/>
      <c r="P1767" s="381"/>
      <c r="R1767" s="392"/>
      <c r="S1767" s="61" ph="1"/>
      <c r="U1767" s="229"/>
      <c r="V1767" s="264"/>
      <c r="W1767" s="199"/>
      <c r="X1767" s="264"/>
      <c r="Y1767" s="264"/>
      <c r="Z1767" s="386"/>
      <c r="AA1767" s="126"/>
      <c r="AD1767" s="264"/>
      <c r="AE1767" s="264"/>
      <c r="AF1767" s="264"/>
      <c r="AG1767" s="264"/>
    </row>
    <row r="1768" spans="1:33" ht="26.25">
      <c r="A1768" s="264"/>
      <c r="B1768" s="264"/>
      <c r="C1768" s="264"/>
      <c r="D1768" s="264"/>
      <c r="E1768" s="264"/>
      <c r="F1768" s="264"/>
      <c r="G1768" s="264"/>
      <c r="H1768" s="264"/>
      <c r="I1768" s="264"/>
      <c r="J1768" s="327"/>
      <c r="K1768" s="327"/>
      <c r="L1768" s="327"/>
      <c r="M1768" s="321"/>
      <c r="N1768" s="321"/>
      <c r="O1768" s="364"/>
      <c r="P1768" s="381"/>
      <c r="R1768" s="392"/>
      <c r="S1768" s="61" ph="1"/>
      <c r="U1768" s="229"/>
      <c r="V1768" s="264"/>
      <c r="W1768" s="199"/>
      <c r="X1768" s="264"/>
      <c r="Y1768" s="264"/>
      <c r="Z1768" s="386"/>
      <c r="AA1768" s="126"/>
      <c r="AD1768" s="264"/>
      <c r="AE1768" s="264"/>
      <c r="AF1768" s="264"/>
      <c r="AG1768" s="264"/>
    </row>
    <row r="1769" spans="1:33" ht="26.25">
      <c r="A1769" s="264"/>
      <c r="B1769" s="264"/>
      <c r="C1769" s="264"/>
      <c r="D1769" s="264"/>
      <c r="E1769" s="264"/>
      <c r="F1769" s="264"/>
      <c r="G1769" s="264"/>
      <c r="H1769" s="264"/>
      <c r="I1769" s="264"/>
      <c r="J1769" s="327"/>
      <c r="K1769" s="327"/>
      <c r="L1769" s="327"/>
      <c r="M1769" s="321"/>
      <c r="N1769" s="321"/>
      <c r="O1769" s="364"/>
      <c r="P1769" s="381"/>
      <c r="R1769" s="392"/>
      <c r="S1769" s="61" ph="1"/>
      <c r="U1769" s="229"/>
      <c r="V1769" s="264"/>
      <c r="W1769" s="199"/>
      <c r="X1769" s="264"/>
      <c r="Y1769" s="264"/>
      <c r="Z1769" s="386"/>
      <c r="AA1769" s="126"/>
      <c r="AD1769" s="264"/>
      <c r="AE1769" s="264"/>
      <c r="AF1769" s="264"/>
      <c r="AG1769" s="264"/>
    </row>
    <row r="1770" spans="1:33" ht="26.25">
      <c r="A1770" s="264"/>
      <c r="B1770" s="264"/>
      <c r="C1770" s="264"/>
      <c r="D1770" s="264"/>
      <c r="E1770" s="264"/>
      <c r="F1770" s="264"/>
      <c r="G1770" s="264"/>
      <c r="H1770" s="264"/>
      <c r="I1770" s="264"/>
      <c r="J1770" s="327"/>
      <c r="K1770" s="327"/>
      <c r="L1770" s="327"/>
      <c r="M1770" s="321"/>
      <c r="N1770" s="321"/>
      <c r="O1770" s="364"/>
      <c r="P1770" s="381"/>
      <c r="R1770" s="392"/>
      <c r="S1770" s="61" ph="1"/>
      <c r="U1770" s="229"/>
      <c r="V1770" s="264"/>
      <c r="W1770" s="199"/>
      <c r="X1770" s="264"/>
      <c r="Y1770" s="264"/>
      <c r="Z1770" s="386"/>
      <c r="AA1770" s="126"/>
      <c r="AD1770" s="264"/>
      <c r="AE1770" s="264"/>
      <c r="AF1770" s="264"/>
      <c r="AG1770" s="264"/>
    </row>
    <row r="1771" spans="1:33" ht="26.25">
      <c r="A1771" s="264"/>
      <c r="B1771" s="264"/>
      <c r="C1771" s="264"/>
      <c r="D1771" s="264"/>
      <c r="E1771" s="264"/>
      <c r="F1771" s="264"/>
      <c r="G1771" s="264"/>
      <c r="H1771" s="264"/>
      <c r="I1771" s="264"/>
      <c r="J1771" s="327"/>
      <c r="K1771" s="327"/>
      <c r="L1771" s="327"/>
      <c r="M1771" s="321"/>
      <c r="N1771" s="321"/>
      <c r="O1771" s="364"/>
      <c r="P1771" s="381"/>
      <c r="R1771" s="392"/>
      <c r="S1771" s="61" ph="1"/>
      <c r="U1771" s="229"/>
      <c r="V1771" s="264"/>
      <c r="W1771" s="199"/>
      <c r="X1771" s="264"/>
      <c r="Y1771" s="264"/>
      <c r="Z1771" s="386"/>
      <c r="AA1771" s="126"/>
      <c r="AD1771" s="264"/>
      <c r="AE1771" s="264"/>
      <c r="AF1771" s="264"/>
      <c r="AG1771" s="264"/>
    </row>
    <row r="1772" spans="1:33" ht="26.25">
      <c r="A1772" s="264"/>
      <c r="B1772" s="264"/>
      <c r="C1772" s="264"/>
      <c r="D1772" s="264"/>
      <c r="E1772" s="264"/>
      <c r="F1772" s="264"/>
      <c r="G1772" s="264"/>
      <c r="H1772" s="264"/>
      <c r="I1772" s="264"/>
      <c r="J1772" s="327"/>
      <c r="K1772" s="327"/>
      <c r="L1772" s="327"/>
      <c r="M1772" s="321"/>
      <c r="N1772" s="321"/>
      <c r="O1772" s="364"/>
      <c r="P1772" s="381"/>
      <c r="R1772" s="392"/>
      <c r="S1772" s="61" ph="1"/>
      <c r="U1772" s="229"/>
      <c r="V1772" s="264"/>
      <c r="W1772" s="199"/>
      <c r="X1772" s="264"/>
      <c r="Y1772" s="264"/>
      <c r="Z1772" s="386"/>
      <c r="AA1772" s="126"/>
      <c r="AD1772" s="264"/>
      <c r="AE1772" s="264"/>
      <c r="AF1772" s="264"/>
      <c r="AG1772" s="264"/>
    </row>
    <row r="1773" spans="1:33" ht="26.25">
      <c r="A1773" s="264"/>
      <c r="B1773" s="264"/>
      <c r="C1773" s="264"/>
      <c r="D1773" s="264"/>
      <c r="E1773" s="264"/>
      <c r="F1773" s="264"/>
      <c r="G1773" s="264"/>
      <c r="H1773" s="264"/>
      <c r="I1773" s="264"/>
      <c r="J1773" s="327"/>
      <c r="K1773" s="327"/>
      <c r="L1773" s="327"/>
      <c r="M1773" s="321"/>
      <c r="N1773" s="321"/>
      <c r="O1773" s="364"/>
      <c r="P1773" s="381"/>
      <c r="R1773" s="392"/>
      <c r="S1773" s="61" ph="1"/>
      <c r="U1773" s="229"/>
      <c r="V1773" s="264"/>
      <c r="W1773" s="199"/>
      <c r="X1773" s="264"/>
      <c r="Y1773" s="264"/>
      <c r="Z1773" s="386"/>
      <c r="AA1773" s="126"/>
      <c r="AD1773" s="264"/>
      <c r="AE1773" s="264"/>
      <c r="AF1773" s="264"/>
      <c r="AG1773" s="264"/>
    </row>
    <row r="1774" spans="1:33" ht="26.25">
      <c r="A1774" s="264"/>
      <c r="B1774" s="264"/>
      <c r="C1774" s="264"/>
      <c r="D1774" s="264"/>
      <c r="E1774" s="264"/>
      <c r="F1774" s="264"/>
      <c r="G1774" s="264"/>
      <c r="H1774" s="264"/>
      <c r="I1774" s="264"/>
      <c r="J1774" s="327"/>
      <c r="K1774" s="327"/>
      <c r="L1774" s="327"/>
      <c r="M1774" s="321"/>
      <c r="N1774" s="321"/>
      <c r="O1774" s="364"/>
      <c r="P1774" s="381"/>
      <c r="R1774" s="392"/>
      <c r="S1774" s="61" ph="1"/>
      <c r="U1774" s="229"/>
      <c r="V1774" s="264"/>
      <c r="W1774" s="199"/>
      <c r="X1774" s="264"/>
      <c r="Y1774" s="264"/>
      <c r="Z1774" s="386"/>
      <c r="AA1774" s="126"/>
      <c r="AD1774" s="264"/>
      <c r="AE1774" s="264"/>
      <c r="AF1774" s="264"/>
      <c r="AG1774" s="264"/>
    </row>
    <row r="1775" spans="1:33" ht="26.25">
      <c r="A1775" s="264"/>
      <c r="B1775" s="264"/>
      <c r="C1775" s="264"/>
      <c r="D1775" s="264"/>
      <c r="E1775" s="264"/>
      <c r="F1775" s="264"/>
      <c r="G1775" s="264"/>
      <c r="H1775" s="264"/>
      <c r="I1775" s="264"/>
      <c r="J1775" s="327"/>
      <c r="K1775" s="327"/>
      <c r="L1775" s="327"/>
      <c r="M1775" s="321"/>
      <c r="N1775" s="321"/>
      <c r="O1775" s="364"/>
      <c r="P1775" s="381"/>
      <c r="R1775" s="392"/>
      <c r="S1775" s="61" ph="1"/>
      <c r="U1775" s="229"/>
      <c r="V1775" s="264"/>
      <c r="W1775" s="199"/>
      <c r="X1775" s="264"/>
      <c r="Y1775" s="264"/>
      <c r="Z1775" s="386"/>
      <c r="AA1775" s="126"/>
      <c r="AD1775" s="264"/>
      <c r="AE1775" s="264"/>
      <c r="AF1775" s="264"/>
      <c r="AG1775" s="264"/>
    </row>
    <row r="1776" spans="1:33" ht="26.25">
      <c r="A1776" s="264"/>
      <c r="B1776" s="264"/>
      <c r="C1776" s="264"/>
      <c r="D1776" s="264"/>
      <c r="E1776" s="264"/>
      <c r="F1776" s="264"/>
      <c r="G1776" s="264"/>
      <c r="H1776" s="264"/>
      <c r="I1776" s="264"/>
      <c r="J1776" s="327"/>
      <c r="K1776" s="327"/>
      <c r="L1776" s="327"/>
      <c r="M1776" s="321"/>
      <c r="N1776" s="321"/>
      <c r="O1776" s="364"/>
      <c r="P1776" s="381"/>
      <c r="R1776" s="392"/>
      <c r="S1776" s="61" ph="1"/>
      <c r="U1776" s="229"/>
      <c r="V1776" s="264"/>
      <c r="W1776" s="199"/>
      <c r="X1776" s="264"/>
      <c r="Y1776" s="264"/>
      <c r="Z1776" s="386"/>
      <c r="AA1776" s="126"/>
      <c r="AD1776" s="264"/>
      <c r="AE1776" s="264"/>
      <c r="AF1776" s="264"/>
      <c r="AG1776" s="264"/>
    </row>
    <row r="1777" spans="1:33" ht="26.25">
      <c r="A1777" s="264"/>
      <c r="B1777" s="264"/>
      <c r="C1777" s="264"/>
      <c r="D1777" s="264"/>
      <c r="E1777" s="264"/>
      <c r="F1777" s="264"/>
      <c r="G1777" s="264"/>
      <c r="H1777" s="264"/>
      <c r="I1777" s="264"/>
      <c r="J1777" s="327"/>
      <c r="K1777" s="327"/>
      <c r="L1777" s="327"/>
      <c r="M1777" s="321"/>
      <c r="N1777" s="321"/>
      <c r="O1777" s="364"/>
      <c r="P1777" s="381"/>
      <c r="R1777" s="392"/>
      <c r="S1777" s="61" ph="1"/>
      <c r="U1777" s="229"/>
      <c r="V1777" s="264"/>
      <c r="W1777" s="199"/>
      <c r="X1777" s="264"/>
      <c r="Y1777" s="264"/>
      <c r="Z1777" s="386"/>
      <c r="AA1777" s="126"/>
      <c r="AD1777" s="264"/>
      <c r="AE1777" s="264"/>
      <c r="AF1777" s="264"/>
      <c r="AG1777" s="264"/>
    </row>
    <row r="1778" spans="1:33" ht="26.25">
      <c r="A1778" s="264"/>
      <c r="B1778" s="264"/>
      <c r="C1778" s="264"/>
      <c r="D1778" s="264"/>
      <c r="E1778" s="264"/>
      <c r="F1778" s="264"/>
      <c r="G1778" s="264"/>
      <c r="H1778" s="264"/>
      <c r="I1778" s="264"/>
      <c r="J1778" s="327"/>
      <c r="K1778" s="327"/>
      <c r="L1778" s="327"/>
      <c r="M1778" s="321"/>
      <c r="N1778" s="321"/>
      <c r="O1778" s="364"/>
      <c r="P1778" s="381"/>
      <c r="R1778" s="392"/>
      <c r="S1778" s="61" ph="1"/>
      <c r="U1778" s="229"/>
      <c r="V1778" s="264"/>
      <c r="W1778" s="199"/>
      <c r="X1778" s="264"/>
      <c r="Y1778" s="264"/>
      <c r="Z1778" s="386"/>
      <c r="AA1778" s="126"/>
      <c r="AD1778" s="264"/>
      <c r="AE1778" s="264"/>
      <c r="AF1778" s="264"/>
      <c r="AG1778" s="264"/>
    </row>
    <row r="1779" spans="1:33" ht="26.25">
      <c r="A1779" s="264"/>
      <c r="B1779" s="264"/>
      <c r="C1779" s="264"/>
      <c r="D1779" s="264"/>
      <c r="E1779" s="264"/>
      <c r="F1779" s="264"/>
      <c r="G1779" s="264"/>
      <c r="H1779" s="264"/>
      <c r="I1779" s="264"/>
      <c r="J1779" s="327"/>
      <c r="K1779" s="327"/>
      <c r="L1779" s="327"/>
      <c r="M1779" s="321"/>
      <c r="N1779" s="321"/>
      <c r="O1779" s="364"/>
      <c r="P1779" s="381"/>
      <c r="R1779" s="392"/>
      <c r="S1779" s="61" ph="1"/>
      <c r="U1779" s="229"/>
      <c r="V1779" s="264"/>
      <c r="W1779" s="199"/>
      <c r="X1779" s="264"/>
      <c r="Y1779" s="264"/>
      <c r="Z1779" s="386"/>
      <c r="AA1779" s="126"/>
      <c r="AD1779" s="264"/>
      <c r="AE1779" s="264"/>
      <c r="AF1779" s="264"/>
      <c r="AG1779" s="264"/>
    </row>
    <row r="1780" spans="1:33" ht="26.25">
      <c r="A1780" s="264"/>
      <c r="B1780" s="264"/>
      <c r="C1780" s="264"/>
      <c r="D1780" s="264"/>
      <c r="E1780" s="264"/>
      <c r="F1780" s="264"/>
      <c r="G1780" s="264"/>
      <c r="H1780" s="264"/>
      <c r="I1780" s="264"/>
      <c r="J1780" s="327"/>
      <c r="K1780" s="327"/>
      <c r="L1780" s="327"/>
      <c r="M1780" s="321"/>
      <c r="N1780" s="321"/>
      <c r="O1780" s="364"/>
      <c r="P1780" s="381"/>
      <c r="R1780" s="392"/>
      <c r="S1780" s="61" ph="1"/>
      <c r="U1780" s="229"/>
      <c r="V1780" s="264"/>
      <c r="W1780" s="199"/>
      <c r="X1780" s="264"/>
      <c r="Y1780" s="264"/>
      <c r="Z1780" s="386"/>
      <c r="AA1780" s="126"/>
      <c r="AD1780" s="264"/>
      <c r="AE1780" s="264"/>
      <c r="AF1780" s="264"/>
      <c r="AG1780" s="264"/>
    </row>
    <row r="1781" spans="1:33" ht="26.25">
      <c r="A1781" s="264"/>
      <c r="B1781" s="264"/>
      <c r="C1781" s="264"/>
      <c r="D1781" s="264"/>
      <c r="E1781" s="264"/>
      <c r="F1781" s="264"/>
      <c r="G1781" s="264"/>
      <c r="H1781" s="264"/>
      <c r="I1781" s="264"/>
      <c r="J1781" s="327"/>
      <c r="K1781" s="327"/>
      <c r="L1781" s="327"/>
      <c r="M1781" s="321"/>
      <c r="N1781" s="321"/>
      <c r="O1781" s="364"/>
      <c r="P1781" s="381"/>
      <c r="R1781" s="392"/>
      <c r="S1781" s="61" ph="1"/>
      <c r="U1781" s="229"/>
      <c r="V1781" s="264"/>
      <c r="W1781" s="199"/>
      <c r="X1781" s="264"/>
      <c r="Y1781" s="264"/>
      <c r="Z1781" s="386"/>
      <c r="AA1781" s="126"/>
      <c r="AD1781" s="264"/>
      <c r="AE1781" s="264"/>
      <c r="AF1781" s="264"/>
      <c r="AG1781" s="264"/>
    </row>
    <row r="1782" spans="1:33" ht="26.25">
      <c r="A1782" s="264"/>
      <c r="B1782" s="264"/>
      <c r="C1782" s="264"/>
      <c r="D1782" s="264"/>
      <c r="E1782" s="264"/>
      <c r="F1782" s="264"/>
      <c r="G1782" s="264"/>
      <c r="H1782" s="264"/>
      <c r="I1782" s="264"/>
      <c r="J1782" s="327"/>
      <c r="K1782" s="327"/>
      <c r="L1782" s="327"/>
      <c r="M1782" s="321"/>
      <c r="N1782" s="321"/>
      <c r="O1782" s="364"/>
      <c r="P1782" s="381"/>
      <c r="R1782" s="392"/>
      <c r="S1782" s="61" ph="1"/>
      <c r="U1782" s="229"/>
      <c r="V1782" s="264"/>
      <c r="W1782" s="199"/>
      <c r="X1782" s="264"/>
      <c r="Y1782" s="264"/>
      <c r="Z1782" s="386"/>
      <c r="AA1782" s="126"/>
      <c r="AD1782" s="264"/>
      <c r="AE1782" s="264"/>
      <c r="AF1782" s="264"/>
      <c r="AG1782" s="264"/>
    </row>
    <row r="1783" spans="1:33" ht="26.25">
      <c r="A1783" s="264"/>
      <c r="B1783" s="264"/>
      <c r="C1783" s="264"/>
      <c r="D1783" s="264"/>
      <c r="E1783" s="264"/>
      <c r="F1783" s="264"/>
      <c r="G1783" s="264"/>
      <c r="H1783" s="264"/>
      <c r="I1783" s="264"/>
      <c r="J1783" s="327"/>
      <c r="K1783" s="327"/>
      <c r="L1783" s="327"/>
      <c r="M1783" s="321"/>
      <c r="N1783" s="321"/>
      <c r="O1783" s="364"/>
      <c r="P1783" s="381"/>
      <c r="R1783" s="392"/>
      <c r="S1783" s="61" ph="1"/>
      <c r="U1783" s="229"/>
      <c r="V1783" s="264"/>
      <c r="W1783" s="199"/>
      <c r="X1783" s="264"/>
      <c r="Y1783" s="264"/>
      <c r="Z1783" s="386"/>
      <c r="AA1783" s="126"/>
      <c r="AD1783" s="264"/>
      <c r="AE1783" s="264"/>
      <c r="AF1783" s="264"/>
      <c r="AG1783" s="264"/>
    </row>
    <row r="1784" spans="1:33" ht="26.25">
      <c r="A1784" s="264"/>
      <c r="B1784" s="264"/>
      <c r="C1784" s="264"/>
      <c r="D1784" s="264"/>
      <c r="E1784" s="264"/>
      <c r="F1784" s="264"/>
      <c r="G1784" s="264"/>
      <c r="H1784" s="264"/>
      <c r="I1784" s="264"/>
      <c r="J1784" s="327"/>
      <c r="K1784" s="327"/>
      <c r="L1784" s="327"/>
      <c r="M1784" s="321"/>
      <c r="N1784" s="321"/>
      <c r="O1784" s="364"/>
      <c r="P1784" s="381"/>
      <c r="R1784" s="392"/>
      <c r="S1784" s="61" ph="1"/>
      <c r="U1784" s="229"/>
      <c r="V1784" s="264"/>
      <c r="W1784" s="199"/>
      <c r="X1784" s="264"/>
      <c r="Y1784" s="264"/>
      <c r="Z1784" s="386"/>
      <c r="AA1784" s="126"/>
      <c r="AD1784" s="264"/>
      <c r="AE1784" s="264"/>
      <c r="AF1784" s="264"/>
      <c r="AG1784" s="264"/>
    </row>
    <row r="1785" spans="1:33" ht="26.25">
      <c r="A1785" s="264"/>
      <c r="B1785" s="264"/>
      <c r="C1785" s="264"/>
      <c r="D1785" s="264"/>
      <c r="E1785" s="264"/>
      <c r="F1785" s="264"/>
      <c r="G1785" s="264"/>
      <c r="H1785" s="264"/>
      <c r="I1785" s="264"/>
      <c r="J1785" s="327"/>
      <c r="K1785" s="327"/>
      <c r="L1785" s="327"/>
      <c r="M1785" s="321"/>
      <c r="N1785" s="321"/>
      <c r="O1785" s="364"/>
      <c r="P1785" s="381"/>
      <c r="R1785" s="392"/>
      <c r="S1785" s="61" ph="1"/>
      <c r="U1785" s="229"/>
      <c r="V1785" s="264"/>
      <c r="W1785" s="199"/>
      <c r="X1785" s="264"/>
      <c r="Y1785" s="264"/>
      <c r="Z1785" s="386"/>
      <c r="AA1785" s="126"/>
      <c r="AD1785" s="264"/>
      <c r="AE1785" s="264"/>
      <c r="AF1785" s="264"/>
      <c r="AG1785" s="264"/>
    </row>
    <row r="1786" spans="1:33" ht="26.25">
      <c r="A1786" s="264"/>
      <c r="B1786" s="264"/>
      <c r="C1786" s="264"/>
      <c r="D1786" s="264"/>
      <c r="E1786" s="264"/>
      <c r="F1786" s="264"/>
      <c r="G1786" s="264"/>
      <c r="H1786" s="264"/>
      <c r="I1786" s="264"/>
      <c r="J1786" s="327"/>
      <c r="K1786" s="327"/>
      <c r="L1786" s="327"/>
      <c r="M1786" s="321"/>
      <c r="N1786" s="321"/>
      <c r="O1786" s="364"/>
      <c r="P1786" s="381"/>
      <c r="R1786" s="392"/>
      <c r="S1786" s="61" ph="1"/>
      <c r="U1786" s="229"/>
      <c r="V1786" s="264"/>
      <c r="W1786" s="199"/>
      <c r="X1786" s="264"/>
      <c r="Y1786" s="264"/>
      <c r="Z1786" s="386"/>
      <c r="AA1786" s="126"/>
      <c r="AD1786" s="264"/>
      <c r="AE1786" s="264"/>
      <c r="AF1786" s="264"/>
      <c r="AG1786" s="264"/>
    </row>
    <row r="1787" spans="1:33" ht="26.25">
      <c r="A1787" s="264"/>
      <c r="B1787" s="264"/>
      <c r="C1787" s="264"/>
      <c r="D1787" s="264"/>
      <c r="E1787" s="264"/>
      <c r="F1787" s="264"/>
      <c r="G1787" s="264"/>
      <c r="H1787" s="264"/>
      <c r="I1787" s="264"/>
      <c r="J1787" s="327"/>
      <c r="K1787" s="327"/>
      <c r="L1787" s="327"/>
      <c r="M1787" s="321"/>
      <c r="N1787" s="321"/>
      <c r="O1787" s="364"/>
      <c r="P1787" s="381"/>
      <c r="R1787" s="392"/>
      <c r="S1787" s="61" ph="1"/>
      <c r="U1787" s="229"/>
      <c r="V1787" s="264"/>
      <c r="W1787" s="199"/>
      <c r="X1787" s="264"/>
      <c r="Y1787" s="264"/>
      <c r="Z1787" s="386"/>
      <c r="AA1787" s="126"/>
      <c r="AD1787" s="264"/>
      <c r="AE1787" s="264"/>
      <c r="AF1787" s="264"/>
      <c r="AG1787" s="264"/>
    </row>
    <row r="1788" spans="1:33" ht="26.25">
      <c r="A1788" s="264"/>
      <c r="B1788" s="264"/>
      <c r="C1788" s="264"/>
      <c r="D1788" s="264"/>
      <c r="E1788" s="264"/>
      <c r="F1788" s="264"/>
      <c r="G1788" s="264"/>
      <c r="H1788" s="264"/>
      <c r="I1788" s="264"/>
      <c r="J1788" s="327"/>
      <c r="K1788" s="327"/>
      <c r="L1788" s="327"/>
      <c r="M1788" s="321"/>
      <c r="N1788" s="321"/>
      <c r="O1788" s="364"/>
      <c r="P1788" s="381"/>
      <c r="R1788" s="392"/>
      <c r="S1788" s="61" ph="1"/>
      <c r="U1788" s="229"/>
      <c r="V1788" s="264"/>
      <c r="W1788" s="199"/>
      <c r="X1788" s="264"/>
      <c r="Y1788" s="264"/>
      <c r="Z1788" s="386"/>
      <c r="AA1788" s="126"/>
      <c r="AD1788" s="264"/>
      <c r="AE1788" s="264"/>
      <c r="AF1788" s="264"/>
      <c r="AG1788" s="264"/>
    </row>
    <row r="1789" spans="1:33" ht="26.25">
      <c r="A1789" s="264"/>
      <c r="B1789" s="264"/>
      <c r="C1789" s="264"/>
      <c r="D1789" s="264"/>
      <c r="E1789" s="264"/>
      <c r="F1789" s="264"/>
      <c r="G1789" s="264"/>
      <c r="H1789" s="264"/>
      <c r="I1789" s="264"/>
      <c r="J1789" s="327"/>
      <c r="K1789" s="327"/>
      <c r="L1789" s="327"/>
      <c r="M1789" s="321"/>
      <c r="N1789" s="321"/>
      <c r="O1789" s="364"/>
      <c r="P1789" s="381"/>
      <c r="R1789" s="392"/>
      <c r="S1789" s="61" ph="1"/>
      <c r="U1789" s="229"/>
      <c r="V1789" s="264"/>
      <c r="W1789" s="199"/>
      <c r="X1789" s="264"/>
      <c r="Y1789" s="264"/>
      <c r="Z1789" s="386"/>
      <c r="AA1789" s="126"/>
      <c r="AD1789" s="264"/>
      <c r="AE1789" s="264"/>
      <c r="AF1789" s="264"/>
      <c r="AG1789" s="264"/>
    </row>
    <row r="1790" spans="1:33" ht="26.25">
      <c r="A1790" s="264"/>
      <c r="B1790" s="264"/>
      <c r="C1790" s="264"/>
      <c r="D1790" s="264"/>
      <c r="E1790" s="264"/>
      <c r="F1790" s="264"/>
      <c r="G1790" s="264"/>
      <c r="H1790" s="264"/>
      <c r="I1790" s="264"/>
      <c r="J1790" s="327"/>
      <c r="K1790" s="327"/>
      <c r="L1790" s="327"/>
      <c r="M1790" s="321"/>
      <c r="N1790" s="321"/>
      <c r="O1790" s="364"/>
      <c r="P1790" s="381"/>
      <c r="R1790" s="392"/>
      <c r="S1790" s="61" ph="1"/>
      <c r="U1790" s="229"/>
      <c r="V1790" s="264"/>
      <c r="W1790" s="199"/>
      <c r="X1790" s="264"/>
      <c r="Y1790" s="264"/>
      <c r="Z1790" s="386"/>
      <c r="AA1790" s="126"/>
      <c r="AD1790" s="264"/>
      <c r="AE1790" s="264"/>
      <c r="AF1790" s="264"/>
      <c r="AG1790" s="264"/>
    </row>
    <row r="1791" spans="1:33" ht="26.25">
      <c r="A1791" s="264"/>
      <c r="B1791" s="264"/>
      <c r="C1791" s="264"/>
      <c r="D1791" s="264"/>
      <c r="E1791" s="264"/>
      <c r="F1791" s="264"/>
      <c r="G1791" s="264"/>
      <c r="H1791" s="264"/>
      <c r="I1791" s="264"/>
      <c r="J1791" s="327"/>
      <c r="K1791" s="327"/>
      <c r="L1791" s="327"/>
      <c r="M1791" s="321"/>
      <c r="N1791" s="321"/>
      <c r="O1791" s="364"/>
      <c r="P1791" s="381"/>
      <c r="R1791" s="392"/>
      <c r="S1791" s="61" ph="1"/>
      <c r="U1791" s="229"/>
      <c r="V1791" s="264"/>
      <c r="W1791" s="199"/>
      <c r="X1791" s="264"/>
      <c r="Y1791" s="264"/>
      <c r="Z1791" s="386"/>
      <c r="AA1791" s="126"/>
      <c r="AD1791" s="264"/>
      <c r="AE1791" s="264"/>
      <c r="AF1791" s="264"/>
      <c r="AG1791" s="264"/>
    </row>
    <row r="1792" spans="1:33" ht="26.25">
      <c r="A1792" s="264"/>
      <c r="B1792" s="264"/>
      <c r="C1792" s="264"/>
      <c r="D1792" s="264"/>
      <c r="E1792" s="264"/>
      <c r="F1792" s="264"/>
      <c r="G1792" s="264"/>
      <c r="H1792" s="264"/>
      <c r="I1792" s="264"/>
      <c r="J1792" s="327"/>
      <c r="K1792" s="327"/>
      <c r="L1792" s="327"/>
      <c r="M1792" s="321"/>
      <c r="N1792" s="321"/>
      <c r="O1792" s="364"/>
      <c r="P1792" s="381"/>
      <c r="R1792" s="392"/>
      <c r="S1792" s="61" ph="1"/>
      <c r="U1792" s="229"/>
      <c r="V1792" s="264"/>
      <c r="W1792" s="199"/>
      <c r="X1792" s="264"/>
      <c r="Y1792" s="264"/>
      <c r="Z1792" s="386"/>
      <c r="AA1792" s="264"/>
      <c r="AD1792" s="264"/>
      <c r="AE1792" s="264"/>
      <c r="AF1792" s="264"/>
      <c r="AG1792" s="264"/>
    </row>
    <row r="1793" spans="1:33" ht="26.25">
      <c r="A1793" s="264"/>
      <c r="B1793" s="264"/>
      <c r="C1793" s="264"/>
      <c r="D1793" s="264"/>
      <c r="E1793" s="264"/>
      <c r="F1793" s="264"/>
      <c r="G1793" s="264"/>
      <c r="H1793" s="264"/>
      <c r="I1793" s="264"/>
      <c r="J1793" s="327"/>
      <c r="K1793" s="327"/>
      <c r="L1793" s="327"/>
      <c r="M1793" s="321"/>
      <c r="N1793" s="321"/>
      <c r="O1793" s="364"/>
      <c r="P1793" s="381"/>
      <c r="R1793" s="392"/>
      <c r="S1793" s="61" ph="1"/>
      <c r="U1793" s="229"/>
      <c r="V1793" s="264"/>
      <c r="W1793" s="199"/>
      <c r="X1793" s="264"/>
      <c r="Y1793" s="264"/>
      <c r="Z1793" s="386"/>
      <c r="AA1793" s="126"/>
      <c r="AD1793" s="264"/>
      <c r="AE1793" s="264"/>
      <c r="AF1793" s="264"/>
      <c r="AG1793" s="264"/>
    </row>
    <row r="1794" spans="1:33" ht="26.25">
      <c r="A1794" s="264"/>
      <c r="B1794" s="264"/>
      <c r="C1794" s="264"/>
      <c r="D1794" s="264"/>
      <c r="E1794" s="264"/>
      <c r="F1794" s="264"/>
      <c r="G1794" s="264"/>
      <c r="H1794" s="264"/>
      <c r="I1794" s="264"/>
      <c r="J1794" s="327"/>
      <c r="K1794" s="327"/>
      <c r="L1794" s="327"/>
      <c r="M1794" s="321"/>
      <c r="N1794" s="321"/>
      <c r="O1794" s="364"/>
      <c r="P1794" s="381"/>
      <c r="R1794" s="392"/>
      <c r="S1794" s="61" ph="1"/>
      <c r="U1794" s="229"/>
      <c r="V1794" s="264"/>
      <c r="W1794" s="199"/>
      <c r="X1794" s="264"/>
      <c r="Y1794" s="264"/>
      <c r="Z1794" s="386"/>
      <c r="AA1794" s="126"/>
      <c r="AD1794" s="264"/>
      <c r="AE1794" s="264"/>
      <c r="AF1794" s="264"/>
      <c r="AG1794" s="264"/>
    </row>
    <row r="1795" spans="1:33" ht="26.25">
      <c r="A1795" s="264"/>
      <c r="B1795" s="264"/>
      <c r="C1795" s="264"/>
      <c r="D1795" s="264"/>
      <c r="E1795" s="264"/>
      <c r="F1795" s="264"/>
      <c r="G1795" s="264"/>
      <c r="H1795" s="264"/>
      <c r="I1795" s="264"/>
      <c r="J1795" s="327"/>
      <c r="K1795" s="327"/>
      <c r="L1795" s="327"/>
      <c r="M1795" s="321"/>
      <c r="N1795" s="321"/>
      <c r="O1795" s="364"/>
      <c r="P1795" s="381"/>
      <c r="R1795" s="392"/>
      <c r="S1795" s="61" ph="1"/>
      <c r="U1795" s="229"/>
      <c r="V1795" s="264"/>
      <c r="W1795" s="199"/>
      <c r="X1795" s="264"/>
      <c r="Y1795" s="264"/>
      <c r="Z1795" s="386"/>
      <c r="AA1795" s="126"/>
      <c r="AD1795" s="264"/>
      <c r="AE1795" s="264"/>
      <c r="AF1795" s="264"/>
      <c r="AG1795" s="264"/>
    </row>
    <row r="1796" spans="1:33" ht="26.25">
      <c r="A1796" s="264"/>
      <c r="B1796" s="264"/>
      <c r="C1796" s="264"/>
      <c r="D1796" s="264"/>
      <c r="E1796" s="264"/>
      <c r="F1796" s="264"/>
      <c r="G1796" s="264"/>
      <c r="H1796" s="264"/>
      <c r="I1796" s="264"/>
      <c r="J1796" s="327"/>
      <c r="K1796" s="327"/>
      <c r="L1796" s="327"/>
      <c r="M1796" s="321"/>
      <c r="N1796" s="321"/>
      <c r="O1796" s="364"/>
      <c r="P1796" s="381"/>
      <c r="R1796" s="392"/>
      <c r="S1796" s="61" ph="1"/>
      <c r="U1796" s="229"/>
      <c r="V1796" s="264"/>
      <c r="W1796" s="199"/>
      <c r="X1796" s="264"/>
      <c r="Y1796" s="264"/>
      <c r="Z1796" s="386"/>
      <c r="AA1796" s="126"/>
      <c r="AD1796" s="264"/>
      <c r="AE1796" s="264"/>
      <c r="AF1796" s="264"/>
      <c r="AG1796" s="264"/>
    </row>
    <row r="1797" spans="1:33" ht="26.25">
      <c r="A1797" s="264"/>
      <c r="B1797" s="264"/>
      <c r="C1797" s="264"/>
      <c r="D1797" s="264"/>
      <c r="E1797" s="264"/>
      <c r="F1797" s="264"/>
      <c r="G1797" s="264"/>
      <c r="H1797" s="264"/>
      <c r="I1797" s="264"/>
      <c r="J1797" s="327"/>
      <c r="K1797" s="327"/>
      <c r="L1797" s="327"/>
      <c r="M1797" s="321"/>
      <c r="N1797" s="321"/>
      <c r="O1797" s="364"/>
      <c r="P1797" s="381"/>
      <c r="R1797" s="392"/>
      <c r="S1797" s="61" ph="1"/>
      <c r="U1797" s="229"/>
      <c r="V1797" s="264"/>
      <c r="W1797" s="199"/>
      <c r="X1797" s="264"/>
      <c r="Y1797" s="264"/>
      <c r="Z1797" s="386"/>
      <c r="AA1797" s="126"/>
      <c r="AD1797" s="264"/>
      <c r="AE1797" s="264"/>
      <c r="AF1797" s="264"/>
      <c r="AG1797" s="264"/>
    </row>
    <row r="1798" spans="1:33" ht="26.25">
      <c r="A1798" s="264"/>
      <c r="B1798" s="264"/>
      <c r="C1798" s="264"/>
      <c r="D1798" s="264"/>
      <c r="E1798" s="264"/>
      <c r="F1798" s="264"/>
      <c r="G1798" s="264"/>
      <c r="H1798" s="264"/>
      <c r="I1798" s="264"/>
      <c r="J1798" s="327"/>
      <c r="K1798" s="327"/>
      <c r="L1798" s="327"/>
      <c r="M1798" s="321"/>
      <c r="N1798" s="321"/>
      <c r="O1798" s="364"/>
      <c r="P1798" s="381"/>
      <c r="R1798" s="392"/>
      <c r="S1798" s="61" ph="1"/>
      <c r="U1798" s="229"/>
      <c r="V1798" s="264"/>
      <c r="W1798" s="199"/>
      <c r="X1798" s="264"/>
      <c r="Y1798" s="264"/>
      <c r="Z1798" s="386"/>
      <c r="AA1798" s="126"/>
      <c r="AD1798" s="264"/>
      <c r="AE1798" s="264"/>
      <c r="AF1798" s="264"/>
      <c r="AG1798" s="264"/>
    </row>
    <row r="1799" spans="1:33" ht="26.25">
      <c r="A1799" s="264"/>
      <c r="B1799" s="264"/>
      <c r="C1799" s="264"/>
      <c r="D1799" s="264"/>
      <c r="E1799" s="264"/>
      <c r="F1799" s="264"/>
      <c r="G1799" s="264"/>
      <c r="H1799" s="264"/>
      <c r="I1799" s="264"/>
      <c r="J1799" s="327"/>
      <c r="K1799" s="327"/>
      <c r="L1799" s="327"/>
      <c r="M1799" s="321"/>
      <c r="N1799" s="321"/>
      <c r="O1799" s="364"/>
      <c r="P1799" s="381"/>
      <c r="R1799" s="392"/>
      <c r="S1799" s="61" ph="1"/>
      <c r="U1799" s="229"/>
      <c r="V1799" s="264"/>
      <c r="W1799" s="199"/>
      <c r="X1799" s="264"/>
      <c r="Y1799" s="264"/>
      <c r="Z1799" s="386"/>
      <c r="AA1799" s="126"/>
      <c r="AD1799" s="264"/>
      <c r="AE1799" s="264"/>
      <c r="AF1799" s="264"/>
      <c r="AG1799" s="264"/>
    </row>
    <row r="1800" spans="1:33" ht="26.25">
      <c r="A1800" s="264"/>
      <c r="B1800" s="264"/>
      <c r="C1800" s="264"/>
      <c r="D1800" s="264"/>
      <c r="E1800" s="264"/>
      <c r="F1800" s="264"/>
      <c r="G1800" s="264"/>
      <c r="H1800" s="264"/>
      <c r="I1800" s="264"/>
      <c r="J1800" s="327"/>
      <c r="K1800" s="327"/>
      <c r="L1800" s="327"/>
      <c r="M1800" s="321"/>
      <c r="N1800" s="321"/>
      <c r="O1800" s="364"/>
      <c r="P1800" s="381"/>
      <c r="R1800" s="392"/>
      <c r="S1800" s="61" ph="1"/>
      <c r="U1800" s="229"/>
      <c r="V1800" s="264"/>
      <c r="W1800" s="199"/>
      <c r="X1800" s="264"/>
      <c r="Y1800" s="264"/>
      <c r="Z1800" s="386"/>
      <c r="AA1800" s="126"/>
      <c r="AD1800" s="264"/>
      <c r="AE1800" s="264"/>
      <c r="AF1800" s="264"/>
      <c r="AG1800" s="264"/>
    </row>
    <row r="1801" spans="1:33" ht="26.25">
      <c r="A1801" s="264"/>
      <c r="B1801" s="264"/>
      <c r="C1801" s="264"/>
      <c r="D1801" s="264"/>
      <c r="E1801" s="264"/>
      <c r="F1801" s="264"/>
      <c r="G1801" s="264"/>
      <c r="H1801" s="264"/>
      <c r="I1801" s="264"/>
      <c r="J1801" s="327"/>
      <c r="K1801" s="327"/>
      <c r="L1801" s="327"/>
      <c r="M1801" s="321"/>
      <c r="N1801" s="321"/>
      <c r="O1801" s="364"/>
      <c r="P1801" s="381"/>
      <c r="R1801" s="392"/>
      <c r="S1801" s="61" ph="1"/>
      <c r="U1801" s="229"/>
      <c r="V1801" s="264"/>
      <c r="W1801" s="199"/>
      <c r="X1801" s="264"/>
      <c r="Y1801" s="264"/>
      <c r="Z1801" s="386"/>
      <c r="AA1801" s="126"/>
      <c r="AD1801" s="264"/>
      <c r="AE1801" s="264"/>
      <c r="AF1801" s="264"/>
      <c r="AG1801" s="264"/>
    </row>
    <row r="1802" spans="1:33" ht="26.25">
      <c r="A1802" s="264"/>
      <c r="B1802" s="264"/>
      <c r="C1802" s="264"/>
      <c r="D1802" s="264"/>
      <c r="E1802" s="264"/>
      <c r="F1802" s="264"/>
      <c r="G1802" s="264"/>
      <c r="H1802" s="264"/>
      <c r="I1802" s="264"/>
      <c r="J1802" s="327"/>
      <c r="K1802" s="327"/>
      <c r="L1802" s="327"/>
      <c r="M1802" s="321"/>
      <c r="N1802" s="321"/>
      <c r="O1802" s="364"/>
      <c r="P1802" s="381"/>
      <c r="R1802" s="392"/>
      <c r="S1802" s="61" ph="1"/>
      <c r="U1802" s="229"/>
      <c r="V1802" s="264"/>
      <c r="W1802" s="199"/>
      <c r="X1802" s="264"/>
      <c r="Y1802" s="264"/>
      <c r="Z1802" s="386"/>
      <c r="AA1802" s="126"/>
      <c r="AD1802" s="264"/>
      <c r="AE1802" s="264"/>
      <c r="AF1802" s="264"/>
      <c r="AG1802" s="264"/>
    </row>
    <row r="1803" spans="1:33" ht="26.25">
      <c r="A1803" s="264"/>
      <c r="B1803" s="264"/>
      <c r="C1803" s="264"/>
      <c r="D1803" s="264"/>
      <c r="E1803" s="264"/>
      <c r="F1803" s="264"/>
      <c r="G1803" s="264"/>
      <c r="H1803" s="264"/>
      <c r="I1803" s="264"/>
      <c r="J1803" s="327"/>
      <c r="K1803" s="327"/>
      <c r="L1803" s="327"/>
      <c r="M1803" s="321"/>
      <c r="N1803" s="321"/>
      <c r="O1803" s="364"/>
      <c r="P1803" s="381"/>
      <c r="R1803" s="392"/>
      <c r="S1803" s="61" ph="1"/>
      <c r="U1803" s="229"/>
      <c r="V1803" s="264"/>
      <c r="W1803" s="199"/>
      <c r="X1803" s="264"/>
      <c r="Y1803" s="264"/>
      <c r="Z1803" s="386"/>
      <c r="AA1803" s="126"/>
      <c r="AD1803" s="264"/>
      <c r="AE1803" s="264"/>
      <c r="AF1803" s="264"/>
      <c r="AG1803" s="264"/>
    </row>
    <row r="1804" spans="1:33" ht="26.25">
      <c r="A1804" s="264"/>
      <c r="B1804" s="264"/>
      <c r="C1804" s="264"/>
      <c r="D1804" s="264"/>
      <c r="E1804" s="264"/>
      <c r="F1804" s="264"/>
      <c r="G1804" s="264"/>
      <c r="H1804" s="264"/>
      <c r="I1804" s="264"/>
      <c r="J1804" s="327"/>
      <c r="K1804" s="327"/>
      <c r="L1804" s="327"/>
      <c r="M1804" s="321"/>
      <c r="N1804" s="321"/>
      <c r="O1804" s="364"/>
      <c r="P1804" s="381"/>
      <c r="R1804" s="392"/>
      <c r="S1804" s="61" ph="1"/>
      <c r="U1804" s="229"/>
      <c r="V1804" s="264"/>
      <c r="W1804" s="199"/>
      <c r="X1804" s="264"/>
      <c r="Y1804" s="264"/>
      <c r="Z1804" s="386"/>
      <c r="AA1804" s="126"/>
      <c r="AD1804" s="264"/>
      <c r="AE1804" s="264"/>
      <c r="AF1804" s="264"/>
      <c r="AG1804" s="264"/>
    </row>
    <row r="1805" spans="1:33" ht="26.25">
      <c r="A1805" s="264"/>
      <c r="B1805" s="264"/>
      <c r="C1805" s="264"/>
      <c r="D1805" s="264"/>
      <c r="E1805" s="264"/>
      <c r="F1805" s="264"/>
      <c r="G1805" s="264"/>
      <c r="H1805" s="264"/>
      <c r="I1805" s="264"/>
      <c r="J1805" s="327"/>
      <c r="K1805" s="327"/>
      <c r="L1805" s="327"/>
      <c r="M1805" s="321"/>
      <c r="N1805" s="321"/>
      <c r="O1805" s="364"/>
      <c r="P1805" s="381"/>
      <c r="R1805" s="392"/>
      <c r="S1805" s="61" ph="1"/>
      <c r="U1805" s="229"/>
      <c r="V1805" s="264"/>
      <c r="W1805" s="199"/>
      <c r="X1805" s="264"/>
      <c r="Y1805" s="264"/>
      <c r="Z1805" s="386"/>
      <c r="AA1805" s="126"/>
      <c r="AD1805" s="264"/>
      <c r="AE1805" s="264"/>
      <c r="AF1805" s="264"/>
      <c r="AG1805" s="264"/>
    </row>
    <row r="1806" spans="1:33" ht="26.25">
      <c r="A1806" s="264"/>
      <c r="B1806" s="264"/>
      <c r="C1806" s="264"/>
      <c r="D1806" s="264"/>
      <c r="E1806" s="264"/>
      <c r="F1806" s="264"/>
      <c r="G1806" s="264"/>
      <c r="H1806" s="264"/>
      <c r="I1806" s="264"/>
      <c r="J1806" s="327"/>
      <c r="K1806" s="327"/>
      <c r="L1806" s="327"/>
      <c r="M1806" s="321"/>
      <c r="N1806" s="321"/>
      <c r="O1806" s="364"/>
      <c r="P1806" s="381"/>
      <c r="R1806" s="392"/>
      <c r="S1806" s="61" ph="1"/>
      <c r="U1806" s="229"/>
      <c r="V1806" s="264"/>
      <c r="W1806" s="199"/>
      <c r="X1806" s="264"/>
      <c r="Y1806" s="264"/>
      <c r="Z1806" s="386"/>
      <c r="AA1806" s="126"/>
      <c r="AD1806" s="264"/>
      <c r="AE1806" s="264"/>
      <c r="AF1806" s="264"/>
      <c r="AG1806" s="264"/>
    </row>
    <row r="1807" spans="1:33" ht="26.25">
      <c r="A1807" s="264"/>
      <c r="B1807" s="264"/>
      <c r="C1807" s="264"/>
      <c r="D1807" s="264"/>
      <c r="E1807" s="264"/>
      <c r="F1807" s="264"/>
      <c r="G1807" s="264"/>
      <c r="H1807" s="264"/>
      <c r="I1807" s="264"/>
      <c r="J1807" s="327"/>
      <c r="K1807" s="327"/>
      <c r="L1807" s="327"/>
      <c r="M1807" s="321"/>
      <c r="N1807" s="321"/>
      <c r="O1807" s="364"/>
      <c r="P1807" s="381"/>
      <c r="R1807" s="392"/>
      <c r="S1807" s="61" ph="1"/>
      <c r="U1807" s="229"/>
      <c r="V1807" s="264"/>
      <c r="W1807" s="199"/>
      <c r="X1807" s="264"/>
      <c r="Y1807" s="264"/>
      <c r="Z1807" s="386"/>
      <c r="AA1807" s="126"/>
      <c r="AD1807" s="264"/>
      <c r="AE1807" s="264"/>
      <c r="AF1807" s="264"/>
      <c r="AG1807" s="264"/>
    </row>
    <row r="1808" spans="1:33" ht="26.25">
      <c r="A1808" s="264"/>
      <c r="B1808" s="264"/>
      <c r="C1808" s="264"/>
      <c r="D1808" s="264"/>
      <c r="E1808" s="264"/>
      <c r="F1808" s="264"/>
      <c r="G1808" s="264"/>
      <c r="H1808" s="264"/>
      <c r="I1808" s="264"/>
      <c r="J1808" s="327"/>
      <c r="K1808" s="327"/>
      <c r="L1808" s="327"/>
      <c r="M1808" s="321"/>
      <c r="N1808" s="321"/>
      <c r="O1808" s="364"/>
      <c r="P1808" s="381"/>
      <c r="R1808" s="392"/>
      <c r="S1808" s="61" ph="1"/>
      <c r="U1808" s="229"/>
      <c r="V1808" s="264"/>
      <c r="W1808" s="199"/>
      <c r="X1808" s="264"/>
      <c r="Y1808" s="264"/>
      <c r="Z1808" s="386"/>
      <c r="AA1808" s="126"/>
      <c r="AD1808" s="264"/>
      <c r="AE1808" s="264"/>
      <c r="AF1808" s="264"/>
      <c r="AG1808" s="264"/>
    </row>
    <row r="1809" spans="1:33" ht="26.25">
      <c r="A1809" s="264"/>
      <c r="B1809" s="264"/>
      <c r="C1809" s="264"/>
      <c r="D1809" s="264"/>
      <c r="E1809" s="264"/>
      <c r="F1809" s="264"/>
      <c r="G1809" s="264"/>
      <c r="H1809" s="264"/>
      <c r="I1809" s="264"/>
      <c r="J1809" s="327"/>
      <c r="K1809" s="327"/>
      <c r="L1809" s="327"/>
      <c r="M1809" s="321"/>
      <c r="N1809" s="321"/>
      <c r="O1809" s="364"/>
      <c r="P1809" s="381"/>
      <c r="R1809" s="392"/>
      <c r="S1809" s="61" ph="1"/>
      <c r="U1809" s="229"/>
      <c r="V1809" s="264"/>
      <c r="W1809" s="199"/>
      <c r="X1809" s="264"/>
      <c r="Y1809" s="264"/>
      <c r="Z1809" s="386"/>
      <c r="AA1809" s="126"/>
      <c r="AD1809" s="264"/>
      <c r="AE1809" s="264"/>
      <c r="AF1809" s="264"/>
      <c r="AG1809" s="264"/>
    </row>
    <row r="1810" spans="1:33" ht="26.25">
      <c r="A1810" s="264"/>
      <c r="B1810" s="264"/>
      <c r="C1810" s="264"/>
      <c r="D1810" s="264"/>
      <c r="E1810" s="264"/>
      <c r="F1810" s="264"/>
      <c r="G1810" s="264"/>
      <c r="H1810" s="264"/>
      <c r="I1810" s="264"/>
      <c r="J1810" s="327"/>
      <c r="K1810" s="327"/>
      <c r="L1810" s="327"/>
      <c r="M1810" s="321"/>
      <c r="N1810" s="321"/>
      <c r="O1810" s="364"/>
      <c r="P1810" s="381"/>
      <c r="R1810" s="392"/>
      <c r="S1810" s="61" ph="1"/>
      <c r="U1810" s="229"/>
      <c r="V1810" s="264"/>
      <c r="W1810" s="199"/>
      <c r="X1810" s="264"/>
      <c r="Y1810" s="264"/>
      <c r="Z1810" s="386"/>
      <c r="AA1810" s="126"/>
      <c r="AD1810" s="264"/>
      <c r="AE1810" s="264"/>
      <c r="AF1810" s="264"/>
      <c r="AG1810" s="264"/>
    </row>
    <row r="1811" spans="1:33" ht="26.25">
      <c r="A1811" s="264"/>
      <c r="B1811" s="264"/>
      <c r="C1811" s="264"/>
      <c r="D1811" s="264"/>
      <c r="E1811" s="264"/>
      <c r="F1811" s="264"/>
      <c r="G1811" s="264"/>
      <c r="H1811" s="264"/>
      <c r="I1811" s="264"/>
      <c r="J1811" s="327"/>
      <c r="K1811" s="327"/>
      <c r="L1811" s="327"/>
      <c r="M1811" s="321"/>
      <c r="N1811" s="321"/>
      <c r="O1811" s="364"/>
      <c r="P1811" s="381"/>
      <c r="R1811" s="392"/>
      <c r="S1811" s="61" ph="1"/>
      <c r="U1811" s="229"/>
      <c r="V1811" s="264"/>
      <c r="W1811" s="199"/>
      <c r="X1811" s="264"/>
      <c r="Y1811" s="264"/>
      <c r="Z1811" s="386"/>
      <c r="AA1811" s="126"/>
      <c r="AD1811" s="264"/>
      <c r="AE1811" s="264"/>
      <c r="AF1811" s="264"/>
      <c r="AG1811" s="264"/>
    </row>
    <row r="1812" spans="1:33" ht="26.25">
      <c r="A1812" s="264"/>
      <c r="B1812" s="264"/>
      <c r="C1812" s="264"/>
      <c r="D1812" s="264"/>
      <c r="E1812" s="264"/>
      <c r="F1812" s="264"/>
      <c r="G1812" s="264"/>
      <c r="H1812" s="264"/>
      <c r="I1812" s="264"/>
      <c r="J1812" s="327"/>
      <c r="K1812" s="327"/>
      <c r="L1812" s="327"/>
      <c r="M1812" s="321"/>
      <c r="N1812" s="321"/>
      <c r="O1812" s="364"/>
      <c r="P1812" s="381"/>
      <c r="R1812" s="392"/>
      <c r="S1812" s="61" ph="1"/>
      <c r="U1812" s="229"/>
      <c r="V1812" s="264"/>
      <c r="W1812" s="199"/>
      <c r="X1812" s="264"/>
      <c r="Y1812" s="264"/>
      <c r="Z1812" s="386"/>
      <c r="AA1812" s="126"/>
      <c r="AD1812" s="264"/>
      <c r="AE1812" s="264"/>
      <c r="AF1812" s="264"/>
      <c r="AG1812" s="264"/>
    </row>
    <row r="1813" spans="1:33" ht="26.25">
      <c r="A1813" s="264"/>
      <c r="B1813" s="264"/>
      <c r="C1813" s="264"/>
      <c r="D1813" s="264"/>
      <c r="E1813" s="264"/>
      <c r="F1813" s="264"/>
      <c r="G1813" s="264"/>
      <c r="H1813" s="264"/>
      <c r="I1813" s="264"/>
      <c r="J1813" s="327"/>
      <c r="K1813" s="327"/>
      <c r="L1813" s="327"/>
      <c r="M1813" s="321"/>
      <c r="N1813" s="321"/>
      <c r="O1813" s="364"/>
      <c r="P1813" s="381"/>
      <c r="R1813" s="392"/>
      <c r="S1813" s="61" ph="1"/>
      <c r="U1813" s="229"/>
      <c r="V1813" s="264"/>
      <c r="W1813" s="199"/>
      <c r="X1813" s="264"/>
      <c r="Y1813" s="264"/>
      <c r="Z1813" s="386"/>
      <c r="AA1813" s="126"/>
      <c r="AD1813" s="264"/>
      <c r="AE1813" s="264"/>
      <c r="AF1813" s="264"/>
      <c r="AG1813" s="264"/>
    </row>
    <row r="1814" spans="1:33" ht="26.25">
      <c r="A1814" s="264"/>
      <c r="B1814" s="264"/>
      <c r="C1814" s="264"/>
      <c r="D1814" s="264"/>
      <c r="E1814" s="264"/>
      <c r="F1814" s="264"/>
      <c r="G1814" s="264"/>
      <c r="H1814" s="264"/>
      <c r="I1814" s="264"/>
      <c r="J1814" s="327"/>
      <c r="K1814" s="327"/>
      <c r="L1814" s="327"/>
      <c r="M1814" s="321"/>
      <c r="N1814" s="321"/>
      <c r="O1814" s="364"/>
      <c r="P1814" s="381"/>
      <c r="R1814" s="392"/>
      <c r="S1814" s="61" ph="1"/>
      <c r="U1814" s="229"/>
      <c r="V1814" s="264"/>
      <c r="W1814" s="199"/>
      <c r="X1814" s="264"/>
      <c r="Y1814" s="264"/>
      <c r="Z1814" s="386"/>
      <c r="AA1814" s="126"/>
      <c r="AD1814" s="264"/>
      <c r="AE1814" s="264"/>
      <c r="AF1814" s="264"/>
      <c r="AG1814" s="264"/>
    </row>
    <row r="1815" spans="1:33" ht="26.25">
      <c r="A1815" s="264"/>
      <c r="B1815" s="264"/>
      <c r="C1815" s="264"/>
      <c r="D1815" s="264"/>
      <c r="E1815" s="264"/>
      <c r="F1815" s="264"/>
      <c r="G1815" s="264"/>
      <c r="H1815" s="264"/>
      <c r="I1815" s="264"/>
      <c r="J1815" s="327"/>
      <c r="K1815" s="327"/>
      <c r="L1815" s="327"/>
      <c r="M1815" s="321"/>
      <c r="N1815" s="321"/>
      <c r="O1815" s="364"/>
      <c r="P1815" s="381"/>
      <c r="R1815" s="392"/>
      <c r="S1815" s="61" ph="1"/>
      <c r="U1815" s="229"/>
      <c r="V1815" s="264"/>
      <c r="W1815" s="199"/>
      <c r="X1815" s="264"/>
      <c r="Y1815" s="264"/>
      <c r="Z1815" s="386"/>
      <c r="AA1815" s="126"/>
      <c r="AD1815" s="264"/>
      <c r="AE1815" s="264"/>
      <c r="AF1815" s="264"/>
      <c r="AG1815" s="264"/>
    </row>
    <row r="1816" spans="1:33" ht="26.25">
      <c r="A1816" s="264"/>
      <c r="B1816" s="264"/>
      <c r="C1816" s="264"/>
      <c r="D1816" s="264"/>
      <c r="E1816" s="264"/>
      <c r="F1816" s="264"/>
      <c r="G1816" s="264"/>
      <c r="H1816" s="264"/>
      <c r="I1816" s="264"/>
      <c r="J1816" s="327"/>
      <c r="K1816" s="327"/>
      <c r="L1816" s="327"/>
      <c r="M1816" s="321"/>
      <c r="N1816" s="321"/>
      <c r="O1816" s="364"/>
      <c r="P1816" s="381"/>
      <c r="R1816" s="392"/>
      <c r="S1816" s="61" ph="1"/>
      <c r="U1816" s="229"/>
      <c r="V1816" s="264"/>
      <c r="W1816" s="199"/>
      <c r="X1816" s="264"/>
      <c r="Y1816" s="264"/>
      <c r="Z1816" s="386"/>
      <c r="AA1816" s="126"/>
      <c r="AD1816" s="264"/>
      <c r="AE1816" s="264"/>
      <c r="AF1816" s="264"/>
      <c r="AG1816" s="264"/>
    </row>
    <row r="1817" spans="1:33" ht="26.25">
      <c r="A1817" s="264"/>
      <c r="B1817" s="264"/>
      <c r="C1817" s="264"/>
      <c r="D1817" s="264"/>
      <c r="E1817" s="264"/>
      <c r="F1817" s="264"/>
      <c r="G1817" s="264"/>
      <c r="H1817" s="264"/>
      <c r="I1817" s="264"/>
      <c r="J1817" s="327"/>
      <c r="K1817" s="327"/>
      <c r="L1817" s="327"/>
      <c r="M1817" s="321"/>
      <c r="N1817" s="321"/>
      <c r="O1817" s="364"/>
      <c r="P1817" s="381"/>
      <c r="R1817" s="392"/>
      <c r="S1817" s="61" ph="1"/>
      <c r="U1817" s="229"/>
      <c r="V1817" s="264"/>
      <c r="W1817" s="199"/>
      <c r="X1817" s="264"/>
      <c r="Y1817" s="264"/>
      <c r="Z1817" s="386"/>
      <c r="AA1817" s="126"/>
      <c r="AD1817" s="264"/>
      <c r="AE1817" s="264"/>
      <c r="AF1817" s="264"/>
      <c r="AG1817" s="264"/>
    </row>
    <row r="1818" spans="1:33" ht="26.25">
      <c r="A1818" s="264"/>
      <c r="B1818" s="264"/>
      <c r="C1818" s="264"/>
      <c r="D1818" s="264"/>
      <c r="E1818" s="264"/>
      <c r="F1818" s="264"/>
      <c r="G1818" s="264"/>
      <c r="H1818" s="264"/>
      <c r="I1818" s="264"/>
      <c r="J1818" s="327"/>
      <c r="K1818" s="327"/>
      <c r="L1818" s="327"/>
      <c r="M1818" s="321"/>
      <c r="N1818" s="321"/>
      <c r="O1818" s="364"/>
      <c r="P1818" s="381"/>
      <c r="R1818" s="392"/>
      <c r="S1818" s="61" ph="1"/>
      <c r="U1818" s="229"/>
      <c r="V1818" s="264"/>
      <c r="W1818" s="199"/>
      <c r="X1818" s="264"/>
      <c r="Y1818" s="264"/>
      <c r="Z1818" s="386"/>
      <c r="AA1818" s="126"/>
      <c r="AD1818" s="264"/>
      <c r="AE1818" s="264"/>
      <c r="AF1818" s="264"/>
      <c r="AG1818" s="264"/>
    </row>
    <row r="1819" spans="1:33" ht="26.25">
      <c r="A1819" s="264"/>
      <c r="B1819" s="264"/>
      <c r="C1819" s="264"/>
      <c r="D1819" s="264"/>
      <c r="E1819" s="264"/>
      <c r="F1819" s="264"/>
      <c r="G1819" s="264"/>
      <c r="H1819" s="264"/>
      <c r="I1819" s="264"/>
      <c r="J1819" s="327"/>
      <c r="K1819" s="327"/>
      <c r="L1819" s="327"/>
      <c r="M1819" s="321"/>
      <c r="N1819" s="321"/>
      <c r="O1819" s="364"/>
      <c r="P1819" s="381"/>
      <c r="R1819" s="392"/>
      <c r="S1819" s="61" ph="1"/>
      <c r="U1819" s="229"/>
      <c r="V1819" s="264"/>
      <c r="W1819" s="199"/>
      <c r="X1819" s="264"/>
      <c r="Y1819" s="264"/>
      <c r="Z1819" s="386"/>
      <c r="AA1819" s="126"/>
      <c r="AD1819" s="264"/>
      <c r="AE1819" s="264"/>
      <c r="AF1819" s="264"/>
      <c r="AG1819" s="264"/>
    </row>
    <row r="1820" spans="1:33" ht="26.25">
      <c r="A1820" s="264"/>
      <c r="B1820" s="264"/>
      <c r="C1820" s="264"/>
      <c r="D1820" s="264"/>
      <c r="E1820" s="264"/>
      <c r="F1820" s="264"/>
      <c r="G1820" s="264"/>
      <c r="H1820" s="264"/>
      <c r="I1820" s="264"/>
      <c r="J1820" s="327"/>
      <c r="K1820" s="327"/>
      <c r="L1820" s="327"/>
      <c r="M1820" s="321"/>
      <c r="N1820" s="321"/>
      <c r="O1820" s="364"/>
      <c r="P1820" s="381"/>
      <c r="R1820" s="392"/>
      <c r="S1820" s="61" ph="1"/>
      <c r="U1820" s="229"/>
      <c r="V1820" s="264"/>
      <c r="W1820" s="199"/>
      <c r="X1820" s="264"/>
      <c r="Y1820" s="264"/>
      <c r="Z1820" s="386"/>
      <c r="AA1820" s="126"/>
      <c r="AD1820" s="264"/>
      <c r="AE1820" s="264"/>
      <c r="AF1820" s="264"/>
      <c r="AG1820" s="264"/>
    </row>
    <row r="1821" spans="1:33" ht="26.25">
      <c r="A1821" s="264"/>
      <c r="B1821" s="264"/>
      <c r="C1821" s="264"/>
      <c r="D1821" s="264"/>
      <c r="E1821" s="264"/>
      <c r="F1821" s="264"/>
      <c r="G1821" s="264"/>
      <c r="H1821" s="264"/>
      <c r="I1821" s="264"/>
      <c r="J1821" s="327"/>
      <c r="K1821" s="327"/>
      <c r="L1821" s="327"/>
      <c r="M1821" s="321"/>
      <c r="N1821" s="321"/>
      <c r="O1821" s="364"/>
      <c r="P1821" s="381"/>
      <c r="R1821" s="392"/>
      <c r="S1821" s="61" ph="1"/>
      <c r="U1821" s="229"/>
      <c r="V1821" s="264"/>
      <c r="W1821" s="199"/>
      <c r="X1821" s="264"/>
      <c r="Y1821" s="264"/>
      <c r="Z1821" s="386"/>
      <c r="AA1821" s="126"/>
      <c r="AD1821" s="264"/>
      <c r="AE1821" s="264"/>
      <c r="AF1821" s="264"/>
      <c r="AG1821" s="264"/>
    </row>
    <row r="1822" spans="1:33" ht="26.25">
      <c r="A1822" s="264"/>
      <c r="B1822" s="264"/>
      <c r="C1822" s="264"/>
      <c r="D1822" s="264"/>
      <c r="E1822" s="264"/>
      <c r="F1822" s="264"/>
      <c r="G1822" s="264"/>
      <c r="H1822" s="264"/>
      <c r="I1822" s="264"/>
      <c r="J1822" s="327"/>
      <c r="K1822" s="327"/>
      <c r="L1822" s="327"/>
      <c r="M1822" s="321"/>
      <c r="N1822" s="321"/>
      <c r="O1822" s="364"/>
      <c r="P1822" s="381"/>
      <c r="R1822" s="392"/>
      <c r="S1822" s="61" ph="1"/>
      <c r="U1822" s="229"/>
      <c r="V1822" s="264"/>
      <c r="W1822" s="199"/>
      <c r="X1822" s="264"/>
      <c r="Y1822" s="264"/>
      <c r="Z1822" s="386"/>
      <c r="AA1822" s="126"/>
      <c r="AD1822" s="264"/>
      <c r="AE1822" s="264"/>
      <c r="AF1822" s="264"/>
      <c r="AG1822" s="264"/>
    </row>
    <row r="1823" spans="1:33" ht="26.25">
      <c r="A1823" s="264"/>
      <c r="B1823" s="264"/>
      <c r="C1823" s="264"/>
      <c r="D1823" s="264"/>
      <c r="E1823" s="264"/>
      <c r="F1823" s="264"/>
      <c r="G1823" s="264"/>
      <c r="H1823" s="264"/>
      <c r="I1823" s="264"/>
      <c r="J1823" s="327"/>
      <c r="K1823" s="327"/>
      <c r="L1823" s="327"/>
      <c r="M1823" s="321"/>
      <c r="N1823" s="321"/>
      <c r="O1823" s="364"/>
      <c r="P1823" s="381"/>
      <c r="R1823" s="392"/>
      <c r="S1823" s="61" ph="1"/>
      <c r="U1823" s="229"/>
      <c r="V1823" s="264"/>
      <c r="W1823" s="199"/>
      <c r="X1823" s="264"/>
      <c r="Y1823" s="264"/>
      <c r="Z1823" s="386"/>
      <c r="AA1823" s="126"/>
      <c r="AD1823" s="264"/>
      <c r="AE1823" s="264"/>
      <c r="AF1823" s="264"/>
      <c r="AG1823" s="264"/>
    </row>
    <row r="1824" spans="1:33" ht="26.25">
      <c r="A1824" s="264"/>
      <c r="B1824" s="264"/>
      <c r="C1824" s="264"/>
      <c r="D1824" s="264"/>
      <c r="E1824" s="264"/>
      <c r="F1824" s="264"/>
      <c r="G1824" s="264"/>
      <c r="H1824" s="264"/>
      <c r="I1824" s="264"/>
      <c r="J1824" s="327"/>
      <c r="K1824" s="327"/>
      <c r="L1824" s="327"/>
      <c r="M1824" s="321"/>
      <c r="N1824" s="321"/>
      <c r="O1824" s="364"/>
      <c r="P1824" s="381"/>
      <c r="R1824" s="392"/>
      <c r="S1824" s="61" ph="1"/>
      <c r="U1824" s="229"/>
      <c r="V1824" s="264"/>
      <c r="W1824" s="199"/>
      <c r="X1824" s="264"/>
      <c r="Y1824" s="264"/>
      <c r="Z1824" s="386"/>
      <c r="AA1824" s="126"/>
      <c r="AD1824" s="264"/>
      <c r="AE1824" s="264"/>
      <c r="AF1824" s="264"/>
      <c r="AG1824" s="264"/>
    </row>
    <row r="1825" spans="1:33" ht="26.25">
      <c r="A1825" s="264"/>
      <c r="B1825" s="264"/>
      <c r="C1825" s="264"/>
      <c r="D1825" s="264"/>
      <c r="E1825" s="264"/>
      <c r="F1825" s="264"/>
      <c r="G1825" s="264"/>
      <c r="H1825" s="264"/>
      <c r="I1825" s="264"/>
      <c r="J1825" s="327"/>
      <c r="K1825" s="327"/>
      <c r="L1825" s="327"/>
      <c r="M1825" s="321"/>
      <c r="N1825" s="321"/>
      <c r="O1825" s="364"/>
      <c r="P1825" s="381"/>
      <c r="R1825" s="392"/>
      <c r="S1825" s="61" ph="1"/>
      <c r="U1825" s="229"/>
      <c r="V1825" s="264"/>
      <c r="W1825" s="199"/>
      <c r="X1825" s="264"/>
      <c r="Y1825" s="264"/>
      <c r="Z1825" s="386"/>
      <c r="AA1825" s="126"/>
      <c r="AD1825" s="264"/>
      <c r="AE1825" s="264"/>
      <c r="AF1825" s="264"/>
      <c r="AG1825" s="264"/>
    </row>
    <row r="1826" spans="1:33" ht="26.25">
      <c r="A1826" s="264"/>
      <c r="B1826" s="264"/>
      <c r="C1826" s="264"/>
      <c r="D1826" s="264"/>
      <c r="E1826" s="264"/>
      <c r="F1826" s="264"/>
      <c r="G1826" s="264"/>
      <c r="H1826" s="264"/>
      <c r="I1826" s="264"/>
      <c r="J1826" s="327"/>
      <c r="K1826" s="327"/>
      <c r="L1826" s="327"/>
      <c r="M1826" s="321"/>
      <c r="N1826" s="321"/>
      <c r="O1826" s="364"/>
      <c r="P1826" s="381"/>
      <c r="R1826" s="392"/>
      <c r="S1826" s="61" ph="1"/>
      <c r="U1826" s="229"/>
      <c r="V1826" s="264"/>
      <c r="W1826" s="199"/>
      <c r="X1826" s="264"/>
      <c r="Y1826" s="264"/>
      <c r="Z1826" s="386"/>
      <c r="AA1826" s="126"/>
      <c r="AD1826" s="264"/>
      <c r="AE1826" s="264"/>
      <c r="AF1826" s="264"/>
      <c r="AG1826" s="264"/>
    </row>
    <row r="1827" spans="1:33" ht="26.25">
      <c r="A1827" s="264"/>
      <c r="B1827" s="264"/>
      <c r="C1827" s="264"/>
      <c r="D1827" s="264"/>
      <c r="E1827" s="264"/>
      <c r="F1827" s="264"/>
      <c r="G1827" s="264"/>
      <c r="H1827" s="264"/>
      <c r="I1827" s="264"/>
      <c r="J1827" s="327"/>
      <c r="K1827" s="327"/>
      <c r="L1827" s="327"/>
      <c r="M1827" s="321"/>
      <c r="N1827" s="321"/>
      <c r="O1827" s="364"/>
      <c r="P1827" s="381"/>
      <c r="R1827" s="392"/>
      <c r="S1827" s="61" ph="1"/>
      <c r="U1827" s="229"/>
      <c r="V1827" s="264"/>
      <c r="W1827" s="199"/>
      <c r="X1827" s="264"/>
      <c r="Y1827" s="264"/>
      <c r="Z1827" s="386"/>
      <c r="AA1827" s="126"/>
      <c r="AD1827" s="264"/>
      <c r="AE1827" s="264"/>
      <c r="AF1827" s="264"/>
      <c r="AG1827" s="264"/>
    </row>
    <row r="1828" spans="1:33" ht="26.25">
      <c r="A1828" s="264"/>
      <c r="B1828" s="264"/>
      <c r="C1828" s="264"/>
      <c r="D1828" s="264"/>
      <c r="E1828" s="264"/>
      <c r="F1828" s="264"/>
      <c r="G1828" s="264"/>
      <c r="H1828" s="264"/>
      <c r="I1828" s="264"/>
      <c r="J1828" s="327"/>
      <c r="K1828" s="327"/>
      <c r="L1828" s="327"/>
      <c r="M1828" s="321"/>
      <c r="N1828" s="321"/>
      <c r="O1828" s="364"/>
      <c r="P1828" s="381"/>
      <c r="R1828" s="392"/>
      <c r="S1828" s="61" ph="1"/>
      <c r="U1828" s="229"/>
      <c r="V1828" s="264"/>
      <c r="W1828" s="199"/>
      <c r="X1828" s="264"/>
      <c r="Y1828" s="264"/>
      <c r="Z1828" s="386"/>
      <c r="AA1828" s="126"/>
      <c r="AD1828" s="264"/>
      <c r="AE1828" s="264"/>
      <c r="AF1828" s="264"/>
      <c r="AG1828" s="264"/>
    </row>
    <row r="1829" spans="1:33" ht="26.25">
      <c r="A1829" s="264"/>
      <c r="B1829" s="264"/>
      <c r="C1829" s="264"/>
      <c r="D1829" s="264"/>
      <c r="E1829" s="264"/>
      <c r="F1829" s="264"/>
      <c r="G1829" s="264"/>
      <c r="H1829" s="264"/>
      <c r="I1829" s="264"/>
      <c r="J1829" s="327"/>
      <c r="K1829" s="327"/>
      <c r="L1829" s="327"/>
      <c r="M1829" s="321"/>
      <c r="N1829" s="321"/>
      <c r="O1829" s="364"/>
      <c r="P1829" s="381"/>
      <c r="R1829" s="392"/>
      <c r="S1829" s="61" ph="1"/>
      <c r="U1829" s="229"/>
      <c r="V1829" s="264"/>
      <c r="W1829" s="199"/>
      <c r="X1829" s="264"/>
      <c r="Y1829" s="264"/>
      <c r="Z1829" s="386"/>
      <c r="AA1829" s="126"/>
      <c r="AD1829" s="264"/>
      <c r="AE1829" s="264"/>
      <c r="AF1829" s="264"/>
      <c r="AG1829" s="264"/>
    </row>
    <row r="1830" spans="1:33" ht="26.25">
      <c r="A1830" s="264"/>
      <c r="B1830" s="264"/>
      <c r="C1830" s="264"/>
      <c r="D1830" s="264"/>
      <c r="E1830" s="264"/>
      <c r="F1830" s="264"/>
      <c r="G1830" s="264"/>
      <c r="H1830" s="264"/>
      <c r="I1830" s="264"/>
      <c r="J1830" s="327"/>
      <c r="K1830" s="327"/>
      <c r="L1830" s="327"/>
      <c r="M1830" s="321"/>
      <c r="N1830" s="321"/>
      <c r="O1830" s="364"/>
      <c r="P1830" s="381"/>
      <c r="R1830" s="392"/>
      <c r="S1830" s="61" ph="1"/>
      <c r="U1830" s="229"/>
      <c r="V1830" s="264"/>
      <c r="W1830" s="199"/>
      <c r="X1830" s="264"/>
      <c r="Y1830" s="264"/>
      <c r="Z1830" s="386"/>
      <c r="AA1830" s="126"/>
      <c r="AD1830" s="264"/>
      <c r="AE1830" s="264"/>
      <c r="AF1830" s="264"/>
      <c r="AG1830" s="264"/>
    </row>
    <row r="1831" spans="1:33" ht="26.25">
      <c r="A1831" s="264"/>
      <c r="B1831" s="264"/>
      <c r="C1831" s="264"/>
      <c r="D1831" s="264"/>
      <c r="E1831" s="264"/>
      <c r="F1831" s="264"/>
      <c r="G1831" s="264"/>
      <c r="H1831" s="264"/>
      <c r="I1831" s="264"/>
      <c r="J1831" s="327"/>
      <c r="K1831" s="327"/>
      <c r="L1831" s="327"/>
      <c r="M1831" s="321"/>
      <c r="N1831" s="321"/>
      <c r="O1831" s="364"/>
      <c r="P1831" s="381"/>
      <c r="R1831" s="392"/>
      <c r="S1831" s="61" ph="1"/>
      <c r="U1831" s="229"/>
      <c r="V1831" s="264"/>
      <c r="W1831" s="199"/>
      <c r="X1831" s="264"/>
      <c r="Y1831" s="264"/>
      <c r="Z1831" s="386"/>
      <c r="AA1831" s="126"/>
      <c r="AD1831" s="264"/>
      <c r="AE1831" s="264"/>
      <c r="AF1831" s="264"/>
      <c r="AG1831" s="264"/>
    </row>
    <row r="1832" spans="1:33" ht="26.25">
      <c r="A1832" s="264"/>
      <c r="B1832" s="264"/>
      <c r="C1832" s="264"/>
      <c r="D1832" s="264"/>
      <c r="E1832" s="264"/>
      <c r="F1832" s="264"/>
      <c r="G1832" s="264"/>
      <c r="H1832" s="264"/>
      <c r="I1832" s="264"/>
      <c r="J1832" s="327"/>
      <c r="K1832" s="327"/>
      <c r="L1832" s="327"/>
      <c r="M1832" s="321"/>
      <c r="N1832" s="321"/>
      <c r="O1832" s="364"/>
      <c r="P1832" s="381"/>
      <c r="R1832" s="392"/>
      <c r="S1832" s="61" ph="1"/>
      <c r="U1832" s="229"/>
      <c r="V1832" s="264"/>
      <c r="W1832" s="199"/>
      <c r="X1832" s="264"/>
      <c r="Y1832" s="264"/>
      <c r="Z1832" s="386"/>
      <c r="AA1832" s="126"/>
      <c r="AD1832" s="264"/>
      <c r="AE1832" s="264"/>
      <c r="AF1832" s="264"/>
      <c r="AG1832" s="264"/>
    </row>
    <row r="1833" spans="1:33" ht="26.25">
      <c r="A1833" s="264"/>
      <c r="B1833" s="264"/>
      <c r="C1833" s="264"/>
      <c r="D1833" s="264"/>
      <c r="E1833" s="264"/>
      <c r="F1833" s="264"/>
      <c r="G1833" s="264"/>
      <c r="H1833" s="264"/>
      <c r="I1833" s="264"/>
      <c r="J1833" s="327"/>
      <c r="K1833" s="327"/>
      <c r="L1833" s="327"/>
      <c r="M1833" s="321"/>
      <c r="N1833" s="321"/>
      <c r="O1833" s="364"/>
      <c r="P1833" s="381"/>
      <c r="R1833" s="392"/>
      <c r="S1833" s="61" ph="1"/>
      <c r="U1833" s="229"/>
      <c r="V1833" s="264"/>
      <c r="W1833" s="199"/>
      <c r="X1833" s="264"/>
      <c r="Y1833" s="264"/>
      <c r="Z1833" s="386"/>
      <c r="AA1833" s="126"/>
      <c r="AD1833" s="264"/>
      <c r="AE1833" s="264"/>
      <c r="AF1833" s="264"/>
      <c r="AG1833" s="264"/>
    </row>
    <row r="1834" spans="1:33" ht="26.25">
      <c r="A1834" s="264"/>
      <c r="B1834" s="264"/>
      <c r="C1834" s="264"/>
      <c r="D1834" s="264"/>
      <c r="E1834" s="264"/>
      <c r="F1834" s="264"/>
      <c r="G1834" s="264"/>
      <c r="H1834" s="264"/>
      <c r="I1834" s="264"/>
      <c r="J1834" s="327"/>
      <c r="K1834" s="327"/>
      <c r="L1834" s="327"/>
      <c r="M1834" s="321"/>
      <c r="N1834" s="321"/>
      <c r="O1834" s="364"/>
      <c r="P1834" s="381"/>
      <c r="R1834" s="392"/>
      <c r="S1834" s="61" ph="1"/>
      <c r="U1834" s="229"/>
      <c r="V1834" s="264"/>
      <c r="W1834" s="199"/>
      <c r="X1834" s="264"/>
      <c r="Y1834" s="264"/>
      <c r="Z1834" s="386"/>
      <c r="AA1834" s="126"/>
      <c r="AD1834" s="264"/>
      <c r="AE1834" s="264"/>
      <c r="AF1834" s="264"/>
      <c r="AG1834" s="264"/>
    </row>
    <row r="1835" spans="1:33" ht="26.25">
      <c r="A1835" s="264"/>
      <c r="B1835" s="264"/>
      <c r="C1835" s="264"/>
      <c r="D1835" s="264"/>
      <c r="E1835" s="264"/>
      <c r="F1835" s="264"/>
      <c r="G1835" s="264"/>
      <c r="H1835" s="264"/>
      <c r="I1835" s="264"/>
      <c r="J1835" s="327"/>
      <c r="K1835" s="327"/>
      <c r="L1835" s="327"/>
      <c r="M1835" s="321"/>
      <c r="N1835" s="321"/>
      <c r="O1835" s="364"/>
      <c r="P1835" s="381"/>
      <c r="R1835" s="392"/>
      <c r="S1835" s="61" ph="1"/>
      <c r="U1835" s="229"/>
      <c r="V1835" s="264"/>
      <c r="W1835" s="199"/>
      <c r="X1835" s="264"/>
      <c r="Y1835" s="264"/>
      <c r="Z1835" s="386"/>
      <c r="AA1835" s="264"/>
      <c r="AD1835" s="264"/>
      <c r="AE1835" s="264"/>
      <c r="AF1835" s="264"/>
      <c r="AG1835" s="264"/>
    </row>
    <row r="1836" spans="1:33" ht="26.25">
      <c r="A1836" s="264"/>
      <c r="B1836" s="264"/>
      <c r="C1836" s="264"/>
      <c r="D1836" s="264"/>
      <c r="E1836" s="264"/>
      <c r="F1836" s="264"/>
      <c r="G1836" s="264"/>
      <c r="H1836" s="264"/>
      <c r="I1836" s="264"/>
      <c r="J1836" s="327"/>
      <c r="K1836" s="327"/>
      <c r="L1836" s="327"/>
      <c r="M1836" s="321"/>
      <c r="N1836" s="321"/>
      <c r="O1836" s="364"/>
      <c r="P1836" s="381"/>
      <c r="R1836" s="392"/>
      <c r="S1836" s="61" ph="1"/>
      <c r="U1836" s="229"/>
      <c r="V1836" s="264"/>
      <c r="W1836" s="199"/>
      <c r="X1836" s="264"/>
      <c r="Y1836" s="264"/>
      <c r="Z1836" s="386"/>
      <c r="AA1836" s="264"/>
      <c r="AD1836" s="264"/>
      <c r="AE1836" s="264"/>
      <c r="AF1836" s="264"/>
      <c r="AG1836" s="264"/>
    </row>
    <row r="1837" spans="1:33" ht="26.25">
      <c r="A1837" s="264"/>
      <c r="B1837" s="264"/>
      <c r="C1837" s="264"/>
      <c r="D1837" s="264"/>
      <c r="E1837" s="264"/>
      <c r="F1837" s="264"/>
      <c r="G1837" s="264"/>
      <c r="H1837" s="264"/>
      <c r="I1837" s="264"/>
      <c r="J1837" s="327"/>
      <c r="K1837" s="327"/>
      <c r="L1837" s="327"/>
      <c r="M1837" s="321"/>
      <c r="N1837" s="321"/>
      <c r="O1837" s="364"/>
      <c r="P1837" s="381"/>
      <c r="R1837" s="392"/>
      <c r="S1837" s="61" ph="1"/>
      <c r="U1837" s="229"/>
      <c r="V1837" s="264"/>
      <c r="W1837" s="199"/>
      <c r="X1837" s="264"/>
      <c r="Y1837" s="264"/>
      <c r="Z1837" s="386"/>
      <c r="AA1837" s="126"/>
      <c r="AD1837" s="264"/>
      <c r="AE1837" s="264"/>
      <c r="AF1837" s="264"/>
      <c r="AG1837" s="264"/>
    </row>
    <row r="1838" spans="1:33" ht="26.25">
      <c r="A1838" s="264"/>
      <c r="B1838" s="264"/>
      <c r="C1838" s="264"/>
      <c r="D1838" s="264"/>
      <c r="E1838" s="264"/>
      <c r="F1838" s="264"/>
      <c r="G1838" s="264"/>
      <c r="H1838" s="264"/>
      <c r="I1838" s="264"/>
      <c r="J1838" s="327"/>
      <c r="K1838" s="327"/>
      <c r="L1838" s="327"/>
      <c r="M1838" s="321"/>
      <c r="N1838" s="321"/>
      <c r="O1838" s="364"/>
      <c r="P1838" s="381"/>
      <c r="R1838" s="392"/>
      <c r="S1838" s="61" ph="1"/>
      <c r="U1838" s="229"/>
      <c r="V1838" s="264"/>
      <c r="W1838" s="199"/>
      <c r="X1838" s="264"/>
      <c r="Y1838" s="264"/>
      <c r="Z1838" s="386"/>
      <c r="AA1838" s="126"/>
      <c r="AD1838" s="264"/>
      <c r="AE1838" s="264"/>
      <c r="AF1838" s="264"/>
      <c r="AG1838" s="264"/>
    </row>
    <row r="1839" spans="1:33" ht="26.25">
      <c r="A1839" s="264"/>
      <c r="B1839" s="264"/>
      <c r="C1839" s="264"/>
      <c r="D1839" s="264"/>
      <c r="E1839" s="264"/>
      <c r="F1839" s="264"/>
      <c r="G1839" s="264"/>
      <c r="H1839" s="264"/>
      <c r="I1839" s="264"/>
      <c r="J1839" s="327"/>
      <c r="K1839" s="327"/>
      <c r="L1839" s="327"/>
      <c r="M1839" s="321"/>
      <c r="N1839" s="321"/>
      <c r="O1839" s="364"/>
      <c r="P1839" s="381"/>
      <c r="R1839" s="392"/>
      <c r="S1839" s="61" ph="1"/>
      <c r="U1839" s="229"/>
      <c r="V1839" s="264"/>
      <c r="W1839" s="199"/>
      <c r="X1839" s="264"/>
      <c r="Y1839" s="264"/>
      <c r="Z1839" s="386"/>
      <c r="AA1839" s="126"/>
      <c r="AD1839" s="264"/>
      <c r="AE1839" s="264"/>
      <c r="AF1839" s="264"/>
      <c r="AG1839" s="264"/>
    </row>
    <row r="1840" spans="1:33" ht="26.25">
      <c r="A1840" s="264"/>
      <c r="B1840" s="264"/>
      <c r="C1840" s="264"/>
      <c r="D1840" s="264"/>
      <c r="E1840" s="264"/>
      <c r="F1840" s="264"/>
      <c r="G1840" s="264"/>
      <c r="H1840" s="264"/>
      <c r="I1840" s="264"/>
      <c r="J1840" s="327"/>
      <c r="K1840" s="327"/>
      <c r="L1840" s="327"/>
      <c r="M1840" s="321"/>
      <c r="N1840" s="321"/>
      <c r="O1840" s="364"/>
      <c r="P1840" s="381"/>
      <c r="R1840" s="392"/>
      <c r="S1840" s="61" ph="1"/>
      <c r="U1840" s="229"/>
      <c r="V1840" s="264"/>
      <c r="W1840" s="199"/>
      <c r="X1840" s="264"/>
      <c r="Y1840" s="264"/>
      <c r="Z1840" s="386"/>
      <c r="AA1840" s="126"/>
      <c r="AD1840" s="264"/>
      <c r="AE1840" s="264"/>
      <c r="AF1840" s="264"/>
      <c r="AG1840" s="264"/>
    </row>
    <row r="1841" spans="1:33" ht="26.25">
      <c r="A1841" s="264"/>
      <c r="B1841" s="264"/>
      <c r="C1841" s="264"/>
      <c r="D1841" s="264"/>
      <c r="E1841" s="264"/>
      <c r="F1841" s="264"/>
      <c r="G1841" s="264"/>
      <c r="H1841" s="264"/>
      <c r="I1841" s="264"/>
      <c r="J1841" s="327"/>
      <c r="K1841" s="327"/>
      <c r="L1841" s="327"/>
      <c r="M1841" s="321"/>
      <c r="N1841" s="321"/>
      <c r="O1841" s="364"/>
      <c r="P1841" s="381"/>
      <c r="R1841" s="392"/>
      <c r="S1841" s="61" ph="1"/>
      <c r="U1841" s="229"/>
      <c r="V1841" s="264"/>
      <c r="W1841" s="199"/>
      <c r="X1841" s="264"/>
      <c r="Y1841" s="264"/>
      <c r="Z1841" s="386"/>
      <c r="AA1841" s="126"/>
      <c r="AD1841" s="264"/>
      <c r="AE1841" s="264"/>
      <c r="AF1841" s="264"/>
      <c r="AG1841" s="264"/>
    </row>
    <row r="1842" spans="1:33" ht="26.25">
      <c r="A1842" s="264"/>
      <c r="B1842" s="264"/>
      <c r="C1842" s="264"/>
      <c r="D1842" s="264"/>
      <c r="E1842" s="264"/>
      <c r="F1842" s="264"/>
      <c r="G1842" s="264"/>
      <c r="H1842" s="264"/>
      <c r="I1842" s="264"/>
      <c r="J1842" s="327"/>
      <c r="K1842" s="327"/>
      <c r="L1842" s="327"/>
      <c r="M1842" s="321"/>
      <c r="N1842" s="321"/>
      <c r="O1842" s="364"/>
      <c r="P1842" s="381"/>
      <c r="R1842" s="392"/>
      <c r="S1842" s="61" ph="1"/>
      <c r="U1842" s="229"/>
      <c r="V1842" s="264"/>
      <c r="W1842" s="199"/>
      <c r="X1842" s="264"/>
      <c r="Y1842" s="264"/>
      <c r="Z1842" s="386"/>
      <c r="AA1842" s="126"/>
      <c r="AD1842" s="264"/>
      <c r="AE1842" s="264"/>
      <c r="AF1842" s="264"/>
      <c r="AG1842" s="264"/>
    </row>
    <row r="1843" spans="1:33" ht="26.25">
      <c r="A1843" s="264"/>
      <c r="B1843" s="264"/>
      <c r="C1843" s="264"/>
      <c r="D1843" s="264"/>
      <c r="E1843" s="264"/>
      <c r="F1843" s="264"/>
      <c r="G1843" s="264"/>
      <c r="H1843" s="264"/>
      <c r="I1843" s="264"/>
      <c r="J1843" s="327"/>
      <c r="K1843" s="327"/>
      <c r="L1843" s="327"/>
      <c r="M1843" s="321"/>
      <c r="N1843" s="321"/>
      <c r="O1843" s="364"/>
      <c r="P1843" s="381"/>
      <c r="R1843" s="392"/>
      <c r="S1843" s="61" ph="1"/>
      <c r="U1843" s="229"/>
      <c r="V1843" s="264"/>
      <c r="W1843" s="199"/>
      <c r="X1843" s="264"/>
      <c r="Y1843" s="264"/>
      <c r="Z1843" s="386"/>
      <c r="AA1843" s="126"/>
      <c r="AD1843" s="264"/>
      <c r="AE1843" s="264"/>
      <c r="AF1843" s="264"/>
      <c r="AG1843" s="264"/>
    </row>
    <row r="1844" spans="1:33" ht="26.25">
      <c r="A1844" s="264"/>
      <c r="B1844" s="264"/>
      <c r="C1844" s="264"/>
      <c r="D1844" s="264"/>
      <c r="E1844" s="264"/>
      <c r="F1844" s="264"/>
      <c r="G1844" s="264"/>
      <c r="H1844" s="264"/>
      <c r="I1844" s="264"/>
      <c r="J1844" s="327"/>
      <c r="K1844" s="327"/>
      <c r="L1844" s="327"/>
      <c r="M1844" s="321"/>
      <c r="N1844" s="321"/>
      <c r="O1844" s="364"/>
      <c r="P1844" s="381"/>
      <c r="R1844" s="392"/>
      <c r="S1844" s="61" ph="1"/>
      <c r="U1844" s="229"/>
      <c r="V1844" s="264"/>
      <c r="W1844" s="199"/>
      <c r="X1844" s="264"/>
      <c r="Y1844" s="264"/>
      <c r="Z1844" s="386"/>
      <c r="AA1844" s="126"/>
      <c r="AD1844" s="264"/>
      <c r="AE1844" s="264"/>
      <c r="AF1844" s="264"/>
      <c r="AG1844" s="264"/>
    </row>
    <row r="1845" spans="1:33" ht="26.25">
      <c r="A1845" s="264"/>
      <c r="B1845" s="264"/>
      <c r="C1845" s="264"/>
      <c r="D1845" s="264"/>
      <c r="E1845" s="264"/>
      <c r="F1845" s="264"/>
      <c r="G1845" s="264"/>
      <c r="H1845" s="264"/>
      <c r="I1845" s="264"/>
      <c r="J1845" s="327"/>
      <c r="K1845" s="327"/>
      <c r="L1845" s="327"/>
      <c r="M1845" s="321"/>
      <c r="N1845" s="321"/>
      <c r="O1845" s="364"/>
      <c r="P1845" s="381"/>
      <c r="R1845" s="392"/>
      <c r="S1845" s="61" ph="1"/>
      <c r="U1845" s="229"/>
      <c r="V1845" s="264"/>
      <c r="W1845" s="199"/>
      <c r="X1845" s="264"/>
      <c r="Y1845" s="264"/>
      <c r="Z1845" s="386"/>
      <c r="AA1845" s="126"/>
      <c r="AD1845" s="264"/>
      <c r="AE1845" s="264"/>
      <c r="AF1845" s="264"/>
      <c r="AG1845" s="264"/>
    </row>
    <row r="1846" spans="1:33" ht="26.25">
      <c r="A1846" s="264"/>
      <c r="B1846" s="264"/>
      <c r="C1846" s="264"/>
      <c r="D1846" s="264"/>
      <c r="E1846" s="264"/>
      <c r="F1846" s="264"/>
      <c r="G1846" s="264"/>
      <c r="H1846" s="264"/>
      <c r="I1846" s="264"/>
      <c r="J1846" s="327"/>
      <c r="K1846" s="327"/>
      <c r="L1846" s="327"/>
      <c r="M1846" s="321"/>
      <c r="N1846" s="321"/>
      <c r="O1846" s="364"/>
      <c r="P1846" s="381"/>
      <c r="R1846" s="392"/>
      <c r="S1846" s="61" ph="1"/>
      <c r="U1846" s="229"/>
      <c r="V1846" s="264"/>
      <c r="W1846" s="199"/>
      <c r="X1846" s="264"/>
      <c r="Y1846" s="264"/>
      <c r="Z1846" s="386"/>
      <c r="AA1846" s="126"/>
      <c r="AD1846" s="264"/>
      <c r="AE1846" s="264"/>
      <c r="AF1846" s="264"/>
      <c r="AG1846" s="264"/>
    </row>
    <row r="1847" spans="1:33" ht="26.25">
      <c r="A1847" s="264"/>
      <c r="B1847" s="264"/>
      <c r="C1847" s="264"/>
      <c r="D1847" s="264"/>
      <c r="E1847" s="264"/>
      <c r="F1847" s="264"/>
      <c r="G1847" s="264"/>
      <c r="H1847" s="264"/>
      <c r="I1847" s="264"/>
      <c r="J1847" s="327"/>
      <c r="K1847" s="327"/>
      <c r="L1847" s="327"/>
      <c r="M1847" s="321"/>
      <c r="N1847" s="321"/>
      <c r="O1847" s="364"/>
      <c r="P1847" s="381"/>
      <c r="R1847" s="392"/>
      <c r="S1847" s="61" ph="1"/>
      <c r="U1847" s="229"/>
      <c r="V1847" s="264"/>
      <c r="W1847" s="199"/>
      <c r="X1847" s="264"/>
      <c r="Y1847" s="264"/>
      <c r="Z1847" s="386"/>
      <c r="AA1847" s="126"/>
      <c r="AD1847" s="264"/>
      <c r="AE1847" s="264"/>
      <c r="AF1847" s="264"/>
      <c r="AG1847" s="264"/>
    </row>
    <row r="1848" spans="1:33" ht="26.25">
      <c r="A1848" s="264"/>
      <c r="B1848" s="264"/>
      <c r="C1848" s="264"/>
      <c r="D1848" s="264"/>
      <c r="E1848" s="264"/>
      <c r="F1848" s="264"/>
      <c r="G1848" s="264"/>
      <c r="H1848" s="264"/>
      <c r="I1848" s="264"/>
      <c r="J1848" s="327"/>
      <c r="K1848" s="327"/>
      <c r="L1848" s="327"/>
      <c r="M1848" s="321"/>
      <c r="N1848" s="321"/>
      <c r="O1848" s="364"/>
      <c r="P1848" s="381"/>
      <c r="R1848" s="392"/>
      <c r="S1848" s="61" ph="1"/>
      <c r="U1848" s="229"/>
      <c r="V1848" s="264"/>
      <c r="W1848" s="199"/>
      <c r="X1848" s="264"/>
      <c r="Y1848" s="264"/>
      <c r="Z1848" s="386"/>
      <c r="AA1848" s="126"/>
      <c r="AD1848" s="264"/>
      <c r="AE1848" s="264"/>
      <c r="AF1848" s="264"/>
      <c r="AG1848" s="264"/>
    </row>
    <row r="1849" spans="1:33" ht="26.25">
      <c r="A1849" s="264"/>
      <c r="B1849" s="264"/>
      <c r="C1849" s="264"/>
      <c r="D1849" s="264"/>
      <c r="E1849" s="264"/>
      <c r="F1849" s="264"/>
      <c r="G1849" s="264"/>
      <c r="H1849" s="264"/>
      <c r="I1849" s="264"/>
      <c r="J1849" s="327"/>
      <c r="K1849" s="327"/>
      <c r="L1849" s="327"/>
      <c r="M1849" s="321"/>
      <c r="N1849" s="321"/>
      <c r="O1849" s="364"/>
      <c r="P1849" s="381"/>
      <c r="R1849" s="392"/>
      <c r="S1849" s="61" ph="1"/>
      <c r="U1849" s="229"/>
      <c r="V1849" s="264"/>
      <c r="W1849" s="199"/>
      <c r="X1849" s="264"/>
      <c r="Y1849" s="264"/>
      <c r="Z1849" s="386"/>
      <c r="AA1849" s="264"/>
      <c r="AD1849" s="264"/>
      <c r="AE1849" s="264"/>
      <c r="AF1849" s="264"/>
      <c r="AG1849" s="264"/>
    </row>
    <row r="1850" spans="1:33" ht="26.25">
      <c r="A1850" s="264"/>
      <c r="B1850" s="264"/>
      <c r="C1850" s="264"/>
      <c r="D1850" s="264"/>
      <c r="E1850" s="264"/>
      <c r="F1850" s="264"/>
      <c r="G1850" s="264"/>
      <c r="H1850" s="264"/>
      <c r="I1850" s="264"/>
      <c r="J1850" s="327"/>
      <c r="K1850" s="327"/>
      <c r="L1850" s="327"/>
      <c r="M1850" s="321"/>
      <c r="N1850" s="321"/>
      <c r="O1850" s="364"/>
      <c r="P1850" s="381"/>
      <c r="R1850" s="392"/>
      <c r="S1850" s="61" ph="1"/>
      <c r="U1850" s="229"/>
      <c r="V1850" s="264"/>
      <c r="W1850" s="199"/>
      <c r="X1850" s="264"/>
      <c r="Y1850" s="264"/>
      <c r="Z1850" s="386"/>
      <c r="AA1850" s="126"/>
      <c r="AD1850" s="264"/>
      <c r="AE1850" s="264"/>
      <c r="AF1850" s="264"/>
      <c r="AG1850" s="264"/>
    </row>
    <row r="1851" spans="1:33" ht="26.25">
      <c r="A1851" s="264"/>
      <c r="B1851" s="264"/>
      <c r="C1851" s="264"/>
      <c r="D1851" s="264"/>
      <c r="E1851" s="264"/>
      <c r="F1851" s="264"/>
      <c r="G1851" s="264"/>
      <c r="H1851" s="264"/>
      <c r="I1851" s="264"/>
      <c r="J1851" s="327"/>
      <c r="K1851" s="327"/>
      <c r="L1851" s="327"/>
      <c r="M1851" s="321"/>
      <c r="N1851" s="321"/>
      <c r="O1851" s="364"/>
      <c r="P1851" s="381"/>
      <c r="R1851" s="392"/>
      <c r="S1851" s="61" ph="1"/>
      <c r="U1851" s="229"/>
      <c r="V1851" s="264"/>
      <c r="W1851" s="199"/>
      <c r="X1851" s="264"/>
      <c r="Y1851" s="264"/>
      <c r="Z1851" s="386"/>
      <c r="AA1851" s="126"/>
      <c r="AD1851" s="264"/>
      <c r="AE1851" s="264"/>
      <c r="AF1851" s="264"/>
      <c r="AG1851" s="264"/>
    </row>
    <row r="1852" spans="1:33" ht="26.25">
      <c r="A1852" s="264"/>
      <c r="B1852" s="264"/>
      <c r="C1852" s="264"/>
      <c r="D1852" s="264"/>
      <c r="E1852" s="264"/>
      <c r="F1852" s="264"/>
      <c r="G1852" s="264"/>
      <c r="H1852" s="264"/>
      <c r="I1852" s="264"/>
      <c r="J1852" s="327"/>
      <c r="K1852" s="327"/>
      <c r="L1852" s="327"/>
      <c r="M1852" s="321"/>
      <c r="N1852" s="321"/>
      <c r="O1852" s="364"/>
      <c r="P1852" s="381"/>
      <c r="R1852" s="392"/>
      <c r="S1852" s="61" ph="1"/>
      <c r="U1852" s="229"/>
      <c r="V1852" s="264"/>
      <c r="W1852" s="199"/>
      <c r="X1852" s="264"/>
      <c r="Y1852" s="264"/>
      <c r="Z1852" s="386"/>
      <c r="AA1852" s="126"/>
      <c r="AD1852" s="264"/>
      <c r="AE1852" s="264"/>
      <c r="AF1852" s="264"/>
      <c r="AG1852" s="264"/>
    </row>
    <row r="1853" spans="1:33" ht="26.25">
      <c r="A1853" s="264"/>
      <c r="B1853" s="264"/>
      <c r="C1853" s="264"/>
      <c r="D1853" s="264"/>
      <c r="E1853" s="264"/>
      <c r="F1853" s="264"/>
      <c r="G1853" s="264"/>
      <c r="H1853" s="264"/>
      <c r="I1853" s="264"/>
      <c r="J1853" s="327"/>
      <c r="K1853" s="327"/>
      <c r="L1853" s="327"/>
      <c r="M1853" s="321"/>
      <c r="N1853" s="321"/>
      <c r="O1853" s="364"/>
      <c r="P1853" s="381"/>
      <c r="R1853" s="392"/>
      <c r="S1853" s="61" ph="1"/>
      <c r="U1853" s="229"/>
      <c r="V1853" s="264"/>
      <c r="W1853" s="199"/>
      <c r="X1853" s="264"/>
      <c r="Y1853" s="264"/>
      <c r="Z1853" s="386"/>
      <c r="AA1853" s="126"/>
      <c r="AD1853" s="264"/>
      <c r="AE1853" s="264"/>
      <c r="AF1853" s="264"/>
      <c r="AG1853" s="264"/>
    </row>
    <row r="1854" spans="1:33" ht="26.25">
      <c r="A1854" s="264"/>
      <c r="B1854" s="264"/>
      <c r="C1854" s="264"/>
      <c r="D1854" s="264"/>
      <c r="E1854" s="264"/>
      <c r="F1854" s="264"/>
      <c r="G1854" s="264"/>
      <c r="H1854" s="264"/>
      <c r="I1854" s="264"/>
      <c r="J1854" s="327"/>
      <c r="K1854" s="327"/>
      <c r="L1854" s="327"/>
      <c r="M1854" s="321"/>
      <c r="N1854" s="321"/>
      <c r="O1854" s="364"/>
      <c r="P1854" s="381"/>
      <c r="R1854" s="392"/>
      <c r="S1854" s="61" ph="1"/>
      <c r="U1854" s="229"/>
      <c r="V1854" s="264"/>
      <c r="W1854" s="199"/>
      <c r="X1854" s="264"/>
      <c r="Y1854" s="264"/>
      <c r="Z1854" s="386"/>
      <c r="AA1854" s="126"/>
      <c r="AD1854" s="264"/>
      <c r="AE1854" s="264"/>
      <c r="AF1854" s="264"/>
      <c r="AG1854" s="264"/>
    </row>
    <row r="1855" spans="1:33" ht="26.25">
      <c r="A1855" s="264"/>
      <c r="B1855" s="264"/>
      <c r="C1855" s="264"/>
      <c r="D1855" s="264"/>
      <c r="E1855" s="264"/>
      <c r="F1855" s="264"/>
      <c r="G1855" s="264"/>
      <c r="H1855" s="264"/>
      <c r="I1855" s="264"/>
      <c r="J1855" s="327"/>
      <c r="K1855" s="327"/>
      <c r="L1855" s="327"/>
      <c r="M1855" s="321"/>
      <c r="N1855" s="321"/>
      <c r="O1855" s="364"/>
      <c r="P1855" s="381"/>
      <c r="R1855" s="392"/>
      <c r="S1855" s="61" ph="1"/>
      <c r="U1855" s="229"/>
      <c r="V1855" s="264"/>
      <c r="W1855" s="199"/>
      <c r="X1855" s="264"/>
      <c r="Y1855" s="264"/>
      <c r="Z1855" s="386"/>
      <c r="AA1855" s="126"/>
      <c r="AD1855" s="264"/>
      <c r="AE1855" s="264"/>
      <c r="AF1855" s="264"/>
      <c r="AG1855" s="264"/>
    </row>
    <row r="1856" spans="1:33" ht="26.25">
      <c r="A1856" s="264"/>
      <c r="B1856" s="264"/>
      <c r="C1856" s="264"/>
      <c r="D1856" s="264"/>
      <c r="E1856" s="264"/>
      <c r="F1856" s="264"/>
      <c r="G1856" s="264"/>
      <c r="H1856" s="264"/>
      <c r="I1856" s="264"/>
      <c r="J1856" s="327"/>
      <c r="K1856" s="327"/>
      <c r="L1856" s="327"/>
      <c r="M1856" s="321"/>
      <c r="N1856" s="321"/>
      <c r="O1856" s="364"/>
      <c r="P1856" s="381"/>
      <c r="R1856" s="392"/>
      <c r="S1856" s="61" ph="1"/>
      <c r="U1856" s="229"/>
      <c r="V1856" s="264"/>
      <c r="W1856" s="199"/>
      <c r="X1856" s="264"/>
      <c r="Y1856" s="264"/>
      <c r="Z1856" s="386"/>
      <c r="AA1856" s="51"/>
      <c r="AD1856" s="264"/>
      <c r="AE1856" s="264"/>
      <c r="AF1856" s="264"/>
      <c r="AG1856" s="264"/>
    </row>
    <row r="1857" spans="1:33" ht="26.25">
      <c r="A1857" s="264"/>
      <c r="B1857" s="264"/>
      <c r="C1857" s="264"/>
      <c r="D1857" s="264"/>
      <c r="E1857" s="264"/>
      <c r="F1857" s="264"/>
      <c r="G1857" s="264"/>
      <c r="H1857" s="264"/>
      <c r="I1857" s="264"/>
      <c r="J1857" s="327"/>
      <c r="K1857" s="327"/>
      <c r="L1857" s="327"/>
      <c r="M1857" s="321"/>
      <c r="N1857" s="321"/>
      <c r="O1857" s="364"/>
      <c r="P1857" s="381"/>
      <c r="R1857" s="392"/>
      <c r="S1857" s="61" ph="1"/>
      <c r="U1857" s="229"/>
      <c r="V1857" s="264"/>
      <c r="W1857" s="199"/>
      <c r="X1857" s="264"/>
      <c r="Y1857" s="264"/>
      <c r="Z1857" s="386"/>
      <c r="AA1857" s="126"/>
      <c r="AD1857" s="264"/>
      <c r="AE1857" s="264"/>
      <c r="AF1857" s="264"/>
      <c r="AG1857" s="264"/>
    </row>
    <row r="1858" spans="1:33" ht="26.25">
      <c r="A1858" s="264"/>
      <c r="B1858" s="264"/>
      <c r="C1858" s="264"/>
      <c r="D1858" s="264"/>
      <c r="E1858" s="264"/>
      <c r="F1858" s="264"/>
      <c r="G1858" s="264"/>
      <c r="H1858" s="264"/>
      <c r="I1858" s="264"/>
      <c r="J1858" s="327"/>
      <c r="K1858" s="327"/>
      <c r="L1858" s="327"/>
      <c r="M1858" s="321"/>
      <c r="N1858" s="321"/>
      <c r="O1858" s="364"/>
      <c r="P1858" s="381"/>
      <c r="R1858" s="392"/>
      <c r="S1858" s="61" ph="1"/>
      <c r="U1858" s="229"/>
      <c r="V1858" s="264"/>
      <c r="W1858" s="199"/>
      <c r="X1858" s="264"/>
      <c r="Y1858" s="264"/>
      <c r="Z1858" s="386"/>
      <c r="AA1858" s="126"/>
      <c r="AD1858" s="264"/>
      <c r="AE1858" s="264"/>
      <c r="AF1858" s="264"/>
      <c r="AG1858" s="264"/>
    </row>
    <row r="1859" spans="1:33" ht="26.25">
      <c r="A1859" s="264"/>
      <c r="B1859" s="264"/>
      <c r="C1859" s="264"/>
      <c r="D1859" s="264"/>
      <c r="E1859" s="264"/>
      <c r="F1859" s="264"/>
      <c r="G1859" s="264"/>
      <c r="H1859" s="264"/>
      <c r="I1859" s="264"/>
      <c r="J1859" s="327"/>
      <c r="K1859" s="327"/>
      <c r="L1859" s="327"/>
      <c r="M1859" s="321"/>
      <c r="N1859" s="321"/>
      <c r="O1859" s="364"/>
      <c r="P1859" s="381"/>
      <c r="R1859" s="392"/>
      <c r="S1859" s="61" ph="1"/>
      <c r="U1859" s="229"/>
      <c r="V1859" s="264"/>
      <c r="W1859" s="199"/>
      <c r="X1859" s="264"/>
      <c r="Y1859" s="264"/>
      <c r="Z1859" s="386"/>
      <c r="AA1859" s="126"/>
      <c r="AD1859" s="264"/>
      <c r="AE1859" s="264"/>
      <c r="AF1859" s="264"/>
      <c r="AG1859" s="264"/>
    </row>
    <row r="1860" spans="1:33" ht="26.25">
      <c r="A1860" s="264"/>
      <c r="B1860" s="264"/>
      <c r="C1860" s="264"/>
      <c r="D1860" s="264"/>
      <c r="E1860" s="264"/>
      <c r="F1860" s="264"/>
      <c r="G1860" s="264"/>
      <c r="H1860" s="264"/>
      <c r="I1860" s="264"/>
      <c r="J1860" s="327"/>
      <c r="K1860" s="327"/>
      <c r="L1860" s="327"/>
      <c r="M1860" s="321"/>
      <c r="N1860" s="321"/>
      <c r="O1860" s="364"/>
      <c r="P1860" s="381"/>
      <c r="R1860" s="392"/>
      <c r="S1860" s="61" ph="1"/>
      <c r="U1860" s="229"/>
      <c r="V1860" s="264"/>
      <c r="W1860" s="199"/>
      <c r="X1860" s="264"/>
      <c r="Y1860" s="264"/>
      <c r="Z1860" s="386"/>
      <c r="AA1860" s="126"/>
      <c r="AD1860" s="264"/>
      <c r="AE1860" s="264"/>
      <c r="AF1860" s="264"/>
      <c r="AG1860" s="264"/>
    </row>
    <row r="1861" spans="1:33" ht="26.25">
      <c r="A1861" s="264"/>
      <c r="B1861" s="264"/>
      <c r="C1861" s="264"/>
      <c r="D1861" s="264"/>
      <c r="E1861" s="264"/>
      <c r="F1861" s="264"/>
      <c r="G1861" s="264"/>
      <c r="H1861" s="264"/>
      <c r="I1861" s="264"/>
      <c r="J1861" s="327"/>
      <c r="K1861" s="327"/>
      <c r="L1861" s="327"/>
      <c r="M1861" s="321"/>
      <c r="N1861" s="321"/>
      <c r="O1861" s="364"/>
      <c r="P1861" s="381"/>
      <c r="R1861" s="392"/>
      <c r="S1861" s="61" ph="1"/>
      <c r="U1861" s="229"/>
      <c r="V1861" s="264"/>
      <c r="W1861" s="199"/>
      <c r="X1861" s="264"/>
      <c r="Y1861" s="264"/>
      <c r="Z1861" s="386"/>
      <c r="AA1861" s="126"/>
      <c r="AD1861" s="264"/>
      <c r="AE1861" s="264"/>
      <c r="AF1861" s="264"/>
      <c r="AG1861" s="264"/>
    </row>
    <row r="1862" spans="1:33" ht="26.25">
      <c r="A1862" s="264"/>
      <c r="B1862" s="264"/>
      <c r="C1862" s="264"/>
      <c r="D1862" s="264"/>
      <c r="E1862" s="264"/>
      <c r="F1862" s="264"/>
      <c r="G1862" s="264"/>
      <c r="H1862" s="264"/>
      <c r="I1862" s="264"/>
      <c r="J1862" s="327"/>
      <c r="K1862" s="327"/>
      <c r="L1862" s="327"/>
      <c r="M1862" s="321"/>
      <c r="N1862" s="321"/>
      <c r="O1862" s="364"/>
      <c r="P1862" s="381"/>
      <c r="R1862" s="392"/>
      <c r="S1862" s="61" ph="1"/>
      <c r="U1862" s="229"/>
      <c r="V1862" s="264"/>
      <c r="W1862" s="199"/>
      <c r="X1862" s="264"/>
      <c r="Y1862" s="264"/>
      <c r="Z1862" s="386"/>
      <c r="AA1862" s="126"/>
      <c r="AD1862" s="264"/>
      <c r="AE1862" s="264"/>
      <c r="AF1862" s="264"/>
      <c r="AG1862" s="264"/>
    </row>
    <row r="1863" spans="1:33" ht="26.25">
      <c r="A1863" s="264"/>
      <c r="B1863" s="264"/>
      <c r="C1863" s="264"/>
      <c r="D1863" s="264"/>
      <c r="E1863" s="264"/>
      <c r="F1863" s="264"/>
      <c r="G1863" s="264"/>
      <c r="H1863" s="264"/>
      <c r="I1863" s="264"/>
      <c r="J1863" s="327"/>
      <c r="K1863" s="327"/>
      <c r="L1863" s="327"/>
      <c r="M1863" s="321"/>
      <c r="N1863" s="321"/>
      <c r="O1863" s="364"/>
      <c r="P1863" s="381"/>
      <c r="R1863" s="392"/>
      <c r="S1863" s="61" ph="1"/>
      <c r="U1863" s="229"/>
      <c r="V1863" s="264"/>
      <c r="W1863" s="199"/>
      <c r="X1863" s="264"/>
      <c r="Y1863" s="264"/>
      <c r="Z1863" s="386"/>
      <c r="AA1863" s="126"/>
      <c r="AD1863" s="264"/>
      <c r="AE1863" s="264"/>
      <c r="AF1863" s="264"/>
      <c r="AG1863" s="264"/>
    </row>
    <row r="1864" spans="1:33" ht="26.25">
      <c r="A1864" s="264"/>
      <c r="B1864" s="264"/>
      <c r="C1864" s="264"/>
      <c r="D1864" s="264"/>
      <c r="E1864" s="264"/>
      <c r="F1864" s="264"/>
      <c r="G1864" s="264"/>
      <c r="H1864" s="264"/>
      <c r="I1864" s="264"/>
      <c r="J1864" s="327"/>
      <c r="K1864" s="327"/>
      <c r="L1864" s="327"/>
      <c r="M1864" s="321"/>
      <c r="N1864" s="321"/>
      <c r="O1864" s="364"/>
      <c r="P1864" s="381"/>
      <c r="R1864" s="392"/>
      <c r="S1864" s="61" ph="1"/>
      <c r="U1864" s="229"/>
      <c r="V1864" s="264"/>
      <c r="W1864" s="199"/>
      <c r="X1864" s="264"/>
      <c r="Y1864" s="264"/>
      <c r="Z1864" s="386"/>
      <c r="AA1864" s="126"/>
      <c r="AD1864" s="264"/>
      <c r="AE1864" s="264"/>
      <c r="AF1864" s="264"/>
      <c r="AG1864" s="264"/>
    </row>
    <row r="1865" spans="1:33" ht="26.25">
      <c r="A1865" s="264"/>
      <c r="B1865" s="264"/>
      <c r="C1865" s="264"/>
      <c r="D1865" s="264"/>
      <c r="E1865" s="264"/>
      <c r="F1865" s="264"/>
      <c r="G1865" s="264"/>
      <c r="H1865" s="264"/>
      <c r="I1865" s="264"/>
      <c r="J1865" s="327"/>
      <c r="K1865" s="327"/>
      <c r="L1865" s="327"/>
      <c r="M1865" s="321"/>
      <c r="N1865" s="321"/>
      <c r="O1865" s="364"/>
      <c r="P1865" s="381"/>
      <c r="R1865" s="392"/>
      <c r="S1865" s="61" ph="1"/>
      <c r="U1865" s="229"/>
      <c r="V1865" s="264"/>
      <c r="W1865" s="199"/>
      <c r="X1865" s="264"/>
      <c r="Y1865" s="264"/>
      <c r="Z1865" s="386"/>
      <c r="AA1865" s="126"/>
      <c r="AD1865" s="264"/>
      <c r="AE1865" s="264"/>
      <c r="AF1865" s="264"/>
      <c r="AG1865" s="264"/>
    </row>
    <row r="1866" spans="1:33" ht="26.25">
      <c r="A1866" s="264"/>
      <c r="B1866" s="264"/>
      <c r="C1866" s="264"/>
      <c r="D1866" s="264"/>
      <c r="E1866" s="264"/>
      <c r="F1866" s="264"/>
      <c r="G1866" s="264"/>
      <c r="H1866" s="264"/>
      <c r="I1866" s="264"/>
      <c r="J1866" s="327"/>
      <c r="K1866" s="327"/>
      <c r="L1866" s="327"/>
      <c r="M1866" s="321"/>
      <c r="N1866" s="321"/>
      <c r="O1866" s="364"/>
      <c r="P1866" s="381"/>
      <c r="R1866" s="392"/>
      <c r="S1866" s="61" ph="1"/>
      <c r="U1866" s="229"/>
      <c r="V1866" s="264"/>
      <c r="W1866" s="199"/>
      <c r="X1866" s="264"/>
      <c r="Y1866" s="264"/>
      <c r="Z1866" s="386"/>
      <c r="AA1866" s="126"/>
      <c r="AD1866" s="264"/>
      <c r="AE1866" s="264"/>
      <c r="AF1866" s="264"/>
      <c r="AG1866" s="264"/>
    </row>
    <row r="1867" spans="1:33" ht="26.25">
      <c r="A1867" s="264"/>
      <c r="B1867" s="264"/>
      <c r="C1867" s="264"/>
      <c r="D1867" s="264"/>
      <c r="E1867" s="264"/>
      <c r="F1867" s="264"/>
      <c r="G1867" s="264"/>
      <c r="H1867" s="264"/>
      <c r="I1867" s="264"/>
      <c r="J1867" s="327"/>
      <c r="K1867" s="327"/>
      <c r="L1867" s="327"/>
      <c r="M1867" s="321"/>
      <c r="N1867" s="321"/>
      <c r="O1867" s="364"/>
      <c r="P1867" s="381"/>
      <c r="R1867" s="392"/>
      <c r="S1867" s="61" ph="1"/>
      <c r="U1867" s="229"/>
      <c r="V1867" s="264"/>
      <c r="W1867" s="199"/>
      <c r="X1867" s="264"/>
      <c r="Y1867" s="264"/>
      <c r="Z1867" s="386"/>
      <c r="AA1867" s="126"/>
      <c r="AD1867" s="264"/>
      <c r="AE1867" s="264"/>
      <c r="AF1867" s="264"/>
      <c r="AG1867" s="264"/>
    </row>
    <row r="1868" spans="1:33" ht="26.25">
      <c r="A1868" s="264"/>
      <c r="B1868" s="264"/>
      <c r="C1868" s="264"/>
      <c r="D1868" s="264"/>
      <c r="E1868" s="264"/>
      <c r="F1868" s="264"/>
      <c r="G1868" s="264"/>
      <c r="H1868" s="264"/>
      <c r="I1868" s="264"/>
      <c r="J1868" s="327"/>
      <c r="K1868" s="327"/>
      <c r="L1868" s="327"/>
      <c r="M1868" s="321"/>
      <c r="N1868" s="321"/>
      <c r="O1868" s="364"/>
      <c r="P1868" s="381"/>
      <c r="R1868" s="392"/>
      <c r="S1868" s="61" ph="1"/>
      <c r="U1868" s="229"/>
      <c r="V1868" s="264"/>
      <c r="W1868" s="199"/>
      <c r="X1868" s="264"/>
      <c r="Y1868" s="264"/>
      <c r="Z1868" s="386"/>
      <c r="AA1868" s="126"/>
      <c r="AD1868" s="264"/>
      <c r="AE1868" s="264"/>
      <c r="AF1868" s="264"/>
      <c r="AG1868" s="264"/>
    </row>
    <row r="1869" spans="1:33" ht="26.25">
      <c r="A1869" s="264"/>
      <c r="B1869" s="264"/>
      <c r="C1869" s="264"/>
      <c r="D1869" s="264"/>
      <c r="E1869" s="264"/>
      <c r="F1869" s="264"/>
      <c r="G1869" s="264"/>
      <c r="H1869" s="264"/>
      <c r="I1869" s="264"/>
      <c r="J1869" s="327"/>
      <c r="K1869" s="327"/>
      <c r="L1869" s="327"/>
      <c r="M1869" s="321"/>
      <c r="N1869" s="321"/>
      <c r="O1869" s="364"/>
      <c r="P1869" s="381"/>
      <c r="R1869" s="392"/>
      <c r="S1869" s="61" ph="1"/>
      <c r="U1869" s="229"/>
      <c r="V1869" s="264"/>
      <c r="W1869" s="199"/>
      <c r="X1869" s="264"/>
      <c r="Y1869" s="264"/>
      <c r="Z1869" s="386"/>
      <c r="AA1869" s="126"/>
      <c r="AD1869" s="264"/>
      <c r="AE1869" s="264"/>
      <c r="AF1869" s="264"/>
      <c r="AG1869" s="264"/>
    </row>
    <row r="1870" spans="1:33" ht="26.25">
      <c r="A1870" s="264"/>
      <c r="B1870" s="264"/>
      <c r="C1870" s="264"/>
      <c r="D1870" s="264"/>
      <c r="E1870" s="264"/>
      <c r="F1870" s="264"/>
      <c r="G1870" s="264"/>
      <c r="H1870" s="264"/>
      <c r="I1870" s="264"/>
      <c r="J1870" s="327"/>
      <c r="K1870" s="327"/>
      <c r="L1870" s="327"/>
      <c r="M1870" s="321"/>
      <c r="N1870" s="321"/>
      <c r="O1870" s="364"/>
      <c r="P1870" s="381"/>
      <c r="R1870" s="392"/>
      <c r="S1870" s="61" ph="1"/>
      <c r="U1870" s="229"/>
      <c r="V1870" s="264"/>
      <c r="W1870" s="199"/>
      <c r="X1870" s="264"/>
      <c r="Y1870" s="264"/>
      <c r="Z1870" s="386"/>
      <c r="AA1870" s="126"/>
      <c r="AD1870" s="264"/>
      <c r="AE1870" s="264"/>
      <c r="AF1870" s="264"/>
      <c r="AG1870" s="264"/>
    </row>
    <row r="1871" spans="1:33" ht="26.25">
      <c r="A1871" s="264"/>
      <c r="B1871" s="264"/>
      <c r="C1871" s="264"/>
      <c r="D1871" s="264"/>
      <c r="E1871" s="264"/>
      <c r="F1871" s="264"/>
      <c r="G1871" s="264"/>
      <c r="H1871" s="264"/>
      <c r="I1871" s="264"/>
      <c r="J1871" s="327"/>
      <c r="K1871" s="327"/>
      <c r="L1871" s="327"/>
      <c r="M1871" s="321"/>
      <c r="N1871" s="321"/>
      <c r="O1871" s="364"/>
      <c r="P1871" s="381"/>
      <c r="R1871" s="392"/>
      <c r="S1871" s="61" ph="1"/>
      <c r="U1871" s="229"/>
      <c r="V1871" s="264"/>
      <c r="W1871" s="199"/>
      <c r="X1871" s="264"/>
      <c r="Y1871" s="264"/>
      <c r="Z1871" s="386"/>
      <c r="AA1871" s="126"/>
      <c r="AD1871" s="264"/>
      <c r="AE1871" s="264"/>
      <c r="AF1871" s="264"/>
      <c r="AG1871" s="264"/>
    </row>
    <row r="1872" spans="1:33" ht="26.25">
      <c r="A1872" s="264"/>
      <c r="B1872" s="264"/>
      <c r="C1872" s="264"/>
      <c r="D1872" s="264"/>
      <c r="E1872" s="264"/>
      <c r="F1872" s="264"/>
      <c r="G1872" s="264"/>
      <c r="H1872" s="264"/>
      <c r="I1872" s="264"/>
      <c r="J1872" s="327"/>
      <c r="K1872" s="327"/>
      <c r="L1872" s="327"/>
      <c r="M1872" s="321"/>
      <c r="N1872" s="321"/>
      <c r="O1872" s="364"/>
      <c r="P1872" s="381"/>
      <c r="R1872" s="392"/>
      <c r="S1872" s="61" ph="1"/>
      <c r="U1872" s="229"/>
      <c r="V1872" s="264"/>
      <c r="W1872" s="199"/>
      <c r="X1872" s="264"/>
      <c r="Y1872" s="264"/>
      <c r="Z1872" s="386"/>
      <c r="AA1872" s="126"/>
      <c r="AD1872" s="264"/>
      <c r="AE1872" s="264"/>
      <c r="AF1872" s="264"/>
      <c r="AG1872" s="264"/>
    </row>
    <row r="1873" spans="1:33" ht="26.25">
      <c r="A1873" s="264"/>
      <c r="B1873" s="264"/>
      <c r="C1873" s="264"/>
      <c r="D1873" s="264"/>
      <c r="E1873" s="264"/>
      <c r="F1873" s="264"/>
      <c r="G1873" s="264"/>
      <c r="H1873" s="264"/>
      <c r="I1873" s="264"/>
      <c r="J1873" s="327"/>
      <c r="K1873" s="327"/>
      <c r="L1873" s="327"/>
      <c r="M1873" s="321"/>
      <c r="N1873" s="321"/>
      <c r="O1873" s="364"/>
      <c r="P1873" s="381"/>
      <c r="R1873" s="392"/>
      <c r="S1873" s="61" ph="1"/>
      <c r="U1873" s="229"/>
      <c r="V1873" s="264"/>
      <c r="W1873" s="199"/>
      <c r="X1873" s="264"/>
      <c r="Y1873" s="264"/>
      <c r="Z1873" s="386"/>
      <c r="AA1873" s="126"/>
      <c r="AD1873" s="264"/>
      <c r="AE1873" s="264"/>
      <c r="AF1873" s="264"/>
      <c r="AG1873" s="264"/>
    </row>
    <row r="1874" spans="1:33" ht="26.25">
      <c r="A1874" s="264"/>
      <c r="B1874" s="264"/>
      <c r="C1874" s="264"/>
      <c r="D1874" s="264"/>
      <c r="E1874" s="264"/>
      <c r="F1874" s="264"/>
      <c r="G1874" s="264"/>
      <c r="H1874" s="264"/>
      <c r="I1874" s="264"/>
      <c r="J1874" s="327"/>
      <c r="K1874" s="327"/>
      <c r="L1874" s="327"/>
      <c r="M1874" s="321"/>
      <c r="N1874" s="321"/>
      <c r="O1874" s="364"/>
      <c r="P1874" s="381"/>
      <c r="R1874" s="392"/>
      <c r="S1874" s="61" ph="1"/>
      <c r="U1874" s="229"/>
      <c r="V1874" s="264"/>
      <c r="W1874" s="199"/>
      <c r="X1874" s="264"/>
      <c r="Y1874" s="264"/>
      <c r="Z1874" s="386"/>
      <c r="AA1874" s="126"/>
      <c r="AD1874" s="264"/>
      <c r="AE1874" s="264"/>
      <c r="AF1874" s="264"/>
      <c r="AG1874" s="264"/>
    </row>
    <row r="1875" spans="1:33" ht="26.25">
      <c r="A1875" s="264"/>
      <c r="B1875" s="264"/>
      <c r="C1875" s="264"/>
      <c r="D1875" s="264"/>
      <c r="E1875" s="264"/>
      <c r="F1875" s="264"/>
      <c r="G1875" s="264"/>
      <c r="H1875" s="264"/>
      <c r="I1875" s="264"/>
      <c r="J1875" s="327"/>
      <c r="K1875" s="327"/>
      <c r="L1875" s="327"/>
      <c r="M1875" s="321"/>
      <c r="N1875" s="321"/>
      <c r="O1875" s="364"/>
      <c r="P1875" s="381"/>
      <c r="R1875" s="392"/>
      <c r="S1875" s="61" ph="1"/>
      <c r="U1875" s="229"/>
      <c r="V1875" s="264"/>
      <c r="W1875" s="199"/>
      <c r="X1875" s="264"/>
      <c r="Y1875" s="264"/>
      <c r="Z1875" s="386"/>
      <c r="AA1875" s="126"/>
      <c r="AD1875" s="264"/>
      <c r="AE1875" s="264"/>
      <c r="AF1875" s="264"/>
      <c r="AG1875" s="264"/>
    </row>
    <row r="1876" spans="1:33" ht="26.25">
      <c r="A1876" s="264"/>
      <c r="B1876" s="264"/>
      <c r="C1876" s="264"/>
      <c r="D1876" s="264"/>
      <c r="E1876" s="264"/>
      <c r="F1876" s="264"/>
      <c r="G1876" s="264"/>
      <c r="H1876" s="264"/>
      <c r="I1876" s="264"/>
      <c r="J1876" s="327"/>
      <c r="K1876" s="327"/>
      <c r="L1876" s="327"/>
      <c r="M1876" s="321"/>
      <c r="N1876" s="321"/>
      <c r="O1876" s="364"/>
      <c r="P1876" s="381"/>
      <c r="R1876" s="392"/>
      <c r="S1876" s="61" ph="1"/>
      <c r="U1876" s="229"/>
      <c r="V1876" s="264"/>
      <c r="W1876" s="199"/>
      <c r="X1876" s="264"/>
      <c r="Y1876" s="264"/>
      <c r="Z1876" s="386"/>
      <c r="AA1876" s="126"/>
      <c r="AD1876" s="264"/>
      <c r="AE1876" s="264"/>
      <c r="AF1876" s="264"/>
      <c r="AG1876" s="264"/>
    </row>
    <row r="1877" spans="1:33" ht="26.25">
      <c r="A1877" s="264"/>
      <c r="B1877" s="264"/>
      <c r="C1877" s="264"/>
      <c r="D1877" s="264"/>
      <c r="E1877" s="264"/>
      <c r="F1877" s="264"/>
      <c r="G1877" s="264"/>
      <c r="H1877" s="264"/>
      <c r="I1877" s="264"/>
      <c r="J1877" s="327"/>
      <c r="K1877" s="327"/>
      <c r="L1877" s="327"/>
      <c r="M1877" s="321"/>
      <c r="N1877" s="321"/>
      <c r="O1877" s="364"/>
      <c r="P1877" s="381"/>
      <c r="R1877" s="392"/>
      <c r="S1877" s="61" ph="1"/>
      <c r="U1877" s="229"/>
      <c r="V1877" s="264"/>
      <c r="W1877" s="199"/>
      <c r="X1877" s="264"/>
      <c r="Y1877" s="264"/>
      <c r="Z1877" s="386"/>
      <c r="AA1877" s="126"/>
      <c r="AD1877" s="264"/>
      <c r="AE1877" s="264"/>
      <c r="AF1877" s="264"/>
      <c r="AG1877" s="264"/>
    </row>
    <row r="1878" spans="1:33" ht="26.25">
      <c r="A1878" s="264"/>
      <c r="B1878" s="264"/>
      <c r="C1878" s="264"/>
      <c r="D1878" s="264"/>
      <c r="E1878" s="264"/>
      <c r="F1878" s="264"/>
      <c r="G1878" s="264"/>
      <c r="H1878" s="264"/>
      <c r="I1878" s="264"/>
      <c r="J1878" s="327"/>
      <c r="K1878" s="327"/>
      <c r="L1878" s="327"/>
      <c r="M1878" s="321"/>
      <c r="N1878" s="321"/>
      <c r="O1878" s="364"/>
      <c r="P1878" s="381"/>
      <c r="R1878" s="392"/>
      <c r="S1878" s="61" ph="1"/>
      <c r="U1878" s="229"/>
      <c r="V1878" s="264"/>
      <c r="W1878" s="199"/>
      <c r="X1878" s="264"/>
      <c r="Y1878" s="264"/>
      <c r="Z1878" s="386"/>
      <c r="AA1878" s="126"/>
      <c r="AD1878" s="264"/>
      <c r="AE1878" s="264"/>
      <c r="AF1878" s="264"/>
      <c r="AG1878" s="264"/>
    </row>
    <row r="1879" spans="1:33" ht="26.25">
      <c r="A1879" s="264"/>
      <c r="B1879" s="264"/>
      <c r="C1879" s="264"/>
      <c r="D1879" s="264"/>
      <c r="E1879" s="264"/>
      <c r="F1879" s="264"/>
      <c r="G1879" s="264"/>
      <c r="H1879" s="264"/>
      <c r="I1879" s="264"/>
      <c r="J1879" s="327"/>
      <c r="K1879" s="327"/>
      <c r="L1879" s="327"/>
      <c r="M1879" s="321"/>
      <c r="N1879" s="321"/>
      <c r="O1879" s="364"/>
      <c r="P1879" s="381"/>
      <c r="R1879" s="392"/>
      <c r="S1879" s="61" ph="1"/>
      <c r="U1879" s="229"/>
      <c r="V1879" s="264"/>
      <c r="W1879" s="199"/>
      <c r="X1879" s="264"/>
      <c r="Y1879" s="264"/>
      <c r="Z1879" s="386"/>
      <c r="AA1879" s="126"/>
      <c r="AD1879" s="264"/>
      <c r="AE1879" s="264"/>
      <c r="AF1879" s="264"/>
      <c r="AG1879" s="264"/>
    </row>
    <row r="1880" spans="1:33" ht="26.25">
      <c r="A1880" s="264"/>
      <c r="B1880" s="264"/>
      <c r="C1880" s="264"/>
      <c r="D1880" s="264"/>
      <c r="E1880" s="264"/>
      <c r="F1880" s="264"/>
      <c r="G1880" s="264"/>
      <c r="H1880" s="264"/>
      <c r="I1880" s="264"/>
      <c r="J1880" s="327"/>
      <c r="K1880" s="327"/>
      <c r="L1880" s="327"/>
      <c r="M1880" s="321"/>
      <c r="N1880" s="321"/>
      <c r="O1880" s="364"/>
      <c r="P1880" s="381"/>
      <c r="R1880" s="392"/>
      <c r="S1880" s="61" ph="1"/>
      <c r="U1880" s="229"/>
      <c r="V1880" s="264"/>
      <c r="W1880" s="199"/>
      <c r="X1880" s="264"/>
      <c r="Y1880" s="264"/>
      <c r="Z1880" s="386"/>
      <c r="AA1880" s="126"/>
      <c r="AD1880" s="264"/>
      <c r="AE1880" s="264"/>
      <c r="AF1880" s="264"/>
      <c r="AG1880" s="264"/>
    </row>
    <row r="1881" spans="1:33" ht="26.25">
      <c r="A1881" s="264"/>
      <c r="B1881" s="264"/>
      <c r="C1881" s="264"/>
      <c r="D1881" s="264"/>
      <c r="E1881" s="264"/>
      <c r="F1881" s="264"/>
      <c r="G1881" s="264"/>
      <c r="H1881" s="264"/>
      <c r="I1881" s="264"/>
      <c r="J1881" s="327"/>
      <c r="K1881" s="327"/>
      <c r="L1881" s="327"/>
      <c r="M1881" s="321"/>
      <c r="N1881" s="321"/>
      <c r="O1881" s="364"/>
      <c r="P1881" s="381"/>
      <c r="R1881" s="392"/>
      <c r="S1881" s="61" ph="1"/>
      <c r="U1881" s="229"/>
      <c r="V1881" s="264"/>
      <c r="W1881" s="199"/>
      <c r="X1881" s="264"/>
      <c r="Y1881" s="264"/>
      <c r="Z1881" s="386"/>
      <c r="AA1881" s="126"/>
      <c r="AD1881" s="264"/>
      <c r="AE1881" s="264"/>
      <c r="AF1881" s="264"/>
      <c r="AG1881" s="264"/>
    </row>
    <row r="1882" spans="1:33" ht="26.25">
      <c r="A1882" s="264"/>
      <c r="B1882" s="264"/>
      <c r="C1882" s="264"/>
      <c r="D1882" s="264"/>
      <c r="E1882" s="264"/>
      <c r="F1882" s="264"/>
      <c r="G1882" s="264"/>
      <c r="H1882" s="264"/>
      <c r="I1882" s="264"/>
      <c r="J1882" s="327"/>
      <c r="K1882" s="327"/>
      <c r="L1882" s="327"/>
      <c r="M1882" s="321"/>
      <c r="N1882" s="321"/>
      <c r="O1882" s="364"/>
      <c r="P1882" s="381"/>
      <c r="R1882" s="392"/>
      <c r="S1882" s="61" ph="1"/>
      <c r="U1882" s="229"/>
      <c r="V1882" s="264"/>
      <c r="W1882" s="199"/>
      <c r="X1882" s="264"/>
      <c r="Y1882" s="264"/>
      <c r="Z1882" s="386"/>
      <c r="AA1882" s="126"/>
      <c r="AD1882" s="264"/>
      <c r="AE1882" s="264"/>
      <c r="AF1882" s="264"/>
      <c r="AG1882" s="264"/>
    </row>
    <row r="1883" spans="1:33" ht="26.25">
      <c r="A1883" s="264"/>
      <c r="B1883" s="264"/>
      <c r="C1883" s="264"/>
      <c r="D1883" s="264"/>
      <c r="E1883" s="264"/>
      <c r="F1883" s="264"/>
      <c r="G1883" s="264"/>
      <c r="H1883" s="264"/>
      <c r="I1883" s="264"/>
      <c r="J1883" s="327"/>
      <c r="K1883" s="327"/>
      <c r="L1883" s="327"/>
      <c r="M1883" s="321"/>
      <c r="N1883" s="321"/>
      <c r="O1883" s="364"/>
      <c r="P1883" s="381"/>
      <c r="R1883" s="392"/>
      <c r="S1883" s="61" ph="1"/>
      <c r="U1883" s="229"/>
      <c r="V1883" s="264"/>
      <c r="W1883" s="199"/>
      <c r="X1883" s="264"/>
      <c r="Y1883" s="264"/>
      <c r="Z1883" s="386"/>
      <c r="AA1883" s="126"/>
      <c r="AD1883" s="264"/>
      <c r="AE1883" s="264"/>
      <c r="AF1883" s="264"/>
      <c r="AG1883" s="264"/>
    </row>
    <row r="1884" spans="1:33" ht="26.25">
      <c r="A1884" s="264"/>
      <c r="B1884" s="264"/>
      <c r="C1884" s="264"/>
      <c r="D1884" s="264"/>
      <c r="E1884" s="264"/>
      <c r="F1884" s="264"/>
      <c r="G1884" s="264"/>
      <c r="H1884" s="264"/>
      <c r="I1884" s="264"/>
      <c r="J1884" s="327"/>
      <c r="K1884" s="327"/>
      <c r="L1884" s="327"/>
      <c r="M1884" s="321"/>
      <c r="N1884" s="321"/>
      <c r="O1884" s="364"/>
      <c r="P1884" s="381"/>
      <c r="R1884" s="392"/>
      <c r="S1884" s="61" ph="1"/>
      <c r="U1884" s="229"/>
      <c r="V1884" s="264"/>
      <c r="W1884" s="199"/>
      <c r="X1884" s="264"/>
      <c r="Y1884" s="264"/>
      <c r="Z1884" s="386"/>
      <c r="AA1884" s="126"/>
      <c r="AD1884" s="264"/>
      <c r="AE1884" s="264"/>
      <c r="AF1884" s="264"/>
      <c r="AG1884" s="264"/>
    </row>
    <row r="1885" spans="1:33" ht="26.25">
      <c r="A1885" s="264"/>
      <c r="B1885" s="264"/>
      <c r="C1885" s="264"/>
      <c r="D1885" s="264"/>
      <c r="E1885" s="264"/>
      <c r="F1885" s="264"/>
      <c r="G1885" s="264"/>
      <c r="H1885" s="264"/>
      <c r="I1885" s="264"/>
      <c r="J1885" s="327"/>
      <c r="K1885" s="327"/>
      <c r="L1885" s="327"/>
      <c r="M1885" s="321"/>
      <c r="N1885" s="321"/>
      <c r="O1885" s="364"/>
      <c r="P1885" s="381"/>
      <c r="R1885" s="392"/>
      <c r="S1885" s="61" ph="1"/>
      <c r="U1885" s="229"/>
      <c r="V1885" s="264"/>
      <c r="W1885" s="199"/>
      <c r="X1885" s="264"/>
      <c r="Y1885" s="264"/>
      <c r="Z1885" s="386"/>
      <c r="AA1885" s="126"/>
      <c r="AD1885" s="264"/>
      <c r="AE1885" s="264"/>
      <c r="AF1885" s="264"/>
      <c r="AG1885" s="264"/>
    </row>
    <row r="1886" spans="1:33" ht="26.25">
      <c r="A1886" s="264"/>
      <c r="B1886" s="264"/>
      <c r="C1886" s="264"/>
      <c r="D1886" s="264"/>
      <c r="E1886" s="264"/>
      <c r="F1886" s="264"/>
      <c r="G1886" s="264"/>
      <c r="H1886" s="264"/>
      <c r="I1886" s="264"/>
      <c r="J1886" s="327"/>
      <c r="K1886" s="327"/>
      <c r="L1886" s="327"/>
      <c r="M1886" s="321"/>
      <c r="N1886" s="321"/>
      <c r="O1886" s="364"/>
      <c r="P1886" s="381"/>
      <c r="R1886" s="392"/>
      <c r="S1886" s="61" ph="1"/>
      <c r="U1886" s="229"/>
      <c r="V1886" s="264"/>
      <c r="W1886" s="199"/>
      <c r="X1886" s="264"/>
      <c r="Y1886" s="264"/>
      <c r="Z1886" s="386"/>
      <c r="AA1886" s="126"/>
      <c r="AD1886" s="264"/>
      <c r="AE1886" s="264"/>
      <c r="AF1886" s="264"/>
      <c r="AG1886" s="264"/>
    </row>
    <row r="1887" spans="1:33" ht="26.25">
      <c r="A1887" s="264"/>
      <c r="B1887" s="264"/>
      <c r="C1887" s="264"/>
      <c r="D1887" s="264"/>
      <c r="E1887" s="264"/>
      <c r="F1887" s="264"/>
      <c r="G1887" s="264"/>
      <c r="H1887" s="264"/>
      <c r="I1887" s="264"/>
      <c r="J1887" s="327"/>
      <c r="K1887" s="327"/>
      <c r="L1887" s="327"/>
      <c r="M1887" s="321"/>
      <c r="N1887" s="321"/>
      <c r="O1887" s="364"/>
      <c r="P1887" s="381"/>
      <c r="R1887" s="392"/>
      <c r="S1887" s="61" ph="1"/>
      <c r="U1887" s="229"/>
      <c r="V1887" s="264"/>
      <c r="W1887" s="199"/>
      <c r="X1887" s="264"/>
      <c r="Y1887" s="264"/>
      <c r="Z1887" s="386"/>
      <c r="AA1887" s="126"/>
      <c r="AD1887" s="264"/>
      <c r="AE1887" s="264"/>
      <c r="AF1887" s="264"/>
      <c r="AG1887" s="264"/>
    </row>
    <row r="1888" spans="1:33" ht="26.25">
      <c r="A1888" s="264"/>
      <c r="B1888" s="264"/>
      <c r="C1888" s="264"/>
      <c r="D1888" s="264"/>
      <c r="E1888" s="264"/>
      <c r="F1888" s="264"/>
      <c r="G1888" s="264"/>
      <c r="H1888" s="264"/>
      <c r="I1888" s="264"/>
      <c r="J1888" s="327"/>
      <c r="K1888" s="327"/>
      <c r="L1888" s="327"/>
      <c r="M1888" s="321"/>
      <c r="N1888" s="321"/>
      <c r="O1888" s="364"/>
      <c r="P1888" s="381"/>
      <c r="R1888" s="392"/>
      <c r="S1888" s="61" ph="1"/>
      <c r="U1888" s="229"/>
      <c r="V1888" s="264"/>
      <c r="W1888" s="199"/>
      <c r="X1888" s="264"/>
      <c r="Y1888" s="264"/>
      <c r="Z1888" s="386"/>
      <c r="AA1888" s="126"/>
      <c r="AD1888" s="264"/>
      <c r="AE1888" s="264"/>
      <c r="AF1888" s="264"/>
      <c r="AG1888" s="264"/>
    </row>
    <row r="1889" spans="1:33" ht="26.25">
      <c r="A1889" s="264"/>
      <c r="B1889" s="264"/>
      <c r="C1889" s="264"/>
      <c r="D1889" s="264"/>
      <c r="E1889" s="264"/>
      <c r="F1889" s="264"/>
      <c r="G1889" s="264"/>
      <c r="H1889" s="264"/>
      <c r="I1889" s="264"/>
      <c r="J1889" s="327"/>
      <c r="K1889" s="327"/>
      <c r="L1889" s="327"/>
      <c r="M1889" s="321"/>
      <c r="N1889" s="321"/>
      <c r="O1889" s="364"/>
      <c r="P1889" s="381"/>
      <c r="R1889" s="392"/>
      <c r="S1889" s="61" ph="1"/>
      <c r="U1889" s="229"/>
      <c r="V1889" s="264"/>
      <c r="W1889" s="199"/>
      <c r="X1889" s="264"/>
      <c r="Y1889" s="264"/>
      <c r="Z1889" s="386"/>
      <c r="AA1889" s="123"/>
      <c r="AD1889" s="264"/>
      <c r="AE1889" s="264"/>
      <c r="AF1889" s="264"/>
      <c r="AG1889" s="264"/>
    </row>
    <row r="1890" spans="1:33" ht="26.25">
      <c r="A1890" s="264"/>
      <c r="B1890" s="264"/>
      <c r="C1890" s="264"/>
      <c r="D1890" s="264"/>
      <c r="E1890" s="264"/>
      <c r="F1890" s="264"/>
      <c r="G1890" s="264"/>
      <c r="H1890" s="264"/>
      <c r="I1890" s="264"/>
      <c r="J1890" s="327"/>
      <c r="K1890" s="327"/>
      <c r="L1890" s="327"/>
      <c r="M1890" s="321"/>
      <c r="N1890" s="321"/>
      <c r="O1890" s="364"/>
      <c r="P1890" s="381"/>
      <c r="R1890" s="392"/>
      <c r="S1890" s="61" ph="1"/>
      <c r="U1890" s="229"/>
      <c r="V1890" s="264"/>
      <c r="W1890" s="199"/>
      <c r="X1890" s="264"/>
      <c r="Y1890" s="264"/>
      <c r="Z1890" s="386"/>
      <c r="AA1890" s="126"/>
      <c r="AD1890" s="264"/>
      <c r="AE1890" s="264"/>
      <c r="AF1890" s="264"/>
      <c r="AG1890" s="264"/>
    </row>
    <row r="1891" spans="1:33" ht="26.25">
      <c r="A1891" s="264"/>
      <c r="B1891" s="264"/>
      <c r="C1891" s="264"/>
      <c r="D1891" s="264"/>
      <c r="E1891" s="264"/>
      <c r="F1891" s="264"/>
      <c r="G1891" s="264"/>
      <c r="H1891" s="264"/>
      <c r="I1891" s="264"/>
      <c r="J1891" s="327"/>
      <c r="K1891" s="327"/>
      <c r="L1891" s="327"/>
      <c r="M1891" s="321"/>
      <c r="N1891" s="321"/>
      <c r="O1891" s="364"/>
      <c r="P1891" s="381"/>
      <c r="R1891" s="392"/>
      <c r="S1891" s="61" ph="1"/>
      <c r="U1891" s="229"/>
      <c r="V1891" s="264"/>
      <c r="W1891" s="199"/>
      <c r="X1891" s="264"/>
      <c r="Y1891" s="264"/>
      <c r="Z1891" s="386"/>
      <c r="AA1891" s="126"/>
      <c r="AD1891" s="264"/>
      <c r="AE1891" s="264"/>
      <c r="AF1891" s="264"/>
      <c r="AG1891" s="264"/>
    </row>
    <row r="1892" spans="1:33" ht="26.25">
      <c r="A1892" s="264"/>
      <c r="B1892" s="264"/>
      <c r="C1892" s="264"/>
      <c r="D1892" s="264"/>
      <c r="E1892" s="264"/>
      <c r="F1892" s="264"/>
      <c r="G1892" s="264"/>
      <c r="H1892" s="264"/>
      <c r="I1892" s="264"/>
      <c r="J1892" s="327"/>
      <c r="K1892" s="327"/>
      <c r="L1892" s="327"/>
      <c r="M1892" s="321"/>
      <c r="N1892" s="321"/>
      <c r="O1892" s="364"/>
      <c r="P1892" s="381"/>
      <c r="R1892" s="392"/>
      <c r="S1892" s="61" ph="1"/>
      <c r="U1892" s="229"/>
      <c r="V1892" s="264"/>
      <c r="W1892" s="199"/>
      <c r="X1892" s="264"/>
      <c r="Y1892" s="264"/>
      <c r="Z1892" s="386"/>
      <c r="AA1892" s="126"/>
      <c r="AD1892" s="264"/>
      <c r="AE1892" s="264"/>
      <c r="AF1892" s="264"/>
      <c r="AG1892" s="264"/>
    </row>
    <row r="1893" spans="1:33" ht="26.25">
      <c r="A1893" s="264"/>
      <c r="B1893" s="264"/>
      <c r="C1893" s="264"/>
      <c r="D1893" s="264"/>
      <c r="E1893" s="264"/>
      <c r="F1893" s="264"/>
      <c r="G1893" s="264"/>
      <c r="H1893" s="264"/>
      <c r="I1893" s="264"/>
      <c r="J1893" s="327"/>
      <c r="K1893" s="327"/>
      <c r="L1893" s="327"/>
      <c r="M1893" s="321"/>
      <c r="N1893" s="321"/>
      <c r="O1893" s="364"/>
      <c r="P1893" s="381"/>
      <c r="R1893" s="392"/>
      <c r="S1893" s="61" ph="1"/>
      <c r="U1893" s="229"/>
      <c r="V1893" s="264"/>
      <c r="W1893" s="199"/>
      <c r="X1893" s="264"/>
      <c r="Y1893" s="264"/>
      <c r="Z1893" s="386"/>
      <c r="AA1893" s="126"/>
      <c r="AD1893" s="264"/>
      <c r="AE1893" s="264"/>
      <c r="AF1893" s="264"/>
      <c r="AG1893" s="264"/>
    </row>
    <row r="1894" spans="1:33" ht="26.25">
      <c r="A1894" s="264"/>
      <c r="B1894" s="264"/>
      <c r="C1894" s="264"/>
      <c r="D1894" s="264"/>
      <c r="E1894" s="264"/>
      <c r="F1894" s="264"/>
      <c r="G1894" s="264"/>
      <c r="H1894" s="264"/>
      <c r="I1894" s="264"/>
      <c r="J1894" s="327"/>
      <c r="K1894" s="327"/>
      <c r="L1894" s="327"/>
      <c r="M1894" s="321"/>
      <c r="N1894" s="321"/>
      <c r="O1894" s="364"/>
      <c r="P1894" s="381"/>
      <c r="R1894" s="392"/>
      <c r="S1894" s="61" ph="1"/>
      <c r="U1894" s="229"/>
      <c r="V1894" s="264"/>
      <c r="W1894" s="199"/>
      <c r="X1894" s="264"/>
      <c r="Y1894" s="264"/>
      <c r="Z1894" s="386"/>
      <c r="AA1894" s="126"/>
      <c r="AD1894" s="264"/>
      <c r="AE1894" s="264"/>
      <c r="AF1894" s="264"/>
      <c r="AG1894" s="264"/>
    </row>
    <row r="1895" spans="1:33" ht="26.25">
      <c r="A1895" s="264"/>
      <c r="B1895" s="264"/>
      <c r="C1895" s="264"/>
      <c r="D1895" s="264"/>
      <c r="E1895" s="264"/>
      <c r="F1895" s="264"/>
      <c r="G1895" s="264"/>
      <c r="H1895" s="264"/>
      <c r="I1895" s="264"/>
      <c r="J1895" s="327"/>
      <c r="K1895" s="327"/>
      <c r="L1895" s="327"/>
      <c r="M1895" s="321"/>
      <c r="N1895" s="321"/>
      <c r="O1895" s="364"/>
      <c r="P1895" s="381"/>
      <c r="R1895" s="392"/>
      <c r="S1895" s="61" ph="1"/>
      <c r="U1895" s="229"/>
      <c r="V1895" s="264"/>
      <c r="W1895" s="199"/>
      <c r="X1895" s="264"/>
      <c r="Y1895" s="264"/>
      <c r="Z1895" s="386"/>
      <c r="AA1895" s="126"/>
      <c r="AD1895" s="264"/>
      <c r="AE1895" s="264"/>
      <c r="AF1895" s="264"/>
      <c r="AG1895" s="264"/>
    </row>
    <row r="1896" spans="1:33" ht="26.25">
      <c r="A1896" s="264"/>
      <c r="B1896" s="264"/>
      <c r="C1896" s="264"/>
      <c r="D1896" s="264"/>
      <c r="E1896" s="264"/>
      <c r="F1896" s="264"/>
      <c r="G1896" s="264"/>
      <c r="H1896" s="264"/>
      <c r="I1896" s="264"/>
      <c r="J1896" s="327"/>
      <c r="K1896" s="327"/>
      <c r="L1896" s="327"/>
      <c r="M1896" s="321"/>
      <c r="N1896" s="321"/>
      <c r="O1896" s="364"/>
      <c r="P1896" s="381"/>
      <c r="R1896" s="392"/>
      <c r="S1896" s="61" ph="1"/>
      <c r="U1896" s="229"/>
      <c r="V1896" s="264"/>
      <c r="W1896" s="199"/>
      <c r="X1896" s="264"/>
      <c r="Y1896" s="264"/>
      <c r="Z1896" s="386"/>
      <c r="AA1896" s="126"/>
      <c r="AD1896" s="264"/>
      <c r="AE1896" s="264"/>
      <c r="AF1896" s="264"/>
      <c r="AG1896" s="264"/>
    </row>
    <row r="1897" spans="1:33" ht="26.25">
      <c r="A1897" s="264"/>
      <c r="B1897" s="264"/>
      <c r="C1897" s="264"/>
      <c r="D1897" s="264"/>
      <c r="E1897" s="264"/>
      <c r="F1897" s="264"/>
      <c r="G1897" s="264"/>
      <c r="H1897" s="264"/>
      <c r="I1897" s="264"/>
      <c r="J1897" s="327"/>
      <c r="K1897" s="327"/>
      <c r="L1897" s="327"/>
      <c r="M1897" s="321"/>
      <c r="N1897" s="321"/>
      <c r="O1897" s="364"/>
      <c r="P1897" s="381"/>
      <c r="R1897" s="392"/>
      <c r="S1897" s="61" ph="1"/>
      <c r="U1897" s="229"/>
      <c r="V1897" s="264"/>
      <c r="W1897" s="199"/>
      <c r="X1897" s="264"/>
      <c r="Y1897" s="264"/>
      <c r="Z1897" s="386"/>
      <c r="AA1897" s="126"/>
      <c r="AD1897" s="264"/>
      <c r="AE1897" s="264"/>
      <c r="AF1897" s="264"/>
      <c r="AG1897" s="264"/>
    </row>
    <row r="1898" spans="1:33" ht="26.25">
      <c r="A1898" s="264"/>
      <c r="B1898" s="264"/>
      <c r="C1898" s="264"/>
      <c r="D1898" s="264"/>
      <c r="E1898" s="264"/>
      <c r="F1898" s="264"/>
      <c r="G1898" s="264"/>
      <c r="H1898" s="264"/>
      <c r="I1898" s="264"/>
      <c r="J1898" s="327"/>
      <c r="K1898" s="327"/>
      <c r="L1898" s="327"/>
      <c r="M1898" s="321"/>
      <c r="N1898" s="321"/>
      <c r="O1898" s="364"/>
      <c r="P1898" s="381"/>
      <c r="R1898" s="392"/>
      <c r="S1898" s="61" ph="1"/>
      <c r="U1898" s="229"/>
      <c r="V1898" s="264"/>
      <c r="W1898" s="199"/>
      <c r="X1898" s="264"/>
      <c r="Y1898" s="264"/>
      <c r="Z1898" s="386"/>
      <c r="AA1898" s="126"/>
      <c r="AD1898" s="264"/>
      <c r="AE1898" s="264"/>
      <c r="AF1898" s="264"/>
      <c r="AG1898" s="264"/>
    </row>
    <row r="1899" spans="1:33" ht="26.25">
      <c r="A1899" s="264"/>
      <c r="B1899" s="264"/>
      <c r="C1899" s="264"/>
      <c r="D1899" s="264"/>
      <c r="E1899" s="264"/>
      <c r="F1899" s="264"/>
      <c r="G1899" s="264"/>
      <c r="H1899" s="264"/>
      <c r="I1899" s="264"/>
      <c r="J1899" s="327"/>
      <c r="K1899" s="327"/>
      <c r="L1899" s="327"/>
      <c r="M1899" s="321"/>
      <c r="N1899" s="321"/>
      <c r="O1899" s="364"/>
      <c r="P1899" s="381"/>
      <c r="R1899" s="392"/>
      <c r="S1899" s="61" ph="1"/>
      <c r="U1899" s="229"/>
      <c r="V1899" s="264"/>
      <c r="W1899" s="199"/>
      <c r="X1899" s="264"/>
      <c r="Y1899" s="264"/>
      <c r="Z1899" s="386"/>
      <c r="AA1899" s="126"/>
      <c r="AD1899" s="264"/>
      <c r="AE1899" s="264"/>
      <c r="AF1899" s="264"/>
      <c r="AG1899" s="264"/>
    </row>
    <row r="1900" spans="1:33" ht="26.25">
      <c r="A1900" s="264"/>
      <c r="B1900" s="264"/>
      <c r="C1900" s="264"/>
      <c r="D1900" s="264"/>
      <c r="E1900" s="264"/>
      <c r="F1900" s="264"/>
      <c r="G1900" s="264"/>
      <c r="H1900" s="264"/>
      <c r="I1900" s="264"/>
      <c r="J1900" s="327"/>
      <c r="K1900" s="327"/>
      <c r="L1900" s="327"/>
      <c r="M1900" s="321"/>
      <c r="N1900" s="321"/>
      <c r="O1900" s="364"/>
      <c r="P1900" s="381"/>
      <c r="R1900" s="392"/>
      <c r="S1900" s="61" ph="1"/>
      <c r="U1900" s="229"/>
      <c r="V1900" s="264"/>
      <c r="W1900" s="199"/>
      <c r="X1900" s="264"/>
      <c r="Y1900" s="264"/>
      <c r="Z1900" s="386"/>
      <c r="AA1900" s="126"/>
      <c r="AD1900" s="264"/>
      <c r="AE1900" s="264"/>
      <c r="AF1900" s="264"/>
      <c r="AG1900" s="264"/>
    </row>
    <row r="1901" spans="1:33" ht="26.25">
      <c r="A1901" s="264"/>
      <c r="B1901" s="264"/>
      <c r="C1901" s="264"/>
      <c r="D1901" s="264"/>
      <c r="E1901" s="264"/>
      <c r="F1901" s="264"/>
      <c r="G1901" s="264"/>
      <c r="H1901" s="264"/>
      <c r="I1901" s="264"/>
      <c r="J1901" s="327"/>
      <c r="K1901" s="327"/>
      <c r="L1901" s="327"/>
      <c r="M1901" s="321"/>
      <c r="N1901" s="321"/>
      <c r="O1901" s="364"/>
      <c r="P1901" s="381"/>
      <c r="R1901" s="392"/>
      <c r="S1901" s="61" ph="1"/>
      <c r="U1901" s="229"/>
      <c r="V1901" s="264"/>
      <c r="W1901" s="199"/>
      <c r="X1901" s="264"/>
      <c r="Y1901" s="264"/>
      <c r="Z1901" s="386"/>
      <c r="AA1901" s="126"/>
      <c r="AD1901" s="264"/>
      <c r="AE1901" s="264"/>
      <c r="AF1901" s="264"/>
      <c r="AG1901" s="264"/>
    </row>
    <row r="1902" spans="1:33" ht="26.25">
      <c r="A1902" s="264"/>
      <c r="B1902" s="264"/>
      <c r="C1902" s="264"/>
      <c r="D1902" s="264"/>
      <c r="E1902" s="264"/>
      <c r="F1902" s="264"/>
      <c r="G1902" s="264"/>
      <c r="H1902" s="264"/>
      <c r="I1902" s="264"/>
      <c r="J1902" s="327"/>
      <c r="K1902" s="327"/>
      <c r="L1902" s="327"/>
      <c r="M1902" s="321"/>
      <c r="N1902" s="321"/>
      <c r="O1902" s="364"/>
      <c r="P1902" s="381"/>
      <c r="R1902" s="392"/>
      <c r="S1902" s="61" ph="1"/>
      <c r="U1902" s="229"/>
      <c r="V1902" s="264"/>
      <c r="W1902" s="199"/>
      <c r="X1902" s="264"/>
      <c r="Y1902" s="264"/>
      <c r="Z1902" s="386"/>
      <c r="AA1902" s="126"/>
      <c r="AD1902" s="264"/>
      <c r="AE1902" s="264"/>
      <c r="AF1902" s="264"/>
      <c r="AG1902" s="264"/>
    </row>
    <row r="1903" spans="1:33" ht="26.25">
      <c r="A1903" s="264"/>
      <c r="B1903" s="264"/>
      <c r="C1903" s="264"/>
      <c r="D1903" s="264"/>
      <c r="E1903" s="264"/>
      <c r="F1903" s="264"/>
      <c r="G1903" s="264"/>
      <c r="H1903" s="264"/>
      <c r="I1903" s="264"/>
      <c r="J1903" s="327"/>
      <c r="K1903" s="327"/>
      <c r="L1903" s="327"/>
      <c r="M1903" s="321"/>
      <c r="N1903" s="321"/>
      <c r="O1903" s="364"/>
      <c r="P1903" s="381"/>
      <c r="R1903" s="392"/>
      <c r="S1903" s="61" ph="1"/>
      <c r="U1903" s="229"/>
      <c r="V1903" s="264"/>
      <c r="W1903" s="199"/>
      <c r="X1903" s="264"/>
      <c r="Y1903" s="264"/>
      <c r="Z1903" s="386"/>
      <c r="AA1903" s="126"/>
      <c r="AD1903" s="264"/>
      <c r="AE1903" s="264"/>
      <c r="AF1903" s="264"/>
      <c r="AG1903" s="264"/>
    </row>
    <row r="1904" spans="1:33" ht="26.25">
      <c r="A1904" s="264"/>
      <c r="B1904" s="264"/>
      <c r="C1904" s="264"/>
      <c r="D1904" s="264"/>
      <c r="E1904" s="264"/>
      <c r="F1904" s="264"/>
      <c r="G1904" s="264"/>
      <c r="H1904" s="264"/>
      <c r="I1904" s="264"/>
      <c r="J1904" s="327"/>
      <c r="K1904" s="327"/>
      <c r="L1904" s="327"/>
      <c r="M1904" s="321"/>
      <c r="N1904" s="321"/>
      <c r="O1904" s="364"/>
      <c r="P1904" s="381"/>
      <c r="R1904" s="392"/>
      <c r="S1904" s="61" ph="1"/>
      <c r="U1904" s="229"/>
      <c r="V1904" s="264"/>
      <c r="W1904" s="199"/>
      <c r="X1904" s="264"/>
      <c r="Y1904" s="264"/>
      <c r="Z1904" s="386"/>
      <c r="AA1904" s="126"/>
      <c r="AD1904" s="264"/>
      <c r="AE1904" s="264"/>
      <c r="AF1904" s="264"/>
      <c r="AG1904" s="264"/>
    </row>
    <row r="1905" spans="1:33" ht="26.25">
      <c r="A1905" s="264"/>
      <c r="B1905" s="264"/>
      <c r="C1905" s="264"/>
      <c r="D1905" s="264"/>
      <c r="E1905" s="264"/>
      <c r="F1905" s="264"/>
      <c r="G1905" s="264"/>
      <c r="H1905" s="264"/>
      <c r="I1905" s="264"/>
      <c r="J1905" s="327"/>
      <c r="K1905" s="327"/>
      <c r="L1905" s="327"/>
      <c r="M1905" s="321"/>
      <c r="N1905" s="321"/>
      <c r="O1905" s="364"/>
      <c r="P1905" s="381"/>
      <c r="R1905" s="392"/>
      <c r="S1905" s="61" ph="1"/>
      <c r="U1905" s="229"/>
      <c r="V1905" s="264"/>
      <c r="W1905" s="199"/>
      <c r="X1905" s="264"/>
      <c r="Y1905" s="264"/>
      <c r="Z1905" s="386"/>
      <c r="AA1905" s="126"/>
      <c r="AD1905" s="264"/>
      <c r="AE1905" s="264"/>
      <c r="AF1905" s="264"/>
      <c r="AG1905" s="264"/>
    </row>
    <row r="1906" spans="1:33" ht="26.25">
      <c r="A1906" s="264"/>
      <c r="B1906" s="264"/>
      <c r="C1906" s="264"/>
      <c r="D1906" s="264"/>
      <c r="E1906" s="264"/>
      <c r="F1906" s="264"/>
      <c r="G1906" s="264"/>
      <c r="H1906" s="264"/>
      <c r="I1906" s="264"/>
      <c r="J1906" s="327"/>
      <c r="K1906" s="327"/>
      <c r="L1906" s="327"/>
      <c r="M1906" s="321"/>
      <c r="N1906" s="321"/>
      <c r="O1906" s="364"/>
      <c r="P1906" s="381"/>
      <c r="R1906" s="392"/>
      <c r="S1906" s="61" ph="1"/>
      <c r="U1906" s="229"/>
      <c r="V1906" s="264"/>
      <c r="W1906" s="199"/>
      <c r="X1906" s="264"/>
      <c r="Y1906" s="264"/>
      <c r="Z1906" s="386"/>
      <c r="AA1906" s="126"/>
      <c r="AD1906" s="264"/>
      <c r="AE1906" s="264"/>
      <c r="AF1906" s="264"/>
      <c r="AG1906" s="264"/>
    </row>
    <row r="1907" spans="1:33" ht="26.25">
      <c r="A1907" s="264"/>
      <c r="B1907" s="264"/>
      <c r="C1907" s="264"/>
      <c r="D1907" s="264"/>
      <c r="E1907" s="264"/>
      <c r="F1907" s="264"/>
      <c r="G1907" s="264"/>
      <c r="H1907" s="264"/>
      <c r="I1907" s="264"/>
      <c r="J1907" s="327"/>
      <c r="K1907" s="327"/>
      <c r="L1907" s="327"/>
      <c r="M1907" s="321"/>
      <c r="N1907" s="321"/>
      <c r="O1907" s="364"/>
      <c r="P1907" s="381"/>
      <c r="R1907" s="392"/>
      <c r="S1907" s="61" ph="1"/>
      <c r="U1907" s="229"/>
      <c r="V1907" s="264"/>
      <c r="W1907" s="199"/>
      <c r="X1907" s="264"/>
      <c r="Y1907" s="264"/>
      <c r="Z1907" s="386"/>
      <c r="AA1907" s="126"/>
      <c r="AD1907" s="264"/>
      <c r="AE1907" s="264"/>
      <c r="AF1907" s="264"/>
      <c r="AG1907" s="264"/>
    </row>
    <row r="1908" spans="1:33" ht="26.25">
      <c r="A1908" s="264"/>
      <c r="B1908" s="264"/>
      <c r="C1908" s="264"/>
      <c r="D1908" s="264"/>
      <c r="E1908" s="264"/>
      <c r="F1908" s="264"/>
      <c r="G1908" s="264"/>
      <c r="H1908" s="264"/>
      <c r="I1908" s="264"/>
      <c r="J1908" s="327"/>
      <c r="K1908" s="327"/>
      <c r="L1908" s="327"/>
      <c r="M1908" s="321"/>
      <c r="N1908" s="321"/>
      <c r="O1908" s="364"/>
      <c r="P1908" s="381"/>
      <c r="R1908" s="392"/>
      <c r="S1908" s="61" ph="1"/>
      <c r="U1908" s="229"/>
      <c r="V1908" s="264"/>
      <c r="W1908" s="199"/>
      <c r="X1908" s="264"/>
      <c r="Y1908" s="264"/>
      <c r="Z1908" s="386"/>
      <c r="AA1908" s="126"/>
      <c r="AD1908" s="264"/>
      <c r="AE1908" s="264"/>
      <c r="AF1908" s="264"/>
      <c r="AG1908" s="264"/>
    </row>
    <row r="1909" spans="1:33" ht="26.25">
      <c r="A1909" s="264"/>
      <c r="B1909" s="264"/>
      <c r="C1909" s="264"/>
      <c r="D1909" s="264"/>
      <c r="E1909" s="264"/>
      <c r="F1909" s="264"/>
      <c r="G1909" s="264"/>
      <c r="H1909" s="264"/>
      <c r="I1909" s="264"/>
      <c r="J1909" s="327"/>
      <c r="K1909" s="327"/>
      <c r="L1909" s="327"/>
      <c r="M1909" s="321"/>
      <c r="N1909" s="321"/>
      <c r="O1909" s="364"/>
      <c r="P1909" s="381"/>
      <c r="R1909" s="392"/>
      <c r="S1909" s="61" ph="1"/>
      <c r="U1909" s="229"/>
      <c r="V1909" s="264"/>
      <c r="W1909" s="199"/>
      <c r="X1909" s="264"/>
      <c r="Y1909" s="264"/>
      <c r="Z1909" s="386"/>
      <c r="AA1909" s="126"/>
      <c r="AD1909" s="264"/>
      <c r="AE1909" s="264"/>
      <c r="AF1909" s="264"/>
      <c r="AG1909" s="264"/>
    </row>
    <row r="1910" spans="1:33" ht="26.25">
      <c r="A1910" s="264"/>
      <c r="B1910" s="264"/>
      <c r="C1910" s="264"/>
      <c r="D1910" s="264"/>
      <c r="E1910" s="264"/>
      <c r="F1910" s="264"/>
      <c r="G1910" s="264"/>
      <c r="H1910" s="264"/>
      <c r="I1910" s="264"/>
      <c r="J1910" s="327"/>
      <c r="K1910" s="327"/>
      <c r="L1910" s="327"/>
      <c r="M1910" s="321"/>
      <c r="N1910" s="321"/>
      <c r="O1910" s="364"/>
      <c r="P1910" s="381"/>
      <c r="R1910" s="392"/>
      <c r="S1910" s="61" ph="1"/>
      <c r="U1910" s="229"/>
      <c r="V1910" s="264"/>
      <c r="W1910" s="199"/>
      <c r="X1910" s="264"/>
      <c r="Y1910" s="264"/>
      <c r="Z1910" s="386"/>
      <c r="AA1910" s="126"/>
      <c r="AD1910" s="264"/>
      <c r="AE1910" s="264"/>
      <c r="AF1910" s="264"/>
      <c r="AG1910" s="264"/>
    </row>
    <row r="1911" spans="1:33" ht="26.25">
      <c r="A1911" s="264"/>
      <c r="B1911" s="264"/>
      <c r="C1911" s="264"/>
      <c r="D1911" s="264"/>
      <c r="E1911" s="264"/>
      <c r="F1911" s="264"/>
      <c r="G1911" s="264"/>
      <c r="H1911" s="264"/>
      <c r="I1911" s="264"/>
      <c r="J1911" s="327"/>
      <c r="K1911" s="327"/>
      <c r="L1911" s="327"/>
      <c r="M1911" s="321"/>
      <c r="N1911" s="321"/>
      <c r="O1911" s="364"/>
      <c r="P1911" s="381"/>
      <c r="R1911" s="392"/>
      <c r="S1911" s="61" ph="1"/>
      <c r="U1911" s="229"/>
      <c r="V1911" s="264"/>
      <c r="W1911" s="199"/>
      <c r="X1911" s="264"/>
      <c r="Y1911" s="264"/>
      <c r="Z1911" s="386"/>
      <c r="AA1911" s="126"/>
      <c r="AD1911" s="264"/>
      <c r="AE1911" s="264"/>
      <c r="AF1911" s="264"/>
      <c r="AG1911" s="264"/>
    </row>
    <row r="1912" spans="1:33" ht="26.25">
      <c r="A1912" s="264"/>
      <c r="B1912" s="264"/>
      <c r="C1912" s="264"/>
      <c r="D1912" s="264"/>
      <c r="E1912" s="264"/>
      <c r="F1912" s="264"/>
      <c r="G1912" s="264"/>
      <c r="H1912" s="264"/>
      <c r="I1912" s="264"/>
      <c r="J1912" s="327"/>
      <c r="K1912" s="327"/>
      <c r="L1912" s="327"/>
      <c r="M1912" s="321"/>
      <c r="N1912" s="321"/>
      <c r="O1912" s="364"/>
      <c r="P1912" s="381"/>
      <c r="R1912" s="392"/>
      <c r="S1912" s="61" ph="1"/>
      <c r="U1912" s="229"/>
      <c r="V1912" s="264"/>
      <c r="W1912" s="199"/>
      <c r="X1912" s="264"/>
      <c r="Y1912" s="264"/>
      <c r="Z1912" s="386"/>
      <c r="AA1912" s="126"/>
      <c r="AD1912" s="264"/>
      <c r="AE1912" s="264"/>
      <c r="AF1912" s="264"/>
      <c r="AG1912" s="264"/>
    </row>
    <row r="1913" spans="1:33" ht="26.25">
      <c r="A1913" s="264"/>
      <c r="B1913" s="264"/>
      <c r="C1913" s="264"/>
      <c r="D1913" s="264"/>
      <c r="E1913" s="264"/>
      <c r="F1913" s="264"/>
      <c r="G1913" s="264"/>
      <c r="H1913" s="264"/>
      <c r="I1913" s="264"/>
      <c r="J1913" s="327"/>
      <c r="K1913" s="327"/>
      <c r="L1913" s="327"/>
      <c r="M1913" s="321"/>
      <c r="N1913" s="321"/>
      <c r="O1913" s="364"/>
      <c r="P1913" s="381"/>
      <c r="R1913" s="392"/>
      <c r="S1913" s="61" ph="1"/>
      <c r="U1913" s="229"/>
      <c r="V1913" s="264"/>
      <c r="W1913" s="199"/>
      <c r="X1913" s="264"/>
      <c r="Y1913" s="264"/>
      <c r="Z1913" s="386"/>
      <c r="AA1913" s="264"/>
      <c r="AD1913" s="264"/>
      <c r="AE1913" s="264"/>
      <c r="AF1913" s="264"/>
      <c r="AG1913" s="264"/>
    </row>
    <row r="1914" spans="1:33" ht="26.25">
      <c r="A1914" s="264"/>
      <c r="B1914" s="264"/>
      <c r="C1914" s="264"/>
      <c r="D1914" s="264"/>
      <c r="E1914" s="264"/>
      <c r="F1914" s="264"/>
      <c r="G1914" s="264"/>
      <c r="H1914" s="264"/>
      <c r="I1914" s="264"/>
      <c r="J1914" s="327"/>
      <c r="K1914" s="327"/>
      <c r="L1914" s="327"/>
      <c r="M1914" s="321"/>
      <c r="N1914" s="321"/>
      <c r="O1914" s="364"/>
      <c r="P1914" s="381"/>
      <c r="R1914" s="392"/>
      <c r="S1914" s="61" ph="1"/>
      <c r="U1914" s="229"/>
      <c r="V1914" s="264"/>
      <c r="W1914" s="199"/>
      <c r="X1914" s="264"/>
      <c r="Y1914" s="264"/>
      <c r="Z1914" s="386"/>
      <c r="AA1914" s="126"/>
      <c r="AD1914" s="264"/>
      <c r="AE1914" s="264"/>
      <c r="AF1914" s="264"/>
      <c r="AG1914" s="264"/>
    </row>
    <row r="1915" spans="1:33" ht="26.25">
      <c r="A1915" s="264"/>
      <c r="B1915" s="264"/>
      <c r="C1915" s="264"/>
      <c r="D1915" s="264"/>
      <c r="E1915" s="264"/>
      <c r="F1915" s="264"/>
      <c r="G1915" s="264"/>
      <c r="H1915" s="264"/>
      <c r="I1915" s="264"/>
      <c r="J1915" s="327"/>
      <c r="K1915" s="327"/>
      <c r="L1915" s="327"/>
      <c r="M1915" s="321"/>
      <c r="N1915" s="321"/>
      <c r="O1915" s="364"/>
      <c r="P1915" s="381"/>
      <c r="R1915" s="392"/>
      <c r="S1915" s="61" ph="1"/>
      <c r="U1915" s="229"/>
      <c r="V1915" s="264"/>
      <c r="W1915" s="199"/>
      <c r="X1915" s="264"/>
      <c r="Y1915" s="264"/>
      <c r="Z1915" s="386"/>
      <c r="AA1915" s="126"/>
      <c r="AD1915" s="264"/>
      <c r="AE1915" s="264"/>
      <c r="AF1915" s="264"/>
      <c r="AG1915" s="264"/>
    </row>
    <row r="1916" spans="1:33" ht="26.25">
      <c r="A1916" s="264"/>
      <c r="B1916" s="264"/>
      <c r="C1916" s="264"/>
      <c r="D1916" s="264"/>
      <c r="E1916" s="264"/>
      <c r="F1916" s="264"/>
      <c r="G1916" s="264"/>
      <c r="H1916" s="264"/>
      <c r="I1916" s="264"/>
      <c r="J1916" s="327"/>
      <c r="K1916" s="327"/>
      <c r="L1916" s="327"/>
      <c r="M1916" s="321"/>
      <c r="N1916" s="321"/>
      <c r="O1916" s="364"/>
      <c r="P1916" s="381"/>
      <c r="R1916" s="392"/>
      <c r="S1916" s="61" ph="1"/>
      <c r="U1916" s="229"/>
      <c r="V1916" s="264"/>
      <c r="W1916" s="199"/>
      <c r="X1916" s="264"/>
      <c r="Y1916" s="264"/>
      <c r="Z1916" s="386"/>
      <c r="AA1916" s="126"/>
      <c r="AD1916" s="264"/>
      <c r="AE1916" s="264"/>
      <c r="AF1916" s="264"/>
      <c r="AG1916" s="264"/>
    </row>
    <row r="1917" spans="1:33" ht="26.25">
      <c r="A1917" s="264"/>
      <c r="B1917" s="264"/>
      <c r="C1917" s="264"/>
      <c r="D1917" s="264"/>
      <c r="E1917" s="264"/>
      <c r="F1917" s="264"/>
      <c r="G1917" s="264"/>
      <c r="H1917" s="264"/>
      <c r="I1917" s="264"/>
      <c r="J1917" s="327"/>
      <c r="K1917" s="327"/>
      <c r="L1917" s="327"/>
      <c r="M1917" s="321"/>
      <c r="N1917" s="321"/>
      <c r="O1917" s="364"/>
      <c r="P1917" s="381"/>
      <c r="R1917" s="392"/>
      <c r="S1917" s="61" ph="1"/>
      <c r="U1917" s="229"/>
      <c r="V1917" s="264"/>
      <c r="W1917" s="199"/>
      <c r="X1917" s="264"/>
      <c r="Y1917" s="264"/>
      <c r="Z1917" s="386"/>
      <c r="AA1917" s="126"/>
      <c r="AD1917" s="264"/>
      <c r="AE1917" s="264"/>
      <c r="AF1917" s="264"/>
      <c r="AG1917" s="264"/>
    </row>
    <row r="1918" spans="1:33" ht="26.25">
      <c r="A1918" s="264"/>
      <c r="B1918" s="264"/>
      <c r="C1918" s="264"/>
      <c r="D1918" s="264"/>
      <c r="E1918" s="264"/>
      <c r="F1918" s="264"/>
      <c r="G1918" s="264"/>
      <c r="H1918" s="264"/>
      <c r="I1918" s="264"/>
      <c r="J1918" s="327"/>
      <c r="K1918" s="327"/>
      <c r="L1918" s="327"/>
      <c r="M1918" s="321"/>
      <c r="N1918" s="321"/>
      <c r="O1918" s="364"/>
      <c r="P1918" s="381"/>
      <c r="R1918" s="392"/>
      <c r="S1918" s="61" ph="1"/>
      <c r="U1918" s="229"/>
      <c r="V1918" s="264"/>
      <c r="W1918" s="199"/>
      <c r="X1918" s="264"/>
      <c r="Y1918" s="264"/>
      <c r="Z1918" s="386"/>
      <c r="AA1918" s="264"/>
      <c r="AD1918" s="264"/>
      <c r="AE1918" s="264"/>
      <c r="AF1918" s="264"/>
      <c r="AG1918" s="264"/>
    </row>
    <row r="1919" spans="1:33" ht="26.25">
      <c r="A1919" s="264"/>
      <c r="B1919" s="264"/>
      <c r="C1919" s="264"/>
      <c r="D1919" s="264"/>
      <c r="E1919" s="264"/>
      <c r="F1919" s="264"/>
      <c r="G1919" s="264"/>
      <c r="H1919" s="264"/>
      <c r="I1919" s="264"/>
      <c r="J1919" s="327"/>
      <c r="K1919" s="327"/>
      <c r="L1919" s="327"/>
      <c r="M1919" s="321"/>
      <c r="N1919" s="321"/>
      <c r="O1919" s="364"/>
      <c r="P1919" s="381"/>
      <c r="R1919" s="392"/>
      <c r="S1919" s="61" ph="1"/>
      <c r="U1919" s="229"/>
      <c r="V1919" s="264"/>
      <c r="W1919" s="199"/>
      <c r="X1919" s="264"/>
      <c r="Y1919" s="264"/>
      <c r="Z1919" s="386"/>
      <c r="AA1919" s="126"/>
      <c r="AD1919" s="264"/>
      <c r="AE1919" s="264"/>
      <c r="AF1919" s="264"/>
      <c r="AG1919" s="264"/>
    </row>
    <row r="1920" spans="1:33" ht="26.25">
      <c r="A1920" s="264"/>
      <c r="B1920" s="264"/>
      <c r="C1920" s="264"/>
      <c r="D1920" s="264"/>
      <c r="E1920" s="264"/>
      <c r="F1920" s="264"/>
      <c r="G1920" s="264"/>
      <c r="H1920" s="264"/>
      <c r="I1920" s="264"/>
      <c r="J1920" s="327"/>
      <c r="K1920" s="327"/>
      <c r="L1920" s="327"/>
      <c r="M1920" s="321"/>
      <c r="N1920" s="321"/>
      <c r="O1920" s="364"/>
      <c r="P1920" s="381"/>
      <c r="R1920" s="392"/>
      <c r="S1920" s="61" ph="1"/>
      <c r="U1920" s="229"/>
      <c r="V1920" s="264"/>
      <c r="W1920" s="199"/>
      <c r="X1920" s="264"/>
      <c r="Y1920" s="264"/>
      <c r="Z1920" s="386"/>
      <c r="AA1920" s="126"/>
      <c r="AD1920" s="264"/>
      <c r="AE1920" s="264"/>
      <c r="AF1920" s="264"/>
      <c r="AG1920" s="264"/>
    </row>
    <row r="1921" spans="1:33" ht="26.25">
      <c r="A1921" s="264"/>
      <c r="B1921" s="264"/>
      <c r="C1921" s="264"/>
      <c r="D1921" s="264"/>
      <c r="E1921" s="264"/>
      <c r="F1921" s="264"/>
      <c r="G1921" s="264"/>
      <c r="H1921" s="264"/>
      <c r="I1921" s="264"/>
      <c r="J1921" s="327"/>
      <c r="K1921" s="327"/>
      <c r="L1921" s="327"/>
      <c r="M1921" s="321"/>
      <c r="N1921" s="321"/>
      <c r="O1921" s="364"/>
      <c r="P1921" s="381"/>
      <c r="R1921" s="392"/>
      <c r="S1921" s="61" ph="1"/>
      <c r="U1921" s="229"/>
      <c r="V1921" s="264"/>
      <c r="W1921" s="199"/>
      <c r="X1921" s="264"/>
      <c r="Y1921" s="264"/>
      <c r="Z1921" s="386"/>
      <c r="AA1921" s="126"/>
      <c r="AD1921" s="264"/>
      <c r="AE1921" s="264"/>
      <c r="AF1921" s="264"/>
      <c r="AG1921" s="264"/>
    </row>
    <row r="1922" spans="1:33" ht="26.25">
      <c r="A1922" s="264"/>
      <c r="B1922" s="264"/>
      <c r="C1922" s="264"/>
      <c r="D1922" s="264"/>
      <c r="E1922" s="264"/>
      <c r="F1922" s="264"/>
      <c r="G1922" s="264"/>
      <c r="H1922" s="264"/>
      <c r="I1922" s="264"/>
      <c r="J1922" s="327"/>
      <c r="K1922" s="327"/>
      <c r="L1922" s="327"/>
      <c r="M1922" s="321"/>
      <c r="N1922" s="321"/>
      <c r="O1922" s="364"/>
      <c r="P1922" s="381"/>
      <c r="R1922" s="392"/>
      <c r="S1922" s="61" ph="1"/>
      <c r="U1922" s="229"/>
      <c r="V1922" s="264"/>
      <c r="W1922" s="199"/>
      <c r="X1922" s="264"/>
      <c r="Y1922" s="264"/>
      <c r="Z1922" s="386"/>
      <c r="AA1922" s="126"/>
      <c r="AD1922" s="264"/>
      <c r="AE1922" s="264"/>
      <c r="AF1922" s="264"/>
      <c r="AG1922" s="264"/>
    </row>
    <row r="1923" spans="1:33" ht="26.25">
      <c r="A1923" s="264"/>
      <c r="B1923" s="264"/>
      <c r="C1923" s="264"/>
      <c r="D1923" s="264"/>
      <c r="E1923" s="264"/>
      <c r="F1923" s="264"/>
      <c r="G1923" s="264"/>
      <c r="H1923" s="264"/>
      <c r="I1923" s="264"/>
      <c r="J1923" s="327"/>
      <c r="K1923" s="327"/>
      <c r="L1923" s="327"/>
      <c r="M1923" s="321"/>
      <c r="N1923" s="321"/>
      <c r="O1923" s="364"/>
      <c r="P1923" s="381"/>
      <c r="R1923" s="392"/>
      <c r="S1923" s="61" ph="1"/>
      <c r="U1923" s="229"/>
      <c r="V1923" s="264"/>
      <c r="W1923" s="199"/>
      <c r="X1923" s="264"/>
      <c r="Y1923" s="264"/>
      <c r="Z1923" s="386"/>
      <c r="AA1923" s="126"/>
      <c r="AD1923" s="264"/>
      <c r="AE1923" s="264"/>
      <c r="AF1923" s="264"/>
      <c r="AG1923" s="264"/>
    </row>
    <row r="1924" spans="1:33" ht="26.25">
      <c r="A1924" s="264"/>
      <c r="B1924" s="264"/>
      <c r="C1924" s="264"/>
      <c r="D1924" s="264"/>
      <c r="E1924" s="264"/>
      <c r="F1924" s="264"/>
      <c r="G1924" s="264"/>
      <c r="H1924" s="264"/>
      <c r="I1924" s="264"/>
      <c r="J1924" s="327"/>
      <c r="K1924" s="327"/>
      <c r="L1924" s="327"/>
      <c r="M1924" s="321"/>
      <c r="N1924" s="321"/>
      <c r="O1924" s="364"/>
      <c r="P1924" s="381"/>
      <c r="R1924" s="392"/>
      <c r="S1924" s="61" ph="1"/>
      <c r="U1924" s="229"/>
      <c r="V1924" s="264"/>
      <c r="W1924" s="199"/>
      <c r="X1924" s="264"/>
      <c r="Y1924" s="264"/>
      <c r="Z1924" s="386"/>
      <c r="AA1924" s="126"/>
      <c r="AD1924" s="264"/>
      <c r="AE1924" s="264"/>
      <c r="AF1924" s="264"/>
      <c r="AG1924" s="264"/>
    </row>
    <row r="1925" spans="1:33" ht="26.25">
      <c r="A1925" s="264"/>
      <c r="B1925" s="264"/>
      <c r="C1925" s="264"/>
      <c r="D1925" s="264"/>
      <c r="E1925" s="264"/>
      <c r="F1925" s="264"/>
      <c r="G1925" s="264"/>
      <c r="H1925" s="264"/>
      <c r="I1925" s="264"/>
      <c r="J1925" s="327"/>
      <c r="K1925" s="327"/>
      <c r="L1925" s="327"/>
      <c r="M1925" s="321"/>
      <c r="N1925" s="321"/>
      <c r="O1925" s="364"/>
      <c r="P1925" s="381"/>
      <c r="R1925" s="392"/>
      <c r="S1925" s="61" ph="1"/>
      <c r="U1925" s="229"/>
      <c r="V1925" s="264"/>
      <c r="W1925" s="199"/>
      <c r="X1925" s="264"/>
      <c r="Y1925" s="264"/>
      <c r="Z1925" s="386"/>
      <c r="AA1925" s="126"/>
      <c r="AD1925" s="264"/>
      <c r="AE1925" s="264"/>
      <c r="AF1925" s="264"/>
      <c r="AG1925" s="264"/>
    </row>
    <row r="1926" spans="1:33" ht="26.25">
      <c r="A1926" s="264"/>
      <c r="B1926" s="264"/>
      <c r="C1926" s="264"/>
      <c r="D1926" s="264"/>
      <c r="E1926" s="264"/>
      <c r="F1926" s="264"/>
      <c r="G1926" s="264"/>
      <c r="H1926" s="264"/>
      <c r="I1926" s="264"/>
      <c r="J1926" s="327"/>
      <c r="K1926" s="327"/>
      <c r="L1926" s="327"/>
      <c r="M1926" s="321"/>
      <c r="N1926" s="321"/>
      <c r="O1926" s="364"/>
      <c r="P1926" s="381"/>
      <c r="R1926" s="392"/>
      <c r="S1926" s="61" ph="1"/>
      <c r="U1926" s="229"/>
      <c r="V1926" s="264"/>
      <c r="W1926" s="199"/>
      <c r="X1926" s="264"/>
      <c r="Y1926" s="264"/>
      <c r="Z1926" s="386"/>
      <c r="AA1926" s="126"/>
      <c r="AD1926" s="264"/>
      <c r="AE1926" s="264"/>
      <c r="AF1926" s="264"/>
      <c r="AG1926" s="264"/>
    </row>
    <row r="1927" spans="1:33" ht="26.25">
      <c r="A1927" s="264"/>
      <c r="B1927" s="264"/>
      <c r="C1927" s="264"/>
      <c r="D1927" s="264"/>
      <c r="E1927" s="264"/>
      <c r="F1927" s="264"/>
      <c r="G1927" s="264"/>
      <c r="H1927" s="264"/>
      <c r="I1927" s="264"/>
      <c r="J1927" s="327"/>
      <c r="K1927" s="327"/>
      <c r="L1927" s="327"/>
      <c r="M1927" s="321"/>
      <c r="N1927" s="321"/>
      <c r="O1927" s="364"/>
      <c r="P1927" s="381"/>
      <c r="R1927" s="392"/>
      <c r="S1927" s="61" ph="1"/>
      <c r="U1927" s="229"/>
      <c r="V1927" s="264"/>
      <c r="W1927" s="199"/>
      <c r="X1927" s="264"/>
      <c r="Y1927" s="264"/>
      <c r="Z1927" s="386"/>
      <c r="AA1927" s="126"/>
      <c r="AD1927" s="264"/>
      <c r="AE1927" s="264"/>
      <c r="AF1927" s="264"/>
      <c r="AG1927" s="264"/>
    </row>
    <row r="1928" spans="1:33" ht="26.25">
      <c r="A1928" s="264"/>
      <c r="B1928" s="264"/>
      <c r="C1928" s="264"/>
      <c r="D1928" s="264"/>
      <c r="E1928" s="264"/>
      <c r="F1928" s="264"/>
      <c r="G1928" s="264"/>
      <c r="H1928" s="264"/>
      <c r="I1928" s="264"/>
      <c r="J1928" s="327"/>
      <c r="K1928" s="327"/>
      <c r="L1928" s="327"/>
      <c r="M1928" s="321"/>
      <c r="N1928" s="321"/>
      <c r="O1928" s="364"/>
      <c r="P1928" s="381"/>
      <c r="R1928" s="392"/>
      <c r="S1928" s="61" ph="1"/>
      <c r="U1928" s="229"/>
      <c r="V1928" s="264"/>
      <c r="W1928" s="199"/>
      <c r="X1928" s="264"/>
      <c r="Y1928" s="264"/>
      <c r="Z1928" s="386"/>
      <c r="AA1928" s="126"/>
      <c r="AD1928" s="264"/>
      <c r="AE1928" s="264"/>
      <c r="AF1928" s="264"/>
      <c r="AG1928" s="264"/>
    </row>
    <row r="1929" spans="1:33" ht="26.25">
      <c r="A1929" s="264"/>
      <c r="B1929" s="264"/>
      <c r="C1929" s="264"/>
      <c r="D1929" s="264"/>
      <c r="E1929" s="264"/>
      <c r="F1929" s="264"/>
      <c r="G1929" s="264"/>
      <c r="H1929" s="264"/>
      <c r="I1929" s="264"/>
      <c r="J1929" s="327"/>
      <c r="K1929" s="327"/>
      <c r="L1929" s="327"/>
      <c r="M1929" s="321"/>
      <c r="N1929" s="321"/>
      <c r="O1929" s="364"/>
      <c r="P1929" s="381"/>
      <c r="R1929" s="392"/>
      <c r="S1929" s="61" ph="1"/>
      <c r="U1929" s="229"/>
      <c r="V1929" s="264"/>
      <c r="W1929" s="199"/>
      <c r="X1929" s="264"/>
      <c r="Y1929" s="264"/>
      <c r="Z1929" s="386"/>
      <c r="AA1929" s="126"/>
      <c r="AD1929" s="264"/>
      <c r="AE1929" s="264"/>
      <c r="AF1929" s="264"/>
      <c r="AG1929" s="264"/>
    </row>
    <row r="1930" spans="1:33" ht="26.25">
      <c r="A1930" s="264"/>
      <c r="B1930" s="264"/>
      <c r="C1930" s="264"/>
      <c r="D1930" s="264"/>
      <c r="E1930" s="264"/>
      <c r="F1930" s="264"/>
      <c r="G1930" s="264"/>
      <c r="H1930" s="264"/>
      <c r="I1930" s="264"/>
      <c r="J1930" s="327"/>
      <c r="K1930" s="327"/>
      <c r="L1930" s="327"/>
      <c r="M1930" s="321"/>
      <c r="N1930" s="321"/>
      <c r="O1930" s="364"/>
      <c r="P1930" s="381"/>
      <c r="R1930" s="392"/>
      <c r="S1930" s="61" ph="1"/>
      <c r="U1930" s="229"/>
      <c r="V1930" s="264"/>
      <c r="W1930" s="199"/>
      <c r="X1930" s="264"/>
      <c r="Y1930" s="264"/>
      <c r="Z1930" s="386"/>
      <c r="AA1930" s="264"/>
      <c r="AD1930" s="264"/>
      <c r="AE1930" s="264"/>
      <c r="AF1930" s="264"/>
      <c r="AG1930" s="264"/>
    </row>
    <row r="1931" spans="1:33" ht="26.25">
      <c r="A1931" s="264"/>
      <c r="B1931" s="264"/>
      <c r="C1931" s="264"/>
      <c r="D1931" s="264"/>
      <c r="E1931" s="264"/>
      <c r="F1931" s="264"/>
      <c r="G1931" s="264"/>
      <c r="H1931" s="264"/>
      <c r="I1931" s="264"/>
      <c r="J1931" s="327"/>
      <c r="K1931" s="327"/>
      <c r="L1931" s="327"/>
      <c r="M1931" s="321"/>
      <c r="N1931" s="321"/>
      <c r="O1931" s="364"/>
      <c r="P1931" s="381"/>
      <c r="R1931" s="392"/>
      <c r="S1931" s="61" ph="1"/>
      <c r="U1931" s="229"/>
      <c r="V1931" s="264"/>
      <c r="W1931" s="199"/>
      <c r="X1931" s="264"/>
      <c r="Y1931" s="264"/>
      <c r="Z1931" s="386"/>
      <c r="AA1931" s="264"/>
      <c r="AD1931" s="264"/>
      <c r="AE1931" s="264"/>
      <c r="AF1931" s="264"/>
      <c r="AG1931" s="264"/>
    </row>
    <row r="1932" spans="1:33" ht="26.25">
      <c r="A1932" s="264"/>
      <c r="B1932" s="264"/>
      <c r="C1932" s="264"/>
      <c r="D1932" s="264"/>
      <c r="E1932" s="264"/>
      <c r="F1932" s="264"/>
      <c r="G1932" s="264"/>
      <c r="H1932" s="264"/>
      <c r="I1932" s="264"/>
      <c r="J1932" s="327"/>
      <c r="K1932" s="327"/>
      <c r="L1932" s="327"/>
      <c r="M1932" s="321"/>
      <c r="N1932" s="321"/>
      <c r="O1932" s="364"/>
      <c r="P1932" s="381"/>
      <c r="R1932" s="392"/>
      <c r="S1932" s="61" ph="1"/>
      <c r="U1932" s="229"/>
      <c r="V1932" s="264"/>
      <c r="W1932" s="199"/>
      <c r="X1932" s="264"/>
      <c r="Y1932" s="264"/>
      <c r="Z1932" s="386"/>
      <c r="AA1932" s="264"/>
      <c r="AD1932" s="264"/>
      <c r="AE1932" s="264"/>
      <c r="AF1932" s="264"/>
      <c r="AG1932" s="264"/>
    </row>
    <row r="1933" spans="1:33" ht="26.25">
      <c r="A1933" s="264"/>
      <c r="B1933" s="264"/>
      <c r="C1933" s="264"/>
      <c r="D1933" s="264"/>
      <c r="E1933" s="264"/>
      <c r="F1933" s="264"/>
      <c r="G1933" s="264"/>
      <c r="H1933" s="264"/>
      <c r="I1933" s="264"/>
      <c r="J1933" s="327"/>
      <c r="K1933" s="327"/>
      <c r="L1933" s="327"/>
      <c r="M1933" s="321"/>
      <c r="N1933" s="321"/>
      <c r="O1933" s="364"/>
      <c r="P1933" s="381"/>
      <c r="R1933" s="392"/>
      <c r="S1933" s="61" ph="1"/>
      <c r="U1933" s="229"/>
      <c r="V1933" s="264"/>
      <c r="W1933" s="199"/>
      <c r="X1933" s="264"/>
      <c r="Y1933" s="264"/>
      <c r="Z1933" s="386"/>
      <c r="AA1933" s="264"/>
      <c r="AD1933" s="264"/>
      <c r="AE1933" s="264"/>
      <c r="AF1933" s="264"/>
      <c r="AG1933" s="264"/>
    </row>
    <row r="1934" spans="1:33" ht="26.25">
      <c r="A1934" s="264"/>
      <c r="B1934" s="264"/>
      <c r="C1934" s="264"/>
      <c r="D1934" s="264"/>
      <c r="E1934" s="264"/>
      <c r="F1934" s="264"/>
      <c r="G1934" s="264"/>
      <c r="H1934" s="264"/>
      <c r="I1934" s="264"/>
      <c r="J1934" s="327"/>
      <c r="K1934" s="327"/>
      <c r="L1934" s="327"/>
      <c r="M1934" s="321"/>
      <c r="N1934" s="321"/>
      <c r="O1934" s="364"/>
      <c r="P1934" s="381"/>
      <c r="R1934" s="392"/>
      <c r="S1934" s="61" ph="1"/>
      <c r="U1934" s="229"/>
      <c r="V1934" s="264"/>
      <c r="W1934" s="199"/>
      <c r="X1934" s="264"/>
      <c r="Y1934" s="264"/>
      <c r="Z1934" s="386"/>
      <c r="AA1934" s="264"/>
      <c r="AD1934" s="264"/>
      <c r="AE1934" s="264"/>
      <c r="AF1934" s="264"/>
      <c r="AG1934" s="264"/>
    </row>
    <row r="1935" spans="1:33" ht="26.25">
      <c r="A1935" s="264"/>
      <c r="B1935" s="264"/>
      <c r="C1935" s="264"/>
      <c r="D1935" s="264"/>
      <c r="E1935" s="264"/>
      <c r="F1935" s="264"/>
      <c r="G1935" s="264"/>
      <c r="H1935" s="264"/>
      <c r="I1935" s="264"/>
      <c r="J1935" s="327"/>
      <c r="K1935" s="327"/>
      <c r="L1935" s="327"/>
      <c r="M1935" s="321"/>
      <c r="N1935" s="321"/>
      <c r="O1935" s="364"/>
      <c r="P1935" s="381"/>
      <c r="R1935" s="392"/>
      <c r="S1935" s="61" ph="1"/>
      <c r="U1935" s="229"/>
      <c r="V1935" s="264"/>
      <c r="W1935" s="199"/>
      <c r="X1935" s="264"/>
      <c r="Y1935" s="264"/>
      <c r="Z1935" s="386"/>
      <c r="AA1935" s="264"/>
      <c r="AD1935" s="264"/>
      <c r="AE1935" s="264"/>
      <c r="AF1935" s="264"/>
      <c r="AG1935" s="264"/>
    </row>
    <row r="1936" spans="1:33" ht="26.25">
      <c r="A1936" s="264"/>
      <c r="B1936" s="264"/>
      <c r="C1936" s="264"/>
      <c r="D1936" s="264"/>
      <c r="E1936" s="264"/>
      <c r="F1936" s="264"/>
      <c r="G1936" s="264"/>
      <c r="H1936" s="264"/>
      <c r="I1936" s="264"/>
      <c r="J1936" s="327"/>
      <c r="K1936" s="327"/>
      <c r="L1936" s="327"/>
      <c r="M1936" s="321"/>
      <c r="N1936" s="321"/>
      <c r="O1936" s="364"/>
      <c r="P1936" s="381"/>
      <c r="R1936" s="392"/>
      <c r="S1936" s="61" ph="1"/>
      <c r="U1936" s="229"/>
      <c r="V1936" s="264"/>
      <c r="W1936" s="199"/>
      <c r="X1936" s="264"/>
      <c r="Y1936" s="264"/>
      <c r="Z1936" s="386"/>
      <c r="AA1936" s="264"/>
      <c r="AD1936" s="264"/>
      <c r="AE1936" s="264"/>
      <c r="AF1936" s="264"/>
      <c r="AG1936" s="264"/>
    </row>
    <row r="1937" spans="1:33" ht="26.25">
      <c r="A1937" s="264"/>
      <c r="B1937" s="264"/>
      <c r="C1937" s="264"/>
      <c r="D1937" s="264"/>
      <c r="E1937" s="264"/>
      <c r="F1937" s="264"/>
      <c r="G1937" s="264"/>
      <c r="H1937" s="264"/>
      <c r="I1937" s="264"/>
      <c r="J1937" s="327"/>
      <c r="K1937" s="327"/>
      <c r="L1937" s="327"/>
      <c r="M1937" s="321"/>
      <c r="N1937" s="321"/>
      <c r="O1937" s="364"/>
      <c r="P1937" s="381"/>
      <c r="R1937" s="392"/>
      <c r="S1937" s="61" ph="1"/>
      <c r="U1937" s="229"/>
      <c r="V1937" s="264"/>
      <c r="W1937" s="199"/>
      <c r="X1937" s="264"/>
      <c r="Y1937" s="264"/>
      <c r="Z1937" s="386"/>
      <c r="AA1937" s="264"/>
      <c r="AD1937" s="264"/>
      <c r="AE1937" s="264"/>
      <c r="AF1937" s="264"/>
      <c r="AG1937" s="264"/>
    </row>
    <row r="1938" spans="1:33" ht="26.25">
      <c r="A1938" s="264"/>
      <c r="B1938" s="264"/>
      <c r="C1938" s="264"/>
      <c r="D1938" s="264"/>
      <c r="E1938" s="264"/>
      <c r="F1938" s="264"/>
      <c r="G1938" s="264"/>
      <c r="H1938" s="264"/>
      <c r="I1938" s="264"/>
      <c r="J1938" s="327"/>
      <c r="K1938" s="327"/>
      <c r="L1938" s="327"/>
      <c r="M1938" s="321"/>
      <c r="N1938" s="321"/>
      <c r="O1938" s="364"/>
      <c r="P1938" s="381"/>
      <c r="R1938" s="392"/>
      <c r="S1938" s="61" ph="1"/>
      <c r="U1938" s="229"/>
      <c r="V1938" s="264"/>
      <c r="W1938" s="199"/>
      <c r="X1938" s="264"/>
      <c r="Y1938" s="264"/>
      <c r="Z1938" s="386"/>
      <c r="AA1938" s="264"/>
      <c r="AD1938" s="264"/>
      <c r="AE1938" s="264"/>
      <c r="AF1938" s="264"/>
      <c r="AG1938" s="264"/>
    </row>
    <row r="1939" spans="1:33" ht="26.25">
      <c r="A1939" s="264"/>
      <c r="B1939" s="264"/>
      <c r="C1939" s="264"/>
      <c r="D1939" s="264"/>
      <c r="E1939" s="264"/>
      <c r="F1939" s="264"/>
      <c r="G1939" s="264"/>
      <c r="H1939" s="264"/>
      <c r="I1939" s="264"/>
      <c r="J1939" s="327"/>
      <c r="K1939" s="327"/>
      <c r="L1939" s="327"/>
      <c r="M1939" s="321"/>
      <c r="N1939" s="321"/>
      <c r="O1939" s="364"/>
      <c r="P1939" s="381"/>
      <c r="R1939" s="392"/>
      <c r="S1939" s="61" ph="1"/>
      <c r="U1939" s="229"/>
      <c r="V1939" s="264"/>
      <c r="W1939" s="199"/>
      <c r="X1939" s="264"/>
      <c r="Y1939" s="264"/>
      <c r="Z1939" s="386"/>
      <c r="AA1939" s="126"/>
      <c r="AD1939" s="264"/>
      <c r="AE1939" s="264"/>
      <c r="AF1939" s="264"/>
      <c r="AG1939" s="264"/>
    </row>
    <row r="1940" spans="1:33" ht="26.25">
      <c r="A1940" s="264"/>
      <c r="B1940" s="264"/>
      <c r="C1940" s="264"/>
      <c r="D1940" s="264"/>
      <c r="E1940" s="264"/>
      <c r="F1940" s="264"/>
      <c r="G1940" s="264"/>
      <c r="H1940" s="264"/>
      <c r="I1940" s="264"/>
      <c r="J1940" s="327"/>
      <c r="K1940" s="327"/>
      <c r="L1940" s="327"/>
      <c r="M1940" s="321"/>
      <c r="N1940" s="321"/>
      <c r="O1940" s="364"/>
      <c r="P1940" s="381"/>
      <c r="R1940" s="392"/>
      <c r="S1940" s="61" ph="1"/>
      <c r="U1940" s="229"/>
      <c r="V1940" s="264"/>
      <c r="W1940" s="199"/>
      <c r="X1940" s="264"/>
      <c r="Y1940" s="264"/>
      <c r="Z1940" s="386"/>
      <c r="AA1940" s="264"/>
      <c r="AD1940" s="264"/>
      <c r="AE1940" s="264"/>
      <c r="AF1940" s="264"/>
      <c r="AG1940" s="264"/>
    </row>
    <row r="1941" spans="1:33" ht="26.25">
      <c r="A1941" s="264"/>
      <c r="B1941" s="264"/>
      <c r="C1941" s="264"/>
      <c r="D1941" s="264"/>
      <c r="E1941" s="264"/>
      <c r="F1941" s="264"/>
      <c r="G1941" s="264"/>
      <c r="H1941" s="264"/>
      <c r="I1941" s="264"/>
      <c r="J1941" s="327"/>
      <c r="K1941" s="327"/>
      <c r="L1941" s="327"/>
      <c r="M1941" s="321"/>
      <c r="N1941" s="321"/>
      <c r="O1941" s="364"/>
      <c r="P1941" s="381"/>
      <c r="R1941" s="392"/>
      <c r="S1941" s="61" ph="1"/>
      <c r="U1941" s="229"/>
      <c r="V1941" s="264"/>
      <c r="W1941" s="199"/>
      <c r="X1941" s="264"/>
      <c r="Y1941" s="264"/>
      <c r="Z1941" s="386"/>
      <c r="AA1941" s="264"/>
      <c r="AD1941" s="264"/>
      <c r="AE1941" s="264"/>
      <c r="AF1941" s="264"/>
      <c r="AG1941" s="264"/>
    </row>
    <row r="1942" spans="1:33" ht="26.25">
      <c r="A1942" s="264"/>
      <c r="B1942" s="264"/>
      <c r="C1942" s="264"/>
      <c r="D1942" s="264"/>
      <c r="E1942" s="264"/>
      <c r="F1942" s="264"/>
      <c r="G1942" s="264"/>
      <c r="H1942" s="264"/>
      <c r="I1942" s="264"/>
      <c r="J1942" s="327"/>
      <c r="K1942" s="327"/>
      <c r="L1942" s="327"/>
      <c r="M1942" s="321"/>
      <c r="N1942" s="321"/>
      <c r="O1942" s="364"/>
      <c r="P1942" s="381"/>
      <c r="R1942" s="392"/>
      <c r="S1942" s="61" ph="1"/>
      <c r="U1942" s="229"/>
      <c r="V1942" s="264"/>
      <c r="W1942" s="199"/>
      <c r="X1942" s="264"/>
      <c r="Y1942" s="264"/>
      <c r="Z1942" s="386"/>
      <c r="AA1942" s="264"/>
      <c r="AD1942" s="264"/>
      <c r="AE1942" s="264"/>
      <c r="AF1942" s="264"/>
      <c r="AG1942" s="264"/>
    </row>
    <row r="1943" spans="1:33" ht="26.25">
      <c r="A1943" s="264"/>
      <c r="B1943" s="264"/>
      <c r="C1943" s="264"/>
      <c r="D1943" s="264"/>
      <c r="E1943" s="264"/>
      <c r="F1943" s="264"/>
      <c r="G1943" s="264"/>
      <c r="H1943" s="264"/>
      <c r="I1943" s="264"/>
      <c r="J1943" s="327"/>
      <c r="K1943" s="327"/>
      <c r="L1943" s="327"/>
      <c r="M1943" s="321"/>
      <c r="N1943" s="321"/>
      <c r="O1943" s="364"/>
      <c r="P1943" s="381"/>
      <c r="R1943" s="392"/>
      <c r="S1943" s="61" ph="1"/>
      <c r="U1943" s="229"/>
      <c r="V1943" s="264"/>
      <c r="W1943" s="199"/>
      <c r="X1943" s="264"/>
      <c r="Y1943" s="264"/>
      <c r="Z1943" s="386"/>
      <c r="AA1943" s="126"/>
      <c r="AD1943" s="264"/>
      <c r="AE1943" s="264"/>
      <c r="AF1943" s="264"/>
      <c r="AG1943" s="264"/>
    </row>
    <row r="1944" spans="1:33" ht="26.25">
      <c r="A1944" s="264"/>
      <c r="B1944" s="264"/>
      <c r="C1944" s="264"/>
      <c r="D1944" s="264"/>
      <c r="E1944" s="264"/>
      <c r="F1944" s="264"/>
      <c r="G1944" s="264"/>
      <c r="H1944" s="264"/>
      <c r="I1944" s="264"/>
      <c r="J1944" s="327"/>
      <c r="K1944" s="327"/>
      <c r="L1944" s="327"/>
      <c r="M1944" s="321"/>
      <c r="N1944" s="321"/>
      <c r="O1944" s="364"/>
      <c r="P1944" s="381"/>
      <c r="R1944" s="392"/>
      <c r="S1944" s="61" ph="1"/>
      <c r="U1944" s="229"/>
      <c r="V1944" s="264"/>
      <c r="W1944" s="199"/>
      <c r="X1944" s="264"/>
      <c r="Y1944" s="264"/>
      <c r="Z1944" s="386"/>
      <c r="AA1944" s="264"/>
      <c r="AD1944" s="264"/>
      <c r="AE1944" s="264"/>
      <c r="AF1944" s="264"/>
      <c r="AG1944" s="264"/>
    </row>
    <row r="1945" spans="1:33" ht="26.25">
      <c r="A1945" s="264"/>
      <c r="B1945" s="264"/>
      <c r="C1945" s="264"/>
      <c r="D1945" s="264"/>
      <c r="E1945" s="264"/>
      <c r="F1945" s="264"/>
      <c r="G1945" s="264"/>
      <c r="H1945" s="264"/>
      <c r="I1945" s="264"/>
      <c r="J1945" s="327"/>
      <c r="K1945" s="327"/>
      <c r="L1945" s="327"/>
      <c r="M1945" s="321"/>
      <c r="N1945" s="321"/>
      <c r="O1945" s="364"/>
      <c r="P1945" s="381"/>
      <c r="R1945" s="392"/>
      <c r="S1945" s="61" ph="1"/>
      <c r="U1945" s="229"/>
      <c r="V1945" s="264"/>
      <c r="W1945" s="199"/>
      <c r="X1945" s="264"/>
      <c r="Y1945" s="264"/>
      <c r="Z1945" s="386"/>
      <c r="AA1945" s="264"/>
      <c r="AD1945" s="264"/>
      <c r="AE1945" s="264"/>
      <c r="AF1945" s="264"/>
      <c r="AG1945" s="264"/>
    </row>
    <row r="1946" spans="1:33" ht="26.25">
      <c r="A1946" s="264"/>
      <c r="B1946" s="264"/>
      <c r="C1946" s="264"/>
      <c r="D1946" s="264"/>
      <c r="E1946" s="264"/>
      <c r="F1946" s="264"/>
      <c r="G1946" s="264"/>
      <c r="H1946" s="264"/>
      <c r="I1946" s="264"/>
      <c r="J1946" s="327"/>
      <c r="K1946" s="327"/>
      <c r="L1946" s="327"/>
      <c r="M1946" s="321"/>
      <c r="N1946" s="321"/>
      <c r="O1946" s="364"/>
      <c r="P1946" s="381"/>
      <c r="R1946" s="392"/>
      <c r="S1946" s="61" ph="1"/>
      <c r="U1946" s="229"/>
      <c r="V1946" s="264"/>
      <c r="W1946" s="199"/>
      <c r="X1946" s="264"/>
      <c r="Y1946" s="264"/>
      <c r="Z1946" s="386"/>
      <c r="AA1946" s="126"/>
      <c r="AD1946" s="264"/>
      <c r="AE1946" s="264"/>
      <c r="AF1946" s="264"/>
      <c r="AG1946" s="264"/>
    </row>
    <row r="1947" spans="1:33" ht="26.25">
      <c r="A1947" s="264"/>
      <c r="B1947" s="264"/>
      <c r="C1947" s="264"/>
      <c r="D1947" s="264"/>
      <c r="E1947" s="264"/>
      <c r="F1947" s="264"/>
      <c r="G1947" s="264"/>
      <c r="H1947" s="264"/>
      <c r="I1947" s="264"/>
      <c r="J1947" s="327"/>
      <c r="K1947" s="327"/>
      <c r="L1947" s="327"/>
      <c r="M1947" s="321"/>
      <c r="N1947" s="321"/>
      <c r="O1947" s="364"/>
      <c r="P1947" s="381"/>
      <c r="R1947" s="392"/>
      <c r="S1947" s="61" ph="1"/>
      <c r="U1947" s="229"/>
      <c r="V1947" s="264"/>
      <c r="W1947" s="199"/>
      <c r="X1947" s="264"/>
      <c r="Y1947" s="264"/>
      <c r="Z1947" s="386"/>
      <c r="AA1947" s="126"/>
      <c r="AD1947" s="264"/>
      <c r="AE1947" s="264"/>
      <c r="AF1947" s="264"/>
      <c r="AG1947" s="264"/>
    </row>
    <row r="1948" spans="1:33" ht="26.25">
      <c r="A1948" s="264"/>
      <c r="B1948" s="264"/>
      <c r="C1948" s="264"/>
      <c r="D1948" s="264"/>
      <c r="E1948" s="264"/>
      <c r="F1948" s="264"/>
      <c r="G1948" s="264"/>
      <c r="H1948" s="264"/>
      <c r="I1948" s="264"/>
      <c r="J1948" s="327"/>
      <c r="K1948" s="327"/>
      <c r="L1948" s="327"/>
      <c r="M1948" s="321"/>
      <c r="N1948" s="321"/>
      <c r="O1948" s="364"/>
      <c r="P1948" s="381"/>
      <c r="R1948" s="392"/>
      <c r="S1948" s="61" ph="1"/>
      <c r="U1948" s="229"/>
      <c r="V1948" s="264"/>
      <c r="W1948" s="199"/>
      <c r="X1948" s="264"/>
      <c r="Y1948" s="264"/>
      <c r="Z1948" s="386"/>
      <c r="AD1948" s="264"/>
      <c r="AE1948" s="264"/>
      <c r="AF1948" s="264"/>
      <c r="AG1948" s="264"/>
    </row>
    <row r="1949" spans="1:33" ht="26.25">
      <c r="A1949" s="264"/>
      <c r="B1949" s="264"/>
      <c r="C1949" s="264"/>
      <c r="D1949" s="264"/>
      <c r="E1949" s="264"/>
      <c r="F1949" s="264"/>
      <c r="G1949" s="264"/>
      <c r="H1949" s="264"/>
      <c r="I1949" s="264"/>
      <c r="J1949" s="327"/>
      <c r="K1949" s="327"/>
      <c r="L1949" s="327"/>
      <c r="M1949" s="321"/>
      <c r="N1949" s="321"/>
      <c r="O1949" s="364"/>
      <c r="P1949" s="381"/>
      <c r="R1949" s="392"/>
      <c r="S1949" s="61" ph="1"/>
      <c r="U1949" s="229"/>
      <c r="V1949" s="264"/>
      <c r="W1949" s="199"/>
      <c r="X1949" s="264"/>
      <c r="Y1949" s="264"/>
      <c r="Z1949" s="386"/>
      <c r="AD1949" s="264"/>
      <c r="AE1949" s="264"/>
      <c r="AF1949" s="264"/>
      <c r="AG1949" s="264"/>
    </row>
    <row r="1950" spans="1:33" ht="26.25">
      <c r="A1950" s="264"/>
      <c r="B1950" s="264"/>
      <c r="C1950" s="264"/>
      <c r="D1950" s="264"/>
      <c r="E1950" s="264"/>
      <c r="F1950" s="264"/>
      <c r="G1950" s="264"/>
      <c r="H1950" s="264"/>
      <c r="I1950" s="264"/>
      <c r="J1950" s="327"/>
      <c r="K1950" s="327"/>
      <c r="L1950" s="327"/>
      <c r="M1950" s="321"/>
      <c r="N1950" s="321"/>
      <c r="O1950" s="364"/>
      <c r="P1950" s="381"/>
      <c r="R1950" s="392"/>
      <c r="S1950" s="61" ph="1"/>
      <c r="U1950" s="229"/>
      <c r="V1950" s="264"/>
      <c r="W1950" s="199"/>
      <c r="X1950" s="264"/>
      <c r="Y1950" s="264"/>
      <c r="Z1950" s="386"/>
      <c r="AD1950" s="264"/>
      <c r="AE1950" s="264"/>
      <c r="AF1950" s="264"/>
      <c r="AG1950" s="264"/>
    </row>
    <row r="1951" spans="1:33" ht="26.25">
      <c r="A1951" s="264"/>
      <c r="B1951" s="264"/>
      <c r="C1951" s="264"/>
      <c r="D1951" s="264"/>
      <c r="E1951" s="264"/>
      <c r="F1951" s="264"/>
      <c r="G1951" s="264"/>
      <c r="H1951" s="264"/>
      <c r="I1951" s="264"/>
      <c r="J1951" s="327"/>
      <c r="K1951" s="327"/>
      <c r="L1951" s="327"/>
      <c r="M1951" s="321"/>
      <c r="N1951" s="321"/>
      <c r="O1951" s="364"/>
      <c r="P1951" s="381"/>
      <c r="R1951" s="392"/>
      <c r="S1951" s="61" ph="1"/>
      <c r="U1951" s="229"/>
      <c r="V1951" s="264"/>
      <c r="W1951" s="199"/>
      <c r="X1951" s="264"/>
      <c r="Y1951" s="264"/>
      <c r="Z1951" s="386"/>
      <c r="AD1951" s="264"/>
      <c r="AE1951" s="264"/>
      <c r="AF1951" s="264"/>
      <c r="AG1951" s="264"/>
    </row>
    <row r="1952" spans="1:33" ht="26.25">
      <c r="A1952" s="264"/>
      <c r="B1952" s="264"/>
      <c r="C1952" s="264"/>
      <c r="D1952" s="264"/>
      <c r="E1952" s="264"/>
      <c r="F1952" s="264"/>
      <c r="G1952" s="264"/>
      <c r="H1952" s="264"/>
      <c r="I1952" s="264"/>
      <c r="J1952" s="327"/>
      <c r="K1952" s="327"/>
      <c r="L1952" s="327"/>
      <c r="M1952" s="321"/>
      <c r="N1952" s="321"/>
      <c r="O1952" s="364"/>
      <c r="P1952" s="381"/>
      <c r="R1952" s="392"/>
      <c r="S1952" s="61" ph="1"/>
      <c r="U1952" s="229"/>
      <c r="V1952" s="264"/>
      <c r="W1952" s="199"/>
      <c r="X1952" s="264"/>
      <c r="Y1952" s="264"/>
      <c r="Z1952" s="386"/>
      <c r="AD1952" s="264"/>
      <c r="AE1952" s="264"/>
      <c r="AF1952" s="264"/>
      <c r="AG1952" s="264"/>
    </row>
    <row r="1953" spans="1:33" ht="26.25">
      <c r="A1953" s="264"/>
      <c r="B1953" s="264"/>
      <c r="C1953" s="264"/>
      <c r="D1953" s="264"/>
      <c r="E1953" s="264"/>
      <c r="F1953" s="264"/>
      <c r="G1953" s="264"/>
      <c r="H1953" s="264"/>
      <c r="I1953" s="264"/>
      <c r="J1953" s="327"/>
      <c r="K1953" s="327"/>
      <c r="L1953" s="327"/>
      <c r="M1953" s="321"/>
      <c r="N1953" s="321"/>
      <c r="O1953" s="364"/>
      <c r="P1953" s="381"/>
      <c r="R1953" s="392"/>
      <c r="S1953" s="61" ph="1"/>
      <c r="U1953" s="229"/>
      <c r="V1953" s="264"/>
      <c r="W1953" s="199"/>
      <c r="X1953" s="264"/>
      <c r="Y1953" s="264"/>
      <c r="Z1953" s="386"/>
      <c r="AD1953" s="264"/>
      <c r="AE1953" s="264"/>
      <c r="AF1953" s="264"/>
      <c r="AG1953" s="264"/>
    </row>
    <row r="1954" spans="1:33" ht="26.25">
      <c r="A1954" s="264"/>
      <c r="B1954" s="264"/>
      <c r="C1954" s="264"/>
      <c r="D1954" s="264"/>
      <c r="E1954" s="264"/>
      <c r="F1954" s="264"/>
      <c r="G1954" s="264"/>
      <c r="H1954" s="264"/>
      <c r="I1954" s="264"/>
      <c r="J1954" s="327"/>
      <c r="K1954" s="327"/>
      <c r="L1954" s="327"/>
      <c r="M1954" s="321"/>
      <c r="N1954" s="321"/>
      <c r="O1954" s="364"/>
      <c r="P1954" s="381"/>
      <c r="R1954" s="392"/>
      <c r="S1954" s="61" ph="1"/>
      <c r="U1954" s="229"/>
      <c r="V1954" s="264"/>
      <c r="W1954" s="199"/>
      <c r="X1954" s="264"/>
      <c r="Y1954" s="264"/>
      <c r="Z1954" s="386"/>
      <c r="AD1954" s="264"/>
      <c r="AE1954" s="264"/>
      <c r="AF1954" s="264"/>
      <c r="AG1954" s="264"/>
    </row>
    <row r="1955" spans="1:33" ht="26.25">
      <c r="A1955" s="264"/>
      <c r="B1955" s="264"/>
      <c r="C1955" s="264"/>
      <c r="D1955" s="264"/>
      <c r="E1955" s="264"/>
      <c r="F1955" s="264"/>
      <c r="G1955" s="264"/>
      <c r="H1955" s="264"/>
      <c r="I1955" s="264"/>
      <c r="J1955" s="327"/>
      <c r="K1955" s="327"/>
      <c r="L1955" s="327"/>
      <c r="M1955" s="321"/>
      <c r="N1955" s="321"/>
      <c r="O1955" s="364"/>
      <c r="P1955" s="381"/>
      <c r="R1955" s="392"/>
      <c r="S1955" s="61" ph="1"/>
      <c r="U1955" s="229"/>
      <c r="V1955" s="264"/>
      <c r="W1955" s="199"/>
      <c r="X1955" s="264"/>
      <c r="Y1955" s="264"/>
      <c r="Z1955" s="386"/>
      <c r="AD1955" s="264"/>
      <c r="AE1955" s="264"/>
      <c r="AF1955" s="264"/>
      <c r="AG1955" s="264"/>
    </row>
    <row r="1956" spans="1:33" ht="26.25">
      <c r="A1956" s="264"/>
      <c r="B1956" s="264"/>
      <c r="C1956" s="264"/>
      <c r="D1956" s="264"/>
      <c r="E1956" s="264"/>
      <c r="F1956" s="264"/>
      <c r="G1956" s="264"/>
      <c r="H1956" s="264"/>
      <c r="I1956" s="264"/>
      <c r="J1956" s="327"/>
      <c r="K1956" s="327"/>
      <c r="L1956" s="327"/>
      <c r="M1956" s="321"/>
      <c r="N1956" s="321"/>
      <c r="O1956" s="364"/>
      <c r="P1956" s="381"/>
      <c r="R1956" s="392"/>
      <c r="S1956" s="61" ph="1"/>
      <c r="U1956" s="229"/>
      <c r="V1956" s="264"/>
      <c r="W1956" s="199"/>
      <c r="X1956" s="264"/>
      <c r="Y1956" s="264"/>
      <c r="Z1956" s="386"/>
      <c r="AD1956" s="264"/>
      <c r="AE1956" s="264"/>
      <c r="AF1956" s="264"/>
      <c r="AG1956" s="264"/>
    </row>
    <row r="1957" spans="1:33" ht="26.25">
      <c r="A1957" s="264"/>
      <c r="B1957" s="264"/>
      <c r="C1957" s="264"/>
      <c r="D1957" s="264"/>
      <c r="E1957" s="264"/>
      <c r="F1957" s="264"/>
      <c r="G1957" s="264"/>
      <c r="H1957" s="264"/>
      <c r="I1957" s="264"/>
      <c r="J1957" s="327"/>
      <c r="K1957" s="327"/>
      <c r="L1957" s="327"/>
      <c r="M1957" s="321"/>
      <c r="N1957" s="321"/>
      <c r="O1957" s="364"/>
      <c r="P1957" s="381"/>
      <c r="R1957" s="392"/>
      <c r="S1957" s="61" ph="1"/>
      <c r="U1957" s="229"/>
      <c r="V1957" s="264"/>
      <c r="W1957" s="199"/>
      <c r="X1957" s="264"/>
      <c r="Y1957" s="264"/>
      <c r="Z1957" s="386"/>
      <c r="AD1957" s="264"/>
      <c r="AE1957" s="264"/>
      <c r="AF1957" s="264"/>
      <c r="AG1957" s="264"/>
    </row>
    <row r="1958" spans="1:33" ht="26.25">
      <c r="A1958" s="264"/>
      <c r="B1958" s="264"/>
      <c r="C1958" s="264"/>
      <c r="D1958" s="264"/>
      <c r="E1958" s="264"/>
      <c r="F1958" s="264"/>
      <c r="G1958" s="264"/>
      <c r="H1958" s="264"/>
      <c r="I1958" s="264"/>
      <c r="J1958" s="327"/>
      <c r="K1958" s="327"/>
      <c r="L1958" s="327"/>
      <c r="M1958" s="321"/>
      <c r="N1958" s="321"/>
      <c r="O1958" s="364"/>
      <c r="P1958" s="381"/>
      <c r="R1958" s="392"/>
      <c r="S1958" s="61" ph="1"/>
      <c r="U1958" s="229"/>
      <c r="V1958" s="264"/>
      <c r="W1958" s="199"/>
      <c r="X1958" s="264"/>
      <c r="Y1958" s="264"/>
      <c r="Z1958" s="386"/>
      <c r="AD1958" s="264"/>
      <c r="AE1958" s="264"/>
      <c r="AF1958" s="264"/>
      <c r="AG1958" s="264"/>
    </row>
    <row r="1959" spans="1:33" ht="26.25">
      <c r="A1959" s="264"/>
      <c r="B1959" s="264"/>
      <c r="C1959" s="264"/>
      <c r="D1959" s="264"/>
      <c r="E1959" s="264"/>
      <c r="F1959" s="264"/>
      <c r="G1959" s="264"/>
      <c r="H1959" s="264"/>
      <c r="I1959" s="264"/>
      <c r="J1959" s="327"/>
      <c r="K1959" s="327"/>
      <c r="L1959" s="327"/>
      <c r="M1959" s="321"/>
      <c r="N1959" s="321"/>
      <c r="O1959" s="364"/>
      <c r="P1959" s="381"/>
      <c r="R1959" s="392"/>
      <c r="S1959" s="61" ph="1"/>
      <c r="U1959" s="229"/>
      <c r="V1959" s="264"/>
      <c r="W1959" s="199"/>
      <c r="X1959" s="264"/>
      <c r="Y1959" s="264"/>
      <c r="Z1959" s="386"/>
      <c r="AD1959" s="264"/>
      <c r="AE1959" s="264"/>
      <c r="AF1959" s="264"/>
      <c r="AG1959" s="264"/>
    </row>
    <row r="1960" spans="1:33" ht="26.25">
      <c r="A1960" s="264"/>
      <c r="B1960" s="264"/>
      <c r="C1960" s="264"/>
      <c r="D1960" s="264"/>
      <c r="E1960" s="264"/>
      <c r="F1960" s="264"/>
      <c r="G1960" s="264"/>
      <c r="H1960" s="264"/>
      <c r="I1960" s="264"/>
      <c r="J1960" s="327"/>
      <c r="K1960" s="327"/>
      <c r="L1960" s="327"/>
      <c r="M1960" s="321"/>
      <c r="N1960" s="321"/>
      <c r="O1960" s="364"/>
      <c r="P1960" s="381"/>
      <c r="R1960" s="392"/>
      <c r="S1960" s="61" ph="1"/>
      <c r="U1960" s="229"/>
      <c r="V1960" s="264"/>
      <c r="W1960" s="199"/>
      <c r="X1960" s="264"/>
      <c r="Y1960" s="264"/>
      <c r="Z1960" s="386"/>
      <c r="AD1960" s="264"/>
      <c r="AE1960" s="264"/>
      <c r="AF1960" s="264"/>
      <c r="AG1960" s="264"/>
    </row>
    <row r="1961" spans="1:33" ht="26.25">
      <c r="A1961" s="264"/>
      <c r="B1961" s="264"/>
      <c r="C1961" s="264"/>
      <c r="D1961" s="264"/>
      <c r="E1961" s="264"/>
      <c r="F1961" s="264"/>
      <c r="G1961" s="264"/>
      <c r="H1961" s="264"/>
      <c r="I1961" s="264"/>
      <c r="J1961" s="327"/>
      <c r="K1961" s="327"/>
      <c r="L1961" s="327"/>
      <c r="M1961" s="321"/>
      <c r="N1961" s="321"/>
      <c r="O1961" s="364"/>
      <c r="P1961" s="381"/>
      <c r="R1961" s="392"/>
      <c r="S1961" s="61" ph="1"/>
      <c r="U1961" s="229"/>
      <c r="V1961" s="264"/>
      <c r="W1961" s="199"/>
      <c r="X1961" s="264"/>
      <c r="Y1961" s="264"/>
      <c r="Z1961" s="386"/>
      <c r="AD1961" s="264"/>
      <c r="AE1961" s="264"/>
      <c r="AF1961" s="264"/>
      <c r="AG1961" s="264"/>
    </row>
    <row r="1962" spans="1:33" ht="26.25">
      <c r="A1962" s="264"/>
      <c r="B1962" s="264"/>
      <c r="C1962" s="264"/>
      <c r="D1962" s="264"/>
      <c r="E1962" s="264"/>
      <c r="F1962" s="264"/>
      <c r="G1962" s="264"/>
      <c r="H1962" s="264"/>
      <c r="I1962" s="264"/>
      <c r="J1962" s="327"/>
      <c r="K1962" s="327"/>
      <c r="L1962" s="327"/>
      <c r="M1962" s="321"/>
      <c r="N1962" s="321"/>
      <c r="O1962" s="364"/>
      <c r="P1962" s="381"/>
      <c r="R1962" s="392"/>
      <c r="S1962" s="61" ph="1"/>
      <c r="U1962" s="229"/>
      <c r="V1962" s="264"/>
      <c r="W1962" s="199"/>
      <c r="X1962" s="264"/>
      <c r="Y1962" s="264"/>
      <c r="Z1962" s="386"/>
      <c r="AD1962" s="264"/>
      <c r="AE1962" s="264"/>
      <c r="AF1962" s="264"/>
      <c r="AG1962" s="264"/>
    </row>
    <row r="1963" spans="1:33" ht="26.25">
      <c r="A1963" s="264"/>
      <c r="B1963" s="264"/>
      <c r="C1963" s="264"/>
      <c r="D1963" s="264"/>
      <c r="E1963" s="264"/>
      <c r="F1963" s="264"/>
      <c r="G1963" s="264"/>
      <c r="H1963" s="264"/>
      <c r="I1963" s="264"/>
      <c r="J1963" s="327"/>
      <c r="K1963" s="327"/>
      <c r="L1963" s="327"/>
      <c r="M1963" s="321"/>
      <c r="N1963" s="321"/>
      <c r="O1963" s="364"/>
      <c r="P1963" s="381"/>
      <c r="R1963" s="392"/>
      <c r="S1963" s="61" ph="1"/>
      <c r="U1963" s="229"/>
      <c r="V1963" s="264"/>
      <c r="W1963" s="199"/>
      <c r="X1963" s="264"/>
      <c r="Y1963" s="264"/>
      <c r="Z1963" s="386"/>
      <c r="AD1963" s="264"/>
      <c r="AE1963" s="264"/>
      <c r="AF1963" s="264"/>
      <c r="AG1963" s="264"/>
    </row>
    <row r="1964" spans="1:33" ht="26.25">
      <c r="A1964" s="264"/>
      <c r="B1964" s="264"/>
      <c r="C1964" s="264"/>
      <c r="D1964" s="264"/>
      <c r="E1964" s="264"/>
      <c r="F1964" s="264"/>
      <c r="G1964" s="264"/>
      <c r="H1964" s="264"/>
      <c r="I1964" s="264"/>
      <c r="J1964" s="327"/>
      <c r="K1964" s="327"/>
      <c r="L1964" s="327"/>
      <c r="M1964" s="321"/>
      <c r="N1964" s="321"/>
      <c r="O1964" s="364"/>
      <c r="P1964" s="381"/>
      <c r="R1964" s="392"/>
      <c r="S1964" s="61" ph="1"/>
      <c r="U1964" s="229"/>
      <c r="V1964" s="264"/>
      <c r="W1964" s="199"/>
      <c r="X1964" s="264"/>
      <c r="Y1964" s="264"/>
      <c r="Z1964" s="386"/>
      <c r="AD1964" s="264"/>
      <c r="AE1964" s="264"/>
      <c r="AF1964" s="264"/>
      <c r="AG1964" s="264"/>
    </row>
    <row r="1965" spans="1:33" ht="26.25">
      <c r="A1965" s="264"/>
      <c r="B1965" s="264"/>
      <c r="C1965" s="264"/>
      <c r="D1965" s="264"/>
      <c r="E1965" s="264"/>
      <c r="F1965" s="264"/>
      <c r="G1965" s="264"/>
      <c r="H1965" s="264"/>
      <c r="I1965" s="264"/>
      <c r="J1965" s="327"/>
      <c r="K1965" s="327"/>
      <c r="L1965" s="327"/>
      <c r="M1965" s="321"/>
      <c r="N1965" s="321"/>
      <c r="O1965" s="364"/>
      <c r="P1965" s="381"/>
      <c r="R1965" s="392"/>
      <c r="S1965" s="61" ph="1"/>
      <c r="U1965" s="229"/>
      <c r="V1965" s="264"/>
      <c r="W1965" s="199"/>
      <c r="X1965" s="264"/>
      <c r="Y1965" s="264"/>
      <c r="Z1965" s="386"/>
      <c r="AD1965" s="264"/>
      <c r="AE1965" s="264"/>
      <c r="AF1965" s="264"/>
      <c r="AG1965" s="264"/>
    </row>
    <row r="1966" spans="1:33" ht="26.25">
      <c r="A1966" s="264"/>
      <c r="B1966" s="264"/>
      <c r="C1966" s="264"/>
      <c r="D1966" s="264"/>
      <c r="E1966" s="264"/>
      <c r="F1966" s="264"/>
      <c r="G1966" s="264"/>
      <c r="H1966" s="264"/>
      <c r="I1966" s="264"/>
      <c r="J1966" s="327"/>
      <c r="K1966" s="327"/>
      <c r="L1966" s="327"/>
      <c r="M1966" s="321"/>
      <c r="N1966" s="321"/>
      <c r="O1966" s="364"/>
      <c r="P1966" s="381"/>
      <c r="R1966" s="392"/>
      <c r="S1966" s="61" ph="1"/>
      <c r="U1966" s="229"/>
      <c r="V1966" s="264"/>
      <c r="W1966" s="199"/>
      <c r="X1966" s="264"/>
      <c r="Y1966" s="264"/>
      <c r="Z1966" s="386"/>
      <c r="AD1966" s="264"/>
      <c r="AE1966" s="264"/>
      <c r="AF1966" s="264"/>
      <c r="AG1966" s="264"/>
    </row>
    <row r="1967" spans="1:33" ht="26.25">
      <c r="A1967" s="264"/>
      <c r="B1967" s="264"/>
      <c r="C1967" s="264"/>
      <c r="D1967" s="264"/>
      <c r="E1967" s="264"/>
      <c r="F1967" s="264"/>
      <c r="G1967" s="264"/>
      <c r="H1967" s="264"/>
      <c r="I1967" s="264"/>
      <c r="J1967" s="327"/>
      <c r="K1967" s="327"/>
      <c r="L1967" s="327"/>
      <c r="M1967" s="321"/>
      <c r="N1967" s="321"/>
      <c r="O1967" s="364"/>
      <c r="P1967" s="381"/>
      <c r="R1967" s="392"/>
      <c r="S1967" s="61" ph="1"/>
      <c r="U1967" s="229"/>
      <c r="V1967" s="264"/>
      <c r="W1967" s="199"/>
      <c r="X1967" s="264"/>
      <c r="Y1967" s="264"/>
      <c r="Z1967" s="386"/>
      <c r="AD1967" s="264"/>
      <c r="AE1967" s="264"/>
      <c r="AF1967" s="264"/>
      <c r="AG1967" s="264"/>
    </row>
    <row r="1968" spans="1:33" ht="26.25">
      <c r="A1968" s="264"/>
      <c r="B1968" s="264"/>
      <c r="C1968" s="264"/>
      <c r="D1968" s="264"/>
      <c r="E1968" s="264"/>
      <c r="F1968" s="264"/>
      <c r="G1968" s="264"/>
      <c r="H1968" s="264"/>
      <c r="I1968" s="264"/>
      <c r="J1968" s="327"/>
      <c r="K1968" s="327"/>
      <c r="L1968" s="327"/>
      <c r="M1968" s="321"/>
      <c r="N1968" s="321"/>
      <c r="O1968" s="364"/>
      <c r="P1968" s="381"/>
      <c r="R1968" s="392"/>
      <c r="S1968" s="61" ph="1"/>
      <c r="U1968" s="229"/>
      <c r="V1968" s="264"/>
      <c r="W1968" s="199"/>
      <c r="X1968" s="264"/>
      <c r="Y1968" s="264"/>
      <c r="Z1968" s="386"/>
      <c r="AD1968" s="264"/>
      <c r="AE1968" s="264"/>
      <c r="AF1968" s="264"/>
      <c r="AG1968" s="264"/>
    </row>
    <row r="1969" spans="1:33" ht="26.25">
      <c r="A1969" s="264"/>
      <c r="B1969" s="264"/>
      <c r="C1969" s="264"/>
      <c r="D1969" s="264"/>
      <c r="E1969" s="264"/>
      <c r="F1969" s="264"/>
      <c r="G1969" s="264"/>
      <c r="H1969" s="264"/>
      <c r="I1969" s="264"/>
      <c r="J1969" s="327"/>
      <c r="K1969" s="327"/>
      <c r="L1969" s="327"/>
      <c r="M1969" s="321"/>
      <c r="N1969" s="321"/>
      <c r="O1969" s="364"/>
      <c r="P1969" s="381"/>
      <c r="R1969" s="392"/>
      <c r="S1969" s="61" ph="1"/>
      <c r="U1969" s="229"/>
      <c r="V1969" s="264"/>
      <c r="W1969" s="199"/>
      <c r="X1969" s="264"/>
      <c r="Y1969" s="264"/>
      <c r="Z1969" s="386"/>
      <c r="AD1969" s="264"/>
      <c r="AE1969" s="264"/>
      <c r="AF1969" s="264"/>
      <c r="AG1969" s="264"/>
    </row>
    <row r="1970" spans="1:33" ht="26.25">
      <c r="A1970" s="264"/>
      <c r="B1970" s="264"/>
      <c r="C1970" s="264"/>
      <c r="D1970" s="264"/>
      <c r="E1970" s="264"/>
      <c r="F1970" s="264"/>
      <c r="G1970" s="264"/>
      <c r="H1970" s="264"/>
      <c r="I1970" s="264"/>
      <c r="J1970" s="327"/>
      <c r="K1970" s="327"/>
      <c r="L1970" s="327"/>
      <c r="M1970" s="321"/>
      <c r="N1970" s="321"/>
      <c r="O1970" s="364"/>
      <c r="P1970" s="381"/>
      <c r="R1970" s="392"/>
      <c r="S1970" s="61" ph="1"/>
      <c r="U1970" s="229"/>
      <c r="V1970" s="264"/>
      <c r="W1970" s="199"/>
      <c r="X1970" s="264"/>
      <c r="Y1970" s="264"/>
      <c r="Z1970" s="386"/>
      <c r="AD1970" s="264"/>
      <c r="AE1970" s="264"/>
      <c r="AF1970" s="264"/>
      <c r="AG1970" s="264"/>
    </row>
    <row r="1971" spans="1:33" ht="26.25">
      <c r="A1971" s="264"/>
      <c r="B1971" s="264"/>
      <c r="C1971" s="264"/>
      <c r="D1971" s="264"/>
      <c r="E1971" s="264"/>
      <c r="F1971" s="264"/>
      <c r="G1971" s="264"/>
      <c r="H1971" s="264"/>
      <c r="I1971" s="264"/>
      <c r="J1971" s="327"/>
      <c r="K1971" s="327"/>
      <c r="L1971" s="327"/>
      <c r="M1971" s="321"/>
      <c r="N1971" s="321"/>
      <c r="O1971" s="364"/>
      <c r="P1971" s="381"/>
      <c r="R1971" s="392"/>
      <c r="S1971" s="61" ph="1"/>
      <c r="U1971" s="229"/>
      <c r="V1971" s="264"/>
      <c r="W1971" s="199"/>
      <c r="X1971" s="264"/>
      <c r="Y1971" s="264"/>
      <c r="Z1971" s="386"/>
      <c r="AD1971" s="264"/>
      <c r="AE1971" s="264"/>
      <c r="AF1971" s="264"/>
      <c r="AG1971" s="264"/>
    </row>
    <row r="1972" spans="1:33" ht="26.25">
      <c r="A1972" s="264"/>
      <c r="B1972" s="264"/>
      <c r="C1972" s="264"/>
      <c r="D1972" s="264"/>
      <c r="E1972" s="264"/>
      <c r="F1972" s="264"/>
      <c r="G1972" s="264"/>
      <c r="H1972" s="264"/>
      <c r="I1972" s="264"/>
      <c r="J1972" s="327"/>
      <c r="K1972" s="327"/>
      <c r="L1972" s="327"/>
      <c r="M1972" s="321"/>
      <c r="N1972" s="321"/>
      <c r="O1972" s="364"/>
      <c r="P1972" s="381"/>
      <c r="R1972" s="392"/>
      <c r="S1972" s="61" ph="1"/>
      <c r="U1972" s="229"/>
      <c r="V1972" s="264"/>
      <c r="W1972" s="199"/>
      <c r="X1972" s="264"/>
      <c r="Y1972" s="264"/>
      <c r="Z1972" s="386"/>
      <c r="AD1972" s="264"/>
      <c r="AE1972" s="264"/>
      <c r="AF1972" s="264"/>
      <c r="AG1972" s="264"/>
    </row>
    <row r="1973" spans="1:33" ht="26.25">
      <c r="A1973" s="264"/>
      <c r="B1973" s="264"/>
      <c r="C1973" s="264"/>
      <c r="D1973" s="264"/>
      <c r="E1973" s="264"/>
      <c r="F1973" s="264"/>
      <c r="G1973" s="264"/>
      <c r="H1973" s="264"/>
      <c r="I1973" s="264"/>
      <c r="J1973" s="327"/>
      <c r="K1973" s="327"/>
      <c r="L1973" s="327"/>
      <c r="M1973" s="321"/>
      <c r="N1973" s="321"/>
      <c r="O1973" s="364"/>
      <c r="P1973" s="381"/>
      <c r="R1973" s="392"/>
      <c r="S1973" s="61" ph="1"/>
      <c r="U1973" s="229"/>
      <c r="V1973" s="264"/>
      <c r="W1973" s="199"/>
      <c r="X1973" s="264"/>
      <c r="Y1973" s="264"/>
      <c r="Z1973" s="386"/>
      <c r="AD1973" s="264"/>
      <c r="AE1973" s="264"/>
      <c r="AF1973" s="264"/>
      <c r="AG1973" s="264"/>
    </row>
    <row r="1974" spans="1:33" ht="26.25">
      <c r="A1974" s="264"/>
      <c r="B1974" s="264"/>
      <c r="C1974" s="264"/>
      <c r="D1974" s="264"/>
      <c r="E1974" s="264"/>
      <c r="F1974" s="264"/>
      <c r="G1974" s="264"/>
      <c r="H1974" s="264"/>
      <c r="I1974" s="264"/>
      <c r="J1974" s="327"/>
      <c r="K1974" s="327"/>
      <c r="L1974" s="327"/>
      <c r="M1974" s="321"/>
      <c r="N1974" s="321"/>
      <c r="O1974" s="364"/>
      <c r="P1974" s="381"/>
      <c r="R1974" s="392"/>
      <c r="S1974" s="61" ph="1"/>
      <c r="U1974" s="229"/>
      <c r="V1974" s="264"/>
      <c r="W1974" s="199"/>
      <c r="X1974" s="264"/>
      <c r="Y1974" s="264"/>
      <c r="Z1974" s="386"/>
      <c r="AD1974" s="264"/>
      <c r="AE1974" s="264"/>
      <c r="AF1974" s="264"/>
      <c r="AG1974" s="264"/>
    </row>
    <row r="1975" spans="1:33" ht="26.25">
      <c r="A1975" s="264"/>
      <c r="B1975" s="264"/>
      <c r="C1975" s="264"/>
      <c r="D1975" s="264"/>
      <c r="E1975" s="264"/>
      <c r="F1975" s="264"/>
      <c r="G1975" s="264"/>
      <c r="H1975" s="264"/>
      <c r="I1975" s="264"/>
      <c r="J1975" s="327"/>
      <c r="K1975" s="327"/>
      <c r="L1975" s="327"/>
      <c r="M1975" s="321"/>
      <c r="N1975" s="321"/>
      <c r="O1975" s="364"/>
      <c r="P1975" s="381"/>
      <c r="R1975" s="392"/>
      <c r="S1975" s="61" ph="1"/>
      <c r="U1975" s="229"/>
      <c r="V1975" s="264"/>
      <c r="W1975" s="199"/>
      <c r="X1975" s="264"/>
      <c r="Y1975" s="264"/>
      <c r="Z1975" s="386"/>
      <c r="AD1975" s="264"/>
      <c r="AE1975" s="264"/>
      <c r="AF1975" s="264"/>
      <c r="AG1975" s="264"/>
    </row>
    <row r="1976" spans="1:33" ht="26.25">
      <c r="A1976" s="264"/>
      <c r="B1976" s="264"/>
      <c r="C1976" s="264"/>
      <c r="D1976" s="264"/>
      <c r="E1976" s="264"/>
      <c r="F1976" s="264"/>
      <c r="G1976" s="264"/>
      <c r="H1976" s="264"/>
      <c r="I1976" s="264"/>
      <c r="J1976" s="327"/>
      <c r="K1976" s="327"/>
      <c r="L1976" s="327"/>
      <c r="M1976" s="321"/>
      <c r="N1976" s="321"/>
      <c r="O1976" s="364"/>
      <c r="P1976" s="381"/>
      <c r="R1976" s="392"/>
      <c r="S1976" s="61" ph="1"/>
      <c r="U1976" s="229"/>
      <c r="V1976" s="264"/>
      <c r="W1976" s="199"/>
      <c r="X1976" s="264"/>
      <c r="Y1976" s="264"/>
      <c r="Z1976" s="386"/>
      <c r="AD1976" s="264"/>
      <c r="AE1976" s="264"/>
      <c r="AF1976" s="264"/>
      <c r="AG1976" s="264"/>
    </row>
    <row r="1977" spans="1:33" ht="26.25">
      <c r="A1977" s="264"/>
      <c r="B1977" s="264"/>
      <c r="C1977" s="264"/>
      <c r="D1977" s="264"/>
      <c r="E1977" s="264"/>
      <c r="F1977" s="264"/>
      <c r="G1977" s="264"/>
      <c r="H1977" s="264"/>
      <c r="I1977" s="264"/>
      <c r="J1977" s="327"/>
      <c r="K1977" s="327"/>
      <c r="L1977" s="327"/>
      <c r="M1977" s="321"/>
      <c r="N1977" s="321"/>
      <c r="O1977" s="364"/>
      <c r="P1977" s="381"/>
      <c r="R1977" s="392"/>
      <c r="S1977" s="61" ph="1"/>
      <c r="U1977" s="229"/>
      <c r="V1977" s="264"/>
      <c r="W1977" s="199"/>
      <c r="X1977" s="264"/>
      <c r="Y1977" s="264"/>
      <c r="Z1977" s="386"/>
      <c r="AD1977" s="264"/>
      <c r="AE1977" s="264"/>
      <c r="AF1977" s="264"/>
      <c r="AG1977" s="264"/>
    </row>
    <row r="1978" spans="1:33" ht="26.25">
      <c r="A1978" s="264"/>
      <c r="B1978" s="264"/>
      <c r="C1978" s="264"/>
      <c r="D1978" s="264"/>
      <c r="E1978" s="264"/>
      <c r="F1978" s="264"/>
      <c r="G1978" s="264"/>
      <c r="H1978" s="264"/>
      <c r="I1978" s="264"/>
      <c r="J1978" s="327"/>
      <c r="K1978" s="327"/>
      <c r="L1978" s="327"/>
      <c r="M1978" s="321"/>
      <c r="N1978" s="321"/>
      <c r="O1978" s="364"/>
      <c r="P1978" s="381"/>
      <c r="R1978" s="392"/>
      <c r="S1978" s="61" ph="1"/>
      <c r="U1978" s="229"/>
      <c r="V1978" s="264"/>
      <c r="W1978" s="199"/>
      <c r="X1978" s="264"/>
      <c r="Y1978" s="264"/>
      <c r="Z1978" s="386"/>
      <c r="AD1978" s="264"/>
      <c r="AE1978" s="264"/>
      <c r="AF1978" s="264"/>
      <c r="AG1978" s="264"/>
    </row>
    <row r="1979" spans="1:33" ht="26.25">
      <c r="A1979" s="264"/>
      <c r="B1979" s="264"/>
      <c r="C1979" s="264"/>
      <c r="D1979" s="264"/>
      <c r="E1979" s="264"/>
      <c r="F1979" s="264"/>
      <c r="G1979" s="264"/>
      <c r="H1979" s="264"/>
      <c r="I1979" s="264"/>
      <c r="J1979" s="327"/>
      <c r="K1979" s="327"/>
      <c r="L1979" s="327"/>
      <c r="M1979" s="321"/>
      <c r="N1979" s="321"/>
      <c r="O1979" s="364"/>
      <c r="P1979" s="381"/>
      <c r="R1979" s="392"/>
      <c r="S1979" s="61" ph="1"/>
      <c r="U1979" s="229"/>
      <c r="V1979" s="264"/>
      <c r="W1979" s="199"/>
      <c r="X1979" s="264"/>
      <c r="Y1979" s="264"/>
      <c r="Z1979" s="386"/>
      <c r="AD1979" s="264"/>
      <c r="AE1979" s="264"/>
      <c r="AF1979" s="264"/>
      <c r="AG1979" s="264"/>
    </row>
    <row r="1980" spans="1:33" ht="26.25">
      <c r="A1980" s="264"/>
      <c r="B1980" s="264"/>
      <c r="C1980" s="264"/>
      <c r="D1980" s="264"/>
      <c r="E1980" s="264"/>
      <c r="F1980" s="264"/>
      <c r="G1980" s="264"/>
      <c r="H1980" s="264"/>
      <c r="I1980" s="264"/>
      <c r="J1980" s="327"/>
      <c r="K1980" s="327"/>
      <c r="L1980" s="327"/>
      <c r="M1980" s="321"/>
      <c r="N1980" s="321"/>
      <c r="O1980" s="364"/>
      <c r="P1980" s="381"/>
      <c r="R1980" s="392"/>
      <c r="S1980" s="61" ph="1"/>
      <c r="U1980" s="229"/>
      <c r="V1980" s="264"/>
      <c r="W1980" s="199"/>
      <c r="X1980" s="264"/>
      <c r="Y1980" s="264"/>
      <c r="Z1980" s="386"/>
      <c r="AD1980" s="264"/>
      <c r="AE1980" s="264"/>
      <c r="AF1980" s="264"/>
      <c r="AG1980" s="264"/>
    </row>
    <row r="1981" spans="1:33" ht="26.25">
      <c r="A1981" s="264"/>
      <c r="B1981" s="264"/>
      <c r="C1981" s="264"/>
      <c r="D1981" s="264"/>
      <c r="E1981" s="264"/>
      <c r="F1981" s="264"/>
      <c r="G1981" s="264"/>
      <c r="H1981" s="264"/>
      <c r="I1981" s="264"/>
      <c r="J1981" s="327"/>
      <c r="K1981" s="327"/>
      <c r="L1981" s="327"/>
      <c r="M1981" s="321"/>
      <c r="N1981" s="321"/>
      <c r="O1981" s="364"/>
      <c r="P1981" s="381"/>
      <c r="R1981" s="392"/>
      <c r="S1981" s="61" ph="1"/>
      <c r="U1981" s="229"/>
      <c r="V1981" s="264"/>
      <c r="W1981" s="199"/>
      <c r="X1981" s="264"/>
      <c r="Y1981" s="264"/>
      <c r="Z1981" s="386"/>
      <c r="AD1981" s="264"/>
      <c r="AE1981" s="264"/>
      <c r="AF1981" s="264"/>
      <c r="AG1981" s="264"/>
    </row>
    <row r="1982" spans="1:33" ht="26.25">
      <c r="A1982" s="264"/>
      <c r="B1982" s="264"/>
      <c r="C1982" s="264"/>
      <c r="D1982" s="264"/>
      <c r="E1982" s="264"/>
      <c r="F1982" s="264"/>
      <c r="G1982" s="264"/>
      <c r="H1982" s="264"/>
      <c r="I1982" s="264"/>
      <c r="J1982" s="327"/>
      <c r="K1982" s="327"/>
      <c r="L1982" s="327"/>
      <c r="M1982" s="321"/>
      <c r="N1982" s="321"/>
      <c r="O1982" s="364"/>
      <c r="P1982" s="381"/>
      <c r="R1982" s="392"/>
      <c r="S1982" s="61" ph="1"/>
      <c r="U1982" s="229"/>
      <c r="V1982" s="264"/>
      <c r="W1982" s="199"/>
      <c r="X1982" s="264"/>
      <c r="Y1982" s="264"/>
      <c r="Z1982" s="386"/>
      <c r="AD1982" s="264"/>
      <c r="AE1982" s="264"/>
      <c r="AF1982" s="264"/>
      <c r="AG1982" s="264"/>
    </row>
    <row r="1983" spans="1:33" ht="26.25">
      <c r="A1983" s="264"/>
      <c r="B1983" s="264"/>
      <c r="C1983" s="264"/>
      <c r="D1983" s="264"/>
      <c r="E1983" s="264"/>
      <c r="F1983" s="264"/>
      <c r="G1983" s="264"/>
      <c r="H1983" s="264"/>
      <c r="I1983" s="264"/>
      <c r="J1983" s="327"/>
      <c r="K1983" s="327"/>
      <c r="L1983" s="327"/>
      <c r="M1983" s="321"/>
      <c r="N1983" s="321"/>
      <c r="O1983" s="364"/>
      <c r="P1983" s="381"/>
      <c r="R1983" s="392"/>
      <c r="S1983" s="61" ph="1"/>
      <c r="U1983" s="229"/>
      <c r="V1983" s="264"/>
      <c r="W1983" s="199"/>
      <c r="X1983" s="264"/>
      <c r="Y1983" s="264"/>
      <c r="Z1983" s="386"/>
      <c r="AD1983" s="264"/>
      <c r="AE1983" s="264"/>
      <c r="AF1983" s="264"/>
      <c r="AG1983" s="264"/>
    </row>
    <row r="1984" spans="1:33" ht="26.25">
      <c r="A1984" s="264"/>
      <c r="B1984" s="264"/>
      <c r="C1984" s="264"/>
      <c r="D1984" s="264"/>
      <c r="E1984" s="264"/>
      <c r="F1984" s="264"/>
      <c r="G1984" s="264"/>
      <c r="H1984" s="264"/>
      <c r="I1984" s="264"/>
      <c r="J1984" s="327"/>
      <c r="K1984" s="327"/>
      <c r="L1984" s="327"/>
      <c r="M1984" s="321"/>
      <c r="N1984" s="321"/>
      <c r="O1984" s="364"/>
      <c r="P1984" s="381"/>
      <c r="R1984" s="392"/>
      <c r="S1984" s="61" ph="1"/>
      <c r="U1984" s="229"/>
      <c r="V1984" s="264"/>
      <c r="W1984" s="199"/>
      <c r="X1984" s="264"/>
      <c r="Y1984" s="264"/>
      <c r="Z1984" s="386"/>
      <c r="AD1984" s="264"/>
      <c r="AE1984" s="264"/>
      <c r="AF1984" s="264"/>
      <c r="AG1984" s="264"/>
    </row>
    <row r="1985" spans="1:33" ht="26.25">
      <c r="A1985" s="264"/>
      <c r="B1985" s="264"/>
      <c r="C1985" s="264"/>
      <c r="D1985" s="264"/>
      <c r="E1985" s="264"/>
      <c r="F1985" s="264"/>
      <c r="G1985" s="264"/>
      <c r="H1985" s="264"/>
      <c r="I1985" s="264"/>
      <c r="J1985" s="327"/>
      <c r="K1985" s="327"/>
      <c r="L1985" s="327"/>
      <c r="M1985" s="321"/>
      <c r="N1985" s="321"/>
      <c r="O1985" s="364"/>
      <c r="P1985" s="381"/>
      <c r="R1985" s="392"/>
      <c r="S1985" s="61" ph="1"/>
      <c r="U1985" s="229"/>
      <c r="V1985" s="264"/>
      <c r="W1985" s="199"/>
      <c r="X1985" s="264"/>
      <c r="Y1985" s="264"/>
      <c r="Z1985" s="386"/>
      <c r="AD1985" s="264"/>
      <c r="AE1985" s="264"/>
      <c r="AF1985" s="264"/>
      <c r="AG1985" s="264"/>
    </row>
    <row r="1986" spans="1:33" ht="26.25">
      <c r="A1986" s="264"/>
      <c r="B1986" s="264"/>
      <c r="C1986" s="264"/>
      <c r="D1986" s="264"/>
      <c r="E1986" s="264"/>
      <c r="F1986" s="264"/>
      <c r="G1986" s="264"/>
      <c r="H1986" s="264"/>
      <c r="I1986" s="264"/>
      <c r="J1986" s="327"/>
      <c r="K1986" s="327"/>
      <c r="L1986" s="327"/>
      <c r="M1986" s="321"/>
      <c r="N1986" s="321"/>
      <c r="O1986" s="364"/>
      <c r="P1986" s="381"/>
      <c r="R1986" s="392"/>
      <c r="S1986" s="61" ph="1"/>
      <c r="U1986" s="229"/>
      <c r="V1986" s="264"/>
      <c r="W1986" s="199"/>
      <c r="X1986" s="264"/>
      <c r="Y1986" s="264"/>
      <c r="Z1986" s="386"/>
      <c r="AD1986" s="264"/>
      <c r="AE1986" s="264"/>
      <c r="AF1986" s="264"/>
      <c r="AG1986" s="264"/>
    </row>
    <row r="1987" spans="1:33" ht="26.25">
      <c r="A1987" s="264"/>
      <c r="B1987" s="264"/>
      <c r="C1987" s="264"/>
      <c r="D1987" s="264"/>
      <c r="E1987" s="264"/>
      <c r="F1987" s="264"/>
      <c r="G1987" s="264"/>
      <c r="H1987" s="264"/>
      <c r="I1987" s="264"/>
      <c r="J1987" s="327"/>
      <c r="K1987" s="327"/>
      <c r="L1987" s="327"/>
      <c r="M1987" s="321"/>
      <c r="N1987" s="321"/>
      <c r="O1987" s="364"/>
      <c r="P1987" s="381"/>
      <c r="R1987" s="392"/>
      <c r="S1987" s="61" ph="1"/>
      <c r="U1987" s="229"/>
      <c r="V1987" s="264"/>
      <c r="W1987" s="199"/>
      <c r="X1987" s="264"/>
      <c r="Y1987" s="264"/>
      <c r="Z1987" s="386"/>
      <c r="AD1987" s="264"/>
      <c r="AE1987" s="264"/>
      <c r="AF1987" s="264"/>
      <c r="AG1987" s="264"/>
    </row>
    <row r="1988" spans="1:33" ht="26.25">
      <c r="A1988" s="264"/>
      <c r="B1988" s="264"/>
      <c r="C1988" s="264"/>
      <c r="D1988" s="264"/>
      <c r="E1988" s="264"/>
      <c r="F1988" s="264"/>
      <c r="G1988" s="264"/>
      <c r="H1988" s="264"/>
      <c r="I1988" s="264"/>
      <c r="J1988" s="327"/>
      <c r="K1988" s="327"/>
      <c r="L1988" s="327"/>
      <c r="M1988" s="321"/>
      <c r="N1988" s="321"/>
      <c r="O1988" s="364"/>
      <c r="P1988" s="381"/>
      <c r="R1988" s="392"/>
      <c r="S1988" s="61" ph="1"/>
      <c r="U1988" s="229"/>
      <c r="V1988" s="264"/>
      <c r="W1988" s="199"/>
      <c r="X1988" s="264"/>
      <c r="Y1988" s="264"/>
      <c r="Z1988" s="386"/>
      <c r="AD1988" s="264"/>
      <c r="AE1988" s="264"/>
      <c r="AF1988" s="264"/>
      <c r="AG1988" s="264"/>
    </row>
    <row r="1989" spans="1:33" ht="26.25">
      <c r="A1989" s="264"/>
      <c r="B1989" s="264"/>
      <c r="C1989" s="264"/>
      <c r="D1989" s="264"/>
      <c r="E1989" s="264"/>
      <c r="F1989" s="264"/>
      <c r="G1989" s="264"/>
      <c r="H1989" s="264"/>
      <c r="I1989" s="264"/>
      <c r="J1989" s="327"/>
      <c r="K1989" s="327"/>
      <c r="L1989" s="327"/>
      <c r="M1989" s="321"/>
      <c r="N1989" s="321"/>
      <c r="O1989" s="364"/>
      <c r="P1989" s="381"/>
      <c r="R1989" s="392"/>
      <c r="S1989" s="61" ph="1"/>
      <c r="U1989" s="229"/>
      <c r="V1989" s="264"/>
      <c r="W1989" s="199"/>
      <c r="X1989" s="264"/>
      <c r="Y1989" s="264"/>
      <c r="Z1989" s="386"/>
      <c r="AD1989" s="264"/>
      <c r="AE1989" s="264"/>
      <c r="AF1989" s="264"/>
      <c r="AG1989" s="264"/>
    </row>
    <row r="1990" spans="1:33" ht="26.25">
      <c r="A1990" s="264"/>
      <c r="B1990" s="264"/>
      <c r="C1990" s="264"/>
      <c r="D1990" s="264"/>
      <c r="E1990" s="264"/>
      <c r="F1990" s="264"/>
      <c r="G1990" s="264"/>
      <c r="H1990" s="264"/>
      <c r="I1990" s="264"/>
      <c r="J1990" s="327"/>
      <c r="K1990" s="327"/>
      <c r="L1990" s="327"/>
      <c r="M1990" s="321"/>
      <c r="N1990" s="321"/>
      <c r="O1990" s="364"/>
      <c r="P1990" s="381"/>
      <c r="R1990" s="392"/>
      <c r="S1990" s="61" ph="1"/>
      <c r="U1990" s="229"/>
      <c r="V1990" s="264"/>
      <c r="W1990" s="199"/>
      <c r="X1990" s="264"/>
      <c r="Y1990" s="264"/>
      <c r="Z1990" s="386"/>
      <c r="AD1990" s="264"/>
      <c r="AE1990" s="264"/>
      <c r="AF1990" s="264"/>
      <c r="AG1990" s="264"/>
    </row>
    <row r="1991" spans="1:33" ht="26.25">
      <c r="A1991" s="264"/>
      <c r="B1991" s="264"/>
      <c r="C1991" s="264"/>
      <c r="D1991" s="264"/>
      <c r="E1991" s="264"/>
      <c r="F1991" s="264"/>
      <c r="G1991" s="264"/>
      <c r="H1991" s="264"/>
      <c r="I1991" s="264"/>
      <c r="J1991" s="327"/>
      <c r="K1991" s="327"/>
      <c r="L1991" s="327"/>
      <c r="M1991" s="321"/>
      <c r="N1991" s="321"/>
      <c r="O1991" s="364"/>
      <c r="P1991" s="381"/>
      <c r="R1991" s="392"/>
      <c r="S1991" s="61" ph="1"/>
      <c r="U1991" s="229"/>
      <c r="V1991" s="264"/>
      <c r="W1991" s="199"/>
      <c r="X1991" s="264"/>
      <c r="Y1991" s="264"/>
      <c r="Z1991" s="386"/>
      <c r="AD1991" s="264"/>
      <c r="AE1991" s="264"/>
      <c r="AF1991" s="264"/>
      <c r="AG1991" s="264"/>
    </row>
    <row r="1992" spans="1:33" ht="26.25">
      <c r="A1992" s="264"/>
      <c r="B1992" s="264"/>
      <c r="C1992" s="264"/>
      <c r="D1992" s="264"/>
      <c r="E1992" s="264"/>
      <c r="F1992" s="264"/>
      <c r="G1992" s="264"/>
      <c r="H1992" s="264"/>
      <c r="I1992" s="264"/>
      <c r="J1992" s="327"/>
      <c r="K1992" s="327"/>
      <c r="L1992" s="327"/>
      <c r="M1992" s="321"/>
      <c r="N1992" s="321"/>
      <c r="O1992" s="364"/>
      <c r="P1992" s="381"/>
      <c r="R1992" s="392"/>
      <c r="S1992" s="61" ph="1"/>
      <c r="U1992" s="229"/>
      <c r="V1992" s="264"/>
      <c r="W1992" s="199"/>
      <c r="X1992" s="264"/>
      <c r="Y1992" s="264"/>
      <c r="Z1992" s="386"/>
      <c r="AD1992" s="264"/>
      <c r="AE1992" s="264"/>
      <c r="AF1992" s="264"/>
      <c r="AG1992" s="264"/>
    </row>
    <row r="1993" spans="1:33" ht="26.25">
      <c r="A1993" s="264"/>
      <c r="B1993" s="264"/>
      <c r="C1993" s="264"/>
      <c r="D1993" s="264"/>
      <c r="E1993" s="264"/>
      <c r="F1993" s="264"/>
      <c r="G1993" s="264"/>
      <c r="H1993" s="264"/>
      <c r="I1993" s="264"/>
      <c r="J1993" s="327"/>
      <c r="K1993" s="327"/>
      <c r="L1993" s="327"/>
      <c r="M1993" s="321"/>
      <c r="N1993" s="321"/>
      <c r="O1993" s="364"/>
      <c r="P1993" s="381"/>
      <c r="R1993" s="392"/>
      <c r="S1993" s="61" ph="1"/>
      <c r="U1993" s="229"/>
      <c r="V1993" s="264"/>
      <c r="W1993" s="199"/>
      <c r="X1993" s="264"/>
      <c r="Y1993" s="264"/>
      <c r="Z1993" s="386"/>
      <c r="AD1993" s="264"/>
      <c r="AE1993" s="264"/>
      <c r="AF1993" s="264"/>
      <c r="AG1993" s="264"/>
    </row>
    <row r="1994" spans="1:33" ht="26.25">
      <c r="A1994" s="264"/>
      <c r="B1994" s="264"/>
      <c r="C1994" s="264"/>
      <c r="D1994" s="264"/>
      <c r="E1994" s="264"/>
      <c r="F1994" s="264"/>
      <c r="G1994" s="264"/>
      <c r="H1994" s="264"/>
      <c r="I1994" s="264"/>
      <c r="J1994" s="327"/>
      <c r="K1994" s="327"/>
      <c r="L1994" s="327"/>
      <c r="M1994" s="321"/>
      <c r="N1994" s="321"/>
      <c r="O1994" s="364"/>
      <c r="P1994" s="381"/>
      <c r="R1994" s="392"/>
      <c r="S1994" s="61" ph="1"/>
      <c r="U1994" s="229"/>
      <c r="V1994" s="264"/>
      <c r="W1994" s="199"/>
      <c r="X1994" s="264"/>
      <c r="Y1994" s="264"/>
      <c r="Z1994" s="386"/>
      <c r="AD1994" s="264"/>
      <c r="AE1994" s="264"/>
      <c r="AF1994" s="264"/>
      <c r="AG1994" s="264"/>
    </row>
    <row r="1995" spans="1:33" ht="26.25">
      <c r="A1995" s="264"/>
      <c r="B1995" s="264"/>
      <c r="C1995" s="264"/>
      <c r="D1995" s="264"/>
      <c r="E1995" s="264"/>
      <c r="F1995" s="264"/>
      <c r="G1995" s="264"/>
      <c r="H1995" s="264"/>
      <c r="I1995" s="264"/>
      <c r="J1995" s="327"/>
      <c r="K1995" s="327"/>
      <c r="L1995" s="327"/>
      <c r="M1995" s="321"/>
      <c r="N1995" s="321"/>
      <c r="O1995" s="364"/>
      <c r="P1995" s="381"/>
      <c r="R1995" s="392"/>
      <c r="S1995" s="61" ph="1"/>
      <c r="U1995" s="229"/>
      <c r="V1995" s="264"/>
      <c r="W1995" s="199"/>
      <c r="X1995" s="264"/>
      <c r="Y1995" s="264"/>
      <c r="Z1995" s="386"/>
      <c r="AD1995" s="264"/>
      <c r="AE1995" s="264"/>
      <c r="AF1995" s="264"/>
      <c r="AG1995" s="264"/>
    </row>
    <row r="1996" spans="1:33" ht="26.25">
      <c r="A1996" s="264"/>
      <c r="B1996" s="264"/>
      <c r="C1996" s="264"/>
      <c r="D1996" s="264"/>
      <c r="E1996" s="264"/>
      <c r="F1996" s="264"/>
      <c r="G1996" s="264"/>
      <c r="H1996" s="264"/>
      <c r="I1996" s="264"/>
      <c r="J1996" s="327"/>
      <c r="K1996" s="327"/>
      <c r="L1996" s="327"/>
      <c r="M1996" s="321"/>
      <c r="N1996" s="321"/>
      <c r="O1996" s="364"/>
      <c r="P1996" s="381"/>
      <c r="R1996" s="392"/>
      <c r="S1996" s="61" ph="1"/>
      <c r="U1996" s="229"/>
      <c r="V1996" s="264"/>
      <c r="W1996" s="199"/>
      <c r="X1996" s="264"/>
      <c r="Y1996" s="264"/>
      <c r="Z1996" s="386"/>
      <c r="AD1996" s="264"/>
      <c r="AE1996" s="264"/>
      <c r="AF1996" s="264"/>
      <c r="AG1996" s="264"/>
    </row>
    <row r="1997" spans="1:33" ht="26.25">
      <c r="A1997" s="264"/>
      <c r="B1997" s="264"/>
      <c r="C1997" s="264"/>
      <c r="D1997" s="264"/>
      <c r="E1997" s="264"/>
      <c r="F1997" s="264"/>
      <c r="G1997" s="264"/>
      <c r="H1997" s="264"/>
      <c r="I1997" s="264"/>
      <c r="J1997" s="327"/>
      <c r="K1997" s="327"/>
      <c r="L1997" s="327"/>
      <c r="M1997" s="321"/>
      <c r="N1997" s="321"/>
      <c r="O1997" s="364"/>
      <c r="P1997" s="381"/>
      <c r="R1997" s="392"/>
      <c r="S1997" s="61" ph="1"/>
      <c r="U1997" s="229"/>
      <c r="V1997" s="264"/>
      <c r="W1997" s="199"/>
      <c r="X1997" s="264"/>
      <c r="Y1997" s="264"/>
      <c r="Z1997" s="386"/>
      <c r="AD1997" s="264"/>
      <c r="AE1997" s="264"/>
      <c r="AF1997" s="264"/>
      <c r="AG1997" s="264"/>
    </row>
    <row r="1998" spans="1:33" ht="26.25">
      <c r="A1998" s="264"/>
      <c r="B1998" s="264"/>
      <c r="C1998" s="264"/>
      <c r="D1998" s="264"/>
      <c r="E1998" s="264"/>
      <c r="F1998" s="264"/>
      <c r="G1998" s="264"/>
      <c r="H1998" s="264"/>
      <c r="I1998" s="264"/>
      <c r="J1998" s="327"/>
      <c r="K1998" s="327"/>
      <c r="L1998" s="327"/>
      <c r="M1998" s="321"/>
      <c r="N1998" s="321"/>
      <c r="O1998" s="364"/>
      <c r="P1998" s="381"/>
      <c r="R1998" s="392"/>
      <c r="S1998" s="61" ph="1"/>
      <c r="U1998" s="229"/>
      <c r="V1998" s="264"/>
      <c r="W1998" s="199"/>
      <c r="X1998" s="264"/>
      <c r="Y1998" s="264"/>
      <c r="Z1998" s="386"/>
      <c r="AD1998" s="264"/>
      <c r="AE1998" s="264"/>
      <c r="AF1998" s="264"/>
      <c r="AG1998" s="264"/>
    </row>
    <row r="1999" spans="1:33" ht="26.25">
      <c r="A1999" s="264"/>
      <c r="B1999" s="264"/>
      <c r="C1999" s="264"/>
      <c r="D1999" s="264"/>
      <c r="E1999" s="264"/>
      <c r="F1999" s="264"/>
      <c r="G1999" s="264"/>
      <c r="H1999" s="264"/>
      <c r="I1999" s="264"/>
      <c r="J1999" s="327"/>
      <c r="K1999" s="327"/>
      <c r="L1999" s="327"/>
      <c r="M1999" s="321"/>
      <c r="N1999" s="321"/>
      <c r="O1999" s="364"/>
      <c r="P1999" s="381"/>
      <c r="R1999" s="392"/>
      <c r="S1999" s="61" ph="1"/>
      <c r="U1999" s="229"/>
      <c r="V1999" s="264"/>
      <c r="W1999" s="199"/>
      <c r="X1999" s="264"/>
      <c r="Y1999" s="264"/>
      <c r="Z1999" s="386"/>
      <c r="AD1999" s="264"/>
      <c r="AE1999" s="264"/>
      <c r="AF1999" s="264"/>
      <c r="AG1999" s="264"/>
    </row>
    <row r="2000" spans="1:33" ht="26.25">
      <c r="A2000" s="264"/>
      <c r="B2000" s="264"/>
      <c r="C2000" s="264"/>
      <c r="D2000" s="264"/>
      <c r="E2000" s="264"/>
      <c r="F2000" s="264"/>
      <c r="G2000" s="264"/>
      <c r="H2000" s="264"/>
      <c r="I2000" s="264"/>
      <c r="J2000" s="327"/>
      <c r="K2000" s="327"/>
      <c r="L2000" s="327"/>
      <c r="M2000" s="321"/>
      <c r="N2000" s="321"/>
      <c r="O2000" s="364"/>
      <c r="P2000" s="381"/>
      <c r="R2000" s="392"/>
      <c r="S2000" s="61" ph="1"/>
      <c r="U2000" s="229"/>
      <c r="V2000" s="264"/>
      <c r="W2000" s="199"/>
      <c r="X2000" s="264"/>
      <c r="Y2000" s="264"/>
      <c r="Z2000" s="386"/>
      <c r="AD2000" s="264"/>
      <c r="AE2000" s="264"/>
      <c r="AF2000" s="264"/>
      <c r="AG2000" s="264"/>
    </row>
    <row r="2001" spans="1:33" ht="26.25">
      <c r="A2001" s="264"/>
      <c r="B2001" s="264"/>
      <c r="C2001" s="264"/>
      <c r="D2001" s="264"/>
      <c r="E2001" s="264"/>
      <c r="F2001" s="264"/>
      <c r="G2001" s="264"/>
      <c r="H2001" s="264"/>
      <c r="I2001" s="264"/>
      <c r="J2001" s="327"/>
      <c r="K2001" s="327"/>
      <c r="L2001" s="327"/>
      <c r="M2001" s="321"/>
      <c r="N2001" s="321"/>
      <c r="O2001" s="364"/>
      <c r="P2001" s="381"/>
      <c r="R2001" s="392"/>
      <c r="S2001" s="61" ph="1"/>
      <c r="U2001" s="229"/>
      <c r="V2001" s="264"/>
      <c r="W2001" s="199"/>
      <c r="X2001" s="264"/>
      <c r="Y2001" s="264"/>
      <c r="Z2001" s="386"/>
      <c r="AD2001" s="264"/>
      <c r="AE2001" s="264"/>
      <c r="AF2001" s="264"/>
      <c r="AG2001" s="264"/>
    </row>
    <row r="2002" spans="1:33" ht="26.25">
      <c r="A2002" s="264"/>
      <c r="B2002" s="264"/>
      <c r="C2002" s="264"/>
      <c r="D2002" s="264"/>
      <c r="E2002" s="264"/>
      <c r="F2002" s="264"/>
      <c r="G2002" s="264"/>
      <c r="H2002" s="264"/>
      <c r="I2002" s="264"/>
      <c r="J2002" s="327"/>
      <c r="K2002" s="327"/>
      <c r="L2002" s="327"/>
      <c r="M2002" s="321"/>
      <c r="N2002" s="321"/>
      <c r="O2002" s="364"/>
      <c r="P2002" s="381"/>
      <c r="R2002" s="392"/>
      <c r="S2002" s="61" ph="1"/>
      <c r="U2002" s="229"/>
      <c r="V2002" s="264"/>
      <c r="W2002" s="199"/>
      <c r="X2002" s="264"/>
      <c r="Y2002" s="264"/>
      <c r="Z2002" s="386"/>
      <c r="AD2002" s="264"/>
      <c r="AE2002" s="264"/>
      <c r="AF2002" s="264"/>
      <c r="AG2002" s="264"/>
    </row>
    <row r="2003" spans="1:33" ht="26.25">
      <c r="A2003" s="264"/>
      <c r="B2003" s="264"/>
      <c r="C2003" s="264"/>
      <c r="D2003" s="264"/>
      <c r="E2003" s="264"/>
      <c r="F2003" s="264"/>
      <c r="G2003" s="264"/>
      <c r="H2003" s="264"/>
      <c r="I2003" s="264"/>
      <c r="J2003" s="327"/>
      <c r="K2003" s="327"/>
      <c r="L2003" s="327"/>
      <c r="M2003" s="321"/>
      <c r="N2003" s="321"/>
      <c r="O2003" s="364"/>
      <c r="P2003" s="381"/>
      <c r="R2003" s="392"/>
      <c r="S2003" s="61" ph="1"/>
      <c r="U2003" s="229"/>
      <c r="V2003" s="264"/>
      <c r="W2003" s="199"/>
      <c r="X2003" s="264"/>
      <c r="Y2003" s="264"/>
      <c r="Z2003" s="386"/>
      <c r="AD2003" s="264"/>
      <c r="AE2003" s="264"/>
      <c r="AF2003" s="264"/>
      <c r="AG2003" s="264"/>
    </row>
    <row r="2004" spans="1:33" ht="26.25">
      <c r="A2004" s="264"/>
      <c r="B2004" s="264"/>
      <c r="C2004" s="264"/>
      <c r="D2004" s="264"/>
      <c r="E2004" s="264"/>
      <c r="F2004" s="264"/>
      <c r="G2004" s="264"/>
      <c r="H2004" s="264"/>
      <c r="I2004" s="264"/>
      <c r="J2004" s="327"/>
      <c r="K2004" s="327"/>
      <c r="L2004" s="327"/>
      <c r="M2004" s="321"/>
      <c r="N2004" s="321"/>
      <c r="O2004" s="364"/>
      <c r="P2004" s="381"/>
      <c r="R2004" s="392"/>
      <c r="S2004" s="61" ph="1"/>
      <c r="U2004" s="229"/>
      <c r="V2004" s="264"/>
      <c r="W2004" s="199"/>
      <c r="X2004" s="264"/>
      <c r="Y2004" s="264"/>
      <c r="Z2004" s="386"/>
      <c r="AD2004" s="264"/>
      <c r="AE2004" s="264"/>
      <c r="AF2004" s="264"/>
      <c r="AG2004" s="264"/>
    </row>
    <row r="2005" spans="1:33" ht="26.25">
      <c r="A2005" s="264"/>
      <c r="B2005" s="264"/>
      <c r="C2005" s="264"/>
      <c r="D2005" s="264"/>
      <c r="E2005" s="264"/>
      <c r="F2005" s="264"/>
      <c r="G2005" s="264"/>
      <c r="H2005" s="264"/>
      <c r="I2005" s="264"/>
      <c r="J2005" s="327"/>
      <c r="K2005" s="327"/>
      <c r="L2005" s="327"/>
      <c r="M2005" s="321"/>
      <c r="N2005" s="321"/>
      <c r="O2005" s="364"/>
      <c r="P2005" s="381"/>
      <c r="R2005" s="392"/>
      <c r="S2005" s="61" ph="1"/>
      <c r="U2005" s="229"/>
      <c r="V2005" s="264"/>
      <c r="W2005" s="199"/>
      <c r="X2005" s="264"/>
      <c r="Y2005" s="264"/>
      <c r="Z2005" s="386"/>
      <c r="AD2005" s="264"/>
      <c r="AE2005" s="264"/>
      <c r="AF2005" s="264"/>
      <c r="AG2005" s="264"/>
    </row>
    <row r="2006" spans="1:33" ht="26.25">
      <c r="A2006" s="264"/>
      <c r="B2006" s="264"/>
      <c r="C2006" s="264"/>
      <c r="D2006" s="264"/>
      <c r="E2006" s="264"/>
      <c r="F2006" s="264"/>
      <c r="G2006" s="264"/>
      <c r="H2006" s="264"/>
      <c r="I2006" s="264"/>
      <c r="J2006" s="327"/>
      <c r="K2006" s="327"/>
      <c r="L2006" s="327"/>
      <c r="M2006" s="321"/>
      <c r="N2006" s="321"/>
      <c r="O2006" s="364"/>
      <c r="P2006" s="381"/>
      <c r="R2006" s="392"/>
      <c r="S2006" s="61" ph="1"/>
      <c r="U2006" s="229"/>
      <c r="V2006" s="264"/>
      <c r="W2006" s="199"/>
      <c r="X2006" s="264"/>
      <c r="Y2006" s="264"/>
      <c r="Z2006" s="386"/>
      <c r="AD2006" s="264"/>
      <c r="AE2006" s="264"/>
      <c r="AF2006" s="264"/>
      <c r="AG2006" s="264"/>
    </row>
    <row r="2007" spans="1:33" ht="26.25">
      <c r="A2007" s="264"/>
      <c r="B2007" s="264"/>
      <c r="C2007" s="264"/>
      <c r="D2007" s="264"/>
      <c r="E2007" s="264"/>
      <c r="F2007" s="264"/>
      <c r="G2007" s="264"/>
      <c r="H2007" s="264"/>
      <c r="I2007" s="264"/>
      <c r="J2007" s="327"/>
      <c r="K2007" s="327"/>
      <c r="L2007" s="327"/>
      <c r="M2007" s="321"/>
      <c r="N2007" s="321"/>
      <c r="O2007" s="364"/>
      <c r="P2007" s="381"/>
      <c r="R2007" s="392"/>
      <c r="S2007" s="61" ph="1"/>
      <c r="U2007" s="229"/>
      <c r="V2007" s="264"/>
      <c r="W2007" s="199"/>
      <c r="X2007" s="264"/>
      <c r="Y2007" s="264"/>
      <c r="Z2007" s="386"/>
      <c r="AD2007" s="264"/>
      <c r="AE2007" s="264"/>
      <c r="AF2007" s="264"/>
      <c r="AG2007" s="264"/>
    </row>
    <row r="2008" spans="1:33" ht="26.25">
      <c r="A2008" s="264"/>
      <c r="B2008" s="264"/>
      <c r="C2008" s="264"/>
      <c r="D2008" s="264"/>
      <c r="E2008" s="264"/>
      <c r="F2008" s="264"/>
      <c r="G2008" s="264"/>
      <c r="H2008" s="264"/>
      <c r="I2008" s="264"/>
      <c r="J2008" s="327"/>
      <c r="K2008" s="327"/>
      <c r="L2008" s="327"/>
      <c r="M2008" s="321"/>
      <c r="N2008" s="321"/>
      <c r="O2008" s="364"/>
      <c r="P2008" s="381"/>
      <c r="R2008" s="392"/>
      <c r="S2008" s="61" ph="1"/>
      <c r="U2008" s="229"/>
      <c r="V2008" s="264"/>
      <c r="W2008" s="199"/>
      <c r="X2008" s="264"/>
      <c r="Y2008" s="264"/>
      <c r="Z2008" s="386"/>
      <c r="AD2008" s="264"/>
      <c r="AE2008" s="264"/>
      <c r="AF2008" s="264"/>
      <c r="AG2008" s="264"/>
    </row>
    <row r="2009" spans="1:33" ht="26.25">
      <c r="A2009" s="264"/>
      <c r="B2009" s="264"/>
      <c r="C2009" s="264"/>
      <c r="D2009" s="264"/>
      <c r="E2009" s="264"/>
      <c r="F2009" s="264"/>
      <c r="G2009" s="264"/>
      <c r="H2009" s="264"/>
      <c r="I2009" s="264"/>
      <c r="J2009" s="327"/>
      <c r="K2009" s="327"/>
      <c r="L2009" s="327"/>
      <c r="M2009" s="321"/>
      <c r="N2009" s="321"/>
      <c r="O2009" s="364"/>
      <c r="P2009" s="381"/>
      <c r="R2009" s="392"/>
      <c r="S2009" s="61" ph="1"/>
      <c r="U2009" s="229"/>
      <c r="V2009" s="264"/>
      <c r="W2009" s="199"/>
      <c r="X2009" s="264"/>
      <c r="Y2009" s="264"/>
      <c r="Z2009" s="386"/>
      <c r="AD2009" s="264"/>
      <c r="AE2009" s="264"/>
      <c r="AF2009" s="264"/>
      <c r="AG2009" s="264"/>
    </row>
    <row r="2010" spans="1:33" ht="26.25">
      <c r="A2010" s="264"/>
      <c r="B2010" s="264"/>
      <c r="C2010" s="264"/>
      <c r="D2010" s="264"/>
      <c r="E2010" s="264"/>
      <c r="F2010" s="264"/>
      <c r="G2010" s="264"/>
      <c r="H2010" s="264"/>
      <c r="I2010" s="264"/>
      <c r="J2010" s="327"/>
      <c r="K2010" s="327"/>
      <c r="L2010" s="327"/>
      <c r="M2010" s="321"/>
      <c r="N2010" s="321"/>
      <c r="O2010" s="364"/>
      <c r="P2010" s="381"/>
      <c r="R2010" s="392"/>
      <c r="S2010" s="61" ph="1"/>
      <c r="U2010" s="229"/>
      <c r="V2010" s="264"/>
      <c r="W2010" s="199"/>
      <c r="X2010" s="264"/>
      <c r="Y2010" s="264"/>
      <c r="Z2010" s="386"/>
      <c r="AD2010" s="264"/>
      <c r="AE2010" s="264"/>
      <c r="AF2010" s="264"/>
      <c r="AG2010" s="264"/>
    </row>
    <row r="2011" spans="1:33" ht="26.25">
      <c r="A2011" s="264"/>
      <c r="B2011" s="264"/>
      <c r="C2011" s="264"/>
      <c r="D2011" s="264"/>
      <c r="E2011" s="264"/>
      <c r="F2011" s="264"/>
      <c r="G2011" s="264"/>
      <c r="H2011" s="264"/>
      <c r="I2011" s="264"/>
      <c r="J2011" s="327"/>
      <c r="K2011" s="327"/>
      <c r="L2011" s="327"/>
      <c r="M2011" s="321"/>
      <c r="N2011" s="321"/>
      <c r="O2011" s="364"/>
      <c r="P2011" s="381"/>
      <c r="R2011" s="392"/>
      <c r="S2011" s="61" ph="1"/>
      <c r="U2011" s="229"/>
      <c r="V2011" s="264"/>
      <c r="W2011" s="199"/>
      <c r="X2011" s="264"/>
      <c r="Y2011" s="264"/>
      <c r="Z2011" s="386"/>
      <c r="AD2011" s="264"/>
      <c r="AE2011" s="264"/>
      <c r="AF2011" s="264"/>
      <c r="AG2011" s="264"/>
    </row>
    <row r="2012" spans="1:33" ht="26.25">
      <c r="A2012" s="264"/>
      <c r="B2012" s="264"/>
      <c r="C2012" s="264"/>
      <c r="D2012" s="264"/>
      <c r="E2012" s="264"/>
      <c r="F2012" s="264"/>
      <c r="G2012" s="264"/>
      <c r="H2012" s="264"/>
      <c r="I2012" s="264"/>
      <c r="J2012" s="327"/>
      <c r="K2012" s="327"/>
      <c r="L2012" s="327"/>
      <c r="M2012" s="321"/>
      <c r="N2012" s="321"/>
      <c r="O2012" s="364"/>
      <c r="P2012" s="381"/>
      <c r="R2012" s="392"/>
      <c r="S2012" s="61" ph="1"/>
      <c r="U2012" s="229"/>
      <c r="V2012" s="264"/>
      <c r="W2012" s="199"/>
      <c r="X2012" s="264"/>
      <c r="Y2012" s="264"/>
      <c r="Z2012" s="386"/>
      <c r="AD2012" s="264"/>
      <c r="AE2012" s="264"/>
      <c r="AF2012" s="264"/>
      <c r="AG2012" s="264"/>
    </row>
    <row r="2013" spans="1:33" ht="26.25">
      <c r="A2013" s="264"/>
      <c r="B2013" s="264"/>
      <c r="C2013" s="264"/>
      <c r="D2013" s="264"/>
      <c r="E2013" s="264"/>
      <c r="F2013" s="264"/>
      <c r="G2013" s="264"/>
      <c r="H2013" s="264"/>
      <c r="I2013" s="264"/>
      <c r="J2013" s="327"/>
      <c r="K2013" s="327"/>
      <c r="L2013" s="327"/>
      <c r="M2013" s="321"/>
      <c r="N2013" s="321"/>
      <c r="O2013" s="364"/>
      <c r="P2013" s="381"/>
      <c r="R2013" s="392"/>
      <c r="S2013" s="61" ph="1"/>
      <c r="U2013" s="229"/>
      <c r="V2013" s="264"/>
      <c r="W2013" s="199"/>
      <c r="X2013" s="264"/>
      <c r="Y2013" s="264"/>
      <c r="Z2013" s="386"/>
      <c r="AD2013" s="264"/>
      <c r="AE2013" s="264"/>
      <c r="AF2013" s="264"/>
      <c r="AG2013" s="264"/>
    </row>
    <row r="2014" spans="1:33" ht="26.25">
      <c r="A2014" s="264"/>
      <c r="B2014" s="264"/>
      <c r="C2014" s="264"/>
      <c r="D2014" s="264"/>
      <c r="E2014" s="264"/>
      <c r="F2014" s="264"/>
      <c r="G2014" s="264"/>
      <c r="H2014" s="264"/>
      <c r="I2014" s="264"/>
      <c r="J2014" s="327"/>
      <c r="K2014" s="327"/>
      <c r="L2014" s="327"/>
      <c r="M2014" s="321"/>
      <c r="N2014" s="321"/>
      <c r="O2014" s="364"/>
      <c r="P2014" s="381"/>
      <c r="R2014" s="392"/>
      <c r="S2014" s="61" ph="1"/>
      <c r="U2014" s="229"/>
      <c r="V2014" s="264"/>
      <c r="W2014" s="199"/>
      <c r="X2014" s="264"/>
      <c r="Y2014" s="264"/>
      <c r="Z2014" s="386"/>
      <c r="AD2014" s="264"/>
      <c r="AE2014" s="264"/>
      <c r="AF2014" s="264"/>
      <c r="AG2014" s="264"/>
    </row>
    <row r="2015" spans="1:33" ht="26.25">
      <c r="A2015" s="264"/>
      <c r="B2015" s="264"/>
      <c r="C2015" s="264"/>
      <c r="D2015" s="264"/>
      <c r="E2015" s="264"/>
      <c r="F2015" s="264"/>
      <c r="G2015" s="264"/>
      <c r="H2015" s="264"/>
      <c r="I2015" s="264"/>
      <c r="J2015" s="327"/>
      <c r="K2015" s="327"/>
      <c r="L2015" s="327"/>
      <c r="M2015" s="321"/>
      <c r="N2015" s="321"/>
      <c r="O2015" s="364"/>
      <c r="P2015" s="381"/>
      <c r="R2015" s="392"/>
      <c r="S2015" s="61" ph="1"/>
      <c r="U2015" s="229"/>
      <c r="V2015" s="264"/>
      <c r="W2015" s="199"/>
      <c r="X2015" s="264"/>
      <c r="Y2015" s="264"/>
      <c r="Z2015" s="386"/>
      <c r="AD2015" s="264"/>
      <c r="AE2015" s="264"/>
      <c r="AF2015" s="264"/>
      <c r="AG2015" s="264"/>
    </row>
    <row r="2016" spans="1:33" ht="26.25">
      <c r="A2016" s="264"/>
      <c r="B2016" s="264"/>
      <c r="C2016" s="264"/>
      <c r="D2016" s="264"/>
      <c r="E2016" s="264"/>
      <c r="F2016" s="264"/>
      <c r="G2016" s="264"/>
      <c r="H2016" s="264"/>
      <c r="I2016" s="264"/>
      <c r="J2016" s="327"/>
      <c r="K2016" s="327"/>
      <c r="L2016" s="327"/>
      <c r="M2016" s="321"/>
      <c r="N2016" s="321"/>
      <c r="O2016" s="364"/>
      <c r="P2016" s="381"/>
      <c r="R2016" s="392"/>
      <c r="S2016" s="61" ph="1"/>
      <c r="U2016" s="229"/>
      <c r="V2016" s="264"/>
      <c r="W2016" s="199"/>
      <c r="X2016" s="264"/>
      <c r="Y2016" s="264"/>
      <c r="Z2016" s="386"/>
      <c r="AD2016" s="264"/>
      <c r="AE2016" s="264"/>
      <c r="AF2016" s="264"/>
      <c r="AG2016" s="264"/>
    </row>
    <row r="2017" spans="1:33" ht="26.25">
      <c r="A2017" s="264"/>
      <c r="B2017" s="264"/>
      <c r="C2017" s="264"/>
      <c r="D2017" s="264"/>
      <c r="E2017" s="264"/>
      <c r="F2017" s="264"/>
      <c r="G2017" s="264"/>
      <c r="H2017" s="264"/>
      <c r="I2017" s="264"/>
      <c r="J2017" s="327"/>
      <c r="K2017" s="327"/>
      <c r="L2017" s="327"/>
      <c r="M2017" s="321"/>
      <c r="N2017" s="321"/>
      <c r="O2017" s="364"/>
      <c r="P2017" s="381"/>
      <c r="R2017" s="392"/>
      <c r="S2017" s="61" ph="1"/>
      <c r="U2017" s="229"/>
      <c r="V2017" s="264"/>
      <c r="W2017" s="199"/>
      <c r="X2017" s="264"/>
      <c r="Y2017" s="264"/>
      <c r="Z2017" s="386"/>
      <c r="AD2017" s="264"/>
      <c r="AE2017" s="264"/>
      <c r="AF2017" s="264"/>
      <c r="AG2017" s="264"/>
    </row>
    <row r="2018" spans="1:33" ht="26.25">
      <c r="A2018" s="264"/>
      <c r="B2018" s="264"/>
      <c r="C2018" s="264"/>
      <c r="D2018" s="264"/>
      <c r="E2018" s="264"/>
      <c r="F2018" s="264"/>
      <c r="G2018" s="264"/>
      <c r="H2018" s="264"/>
      <c r="I2018" s="264"/>
      <c r="J2018" s="327"/>
      <c r="K2018" s="327"/>
      <c r="L2018" s="327"/>
      <c r="M2018" s="321"/>
      <c r="N2018" s="321"/>
      <c r="O2018" s="364"/>
      <c r="P2018" s="381"/>
      <c r="R2018" s="392"/>
      <c r="S2018" s="61" ph="1"/>
      <c r="U2018" s="229"/>
      <c r="V2018" s="264"/>
      <c r="W2018" s="199"/>
      <c r="X2018" s="264"/>
      <c r="Y2018" s="264"/>
      <c r="Z2018" s="386"/>
      <c r="AD2018" s="264"/>
      <c r="AE2018" s="264"/>
      <c r="AF2018" s="264"/>
      <c r="AG2018" s="264"/>
    </row>
    <row r="2019" spans="1:33" ht="26.25">
      <c r="A2019" s="264"/>
      <c r="B2019" s="264"/>
      <c r="C2019" s="264"/>
      <c r="D2019" s="264"/>
      <c r="E2019" s="264"/>
      <c r="F2019" s="264"/>
      <c r="G2019" s="264"/>
      <c r="H2019" s="264"/>
      <c r="I2019" s="264"/>
      <c r="J2019" s="327"/>
      <c r="K2019" s="327"/>
      <c r="L2019" s="327"/>
      <c r="M2019" s="321"/>
      <c r="N2019" s="321"/>
      <c r="O2019" s="364"/>
      <c r="P2019" s="381"/>
      <c r="R2019" s="392"/>
      <c r="S2019" s="61" ph="1"/>
      <c r="U2019" s="229"/>
      <c r="V2019" s="264"/>
      <c r="W2019" s="199"/>
      <c r="X2019" s="264"/>
      <c r="Y2019" s="264"/>
      <c r="Z2019" s="386"/>
      <c r="AD2019" s="264"/>
      <c r="AE2019" s="264"/>
      <c r="AF2019" s="264"/>
      <c r="AG2019" s="264"/>
    </row>
    <row r="2020" spans="1:33" ht="26.25">
      <c r="A2020" s="264"/>
      <c r="B2020" s="264"/>
      <c r="C2020" s="264"/>
      <c r="D2020" s="264"/>
      <c r="E2020" s="264"/>
      <c r="F2020" s="264"/>
      <c r="G2020" s="264"/>
      <c r="H2020" s="264"/>
      <c r="I2020" s="264"/>
      <c r="J2020" s="327"/>
      <c r="K2020" s="327"/>
      <c r="L2020" s="327"/>
      <c r="M2020" s="321"/>
      <c r="N2020" s="321"/>
      <c r="O2020" s="364"/>
      <c r="P2020" s="381"/>
      <c r="R2020" s="392"/>
      <c r="S2020" s="61" ph="1"/>
      <c r="U2020" s="229"/>
      <c r="V2020" s="264"/>
      <c r="W2020" s="199"/>
      <c r="X2020" s="264"/>
      <c r="Y2020" s="264"/>
      <c r="Z2020" s="386"/>
      <c r="AD2020" s="264"/>
      <c r="AE2020" s="264"/>
      <c r="AF2020" s="264"/>
      <c r="AG2020" s="264"/>
    </row>
    <row r="2021" spans="1:33" ht="26.25">
      <c r="A2021" s="264"/>
      <c r="B2021" s="264"/>
      <c r="C2021" s="264"/>
      <c r="D2021" s="264"/>
      <c r="E2021" s="264"/>
      <c r="F2021" s="264"/>
      <c r="G2021" s="264"/>
      <c r="H2021" s="264"/>
      <c r="I2021" s="264"/>
      <c r="J2021" s="327"/>
      <c r="K2021" s="327"/>
      <c r="L2021" s="327"/>
      <c r="M2021" s="321"/>
      <c r="N2021" s="321"/>
      <c r="O2021" s="364"/>
      <c r="P2021" s="381"/>
      <c r="R2021" s="392"/>
      <c r="S2021" s="61" ph="1"/>
      <c r="U2021" s="229"/>
      <c r="V2021" s="264"/>
      <c r="W2021" s="199"/>
      <c r="X2021" s="264"/>
      <c r="Y2021" s="264"/>
      <c r="Z2021" s="386"/>
      <c r="AD2021" s="264"/>
      <c r="AE2021" s="264"/>
      <c r="AF2021" s="264"/>
      <c r="AG2021" s="264"/>
    </row>
    <row r="2022" spans="1:33" ht="26.25">
      <c r="A2022" s="264"/>
      <c r="B2022" s="264"/>
      <c r="C2022" s="264"/>
      <c r="D2022" s="264"/>
      <c r="E2022" s="264"/>
      <c r="F2022" s="264"/>
      <c r="G2022" s="264"/>
      <c r="H2022" s="264"/>
      <c r="I2022" s="264"/>
      <c r="J2022" s="327"/>
      <c r="K2022" s="327"/>
      <c r="L2022" s="327"/>
      <c r="M2022" s="321"/>
      <c r="N2022" s="321"/>
      <c r="O2022" s="364"/>
      <c r="P2022" s="381"/>
      <c r="R2022" s="392"/>
      <c r="S2022" s="61" ph="1"/>
      <c r="U2022" s="229"/>
      <c r="V2022" s="264"/>
      <c r="W2022" s="199"/>
      <c r="X2022" s="264"/>
      <c r="Y2022" s="264"/>
      <c r="Z2022" s="386"/>
      <c r="AD2022" s="264"/>
      <c r="AE2022" s="264"/>
      <c r="AF2022" s="264"/>
      <c r="AG2022" s="264"/>
    </row>
    <row r="2023" spans="1:33" ht="26.25">
      <c r="A2023" s="264"/>
      <c r="B2023" s="264"/>
      <c r="C2023" s="264"/>
      <c r="D2023" s="264"/>
      <c r="E2023" s="264"/>
      <c r="F2023" s="264"/>
      <c r="G2023" s="264"/>
      <c r="H2023" s="264"/>
      <c r="I2023" s="264"/>
      <c r="J2023" s="327"/>
      <c r="K2023" s="327"/>
      <c r="L2023" s="327"/>
      <c r="M2023" s="321"/>
      <c r="N2023" s="321"/>
      <c r="O2023" s="364"/>
      <c r="P2023" s="381"/>
      <c r="R2023" s="392"/>
      <c r="S2023" s="61" ph="1"/>
      <c r="U2023" s="229"/>
      <c r="V2023" s="264"/>
      <c r="W2023" s="199"/>
      <c r="X2023" s="264"/>
      <c r="Y2023" s="264"/>
      <c r="Z2023" s="386"/>
      <c r="AD2023" s="264"/>
      <c r="AE2023" s="264"/>
      <c r="AF2023" s="264"/>
      <c r="AG2023" s="264"/>
    </row>
    <row r="2024" spans="1:33" ht="26.25">
      <c r="A2024" s="264"/>
      <c r="B2024" s="264"/>
      <c r="C2024" s="264"/>
      <c r="D2024" s="264"/>
      <c r="E2024" s="264"/>
      <c r="F2024" s="264"/>
      <c r="G2024" s="264"/>
      <c r="H2024" s="264"/>
      <c r="I2024" s="264"/>
      <c r="J2024" s="327"/>
      <c r="K2024" s="327"/>
      <c r="L2024" s="327"/>
      <c r="M2024" s="321"/>
      <c r="N2024" s="321"/>
      <c r="O2024" s="364"/>
      <c r="P2024" s="381"/>
      <c r="R2024" s="392"/>
      <c r="S2024" s="61" ph="1"/>
      <c r="U2024" s="229"/>
      <c r="V2024" s="264"/>
      <c r="W2024" s="199"/>
      <c r="X2024" s="264"/>
      <c r="Y2024" s="264"/>
      <c r="Z2024" s="386"/>
      <c r="AD2024" s="264"/>
      <c r="AE2024" s="264"/>
      <c r="AF2024" s="264"/>
      <c r="AG2024" s="264"/>
    </row>
    <row r="2025" spans="1:33" ht="26.25">
      <c r="A2025" s="264"/>
      <c r="B2025" s="264"/>
      <c r="C2025" s="264"/>
      <c r="D2025" s="264"/>
      <c r="E2025" s="264"/>
      <c r="F2025" s="264"/>
      <c r="G2025" s="264"/>
      <c r="H2025" s="264"/>
      <c r="I2025" s="264"/>
      <c r="J2025" s="327"/>
      <c r="K2025" s="327"/>
      <c r="L2025" s="327"/>
      <c r="M2025" s="321"/>
      <c r="N2025" s="321"/>
      <c r="O2025" s="364"/>
      <c r="P2025" s="381"/>
      <c r="R2025" s="392"/>
      <c r="S2025" s="61" ph="1"/>
      <c r="U2025" s="229"/>
      <c r="V2025" s="264"/>
      <c r="W2025" s="199"/>
      <c r="X2025" s="264"/>
      <c r="Y2025" s="264"/>
      <c r="Z2025" s="386"/>
      <c r="AD2025" s="264"/>
      <c r="AE2025" s="264"/>
      <c r="AF2025" s="264"/>
      <c r="AG2025" s="264"/>
    </row>
    <row r="2026" spans="1:33" ht="26.25">
      <c r="A2026" s="264"/>
      <c r="B2026" s="264"/>
      <c r="C2026" s="264"/>
      <c r="D2026" s="264"/>
      <c r="E2026" s="264"/>
      <c r="F2026" s="264"/>
      <c r="G2026" s="264"/>
      <c r="H2026" s="264"/>
      <c r="I2026" s="264"/>
      <c r="J2026" s="327"/>
      <c r="K2026" s="327"/>
      <c r="L2026" s="327"/>
      <c r="M2026" s="321"/>
      <c r="N2026" s="321"/>
      <c r="O2026" s="364"/>
      <c r="P2026" s="381"/>
      <c r="R2026" s="392"/>
      <c r="S2026" s="61" ph="1"/>
      <c r="U2026" s="229"/>
      <c r="V2026" s="264"/>
      <c r="W2026" s="199"/>
      <c r="X2026" s="264"/>
      <c r="Y2026" s="264"/>
      <c r="Z2026" s="386"/>
      <c r="AD2026" s="264"/>
      <c r="AE2026" s="264"/>
      <c r="AF2026" s="264"/>
      <c r="AG2026" s="264"/>
    </row>
    <row r="2027" spans="1:33" ht="26.25">
      <c r="A2027" s="264"/>
      <c r="B2027" s="264"/>
      <c r="C2027" s="264"/>
      <c r="D2027" s="264"/>
      <c r="E2027" s="264"/>
      <c r="F2027" s="264"/>
      <c r="G2027" s="264"/>
      <c r="H2027" s="264"/>
      <c r="I2027" s="264"/>
      <c r="J2027" s="327"/>
      <c r="K2027" s="327"/>
      <c r="L2027" s="327"/>
      <c r="M2027" s="321"/>
      <c r="N2027" s="321"/>
      <c r="O2027" s="364"/>
      <c r="P2027" s="381"/>
      <c r="R2027" s="392"/>
      <c r="S2027" s="61" ph="1"/>
      <c r="U2027" s="229"/>
      <c r="V2027" s="264"/>
      <c r="W2027" s="199"/>
      <c r="X2027" s="264"/>
      <c r="Y2027" s="264"/>
      <c r="Z2027" s="386"/>
      <c r="AD2027" s="264"/>
      <c r="AE2027" s="264"/>
      <c r="AF2027" s="264"/>
      <c r="AG2027" s="264"/>
    </row>
    <row r="2028" spans="1:33" ht="26.25">
      <c r="A2028" s="264"/>
      <c r="B2028" s="264"/>
      <c r="C2028" s="264"/>
      <c r="D2028" s="264"/>
      <c r="E2028" s="264"/>
      <c r="F2028" s="264"/>
      <c r="G2028" s="264"/>
      <c r="H2028" s="264"/>
      <c r="I2028" s="264"/>
      <c r="J2028" s="327"/>
      <c r="K2028" s="327"/>
      <c r="L2028" s="327"/>
      <c r="M2028" s="321"/>
      <c r="N2028" s="321"/>
      <c r="O2028" s="364"/>
      <c r="P2028" s="381"/>
      <c r="R2028" s="392"/>
      <c r="S2028" s="61" ph="1"/>
      <c r="U2028" s="229"/>
      <c r="V2028" s="264"/>
      <c r="W2028" s="199"/>
      <c r="X2028" s="264"/>
      <c r="Y2028" s="264"/>
      <c r="Z2028" s="386"/>
      <c r="AD2028" s="264"/>
      <c r="AE2028" s="264"/>
      <c r="AF2028" s="264"/>
      <c r="AG2028" s="264"/>
    </row>
    <row r="2029" spans="1:33" ht="26.25">
      <c r="A2029" s="264"/>
      <c r="B2029" s="264"/>
      <c r="C2029" s="264"/>
      <c r="D2029" s="264"/>
      <c r="E2029" s="264"/>
      <c r="F2029" s="264"/>
      <c r="G2029" s="264"/>
      <c r="H2029" s="264"/>
      <c r="I2029" s="264"/>
      <c r="J2029" s="327"/>
      <c r="K2029" s="327"/>
      <c r="L2029" s="327"/>
      <c r="M2029" s="321"/>
      <c r="N2029" s="321"/>
      <c r="O2029" s="364"/>
      <c r="P2029" s="381"/>
      <c r="R2029" s="392"/>
      <c r="S2029" s="61" ph="1"/>
      <c r="U2029" s="229"/>
      <c r="V2029" s="264"/>
      <c r="W2029" s="199"/>
      <c r="X2029" s="264"/>
      <c r="Y2029" s="264"/>
      <c r="Z2029" s="386"/>
      <c r="AD2029" s="264"/>
      <c r="AE2029" s="264"/>
      <c r="AF2029" s="264"/>
      <c r="AG2029" s="264"/>
    </row>
    <row r="2030" spans="1:33" ht="26.25">
      <c r="A2030" s="264"/>
      <c r="B2030" s="264"/>
      <c r="C2030" s="264"/>
      <c r="D2030" s="264"/>
      <c r="E2030" s="264"/>
      <c r="F2030" s="264"/>
      <c r="G2030" s="264"/>
      <c r="H2030" s="264"/>
      <c r="I2030" s="264"/>
      <c r="J2030" s="327"/>
      <c r="K2030" s="327"/>
      <c r="L2030" s="327"/>
      <c r="M2030" s="321"/>
      <c r="N2030" s="321"/>
      <c r="O2030" s="364"/>
      <c r="P2030" s="381"/>
      <c r="R2030" s="392"/>
      <c r="S2030" s="61" ph="1"/>
      <c r="U2030" s="229"/>
      <c r="V2030" s="264"/>
      <c r="W2030" s="199"/>
      <c r="X2030" s="264"/>
      <c r="Y2030" s="264"/>
      <c r="Z2030" s="386"/>
      <c r="AD2030" s="264"/>
      <c r="AE2030" s="264"/>
      <c r="AF2030" s="264"/>
      <c r="AG2030" s="264"/>
    </row>
    <row r="2031" spans="1:33" ht="26.25">
      <c r="A2031" s="264"/>
      <c r="B2031" s="264"/>
      <c r="C2031" s="264"/>
      <c r="D2031" s="264"/>
      <c r="E2031" s="264"/>
      <c r="F2031" s="264"/>
      <c r="G2031" s="264"/>
      <c r="H2031" s="264"/>
      <c r="I2031" s="264"/>
      <c r="J2031" s="327"/>
      <c r="K2031" s="327"/>
      <c r="L2031" s="327"/>
      <c r="M2031" s="321"/>
      <c r="N2031" s="321"/>
      <c r="O2031" s="364"/>
      <c r="P2031" s="381"/>
      <c r="R2031" s="392"/>
      <c r="S2031" s="61" ph="1"/>
      <c r="U2031" s="229"/>
      <c r="V2031" s="264"/>
      <c r="W2031" s="199"/>
      <c r="X2031" s="264"/>
      <c r="Y2031" s="264"/>
      <c r="Z2031" s="386"/>
      <c r="AD2031" s="264"/>
      <c r="AE2031" s="264"/>
      <c r="AF2031" s="264"/>
      <c r="AG2031" s="264"/>
    </row>
    <row r="2032" spans="1:33" ht="26.25">
      <c r="A2032" s="264"/>
      <c r="B2032" s="264"/>
      <c r="C2032" s="264"/>
      <c r="D2032" s="264"/>
      <c r="E2032" s="264"/>
      <c r="F2032" s="264"/>
      <c r="G2032" s="264"/>
      <c r="H2032" s="264"/>
      <c r="I2032" s="264"/>
      <c r="J2032" s="327"/>
      <c r="K2032" s="327"/>
      <c r="L2032" s="327"/>
      <c r="M2032" s="321"/>
      <c r="N2032" s="321"/>
      <c r="O2032" s="364"/>
      <c r="P2032" s="381"/>
      <c r="R2032" s="392"/>
      <c r="S2032" s="61" ph="1"/>
      <c r="U2032" s="229"/>
      <c r="V2032" s="264"/>
      <c r="W2032" s="199"/>
      <c r="X2032" s="264"/>
      <c r="Y2032" s="264"/>
      <c r="Z2032" s="386"/>
      <c r="AD2032" s="264"/>
      <c r="AE2032" s="264"/>
      <c r="AF2032" s="264"/>
      <c r="AG2032" s="264"/>
    </row>
    <row r="2033" spans="1:33" ht="26.25">
      <c r="A2033" s="264"/>
      <c r="B2033" s="264"/>
      <c r="C2033" s="264"/>
      <c r="D2033" s="264"/>
      <c r="E2033" s="264"/>
      <c r="F2033" s="264"/>
      <c r="G2033" s="264"/>
      <c r="H2033" s="264"/>
      <c r="I2033" s="264"/>
      <c r="J2033" s="327"/>
      <c r="K2033" s="327"/>
      <c r="L2033" s="327"/>
      <c r="M2033" s="321"/>
      <c r="N2033" s="321"/>
      <c r="O2033" s="364"/>
      <c r="P2033" s="381"/>
      <c r="R2033" s="392"/>
      <c r="S2033" s="61" ph="1"/>
      <c r="U2033" s="229"/>
      <c r="V2033" s="264"/>
      <c r="W2033" s="199"/>
      <c r="X2033" s="264"/>
      <c r="Y2033" s="264"/>
      <c r="Z2033" s="386"/>
      <c r="AD2033" s="264"/>
      <c r="AE2033" s="264"/>
      <c r="AF2033" s="264"/>
      <c r="AG2033" s="264"/>
    </row>
    <row r="2034" spans="1:33" ht="26.25">
      <c r="A2034" s="264"/>
      <c r="B2034" s="264"/>
      <c r="C2034" s="264"/>
      <c r="D2034" s="264"/>
      <c r="E2034" s="264"/>
      <c r="F2034" s="264"/>
      <c r="G2034" s="264"/>
      <c r="H2034" s="264"/>
      <c r="I2034" s="264"/>
      <c r="J2034" s="327"/>
      <c r="K2034" s="327"/>
      <c r="L2034" s="327"/>
      <c r="M2034" s="321"/>
      <c r="N2034" s="321"/>
      <c r="O2034" s="364"/>
      <c r="P2034" s="381"/>
      <c r="R2034" s="392"/>
      <c r="S2034" s="61" ph="1"/>
      <c r="U2034" s="229"/>
      <c r="V2034" s="264"/>
      <c r="W2034" s="199"/>
      <c r="X2034" s="264"/>
      <c r="Y2034" s="264"/>
      <c r="Z2034" s="386"/>
      <c r="AD2034" s="264"/>
      <c r="AE2034" s="264"/>
      <c r="AF2034" s="264"/>
      <c r="AG2034" s="264"/>
    </row>
    <row r="2035" spans="1:33" ht="26.25">
      <c r="A2035" s="264"/>
      <c r="B2035" s="264"/>
      <c r="C2035" s="264"/>
      <c r="D2035" s="264"/>
      <c r="E2035" s="264"/>
      <c r="F2035" s="264"/>
      <c r="G2035" s="264"/>
      <c r="H2035" s="264"/>
      <c r="I2035" s="264"/>
      <c r="J2035" s="327"/>
      <c r="K2035" s="327"/>
      <c r="L2035" s="327"/>
      <c r="M2035" s="321"/>
      <c r="N2035" s="321"/>
      <c r="O2035" s="364"/>
      <c r="P2035" s="381"/>
      <c r="R2035" s="392"/>
      <c r="S2035" s="61" ph="1"/>
      <c r="U2035" s="229"/>
      <c r="V2035" s="264"/>
      <c r="W2035" s="199"/>
      <c r="X2035" s="264"/>
      <c r="Y2035" s="264"/>
      <c r="Z2035" s="386"/>
      <c r="AD2035" s="264"/>
      <c r="AE2035" s="264"/>
      <c r="AF2035" s="264"/>
      <c r="AG2035" s="264"/>
    </row>
    <row r="2036" spans="1:33" ht="26.25">
      <c r="A2036" s="264"/>
      <c r="B2036" s="264"/>
      <c r="C2036" s="264"/>
      <c r="D2036" s="264"/>
      <c r="E2036" s="264"/>
      <c r="F2036" s="264"/>
      <c r="G2036" s="264"/>
      <c r="H2036" s="264"/>
      <c r="I2036" s="264"/>
      <c r="J2036" s="327"/>
      <c r="K2036" s="327"/>
      <c r="L2036" s="327"/>
      <c r="M2036" s="321"/>
      <c r="N2036" s="321"/>
      <c r="O2036" s="364"/>
      <c r="P2036" s="381"/>
      <c r="R2036" s="392"/>
      <c r="S2036" s="61" ph="1"/>
      <c r="U2036" s="229"/>
      <c r="V2036" s="264"/>
      <c r="W2036" s="199"/>
      <c r="X2036" s="264"/>
      <c r="Y2036" s="264"/>
      <c r="Z2036" s="386"/>
      <c r="AD2036" s="264"/>
      <c r="AE2036" s="264"/>
      <c r="AF2036" s="264"/>
      <c r="AG2036" s="264"/>
    </row>
    <row r="2037" spans="1:33" ht="26.25">
      <c r="A2037" s="264"/>
      <c r="B2037" s="264"/>
      <c r="C2037" s="264"/>
      <c r="D2037" s="264"/>
      <c r="E2037" s="264"/>
      <c r="F2037" s="264"/>
      <c r="G2037" s="264"/>
      <c r="H2037" s="264"/>
      <c r="I2037" s="264"/>
      <c r="J2037" s="327"/>
      <c r="K2037" s="327"/>
      <c r="L2037" s="327"/>
      <c r="M2037" s="321"/>
      <c r="N2037" s="321"/>
      <c r="O2037" s="364"/>
      <c r="P2037" s="381"/>
      <c r="R2037" s="392"/>
      <c r="S2037" s="61" ph="1"/>
      <c r="U2037" s="229"/>
      <c r="V2037" s="264"/>
      <c r="W2037" s="199"/>
      <c r="X2037" s="264"/>
      <c r="Y2037" s="264"/>
      <c r="Z2037" s="386"/>
      <c r="AD2037" s="264"/>
      <c r="AE2037" s="264"/>
      <c r="AF2037" s="264"/>
      <c r="AG2037" s="264"/>
    </row>
    <row r="2038" spans="1:33" ht="26.25">
      <c r="A2038" s="264"/>
      <c r="B2038" s="264"/>
      <c r="C2038" s="264"/>
      <c r="D2038" s="264"/>
      <c r="E2038" s="264"/>
      <c r="F2038" s="264"/>
      <c r="G2038" s="264"/>
      <c r="H2038" s="264"/>
      <c r="I2038" s="264"/>
      <c r="J2038" s="327"/>
      <c r="K2038" s="327"/>
      <c r="L2038" s="327"/>
      <c r="M2038" s="321"/>
      <c r="N2038" s="321"/>
      <c r="O2038" s="364"/>
      <c r="P2038" s="381"/>
      <c r="R2038" s="392"/>
      <c r="S2038" s="61" ph="1"/>
      <c r="U2038" s="229"/>
      <c r="V2038" s="264"/>
      <c r="W2038" s="199"/>
      <c r="X2038" s="264"/>
      <c r="Y2038" s="264"/>
      <c r="Z2038" s="386"/>
      <c r="AD2038" s="264"/>
      <c r="AE2038" s="264"/>
      <c r="AF2038" s="264"/>
      <c r="AG2038" s="264"/>
    </row>
    <row r="2039" spans="1:33" ht="26.25">
      <c r="A2039" s="264"/>
      <c r="B2039" s="264"/>
      <c r="C2039" s="264"/>
      <c r="D2039" s="264"/>
      <c r="E2039" s="264"/>
      <c r="F2039" s="264"/>
      <c r="G2039" s="264"/>
      <c r="H2039" s="264"/>
      <c r="I2039" s="264"/>
      <c r="J2039" s="327"/>
      <c r="K2039" s="327"/>
      <c r="L2039" s="327"/>
      <c r="M2039" s="321"/>
      <c r="N2039" s="321"/>
      <c r="O2039" s="364"/>
      <c r="P2039" s="381"/>
      <c r="R2039" s="392"/>
      <c r="S2039" s="61" ph="1"/>
      <c r="U2039" s="229"/>
      <c r="V2039" s="264"/>
      <c r="W2039" s="199"/>
      <c r="X2039" s="264"/>
      <c r="Y2039" s="264"/>
      <c r="Z2039" s="386"/>
      <c r="AD2039" s="264"/>
      <c r="AE2039" s="264"/>
      <c r="AF2039" s="264"/>
      <c r="AG2039" s="264"/>
    </row>
    <row r="2040" spans="1:33" ht="26.25">
      <c r="A2040" s="264"/>
      <c r="B2040" s="264"/>
      <c r="C2040" s="264"/>
      <c r="D2040" s="264"/>
      <c r="E2040" s="264"/>
      <c r="F2040" s="264"/>
      <c r="G2040" s="264"/>
      <c r="H2040" s="264"/>
      <c r="I2040" s="264"/>
      <c r="J2040" s="327"/>
      <c r="K2040" s="327"/>
      <c r="L2040" s="327"/>
      <c r="M2040" s="321"/>
      <c r="N2040" s="321"/>
      <c r="O2040" s="364"/>
      <c r="P2040" s="381"/>
      <c r="R2040" s="392"/>
      <c r="S2040" s="61" ph="1"/>
      <c r="U2040" s="229"/>
      <c r="V2040" s="264"/>
      <c r="W2040" s="199"/>
      <c r="X2040" s="264"/>
      <c r="Y2040" s="264"/>
      <c r="Z2040" s="386"/>
      <c r="AD2040" s="264"/>
      <c r="AE2040" s="264"/>
      <c r="AF2040" s="264"/>
      <c r="AG2040" s="264"/>
    </row>
    <row r="2041" spans="1:33" ht="26.25">
      <c r="A2041" s="264"/>
      <c r="B2041" s="264"/>
      <c r="C2041" s="264"/>
      <c r="D2041" s="264"/>
      <c r="E2041" s="264"/>
      <c r="F2041" s="264"/>
      <c r="G2041" s="264"/>
      <c r="H2041" s="264"/>
      <c r="I2041" s="264"/>
      <c r="J2041" s="327"/>
      <c r="K2041" s="327"/>
      <c r="L2041" s="327"/>
      <c r="M2041" s="321"/>
      <c r="N2041" s="321"/>
      <c r="O2041" s="364"/>
      <c r="P2041" s="381"/>
      <c r="R2041" s="392"/>
      <c r="S2041" s="61" ph="1"/>
      <c r="U2041" s="229"/>
      <c r="V2041" s="264"/>
      <c r="W2041" s="199"/>
      <c r="X2041" s="264"/>
      <c r="Y2041" s="264"/>
      <c r="Z2041" s="386"/>
      <c r="AD2041" s="264"/>
      <c r="AE2041" s="264"/>
      <c r="AF2041" s="264"/>
      <c r="AG2041" s="264"/>
    </row>
    <row r="2042" spans="1:33" ht="26.25">
      <c r="A2042" s="264"/>
      <c r="B2042" s="264"/>
      <c r="C2042" s="264"/>
      <c r="D2042" s="264"/>
      <c r="E2042" s="264"/>
      <c r="F2042" s="264"/>
      <c r="G2042" s="264"/>
      <c r="H2042" s="264"/>
      <c r="I2042" s="264"/>
      <c r="J2042" s="327"/>
      <c r="K2042" s="327"/>
      <c r="L2042" s="327"/>
      <c r="M2042" s="321"/>
      <c r="N2042" s="321"/>
      <c r="O2042" s="364"/>
      <c r="P2042" s="381"/>
      <c r="R2042" s="392"/>
      <c r="S2042" s="61" ph="1"/>
      <c r="U2042" s="229"/>
      <c r="V2042" s="264"/>
      <c r="W2042" s="199"/>
      <c r="X2042" s="264"/>
      <c r="Y2042" s="264"/>
      <c r="Z2042" s="386"/>
      <c r="AD2042" s="264"/>
      <c r="AE2042" s="264"/>
      <c r="AF2042" s="264"/>
      <c r="AG2042" s="264"/>
    </row>
    <row r="2043" spans="1:33" ht="26.25">
      <c r="A2043" s="264"/>
      <c r="B2043" s="264"/>
      <c r="C2043" s="264"/>
      <c r="D2043" s="264"/>
      <c r="E2043" s="264"/>
      <c r="F2043" s="264"/>
      <c r="G2043" s="264"/>
      <c r="H2043" s="264"/>
      <c r="I2043" s="264"/>
      <c r="J2043" s="327"/>
      <c r="K2043" s="327"/>
      <c r="L2043" s="327"/>
      <c r="M2043" s="321"/>
      <c r="N2043" s="321"/>
      <c r="O2043" s="364"/>
      <c r="P2043" s="381"/>
      <c r="R2043" s="392"/>
      <c r="S2043" s="61" ph="1"/>
      <c r="U2043" s="229"/>
      <c r="V2043" s="264"/>
      <c r="W2043" s="199"/>
      <c r="X2043" s="264"/>
      <c r="Y2043" s="264"/>
      <c r="Z2043" s="386"/>
      <c r="AD2043" s="264"/>
      <c r="AE2043" s="264"/>
      <c r="AF2043" s="264"/>
      <c r="AG2043" s="264"/>
    </row>
    <row r="2044" spans="1:33" ht="26.25">
      <c r="A2044" s="264"/>
      <c r="B2044" s="264"/>
      <c r="C2044" s="264"/>
      <c r="D2044" s="264"/>
      <c r="E2044" s="264"/>
      <c r="F2044" s="264"/>
      <c r="G2044" s="264"/>
      <c r="H2044" s="264"/>
      <c r="I2044" s="264"/>
      <c r="J2044" s="327"/>
      <c r="K2044" s="327"/>
      <c r="L2044" s="327"/>
      <c r="M2044" s="321"/>
      <c r="N2044" s="321"/>
      <c r="O2044" s="364"/>
      <c r="P2044" s="381"/>
      <c r="R2044" s="392"/>
      <c r="S2044" s="61" ph="1"/>
      <c r="U2044" s="229"/>
      <c r="V2044" s="264"/>
      <c r="W2044" s="199"/>
      <c r="X2044" s="264"/>
      <c r="Y2044" s="264"/>
      <c r="Z2044" s="386"/>
      <c r="AD2044" s="264"/>
      <c r="AE2044" s="264"/>
      <c r="AF2044" s="264"/>
      <c r="AG2044" s="264"/>
    </row>
    <row r="2045" spans="1:33" ht="26.25">
      <c r="A2045" s="264"/>
      <c r="B2045" s="264"/>
      <c r="C2045" s="264"/>
      <c r="D2045" s="264"/>
      <c r="E2045" s="264"/>
      <c r="F2045" s="264"/>
      <c r="G2045" s="264"/>
      <c r="H2045" s="264"/>
      <c r="I2045" s="264"/>
      <c r="J2045" s="327"/>
      <c r="K2045" s="327"/>
      <c r="L2045" s="327"/>
      <c r="M2045" s="321"/>
      <c r="N2045" s="321"/>
      <c r="O2045" s="364"/>
      <c r="P2045" s="381"/>
      <c r="R2045" s="392"/>
      <c r="S2045" s="61" ph="1"/>
      <c r="U2045" s="229"/>
      <c r="V2045" s="264"/>
      <c r="W2045" s="199"/>
      <c r="X2045" s="264"/>
      <c r="Y2045" s="264"/>
      <c r="Z2045" s="386"/>
      <c r="AD2045" s="264"/>
      <c r="AE2045" s="264"/>
      <c r="AF2045" s="264"/>
      <c r="AG2045" s="264"/>
    </row>
    <row r="2046" spans="1:33" ht="26.25">
      <c r="A2046" s="264"/>
      <c r="B2046" s="264"/>
      <c r="C2046" s="264"/>
      <c r="D2046" s="264"/>
      <c r="E2046" s="264"/>
      <c r="F2046" s="264"/>
      <c r="G2046" s="264"/>
      <c r="H2046" s="264"/>
      <c r="I2046" s="264"/>
      <c r="J2046" s="327"/>
      <c r="K2046" s="327"/>
      <c r="L2046" s="327"/>
      <c r="M2046" s="321"/>
      <c r="N2046" s="321"/>
      <c r="O2046" s="364"/>
      <c r="P2046" s="381"/>
      <c r="R2046" s="392"/>
      <c r="S2046" s="61" ph="1"/>
      <c r="U2046" s="229"/>
      <c r="V2046" s="264"/>
      <c r="W2046" s="199"/>
      <c r="X2046" s="264"/>
      <c r="Y2046" s="264"/>
      <c r="Z2046" s="386"/>
      <c r="AD2046" s="264"/>
      <c r="AE2046" s="264"/>
      <c r="AF2046" s="264"/>
      <c r="AG2046" s="264"/>
    </row>
    <row r="2047" spans="1:33" ht="26.25">
      <c r="A2047" s="264"/>
      <c r="B2047" s="264"/>
      <c r="C2047" s="264"/>
      <c r="D2047" s="264"/>
      <c r="E2047" s="264"/>
      <c r="F2047" s="264"/>
      <c r="G2047" s="264"/>
      <c r="H2047" s="264"/>
      <c r="I2047" s="264"/>
      <c r="J2047" s="327"/>
      <c r="K2047" s="327"/>
      <c r="L2047" s="327"/>
      <c r="M2047" s="321"/>
      <c r="N2047" s="321"/>
      <c r="O2047" s="364"/>
      <c r="P2047" s="381"/>
      <c r="R2047" s="392"/>
      <c r="S2047" s="61" ph="1"/>
      <c r="U2047" s="229"/>
      <c r="V2047" s="264"/>
      <c r="W2047" s="199"/>
      <c r="X2047" s="264"/>
      <c r="Y2047" s="264"/>
      <c r="Z2047" s="386"/>
      <c r="AD2047" s="264"/>
      <c r="AE2047" s="264"/>
      <c r="AF2047" s="264"/>
      <c r="AG2047" s="264"/>
    </row>
    <row r="2048" spans="1:33" ht="26.25">
      <c r="A2048" s="264"/>
      <c r="B2048" s="264"/>
      <c r="C2048" s="264"/>
      <c r="D2048" s="264"/>
      <c r="E2048" s="264"/>
      <c r="F2048" s="264"/>
      <c r="G2048" s="264"/>
      <c r="H2048" s="264"/>
      <c r="I2048" s="264"/>
      <c r="J2048" s="327"/>
      <c r="K2048" s="327"/>
      <c r="L2048" s="327"/>
      <c r="M2048" s="321"/>
      <c r="N2048" s="321"/>
      <c r="O2048" s="364"/>
      <c r="P2048" s="381"/>
      <c r="R2048" s="392"/>
      <c r="S2048" s="61" ph="1"/>
      <c r="U2048" s="229"/>
      <c r="V2048" s="264"/>
      <c r="W2048" s="199"/>
      <c r="X2048" s="264"/>
      <c r="Y2048" s="264"/>
      <c r="Z2048" s="386"/>
      <c r="AD2048" s="264"/>
      <c r="AE2048" s="264"/>
      <c r="AF2048" s="264"/>
      <c r="AG2048" s="264"/>
    </row>
    <row r="2049" spans="1:33" ht="26.25">
      <c r="A2049" s="264"/>
      <c r="B2049" s="264"/>
      <c r="C2049" s="264"/>
      <c r="D2049" s="264"/>
      <c r="E2049" s="264"/>
      <c r="F2049" s="264"/>
      <c r="G2049" s="264"/>
      <c r="H2049" s="264"/>
      <c r="I2049" s="264"/>
      <c r="J2049" s="327"/>
      <c r="K2049" s="327"/>
      <c r="L2049" s="327"/>
      <c r="M2049" s="321"/>
      <c r="N2049" s="321"/>
      <c r="O2049" s="364"/>
      <c r="P2049" s="381"/>
      <c r="R2049" s="392"/>
      <c r="S2049" s="61" ph="1"/>
      <c r="U2049" s="229"/>
      <c r="V2049" s="264"/>
      <c r="W2049" s="199"/>
      <c r="X2049" s="264"/>
      <c r="Y2049" s="264"/>
      <c r="Z2049" s="386"/>
      <c r="AD2049" s="264"/>
      <c r="AE2049" s="264"/>
      <c r="AF2049" s="264"/>
      <c r="AG2049" s="264"/>
    </row>
    <row r="2050" spans="1:33" ht="26.25">
      <c r="A2050" s="264"/>
      <c r="B2050" s="264"/>
      <c r="C2050" s="264"/>
      <c r="D2050" s="264"/>
      <c r="E2050" s="264"/>
      <c r="F2050" s="264"/>
      <c r="G2050" s="264"/>
      <c r="H2050" s="264"/>
      <c r="I2050" s="264"/>
      <c r="J2050" s="327"/>
      <c r="K2050" s="327"/>
      <c r="L2050" s="327"/>
      <c r="M2050" s="321"/>
      <c r="N2050" s="321"/>
      <c r="O2050" s="364"/>
      <c r="P2050" s="381"/>
      <c r="R2050" s="392"/>
      <c r="S2050" s="61" ph="1"/>
      <c r="U2050" s="229"/>
      <c r="V2050" s="264"/>
      <c r="W2050" s="199"/>
      <c r="X2050" s="264"/>
      <c r="Y2050" s="264"/>
      <c r="Z2050" s="386"/>
      <c r="AD2050" s="264"/>
      <c r="AE2050" s="264"/>
      <c r="AF2050" s="264"/>
      <c r="AG2050" s="264"/>
    </row>
    <row r="2051" spans="1:33" ht="26.25">
      <c r="A2051" s="264"/>
      <c r="B2051" s="264"/>
      <c r="C2051" s="264"/>
      <c r="D2051" s="264"/>
      <c r="E2051" s="264"/>
      <c r="F2051" s="264"/>
      <c r="G2051" s="264"/>
      <c r="H2051" s="264"/>
      <c r="I2051" s="264"/>
      <c r="J2051" s="327"/>
      <c r="K2051" s="327"/>
      <c r="L2051" s="327"/>
      <c r="M2051" s="321"/>
      <c r="N2051" s="321"/>
      <c r="O2051" s="364"/>
      <c r="P2051" s="381"/>
      <c r="R2051" s="392"/>
      <c r="S2051" s="61" ph="1"/>
      <c r="U2051" s="229"/>
      <c r="V2051" s="264"/>
      <c r="W2051" s="199"/>
      <c r="X2051" s="264"/>
      <c r="Y2051" s="264"/>
      <c r="Z2051" s="386"/>
      <c r="AD2051" s="264"/>
      <c r="AE2051" s="264"/>
      <c r="AF2051" s="264"/>
      <c r="AG2051" s="264"/>
    </row>
    <row r="2052" spans="1:33" ht="26.25">
      <c r="A2052" s="264"/>
      <c r="B2052" s="264"/>
      <c r="C2052" s="264"/>
      <c r="D2052" s="264"/>
      <c r="E2052" s="264"/>
      <c r="F2052" s="264"/>
      <c r="G2052" s="264"/>
      <c r="H2052" s="264"/>
      <c r="I2052" s="264"/>
      <c r="J2052" s="327"/>
      <c r="K2052" s="327"/>
      <c r="L2052" s="327"/>
      <c r="M2052" s="321"/>
      <c r="N2052" s="321"/>
      <c r="O2052" s="364"/>
      <c r="P2052" s="381"/>
      <c r="R2052" s="392"/>
      <c r="S2052" s="61" ph="1"/>
      <c r="U2052" s="229"/>
      <c r="V2052" s="264"/>
      <c r="W2052" s="199"/>
      <c r="X2052" s="264"/>
      <c r="Y2052" s="264"/>
      <c r="Z2052" s="386"/>
      <c r="AD2052" s="264"/>
      <c r="AE2052" s="264"/>
      <c r="AF2052" s="264"/>
      <c r="AG2052" s="264"/>
    </row>
    <row r="2053" spans="1:33" ht="26.25">
      <c r="A2053" s="264"/>
      <c r="B2053" s="264"/>
      <c r="C2053" s="264"/>
      <c r="D2053" s="264"/>
      <c r="E2053" s="264"/>
      <c r="F2053" s="264"/>
      <c r="G2053" s="264"/>
      <c r="H2053" s="264"/>
      <c r="I2053" s="264"/>
      <c r="J2053" s="327"/>
      <c r="K2053" s="327"/>
      <c r="L2053" s="327"/>
      <c r="M2053" s="321"/>
      <c r="N2053" s="321"/>
      <c r="O2053" s="364"/>
      <c r="P2053" s="381"/>
      <c r="R2053" s="392"/>
      <c r="S2053" s="61" ph="1"/>
      <c r="U2053" s="229"/>
      <c r="V2053" s="264"/>
      <c r="W2053" s="199"/>
      <c r="X2053" s="264"/>
      <c r="Y2053" s="264"/>
      <c r="Z2053" s="386"/>
      <c r="AD2053" s="264"/>
      <c r="AE2053" s="264"/>
      <c r="AF2053" s="264"/>
      <c r="AG2053" s="264"/>
    </row>
    <row r="2054" spans="1:33" ht="26.25">
      <c r="A2054" s="264"/>
      <c r="B2054" s="264"/>
      <c r="C2054" s="264"/>
      <c r="D2054" s="264"/>
      <c r="E2054" s="264"/>
      <c r="F2054" s="264"/>
      <c r="G2054" s="264"/>
      <c r="H2054" s="264"/>
      <c r="I2054" s="264"/>
      <c r="J2054" s="327"/>
      <c r="K2054" s="327"/>
      <c r="L2054" s="327"/>
      <c r="M2054" s="321"/>
      <c r="N2054" s="321"/>
      <c r="O2054" s="364"/>
      <c r="P2054" s="381"/>
      <c r="R2054" s="392"/>
      <c r="S2054" s="61" ph="1"/>
      <c r="U2054" s="229"/>
      <c r="V2054" s="264"/>
      <c r="W2054" s="199"/>
      <c r="X2054" s="264"/>
      <c r="Y2054" s="264"/>
      <c r="Z2054" s="386"/>
      <c r="AD2054" s="264"/>
      <c r="AE2054" s="264"/>
      <c r="AF2054" s="264"/>
      <c r="AG2054" s="264"/>
    </row>
    <row r="2055" spans="1:33" ht="26.25">
      <c r="A2055" s="264"/>
      <c r="B2055" s="264"/>
      <c r="C2055" s="264"/>
      <c r="D2055" s="264"/>
      <c r="E2055" s="264"/>
      <c r="F2055" s="264"/>
      <c r="G2055" s="264"/>
      <c r="H2055" s="264"/>
      <c r="I2055" s="264"/>
      <c r="J2055" s="327"/>
      <c r="K2055" s="327"/>
      <c r="L2055" s="327"/>
      <c r="M2055" s="321"/>
      <c r="N2055" s="321"/>
      <c r="O2055" s="364"/>
      <c r="P2055" s="381"/>
      <c r="R2055" s="392"/>
      <c r="S2055" s="61" ph="1"/>
      <c r="U2055" s="229"/>
      <c r="V2055" s="264"/>
      <c r="W2055" s="199"/>
      <c r="X2055" s="264"/>
      <c r="Y2055" s="264"/>
      <c r="Z2055" s="386"/>
      <c r="AD2055" s="264"/>
      <c r="AE2055" s="264"/>
      <c r="AF2055" s="264"/>
      <c r="AG2055" s="264"/>
    </row>
    <row r="2056" spans="1:33" ht="26.25">
      <c r="A2056" s="264"/>
      <c r="B2056" s="264"/>
      <c r="C2056" s="264"/>
      <c r="D2056" s="264"/>
      <c r="E2056" s="264"/>
      <c r="F2056" s="264"/>
      <c r="G2056" s="264"/>
      <c r="H2056" s="264"/>
      <c r="I2056" s="264"/>
      <c r="J2056" s="327"/>
      <c r="K2056" s="327"/>
      <c r="L2056" s="327"/>
      <c r="M2056" s="321"/>
      <c r="N2056" s="321"/>
      <c r="O2056" s="364"/>
      <c r="P2056" s="381"/>
      <c r="R2056" s="392"/>
      <c r="S2056" s="61" ph="1"/>
      <c r="U2056" s="229"/>
      <c r="V2056" s="264"/>
      <c r="W2056" s="199"/>
      <c r="X2056" s="264"/>
      <c r="Y2056" s="264"/>
      <c r="Z2056" s="386"/>
      <c r="AD2056" s="264"/>
      <c r="AE2056" s="264"/>
      <c r="AF2056" s="264"/>
      <c r="AG2056" s="264"/>
    </row>
    <row r="2057" spans="1:33" ht="26.25">
      <c r="A2057" s="264"/>
      <c r="B2057" s="264"/>
      <c r="C2057" s="264"/>
      <c r="D2057" s="264"/>
      <c r="E2057" s="264"/>
      <c r="F2057" s="264"/>
      <c r="G2057" s="264"/>
      <c r="H2057" s="264"/>
      <c r="I2057" s="264"/>
      <c r="J2057" s="327"/>
      <c r="K2057" s="327"/>
      <c r="L2057" s="327"/>
      <c r="M2057" s="321"/>
      <c r="N2057" s="321"/>
      <c r="O2057" s="364"/>
      <c r="P2057" s="381"/>
      <c r="R2057" s="392"/>
      <c r="S2057" s="61" ph="1"/>
      <c r="U2057" s="229"/>
      <c r="V2057" s="264"/>
      <c r="W2057" s="199"/>
      <c r="X2057" s="264"/>
      <c r="Y2057" s="264"/>
      <c r="Z2057" s="386"/>
      <c r="AD2057" s="264"/>
      <c r="AE2057" s="264"/>
      <c r="AF2057" s="264"/>
      <c r="AG2057" s="264"/>
    </row>
    <row r="2058" spans="1:33" ht="26.25">
      <c r="A2058" s="264"/>
      <c r="B2058" s="264"/>
      <c r="C2058" s="264"/>
      <c r="D2058" s="264"/>
      <c r="E2058" s="264"/>
      <c r="F2058" s="264"/>
      <c r="G2058" s="264"/>
      <c r="H2058" s="264"/>
      <c r="I2058" s="264"/>
      <c r="J2058" s="327"/>
      <c r="K2058" s="327"/>
      <c r="L2058" s="327"/>
      <c r="M2058" s="321"/>
      <c r="N2058" s="321"/>
      <c r="O2058" s="364"/>
      <c r="P2058" s="381"/>
      <c r="R2058" s="392"/>
      <c r="S2058" s="61" ph="1"/>
      <c r="U2058" s="229"/>
      <c r="V2058" s="264"/>
      <c r="W2058" s="199"/>
      <c r="X2058" s="264"/>
      <c r="Y2058" s="264"/>
      <c r="Z2058" s="386"/>
      <c r="AD2058" s="264"/>
      <c r="AE2058" s="264"/>
      <c r="AF2058" s="264"/>
      <c r="AG2058" s="264"/>
    </row>
    <row r="2059" spans="1:33" ht="26.25">
      <c r="A2059" s="264"/>
      <c r="B2059" s="264"/>
      <c r="C2059" s="264"/>
      <c r="D2059" s="264"/>
      <c r="E2059" s="264"/>
      <c r="F2059" s="264"/>
      <c r="G2059" s="264"/>
      <c r="H2059" s="264"/>
      <c r="I2059" s="264"/>
      <c r="J2059" s="327"/>
      <c r="K2059" s="327"/>
      <c r="L2059" s="327"/>
      <c r="M2059" s="321"/>
      <c r="N2059" s="321"/>
      <c r="O2059" s="364"/>
      <c r="P2059" s="381"/>
      <c r="R2059" s="392"/>
      <c r="S2059" s="61" ph="1"/>
      <c r="U2059" s="229"/>
      <c r="V2059" s="264"/>
      <c r="W2059" s="199"/>
      <c r="X2059" s="264"/>
      <c r="Y2059" s="264"/>
      <c r="Z2059" s="386"/>
      <c r="AD2059" s="264"/>
      <c r="AE2059" s="264"/>
      <c r="AF2059" s="264"/>
      <c r="AG2059" s="264"/>
    </row>
    <row r="2060" spans="1:33" ht="26.25">
      <c r="A2060" s="264"/>
      <c r="B2060" s="264"/>
      <c r="C2060" s="264"/>
      <c r="D2060" s="264"/>
      <c r="E2060" s="264"/>
      <c r="F2060" s="264"/>
      <c r="G2060" s="264"/>
      <c r="H2060" s="264"/>
      <c r="I2060" s="264"/>
      <c r="J2060" s="327"/>
      <c r="K2060" s="327"/>
      <c r="L2060" s="327"/>
      <c r="M2060" s="321"/>
      <c r="N2060" s="321"/>
      <c r="O2060" s="364"/>
      <c r="P2060" s="381"/>
      <c r="R2060" s="392"/>
      <c r="S2060" s="61" ph="1"/>
      <c r="U2060" s="229"/>
      <c r="V2060" s="264"/>
      <c r="W2060" s="199"/>
      <c r="X2060" s="264"/>
      <c r="Y2060" s="264"/>
      <c r="Z2060" s="386"/>
      <c r="AD2060" s="264"/>
      <c r="AE2060" s="264"/>
      <c r="AF2060" s="264"/>
      <c r="AG2060" s="264"/>
    </row>
    <row r="2061" spans="1:33" ht="26.25">
      <c r="A2061" s="264"/>
      <c r="B2061" s="264"/>
      <c r="C2061" s="264"/>
      <c r="D2061" s="264"/>
      <c r="E2061" s="264"/>
      <c r="F2061" s="264"/>
      <c r="G2061" s="264"/>
      <c r="H2061" s="264"/>
      <c r="I2061" s="264"/>
      <c r="J2061" s="327"/>
      <c r="K2061" s="327"/>
      <c r="L2061" s="327"/>
      <c r="M2061" s="321"/>
      <c r="N2061" s="321"/>
      <c r="O2061" s="364"/>
      <c r="P2061" s="381"/>
      <c r="R2061" s="392"/>
      <c r="S2061" s="61" ph="1"/>
      <c r="U2061" s="229"/>
      <c r="V2061" s="264"/>
      <c r="W2061" s="199"/>
      <c r="X2061" s="264"/>
      <c r="Y2061" s="264"/>
      <c r="Z2061" s="386"/>
      <c r="AD2061" s="264"/>
      <c r="AE2061" s="264"/>
      <c r="AF2061" s="264"/>
      <c r="AG2061" s="264"/>
    </row>
    <row r="2062" spans="1:33" ht="26.25">
      <c r="A2062" s="264"/>
      <c r="B2062" s="264"/>
      <c r="C2062" s="264"/>
      <c r="D2062" s="264"/>
      <c r="E2062" s="264"/>
      <c r="F2062" s="264"/>
      <c r="G2062" s="264"/>
      <c r="H2062" s="264"/>
      <c r="I2062" s="264"/>
      <c r="J2062" s="327"/>
      <c r="K2062" s="327"/>
      <c r="L2062" s="327"/>
      <c r="M2062" s="321"/>
      <c r="N2062" s="321"/>
      <c r="O2062" s="364"/>
      <c r="P2062" s="381"/>
      <c r="R2062" s="392"/>
      <c r="S2062" s="61" ph="1"/>
      <c r="U2062" s="229"/>
      <c r="V2062" s="264"/>
      <c r="W2062" s="199"/>
      <c r="X2062" s="264"/>
      <c r="Y2062" s="264"/>
      <c r="Z2062" s="386"/>
      <c r="AD2062" s="264"/>
      <c r="AE2062" s="264"/>
      <c r="AF2062" s="264"/>
      <c r="AG2062" s="264"/>
    </row>
    <row r="2063" spans="1:33" ht="26.25">
      <c r="A2063" s="264"/>
      <c r="B2063" s="264"/>
      <c r="C2063" s="264"/>
      <c r="D2063" s="264"/>
      <c r="E2063" s="264"/>
      <c r="F2063" s="264"/>
      <c r="G2063" s="264"/>
      <c r="H2063" s="264"/>
      <c r="I2063" s="264"/>
      <c r="J2063" s="327"/>
      <c r="K2063" s="327"/>
      <c r="L2063" s="327"/>
      <c r="M2063" s="321"/>
      <c r="N2063" s="321"/>
      <c r="O2063" s="364"/>
      <c r="P2063" s="381"/>
      <c r="R2063" s="392"/>
      <c r="S2063" s="61" ph="1"/>
      <c r="U2063" s="229"/>
      <c r="V2063" s="264"/>
      <c r="W2063" s="199"/>
      <c r="X2063" s="264"/>
      <c r="Y2063" s="264"/>
      <c r="Z2063" s="386"/>
      <c r="AD2063" s="264"/>
      <c r="AE2063" s="264"/>
      <c r="AF2063" s="264"/>
      <c r="AG2063" s="264"/>
    </row>
    <row r="2064" spans="1:33" ht="26.25">
      <c r="A2064" s="264"/>
      <c r="B2064" s="264"/>
      <c r="C2064" s="264"/>
      <c r="D2064" s="264"/>
      <c r="E2064" s="264"/>
      <c r="F2064" s="264"/>
      <c r="G2064" s="264"/>
      <c r="H2064" s="264"/>
      <c r="I2064" s="264"/>
      <c r="J2064" s="327"/>
      <c r="K2064" s="327"/>
      <c r="L2064" s="327"/>
      <c r="M2064" s="321"/>
      <c r="N2064" s="321"/>
      <c r="O2064" s="364"/>
      <c r="P2064" s="381"/>
      <c r="R2064" s="392"/>
      <c r="S2064" s="61" ph="1"/>
      <c r="U2064" s="229"/>
      <c r="V2064" s="264"/>
      <c r="W2064" s="199"/>
      <c r="X2064" s="264"/>
      <c r="Y2064" s="264"/>
      <c r="Z2064" s="386"/>
      <c r="AD2064" s="264"/>
      <c r="AE2064" s="264"/>
      <c r="AF2064" s="264"/>
      <c r="AG2064" s="264"/>
    </row>
    <row r="2065" spans="1:33" ht="26.25">
      <c r="A2065" s="264"/>
      <c r="B2065" s="264"/>
      <c r="C2065" s="264"/>
      <c r="D2065" s="264"/>
      <c r="E2065" s="264"/>
      <c r="F2065" s="264"/>
      <c r="G2065" s="264"/>
      <c r="H2065" s="264"/>
      <c r="I2065" s="264"/>
      <c r="J2065" s="327"/>
      <c r="K2065" s="327"/>
      <c r="L2065" s="327"/>
      <c r="M2065" s="321"/>
      <c r="N2065" s="321"/>
      <c r="O2065" s="364"/>
      <c r="P2065" s="381"/>
      <c r="R2065" s="392"/>
      <c r="S2065" s="61" ph="1"/>
      <c r="U2065" s="229"/>
      <c r="V2065" s="264"/>
      <c r="W2065" s="199"/>
      <c r="X2065" s="264"/>
      <c r="Y2065" s="264"/>
      <c r="Z2065" s="386"/>
      <c r="AD2065" s="264"/>
      <c r="AE2065" s="264"/>
      <c r="AF2065" s="264"/>
      <c r="AG2065" s="264"/>
    </row>
    <row r="2066" spans="1:33" ht="26.25">
      <c r="A2066" s="264"/>
      <c r="B2066" s="264"/>
      <c r="C2066" s="264"/>
      <c r="D2066" s="264"/>
      <c r="E2066" s="264"/>
      <c r="F2066" s="264"/>
      <c r="G2066" s="264"/>
      <c r="H2066" s="264"/>
      <c r="I2066" s="264"/>
      <c r="J2066" s="327"/>
      <c r="K2066" s="327"/>
      <c r="L2066" s="327"/>
      <c r="M2066" s="321"/>
      <c r="N2066" s="321"/>
      <c r="O2066" s="364"/>
      <c r="P2066" s="381"/>
      <c r="R2066" s="392"/>
      <c r="S2066" s="61" ph="1"/>
      <c r="U2066" s="229"/>
      <c r="V2066" s="264"/>
      <c r="W2066" s="199"/>
      <c r="X2066" s="264"/>
      <c r="Y2066" s="264"/>
      <c r="Z2066" s="386"/>
      <c r="AD2066" s="264"/>
      <c r="AE2066" s="264"/>
      <c r="AF2066" s="264"/>
      <c r="AG2066" s="264"/>
    </row>
    <row r="2067" spans="1:33" ht="26.25">
      <c r="A2067" s="264"/>
      <c r="B2067" s="264"/>
      <c r="C2067" s="264"/>
      <c r="D2067" s="264"/>
      <c r="E2067" s="264"/>
      <c r="F2067" s="264"/>
      <c r="G2067" s="264"/>
      <c r="H2067" s="264"/>
      <c r="I2067" s="264"/>
      <c r="J2067" s="327"/>
      <c r="K2067" s="327"/>
      <c r="L2067" s="327"/>
      <c r="M2067" s="321"/>
      <c r="N2067" s="321"/>
      <c r="O2067" s="364"/>
      <c r="P2067" s="381"/>
      <c r="R2067" s="392"/>
      <c r="S2067" s="61" ph="1"/>
      <c r="U2067" s="229"/>
      <c r="V2067" s="264"/>
      <c r="W2067" s="199"/>
      <c r="X2067" s="264"/>
      <c r="Y2067" s="264"/>
      <c r="Z2067" s="386"/>
      <c r="AD2067" s="264"/>
      <c r="AE2067" s="264"/>
      <c r="AF2067" s="264"/>
      <c r="AG2067" s="264"/>
    </row>
    <row r="2068" spans="1:33" ht="26.25">
      <c r="A2068" s="264"/>
      <c r="B2068" s="264"/>
      <c r="C2068" s="264"/>
      <c r="D2068" s="264"/>
      <c r="E2068" s="264"/>
      <c r="F2068" s="264"/>
      <c r="G2068" s="264"/>
      <c r="H2068" s="264"/>
      <c r="I2068" s="264"/>
      <c r="J2068" s="327"/>
      <c r="K2068" s="327"/>
      <c r="L2068" s="327"/>
      <c r="M2068" s="321"/>
      <c r="N2068" s="321"/>
      <c r="O2068" s="364"/>
      <c r="P2068" s="381"/>
      <c r="R2068" s="392"/>
      <c r="S2068" s="61" ph="1"/>
      <c r="U2068" s="229"/>
      <c r="V2068" s="264"/>
      <c r="W2068" s="199"/>
      <c r="X2068" s="264"/>
      <c r="Y2068" s="264"/>
      <c r="Z2068" s="386"/>
      <c r="AD2068" s="264"/>
      <c r="AE2068" s="264"/>
      <c r="AF2068" s="264"/>
      <c r="AG2068" s="264"/>
    </row>
    <row r="2069" spans="1:33" ht="26.25">
      <c r="A2069" s="264"/>
      <c r="B2069" s="264"/>
      <c r="C2069" s="264"/>
      <c r="D2069" s="264"/>
      <c r="E2069" s="264"/>
      <c r="F2069" s="264"/>
      <c r="G2069" s="264"/>
      <c r="H2069" s="264"/>
      <c r="I2069" s="264"/>
      <c r="J2069" s="327"/>
      <c r="K2069" s="327"/>
      <c r="L2069" s="327"/>
      <c r="M2069" s="321"/>
      <c r="N2069" s="321"/>
      <c r="O2069" s="364"/>
      <c r="P2069" s="381"/>
      <c r="R2069" s="392"/>
      <c r="S2069" s="61" ph="1"/>
      <c r="U2069" s="229"/>
      <c r="V2069" s="264"/>
      <c r="W2069" s="199"/>
      <c r="X2069" s="264"/>
      <c r="Y2069" s="264"/>
      <c r="Z2069" s="386"/>
      <c r="AD2069" s="264"/>
      <c r="AE2069" s="264"/>
      <c r="AF2069" s="264"/>
      <c r="AG2069" s="264"/>
    </row>
    <row r="2070" spans="1:33" ht="26.25">
      <c r="A2070" s="264"/>
      <c r="B2070" s="264"/>
      <c r="C2070" s="264"/>
      <c r="D2070" s="264"/>
      <c r="E2070" s="264"/>
      <c r="F2070" s="264"/>
      <c r="G2070" s="264"/>
      <c r="H2070" s="264"/>
      <c r="I2070" s="264"/>
      <c r="J2070" s="327"/>
      <c r="K2070" s="327"/>
      <c r="L2070" s="327"/>
      <c r="M2070" s="321"/>
      <c r="N2070" s="321"/>
      <c r="O2070" s="364"/>
      <c r="P2070" s="381"/>
      <c r="R2070" s="392"/>
      <c r="S2070" s="61" ph="1"/>
      <c r="U2070" s="229"/>
      <c r="V2070" s="264"/>
      <c r="W2070" s="199"/>
      <c r="X2070" s="264"/>
      <c r="Y2070" s="264"/>
      <c r="Z2070" s="386"/>
      <c r="AD2070" s="264"/>
      <c r="AE2070" s="264"/>
      <c r="AF2070" s="264"/>
      <c r="AG2070" s="264"/>
    </row>
    <row r="2071" spans="1:33" ht="26.25">
      <c r="A2071" s="264"/>
      <c r="B2071" s="264"/>
      <c r="C2071" s="264"/>
      <c r="D2071" s="264"/>
      <c r="E2071" s="264"/>
      <c r="F2071" s="264"/>
      <c r="G2071" s="264"/>
      <c r="H2071" s="264"/>
      <c r="I2071" s="264"/>
      <c r="J2071" s="327"/>
      <c r="K2071" s="327"/>
      <c r="L2071" s="327"/>
      <c r="M2071" s="321"/>
      <c r="N2071" s="321"/>
      <c r="O2071" s="364"/>
      <c r="P2071" s="381"/>
      <c r="R2071" s="392"/>
      <c r="S2071" s="61" ph="1"/>
      <c r="U2071" s="229"/>
      <c r="V2071" s="264"/>
      <c r="W2071" s="199"/>
      <c r="X2071" s="264"/>
      <c r="Y2071" s="264"/>
      <c r="Z2071" s="386"/>
      <c r="AD2071" s="264"/>
      <c r="AE2071" s="264"/>
      <c r="AF2071" s="264"/>
      <c r="AG2071" s="264"/>
    </row>
    <row r="2072" spans="1:33" ht="26.25">
      <c r="A2072" s="264"/>
      <c r="B2072" s="264"/>
      <c r="C2072" s="264"/>
      <c r="D2072" s="264"/>
      <c r="E2072" s="264"/>
      <c r="F2072" s="264"/>
      <c r="G2072" s="264"/>
      <c r="H2072" s="264"/>
      <c r="I2072" s="264"/>
      <c r="J2072" s="327"/>
      <c r="K2072" s="327"/>
      <c r="L2072" s="327"/>
      <c r="M2072" s="321"/>
      <c r="N2072" s="321"/>
      <c r="O2072" s="364"/>
      <c r="P2072" s="381"/>
      <c r="R2072" s="392"/>
      <c r="S2072" s="61" ph="1"/>
      <c r="U2072" s="229"/>
      <c r="V2072" s="264"/>
      <c r="W2072" s="199"/>
      <c r="X2072" s="264"/>
      <c r="Y2072" s="264"/>
      <c r="Z2072" s="386"/>
      <c r="AD2072" s="264"/>
      <c r="AE2072" s="264"/>
      <c r="AF2072" s="264"/>
      <c r="AG2072" s="264"/>
    </row>
    <row r="2073" spans="1:33" ht="26.25">
      <c r="A2073" s="264"/>
      <c r="B2073" s="264"/>
      <c r="C2073" s="264"/>
      <c r="D2073" s="264"/>
      <c r="E2073" s="264"/>
      <c r="F2073" s="264"/>
      <c r="G2073" s="264"/>
      <c r="H2073" s="264"/>
      <c r="I2073" s="264"/>
      <c r="J2073" s="327"/>
      <c r="K2073" s="327"/>
      <c r="L2073" s="327"/>
      <c r="M2073" s="321"/>
      <c r="N2073" s="321"/>
      <c r="O2073" s="364"/>
      <c r="P2073" s="381"/>
      <c r="R2073" s="392"/>
      <c r="S2073" s="61" ph="1"/>
      <c r="U2073" s="229"/>
      <c r="V2073" s="264"/>
      <c r="W2073" s="199"/>
      <c r="X2073" s="264"/>
      <c r="Y2073" s="264"/>
      <c r="Z2073" s="386"/>
      <c r="AD2073" s="264"/>
      <c r="AE2073" s="264"/>
      <c r="AF2073" s="264"/>
      <c r="AG2073" s="264"/>
    </row>
    <row r="2074" spans="1:33" ht="26.25">
      <c r="A2074" s="264"/>
      <c r="B2074" s="264"/>
      <c r="C2074" s="264"/>
      <c r="D2074" s="264"/>
      <c r="E2074" s="264"/>
      <c r="F2074" s="264"/>
      <c r="G2074" s="264"/>
      <c r="H2074" s="264"/>
      <c r="I2074" s="264"/>
      <c r="J2074" s="327"/>
      <c r="K2074" s="327"/>
      <c r="L2074" s="327"/>
      <c r="M2074" s="321"/>
      <c r="N2074" s="321"/>
      <c r="O2074" s="364"/>
      <c r="P2074" s="381"/>
      <c r="R2074" s="392"/>
      <c r="S2074" s="61" ph="1"/>
      <c r="U2074" s="229"/>
      <c r="V2074" s="264"/>
      <c r="W2074" s="199"/>
      <c r="X2074" s="264"/>
      <c r="Y2074" s="264"/>
      <c r="Z2074" s="386"/>
      <c r="AD2074" s="264"/>
      <c r="AE2074" s="264"/>
      <c r="AF2074" s="264"/>
      <c r="AG2074" s="264"/>
    </row>
    <row r="2075" spans="1:33" ht="26.25">
      <c r="A2075" s="264"/>
      <c r="B2075" s="264"/>
      <c r="C2075" s="264"/>
      <c r="D2075" s="264"/>
      <c r="E2075" s="264"/>
      <c r="F2075" s="264"/>
      <c r="G2075" s="264"/>
      <c r="H2075" s="264"/>
      <c r="I2075" s="264"/>
      <c r="J2075" s="327"/>
      <c r="K2075" s="327"/>
      <c r="L2075" s="327"/>
      <c r="M2075" s="321"/>
      <c r="N2075" s="321"/>
      <c r="O2075" s="364"/>
      <c r="P2075" s="381"/>
      <c r="R2075" s="392"/>
      <c r="S2075" s="61" ph="1"/>
      <c r="U2075" s="229"/>
      <c r="V2075" s="264"/>
      <c r="W2075" s="199"/>
      <c r="X2075" s="264"/>
      <c r="Y2075" s="264"/>
      <c r="Z2075" s="386"/>
      <c r="AD2075" s="264"/>
      <c r="AE2075" s="264"/>
      <c r="AF2075" s="264"/>
      <c r="AG2075" s="264"/>
    </row>
    <row r="2076" spans="1:33" ht="26.25">
      <c r="A2076" s="264"/>
      <c r="B2076" s="264"/>
      <c r="C2076" s="264"/>
      <c r="D2076" s="264"/>
      <c r="E2076" s="264"/>
      <c r="F2076" s="264"/>
      <c r="G2076" s="264"/>
      <c r="H2076" s="264"/>
      <c r="I2076" s="264"/>
      <c r="J2076" s="327"/>
      <c r="K2076" s="327"/>
      <c r="L2076" s="327"/>
      <c r="M2076" s="321"/>
      <c r="N2076" s="321"/>
      <c r="O2076" s="364"/>
      <c r="P2076" s="381"/>
      <c r="R2076" s="392"/>
      <c r="S2076" s="61" ph="1"/>
      <c r="U2076" s="229"/>
      <c r="V2076" s="264"/>
      <c r="W2076" s="199"/>
      <c r="X2076" s="264"/>
      <c r="Y2076" s="264"/>
      <c r="Z2076" s="386"/>
      <c r="AD2076" s="264"/>
      <c r="AE2076" s="264"/>
      <c r="AF2076" s="264"/>
      <c r="AG2076" s="264"/>
    </row>
    <row r="2077" spans="1:33" ht="26.25">
      <c r="A2077" s="264"/>
      <c r="B2077" s="264"/>
      <c r="C2077" s="264"/>
      <c r="D2077" s="264"/>
      <c r="E2077" s="264"/>
      <c r="F2077" s="264"/>
      <c r="G2077" s="264"/>
      <c r="H2077" s="264"/>
      <c r="I2077" s="264"/>
      <c r="J2077" s="327"/>
      <c r="K2077" s="327"/>
      <c r="L2077" s="327"/>
      <c r="M2077" s="321"/>
      <c r="N2077" s="321"/>
      <c r="O2077" s="364"/>
      <c r="P2077" s="381"/>
      <c r="R2077" s="392"/>
      <c r="S2077" s="61" ph="1"/>
      <c r="U2077" s="229"/>
      <c r="V2077" s="264"/>
      <c r="W2077" s="199"/>
      <c r="X2077" s="264"/>
      <c r="Y2077" s="264"/>
      <c r="Z2077" s="386"/>
      <c r="AD2077" s="264"/>
      <c r="AE2077" s="264"/>
      <c r="AF2077" s="264"/>
      <c r="AG2077" s="264"/>
    </row>
    <row r="2078" spans="1:33" ht="26.25">
      <c r="A2078" s="264"/>
      <c r="B2078" s="264"/>
      <c r="C2078" s="264"/>
      <c r="D2078" s="264"/>
      <c r="E2078" s="264"/>
      <c r="F2078" s="264"/>
      <c r="G2078" s="264"/>
      <c r="H2078" s="264"/>
      <c r="I2078" s="264"/>
      <c r="J2078" s="327"/>
      <c r="K2078" s="327"/>
      <c r="L2078" s="327"/>
      <c r="M2078" s="321"/>
      <c r="N2078" s="321"/>
      <c r="O2078" s="364"/>
      <c r="P2078" s="381"/>
      <c r="R2078" s="392"/>
      <c r="S2078" s="61" ph="1"/>
      <c r="U2078" s="229"/>
      <c r="V2078" s="264"/>
      <c r="W2078" s="199"/>
      <c r="X2078" s="264"/>
      <c r="Y2078" s="264"/>
      <c r="Z2078" s="386"/>
      <c r="AD2078" s="264"/>
      <c r="AE2078" s="264"/>
      <c r="AF2078" s="264"/>
      <c r="AG2078" s="264"/>
    </row>
    <row r="2079" spans="1:33" ht="26.25">
      <c r="A2079" s="264"/>
      <c r="B2079" s="264"/>
      <c r="C2079" s="264"/>
      <c r="D2079" s="264"/>
      <c r="E2079" s="264"/>
      <c r="F2079" s="264"/>
      <c r="G2079" s="264"/>
      <c r="H2079" s="264"/>
      <c r="I2079" s="264"/>
      <c r="J2079" s="327"/>
      <c r="K2079" s="327"/>
      <c r="L2079" s="327"/>
      <c r="M2079" s="321"/>
      <c r="N2079" s="321"/>
      <c r="O2079" s="364"/>
      <c r="P2079" s="381"/>
      <c r="R2079" s="392"/>
      <c r="S2079" s="61" ph="1"/>
      <c r="U2079" s="229"/>
      <c r="V2079" s="264"/>
      <c r="W2079" s="199"/>
      <c r="X2079" s="264"/>
      <c r="Y2079" s="264"/>
      <c r="Z2079" s="386"/>
      <c r="AD2079" s="264"/>
      <c r="AE2079" s="264"/>
      <c r="AF2079" s="264"/>
      <c r="AG2079" s="264"/>
    </row>
    <row r="2080" spans="1:33" ht="26.25">
      <c r="A2080" s="264"/>
      <c r="B2080" s="264"/>
      <c r="C2080" s="264"/>
      <c r="D2080" s="264"/>
      <c r="E2080" s="264"/>
      <c r="F2080" s="264"/>
      <c r="G2080" s="264"/>
      <c r="H2080" s="264"/>
      <c r="I2080" s="264"/>
      <c r="J2080" s="327"/>
      <c r="K2080" s="327"/>
      <c r="L2080" s="327"/>
      <c r="M2080" s="321"/>
      <c r="N2080" s="321"/>
      <c r="O2080" s="364"/>
      <c r="P2080" s="381"/>
      <c r="R2080" s="392"/>
      <c r="S2080" s="61" ph="1"/>
      <c r="U2080" s="229"/>
      <c r="V2080" s="264"/>
      <c r="W2080" s="199"/>
      <c r="X2080" s="264"/>
      <c r="Y2080" s="264"/>
      <c r="Z2080" s="386"/>
      <c r="AD2080" s="264"/>
      <c r="AE2080" s="264"/>
      <c r="AF2080" s="264"/>
      <c r="AG2080" s="264"/>
    </row>
    <row r="2081" spans="1:33" ht="26.25">
      <c r="A2081" s="264"/>
      <c r="B2081" s="264"/>
      <c r="C2081" s="264"/>
      <c r="D2081" s="264"/>
      <c r="E2081" s="264"/>
      <c r="F2081" s="264"/>
      <c r="G2081" s="264"/>
      <c r="H2081" s="264"/>
      <c r="I2081" s="264"/>
      <c r="J2081" s="327"/>
      <c r="K2081" s="327"/>
      <c r="L2081" s="327"/>
      <c r="M2081" s="321"/>
      <c r="N2081" s="321"/>
      <c r="O2081" s="364"/>
      <c r="P2081" s="381"/>
      <c r="R2081" s="392"/>
      <c r="S2081" s="61" ph="1"/>
      <c r="U2081" s="229"/>
      <c r="V2081" s="264"/>
      <c r="W2081" s="199"/>
      <c r="X2081" s="264"/>
      <c r="Y2081" s="264"/>
      <c r="Z2081" s="386"/>
      <c r="AD2081" s="264"/>
      <c r="AE2081" s="264"/>
      <c r="AF2081" s="264"/>
      <c r="AG2081" s="264"/>
    </row>
    <row r="2082" spans="1:33" ht="26.25">
      <c r="A2082" s="264"/>
      <c r="B2082" s="264"/>
      <c r="C2082" s="264"/>
      <c r="D2082" s="264"/>
      <c r="E2082" s="264"/>
      <c r="F2082" s="264"/>
      <c r="G2082" s="264"/>
      <c r="H2082" s="264"/>
      <c r="I2082" s="264"/>
      <c r="J2082" s="327"/>
      <c r="K2082" s="327"/>
      <c r="L2082" s="327"/>
      <c r="M2082" s="321"/>
      <c r="N2082" s="321"/>
      <c r="O2082" s="364"/>
      <c r="P2082" s="381"/>
      <c r="R2082" s="392"/>
      <c r="S2082" s="61" ph="1"/>
      <c r="U2082" s="229"/>
      <c r="V2082" s="264"/>
      <c r="W2082" s="199"/>
      <c r="X2082" s="264"/>
      <c r="Y2082" s="264"/>
      <c r="Z2082" s="386"/>
      <c r="AD2082" s="264"/>
      <c r="AE2082" s="264"/>
      <c r="AF2082" s="264"/>
      <c r="AG2082" s="264"/>
    </row>
    <row r="2083" spans="1:33" ht="26.25">
      <c r="A2083" s="264"/>
      <c r="B2083" s="264"/>
      <c r="C2083" s="264"/>
      <c r="D2083" s="264"/>
      <c r="E2083" s="264"/>
      <c r="F2083" s="264"/>
      <c r="G2083" s="264"/>
      <c r="H2083" s="264"/>
      <c r="I2083" s="264"/>
      <c r="J2083" s="327"/>
      <c r="K2083" s="327"/>
      <c r="L2083" s="327"/>
      <c r="M2083" s="321"/>
      <c r="N2083" s="321"/>
      <c r="O2083" s="364"/>
      <c r="P2083" s="381"/>
      <c r="R2083" s="392"/>
      <c r="S2083" s="61" ph="1"/>
      <c r="U2083" s="229"/>
      <c r="V2083" s="264"/>
      <c r="W2083" s="199"/>
      <c r="X2083" s="264"/>
      <c r="Y2083" s="264"/>
      <c r="Z2083" s="386"/>
      <c r="AD2083" s="264"/>
      <c r="AE2083" s="264"/>
      <c r="AF2083" s="264"/>
      <c r="AG2083" s="264"/>
    </row>
    <row r="2084" spans="1:33" ht="26.25">
      <c r="A2084" s="264"/>
      <c r="B2084" s="264"/>
      <c r="C2084" s="264"/>
      <c r="D2084" s="264"/>
      <c r="E2084" s="264"/>
      <c r="F2084" s="264"/>
      <c r="G2084" s="264"/>
      <c r="H2084" s="264"/>
      <c r="I2084" s="264"/>
      <c r="J2084" s="327"/>
      <c r="K2084" s="327"/>
      <c r="L2084" s="327"/>
      <c r="M2084" s="321"/>
      <c r="N2084" s="321"/>
      <c r="O2084" s="364"/>
      <c r="P2084" s="381"/>
      <c r="R2084" s="392"/>
      <c r="S2084" s="61" ph="1"/>
      <c r="U2084" s="229"/>
      <c r="V2084" s="264"/>
      <c r="W2084" s="199"/>
      <c r="X2084" s="264"/>
      <c r="Y2084" s="264"/>
      <c r="Z2084" s="386"/>
      <c r="AD2084" s="264"/>
      <c r="AE2084" s="264"/>
      <c r="AF2084" s="264"/>
      <c r="AG2084" s="264"/>
    </row>
    <row r="2085" spans="1:33" ht="26.25">
      <c r="A2085" s="264"/>
      <c r="B2085" s="264"/>
      <c r="C2085" s="264"/>
      <c r="D2085" s="264"/>
      <c r="E2085" s="264"/>
      <c r="F2085" s="264"/>
      <c r="G2085" s="264"/>
      <c r="H2085" s="264"/>
      <c r="I2085" s="264"/>
      <c r="J2085" s="327"/>
      <c r="K2085" s="327"/>
      <c r="L2085" s="327"/>
      <c r="M2085" s="321"/>
      <c r="N2085" s="321"/>
      <c r="O2085" s="364"/>
      <c r="P2085" s="381"/>
      <c r="R2085" s="392"/>
      <c r="S2085" s="61" ph="1"/>
      <c r="U2085" s="229"/>
      <c r="V2085" s="264"/>
      <c r="W2085" s="199"/>
      <c r="X2085" s="264"/>
      <c r="Y2085" s="264"/>
      <c r="Z2085" s="386"/>
      <c r="AD2085" s="264"/>
      <c r="AE2085" s="264"/>
      <c r="AF2085" s="264"/>
      <c r="AG2085" s="264"/>
    </row>
    <row r="2086" spans="1:33" ht="26.25">
      <c r="A2086" s="264"/>
      <c r="B2086" s="264"/>
      <c r="C2086" s="264"/>
      <c r="D2086" s="264"/>
      <c r="E2086" s="264"/>
      <c r="F2086" s="264"/>
      <c r="G2086" s="264"/>
      <c r="H2086" s="264"/>
      <c r="I2086" s="264"/>
      <c r="J2086" s="327"/>
      <c r="K2086" s="327"/>
      <c r="L2086" s="327"/>
      <c r="M2086" s="321"/>
      <c r="N2086" s="321"/>
      <c r="O2086" s="364"/>
      <c r="P2086" s="381"/>
      <c r="R2086" s="392"/>
      <c r="S2086" s="61" ph="1"/>
      <c r="U2086" s="229"/>
      <c r="V2086" s="264"/>
      <c r="W2086" s="199"/>
      <c r="X2086" s="264"/>
      <c r="Y2086" s="264"/>
      <c r="Z2086" s="386"/>
      <c r="AD2086" s="264"/>
      <c r="AE2086" s="264"/>
      <c r="AF2086" s="264"/>
      <c r="AG2086" s="264"/>
    </row>
    <row r="2087" spans="1:33" ht="26.25">
      <c r="A2087" s="264"/>
      <c r="B2087" s="264"/>
      <c r="C2087" s="264"/>
      <c r="D2087" s="264"/>
      <c r="E2087" s="264"/>
      <c r="F2087" s="264"/>
      <c r="G2087" s="264"/>
      <c r="H2087" s="264"/>
      <c r="I2087" s="264"/>
      <c r="J2087" s="327"/>
      <c r="K2087" s="327"/>
      <c r="L2087" s="327"/>
      <c r="M2087" s="321"/>
      <c r="N2087" s="321"/>
      <c r="O2087" s="364"/>
      <c r="P2087" s="381"/>
      <c r="R2087" s="392"/>
      <c r="S2087" s="61" ph="1"/>
      <c r="U2087" s="229"/>
      <c r="V2087" s="264"/>
      <c r="W2087" s="199"/>
      <c r="X2087" s="264"/>
      <c r="Y2087" s="264"/>
      <c r="Z2087" s="386"/>
      <c r="AD2087" s="264"/>
      <c r="AE2087" s="264"/>
      <c r="AF2087" s="264"/>
      <c r="AG2087" s="264"/>
    </row>
    <row r="2088" spans="1:33" ht="26.25">
      <c r="A2088" s="264"/>
      <c r="B2088" s="264"/>
      <c r="C2088" s="264"/>
      <c r="D2088" s="264"/>
      <c r="E2088" s="264"/>
      <c r="F2088" s="264"/>
      <c r="G2088" s="264"/>
      <c r="H2088" s="264"/>
      <c r="I2088" s="264"/>
      <c r="J2088" s="327"/>
      <c r="K2088" s="327"/>
      <c r="L2088" s="327"/>
      <c r="M2088" s="321"/>
      <c r="N2088" s="321"/>
      <c r="O2088" s="364"/>
      <c r="P2088" s="381"/>
      <c r="R2088" s="392"/>
      <c r="S2088" s="61" ph="1"/>
      <c r="U2088" s="229"/>
      <c r="V2088" s="264"/>
      <c r="W2088" s="199"/>
      <c r="X2088" s="264"/>
      <c r="Y2088" s="264"/>
      <c r="Z2088" s="386"/>
      <c r="AD2088" s="264"/>
      <c r="AE2088" s="264"/>
      <c r="AF2088" s="264"/>
      <c r="AG2088" s="264"/>
    </row>
    <row r="2089" spans="1:33" ht="26.25">
      <c r="A2089" s="264"/>
      <c r="B2089" s="264"/>
      <c r="C2089" s="264"/>
      <c r="D2089" s="264"/>
      <c r="E2089" s="264"/>
      <c r="F2089" s="264"/>
      <c r="G2089" s="264"/>
      <c r="H2089" s="264"/>
      <c r="I2089" s="264"/>
      <c r="J2089" s="327"/>
      <c r="K2089" s="327"/>
      <c r="L2089" s="327"/>
      <c r="M2089" s="321"/>
      <c r="N2089" s="321"/>
      <c r="O2089" s="364"/>
      <c r="P2089" s="381"/>
      <c r="R2089" s="392"/>
      <c r="S2089" s="61" ph="1"/>
      <c r="U2089" s="229"/>
      <c r="V2089" s="264"/>
      <c r="W2089" s="199"/>
      <c r="X2089" s="264"/>
      <c r="Y2089" s="264"/>
      <c r="Z2089" s="386"/>
      <c r="AD2089" s="264"/>
      <c r="AE2089" s="264"/>
      <c r="AF2089" s="264"/>
      <c r="AG2089" s="264"/>
    </row>
    <row r="2090" spans="1:33" ht="26.25">
      <c r="A2090" s="264"/>
      <c r="B2090" s="264"/>
      <c r="C2090" s="264"/>
      <c r="D2090" s="264"/>
      <c r="E2090" s="264"/>
      <c r="F2090" s="264"/>
      <c r="G2090" s="264"/>
      <c r="H2090" s="264"/>
      <c r="I2090" s="264"/>
      <c r="J2090" s="327"/>
      <c r="K2090" s="327"/>
      <c r="L2090" s="327"/>
      <c r="M2090" s="321"/>
      <c r="N2090" s="321"/>
      <c r="O2090" s="364"/>
      <c r="P2090" s="381"/>
      <c r="R2090" s="392"/>
      <c r="S2090" s="61" ph="1"/>
      <c r="U2090" s="229"/>
      <c r="V2090" s="264"/>
      <c r="W2090" s="199"/>
      <c r="X2090" s="264"/>
      <c r="Y2090" s="264"/>
      <c r="Z2090" s="386"/>
      <c r="AD2090" s="264"/>
      <c r="AE2090" s="264"/>
      <c r="AF2090" s="264"/>
      <c r="AG2090" s="264"/>
    </row>
    <row r="2091" spans="1:33" ht="26.25">
      <c r="A2091" s="264"/>
      <c r="B2091" s="264"/>
      <c r="C2091" s="264"/>
      <c r="D2091" s="264"/>
      <c r="E2091" s="264"/>
      <c r="F2091" s="264"/>
      <c r="G2091" s="264"/>
      <c r="H2091" s="264"/>
      <c r="I2091" s="264"/>
      <c r="J2091" s="327"/>
      <c r="K2091" s="327"/>
      <c r="L2091" s="327"/>
      <c r="M2091" s="321"/>
      <c r="N2091" s="321"/>
      <c r="O2091" s="364"/>
      <c r="P2091" s="381"/>
      <c r="R2091" s="392"/>
      <c r="S2091" s="61" ph="1"/>
      <c r="U2091" s="229"/>
      <c r="V2091" s="264"/>
      <c r="W2091" s="199"/>
      <c r="X2091" s="264"/>
      <c r="Y2091" s="264"/>
      <c r="Z2091" s="386"/>
      <c r="AD2091" s="264"/>
      <c r="AE2091" s="264"/>
      <c r="AF2091" s="264"/>
      <c r="AG2091" s="264"/>
    </row>
    <row r="2092" spans="1:33" ht="26.25">
      <c r="A2092" s="264"/>
      <c r="B2092" s="264"/>
      <c r="C2092" s="264"/>
      <c r="D2092" s="264"/>
      <c r="E2092" s="264"/>
      <c r="F2092" s="264"/>
      <c r="G2092" s="264"/>
      <c r="H2092" s="264"/>
      <c r="I2092" s="264"/>
      <c r="J2092" s="327"/>
      <c r="K2092" s="327"/>
      <c r="L2092" s="327"/>
      <c r="M2092" s="321"/>
      <c r="N2092" s="321"/>
      <c r="O2092" s="364"/>
      <c r="P2092" s="381"/>
      <c r="R2092" s="392"/>
      <c r="S2092" s="61" ph="1"/>
      <c r="U2092" s="229"/>
      <c r="V2092" s="264"/>
      <c r="W2092" s="199"/>
      <c r="X2092" s="264"/>
      <c r="Y2092" s="264"/>
      <c r="Z2092" s="386"/>
      <c r="AD2092" s="264"/>
      <c r="AE2092" s="264"/>
      <c r="AF2092" s="264"/>
      <c r="AG2092" s="264"/>
    </row>
    <row r="2093" spans="1:33" ht="26.25">
      <c r="A2093" s="264"/>
      <c r="B2093" s="264"/>
      <c r="C2093" s="264"/>
      <c r="D2093" s="264"/>
      <c r="E2093" s="264"/>
      <c r="F2093" s="264"/>
      <c r="G2093" s="264"/>
      <c r="H2093" s="264"/>
      <c r="I2093" s="264"/>
      <c r="J2093" s="327"/>
      <c r="K2093" s="327"/>
      <c r="L2093" s="327"/>
      <c r="M2093" s="321"/>
      <c r="N2093" s="321"/>
      <c r="O2093" s="364"/>
      <c r="P2093" s="381"/>
      <c r="R2093" s="392"/>
      <c r="S2093" s="61" ph="1"/>
      <c r="U2093" s="229"/>
      <c r="V2093" s="264"/>
      <c r="W2093" s="199"/>
      <c r="X2093" s="264"/>
      <c r="Y2093" s="264"/>
      <c r="Z2093" s="386"/>
      <c r="AD2093" s="264"/>
      <c r="AE2093" s="264"/>
      <c r="AF2093" s="264"/>
      <c r="AG2093" s="264"/>
    </row>
    <row r="2094" spans="1:33" ht="26.25">
      <c r="A2094" s="264"/>
      <c r="B2094" s="264"/>
      <c r="C2094" s="264"/>
      <c r="D2094" s="264"/>
      <c r="E2094" s="264"/>
      <c r="F2094" s="264"/>
      <c r="G2094" s="264"/>
      <c r="H2094" s="264"/>
      <c r="I2094" s="264"/>
      <c r="J2094" s="327"/>
      <c r="K2094" s="327"/>
      <c r="L2094" s="327"/>
      <c r="M2094" s="321"/>
      <c r="N2094" s="321"/>
      <c r="O2094" s="364"/>
      <c r="P2094" s="381"/>
      <c r="R2094" s="392"/>
      <c r="S2094" s="61" ph="1"/>
      <c r="U2094" s="229"/>
      <c r="V2094" s="264"/>
      <c r="W2094" s="199"/>
      <c r="X2094" s="264"/>
      <c r="Y2094" s="264"/>
      <c r="Z2094" s="386"/>
      <c r="AD2094" s="264"/>
      <c r="AE2094" s="264"/>
      <c r="AF2094" s="264"/>
      <c r="AG2094" s="264"/>
    </row>
    <row r="2095" spans="1:33" ht="26.25">
      <c r="A2095" s="264"/>
      <c r="B2095" s="264"/>
      <c r="C2095" s="264"/>
      <c r="D2095" s="264"/>
      <c r="E2095" s="264"/>
      <c r="F2095" s="264"/>
      <c r="G2095" s="264"/>
      <c r="H2095" s="264"/>
      <c r="I2095" s="264"/>
      <c r="J2095" s="327"/>
      <c r="K2095" s="327"/>
      <c r="L2095" s="327"/>
      <c r="M2095" s="321"/>
      <c r="N2095" s="321"/>
      <c r="O2095" s="364"/>
      <c r="P2095" s="381"/>
      <c r="R2095" s="392"/>
      <c r="S2095" s="61" ph="1"/>
      <c r="U2095" s="229"/>
      <c r="V2095" s="264"/>
      <c r="W2095" s="199"/>
      <c r="X2095" s="264"/>
      <c r="Y2095" s="264"/>
      <c r="Z2095" s="386"/>
      <c r="AD2095" s="264"/>
      <c r="AE2095" s="264"/>
      <c r="AF2095" s="264"/>
      <c r="AG2095" s="264"/>
    </row>
    <row r="2096" spans="1:33" ht="26.25">
      <c r="A2096" s="264"/>
      <c r="B2096" s="264"/>
      <c r="C2096" s="264"/>
      <c r="D2096" s="264"/>
      <c r="E2096" s="264"/>
      <c r="F2096" s="264"/>
      <c r="G2096" s="264"/>
      <c r="H2096" s="264"/>
      <c r="I2096" s="264"/>
      <c r="J2096" s="327"/>
      <c r="K2096" s="327"/>
      <c r="L2096" s="327"/>
      <c r="M2096" s="321"/>
      <c r="N2096" s="321"/>
      <c r="O2096" s="364"/>
      <c r="P2096" s="381"/>
      <c r="R2096" s="392"/>
      <c r="S2096" s="61" ph="1"/>
      <c r="U2096" s="229"/>
      <c r="V2096" s="264"/>
      <c r="W2096" s="199"/>
      <c r="X2096" s="264"/>
      <c r="Y2096" s="264"/>
      <c r="Z2096" s="386"/>
      <c r="AD2096" s="264"/>
      <c r="AE2096" s="264"/>
      <c r="AF2096" s="264"/>
      <c r="AG2096" s="264"/>
    </row>
    <row r="2097" spans="1:33" ht="26.25">
      <c r="A2097" s="264"/>
      <c r="B2097" s="264"/>
      <c r="C2097" s="264"/>
      <c r="D2097" s="264"/>
      <c r="E2097" s="264"/>
      <c r="F2097" s="264"/>
      <c r="G2097" s="264"/>
      <c r="H2097" s="264"/>
      <c r="I2097" s="264"/>
      <c r="J2097" s="327"/>
      <c r="K2097" s="327"/>
      <c r="L2097" s="327"/>
      <c r="M2097" s="321"/>
      <c r="N2097" s="321"/>
      <c r="O2097" s="364"/>
      <c r="P2097" s="381"/>
      <c r="R2097" s="392"/>
      <c r="S2097" s="61" ph="1"/>
      <c r="U2097" s="229"/>
      <c r="V2097" s="264"/>
      <c r="W2097" s="199"/>
      <c r="X2097" s="264"/>
      <c r="Y2097" s="264"/>
      <c r="Z2097" s="386"/>
      <c r="AD2097" s="264"/>
      <c r="AE2097" s="264"/>
      <c r="AF2097" s="264"/>
      <c r="AG2097" s="264"/>
    </row>
    <row r="2098" spans="1:33" ht="26.25">
      <c r="A2098" s="264"/>
      <c r="B2098" s="264"/>
      <c r="C2098" s="264"/>
      <c r="D2098" s="264"/>
      <c r="E2098" s="264"/>
      <c r="F2098" s="264"/>
      <c r="G2098" s="264"/>
      <c r="H2098" s="264"/>
      <c r="I2098" s="264"/>
      <c r="J2098" s="327"/>
      <c r="K2098" s="327"/>
      <c r="L2098" s="327"/>
      <c r="M2098" s="321"/>
      <c r="N2098" s="321"/>
      <c r="O2098" s="364"/>
      <c r="P2098" s="381"/>
      <c r="R2098" s="392"/>
      <c r="S2098" s="61" ph="1"/>
      <c r="U2098" s="229"/>
      <c r="V2098" s="264"/>
      <c r="W2098" s="199"/>
      <c r="X2098" s="264"/>
      <c r="Y2098" s="264"/>
      <c r="Z2098" s="386"/>
      <c r="AD2098" s="264"/>
      <c r="AE2098" s="264"/>
      <c r="AF2098" s="264"/>
      <c r="AG2098" s="264"/>
    </row>
    <row r="2099" spans="1:33" ht="26.25">
      <c r="A2099" s="264"/>
      <c r="B2099" s="264"/>
      <c r="C2099" s="264"/>
      <c r="D2099" s="264"/>
      <c r="E2099" s="264"/>
      <c r="F2099" s="264"/>
      <c r="G2099" s="264"/>
      <c r="H2099" s="264"/>
      <c r="I2099" s="264"/>
      <c r="J2099" s="327"/>
      <c r="K2099" s="327"/>
      <c r="L2099" s="327"/>
      <c r="M2099" s="321"/>
      <c r="N2099" s="321"/>
      <c r="O2099" s="364"/>
      <c r="P2099" s="381"/>
      <c r="R2099" s="392"/>
      <c r="S2099" s="61" ph="1"/>
      <c r="U2099" s="229"/>
      <c r="V2099" s="264"/>
      <c r="W2099" s="199"/>
      <c r="X2099" s="264"/>
      <c r="Y2099" s="264"/>
      <c r="Z2099" s="386"/>
      <c r="AD2099" s="264"/>
      <c r="AE2099" s="264"/>
      <c r="AF2099" s="264"/>
      <c r="AG2099" s="264"/>
    </row>
    <row r="2100" spans="1:33" ht="26.25">
      <c r="A2100" s="264"/>
      <c r="B2100" s="264"/>
      <c r="C2100" s="264"/>
      <c r="D2100" s="264"/>
      <c r="E2100" s="264"/>
      <c r="F2100" s="264"/>
      <c r="G2100" s="264"/>
      <c r="H2100" s="264"/>
      <c r="I2100" s="264"/>
      <c r="J2100" s="327"/>
      <c r="K2100" s="327"/>
      <c r="L2100" s="327"/>
      <c r="M2100" s="321"/>
      <c r="N2100" s="321"/>
      <c r="O2100" s="364"/>
      <c r="P2100" s="381"/>
      <c r="R2100" s="392"/>
      <c r="S2100" s="61" ph="1"/>
      <c r="U2100" s="229"/>
      <c r="V2100" s="264"/>
      <c r="W2100" s="199"/>
      <c r="X2100" s="264"/>
      <c r="Y2100" s="264"/>
      <c r="Z2100" s="386"/>
      <c r="AD2100" s="264"/>
      <c r="AE2100" s="264"/>
      <c r="AF2100" s="264"/>
      <c r="AG2100" s="264"/>
    </row>
    <row r="2101" spans="1:33" ht="26.25">
      <c r="A2101" s="264"/>
      <c r="B2101" s="264"/>
      <c r="C2101" s="264"/>
      <c r="D2101" s="264"/>
      <c r="E2101" s="264"/>
      <c r="F2101" s="264"/>
      <c r="G2101" s="264"/>
      <c r="H2101" s="264"/>
      <c r="I2101" s="264"/>
      <c r="J2101" s="327"/>
      <c r="K2101" s="327"/>
      <c r="L2101" s="327"/>
      <c r="M2101" s="321"/>
      <c r="N2101" s="321"/>
      <c r="O2101" s="364"/>
      <c r="P2101" s="381"/>
      <c r="R2101" s="392"/>
      <c r="S2101" s="61" ph="1"/>
      <c r="U2101" s="229"/>
      <c r="V2101" s="264"/>
      <c r="W2101" s="199"/>
      <c r="X2101" s="264"/>
      <c r="Y2101" s="264"/>
      <c r="Z2101" s="386"/>
      <c r="AD2101" s="264"/>
      <c r="AE2101" s="264"/>
      <c r="AF2101" s="264"/>
      <c r="AG2101" s="264"/>
    </row>
    <row r="2102" spans="1:33" ht="26.25">
      <c r="A2102" s="264"/>
      <c r="B2102" s="264"/>
      <c r="C2102" s="264"/>
      <c r="D2102" s="264"/>
      <c r="E2102" s="264"/>
      <c r="F2102" s="264"/>
      <c r="G2102" s="264"/>
      <c r="H2102" s="264"/>
      <c r="I2102" s="264"/>
      <c r="J2102" s="327"/>
      <c r="K2102" s="327"/>
      <c r="L2102" s="327"/>
      <c r="M2102" s="321"/>
      <c r="N2102" s="321"/>
      <c r="O2102" s="364"/>
      <c r="P2102" s="381"/>
      <c r="R2102" s="392"/>
      <c r="S2102" s="61" ph="1"/>
      <c r="U2102" s="229"/>
      <c r="V2102" s="264"/>
      <c r="W2102" s="199"/>
      <c r="X2102" s="264"/>
      <c r="Y2102" s="264"/>
      <c r="Z2102" s="386"/>
      <c r="AD2102" s="264"/>
      <c r="AE2102" s="264"/>
      <c r="AF2102" s="264"/>
      <c r="AG2102" s="264"/>
    </row>
    <row r="2103" spans="1:33" ht="26.25">
      <c r="A2103" s="264"/>
      <c r="B2103" s="264"/>
      <c r="C2103" s="264"/>
      <c r="D2103" s="264"/>
      <c r="E2103" s="264"/>
      <c r="F2103" s="264"/>
      <c r="G2103" s="264"/>
      <c r="H2103" s="264"/>
      <c r="I2103" s="264"/>
      <c r="J2103" s="327"/>
      <c r="K2103" s="327"/>
      <c r="L2103" s="327"/>
      <c r="M2103" s="321"/>
      <c r="N2103" s="321"/>
      <c r="O2103" s="364"/>
      <c r="P2103" s="381"/>
      <c r="R2103" s="392"/>
      <c r="S2103" s="61" ph="1"/>
      <c r="U2103" s="229"/>
      <c r="V2103" s="264"/>
      <c r="W2103" s="199"/>
      <c r="X2103" s="264"/>
      <c r="Y2103" s="264"/>
      <c r="Z2103" s="386"/>
      <c r="AD2103" s="264"/>
      <c r="AE2103" s="264"/>
      <c r="AF2103" s="264"/>
      <c r="AG2103" s="264"/>
    </row>
    <row r="2104" spans="1:33" ht="26.25">
      <c r="A2104" s="264"/>
      <c r="B2104" s="264"/>
      <c r="C2104" s="264"/>
      <c r="D2104" s="264"/>
      <c r="E2104" s="264"/>
      <c r="F2104" s="264"/>
      <c r="G2104" s="264"/>
      <c r="H2104" s="264"/>
      <c r="I2104" s="264"/>
      <c r="J2104" s="327"/>
      <c r="K2104" s="327"/>
      <c r="L2104" s="327"/>
      <c r="M2104" s="321"/>
      <c r="N2104" s="321"/>
      <c r="O2104" s="364"/>
      <c r="P2104" s="381"/>
      <c r="R2104" s="392"/>
      <c r="S2104" s="61" ph="1"/>
      <c r="U2104" s="229"/>
      <c r="V2104" s="264"/>
      <c r="W2104" s="199"/>
      <c r="X2104" s="264"/>
      <c r="Y2104" s="264"/>
      <c r="Z2104" s="386"/>
      <c r="AD2104" s="264"/>
      <c r="AE2104" s="264"/>
      <c r="AF2104" s="264"/>
      <c r="AG2104" s="264"/>
    </row>
    <row r="2105" spans="1:33" ht="26.25">
      <c r="A2105" s="264"/>
      <c r="B2105" s="264"/>
      <c r="C2105" s="264"/>
      <c r="D2105" s="264"/>
      <c r="E2105" s="264"/>
      <c r="F2105" s="264"/>
      <c r="G2105" s="264"/>
      <c r="H2105" s="264"/>
      <c r="I2105" s="264"/>
      <c r="J2105" s="327"/>
      <c r="K2105" s="327"/>
      <c r="L2105" s="327"/>
      <c r="M2105" s="321"/>
      <c r="N2105" s="321"/>
      <c r="O2105" s="364"/>
      <c r="P2105" s="381"/>
      <c r="R2105" s="392"/>
      <c r="S2105" s="61" ph="1"/>
      <c r="U2105" s="229"/>
      <c r="V2105" s="264"/>
      <c r="W2105" s="199"/>
      <c r="X2105" s="264"/>
      <c r="Y2105" s="264"/>
      <c r="Z2105" s="386"/>
      <c r="AD2105" s="264"/>
      <c r="AE2105" s="264"/>
      <c r="AF2105" s="264"/>
      <c r="AG2105" s="264"/>
    </row>
    <row r="2106" spans="1:33" ht="26.25">
      <c r="A2106" s="264"/>
      <c r="B2106" s="264"/>
      <c r="C2106" s="264"/>
      <c r="D2106" s="264"/>
      <c r="E2106" s="264"/>
      <c r="F2106" s="264"/>
      <c r="G2106" s="264"/>
      <c r="H2106" s="264"/>
      <c r="I2106" s="264"/>
      <c r="J2106" s="327"/>
      <c r="K2106" s="327"/>
      <c r="L2106" s="327"/>
      <c r="M2106" s="321"/>
      <c r="N2106" s="321"/>
      <c r="O2106" s="364"/>
      <c r="P2106" s="381"/>
      <c r="R2106" s="392"/>
      <c r="S2106" s="61" ph="1"/>
      <c r="U2106" s="229"/>
      <c r="V2106" s="264"/>
      <c r="W2106" s="199"/>
      <c r="X2106" s="264"/>
      <c r="Y2106" s="264"/>
      <c r="Z2106" s="386"/>
      <c r="AD2106" s="264"/>
      <c r="AE2106" s="264"/>
      <c r="AF2106" s="264"/>
      <c r="AG2106" s="264"/>
    </row>
    <row r="2107" spans="1:33" ht="26.25">
      <c r="A2107" s="264"/>
      <c r="B2107" s="264"/>
      <c r="C2107" s="264"/>
      <c r="D2107" s="264"/>
      <c r="E2107" s="264"/>
      <c r="F2107" s="264"/>
      <c r="G2107" s="264"/>
      <c r="H2107" s="264"/>
      <c r="I2107" s="264"/>
      <c r="J2107" s="327"/>
      <c r="K2107" s="327"/>
      <c r="L2107" s="327"/>
      <c r="M2107" s="321"/>
      <c r="N2107" s="321"/>
      <c r="O2107" s="364"/>
      <c r="P2107" s="381"/>
      <c r="R2107" s="392"/>
      <c r="S2107" s="61" ph="1"/>
      <c r="U2107" s="229"/>
      <c r="V2107" s="264"/>
      <c r="W2107" s="199"/>
      <c r="X2107" s="264"/>
      <c r="Y2107" s="264"/>
      <c r="Z2107" s="386"/>
      <c r="AD2107" s="264"/>
      <c r="AE2107" s="264"/>
      <c r="AF2107" s="264"/>
      <c r="AG2107" s="264"/>
    </row>
    <row r="2108" spans="1:33" ht="26.25">
      <c r="A2108" s="264"/>
      <c r="B2108" s="264"/>
      <c r="C2108" s="264"/>
      <c r="D2108" s="264"/>
      <c r="E2108" s="264"/>
      <c r="F2108" s="264"/>
      <c r="G2108" s="264"/>
      <c r="H2108" s="264"/>
      <c r="I2108" s="264"/>
      <c r="J2108" s="327"/>
      <c r="K2108" s="327"/>
      <c r="L2108" s="327"/>
      <c r="M2108" s="321"/>
      <c r="N2108" s="321"/>
      <c r="O2108" s="364"/>
      <c r="P2108" s="381"/>
      <c r="R2108" s="392"/>
      <c r="S2108" s="61" ph="1"/>
      <c r="U2108" s="229"/>
      <c r="V2108" s="264"/>
      <c r="W2108" s="199"/>
      <c r="X2108" s="264"/>
      <c r="Y2108" s="264"/>
      <c r="Z2108" s="386"/>
      <c r="AD2108" s="264"/>
      <c r="AE2108" s="264"/>
      <c r="AF2108" s="264"/>
      <c r="AG2108" s="264"/>
    </row>
    <row r="2109" spans="1:33" ht="26.25">
      <c r="A2109" s="264"/>
      <c r="B2109" s="264"/>
      <c r="C2109" s="264"/>
      <c r="D2109" s="264"/>
      <c r="E2109" s="264"/>
      <c r="F2109" s="264"/>
      <c r="G2109" s="264"/>
      <c r="H2109" s="264"/>
      <c r="I2109" s="264"/>
      <c r="J2109" s="327"/>
      <c r="K2109" s="327"/>
      <c r="L2109" s="327"/>
      <c r="M2109" s="321"/>
      <c r="N2109" s="321"/>
      <c r="O2109" s="364"/>
      <c r="P2109" s="381"/>
      <c r="R2109" s="392"/>
      <c r="S2109" s="61" ph="1"/>
      <c r="U2109" s="229"/>
      <c r="V2109" s="264"/>
      <c r="W2109" s="199"/>
      <c r="X2109" s="264"/>
      <c r="Y2109" s="264"/>
      <c r="Z2109" s="386"/>
      <c r="AD2109" s="264"/>
      <c r="AE2109" s="264"/>
      <c r="AF2109" s="264"/>
      <c r="AG2109" s="264"/>
    </row>
    <row r="2110" spans="1:33" ht="26.25">
      <c r="A2110" s="264"/>
      <c r="B2110" s="264"/>
      <c r="C2110" s="264"/>
      <c r="D2110" s="264"/>
      <c r="E2110" s="264"/>
      <c r="F2110" s="264"/>
      <c r="G2110" s="264"/>
      <c r="H2110" s="264"/>
      <c r="I2110" s="264"/>
      <c r="J2110" s="327"/>
      <c r="K2110" s="327"/>
      <c r="L2110" s="327"/>
      <c r="M2110" s="321"/>
      <c r="N2110" s="321"/>
      <c r="O2110" s="364"/>
      <c r="P2110" s="381"/>
      <c r="R2110" s="392"/>
      <c r="S2110" s="61" ph="1"/>
      <c r="U2110" s="229"/>
      <c r="V2110" s="264"/>
      <c r="W2110" s="199"/>
      <c r="X2110" s="264"/>
      <c r="Y2110" s="264"/>
      <c r="Z2110" s="386"/>
      <c r="AD2110" s="264"/>
      <c r="AE2110" s="264"/>
      <c r="AF2110" s="264"/>
      <c r="AG2110" s="264"/>
    </row>
    <row r="2111" spans="1:33" ht="26.25">
      <c r="A2111" s="264"/>
      <c r="B2111" s="264"/>
      <c r="C2111" s="264"/>
      <c r="D2111" s="264"/>
      <c r="E2111" s="264"/>
      <c r="F2111" s="264"/>
      <c r="G2111" s="264"/>
      <c r="H2111" s="264"/>
      <c r="I2111" s="264"/>
      <c r="J2111" s="327"/>
      <c r="K2111" s="327"/>
      <c r="L2111" s="327"/>
      <c r="M2111" s="321"/>
      <c r="N2111" s="321"/>
      <c r="O2111" s="364"/>
      <c r="P2111" s="381"/>
      <c r="R2111" s="392"/>
      <c r="S2111" s="61" ph="1"/>
      <c r="U2111" s="229"/>
      <c r="V2111" s="264"/>
      <c r="W2111" s="199"/>
      <c r="X2111" s="264"/>
      <c r="Y2111" s="264"/>
      <c r="Z2111" s="386"/>
      <c r="AD2111" s="264"/>
      <c r="AE2111" s="264"/>
      <c r="AF2111" s="264"/>
      <c r="AG2111" s="264"/>
    </row>
    <row r="2112" spans="1:33" ht="26.25">
      <c r="A2112" s="264"/>
      <c r="B2112" s="264"/>
      <c r="C2112" s="264"/>
      <c r="D2112" s="264"/>
      <c r="E2112" s="264"/>
      <c r="F2112" s="264"/>
      <c r="G2112" s="264"/>
      <c r="H2112" s="264"/>
      <c r="I2112" s="264"/>
      <c r="J2112" s="327"/>
      <c r="K2112" s="327"/>
      <c r="L2112" s="327"/>
      <c r="M2112" s="321"/>
      <c r="N2112" s="321"/>
      <c r="O2112" s="364"/>
      <c r="P2112" s="381"/>
      <c r="R2112" s="392"/>
      <c r="S2112" s="61" ph="1"/>
      <c r="U2112" s="229"/>
      <c r="V2112" s="264"/>
      <c r="W2112" s="199"/>
      <c r="X2112" s="264"/>
      <c r="Y2112" s="264"/>
      <c r="Z2112" s="386"/>
      <c r="AD2112" s="264"/>
      <c r="AE2112" s="264"/>
      <c r="AF2112" s="264"/>
      <c r="AG2112" s="264"/>
    </row>
    <row r="2113" spans="1:33" ht="26.25">
      <c r="A2113" s="264"/>
      <c r="B2113" s="264"/>
      <c r="C2113" s="264"/>
      <c r="D2113" s="264"/>
      <c r="E2113" s="264"/>
      <c r="F2113" s="264"/>
      <c r="G2113" s="264"/>
      <c r="H2113" s="264"/>
      <c r="I2113" s="264"/>
      <c r="J2113" s="327"/>
      <c r="K2113" s="327"/>
      <c r="L2113" s="327"/>
      <c r="M2113" s="321"/>
      <c r="N2113" s="321"/>
      <c r="O2113" s="364"/>
      <c r="P2113" s="381"/>
      <c r="R2113" s="392"/>
      <c r="S2113" s="61" ph="1"/>
      <c r="U2113" s="229"/>
      <c r="V2113" s="264"/>
      <c r="W2113" s="199"/>
      <c r="X2113" s="264"/>
      <c r="Y2113" s="264"/>
      <c r="Z2113" s="386"/>
      <c r="AD2113" s="264"/>
      <c r="AE2113" s="264"/>
      <c r="AF2113" s="264"/>
      <c r="AG2113" s="264"/>
    </row>
    <row r="2114" spans="1:33" ht="26.25">
      <c r="A2114" s="264"/>
      <c r="B2114" s="264"/>
      <c r="C2114" s="264"/>
      <c r="D2114" s="264"/>
      <c r="E2114" s="264"/>
      <c r="F2114" s="264"/>
      <c r="G2114" s="264"/>
      <c r="H2114" s="264"/>
      <c r="I2114" s="264"/>
      <c r="J2114" s="327"/>
      <c r="K2114" s="327"/>
      <c r="L2114" s="327"/>
      <c r="M2114" s="321"/>
      <c r="N2114" s="321"/>
      <c r="O2114" s="364"/>
      <c r="P2114" s="381"/>
      <c r="R2114" s="392"/>
      <c r="S2114" s="61" ph="1"/>
      <c r="U2114" s="229"/>
      <c r="V2114" s="264"/>
      <c r="W2114" s="199"/>
      <c r="X2114" s="264"/>
      <c r="Y2114" s="264"/>
      <c r="Z2114" s="386"/>
      <c r="AD2114" s="264"/>
      <c r="AE2114" s="264"/>
      <c r="AF2114" s="264"/>
      <c r="AG2114" s="264"/>
    </row>
    <row r="2115" spans="1:33" ht="26.25">
      <c r="A2115" s="264"/>
      <c r="B2115" s="264"/>
      <c r="C2115" s="264"/>
      <c r="D2115" s="264"/>
      <c r="E2115" s="264"/>
      <c r="F2115" s="264"/>
      <c r="G2115" s="264"/>
      <c r="H2115" s="264"/>
      <c r="I2115" s="264"/>
      <c r="J2115" s="327"/>
      <c r="K2115" s="327"/>
      <c r="L2115" s="327"/>
      <c r="M2115" s="321"/>
      <c r="N2115" s="321"/>
      <c r="O2115" s="364"/>
      <c r="P2115" s="381"/>
      <c r="R2115" s="392"/>
      <c r="S2115" s="61" ph="1"/>
      <c r="U2115" s="229"/>
      <c r="V2115" s="264"/>
      <c r="W2115" s="199"/>
      <c r="X2115" s="264"/>
      <c r="Y2115" s="264"/>
      <c r="Z2115" s="386"/>
      <c r="AD2115" s="264"/>
      <c r="AE2115" s="264"/>
      <c r="AF2115" s="264"/>
      <c r="AG2115" s="264"/>
    </row>
    <row r="2116" spans="1:33" ht="26.25">
      <c r="A2116" s="264"/>
      <c r="B2116" s="264"/>
      <c r="C2116" s="264"/>
      <c r="D2116" s="264"/>
      <c r="E2116" s="264"/>
      <c r="F2116" s="264"/>
      <c r="G2116" s="264"/>
      <c r="H2116" s="264"/>
      <c r="I2116" s="264"/>
      <c r="J2116" s="327"/>
      <c r="K2116" s="327"/>
      <c r="L2116" s="327"/>
      <c r="M2116" s="321"/>
      <c r="N2116" s="321"/>
      <c r="O2116" s="364"/>
      <c r="P2116" s="381"/>
      <c r="R2116" s="392"/>
      <c r="S2116" s="61" ph="1"/>
      <c r="U2116" s="229"/>
      <c r="V2116" s="264"/>
      <c r="W2116" s="199"/>
      <c r="X2116" s="264"/>
      <c r="Y2116" s="264"/>
      <c r="Z2116" s="386"/>
      <c r="AD2116" s="264"/>
      <c r="AE2116" s="264"/>
      <c r="AF2116" s="264"/>
      <c r="AG2116" s="264"/>
    </row>
    <row r="2117" spans="1:33" ht="26.25">
      <c r="A2117" s="264"/>
      <c r="B2117" s="264"/>
      <c r="C2117" s="264"/>
      <c r="D2117" s="264"/>
      <c r="E2117" s="264"/>
      <c r="F2117" s="264"/>
      <c r="G2117" s="264"/>
      <c r="H2117" s="264"/>
      <c r="I2117" s="264"/>
      <c r="J2117" s="327"/>
      <c r="K2117" s="327"/>
      <c r="L2117" s="327"/>
      <c r="M2117" s="321"/>
      <c r="N2117" s="321"/>
      <c r="O2117" s="364"/>
      <c r="P2117" s="381"/>
      <c r="R2117" s="392"/>
      <c r="S2117" s="61" ph="1"/>
      <c r="U2117" s="229"/>
      <c r="V2117" s="264"/>
      <c r="W2117" s="199"/>
      <c r="X2117" s="264"/>
      <c r="Y2117" s="264"/>
      <c r="Z2117" s="386"/>
      <c r="AD2117" s="264"/>
      <c r="AE2117" s="264"/>
      <c r="AF2117" s="264"/>
      <c r="AG2117" s="264"/>
    </row>
    <row r="2118" spans="1:33" ht="26.25">
      <c r="A2118" s="264"/>
      <c r="B2118" s="264"/>
      <c r="C2118" s="264"/>
      <c r="D2118" s="264"/>
      <c r="E2118" s="264"/>
      <c r="F2118" s="264"/>
      <c r="G2118" s="264"/>
      <c r="H2118" s="264"/>
      <c r="I2118" s="264"/>
      <c r="J2118" s="327"/>
      <c r="K2118" s="327"/>
      <c r="L2118" s="327"/>
      <c r="M2118" s="321"/>
      <c r="N2118" s="321"/>
      <c r="O2118" s="364"/>
      <c r="P2118" s="381"/>
      <c r="R2118" s="392"/>
      <c r="S2118" s="61" ph="1"/>
      <c r="U2118" s="229"/>
      <c r="V2118" s="264"/>
      <c r="W2118" s="199"/>
      <c r="X2118" s="264"/>
      <c r="Y2118" s="264"/>
      <c r="Z2118" s="386"/>
      <c r="AD2118" s="264"/>
      <c r="AE2118" s="264"/>
      <c r="AF2118" s="264"/>
      <c r="AG2118" s="264"/>
    </row>
    <row r="2119" spans="1:33" ht="26.25">
      <c r="A2119" s="264"/>
      <c r="B2119" s="264"/>
      <c r="C2119" s="264"/>
      <c r="D2119" s="264"/>
      <c r="E2119" s="264"/>
      <c r="F2119" s="264"/>
      <c r="G2119" s="264"/>
      <c r="H2119" s="264"/>
      <c r="I2119" s="264"/>
      <c r="J2119" s="327"/>
      <c r="K2119" s="327"/>
      <c r="L2119" s="327"/>
      <c r="M2119" s="321"/>
      <c r="N2119" s="321"/>
      <c r="O2119" s="364"/>
      <c r="P2119" s="381"/>
      <c r="R2119" s="392"/>
      <c r="S2119" s="61" ph="1"/>
      <c r="U2119" s="229"/>
      <c r="V2119" s="264"/>
      <c r="W2119" s="199"/>
      <c r="X2119" s="264"/>
      <c r="Y2119" s="264"/>
      <c r="Z2119" s="386"/>
      <c r="AD2119" s="264"/>
      <c r="AE2119" s="264"/>
      <c r="AF2119" s="264"/>
      <c r="AG2119" s="264"/>
    </row>
    <row r="2120" spans="1:33" ht="26.25">
      <c r="A2120" s="264"/>
      <c r="B2120" s="264"/>
      <c r="C2120" s="264"/>
      <c r="D2120" s="264"/>
      <c r="E2120" s="264"/>
      <c r="F2120" s="264"/>
      <c r="G2120" s="264"/>
      <c r="H2120" s="264"/>
      <c r="I2120" s="264"/>
      <c r="J2120" s="327"/>
      <c r="K2120" s="327"/>
      <c r="L2120" s="327"/>
      <c r="M2120" s="321"/>
      <c r="N2120" s="321"/>
      <c r="O2120" s="364"/>
      <c r="P2120" s="381"/>
      <c r="R2120" s="392"/>
      <c r="S2120" s="61" ph="1"/>
      <c r="U2120" s="229"/>
      <c r="V2120" s="264"/>
      <c r="W2120" s="199"/>
      <c r="X2120" s="264"/>
      <c r="Y2120" s="264"/>
      <c r="Z2120" s="386"/>
      <c r="AD2120" s="264"/>
      <c r="AE2120" s="264"/>
      <c r="AF2120" s="264"/>
      <c r="AG2120" s="264"/>
    </row>
    <row r="2121" spans="1:33" ht="26.25">
      <c r="A2121" s="264"/>
      <c r="B2121" s="264"/>
      <c r="C2121" s="264"/>
      <c r="D2121" s="264"/>
      <c r="E2121" s="264"/>
      <c r="F2121" s="264"/>
      <c r="G2121" s="264"/>
      <c r="H2121" s="264"/>
      <c r="I2121" s="264"/>
      <c r="J2121" s="327"/>
      <c r="K2121" s="327"/>
      <c r="L2121" s="327"/>
      <c r="M2121" s="321"/>
      <c r="N2121" s="321"/>
      <c r="O2121" s="364"/>
      <c r="P2121" s="381"/>
      <c r="R2121" s="392"/>
      <c r="S2121" s="61" ph="1"/>
      <c r="U2121" s="229"/>
      <c r="V2121" s="264"/>
      <c r="W2121" s="199"/>
      <c r="X2121" s="264"/>
      <c r="Y2121" s="264"/>
      <c r="Z2121" s="386"/>
      <c r="AD2121" s="264"/>
      <c r="AE2121" s="264"/>
      <c r="AF2121" s="264"/>
      <c r="AG2121" s="264"/>
    </row>
    <row r="2122" spans="1:33" ht="26.25">
      <c r="A2122" s="264"/>
      <c r="B2122" s="264"/>
      <c r="C2122" s="264"/>
      <c r="D2122" s="264"/>
      <c r="E2122" s="264"/>
      <c r="F2122" s="264"/>
      <c r="G2122" s="264"/>
      <c r="H2122" s="264"/>
      <c r="I2122" s="264"/>
      <c r="J2122" s="327"/>
      <c r="K2122" s="327"/>
      <c r="L2122" s="327"/>
      <c r="M2122" s="321"/>
      <c r="N2122" s="321"/>
      <c r="O2122" s="364"/>
      <c r="P2122" s="381"/>
      <c r="R2122" s="392"/>
      <c r="S2122" s="61" ph="1"/>
      <c r="U2122" s="229"/>
      <c r="V2122" s="264"/>
      <c r="W2122" s="199"/>
      <c r="X2122" s="264"/>
      <c r="Y2122" s="264"/>
      <c r="Z2122" s="386"/>
      <c r="AD2122" s="264"/>
      <c r="AE2122" s="264"/>
      <c r="AF2122" s="264"/>
      <c r="AG2122" s="264"/>
    </row>
    <row r="2123" spans="1:33" ht="26.25">
      <c r="A2123" s="264"/>
      <c r="B2123" s="264"/>
      <c r="C2123" s="264"/>
      <c r="D2123" s="264"/>
      <c r="E2123" s="264"/>
      <c r="F2123" s="264"/>
      <c r="G2123" s="264"/>
      <c r="H2123" s="264"/>
      <c r="I2123" s="264"/>
      <c r="J2123" s="327"/>
      <c r="K2123" s="327"/>
      <c r="L2123" s="327"/>
      <c r="M2123" s="321"/>
      <c r="N2123" s="321"/>
      <c r="O2123" s="364"/>
      <c r="P2123" s="381"/>
      <c r="R2123" s="392"/>
      <c r="S2123" s="61" ph="1"/>
      <c r="U2123" s="229"/>
      <c r="V2123" s="264"/>
      <c r="W2123" s="199"/>
      <c r="X2123" s="264"/>
      <c r="Y2123" s="264"/>
      <c r="Z2123" s="386"/>
      <c r="AD2123" s="264"/>
      <c r="AE2123" s="264"/>
      <c r="AF2123" s="264"/>
      <c r="AG2123" s="264"/>
    </row>
    <row r="2124" spans="1:33" ht="26.25">
      <c r="A2124" s="264"/>
      <c r="B2124" s="264"/>
      <c r="C2124" s="264"/>
      <c r="D2124" s="264"/>
      <c r="E2124" s="264"/>
      <c r="F2124" s="264"/>
      <c r="G2124" s="264"/>
      <c r="H2124" s="264"/>
      <c r="I2124" s="264"/>
      <c r="J2124" s="327"/>
      <c r="K2124" s="327"/>
      <c r="L2124" s="327"/>
      <c r="M2124" s="321"/>
      <c r="N2124" s="321"/>
      <c r="O2124" s="364"/>
      <c r="P2124" s="381"/>
      <c r="R2124" s="392"/>
      <c r="S2124" s="61" ph="1"/>
      <c r="U2124" s="229"/>
      <c r="V2124" s="264"/>
      <c r="W2124" s="199"/>
      <c r="X2124" s="264"/>
      <c r="Y2124" s="264"/>
      <c r="Z2124" s="386"/>
      <c r="AD2124" s="264"/>
      <c r="AE2124" s="264"/>
      <c r="AF2124" s="264"/>
      <c r="AG2124" s="264"/>
    </row>
    <row r="2125" spans="1:33" ht="26.25">
      <c r="A2125" s="264"/>
      <c r="B2125" s="264"/>
      <c r="C2125" s="264"/>
      <c r="D2125" s="264"/>
      <c r="E2125" s="264"/>
      <c r="F2125" s="264"/>
      <c r="G2125" s="264"/>
      <c r="H2125" s="264"/>
      <c r="I2125" s="264"/>
      <c r="J2125" s="327"/>
      <c r="K2125" s="327"/>
      <c r="L2125" s="327"/>
      <c r="M2125" s="321"/>
      <c r="N2125" s="321"/>
      <c r="O2125" s="364"/>
      <c r="P2125" s="381"/>
      <c r="R2125" s="392"/>
      <c r="S2125" s="61" ph="1"/>
      <c r="U2125" s="229"/>
      <c r="V2125" s="264"/>
      <c r="W2125" s="199"/>
      <c r="X2125" s="264"/>
      <c r="Y2125" s="264"/>
      <c r="Z2125" s="386"/>
      <c r="AD2125" s="264"/>
      <c r="AE2125" s="264"/>
      <c r="AF2125" s="264"/>
      <c r="AG2125" s="264"/>
    </row>
    <row r="2126" spans="1:33" ht="26.25">
      <c r="A2126" s="264"/>
      <c r="B2126" s="264"/>
      <c r="C2126" s="264"/>
      <c r="D2126" s="264"/>
      <c r="E2126" s="264"/>
      <c r="F2126" s="264"/>
      <c r="G2126" s="264"/>
      <c r="H2126" s="264"/>
      <c r="I2126" s="264"/>
      <c r="J2126" s="327"/>
      <c r="K2126" s="327"/>
      <c r="L2126" s="327"/>
      <c r="M2126" s="321"/>
      <c r="N2126" s="321"/>
      <c r="O2126" s="364"/>
      <c r="P2126" s="381"/>
      <c r="R2126" s="392"/>
      <c r="S2126" s="61" ph="1"/>
      <c r="U2126" s="229"/>
      <c r="V2126" s="264"/>
      <c r="W2126" s="199"/>
      <c r="X2126" s="264"/>
      <c r="Y2126" s="264"/>
      <c r="Z2126" s="386"/>
      <c r="AD2126" s="264"/>
      <c r="AE2126" s="264"/>
      <c r="AF2126" s="264"/>
      <c r="AG2126" s="264"/>
    </row>
    <row r="2127" spans="1:33" ht="26.25">
      <c r="A2127" s="264"/>
      <c r="B2127" s="264"/>
      <c r="C2127" s="264"/>
      <c r="D2127" s="264"/>
      <c r="E2127" s="264"/>
      <c r="F2127" s="264"/>
      <c r="G2127" s="264"/>
      <c r="H2127" s="264"/>
      <c r="I2127" s="264"/>
      <c r="J2127" s="327"/>
      <c r="K2127" s="327"/>
      <c r="L2127" s="327"/>
      <c r="M2127" s="321"/>
      <c r="N2127" s="321"/>
      <c r="O2127" s="364"/>
      <c r="P2127" s="381"/>
      <c r="R2127" s="392"/>
      <c r="S2127" s="61" ph="1"/>
      <c r="U2127" s="229"/>
      <c r="V2127" s="264"/>
      <c r="W2127" s="199"/>
      <c r="X2127" s="264"/>
      <c r="Y2127" s="264"/>
      <c r="Z2127" s="386"/>
      <c r="AD2127" s="264"/>
      <c r="AE2127" s="264"/>
      <c r="AF2127" s="264"/>
      <c r="AG2127" s="264"/>
    </row>
    <row r="2128" spans="1:33" ht="26.25">
      <c r="A2128" s="264"/>
      <c r="B2128" s="264"/>
      <c r="C2128" s="264"/>
      <c r="D2128" s="264"/>
      <c r="E2128" s="264"/>
      <c r="F2128" s="264"/>
      <c r="G2128" s="264"/>
      <c r="H2128" s="264"/>
      <c r="I2128" s="264"/>
      <c r="J2128" s="327"/>
      <c r="K2128" s="327"/>
      <c r="L2128" s="327"/>
      <c r="M2128" s="321"/>
      <c r="N2128" s="321"/>
      <c r="O2128" s="364"/>
      <c r="P2128" s="381"/>
      <c r="R2128" s="392"/>
      <c r="S2128" s="61" ph="1"/>
      <c r="U2128" s="229"/>
      <c r="V2128" s="264"/>
      <c r="W2128" s="199"/>
      <c r="X2128" s="264"/>
      <c r="Y2128" s="264"/>
      <c r="Z2128" s="386"/>
      <c r="AD2128" s="264"/>
      <c r="AE2128" s="264"/>
      <c r="AF2128" s="264"/>
      <c r="AG2128" s="264"/>
    </row>
    <row r="2129" spans="1:33" ht="26.25">
      <c r="A2129" s="264"/>
      <c r="B2129" s="264"/>
      <c r="C2129" s="264"/>
      <c r="D2129" s="264"/>
      <c r="E2129" s="264"/>
      <c r="F2129" s="264"/>
      <c r="G2129" s="264"/>
      <c r="H2129" s="264"/>
      <c r="I2129" s="264"/>
      <c r="J2129" s="327"/>
      <c r="K2129" s="327"/>
      <c r="L2129" s="327"/>
      <c r="M2129" s="321"/>
      <c r="N2129" s="321"/>
      <c r="O2129" s="364"/>
      <c r="P2129" s="381"/>
      <c r="R2129" s="392"/>
      <c r="S2129" s="61" ph="1"/>
      <c r="U2129" s="229"/>
      <c r="V2129" s="264"/>
      <c r="W2129" s="199"/>
      <c r="X2129" s="264"/>
      <c r="Y2129" s="264"/>
      <c r="Z2129" s="386"/>
      <c r="AD2129" s="264"/>
      <c r="AE2129" s="264"/>
      <c r="AF2129" s="264"/>
      <c r="AG2129" s="264"/>
    </row>
    <row r="2130" spans="1:33" ht="26.25">
      <c r="A2130" s="264"/>
      <c r="B2130" s="264"/>
      <c r="C2130" s="264"/>
      <c r="D2130" s="264"/>
      <c r="E2130" s="264"/>
      <c r="F2130" s="264"/>
      <c r="G2130" s="264"/>
      <c r="H2130" s="264"/>
      <c r="I2130" s="264"/>
      <c r="J2130" s="327"/>
      <c r="K2130" s="327"/>
      <c r="L2130" s="327"/>
      <c r="M2130" s="321"/>
      <c r="N2130" s="321"/>
      <c r="O2130" s="364"/>
      <c r="P2130" s="381"/>
      <c r="R2130" s="392"/>
      <c r="S2130" s="61" ph="1"/>
      <c r="U2130" s="229"/>
      <c r="V2130" s="264"/>
      <c r="W2130" s="199"/>
      <c r="X2130" s="264"/>
      <c r="Y2130" s="264"/>
      <c r="Z2130" s="386"/>
      <c r="AD2130" s="264"/>
      <c r="AE2130" s="264"/>
      <c r="AF2130" s="264"/>
      <c r="AG2130" s="264"/>
    </row>
    <row r="2131" spans="1:33" ht="26.25">
      <c r="A2131" s="264"/>
      <c r="B2131" s="264"/>
      <c r="C2131" s="264"/>
      <c r="D2131" s="264"/>
      <c r="E2131" s="264"/>
      <c r="F2131" s="264"/>
      <c r="G2131" s="264"/>
      <c r="H2131" s="264"/>
      <c r="I2131" s="264"/>
      <c r="J2131" s="327"/>
      <c r="K2131" s="327"/>
      <c r="L2131" s="327"/>
      <c r="M2131" s="321"/>
      <c r="N2131" s="321"/>
      <c r="O2131" s="364"/>
      <c r="P2131" s="381"/>
      <c r="R2131" s="392"/>
      <c r="S2131" s="61" ph="1"/>
      <c r="U2131" s="229"/>
      <c r="V2131" s="264"/>
      <c r="W2131" s="199"/>
      <c r="X2131" s="264"/>
      <c r="Y2131" s="264"/>
      <c r="Z2131" s="386"/>
      <c r="AD2131" s="264"/>
      <c r="AE2131" s="264"/>
      <c r="AF2131" s="264"/>
      <c r="AG2131" s="264"/>
    </row>
    <row r="2132" spans="1:33" ht="26.25">
      <c r="A2132" s="264"/>
      <c r="B2132" s="264"/>
      <c r="C2132" s="264"/>
      <c r="D2132" s="264"/>
      <c r="E2132" s="264"/>
      <c r="F2132" s="264"/>
      <c r="G2132" s="264"/>
      <c r="H2132" s="264"/>
      <c r="I2132" s="264"/>
      <c r="J2132" s="327"/>
      <c r="K2132" s="327"/>
      <c r="L2132" s="327"/>
      <c r="M2132" s="321"/>
      <c r="N2132" s="321"/>
      <c r="O2132" s="364"/>
      <c r="P2132" s="381"/>
      <c r="R2132" s="392"/>
      <c r="S2132" s="61" ph="1"/>
      <c r="U2132" s="229"/>
      <c r="V2132" s="264"/>
      <c r="W2132" s="199"/>
      <c r="X2132" s="264"/>
      <c r="Y2132" s="264"/>
      <c r="Z2132" s="386"/>
      <c r="AD2132" s="264"/>
      <c r="AE2132" s="264"/>
      <c r="AF2132" s="264"/>
      <c r="AG2132" s="264"/>
    </row>
    <row r="2133" spans="1:33" ht="26.25">
      <c r="A2133" s="264"/>
      <c r="B2133" s="264"/>
      <c r="C2133" s="264"/>
      <c r="D2133" s="264"/>
      <c r="E2133" s="264"/>
      <c r="F2133" s="264"/>
      <c r="G2133" s="264"/>
      <c r="H2133" s="264"/>
      <c r="I2133" s="264"/>
      <c r="J2133" s="327"/>
      <c r="K2133" s="327"/>
      <c r="L2133" s="327"/>
      <c r="M2133" s="321"/>
      <c r="N2133" s="321"/>
      <c r="O2133" s="364"/>
      <c r="P2133" s="381"/>
      <c r="R2133" s="392"/>
      <c r="S2133" s="61" ph="1"/>
      <c r="U2133" s="229"/>
      <c r="V2133" s="264"/>
      <c r="W2133" s="199"/>
      <c r="X2133" s="264"/>
      <c r="Y2133" s="264"/>
      <c r="Z2133" s="386"/>
      <c r="AD2133" s="264"/>
      <c r="AE2133" s="264"/>
      <c r="AF2133" s="264"/>
      <c r="AG2133" s="264"/>
    </row>
    <row r="2134" spans="1:33" ht="26.25">
      <c r="A2134" s="264"/>
      <c r="B2134" s="264"/>
      <c r="C2134" s="264"/>
      <c r="D2134" s="264"/>
      <c r="E2134" s="264"/>
      <c r="F2134" s="264"/>
      <c r="G2134" s="264"/>
      <c r="H2134" s="264"/>
      <c r="I2134" s="264"/>
      <c r="J2134" s="327"/>
      <c r="K2134" s="327"/>
      <c r="L2134" s="327"/>
      <c r="M2134" s="321"/>
      <c r="N2134" s="321"/>
      <c r="O2134" s="364"/>
      <c r="P2134" s="381"/>
      <c r="R2134" s="392"/>
      <c r="S2134" s="61" ph="1"/>
      <c r="U2134" s="229"/>
      <c r="V2134" s="264"/>
      <c r="W2134" s="199"/>
      <c r="X2134" s="264"/>
      <c r="Y2134" s="264"/>
      <c r="Z2134" s="386"/>
      <c r="AD2134" s="264"/>
      <c r="AE2134" s="264"/>
      <c r="AF2134" s="264"/>
      <c r="AG2134" s="264"/>
    </row>
    <row r="2135" spans="1:33" ht="26.25">
      <c r="A2135" s="264"/>
      <c r="B2135" s="264"/>
      <c r="C2135" s="264"/>
      <c r="D2135" s="264"/>
      <c r="E2135" s="264"/>
      <c r="F2135" s="264"/>
      <c r="G2135" s="264"/>
      <c r="H2135" s="264"/>
      <c r="I2135" s="264"/>
      <c r="J2135" s="327"/>
      <c r="K2135" s="327"/>
      <c r="L2135" s="327"/>
      <c r="M2135" s="321"/>
      <c r="N2135" s="321"/>
      <c r="O2135" s="364"/>
      <c r="P2135" s="381"/>
      <c r="R2135" s="392"/>
      <c r="S2135" s="61" ph="1"/>
      <c r="U2135" s="229"/>
      <c r="V2135" s="264"/>
      <c r="W2135" s="199"/>
      <c r="X2135" s="264"/>
      <c r="Y2135" s="264"/>
      <c r="Z2135" s="386"/>
      <c r="AD2135" s="264"/>
      <c r="AE2135" s="264"/>
      <c r="AF2135" s="264"/>
      <c r="AG2135" s="264"/>
    </row>
    <row r="2136" spans="1:33" ht="26.25">
      <c r="A2136" s="264"/>
      <c r="B2136" s="264"/>
      <c r="C2136" s="264"/>
      <c r="D2136" s="264"/>
      <c r="E2136" s="264"/>
      <c r="F2136" s="264"/>
      <c r="G2136" s="264"/>
      <c r="H2136" s="264"/>
      <c r="I2136" s="264"/>
      <c r="J2136" s="327"/>
      <c r="K2136" s="327"/>
      <c r="L2136" s="327"/>
      <c r="M2136" s="321"/>
      <c r="N2136" s="321"/>
      <c r="O2136" s="364"/>
      <c r="P2136" s="381"/>
      <c r="R2136" s="392"/>
      <c r="S2136" s="61" ph="1"/>
      <c r="U2136" s="229"/>
      <c r="V2136" s="264"/>
      <c r="W2136" s="199"/>
      <c r="X2136" s="264"/>
      <c r="Y2136" s="264"/>
      <c r="Z2136" s="386"/>
      <c r="AD2136" s="264"/>
      <c r="AE2136" s="264"/>
      <c r="AF2136" s="264"/>
      <c r="AG2136" s="264"/>
    </row>
    <row r="2137" spans="1:33" ht="26.25">
      <c r="A2137" s="264"/>
      <c r="B2137" s="264"/>
      <c r="C2137" s="264"/>
      <c r="D2137" s="264"/>
      <c r="E2137" s="264"/>
      <c r="F2137" s="264"/>
      <c r="G2137" s="264"/>
      <c r="H2137" s="264"/>
      <c r="I2137" s="264"/>
      <c r="J2137" s="327"/>
      <c r="K2137" s="327"/>
      <c r="L2137" s="327"/>
      <c r="M2137" s="321"/>
      <c r="N2137" s="321"/>
      <c r="O2137" s="364"/>
      <c r="P2137" s="381"/>
      <c r="R2137" s="392"/>
      <c r="S2137" s="61" ph="1"/>
      <c r="U2137" s="229"/>
      <c r="V2137" s="264"/>
      <c r="W2137" s="199"/>
      <c r="X2137" s="264"/>
      <c r="Y2137" s="264"/>
      <c r="Z2137" s="386"/>
      <c r="AD2137" s="264"/>
      <c r="AE2137" s="264"/>
      <c r="AF2137" s="264"/>
      <c r="AG2137" s="264"/>
    </row>
    <row r="2138" spans="1:33" ht="26.25">
      <c r="A2138" s="264"/>
      <c r="B2138" s="264"/>
      <c r="C2138" s="264"/>
      <c r="D2138" s="264"/>
      <c r="E2138" s="264"/>
      <c r="F2138" s="264"/>
      <c r="G2138" s="264"/>
      <c r="H2138" s="264"/>
      <c r="I2138" s="264"/>
      <c r="J2138" s="327"/>
      <c r="K2138" s="327"/>
      <c r="L2138" s="327"/>
      <c r="M2138" s="321"/>
      <c r="N2138" s="321"/>
      <c r="O2138" s="364"/>
      <c r="P2138" s="381"/>
      <c r="R2138" s="392"/>
      <c r="S2138" s="61" ph="1"/>
      <c r="U2138" s="229"/>
      <c r="V2138" s="264"/>
      <c r="W2138" s="199"/>
      <c r="X2138" s="264"/>
      <c r="Y2138" s="264"/>
      <c r="Z2138" s="386"/>
      <c r="AD2138" s="264"/>
      <c r="AE2138" s="264"/>
      <c r="AF2138" s="264"/>
      <c r="AG2138" s="264"/>
    </row>
    <row r="2139" spans="1:33" ht="26.25">
      <c r="A2139" s="264"/>
      <c r="B2139" s="264"/>
      <c r="C2139" s="264"/>
      <c r="D2139" s="264"/>
      <c r="E2139" s="264"/>
      <c r="F2139" s="264"/>
      <c r="G2139" s="264"/>
      <c r="H2139" s="264"/>
      <c r="I2139" s="264"/>
      <c r="J2139" s="327"/>
      <c r="K2139" s="327"/>
      <c r="L2139" s="327"/>
      <c r="M2139" s="321"/>
      <c r="N2139" s="321"/>
      <c r="O2139" s="364"/>
      <c r="P2139" s="381"/>
      <c r="R2139" s="392"/>
      <c r="S2139" s="61" ph="1"/>
      <c r="U2139" s="229"/>
      <c r="V2139" s="264"/>
      <c r="W2139" s="199"/>
      <c r="X2139" s="264"/>
      <c r="Y2139" s="264"/>
      <c r="Z2139" s="386"/>
      <c r="AD2139" s="264"/>
      <c r="AE2139" s="264"/>
      <c r="AF2139" s="264"/>
      <c r="AG2139" s="264"/>
    </row>
    <row r="2140" spans="1:33" ht="26.25">
      <c r="A2140" s="264"/>
      <c r="B2140" s="264"/>
      <c r="C2140" s="264"/>
      <c r="D2140" s="264"/>
      <c r="E2140" s="264"/>
      <c r="F2140" s="264"/>
      <c r="G2140" s="264"/>
      <c r="H2140" s="264"/>
      <c r="I2140" s="264"/>
      <c r="J2140" s="327"/>
      <c r="K2140" s="327"/>
      <c r="L2140" s="327"/>
      <c r="M2140" s="321"/>
      <c r="N2140" s="321"/>
      <c r="O2140" s="364"/>
      <c r="P2140" s="381"/>
      <c r="R2140" s="392"/>
      <c r="S2140" s="61" ph="1"/>
      <c r="U2140" s="229"/>
      <c r="V2140" s="264"/>
      <c r="W2140" s="199"/>
      <c r="X2140" s="264"/>
      <c r="Y2140" s="264"/>
      <c r="Z2140" s="386"/>
      <c r="AD2140" s="264"/>
      <c r="AE2140" s="264"/>
      <c r="AF2140" s="264"/>
      <c r="AG2140" s="264"/>
    </row>
    <row r="2141" spans="1:33" ht="26.25">
      <c r="A2141" s="264"/>
      <c r="B2141" s="264"/>
      <c r="C2141" s="264"/>
      <c r="D2141" s="264"/>
      <c r="E2141" s="264"/>
      <c r="F2141" s="264"/>
      <c r="G2141" s="264"/>
      <c r="H2141" s="264"/>
      <c r="I2141" s="264"/>
      <c r="J2141" s="327"/>
      <c r="K2141" s="327"/>
      <c r="L2141" s="327"/>
      <c r="M2141" s="321"/>
      <c r="N2141" s="321"/>
      <c r="O2141" s="364"/>
      <c r="P2141" s="381"/>
      <c r="R2141" s="392"/>
      <c r="S2141" s="61" ph="1"/>
      <c r="U2141" s="229"/>
      <c r="V2141" s="264"/>
      <c r="W2141" s="199"/>
      <c r="X2141" s="264"/>
      <c r="Y2141" s="264"/>
      <c r="Z2141" s="386"/>
      <c r="AD2141" s="264"/>
      <c r="AE2141" s="264"/>
      <c r="AF2141" s="264"/>
      <c r="AG2141" s="264"/>
    </row>
    <row r="2142" spans="1:33" ht="26.25">
      <c r="A2142" s="264"/>
      <c r="B2142" s="264"/>
      <c r="C2142" s="264"/>
      <c r="D2142" s="264"/>
      <c r="E2142" s="264"/>
      <c r="F2142" s="264"/>
      <c r="G2142" s="264"/>
      <c r="H2142" s="264"/>
      <c r="I2142" s="264"/>
      <c r="J2142" s="327"/>
      <c r="K2142" s="327"/>
      <c r="L2142" s="327"/>
      <c r="M2142" s="321"/>
      <c r="N2142" s="321"/>
      <c r="O2142" s="364"/>
      <c r="P2142" s="381"/>
      <c r="R2142" s="392"/>
      <c r="S2142" s="61" ph="1"/>
      <c r="U2142" s="229"/>
      <c r="V2142" s="264"/>
      <c r="W2142" s="199"/>
      <c r="X2142" s="264"/>
      <c r="Y2142" s="264"/>
      <c r="Z2142" s="386"/>
      <c r="AD2142" s="264"/>
      <c r="AE2142" s="264"/>
      <c r="AF2142" s="264"/>
      <c r="AG2142" s="264"/>
    </row>
    <row r="2143" spans="1:33" ht="26.25">
      <c r="A2143" s="264"/>
      <c r="B2143" s="264"/>
      <c r="C2143" s="264"/>
      <c r="D2143" s="264"/>
      <c r="E2143" s="264"/>
      <c r="F2143" s="264"/>
      <c r="G2143" s="264"/>
      <c r="H2143" s="264"/>
      <c r="I2143" s="264"/>
      <c r="J2143" s="327"/>
      <c r="K2143" s="327"/>
      <c r="L2143" s="327"/>
      <c r="M2143" s="321"/>
      <c r="N2143" s="321"/>
      <c r="O2143" s="364"/>
      <c r="P2143" s="381"/>
      <c r="R2143" s="392"/>
      <c r="S2143" s="61" ph="1"/>
      <c r="U2143" s="229"/>
      <c r="V2143" s="264"/>
      <c r="W2143" s="199"/>
      <c r="X2143" s="264"/>
      <c r="Y2143" s="264"/>
      <c r="Z2143" s="386"/>
      <c r="AD2143" s="264"/>
      <c r="AE2143" s="264"/>
      <c r="AF2143" s="264"/>
      <c r="AG2143" s="264"/>
    </row>
    <row r="2144" spans="1:33" ht="26.25">
      <c r="A2144" s="264"/>
      <c r="B2144" s="264"/>
      <c r="C2144" s="264"/>
      <c r="D2144" s="264"/>
      <c r="E2144" s="264"/>
      <c r="F2144" s="264"/>
      <c r="G2144" s="264"/>
      <c r="H2144" s="264"/>
      <c r="I2144" s="264"/>
      <c r="J2144" s="327"/>
      <c r="K2144" s="327"/>
      <c r="L2144" s="327"/>
      <c r="M2144" s="321"/>
      <c r="N2144" s="321"/>
      <c r="O2144" s="364"/>
      <c r="P2144" s="381"/>
      <c r="R2144" s="392"/>
      <c r="S2144" s="61" ph="1"/>
      <c r="U2144" s="229"/>
      <c r="V2144" s="264"/>
      <c r="W2144" s="199"/>
      <c r="X2144" s="264"/>
      <c r="Y2144" s="264"/>
      <c r="Z2144" s="386"/>
      <c r="AD2144" s="264"/>
      <c r="AE2144" s="264"/>
      <c r="AF2144" s="264"/>
      <c r="AG2144" s="264"/>
    </row>
    <row r="2145" spans="1:33" ht="26.25">
      <c r="A2145" s="264"/>
      <c r="B2145" s="264"/>
      <c r="C2145" s="264"/>
      <c r="D2145" s="264"/>
      <c r="E2145" s="264"/>
      <c r="F2145" s="264"/>
      <c r="G2145" s="264"/>
      <c r="H2145" s="264"/>
      <c r="I2145" s="264"/>
      <c r="J2145" s="327"/>
      <c r="K2145" s="327"/>
      <c r="L2145" s="327"/>
      <c r="M2145" s="321"/>
      <c r="N2145" s="321"/>
      <c r="O2145" s="364"/>
      <c r="P2145" s="381"/>
      <c r="R2145" s="392"/>
      <c r="S2145" s="61" ph="1"/>
      <c r="U2145" s="229"/>
      <c r="V2145" s="264"/>
      <c r="W2145" s="199"/>
      <c r="X2145" s="264"/>
      <c r="Y2145" s="264"/>
      <c r="Z2145" s="386"/>
      <c r="AD2145" s="264"/>
      <c r="AE2145" s="264"/>
      <c r="AF2145" s="264"/>
      <c r="AG2145" s="264"/>
    </row>
    <row r="2146" spans="1:33" ht="26.25">
      <c r="A2146" s="264"/>
      <c r="B2146" s="264"/>
      <c r="C2146" s="264"/>
      <c r="D2146" s="264"/>
      <c r="E2146" s="264"/>
      <c r="F2146" s="264"/>
      <c r="G2146" s="264"/>
      <c r="H2146" s="264"/>
      <c r="I2146" s="264"/>
      <c r="J2146" s="327"/>
      <c r="K2146" s="327"/>
      <c r="L2146" s="327"/>
      <c r="M2146" s="321"/>
      <c r="N2146" s="321"/>
      <c r="O2146" s="364"/>
      <c r="P2146" s="381"/>
      <c r="R2146" s="392"/>
      <c r="S2146" s="61" ph="1"/>
      <c r="U2146" s="229"/>
      <c r="V2146" s="264"/>
      <c r="W2146" s="199"/>
      <c r="X2146" s="264"/>
      <c r="Y2146" s="264"/>
      <c r="Z2146" s="386"/>
      <c r="AD2146" s="264"/>
      <c r="AE2146" s="264"/>
      <c r="AF2146" s="264"/>
      <c r="AG2146" s="264"/>
    </row>
    <row r="2147" spans="1:33" ht="26.25">
      <c r="A2147" s="264"/>
      <c r="B2147" s="264"/>
      <c r="C2147" s="264"/>
      <c r="D2147" s="264"/>
      <c r="E2147" s="264"/>
      <c r="F2147" s="264"/>
      <c r="G2147" s="264"/>
      <c r="H2147" s="264"/>
      <c r="I2147" s="264"/>
      <c r="J2147" s="327"/>
      <c r="K2147" s="327"/>
      <c r="L2147" s="327"/>
      <c r="M2147" s="321"/>
      <c r="N2147" s="321"/>
      <c r="O2147" s="364"/>
      <c r="P2147" s="381"/>
      <c r="R2147" s="392"/>
      <c r="S2147" s="61" ph="1"/>
      <c r="U2147" s="229"/>
      <c r="V2147" s="264"/>
      <c r="W2147" s="199"/>
      <c r="X2147" s="264"/>
      <c r="Y2147" s="264"/>
      <c r="Z2147" s="386"/>
      <c r="AD2147" s="264"/>
      <c r="AE2147" s="264"/>
      <c r="AF2147" s="264"/>
      <c r="AG2147" s="264"/>
    </row>
    <row r="2148" spans="1:33" ht="26.25">
      <c r="A2148" s="264"/>
      <c r="B2148" s="264"/>
      <c r="C2148" s="264"/>
      <c r="D2148" s="264"/>
      <c r="E2148" s="264"/>
      <c r="F2148" s="264"/>
      <c r="G2148" s="264"/>
      <c r="H2148" s="264"/>
      <c r="I2148" s="264"/>
      <c r="J2148" s="327"/>
      <c r="K2148" s="327"/>
      <c r="L2148" s="327"/>
      <c r="M2148" s="321"/>
      <c r="N2148" s="321"/>
      <c r="O2148" s="364"/>
      <c r="P2148" s="381"/>
      <c r="R2148" s="392"/>
      <c r="S2148" s="61" ph="1"/>
      <c r="U2148" s="229"/>
      <c r="V2148" s="264"/>
      <c r="W2148" s="199"/>
      <c r="X2148" s="264"/>
      <c r="Y2148" s="264"/>
      <c r="Z2148" s="386"/>
      <c r="AD2148" s="264"/>
      <c r="AE2148" s="264"/>
      <c r="AF2148" s="264"/>
      <c r="AG2148" s="264"/>
    </row>
    <row r="2149" spans="1:33" ht="26.25">
      <c r="A2149" s="264"/>
      <c r="B2149" s="264"/>
      <c r="C2149" s="264"/>
      <c r="D2149" s="264"/>
      <c r="E2149" s="264"/>
      <c r="F2149" s="264"/>
      <c r="G2149" s="264"/>
      <c r="H2149" s="264"/>
      <c r="I2149" s="264"/>
      <c r="J2149" s="327"/>
      <c r="K2149" s="327"/>
      <c r="L2149" s="327"/>
      <c r="M2149" s="321"/>
      <c r="N2149" s="321"/>
      <c r="O2149" s="364"/>
      <c r="P2149" s="381"/>
      <c r="R2149" s="392"/>
      <c r="S2149" s="61" ph="1"/>
      <c r="U2149" s="229"/>
      <c r="V2149" s="264"/>
      <c r="W2149" s="199"/>
      <c r="X2149" s="264"/>
      <c r="Y2149" s="264"/>
      <c r="Z2149" s="386"/>
      <c r="AD2149" s="264"/>
      <c r="AE2149" s="264"/>
      <c r="AF2149" s="264"/>
      <c r="AG2149" s="264"/>
    </row>
    <row r="2150" spans="1:33" ht="26.25">
      <c r="A2150" s="264"/>
      <c r="B2150" s="264"/>
      <c r="C2150" s="264"/>
      <c r="D2150" s="264"/>
      <c r="E2150" s="264"/>
      <c r="F2150" s="264"/>
      <c r="G2150" s="264"/>
      <c r="H2150" s="264"/>
      <c r="I2150" s="264"/>
      <c r="J2150" s="327"/>
      <c r="K2150" s="327"/>
      <c r="L2150" s="327"/>
      <c r="M2150" s="321"/>
      <c r="N2150" s="321"/>
      <c r="O2150" s="364"/>
      <c r="P2150" s="381"/>
      <c r="R2150" s="392"/>
      <c r="S2150" s="61" ph="1"/>
      <c r="U2150" s="229"/>
      <c r="V2150" s="264"/>
      <c r="W2150" s="199"/>
      <c r="X2150" s="264"/>
      <c r="Y2150" s="264"/>
      <c r="Z2150" s="386"/>
      <c r="AD2150" s="264"/>
      <c r="AE2150" s="264"/>
      <c r="AF2150" s="264"/>
      <c r="AG2150" s="264"/>
    </row>
    <row r="2151" spans="1:33" ht="26.25">
      <c r="A2151" s="264"/>
      <c r="B2151" s="264"/>
      <c r="C2151" s="264"/>
      <c r="D2151" s="264"/>
      <c r="E2151" s="264"/>
      <c r="F2151" s="264"/>
      <c r="G2151" s="264"/>
      <c r="H2151" s="264"/>
      <c r="I2151" s="264"/>
      <c r="J2151" s="327"/>
      <c r="K2151" s="327"/>
      <c r="L2151" s="327"/>
      <c r="M2151" s="321"/>
      <c r="N2151" s="321"/>
      <c r="O2151" s="364"/>
      <c r="P2151" s="381"/>
      <c r="R2151" s="392"/>
      <c r="S2151" s="61" ph="1"/>
      <c r="U2151" s="229"/>
      <c r="V2151" s="264"/>
      <c r="W2151" s="199"/>
      <c r="X2151" s="264"/>
      <c r="Y2151" s="264"/>
      <c r="Z2151" s="386"/>
      <c r="AD2151" s="264"/>
      <c r="AE2151" s="264"/>
      <c r="AF2151" s="264"/>
      <c r="AG2151" s="264"/>
    </row>
    <row r="2152" spans="1:33" ht="26.25">
      <c r="A2152" s="264"/>
      <c r="B2152" s="264"/>
      <c r="C2152" s="264"/>
      <c r="D2152" s="264"/>
      <c r="E2152" s="264"/>
      <c r="F2152" s="264"/>
      <c r="G2152" s="264"/>
      <c r="H2152" s="264"/>
      <c r="I2152" s="264"/>
      <c r="J2152" s="327"/>
      <c r="K2152" s="327"/>
      <c r="L2152" s="327"/>
      <c r="M2152" s="321"/>
      <c r="N2152" s="321"/>
      <c r="O2152" s="364"/>
      <c r="P2152" s="381"/>
      <c r="R2152" s="392"/>
      <c r="S2152" s="61" ph="1"/>
      <c r="U2152" s="229"/>
      <c r="V2152" s="264"/>
      <c r="W2152" s="199"/>
      <c r="X2152" s="264"/>
      <c r="Y2152" s="264"/>
      <c r="Z2152" s="386"/>
      <c r="AD2152" s="264"/>
      <c r="AE2152" s="264"/>
      <c r="AF2152" s="264"/>
      <c r="AG2152" s="264"/>
    </row>
    <row r="2153" spans="1:33" ht="26.25">
      <c r="A2153" s="264"/>
      <c r="B2153" s="264"/>
      <c r="C2153" s="264"/>
      <c r="D2153" s="264"/>
      <c r="E2153" s="264"/>
      <c r="F2153" s="264"/>
      <c r="G2153" s="264"/>
      <c r="H2153" s="264"/>
      <c r="I2153" s="264"/>
      <c r="J2153" s="327"/>
      <c r="K2153" s="327"/>
      <c r="L2153" s="327"/>
      <c r="M2153" s="321"/>
      <c r="N2153" s="321"/>
      <c r="O2153" s="364"/>
      <c r="P2153" s="381"/>
      <c r="R2153" s="392"/>
      <c r="S2153" s="61" ph="1"/>
      <c r="U2153" s="229"/>
      <c r="V2153" s="264"/>
      <c r="W2153" s="199"/>
      <c r="X2153" s="264"/>
      <c r="Y2153" s="264"/>
      <c r="Z2153" s="386"/>
      <c r="AD2153" s="264"/>
      <c r="AE2153" s="264"/>
      <c r="AF2153" s="264"/>
      <c r="AG2153" s="264"/>
    </row>
    <row r="2154" spans="1:33" ht="26.25">
      <c r="A2154" s="264"/>
      <c r="B2154" s="264"/>
      <c r="C2154" s="264"/>
      <c r="D2154" s="264"/>
      <c r="E2154" s="264"/>
      <c r="F2154" s="264"/>
      <c r="G2154" s="264"/>
      <c r="H2154" s="264"/>
      <c r="I2154" s="264"/>
      <c r="J2154" s="327"/>
      <c r="K2154" s="327"/>
      <c r="L2154" s="327"/>
      <c r="M2154" s="321"/>
      <c r="N2154" s="321"/>
      <c r="O2154" s="364"/>
      <c r="P2154" s="381"/>
      <c r="R2154" s="392"/>
      <c r="S2154" s="61" ph="1"/>
      <c r="U2154" s="229"/>
      <c r="V2154" s="264"/>
      <c r="W2154" s="199"/>
      <c r="X2154" s="264"/>
      <c r="Y2154" s="264"/>
      <c r="Z2154" s="386"/>
      <c r="AD2154" s="264"/>
      <c r="AE2154" s="264"/>
      <c r="AF2154" s="264"/>
      <c r="AG2154" s="264"/>
    </row>
    <row r="2155" spans="1:33" ht="26.25">
      <c r="A2155" s="264"/>
      <c r="B2155" s="264"/>
      <c r="C2155" s="264"/>
      <c r="D2155" s="264"/>
      <c r="E2155" s="264"/>
      <c r="F2155" s="264"/>
      <c r="G2155" s="264"/>
      <c r="H2155" s="264"/>
      <c r="I2155" s="264"/>
      <c r="J2155" s="327"/>
      <c r="K2155" s="327"/>
      <c r="L2155" s="327"/>
      <c r="M2155" s="321"/>
      <c r="N2155" s="321"/>
      <c r="O2155" s="364"/>
      <c r="P2155" s="381"/>
      <c r="R2155" s="392"/>
      <c r="S2155" s="61" ph="1"/>
      <c r="U2155" s="229"/>
      <c r="V2155" s="264"/>
      <c r="W2155" s="199"/>
      <c r="X2155" s="264"/>
      <c r="Y2155" s="264"/>
      <c r="Z2155" s="386"/>
      <c r="AD2155" s="264"/>
      <c r="AE2155" s="264"/>
      <c r="AF2155" s="264"/>
      <c r="AG2155" s="264"/>
    </row>
    <row r="2156" spans="1:33" ht="26.25">
      <c r="A2156" s="264"/>
      <c r="B2156" s="264"/>
      <c r="C2156" s="264"/>
      <c r="D2156" s="264"/>
      <c r="E2156" s="264"/>
      <c r="F2156" s="264"/>
      <c r="G2156" s="264"/>
      <c r="H2156" s="264"/>
      <c r="I2156" s="264"/>
      <c r="J2156" s="327"/>
      <c r="K2156" s="327"/>
      <c r="L2156" s="327"/>
      <c r="M2156" s="321"/>
      <c r="N2156" s="321"/>
      <c r="O2156" s="364"/>
      <c r="P2156" s="381"/>
      <c r="R2156" s="392"/>
      <c r="S2156" s="61" ph="1"/>
      <c r="U2156" s="229"/>
      <c r="V2156" s="264"/>
      <c r="W2156" s="199"/>
      <c r="X2156" s="264"/>
      <c r="Y2156" s="264"/>
      <c r="Z2156" s="386"/>
      <c r="AD2156" s="264"/>
      <c r="AE2156" s="264"/>
      <c r="AF2156" s="264"/>
      <c r="AG2156" s="264"/>
    </row>
    <row r="2157" spans="1:33" ht="26.25">
      <c r="A2157" s="264"/>
      <c r="B2157" s="264"/>
      <c r="C2157" s="264"/>
      <c r="D2157" s="264"/>
      <c r="E2157" s="264"/>
      <c r="F2157" s="264"/>
      <c r="G2157" s="264"/>
      <c r="H2157" s="264"/>
      <c r="I2157" s="264"/>
      <c r="J2157" s="327"/>
      <c r="K2157" s="327"/>
      <c r="L2157" s="327"/>
      <c r="M2157" s="321"/>
      <c r="N2157" s="321"/>
      <c r="O2157" s="364"/>
      <c r="P2157" s="381"/>
      <c r="R2157" s="392"/>
      <c r="S2157" s="61" ph="1"/>
      <c r="U2157" s="229"/>
      <c r="V2157" s="264"/>
      <c r="W2157" s="199"/>
      <c r="X2157" s="264"/>
      <c r="Y2157" s="264"/>
      <c r="Z2157" s="386"/>
      <c r="AD2157" s="264"/>
      <c r="AE2157" s="264"/>
      <c r="AF2157" s="264"/>
      <c r="AG2157" s="264"/>
    </row>
    <row r="2158" spans="1:33" ht="26.25">
      <c r="A2158" s="264"/>
      <c r="B2158" s="264"/>
      <c r="C2158" s="264"/>
      <c r="D2158" s="264"/>
      <c r="E2158" s="264"/>
      <c r="F2158" s="264"/>
      <c r="G2158" s="264"/>
      <c r="H2158" s="264"/>
      <c r="I2158" s="264"/>
      <c r="J2158" s="327"/>
      <c r="K2158" s="327"/>
      <c r="L2158" s="327"/>
      <c r="M2158" s="321"/>
      <c r="N2158" s="321"/>
      <c r="O2158" s="364"/>
      <c r="P2158" s="381"/>
      <c r="R2158" s="392"/>
      <c r="S2158" s="61" ph="1"/>
      <c r="U2158" s="229"/>
      <c r="V2158" s="264"/>
      <c r="W2158" s="199"/>
      <c r="X2158" s="264"/>
      <c r="Y2158" s="264"/>
      <c r="Z2158" s="386"/>
      <c r="AD2158" s="264"/>
      <c r="AE2158" s="264"/>
      <c r="AF2158" s="264"/>
      <c r="AG2158" s="264"/>
    </row>
    <row r="2159" spans="1:33" ht="26.25">
      <c r="A2159" s="264"/>
      <c r="B2159" s="264"/>
      <c r="C2159" s="264"/>
      <c r="D2159" s="264"/>
      <c r="E2159" s="264"/>
      <c r="F2159" s="264"/>
      <c r="G2159" s="264"/>
      <c r="H2159" s="264"/>
      <c r="I2159" s="264"/>
      <c r="J2159" s="327"/>
      <c r="K2159" s="327"/>
      <c r="L2159" s="327"/>
      <c r="M2159" s="321"/>
      <c r="N2159" s="321"/>
      <c r="O2159" s="364"/>
      <c r="P2159" s="381"/>
      <c r="R2159" s="392"/>
      <c r="S2159" s="61" ph="1"/>
      <c r="U2159" s="229"/>
      <c r="V2159" s="264"/>
      <c r="W2159" s="199"/>
      <c r="X2159" s="264"/>
      <c r="Y2159" s="264"/>
      <c r="Z2159" s="386"/>
      <c r="AD2159" s="264"/>
      <c r="AE2159" s="264"/>
      <c r="AF2159" s="264"/>
      <c r="AG2159" s="264"/>
    </row>
    <row r="2160" spans="1:33" ht="26.25">
      <c r="A2160" s="264"/>
      <c r="B2160" s="264"/>
      <c r="C2160" s="264"/>
      <c r="D2160" s="264"/>
      <c r="E2160" s="264"/>
      <c r="F2160" s="264"/>
      <c r="G2160" s="264"/>
      <c r="H2160" s="264"/>
      <c r="I2160" s="264"/>
      <c r="J2160" s="327"/>
      <c r="K2160" s="327"/>
      <c r="L2160" s="327"/>
      <c r="M2160" s="321"/>
      <c r="N2160" s="321"/>
      <c r="O2160" s="364"/>
      <c r="P2160" s="381"/>
      <c r="R2160" s="392"/>
      <c r="S2160" s="61" ph="1"/>
      <c r="U2160" s="229"/>
      <c r="V2160" s="264"/>
      <c r="W2160" s="199"/>
      <c r="X2160" s="264"/>
      <c r="Y2160" s="264"/>
      <c r="Z2160" s="386"/>
      <c r="AD2160" s="264"/>
      <c r="AE2160" s="264"/>
      <c r="AF2160" s="264"/>
      <c r="AG2160" s="264"/>
    </row>
    <row r="2161" spans="1:33" ht="26.25">
      <c r="A2161" s="264"/>
      <c r="B2161" s="264"/>
      <c r="C2161" s="264"/>
      <c r="D2161" s="264"/>
      <c r="E2161" s="264"/>
      <c r="F2161" s="264"/>
      <c r="G2161" s="264"/>
      <c r="H2161" s="264"/>
      <c r="I2161" s="264"/>
      <c r="J2161" s="327"/>
      <c r="K2161" s="327"/>
      <c r="L2161" s="327"/>
      <c r="M2161" s="321"/>
      <c r="N2161" s="321"/>
      <c r="O2161" s="364"/>
      <c r="P2161" s="381"/>
      <c r="R2161" s="392"/>
      <c r="S2161" s="61" ph="1"/>
      <c r="U2161" s="229"/>
      <c r="V2161" s="264"/>
      <c r="W2161" s="199"/>
      <c r="X2161" s="264"/>
      <c r="Y2161" s="264"/>
      <c r="Z2161" s="386"/>
      <c r="AD2161" s="264"/>
      <c r="AE2161" s="264"/>
      <c r="AF2161" s="264"/>
      <c r="AG2161" s="264"/>
    </row>
    <row r="2162" spans="1:33" ht="26.25">
      <c r="A2162" s="264"/>
      <c r="B2162" s="264"/>
      <c r="C2162" s="264"/>
      <c r="D2162" s="264"/>
      <c r="E2162" s="264"/>
      <c r="F2162" s="264"/>
      <c r="G2162" s="264"/>
      <c r="H2162" s="264"/>
      <c r="I2162" s="264"/>
      <c r="J2162" s="327"/>
      <c r="K2162" s="327"/>
      <c r="L2162" s="327"/>
      <c r="M2162" s="321"/>
      <c r="N2162" s="321"/>
      <c r="O2162" s="364"/>
      <c r="P2162" s="381"/>
      <c r="R2162" s="392"/>
      <c r="S2162" s="61" ph="1"/>
      <c r="U2162" s="229"/>
      <c r="V2162" s="264"/>
      <c r="W2162" s="199"/>
      <c r="X2162" s="264"/>
      <c r="Y2162" s="264"/>
      <c r="Z2162" s="386"/>
      <c r="AD2162" s="264"/>
      <c r="AE2162" s="264"/>
      <c r="AF2162" s="264"/>
      <c r="AG2162" s="264"/>
    </row>
    <row r="2163" spans="1:33" ht="26.25">
      <c r="A2163" s="264"/>
      <c r="B2163" s="264"/>
      <c r="C2163" s="264"/>
      <c r="D2163" s="264"/>
      <c r="E2163" s="264"/>
      <c r="F2163" s="264"/>
      <c r="G2163" s="264"/>
      <c r="H2163" s="264"/>
      <c r="I2163" s="264"/>
      <c r="J2163" s="327"/>
      <c r="K2163" s="327"/>
      <c r="L2163" s="327"/>
      <c r="M2163" s="321"/>
      <c r="N2163" s="321"/>
      <c r="O2163" s="364"/>
      <c r="P2163" s="381"/>
      <c r="R2163" s="392"/>
      <c r="S2163" s="61" ph="1"/>
      <c r="U2163" s="229"/>
      <c r="V2163" s="264"/>
      <c r="W2163" s="199"/>
      <c r="X2163" s="264"/>
      <c r="Y2163" s="264"/>
      <c r="Z2163" s="386"/>
      <c r="AD2163" s="264"/>
      <c r="AE2163" s="264"/>
      <c r="AF2163" s="264"/>
      <c r="AG2163" s="264"/>
    </row>
    <row r="2164" spans="1:33" ht="26.25">
      <c r="A2164" s="264"/>
      <c r="B2164" s="264"/>
      <c r="C2164" s="264"/>
      <c r="D2164" s="264"/>
      <c r="E2164" s="264"/>
      <c r="F2164" s="264"/>
      <c r="G2164" s="264"/>
      <c r="H2164" s="264"/>
      <c r="I2164" s="264"/>
      <c r="J2164" s="327"/>
      <c r="K2164" s="327"/>
      <c r="L2164" s="327"/>
      <c r="M2164" s="321"/>
      <c r="N2164" s="321"/>
      <c r="O2164" s="364"/>
      <c r="P2164" s="381"/>
      <c r="R2164" s="392"/>
      <c r="S2164" s="61" ph="1"/>
      <c r="U2164" s="229"/>
      <c r="V2164" s="264"/>
      <c r="W2164" s="199"/>
      <c r="X2164" s="264"/>
      <c r="Y2164" s="264"/>
      <c r="Z2164" s="386"/>
      <c r="AD2164" s="264"/>
      <c r="AE2164" s="264"/>
      <c r="AF2164" s="264"/>
      <c r="AG2164" s="264"/>
    </row>
    <row r="2165" spans="1:33" ht="26.25">
      <c r="A2165" s="264"/>
      <c r="B2165" s="264"/>
      <c r="C2165" s="264"/>
      <c r="D2165" s="264"/>
      <c r="E2165" s="264"/>
      <c r="F2165" s="264"/>
      <c r="G2165" s="264"/>
      <c r="H2165" s="264"/>
      <c r="I2165" s="264"/>
      <c r="J2165" s="327"/>
      <c r="K2165" s="327"/>
      <c r="L2165" s="327"/>
      <c r="M2165" s="321"/>
      <c r="N2165" s="321"/>
      <c r="O2165" s="364"/>
      <c r="P2165" s="381"/>
      <c r="R2165" s="392"/>
      <c r="S2165" s="61" ph="1"/>
      <c r="U2165" s="229"/>
      <c r="V2165" s="264"/>
      <c r="W2165" s="199"/>
      <c r="X2165" s="264"/>
      <c r="Y2165" s="264"/>
      <c r="Z2165" s="386"/>
      <c r="AD2165" s="264"/>
      <c r="AE2165" s="264"/>
      <c r="AF2165" s="264"/>
      <c r="AG2165" s="264"/>
    </row>
    <row r="2166" spans="1:33" ht="26.25">
      <c r="A2166" s="264"/>
      <c r="B2166" s="264"/>
      <c r="C2166" s="264"/>
      <c r="D2166" s="264"/>
      <c r="E2166" s="264"/>
      <c r="F2166" s="264"/>
      <c r="G2166" s="264"/>
      <c r="H2166" s="264"/>
      <c r="I2166" s="264"/>
      <c r="J2166" s="327"/>
      <c r="K2166" s="327"/>
      <c r="L2166" s="327"/>
      <c r="M2166" s="321"/>
      <c r="N2166" s="321"/>
      <c r="O2166" s="364"/>
      <c r="P2166" s="381"/>
      <c r="R2166" s="392"/>
      <c r="S2166" s="61" ph="1"/>
      <c r="U2166" s="229"/>
      <c r="V2166" s="264"/>
      <c r="W2166" s="199"/>
      <c r="X2166" s="264"/>
      <c r="Y2166" s="264"/>
      <c r="Z2166" s="386"/>
      <c r="AD2166" s="264"/>
      <c r="AE2166" s="264"/>
      <c r="AF2166" s="264"/>
      <c r="AG2166" s="264"/>
    </row>
    <row r="2167" spans="1:33" ht="26.25">
      <c r="A2167" s="264"/>
      <c r="B2167" s="264"/>
      <c r="C2167" s="264"/>
      <c r="D2167" s="264"/>
      <c r="E2167" s="264"/>
      <c r="F2167" s="264"/>
      <c r="G2167" s="264"/>
      <c r="H2167" s="264"/>
      <c r="I2167" s="264"/>
      <c r="J2167" s="327"/>
      <c r="K2167" s="327"/>
      <c r="L2167" s="327"/>
      <c r="M2167" s="321"/>
      <c r="N2167" s="321"/>
      <c r="O2167" s="364"/>
      <c r="P2167" s="381"/>
      <c r="R2167" s="392"/>
      <c r="S2167" s="61" ph="1"/>
      <c r="U2167" s="229"/>
      <c r="V2167" s="264"/>
      <c r="W2167" s="199"/>
      <c r="X2167" s="264"/>
      <c r="Y2167" s="264"/>
      <c r="Z2167" s="386"/>
      <c r="AD2167" s="264"/>
      <c r="AE2167" s="264"/>
      <c r="AF2167" s="264"/>
      <c r="AG2167" s="264"/>
    </row>
    <row r="2168" spans="1:33" ht="26.25">
      <c r="A2168" s="264"/>
      <c r="B2168" s="264"/>
      <c r="C2168" s="264"/>
      <c r="D2168" s="264"/>
      <c r="E2168" s="264"/>
      <c r="F2168" s="264"/>
      <c r="G2168" s="264"/>
      <c r="H2168" s="264"/>
      <c r="I2168" s="264"/>
      <c r="J2168" s="327"/>
      <c r="K2168" s="327"/>
      <c r="L2168" s="327"/>
      <c r="M2168" s="321"/>
      <c r="N2168" s="321"/>
      <c r="O2168" s="364"/>
      <c r="P2168" s="381"/>
      <c r="R2168" s="392"/>
      <c r="S2168" s="61" ph="1"/>
      <c r="U2168" s="229"/>
      <c r="V2168" s="264"/>
      <c r="W2168" s="199"/>
      <c r="X2168" s="264"/>
      <c r="Y2168" s="264"/>
      <c r="Z2168" s="386"/>
      <c r="AD2168" s="264"/>
      <c r="AE2168" s="264"/>
      <c r="AF2168" s="264"/>
      <c r="AG2168" s="264"/>
    </row>
    <row r="2169" spans="1:33" ht="26.25">
      <c r="A2169" s="264"/>
      <c r="B2169" s="264"/>
      <c r="C2169" s="264"/>
      <c r="D2169" s="264"/>
      <c r="E2169" s="264"/>
      <c r="F2169" s="264"/>
      <c r="G2169" s="264"/>
      <c r="H2169" s="264"/>
      <c r="I2169" s="264"/>
      <c r="J2169" s="327"/>
      <c r="K2169" s="327"/>
      <c r="L2169" s="327"/>
      <c r="M2169" s="321"/>
      <c r="N2169" s="321"/>
      <c r="O2169" s="364"/>
      <c r="P2169" s="381"/>
      <c r="R2169" s="392"/>
      <c r="S2169" s="61" ph="1"/>
      <c r="U2169" s="229"/>
      <c r="V2169" s="264"/>
      <c r="W2169" s="199"/>
      <c r="X2169" s="264"/>
      <c r="Y2169" s="264"/>
      <c r="Z2169" s="386"/>
      <c r="AD2169" s="264"/>
      <c r="AE2169" s="264"/>
      <c r="AF2169" s="264"/>
      <c r="AG2169" s="264"/>
    </row>
    <row r="2170" spans="1:33" ht="26.25">
      <c r="A2170" s="264"/>
      <c r="B2170" s="264"/>
      <c r="C2170" s="264"/>
      <c r="D2170" s="264"/>
      <c r="E2170" s="264"/>
      <c r="F2170" s="264"/>
      <c r="G2170" s="264"/>
      <c r="H2170" s="264"/>
      <c r="I2170" s="264"/>
      <c r="J2170" s="327"/>
      <c r="K2170" s="327"/>
      <c r="L2170" s="327"/>
      <c r="M2170" s="321"/>
      <c r="N2170" s="321"/>
      <c r="O2170" s="364"/>
      <c r="P2170" s="381"/>
      <c r="R2170" s="392"/>
      <c r="S2170" s="61" ph="1"/>
      <c r="U2170" s="229"/>
      <c r="V2170" s="264"/>
      <c r="W2170" s="199"/>
      <c r="X2170" s="264"/>
      <c r="Y2170" s="264"/>
      <c r="Z2170" s="386"/>
      <c r="AD2170" s="264"/>
      <c r="AE2170" s="264"/>
      <c r="AF2170" s="264"/>
      <c r="AG2170" s="264"/>
    </row>
    <row r="2171" spans="1:33" ht="26.25">
      <c r="A2171" s="264"/>
      <c r="B2171" s="264"/>
      <c r="C2171" s="264"/>
      <c r="D2171" s="264"/>
      <c r="E2171" s="264"/>
      <c r="F2171" s="264"/>
      <c r="G2171" s="264"/>
      <c r="H2171" s="264"/>
      <c r="I2171" s="264"/>
      <c r="J2171" s="327"/>
      <c r="K2171" s="327"/>
      <c r="L2171" s="327"/>
      <c r="M2171" s="321"/>
      <c r="N2171" s="321"/>
      <c r="O2171" s="364"/>
      <c r="P2171" s="381"/>
      <c r="R2171" s="392"/>
      <c r="S2171" s="61" ph="1"/>
      <c r="U2171" s="229"/>
      <c r="V2171" s="264"/>
      <c r="W2171" s="199"/>
      <c r="X2171" s="264"/>
      <c r="Y2171" s="264"/>
      <c r="Z2171" s="386"/>
      <c r="AD2171" s="264"/>
      <c r="AE2171" s="264"/>
      <c r="AF2171" s="264"/>
      <c r="AG2171" s="264"/>
    </row>
    <row r="2172" spans="1:33" ht="26.25">
      <c r="A2172" s="264"/>
      <c r="B2172" s="264"/>
      <c r="C2172" s="264"/>
      <c r="D2172" s="264"/>
      <c r="E2172" s="264"/>
      <c r="F2172" s="264"/>
      <c r="G2172" s="264"/>
      <c r="H2172" s="264"/>
      <c r="I2172" s="264"/>
      <c r="J2172" s="327"/>
      <c r="K2172" s="327"/>
      <c r="L2172" s="327"/>
      <c r="M2172" s="321"/>
      <c r="N2172" s="321"/>
      <c r="O2172" s="364"/>
      <c r="P2172" s="381"/>
      <c r="R2172" s="392"/>
      <c r="S2172" s="61" ph="1"/>
      <c r="U2172" s="229"/>
      <c r="V2172" s="264"/>
      <c r="W2172" s="199"/>
      <c r="X2172" s="264"/>
      <c r="Y2172" s="264"/>
      <c r="Z2172" s="386"/>
      <c r="AD2172" s="264"/>
      <c r="AE2172" s="264"/>
      <c r="AF2172" s="264"/>
      <c r="AG2172" s="264"/>
    </row>
    <row r="2173" spans="1:33" ht="26.25">
      <c r="A2173" s="264"/>
      <c r="B2173" s="264"/>
      <c r="C2173" s="264"/>
      <c r="D2173" s="264"/>
      <c r="E2173" s="264"/>
      <c r="F2173" s="264"/>
      <c r="G2173" s="264"/>
      <c r="H2173" s="264"/>
      <c r="I2173" s="264"/>
      <c r="J2173" s="327"/>
      <c r="K2173" s="327"/>
      <c r="L2173" s="327"/>
      <c r="M2173" s="321"/>
      <c r="N2173" s="321"/>
      <c r="O2173" s="364"/>
      <c r="P2173" s="381"/>
      <c r="R2173" s="392"/>
      <c r="S2173" s="61" ph="1"/>
      <c r="U2173" s="229"/>
      <c r="V2173" s="264"/>
      <c r="W2173" s="199"/>
      <c r="X2173" s="264"/>
      <c r="Y2173" s="264"/>
      <c r="Z2173" s="386"/>
      <c r="AD2173" s="264"/>
      <c r="AE2173" s="264"/>
      <c r="AF2173" s="264"/>
      <c r="AG2173" s="264"/>
    </row>
    <row r="2174" spans="1:33" ht="26.25">
      <c r="A2174" s="264"/>
      <c r="B2174" s="264"/>
      <c r="C2174" s="264"/>
      <c r="D2174" s="264"/>
      <c r="E2174" s="264"/>
      <c r="F2174" s="264"/>
      <c r="G2174" s="264"/>
      <c r="H2174" s="264"/>
      <c r="I2174" s="264"/>
      <c r="J2174" s="327"/>
      <c r="K2174" s="327"/>
      <c r="L2174" s="327"/>
      <c r="M2174" s="321"/>
      <c r="N2174" s="321"/>
      <c r="O2174" s="364"/>
      <c r="P2174" s="381"/>
      <c r="R2174" s="392"/>
      <c r="S2174" s="61" ph="1"/>
      <c r="U2174" s="229"/>
      <c r="V2174" s="264"/>
      <c r="W2174" s="199"/>
      <c r="X2174" s="264"/>
      <c r="Y2174" s="264"/>
      <c r="Z2174" s="386"/>
      <c r="AD2174" s="264"/>
      <c r="AE2174" s="264"/>
      <c r="AF2174" s="264"/>
      <c r="AG2174" s="264"/>
    </row>
    <row r="2175" spans="1:33" ht="26.25">
      <c r="A2175" s="264"/>
      <c r="B2175" s="264"/>
      <c r="C2175" s="264"/>
      <c r="D2175" s="264"/>
      <c r="E2175" s="264"/>
      <c r="F2175" s="264"/>
      <c r="G2175" s="264"/>
      <c r="H2175" s="264"/>
      <c r="I2175" s="264"/>
      <c r="J2175" s="327"/>
      <c r="K2175" s="327"/>
      <c r="L2175" s="327"/>
      <c r="M2175" s="321"/>
      <c r="N2175" s="321"/>
      <c r="O2175" s="364"/>
      <c r="P2175" s="381"/>
      <c r="R2175" s="392"/>
      <c r="S2175" s="61" ph="1"/>
      <c r="U2175" s="229"/>
      <c r="V2175" s="264"/>
      <c r="W2175" s="199"/>
      <c r="X2175" s="264"/>
      <c r="Y2175" s="264"/>
      <c r="Z2175" s="386"/>
      <c r="AD2175" s="264"/>
      <c r="AE2175" s="264"/>
      <c r="AF2175" s="264"/>
      <c r="AG2175" s="264"/>
    </row>
    <row r="2176" spans="1:33" ht="26.25">
      <c r="A2176" s="264"/>
      <c r="B2176" s="264"/>
      <c r="C2176" s="264"/>
      <c r="D2176" s="264"/>
      <c r="E2176" s="264"/>
      <c r="F2176" s="264"/>
      <c r="G2176" s="264"/>
      <c r="H2176" s="264"/>
      <c r="I2176" s="264"/>
      <c r="J2176" s="327"/>
      <c r="K2176" s="327"/>
      <c r="L2176" s="327"/>
      <c r="M2176" s="321"/>
      <c r="N2176" s="321"/>
      <c r="O2176" s="364"/>
      <c r="P2176" s="381"/>
      <c r="R2176" s="392"/>
      <c r="S2176" s="61" ph="1"/>
      <c r="U2176" s="229"/>
      <c r="V2176" s="264"/>
      <c r="W2176" s="199"/>
      <c r="X2176" s="264"/>
      <c r="Y2176" s="264"/>
      <c r="Z2176" s="386"/>
      <c r="AD2176" s="264"/>
      <c r="AE2176" s="264"/>
      <c r="AF2176" s="264"/>
      <c r="AG2176" s="264"/>
    </row>
    <row r="2177" spans="1:33" ht="26.25">
      <c r="A2177" s="264"/>
      <c r="B2177" s="264"/>
      <c r="C2177" s="264"/>
      <c r="D2177" s="264"/>
      <c r="E2177" s="264"/>
      <c r="F2177" s="264"/>
      <c r="G2177" s="264"/>
      <c r="H2177" s="264"/>
      <c r="I2177" s="264"/>
      <c r="J2177" s="327"/>
      <c r="K2177" s="327"/>
      <c r="L2177" s="327"/>
      <c r="M2177" s="321"/>
      <c r="N2177" s="321"/>
      <c r="O2177" s="364"/>
      <c r="P2177" s="381"/>
      <c r="R2177" s="392"/>
      <c r="S2177" s="61" ph="1"/>
      <c r="U2177" s="229"/>
      <c r="V2177" s="264"/>
      <c r="W2177" s="199"/>
      <c r="X2177" s="264"/>
      <c r="Y2177" s="264"/>
      <c r="Z2177" s="386"/>
      <c r="AD2177" s="264"/>
      <c r="AE2177" s="264"/>
      <c r="AF2177" s="264"/>
      <c r="AG2177" s="264"/>
    </row>
    <row r="2178" spans="1:33" ht="26.25">
      <c r="A2178" s="264"/>
      <c r="B2178" s="264"/>
      <c r="C2178" s="264"/>
      <c r="D2178" s="264"/>
      <c r="E2178" s="264"/>
      <c r="F2178" s="264"/>
      <c r="G2178" s="264"/>
      <c r="H2178" s="264"/>
      <c r="I2178" s="264"/>
      <c r="J2178" s="327"/>
      <c r="K2178" s="327"/>
      <c r="L2178" s="327"/>
      <c r="M2178" s="321"/>
      <c r="N2178" s="321"/>
      <c r="O2178" s="364"/>
      <c r="P2178" s="381"/>
      <c r="R2178" s="392"/>
      <c r="S2178" s="61" ph="1"/>
      <c r="U2178" s="229"/>
      <c r="V2178" s="264"/>
      <c r="W2178" s="199"/>
      <c r="X2178" s="264"/>
      <c r="Y2178" s="264"/>
      <c r="Z2178" s="386"/>
      <c r="AD2178" s="264"/>
      <c r="AE2178" s="264"/>
      <c r="AF2178" s="264"/>
      <c r="AG2178" s="264"/>
    </row>
    <row r="2179" spans="1:33" ht="26.25">
      <c r="A2179" s="264"/>
      <c r="B2179" s="264"/>
      <c r="C2179" s="264"/>
      <c r="D2179" s="264"/>
      <c r="E2179" s="264"/>
      <c r="F2179" s="264"/>
      <c r="G2179" s="264"/>
      <c r="H2179" s="264"/>
      <c r="I2179" s="264"/>
      <c r="J2179" s="327"/>
      <c r="K2179" s="327"/>
      <c r="L2179" s="327"/>
      <c r="M2179" s="321"/>
      <c r="N2179" s="321"/>
      <c r="O2179" s="364"/>
      <c r="P2179" s="381"/>
      <c r="R2179" s="392"/>
      <c r="S2179" s="61" ph="1"/>
      <c r="U2179" s="229"/>
      <c r="V2179" s="264"/>
      <c r="W2179" s="199"/>
      <c r="X2179" s="264"/>
      <c r="Y2179" s="264"/>
      <c r="Z2179" s="386"/>
      <c r="AD2179" s="264"/>
      <c r="AE2179" s="264"/>
      <c r="AF2179" s="264"/>
      <c r="AG2179" s="264"/>
    </row>
    <row r="2180" spans="1:33" ht="26.25">
      <c r="A2180" s="264"/>
      <c r="B2180" s="264"/>
      <c r="C2180" s="264"/>
      <c r="D2180" s="264"/>
      <c r="E2180" s="264"/>
      <c r="F2180" s="264"/>
      <c r="G2180" s="264"/>
      <c r="H2180" s="264"/>
      <c r="I2180" s="264"/>
      <c r="J2180" s="327"/>
      <c r="K2180" s="327"/>
      <c r="L2180" s="327"/>
      <c r="M2180" s="321"/>
      <c r="N2180" s="321"/>
      <c r="O2180" s="364"/>
      <c r="P2180" s="381"/>
      <c r="R2180" s="392"/>
      <c r="S2180" s="61" ph="1"/>
      <c r="U2180" s="229"/>
      <c r="V2180" s="264"/>
      <c r="W2180" s="199"/>
      <c r="X2180" s="264"/>
      <c r="Y2180" s="264"/>
      <c r="Z2180" s="386"/>
      <c r="AD2180" s="264"/>
      <c r="AE2180" s="264"/>
      <c r="AF2180" s="264"/>
      <c r="AG2180" s="264"/>
    </row>
    <row r="2181" spans="1:33" ht="26.25">
      <c r="A2181" s="264"/>
      <c r="B2181" s="264"/>
      <c r="C2181" s="264"/>
      <c r="D2181" s="264"/>
      <c r="E2181" s="264"/>
      <c r="F2181" s="264"/>
      <c r="G2181" s="264"/>
      <c r="H2181" s="264"/>
      <c r="I2181" s="264"/>
      <c r="J2181" s="327"/>
      <c r="K2181" s="327"/>
      <c r="L2181" s="327"/>
      <c r="M2181" s="321"/>
      <c r="N2181" s="321"/>
      <c r="O2181" s="364"/>
      <c r="P2181" s="381"/>
      <c r="R2181" s="392"/>
      <c r="S2181" s="61" ph="1"/>
      <c r="U2181" s="229"/>
      <c r="V2181" s="264"/>
      <c r="W2181" s="199"/>
      <c r="X2181" s="264"/>
      <c r="Y2181" s="264"/>
      <c r="Z2181" s="386"/>
      <c r="AD2181" s="264"/>
      <c r="AE2181" s="264"/>
      <c r="AF2181" s="264"/>
      <c r="AG2181" s="264"/>
    </row>
    <row r="2182" spans="1:33" ht="26.25">
      <c r="A2182" s="264"/>
      <c r="B2182" s="264"/>
      <c r="C2182" s="264"/>
      <c r="D2182" s="264"/>
      <c r="E2182" s="264"/>
      <c r="F2182" s="264"/>
      <c r="G2182" s="264"/>
      <c r="H2182" s="264"/>
      <c r="I2182" s="264"/>
      <c r="J2182" s="327"/>
      <c r="K2182" s="327"/>
      <c r="L2182" s="327"/>
      <c r="M2182" s="321"/>
      <c r="N2182" s="321"/>
      <c r="O2182" s="364"/>
      <c r="P2182" s="381"/>
      <c r="R2182" s="392"/>
      <c r="S2182" s="61" ph="1"/>
      <c r="U2182" s="229"/>
      <c r="V2182" s="264"/>
      <c r="W2182" s="199"/>
      <c r="X2182" s="264"/>
      <c r="Y2182" s="264"/>
      <c r="Z2182" s="386"/>
      <c r="AD2182" s="264"/>
      <c r="AE2182" s="264"/>
      <c r="AF2182" s="264"/>
      <c r="AG2182" s="264"/>
    </row>
    <row r="2183" spans="1:33" ht="26.25">
      <c r="A2183" s="264"/>
      <c r="B2183" s="264"/>
      <c r="C2183" s="264"/>
      <c r="D2183" s="264"/>
      <c r="E2183" s="264"/>
      <c r="F2183" s="264"/>
      <c r="G2183" s="264"/>
      <c r="H2183" s="264"/>
      <c r="I2183" s="264"/>
      <c r="J2183" s="327"/>
      <c r="K2183" s="327"/>
      <c r="L2183" s="327"/>
      <c r="M2183" s="321"/>
      <c r="N2183" s="321"/>
      <c r="O2183" s="364"/>
      <c r="P2183" s="381"/>
      <c r="R2183" s="392"/>
      <c r="S2183" s="61" ph="1"/>
      <c r="U2183" s="229"/>
      <c r="V2183" s="264"/>
      <c r="W2183" s="199"/>
      <c r="X2183" s="264"/>
      <c r="Y2183" s="264"/>
      <c r="Z2183" s="386"/>
      <c r="AD2183" s="264"/>
      <c r="AE2183" s="264"/>
      <c r="AF2183" s="264"/>
      <c r="AG2183" s="264"/>
    </row>
    <row r="2184" spans="1:33" ht="26.25">
      <c r="A2184" s="264"/>
      <c r="B2184" s="264"/>
      <c r="C2184" s="264"/>
      <c r="D2184" s="264"/>
      <c r="E2184" s="264"/>
      <c r="F2184" s="264"/>
      <c r="G2184" s="264"/>
      <c r="H2184" s="264"/>
      <c r="I2184" s="264"/>
      <c r="J2184" s="327"/>
      <c r="K2184" s="327"/>
      <c r="L2184" s="327"/>
      <c r="M2184" s="321"/>
      <c r="N2184" s="321"/>
      <c r="O2184" s="364"/>
      <c r="P2184" s="381"/>
      <c r="R2184" s="392"/>
      <c r="S2184" s="61" ph="1"/>
      <c r="U2184" s="229"/>
      <c r="V2184" s="264"/>
      <c r="W2184" s="199"/>
      <c r="X2184" s="264"/>
      <c r="Y2184" s="264"/>
      <c r="Z2184" s="386"/>
      <c r="AD2184" s="264"/>
      <c r="AE2184" s="264"/>
      <c r="AF2184" s="264"/>
      <c r="AG2184" s="264"/>
    </row>
    <row r="2185" spans="1:33" ht="26.25">
      <c r="A2185" s="264"/>
      <c r="B2185" s="264"/>
      <c r="C2185" s="264"/>
      <c r="D2185" s="264"/>
      <c r="E2185" s="264"/>
      <c r="F2185" s="264"/>
      <c r="G2185" s="264"/>
      <c r="H2185" s="264"/>
      <c r="I2185" s="264"/>
      <c r="J2185" s="327"/>
      <c r="K2185" s="327"/>
      <c r="L2185" s="327"/>
      <c r="M2185" s="321"/>
      <c r="N2185" s="321"/>
      <c r="O2185" s="364"/>
      <c r="P2185" s="381"/>
      <c r="R2185" s="392"/>
      <c r="S2185" s="61" ph="1"/>
      <c r="U2185" s="229"/>
      <c r="V2185" s="264"/>
      <c r="W2185" s="199"/>
      <c r="X2185" s="264"/>
      <c r="Y2185" s="264"/>
      <c r="Z2185" s="386"/>
      <c r="AD2185" s="264"/>
      <c r="AE2185" s="264"/>
      <c r="AF2185" s="264"/>
      <c r="AG2185" s="264"/>
    </row>
    <row r="2186" spans="1:33" ht="26.25">
      <c r="A2186" s="264"/>
      <c r="B2186" s="264"/>
      <c r="C2186" s="264"/>
      <c r="D2186" s="264"/>
      <c r="E2186" s="264"/>
      <c r="F2186" s="264"/>
      <c r="G2186" s="264"/>
      <c r="H2186" s="264"/>
      <c r="I2186" s="264"/>
      <c r="J2186" s="327"/>
      <c r="K2186" s="327"/>
      <c r="L2186" s="327"/>
      <c r="M2186" s="321"/>
      <c r="N2186" s="321"/>
      <c r="O2186" s="364"/>
      <c r="P2186" s="381"/>
      <c r="R2186" s="392"/>
      <c r="S2186" s="61" ph="1"/>
      <c r="U2186" s="229"/>
      <c r="V2186" s="264"/>
      <c r="W2186" s="199"/>
      <c r="X2186" s="264"/>
      <c r="Y2186" s="264"/>
      <c r="Z2186" s="386"/>
      <c r="AD2186" s="264"/>
      <c r="AE2186" s="264"/>
      <c r="AF2186" s="264"/>
      <c r="AG2186" s="264"/>
    </row>
    <row r="2187" spans="1:33" ht="26.25">
      <c r="A2187" s="264"/>
      <c r="B2187" s="264"/>
      <c r="C2187" s="264"/>
      <c r="D2187" s="264"/>
      <c r="E2187" s="264"/>
      <c r="F2187" s="264"/>
      <c r="G2187" s="264"/>
      <c r="H2187" s="264"/>
      <c r="I2187" s="264"/>
      <c r="J2187" s="327"/>
      <c r="K2187" s="327"/>
      <c r="L2187" s="327"/>
      <c r="M2187" s="321"/>
      <c r="N2187" s="321"/>
      <c r="O2187" s="364"/>
      <c r="P2187" s="381"/>
      <c r="R2187" s="392"/>
      <c r="S2187" s="61" ph="1"/>
      <c r="U2187" s="229"/>
      <c r="V2187" s="264"/>
      <c r="W2187" s="199"/>
      <c r="X2187" s="264"/>
      <c r="Y2187" s="264"/>
      <c r="Z2187" s="386"/>
      <c r="AD2187" s="264"/>
      <c r="AE2187" s="264"/>
      <c r="AF2187" s="264"/>
      <c r="AG2187" s="264"/>
    </row>
    <row r="2188" spans="1:33" ht="26.25">
      <c r="A2188" s="264"/>
      <c r="B2188" s="264"/>
      <c r="C2188" s="264"/>
      <c r="D2188" s="264"/>
      <c r="E2188" s="264"/>
      <c r="F2188" s="264"/>
      <c r="G2188" s="264"/>
      <c r="H2188" s="264"/>
      <c r="I2188" s="264"/>
      <c r="J2188" s="327"/>
      <c r="K2188" s="327"/>
      <c r="L2188" s="327"/>
      <c r="M2188" s="321"/>
      <c r="N2188" s="321"/>
      <c r="O2188" s="364"/>
      <c r="P2188" s="381"/>
      <c r="R2188" s="392"/>
      <c r="S2188" s="61" ph="1"/>
      <c r="U2188" s="229"/>
      <c r="V2188" s="264"/>
      <c r="W2188" s="199"/>
      <c r="X2188" s="264"/>
      <c r="Y2188" s="264"/>
      <c r="Z2188" s="386"/>
      <c r="AD2188" s="264"/>
      <c r="AE2188" s="264"/>
      <c r="AF2188" s="264"/>
      <c r="AG2188" s="264"/>
    </row>
    <row r="2189" spans="1:33" ht="26.25">
      <c r="A2189" s="264"/>
      <c r="B2189" s="264"/>
      <c r="C2189" s="264"/>
      <c r="D2189" s="264"/>
      <c r="E2189" s="264"/>
      <c r="F2189" s="264"/>
      <c r="G2189" s="264"/>
      <c r="H2189" s="264"/>
      <c r="I2189" s="264"/>
      <c r="J2189" s="327"/>
      <c r="K2189" s="327"/>
      <c r="L2189" s="327"/>
      <c r="M2189" s="321"/>
      <c r="N2189" s="321"/>
      <c r="O2189" s="364"/>
      <c r="P2189" s="381"/>
      <c r="R2189" s="392"/>
      <c r="S2189" s="61" ph="1"/>
      <c r="U2189" s="229"/>
      <c r="V2189" s="264"/>
      <c r="W2189" s="199"/>
      <c r="X2189" s="264"/>
      <c r="Y2189" s="264"/>
      <c r="Z2189" s="386"/>
      <c r="AD2189" s="264"/>
      <c r="AE2189" s="264"/>
      <c r="AF2189" s="264"/>
      <c r="AG2189" s="264"/>
    </row>
    <row r="2190" spans="1:33" ht="26.25">
      <c r="A2190" s="264"/>
      <c r="B2190" s="264"/>
      <c r="C2190" s="264"/>
      <c r="D2190" s="264"/>
      <c r="E2190" s="264"/>
      <c r="F2190" s="264"/>
      <c r="G2190" s="264"/>
      <c r="H2190" s="264"/>
      <c r="I2190" s="264"/>
      <c r="J2190" s="327"/>
      <c r="K2190" s="327"/>
      <c r="L2190" s="327"/>
      <c r="M2190" s="321"/>
      <c r="N2190" s="321"/>
      <c r="O2190" s="364"/>
      <c r="P2190" s="381"/>
      <c r="R2190" s="392"/>
      <c r="S2190" s="61" ph="1"/>
      <c r="U2190" s="229"/>
      <c r="V2190" s="264"/>
      <c r="W2190" s="199"/>
      <c r="X2190" s="264"/>
      <c r="Y2190" s="264"/>
      <c r="Z2190" s="386"/>
      <c r="AD2190" s="264"/>
      <c r="AE2190" s="264"/>
      <c r="AF2190" s="264"/>
      <c r="AG2190" s="264"/>
    </row>
    <row r="2191" spans="1:33" ht="26.25">
      <c r="A2191" s="264"/>
      <c r="B2191" s="264"/>
      <c r="C2191" s="264"/>
      <c r="D2191" s="264"/>
      <c r="E2191" s="264"/>
      <c r="F2191" s="264"/>
      <c r="G2191" s="264"/>
      <c r="H2191" s="264"/>
      <c r="I2191" s="264"/>
      <c r="J2191" s="327"/>
      <c r="K2191" s="327"/>
      <c r="L2191" s="327"/>
      <c r="M2191" s="321"/>
      <c r="N2191" s="321"/>
      <c r="O2191" s="364"/>
      <c r="P2191" s="381"/>
      <c r="R2191" s="392"/>
      <c r="S2191" s="61" ph="1"/>
      <c r="U2191" s="229"/>
      <c r="V2191" s="264"/>
      <c r="W2191" s="199"/>
      <c r="X2191" s="264"/>
      <c r="Y2191" s="264"/>
      <c r="Z2191" s="386"/>
      <c r="AD2191" s="264"/>
      <c r="AE2191" s="264"/>
      <c r="AF2191" s="264"/>
      <c r="AG2191" s="264"/>
    </row>
    <row r="2192" spans="1:33" ht="26.25">
      <c r="A2192" s="264"/>
      <c r="B2192" s="264"/>
      <c r="C2192" s="264"/>
      <c r="D2192" s="264"/>
      <c r="E2192" s="264"/>
      <c r="F2192" s="264"/>
      <c r="G2192" s="264"/>
      <c r="H2192" s="264"/>
      <c r="I2192" s="264"/>
      <c r="J2192" s="327"/>
      <c r="K2192" s="327"/>
      <c r="L2192" s="327"/>
      <c r="M2192" s="321"/>
      <c r="N2192" s="321"/>
      <c r="O2192" s="364"/>
      <c r="P2192" s="381"/>
      <c r="R2192" s="392"/>
      <c r="S2192" s="61" ph="1"/>
      <c r="U2192" s="229"/>
      <c r="V2192" s="264"/>
      <c r="W2192" s="199"/>
      <c r="X2192" s="264"/>
      <c r="Y2192" s="264"/>
      <c r="Z2192" s="386"/>
      <c r="AD2192" s="264"/>
      <c r="AE2192" s="264"/>
      <c r="AF2192" s="264"/>
      <c r="AG2192" s="264"/>
    </row>
    <row r="2193" spans="1:33" ht="26.25">
      <c r="A2193" s="264"/>
      <c r="B2193" s="264"/>
      <c r="C2193" s="264"/>
      <c r="D2193" s="264"/>
      <c r="E2193" s="264"/>
      <c r="F2193" s="264"/>
      <c r="G2193" s="264"/>
      <c r="H2193" s="264"/>
      <c r="I2193" s="264"/>
      <c r="J2193" s="327"/>
      <c r="K2193" s="327"/>
      <c r="L2193" s="327"/>
      <c r="M2193" s="321"/>
      <c r="N2193" s="321"/>
      <c r="O2193" s="364"/>
      <c r="P2193" s="381"/>
      <c r="R2193" s="392"/>
      <c r="S2193" s="61" ph="1"/>
      <c r="U2193" s="229"/>
      <c r="V2193" s="264"/>
      <c r="W2193" s="199"/>
      <c r="X2193" s="264"/>
      <c r="Y2193" s="264"/>
      <c r="Z2193" s="386"/>
      <c r="AD2193" s="264"/>
      <c r="AE2193" s="264"/>
      <c r="AF2193" s="264"/>
      <c r="AG2193" s="264"/>
    </row>
    <row r="2194" spans="1:33" ht="26.25">
      <c r="A2194" s="264"/>
      <c r="B2194" s="264"/>
      <c r="C2194" s="264"/>
      <c r="D2194" s="264"/>
      <c r="E2194" s="264"/>
      <c r="F2194" s="264"/>
      <c r="G2194" s="264"/>
      <c r="H2194" s="264"/>
      <c r="I2194" s="264"/>
      <c r="J2194" s="327"/>
      <c r="K2194" s="327"/>
      <c r="L2194" s="327"/>
      <c r="M2194" s="321"/>
      <c r="N2194" s="321"/>
      <c r="O2194" s="364"/>
      <c r="P2194" s="381"/>
      <c r="R2194" s="392"/>
      <c r="S2194" s="61" ph="1"/>
      <c r="U2194" s="229"/>
      <c r="V2194" s="264"/>
      <c r="W2194" s="199"/>
      <c r="X2194" s="264"/>
      <c r="Y2194" s="264"/>
      <c r="Z2194" s="386"/>
      <c r="AD2194" s="264"/>
      <c r="AE2194" s="264"/>
      <c r="AF2194" s="264"/>
      <c r="AG2194" s="264"/>
    </row>
    <row r="2195" spans="1:33" ht="26.25">
      <c r="A2195" s="264"/>
      <c r="B2195" s="264"/>
      <c r="C2195" s="264"/>
      <c r="D2195" s="264"/>
      <c r="E2195" s="264"/>
      <c r="F2195" s="264"/>
      <c r="G2195" s="264"/>
      <c r="H2195" s="264"/>
      <c r="I2195" s="264"/>
      <c r="J2195" s="327"/>
      <c r="K2195" s="327"/>
      <c r="L2195" s="327"/>
      <c r="M2195" s="321"/>
      <c r="N2195" s="321"/>
      <c r="O2195" s="364"/>
      <c r="P2195" s="381"/>
      <c r="R2195" s="392"/>
      <c r="S2195" s="61" ph="1"/>
      <c r="U2195" s="229"/>
      <c r="V2195" s="264"/>
      <c r="W2195" s="199"/>
      <c r="X2195" s="264"/>
      <c r="Y2195" s="264"/>
      <c r="Z2195" s="386"/>
      <c r="AD2195" s="264"/>
      <c r="AE2195" s="264"/>
      <c r="AF2195" s="264"/>
      <c r="AG2195" s="264"/>
    </row>
    <row r="2196" spans="1:33" ht="26.25">
      <c r="A2196" s="264"/>
      <c r="B2196" s="264"/>
      <c r="C2196" s="264"/>
      <c r="D2196" s="264"/>
      <c r="E2196" s="264"/>
      <c r="F2196" s="264"/>
      <c r="G2196" s="264"/>
      <c r="H2196" s="264"/>
      <c r="I2196" s="264"/>
      <c r="J2196" s="327"/>
      <c r="K2196" s="327"/>
      <c r="L2196" s="327"/>
      <c r="M2196" s="321"/>
      <c r="N2196" s="321"/>
      <c r="O2196" s="364"/>
      <c r="P2196" s="381"/>
      <c r="R2196" s="392"/>
      <c r="S2196" s="61" ph="1"/>
      <c r="U2196" s="229"/>
      <c r="V2196" s="264"/>
      <c r="W2196" s="199"/>
      <c r="X2196" s="264"/>
      <c r="Y2196" s="264"/>
      <c r="Z2196" s="386"/>
      <c r="AD2196" s="264"/>
      <c r="AE2196" s="264"/>
      <c r="AF2196" s="264"/>
      <c r="AG2196" s="264"/>
    </row>
    <row r="2197" spans="1:33" ht="26.25">
      <c r="A2197" s="264"/>
      <c r="B2197" s="264"/>
      <c r="C2197" s="264"/>
      <c r="D2197" s="264"/>
      <c r="E2197" s="264"/>
      <c r="F2197" s="264"/>
      <c r="G2197" s="264"/>
      <c r="H2197" s="264"/>
      <c r="I2197" s="264"/>
      <c r="J2197" s="327"/>
      <c r="K2197" s="327"/>
      <c r="L2197" s="327"/>
      <c r="M2197" s="321"/>
      <c r="N2197" s="321"/>
      <c r="O2197" s="364"/>
      <c r="P2197" s="381"/>
      <c r="R2197" s="392"/>
      <c r="S2197" s="61" ph="1"/>
      <c r="U2197" s="229"/>
      <c r="V2197" s="264"/>
      <c r="W2197" s="199"/>
      <c r="X2197" s="264"/>
      <c r="Y2197" s="264"/>
      <c r="Z2197" s="386"/>
      <c r="AD2197" s="264"/>
      <c r="AE2197" s="264"/>
      <c r="AF2197" s="264"/>
      <c r="AG2197" s="264"/>
    </row>
    <row r="2198" spans="1:33" ht="26.25">
      <c r="A2198" s="264"/>
      <c r="B2198" s="264"/>
      <c r="C2198" s="264"/>
      <c r="D2198" s="264"/>
      <c r="E2198" s="264"/>
      <c r="F2198" s="264"/>
      <c r="G2198" s="264"/>
      <c r="H2198" s="264"/>
      <c r="I2198" s="264"/>
      <c r="J2198" s="327"/>
      <c r="K2198" s="327"/>
      <c r="L2198" s="327"/>
      <c r="M2198" s="321"/>
      <c r="N2198" s="321"/>
      <c r="O2198" s="364"/>
      <c r="P2198" s="381"/>
      <c r="R2198" s="392"/>
      <c r="S2198" s="61" ph="1"/>
      <c r="U2198" s="229"/>
      <c r="V2198" s="264"/>
      <c r="W2198" s="199"/>
      <c r="X2198" s="264"/>
      <c r="Y2198" s="264"/>
      <c r="Z2198" s="386"/>
      <c r="AD2198" s="264"/>
      <c r="AE2198" s="264"/>
      <c r="AF2198" s="264"/>
      <c r="AG2198" s="264"/>
    </row>
    <row r="2199" spans="1:33" ht="26.25">
      <c r="A2199" s="264"/>
      <c r="B2199" s="264"/>
      <c r="C2199" s="264"/>
      <c r="D2199" s="264"/>
      <c r="E2199" s="264"/>
      <c r="F2199" s="264"/>
      <c r="G2199" s="264"/>
      <c r="H2199" s="264"/>
      <c r="I2199" s="264"/>
      <c r="J2199" s="327"/>
      <c r="K2199" s="327"/>
      <c r="L2199" s="327"/>
      <c r="M2199" s="321"/>
      <c r="N2199" s="321"/>
      <c r="O2199" s="364"/>
      <c r="P2199" s="381"/>
      <c r="R2199" s="392"/>
      <c r="S2199" s="61" ph="1"/>
      <c r="U2199" s="229"/>
      <c r="V2199" s="264"/>
      <c r="W2199" s="199"/>
      <c r="X2199" s="264"/>
      <c r="Y2199" s="264"/>
      <c r="Z2199" s="386"/>
      <c r="AD2199" s="264"/>
      <c r="AE2199" s="264"/>
      <c r="AF2199" s="264"/>
      <c r="AG2199" s="264"/>
    </row>
    <row r="2200" spans="1:33" ht="26.25">
      <c r="A2200" s="264"/>
      <c r="B2200" s="264"/>
      <c r="C2200" s="264"/>
      <c r="D2200" s="264"/>
      <c r="E2200" s="264"/>
      <c r="F2200" s="264"/>
      <c r="G2200" s="264"/>
      <c r="H2200" s="264"/>
      <c r="I2200" s="264"/>
      <c r="J2200" s="327"/>
      <c r="K2200" s="327"/>
      <c r="L2200" s="327"/>
      <c r="M2200" s="321"/>
      <c r="N2200" s="321"/>
      <c r="O2200" s="364"/>
      <c r="P2200" s="381"/>
      <c r="R2200" s="392"/>
      <c r="S2200" s="61" ph="1"/>
      <c r="U2200" s="229"/>
      <c r="V2200" s="264"/>
      <c r="W2200" s="199"/>
      <c r="X2200" s="264"/>
      <c r="Y2200" s="264"/>
      <c r="Z2200" s="386"/>
      <c r="AD2200" s="264"/>
      <c r="AE2200" s="264"/>
      <c r="AF2200" s="264"/>
      <c r="AG2200" s="264"/>
    </row>
    <row r="2201" spans="1:33" ht="26.25">
      <c r="A2201" s="264"/>
      <c r="B2201" s="264"/>
      <c r="C2201" s="264"/>
      <c r="D2201" s="264"/>
      <c r="E2201" s="264"/>
      <c r="F2201" s="264"/>
      <c r="G2201" s="264"/>
      <c r="H2201" s="264"/>
      <c r="I2201" s="264"/>
      <c r="J2201" s="327"/>
      <c r="K2201" s="327"/>
      <c r="L2201" s="327"/>
      <c r="M2201" s="321"/>
      <c r="N2201" s="321"/>
      <c r="O2201" s="364"/>
      <c r="P2201" s="381"/>
      <c r="R2201" s="392"/>
      <c r="S2201" s="61" ph="1"/>
      <c r="U2201" s="229"/>
      <c r="V2201" s="264"/>
      <c r="W2201" s="199"/>
      <c r="X2201" s="264"/>
      <c r="Y2201" s="264"/>
      <c r="Z2201" s="386"/>
      <c r="AD2201" s="264"/>
      <c r="AE2201" s="264"/>
      <c r="AF2201" s="264"/>
      <c r="AG2201" s="264"/>
    </row>
    <row r="2202" spans="1:33" ht="26.25">
      <c r="A2202" s="264"/>
      <c r="B2202" s="264"/>
      <c r="C2202" s="264"/>
      <c r="D2202" s="264"/>
      <c r="E2202" s="264"/>
      <c r="F2202" s="264"/>
      <c r="G2202" s="264"/>
      <c r="H2202" s="264"/>
      <c r="I2202" s="264"/>
      <c r="J2202" s="327"/>
      <c r="K2202" s="327"/>
      <c r="L2202" s="327"/>
      <c r="M2202" s="321"/>
      <c r="N2202" s="321"/>
      <c r="O2202" s="364"/>
      <c r="P2202" s="381"/>
      <c r="R2202" s="392"/>
      <c r="S2202" s="61" ph="1"/>
      <c r="U2202" s="229"/>
      <c r="V2202" s="264"/>
      <c r="W2202" s="199"/>
      <c r="X2202" s="264"/>
      <c r="Y2202" s="264"/>
      <c r="Z2202" s="386"/>
      <c r="AD2202" s="264"/>
      <c r="AE2202" s="264"/>
      <c r="AF2202" s="264"/>
      <c r="AG2202" s="264"/>
    </row>
    <row r="2203" spans="1:33" ht="26.25">
      <c r="A2203" s="264"/>
      <c r="B2203" s="264"/>
      <c r="C2203" s="264"/>
      <c r="D2203" s="264"/>
      <c r="E2203" s="264"/>
      <c r="F2203" s="264"/>
      <c r="G2203" s="264"/>
      <c r="H2203" s="264"/>
      <c r="I2203" s="264"/>
      <c r="J2203" s="327"/>
      <c r="K2203" s="327"/>
      <c r="L2203" s="327"/>
      <c r="M2203" s="321"/>
      <c r="N2203" s="321"/>
      <c r="O2203" s="364"/>
      <c r="P2203" s="381"/>
      <c r="R2203" s="392"/>
      <c r="S2203" s="61" ph="1"/>
      <c r="U2203" s="229"/>
      <c r="V2203" s="264"/>
      <c r="W2203" s="199"/>
      <c r="X2203" s="264"/>
      <c r="Y2203" s="264"/>
      <c r="Z2203" s="386"/>
      <c r="AD2203" s="264"/>
      <c r="AE2203" s="264"/>
      <c r="AF2203" s="264"/>
      <c r="AG2203" s="264"/>
    </row>
    <row r="2204" spans="1:33" ht="26.25">
      <c r="A2204" s="264"/>
      <c r="B2204" s="264"/>
      <c r="C2204" s="264"/>
      <c r="D2204" s="264"/>
      <c r="E2204" s="264"/>
      <c r="F2204" s="264"/>
      <c r="G2204" s="264"/>
      <c r="H2204" s="264"/>
      <c r="I2204" s="264"/>
      <c r="J2204" s="327"/>
      <c r="K2204" s="327"/>
      <c r="L2204" s="327"/>
      <c r="M2204" s="321"/>
      <c r="N2204" s="321"/>
      <c r="O2204" s="364"/>
      <c r="P2204" s="381"/>
      <c r="R2204" s="392"/>
      <c r="S2204" s="61" ph="1"/>
      <c r="U2204" s="229"/>
      <c r="V2204" s="264"/>
      <c r="W2204" s="199"/>
      <c r="X2204" s="264"/>
      <c r="Y2204" s="264"/>
      <c r="Z2204" s="386"/>
      <c r="AD2204" s="264"/>
      <c r="AE2204" s="264"/>
      <c r="AF2204" s="264"/>
      <c r="AG2204" s="264"/>
    </row>
    <row r="2205" spans="1:33" ht="26.25">
      <c r="A2205" s="264"/>
      <c r="B2205" s="264"/>
      <c r="C2205" s="264"/>
      <c r="D2205" s="264"/>
      <c r="E2205" s="264"/>
      <c r="F2205" s="264"/>
      <c r="G2205" s="264"/>
      <c r="H2205" s="264"/>
      <c r="I2205" s="264"/>
      <c r="J2205" s="327"/>
      <c r="K2205" s="327"/>
      <c r="L2205" s="327"/>
      <c r="M2205" s="321"/>
      <c r="N2205" s="321"/>
      <c r="O2205" s="364"/>
      <c r="P2205" s="381"/>
      <c r="R2205" s="392"/>
      <c r="S2205" s="61" ph="1"/>
      <c r="U2205" s="229"/>
      <c r="V2205" s="264"/>
      <c r="W2205" s="199"/>
      <c r="X2205" s="264"/>
      <c r="Y2205" s="264"/>
      <c r="Z2205" s="386"/>
      <c r="AD2205" s="264"/>
      <c r="AE2205" s="264"/>
      <c r="AF2205" s="264"/>
      <c r="AG2205" s="264"/>
    </row>
    <row r="2206" spans="1:33" ht="26.25">
      <c r="A2206" s="264"/>
      <c r="B2206" s="264"/>
      <c r="C2206" s="264"/>
      <c r="D2206" s="264"/>
      <c r="E2206" s="264"/>
      <c r="F2206" s="264"/>
      <c r="G2206" s="264"/>
      <c r="H2206" s="264"/>
      <c r="I2206" s="264"/>
      <c r="J2206" s="327"/>
      <c r="K2206" s="327"/>
      <c r="L2206" s="327"/>
      <c r="M2206" s="321"/>
      <c r="N2206" s="321"/>
      <c r="O2206" s="364"/>
      <c r="P2206" s="381"/>
      <c r="R2206" s="392"/>
      <c r="S2206" s="61" ph="1"/>
      <c r="U2206" s="229"/>
      <c r="V2206" s="264"/>
      <c r="W2206" s="199"/>
      <c r="X2206" s="264"/>
      <c r="Y2206" s="264"/>
      <c r="Z2206" s="386"/>
      <c r="AD2206" s="264"/>
      <c r="AE2206" s="264"/>
      <c r="AF2206" s="264"/>
      <c r="AG2206" s="264"/>
    </row>
    <row r="2207" spans="1:33" ht="26.25">
      <c r="A2207" s="264"/>
      <c r="B2207" s="264"/>
      <c r="C2207" s="264"/>
      <c r="D2207" s="264"/>
      <c r="E2207" s="264"/>
      <c r="F2207" s="264"/>
      <c r="G2207" s="264"/>
      <c r="H2207" s="264"/>
      <c r="I2207" s="264"/>
      <c r="J2207" s="327"/>
      <c r="K2207" s="327"/>
      <c r="L2207" s="327"/>
      <c r="M2207" s="321"/>
      <c r="N2207" s="321"/>
      <c r="O2207" s="364"/>
      <c r="P2207" s="381"/>
      <c r="R2207" s="392"/>
      <c r="S2207" s="61" ph="1"/>
      <c r="U2207" s="229"/>
      <c r="V2207" s="264"/>
      <c r="W2207" s="199"/>
      <c r="X2207" s="264"/>
      <c r="Y2207" s="264"/>
      <c r="Z2207" s="386"/>
      <c r="AD2207" s="264"/>
      <c r="AE2207" s="264"/>
      <c r="AF2207" s="264"/>
      <c r="AG2207" s="264"/>
    </row>
    <row r="2208" spans="1:33" ht="26.25">
      <c r="A2208" s="264"/>
      <c r="B2208" s="264"/>
      <c r="C2208" s="264"/>
      <c r="D2208" s="264"/>
      <c r="E2208" s="264"/>
      <c r="F2208" s="264"/>
      <c r="G2208" s="264"/>
      <c r="H2208" s="264"/>
      <c r="I2208" s="264"/>
      <c r="J2208" s="327"/>
      <c r="K2208" s="327"/>
      <c r="L2208" s="327"/>
      <c r="M2208" s="321"/>
      <c r="N2208" s="321"/>
      <c r="O2208" s="364"/>
      <c r="P2208" s="381"/>
      <c r="R2208" s="392"/>
      <c r="S2208" s="61" ph="1"/>
      <c r="U2208" s="229"/>
      <c r="V2208" s="264"/>
      <c r="W2208" s="199"/>
      <c r="X2208" s="264"/>
      <c r="Y2208" s="264"/>
      <c r="Z2208" s="386"/>
      <c r="AD2208" s="264"/>
      <c r="AE2208" s="264"/>
      <c r="AF2208" s="264"/>
      <c r="AG2208" s="264"/>
    </row>
    <row r="2209" spans="1:33" ht="26.25">
      <c r="A2209" s="264"/>
      <c r="B2209" s="264"/>
      <c r="C2209" s="264"/>
      <c r="D2209" s="264"/>
      <c r="E2209" s="264"/>
      <c r="F2209" s="264"/>
      <c r="G2209" s="264"/>
      <c r="H2209" s="264"/>
      <c r="I2209" s="264"/>
      <c r="J2209" s="327"/>
      <c r="K2209" s="327"/>
      <c r="L2209" s="327"/>
      <c r="M2209" s="321"/>
      <c r="N2209" s="321"/>
      <c r="O2209" s="364"/>
      <c r="P2209" s="381"/>
      <c r="R2209" s="392"/>
      <c r="S2209" s="61" ph="1"/>
      <c r="U2209" s="229"/>
      <c r="V2209" s="264"/>
      <c r="W2209" s="199"/>
      <c r="X2209" s="264"/>
      <c r="Y2209" s="264"/>
      <c r="Z2209" s="386"/>
      <c r="AD2209" s="264"/>
      <c r="AE2209" s="264"/>
      <c r="AF2209" s="264"/>
      <c r="AG2209" s="264"/>
    </row>
    <row r="2210" spans="1:33" ht="26.25">
      <c r="A2210" s="264"/>
      <c r="B2210" s="264"/>
      <c r="C2210" s="264"/>
      <c r="D2210" s="264"/>
      <c r="E2210" s="264"/>
      <c r="F2210" s="264"/>
      <c r="G2210" s="264"/>
      <c r="H2210" s="264"/>
      <c r="I2210" s="264"/>
      <c r="J2210" s="327"/>
      <c r="K2210" s="327"/>
      <c r="L2210" s="327"/>
      <c r="M2210" s="321"/>
      <c r="N2210" s="321"/>
      <c r="O2210" s="364"/>
      <c r="P2210" s="381"/>
      <c r="R2210" s="392"/>
      <c r="S2210" s="61" ph="1"/>
      <c r="U2210" s="229"/>
      <c r="V2210" s="264"/>
      <c r="W2210" s="199"/>
      <c r="X2210" s="264"/>
      <c r="Y2210" s="264"/>
      <c r="Z2210" s="386"/>
      <c r="AD2210" s="264"/>
      <c r="AE2210" s="264"/>
      <c r="AF2210" s="264"/>
      <c r="AG2210" s="264"/>
    </row>
    <row r="2211" spans="1:33" ht="26.25">
      <c r="A2211" s="264"/>
      <c r="B2211" s="264"/>
      <c r="C2211" s="264"/>
      <c r="D2211" s="264"/>
      <c r="E2211" s="264"/>
      <c r="F2211" s="264"/>
      <c r="G2211" s="264"/>
      <c r="H2211" s="264"/>
      <c r="I2211" s="264"/>
      <c r="J2211" s="327"/>
      <c r="K2211" s="327"/>
      <c r="L2211" s="327"/>
      <c r="M2211" s="321"/>
      <c r="N2211" s="321"/>
      <c r="O2211" s="364"/>
      <c r="P2211" s="381"/>
      <c r="R2211" s="392"/>
      <c r="S2211" s="61" ph="1"/>
      <c r="U2211" s="229"/>
      <c r="V2211" s="264"/>
      <c r="W2211" s="199"/>
      <c r="X2211" s="264"/>
      <c r="Y2211" s="264"/>
      <c r="Z2211" s="386"/>
      <c r="AD2211" s="264"/>
      <c r="AE2211" s="264"/>
      <c r="AF2211" s="264"/>
      <c r="AG2211" s="264"/>
    </row>
    <row r="2212" spans="1:33" ht="26.25">
      <c r="A2212" s="264"/>
      <c r="B2212" s="264"/>
      <c r="C2212" s="264"/>
      <c r="D2212" s="264"/>
      <c r="E2212" s="264"/>
      <c r="F2212" s="264"/>
      <c r="G2212" s="264"/>
      <c r="H2212" s="264"/>
      <c r="I2212" s="264"/>
      <c r="J2212" s="327"/>
      <c r="K2212" s="327"/>
      <c r="L2212" s="327"/>
      <c r="M2212" s="321"/>
      <c r="N2212" s="321"/>
      <c r="O2212" s="364"/>
      <c r="P2212" s="381"/>
      <c r="R2212" s="392"/>
      <c r="S2212" s="61" ph="1"/>
      <c r="U2212" s="229"/>
      <c r="V2212" s="264"/>
      <c r="W2212" s="199"/>
      <c r="X2212" s="264"/>
      <c r="Y2212" s="264"/>
      <c r="Z2212" s="386"/>
      <c r="AD2212" s="264"/>
      <c r="AE2212" s="264"/>
      <c r="AF2212" s="264"/>
      <c r="AG2212" s="264"/>
    </row>
    <row r="2213" spans="1:33" ht="26.25">
      <c r="A2213" s="264"/>
      <c r="B2213" s="264"/>
      <c r="C2213" s="264"/>
      <c r="D2213" s="264"/>
      <c r="E2213" s="264"/>
      <c r="F2213" s="264"/>
      <c r="G2213" s="264"/>
      <c r="H2213" s="264"/>
      <c r="I2213" s="264"/>
      <c r="J2213" s="327"/>
      <c r="K2213" s="327"/>
      <c r="L2213" s="327"/>
      <c r="M2213" s="321"/>
      <c r="N2213" s="321"/>
      <c r="O2213" s="364"/>
      <c r="P2213" s="381"/>
      <c r="R2213" s="392"/>
      <c r="S2213" s="61" ph="1"/>
      <c r="U2213" s="229"/>
      <c r="V2213" s="264"/>
      <c r="W2213" s="199"/>
      <c r="X2213" s="264"/>
      <c r="Y2213" s="264"/>
      <c r="Z2213" s="386"/>
      <c r="AD2213" s="264"/>
      <c r="AE2213" s="264"/>
      <c r="AF2213" s="264"/>
      <c r="AG2213" s="264"/>
    </row>
    <row r="2214" spans="1:33" ht="26.25">
      <c r="A2214" s="264"/>
      <c r="B2214" s="264"/>
      <c r="C2214" s="264"/>
      <c r="D2214" s="264"/>
      <c r="E2214" s="264"/>
      <c r="F2214" s="264"/>
      <c r="G2214" s="264"/>
      <c r="H2214" s="264"/>
      <c r="I2214" s="264"/>
      <c r="J2214" s="327"/>
      <c r="K2214" s="327"/>
      <c r="L2214" s="327"/>
      <c r="M2214" s="321"/>
      <c r="N2214" s="321"/>
      <c r="O2214" s="364"/>
      <c r="P2214" s="381"/>
      <c r="R2214" s="392"/>
      <c r="S2214" s="61" ph="1"/>
      <c r="U2214" s="229"/>
      <c r="V2214" s="264"/>
      <c r="W2214" s="199"/>
      <c r="X2214" s="264"/>
      <c r="Y2214" s="264"/>
      <c r="Z2214" s="386"/>
      <c r="AD2214" s="264"/>
      <c r="AE2214" s="264"/>
      <c r="AF2214" s="264"/>
      <c r="AG2214" s="264"/>
    </row>
    <row r="2215" spans="1:33" ht="26.25">
      <c r="A2215" s="264"/>
      <c r="B2215" s="264"/>
      <c r="C2215" s="264"/>
      <c r="D2215" s="264"/>
      <c r="E2215" s="264"/>
      <c r="F2215" s="264"/>
      <c r="G2215" s="264"/>
      <c r="H2215" s="264"/>
      <c r="I2215" s="264"/>
      <c r="J2215" s="327"/>
      <c r="K2215" s="327"/>
      <c r="L2215" s="327"/>
      <c r="M2215" s="321"/>
      <c r="N2215" s="321"/>
      <c r="O2215" s="364"/>
      <c r="P2215" s="381"/>
      <c r="R2215" s="392"/>
      <c r="S2215" s="61" ph="1"/>
      <c r="U2215" s="229"/>
      <c r="V2215" s="264"/>
      <c r="W2215" s="199"/>
      <c r="X2215" s="264"/>
      <c r="Y2215" s="264"/>
      <c r="Z2215" s="386"/>
      <c r="AD2215" s="264"/>
      <c r="AE2215" s="264"/>
      <c r="AF2215" s="264"/>
      <c r="AG2215" s="264"/>
    </row>
    <row r="2216" spans="1:33" ht="26.25">
      <c r="A2216" s="264"/>
      <c r="B2216" s="264"/>
      <c r="C2216" s="264"/>
      <c r="D2216" s="264"/>
      <c r="E2216" s="264"/>
      <c r="F2216" s="264"/>
      <c r="G2216" s="264"/>
      <c r="H2216" s="264"/>
      <c r="I2216" s="264"/>
      <c r="J2216" s="327"/>
      <c r="K2216" s="327"/>
      <c r="L2216" s="327"/>
      <c r="M2216" s="321"/>
      <c r="N2216" s="321"/>
      <c r="O2216" s="364"/>
      <c r="P2216" s="381"/>
      <c r="R2216" s="392"/>
      <c r="S2216" s="61" ph="1"/>
      <c r="U2216" s="229"/>
      <c r="V2216" s="264"/>
      <c r="W2216" s="199"/>
      <c r="X2216" s="264"/>
      <c r="Y2216" s="264"/>
      <c r="Z2216" s="386"/>
      <c r="AD2216" s="264"/>
      <c r="AE2216" s="264"/>
      <c r="AF2216" s="264"/>
      <c r="AG2216" s="264"/>
    </row>
    <row r="2217" spans="1:33" ht="26.25">
      <c r="A2217" s="264"/>
      <c r="B2217" s="264"/>
      <c r="C2217" s="264"/>
      <c r="D2217" s="264"/>
      <c r="E2217" s="264"/>
      <c r="F2217" s="264"/>
      <c r="G2217" s="264"/>
      <c r="H2217" s="264"/>
      <c r="I2217" s="264"/>
      <c r="J2217" s="327"/>
      <c r="K2217" s="327"/>
      <c r="L2217" s="327"/>
      <c r="M2217" s="321"/>
      <c r="N2217" s="321"/>
      <c r="O2217" s="364"/>
      <c r="P2217" s="381"/>
      <c r="R2217" s="392"/>
      <c r="S2217" s="61" ph="1"/>
      <c r="U2217" s="229"/>
      <c r="V2217" s="264"/>
      <c r="W2217" s="199"/>
      <c r="X2217" s="264"/>
      <c r="Y2217" s="264"/>
      <c r="Z2217" s="386"/>
      <c r="AD2217" s="264"/>
      <c r="AE2217" s="264"/>
      <c r="AF2217" s="264"/>
      <c r="AG2217" s="264"/>
    </row>
    <row r="2218" spans="1:33" ht="26.25">
      <c r="A2218" s="264"/>
      <c r="B2218" s="264"/>
      <c r="C2218" s="264"/>
      <c r="D2218" s="264"/>
      <c r="E2218" s="264"/>
      <c r="F2218" s="264"/>
      <c r="G2218" s="264"/>
      <c r="H2218" s="264"/>
      <c r="I2218" s="264"/>
      <c r="J2218" s="327"/>
      <c r="K2218" s="327"/>
      <c r="L2218" s="327"/>
      <c r="M2218" s="321"/>
      <c r="N2218" s="321"/>
      <c r="O2218" s="364"/>
      <c r="P2218" s="381"/>
      <c r="R2218" s="392"/>
      <c r="S2218" s="61" ph="1"/>
      <c r="U2218" s="229"/>
      <c r="V2218" s="264"/>
      <c r="W2218" s="199"/>
      <c r="X2218" s="264"/>
      <c r="Y2218" s="264"/>
      <c r="Z2218" s="386"/>
      <c r="AD2218" s="264"/>
      <c r="AE2218" s="264"/>
      <c r="AF2218" s="264"/>
      <c r="AG2218" s="264"/>
    </row>
    <row r="2219" spans="1:33" ht="26.25">
      <c r="A2219" s="264"/>
      <c r="B2219" s="264"/>
      <c r="C2219" s="264"/>
      <c r="D2219" s="264"/>
      <c r="E2219" s="264"/>
      <c r="F2219" s="264"/>
      <c r="G2219" s="264"/>
      <c r="H2219" s="264"/>
      <c r="I2219" s="264"/>
      <c r="J2219" s="327"/>
      <c r="K2219" s="327"/>
      <c r="L2219" s="327"/>
      <c r="M2219" s="321"/>
      <c r="N2219" s="321"/>
      <c r="O2219" s="364"/>
      <c r="P2219" s="381"/>
      <c r="R2219" s="392"/>
      <c r="S2219" s="61" ph="1"/>
      <c r="U2219" s="229"/>
      <c r="V2219" s="264"/>
      <c r="W2219" s="199"/>
      <c r="X2219" s="264"/>
      <c r="Y2219" s="264"/>
      <c r="Z2219" s="386"/>
      <c r="AD2219" s="264"/>
      <c r="AE2219" s="264"/>
      <c r="AF2219" s="264"/>
      <c r="AG2219" s="264"/>
    </row>
    <row r="2220" spans="1:33" ht="26.25">
      <c r="A2220" s="264"/>
      <c r="B2220" s="264"/>
      <c r="C2220" s="264"/>
      <c r="D2220" s="264"/>
      <c r="E2220" s="264"/>
      <c r="F2220" s="264"/>
      <c r="G2220" s="264"/>
      <c r="H2220" s="264"/>
      <c r="I2220" s="264"/>
      <c r="J2220" s="327"/>
      <c r="K2220" s="327"/>
      <c r="L2220" s="327"/>
      <c r="M2220" s="321"/>
      <c r="N2220" s="321"/>
      <c r="O2220" s="364"/>
      <c r="P2220" s="381"/>
      <c r="R2220" s="392"/>
      <c r="S2220" s="61" ph="1"/>
      <c r="U2220" s="229"/>
      <c r="V2220" s="264"/>
      <c r="W2220" s="199"/>
      <c r="X2220" s="264"/>
      <c r="Y2220" s="264"/>
      <c r="Z2220" s="386"/>
      <c r="AD2220" s="264"/>
      <c r="AE2220" s="264"/>
      <c r="AF2220" s="264"/>
      <c r="AG2220" s="264"/>
    </row>
    <row r="2221" spans="1:33" ht="26.25">
      <c r="A2221" s="264"/>
      <c r="B2221" s="264"/>
      <c r="C2221" s="264"/>
      <c r="D2221" s="264"/>
      <c r="E2221" s="264"/>
      <c r="F2221" s="264"/>
      <c r="G2221" s="264"/>
      <c r="H2221" s="264"/>
      <c r="I2221" s="264"/>
      <c r="J2221" s="327"/>
      <c r="K2221" s="327"/>
      <c r="L2221" s="327"/>
      <c r="M2221" s="321"/>
      <c r="N2221" s="321"/>
      <c r="O2221" s="364"/>
      <c r="P2221" s="381"/>
      <c r="R2221" s="392"/>
      <c r="S2221" s="61" ph="1"/>
      <c r="U2221" s="229"/>
      <c r="V2221" s="264"/>
      <c r="W2221" s="199"/>
      <c r="X2221" s="264"/>
      <c r="Y2221" s="264"/>
      <c r="Z2221" s="386"/>
      <c r="AD2221" s="264"/>
      <c r="AE2221" s="264"/>
      <c r="AF2221" s="264"/>
      <c r="AG2221" s="264"/>
    </row>
    <row r="2222" spans="1:33" ht="26.25">
      <c r="A2222" s="264"/>
      <c r="B2222" s="264"/>
      <c r="C2222" s="264"/>
      <c r="D2222" s="264"/>
      <c r="E2222" s="264"/>
      <c r="F2222" s="264"/>
      <c r="G2222" s="264"/>
      <c r="H2222" s="264"/>
      <c r="I2222" s="264"/>
      <c r="J2222" s="327"/>
      <c r="K2222" s="327"/>
      <c r="L2222" s="327"/>
      <c r="M2222" s="321"/>
      <c r="N2222" s="321"/>
      <c r="O2222" s="364"/>
      <c r="P2222" s="381"/>
      <c r="R2222" s="392"/>
      <c r="S2222" s="61" ph="1"/>
      <c r="U2222" s="229"/>
      <c r="V2222" s="264"/>
      <c r="W2222" s="199"/>
      <c r="X2222" s="264"/>
      <c r="Y2222" s="264"/>
      <c r="Z2222" s="386"/>
      <c r="AD2222" s="264"/>
      <c r="AE2222" s="264"/>
      <c r="AF2222" s="264"/>
      <c r="AG2222" s="264"/>
    </row>
    <row r="2223" spans="1:33" ht="26.25">
      <c r="A2223" s="264"/>
      <c r="B2223" s="264"/>
      <c r="C2223" s="264"/>
      <c r="D2223" s="264"/>
      <c r="E2223" s="264"/>
      <c r="F2223" s="264"/>
      <c r="G2223" s="264"/>
      <c r="H2223" s="264"/>
      <c r="I2223" s="264"/>
      <c r="J2223" s="327"/>
      <c r="K2223" s="327"/>
      <c r="L2223" s="327"/>
      <c r="M2223" s="321"/>
      <c r="N2223" s="321"/>
      <c r="O2223" s="364"/>
      <c r="P2223" s="381"/>
      <c r="R2223" s="392"/>
      <c r="S2223" s="61" ph="1"/>
      <c r="U2223" s="229"/>
      <c r="V2223" s="264"/>
      <c r="W2223" s="199"/>
      <c r="X2223" s="264"/>
      <c r="Y2223" s="264"/>
      <c r="Z2223" s="386"/>
      <c r="AD2223" s="264"/>
      <c r="AE2223" s="264"/>
      <c r="AF2223" s="264"/>
      <c r="AG2223" s="264"/>
    </row>
    <row r="2224" spans="1:33" ht="26.25">
      <c r="A2224" s="264"/>
      <c r="B2224" s="264"/>
      <c r="C2224" s="264"/>
      <c r="D2224" s="264"/>
      <c r="E2224" s="264"/>
      <c r="F2224" s="264"/>
      <c r="G2224" s="264"/>
      <c r="H2224" s="264"/>
      <c r="I2224" s="264"/>
      <c r="J2224" s="327"/>
      <c r="K2224" s="327"/>
      <c r="L2224" s="327"/>
      <c r="M2224" s="321"/>
      <c r="N2224" s="321"/>
      <c r="O2224" s="364"/>
      <c r="P2224" s="381"/>
      <c r="R2224" s="392"/>
      <c r="S2224" s="61" ph="1"/>
      <c r="U2224" s="229"/>
      <c r="V2224" s="264"/>
      <c r="W2224" s="199"/>
      <c r="X2224" s="264"/>
      <c r="Y2224" s="264"/>
      <c r="Z2224" s="386"/>
      <c r="AD2224" s="264"/>
      <c r="AE2224" s="264"/>
      <c r="AF2224" s="264"/>
      <c r="AG2224" s="264"/>
    </row>
    <row r="2225" spans="1:33" ht="26.25">
      <c r="A2225" s="264"/>
      <c r="B2225" s="264"/>
      <c r="C2225" s="264"/>
      <c r="D2225" s="264"/>
      <c r="E2225" s="264"/>
      <c r="F2225" s="264"/>
      <c r="G2225" s="264"/>
      <c r="H2225" s="264"/>
      <c r="I2225" s="264"/>
      <c r="J2225" s="327"/>
      <c r="K2225" s="327"/>
      <c r="L2225" s="327"/>
      <c r="M2225" s="321"/>
      <c r="N2225" s="321"/>
      <c r="O2225" s="364"/>
      <c r="P2225" s="381"/>
      <c r="R2225" s="392"/>
      <c r="S2225" s="61" ph="1"/>
      <c r="U2225" s="229"/>
      <c r="V2225" s="264"/>
      <c r="W2225" s="199"/>
      <c r="X2225" s="264"/>
      <c r="Y2225" s="264"/>
      <c r="Z2225" s="386"/>
      <c r="AD2225" s="264"/>
      <c r="AE2225" s="264"/>
      <c r="AF2225" s="264"/>
      <c r="AG2225" s="264"/>
    </row>
    <row r="2226" spans="1:33" ht="26.25">
      <c r="A2226" s="264"/>
      <c r="B2226" s="264"/>
      <c r="C2226" s="264"/>
      <c r="D2226" s="264"/>
      <c r="E2226" s="264"/>
      <c r="F2226" s="264"/>
      <c r="G2226" s="264"/>
      <c r="H2226" s="264"/>
      <c r="I2226" s="264"/>
      <c r="J2226" s="327"/>
      <c r="K2226" s="327"/>
      <c r="L2226" s="327"/>
      <c r="M2226" s="321"/>
      <c r="N2226" s="321"/>
      <c r="O2226" s="364"/>
      <c r="P2226" s="381"/>
      <c r="R2226" s="392"/>
      <c r="S2226" s="61" ph="1"/>
      <c r="U2226" s="229"/>
      <c r="V2226" s="264"/>
      <c r="W2226" s="199"/>
      <c r="X2226" s="264"/>
      <c r="Y2226" s="264"/>
      <c r="Z2226" s="386"/>
      <c r="AD2226" s="264"/>
      <c r="AE2226" s="264"/>
      <c r="AF2226" s="264"/>
      <c r="AG2226" s="264"/>
    </row>
    <row r="2227" spans="1:33" ht="26.25">
      <c r="A2227" s="264"/>
      <c r="B2227" s="264"/>
      <c r="C2227" s="264"/>
      <c r="D2227" s="264"/>
      <c r="E2227" s="264"/>
      <c r="F2227" s="264"/>
      <c r="G2227" s="264"/>
      <c r="H2227" s="264"/>
      <c r="I2227" s="264"/>
      <c r="J2227" s="327"/>
      <c r="K2227" s="327"/>
      <c r="L2227" s="327"/>
      <c r="M2227" s="321"/>
      <c r="N2227" s="321"/>
      <c r="O2227" s="364"/>
      <c r="P2227" s="381"/>
      <c r="R2227" s="392"/>
      <c r="S2227" s="61" ph="1"/>
      <c r="U2227" s="229"/>
      <c r="V2227" s="264"/>
      <c r="W2227" s="199"/>
      <c r="X2227" s="264"/>
      <c r="Y2227" s="264"/>
      <c r="Z2227" s="386"/>
      <c r="AD2227" s="264"/>
      <c r="AE2227" s="264"/>
      <c r="AF2227" s="264"/>
      <c r="AG2227" s="264"/>
    </row>
    <row r="2228" spans="1:33" ht="26.25">
      <c r="A2228" s="264"/>
      <c r="B2228" s="264"/>
      <c r="C2228" s="264"/>
      <c r="D2228" s="264"/>
      <c r="E2228" s="264"/>
      <c r="F2228" s="264"/>
      <c r="G2228" s="264"/>
      <c r="H2228" s="264"/>
      <c r="I2228" s="264"/>
      <c r="J2228" s="327"/>
      <c r="K2228" s="327"/>
      <c r="L2228" s="327"/>
      <c r="M2228" s="321"/>
      <c r="N2228" s="321"/>
      <c r="O2228" s="364"/>
      <c r="P2228" s="381"/>
      <c r="R2228" s="392"/>
      <c r="S2228" s="61" ph="1"/>
      <c r="U2228" s="229"/>
      <c r="V2228" s="264"/>
      <c r="W2228" s="199"/>
      <c r="X2228" s="264"/>
      <c r="Y2228" s="264"/>
      <c r="Z2228" s="386"/>
      <c r="AD2228" s="264"/>
      <c r="AE2228" s="264"/>
      <c r="AF2228" s="264"/>
      <c r="AG2228" s="264"/>
    </row>
    <row r="2229" spans="1:33" ht="26.25">
      <c r="A2229" s="264"/>
      <c r="B2229" s="264"/>
      <c r="C2229" s="264"/>
      <c r="D2229" s="264"/>
      <c r="E2229" s="264"/>
      <c r="F2229" s="264"/>
      <c r="G2229" s="264"/>
      <c r="H2229" s="264"/>
      <c r="I2229" s="264"/>
      <c r="J2229" s="327"/>
      <c r="K2229" s="327"/>
      <c r="L2229" s="327"/>
      <c r="M2229" s="321"/>
      <c r="N2229" s="321"/>
      <c r="O2229" s="364"/>
      <c r="P2229" s="381"/>
      <c r="R2229" s="392"/>
      <c r="S2229" s="61" ph="1"/>
      <c r="U2229" s="229"/>
      <c r="V2229" s="264"/>
      <c r="W2229" s="199"/>
      <c r="X2229" s="264"/>
      <c r="Y2229" s="264"/>
      <c r="Z2229" s="386"/>
      <c r="AD2229" s="264"/>
      <c r="AE2229" s="264"/>
      <c r="AF2229" s="264"/>
      <c r="AG2229" s="264"/>
    </row>
    <row r="2230" spans="1:33" ht="26.25">
      <c r="A2230" s="264"/>
      <c r="B2230" s="264"/>
      <c r="C2230" s="264"/>
      <c r="D2230" s="264"/>
      <c r="E2230" s="264"/>
      <c r="F2230" s="264"/>
      <c r="G2230" s="264"/>
      <c r="H2230" s="264"/>
      <c r="I2230" s="264"/>
      <c r="J2230" s="327"/>
      <c r="K2230" s="327"/>
      <c r="L2230" s="327"/>
      <c r="M2230" s="321"/>
      <c r="N2230" s="321"/>
      <c r="O2230" s="364"/>
      <c r="P2230" s="381"/>
      <c r="R2230" s="392"/>
      <c r="S2230" s="61" ph="1"/>
      <c r="U2230" s="229"/>
      <c r="V2230" s="264"/>
      <c r="W2230" s="199"/>
      <c r="X2230" s="264"/>
      <c r="Y2230" s="264"/>
      <c r="Z2230" s="386"/>
      <c r="AD2230" s="264"/>
      <c r="AE2230" s="264"/>
      <c r="AF2230" s="264"/>
      <c r="AG2230" s="264"/>
    </row>
    <row r="2231" spans="1:33" ht="26.25">
      <c r="A2231" s="264"/>
      <c r="B2231" s="264"/>
      <c r="C2231" s="264"/>
      <c r="D2231" s="264"/>
      <c r="E2231" s="264"/>
      <c r="F2231" s="264"/>
      <c r="G2231" s="264"/>
      <c r="H2231" s="264"/>
      <c r="I2231" s="264"/>
      <c r="J2231" s="327"/>
      <c r="K2231" s="327"/>
      <c r="L2231" s="327"/>
      <c r="M2231" s="321"/>
      <c r="N2231" s="321"/>
      <c r="O2231" s="364"/>
      <c r="P2231" s="381"/>
      <c r="R2231" s="392"/>
      <c r="S2231" s="61" ph="1"/>
      <c r="U2231" s="229"/>
      <c r="V2231" s="264"/>
      <c r="W2231" s="199"/>
      <c r="X2231" s="264"/>
      <c r="Y2231" s="264"/>
      <c r="Z2231" s="386"/>
      <c r="AD2231" s="264"/>
      <c r="AE2231" s="264"/>
      <c r="AF2231" s="264"/>
      <c r="AG2231" s="264"/>
    </row>
    <row r="2232" spans="1:33" ht="26.25">
      <c r="A2232" s="264"/>
      <c r="B2232" s="264"/>
      <c r="C2232" s="264"/>
      <c r="D2232" s="264"/>
      <c r="E2232" s="264"/>
      <c r="F2232" s="264"/>
      <c r="G2232" s="264"/>
      <c r="H2232" s="264"/>
      <c r="I2232" s="264"/>
      <c r="J2232" s="327"/>
      <c r="K2232" s="327"/>
      <c r="L2232" s="327"/>
      <c r="M2232" s="321"/>
      <c r="N2232" s="321"/>
      <c r="O2232" s="364"/>
      <c r="P2232" s="381"/>
      <c r="R2232" s="392"/>
      <c r="S2232" s="61" ph="1"/>
      <c r="U2232" s="229"/>
      <c r="V2232" s="264"/>
      <c r="W2232" s="199"/>
      <c r="X2232" s="264"/>
      <c r="Y2232" s="264"/>
      <c r="Z2232" s="386"/>
      <c r="AD2232" s="264"/>
      <c r="AE2232" s="264"/>
      <c r="AF2232" s="264"/>
      <c r="AG2232" s="264"/>
    </row>
    <row r="2233" spans="1:33" ht="26.25">
      <c r="A2233" s="264"/>
      <c r="B2233" s="264"/>
      <c r="C2233" s="264"/>
      <c r="D2233" s="264"/>
      <c r="E2233" s="264"/>
      <c r="F2233" s="264"/>
      <c r="G2233" s="264"/>
      <c r="H2233" s="264"/>
      <c r="I2233" s="264"/>
      <c r="J2233" s="327"/>
      <c r="K2233" s="327"/>
      <c r="L2233" s="327"/>
      <c r="M2233" s="321"/>
      <c r="N2233" s="321"/>
      <c r="O2233" s="364"/>
      <c r="P2233" s="381"/>
      <c r="R2233" s="392"/>
      <c r="S2233" s="61" ph="1"/>
      <c r="U2233" s="229"/>
      <c r="V2233" s="264"/>
      <c r="W2233" s="199"/>
      <c r="X2233" s="264"/>
      <c r="Y2233" s="264"/>
      <c r="Z2233" s="386"/>
      <c r="AD2233" s="264"/>
      <c r="AE2233" s="264"/>
      <c r="AF2233" s="264"/>
      <c r="AG2233" s="264"/>
    </row>
    <row r="2234" spans="1:33" ht="26.25">
      <c r="A2234" s="264"/>
      <c r="B2234" s="264"/>
      <c r="C2234" s="264"/>
      <c r="D2234" s="264"/>
      <c r="E2234" s="264"/>
      <c r="F2234" s="264"/>
      <c r="G2234" s="264"/>
      <c r="H2234" s="264"/>
      <c r="I2234" s="264"/>
      <c r="J2234" s="327"/>
      <c r="K2234" s="327"/>
      <c r="L2234" s="327"/>
      <c r="M2234" s="321"/>
      <c r="N2234" s="321"/>
      <c r="O2234" s="364"/>
      <c r="P2234" s="381"/>
      <c r="R2234" s="392"/>
      <c r="S2234" s="61" ph="1"/>
      <c r="U2234" s="229"/>
      <c r="V2234" s="264"/>
      <c r="W2234" s="199"/>
      <c r="X2234" s="264"/>
      <c r="Y2234" s="264"/>
      <c r="Z2234" s="386"/>
      <c r="AD2234" s="264"/>
      <c r="AE2234" s="264"/>
      <c r="AF2234" s="264"/>
      <c r="AG2234" s="264"/>
    </row>
    <row r="2235" spans="1:33" ht="26.25">
      <c r="A2235" s="264"/>
      <c r="B2235" s="264"/>
      <c r="C2235" s="264"/>
      <c r="D2235" s="264"/>
      <c r="E2235" s="264"/>
      <c r="F2235" s="264"/>
      <c r="G2235" s="264"/>
      <c r="H2235" s="264"/>
      <c r="I2235" s="264"/>
      <c r="J2235" s="327"/>
      <c r="K2235" s="327"/>
      <c r="L2235" s="327"/>
      <c r="M2235" s="321"/>
      <c r="N2235" s="321"/>
      <c r="O2235" s="364"/>
      <c r="P2235" s="381"/>
      <c r="R2235" s="392"/>
      <c r="S2235" s="61" ph="1"/>
      <c r="U2235" s="229"/>
      <c r="V2235" s="264"/>
      <c r="W2235" s="199"/>
      <c r="X2235" s="264"/>
      <c r="Y2235" s="264"/>
      <c r="Z2235" s="386"/>
      <c r="AD2235" s="264"/>
      <c r="AE2235" s="264"/>
      <c r="AF2235" s="264"/>
      <c r="AG2235" s="264"/>
    </row>
    <row r="2236" spans="1:33" ht="26.25">
      <c r="A2236" s="264"/>
      <c r="B2236" s="264"/>
      <c r="C2236" s="264"/>
      <c r="D2236" s="264"/>
      <c r="E2236" s="264"/>
      <c r="F2236" s="264"/>
      <c r="G2236" s="264"/>
      <c r="H2236" s="264"/>
      <c r="I2236" s="264"/>
      <c r="J2236" s="327"/>
      <c r="K2236" s="327"/>
      <c r="L2236" s="327"/>
      <c r="M2236" s="321"/>
      <c r="N2236" s="321"/>
      <c r="O2236" s="364"/>
      <c r="P2236" s="381"/>
      <c r="R2236" s="392"/>
      <c r="S2236" s="61" ph="1"/>
      <c r="U2236" s="229"/>
      <c r="V2236" s="264"/>
      <c r="W2236" s="199"/>
      <c r="X2236" s="264"/>
      <c r="Y2236" s="264"/>
      <c r="Z2236" s="386"/>
      <c r="AD2236" s="264"/>
      <c r="AE2236" s="264"/>
      <c r="AF2236" s="264"/>
      <c r="AG2236" s="264"/>
    </row>
    <row r="2237" spans="1:33" ht="26.25">
      <c r="A2237" s="264"/>
      <c r="B2237" s="264"/>
      <c r="C2237" s="264"/>
      <c r="D2237" s="264"/>
      <c r="E2237" s="264"/>
      <c r="F2237" s="264"/>
      <c r="G2237" s="264"/>
      <c r="H2237" s="264"/>
      <c r="I2237" s="264"/>
      <c r="J2237" s="327"/>
      <c r="K2237" s="327"/>
      <c r="L2237" s="327"/>
      <c r="M2237" s="321"/>
      <c r="N2237" s="321"/>
      <c r="O2237" s="364"/>
      <c r="P2237" s="381"/>
      <c r="R2237" s="392"/>
      <c r="S2237" s="61" ph="1"/>
      <c r="U2237" s="229"/>
      <c r="V2237" s="264"/>
      <c r="W2237" s="199"/>
      <c r="X2237" s="264"/>
      <c r="Y2237" s="264"/>
      <c r="Z2237" s="386"/>
      <c r="AD2237" s="264"/>
      <c r="AE2237" s="264"/>
      <c r="AF2237" s="264"/>
      <c r="AG2237" s="264"/>
    </row>
    <row r="2238" spans="1:33" ht="26.25">
      <c r="A2238" s="264"/>
      <c r="B2238" s="264"/>
      <c r="C2238" s="264"/>
      <c r="D2238" s="264"/>
      <c r="E2238" s="264"/>
      <c r="F2238" s="264"/>
      <c r="G2238" s="264"/>
      <c r="H2238" s="264"/>
      <c r="I2238" s="264"/>
      <c r="J2238" s="327"/>
      <c r="K2238" s="327"/>
      <c r="L2238" s="327"/>
      <c r="M2238" s="321"/>
      <c r="N2238" s="321"/>
      <c r="O2238" s="364"/>
      <c r="P2238" s="381"/>
      <c r="R2238" s="392"/>
      <c r="S2238" s="61" ph="1"/>
      <c r="U2238" s="229"/>
      <c r="V2238" s="264"/>
      <c r="W2238" s="199"/>
      <c r="X2238" s="264"/>
      <c r="Y2238" s="264"/>
      <c r="Z2238" s="386"/>
      <c r="AD2238" s="264"/>
      <c r="AE2238" s="264"/>
      <c r="AF2238" s="264"/>
      <c r="AG2238" s="264"/>
    </row>
    <row r="2239" spans="1:33" ht="26.25">
      <c r="A2239" s="264"/>
      <c r="B2239" s="264"/>
      <c r="C2239" s="264"/>
      <c r="D2239" s="264"/>
      <c r="E2239" s="264"/>
      <c r="F2239" s="264"/>
      <c r="G2239" s="264"/>
      <c r="H2239" s="264"/>
      <c r="I2239" s="264"/>
      <c r="J2239" s="327"/>
      <c r="K2239" s="327"/>
      <c r="L2239" s="327"/>
      <c r="M2239" s="321"/>
      <c r="N2239" s="321"/>
      <c r="O2239" s="364"/>
      <c r="P2239" s="381"/>
      <c r="R2239" s="392"/>
      <c r="S2239" s="61" ph="1"/>
      <c r="U2239" s="229"/>
      <c r="V2239" s="264"/>
      <c r="W2239" s="199"/>
      <c r="X2239" s="264"/>
      <c r="Y2239" s="264"/>
      <c r="Z2239" s="386"/>
      <c r="AD2239" s="264"/>
      <c r="AE2239" s="264"/>
      <c r="AF2239" s="264"/>
      <c r="AG2239" s="264"/>
    </row>
    <row r="2240" spans="1:33" ht="26.25">
      <c r="A2240" s="264"/>
      <c r="B2240" s="264"/>
      <c r="C2240" s="264"/>
      <c r="D2240" s="264"/>
      <c r="E2240" s="264"/>
      <c r="F2240" s="264"/>
      <c r="G2240" s="264"/>
      <c r="H2240" s="264"/>
      <c r="I2240" s="264"/>
      <c r="J2240" s="327"/>
      <c r="K2240" s="327"/>
      <c r="L2240" s="327"/>
      <c r="M2240" s="321"/>
      <c r="N2240" s="321"/>
      <c r="O2240" s="364"/>
      <c r="P2240" s="381"/>
      <c r="R2240" s="392"/>
      <c r="S2240" s="61" ph="1"/>
      <c r="U2240" s="229"/>
      <c r="V2240" s="264"/>
      <c r="W2240" s="199"/>
      <c r="X2240" s="264"/>
      <c r="Y2240" s="264"/>
      <c r="Z2240" s="386"/>
      <c r="AD2240" s="264"/>
      <c r="AE2240" s="264"/>
      <c r="AF2240" s="264"/>
      <c r="AG2240" s="264"/>
    </row>
    <row r="2241" spans="1:33" ht="26.25">
      <c r="A2241" s="264"/>
      <c r="B2241" s="264"/>
      <c r="C2241" s="264"/>
      <c r="D2241" s="264"/>
      <c r="E2241" s="264"/>
      <c r="F2241" s="264"/>
      <c r="G2241" s="264"/>
      <c r="H2241" s="264"/>
      <c r="I2241" s="264"/>
      <c r="J2241" s="327"/>
      <c r="K2241" s="327"/>
      <c r="L2241" s="327"/>
      <c r="M2241" s="321"/>
      <c r="N2241" s="321"/>
      <c r="O2241" s="364"/>
      <c r="P2241" s="381"/>
      <c r="R2241" s="392"/>
      <c r="S2241" s="61" ph="1"/>
      <c r="U2241" s="229"/>
      <c r="V2241" s="264"/>
      <c r="W2241" s="199"/>
      <c r="X2241" s="264"/>
      <c r="Y2241" s="264"/>
      <c r="Z2241" s="386"/>
      <c r="AD2241" s="264"/>
      <c r="AE2241" s="264"/>
      <c r="AF2241" s="264"/>
      <c r="AG2241" s="264"/>
    </row>
    <row r="2242" spans="1:33" ht="26.25">
      <c r="A2242" s="264"/>
      <c r="B2242" s="264"/>
      <c r="C2242" s="264"/>
      <c r="D2242" s="264"/>
      <c r="E2242" s="264"/>
      <c r="F2242" s="264"/>
      <c r="G2242" s="264"/>
      <c r="H2242" s="264"/>
      <c r="I2242" s="264"/>
      <c r="J2242" s="327"/>
      <c r="K2242" s="327"/>
      <c r="L2242" s="327"/>
      <c r="M2242" s="321"/>
      <c r="N2242" s="321"/>
      <c r="O2242" s="364"/>
      <c r="P2242" s="381"/>
      <c r="R2242" s="392"/>
      <c r="S2242" s="61" ph="1"/>
      <c r="U2242" s="229"/>
      <c r="V2242" s="264"/>
      <c r="W2242" s="199"/>
      <c r="X2242" s="264"/>
      <c r="Y2242" s="264"/>
      <c r="Z2242" s="386"/>
      <c r="AD2242" s="264"/>
      <c r="AE2242" s="264"/>
      <c r="AF2242" s="264"/>
      <c r="AG2242" s="264"/>
    </row>
    <row r="2243" spans="1:33" ht="26.25">
      <c r="A2243" s="264"/>
      <c r="B2243" s="264"/>
      <c r="C2243" s="264"/>
      <c r="D2243" s="264"/>
      <c r="E2243" s="264"/>
      <c r="F2243" s="264"/>
      <c r="G2243" s="264"/>
      <c r="H2243" s="264"/>
      <c r="I2243" s="264"/>
      <c r="J2243" s="327"/>
      <c r="K2243" s="327"/>
      <c r="L2243" s="327"/>
      <c r="M2243" s="321"/>
      <c r="N2243" s="321"/>
      <c r="O2243" s="364"/>
      <c r="P2243" s="381"/>
      <c r="R2243" s="392"/>
      <c r="S2243" s="61" ph="1"/>
      <c r="U2243" s="229"/>
      <c r="V2243" s="264"/>
      <c r="W2243" s="199"/>
      <c r="X2243" s="264"/>
      <c r="Y2243" s="264"/>
      <c r="Z2243" s="386"/>
      <c r="AD2243" s="264"/>
      <c r="AE2243" s="264"/>
      <c r="AF2243" s="264"/>
      <c r="AG2243" s="264"/>
    </row>
    <row r="2244" spans="1:33" ht="26.25">
      <c r="A2244" s="264"/>
      <c r="B2244" s="264"/>
      <c r="C2244" s="264"/>
      <c r="D2244" s="264"/>
      <c r="E2244" s="264"/>
      <c r="F2244" s="264"/>
      <c r="G2244" s="264"/>
      <c r="H2244" s="264"/>
      <c r="I2244" s="264"/>
      <c r="J2244" s="327"/>
      <c r="K2244" s="327"/>
      <c r="L2244" s="327"/>
      <c r="M2244" s="321"/>
      <c r="N2244" s="321"/>
      <c r="O2244" s="364"/>
      <c r="P2244" s="381"/>
      <c r="R2244" s="392"/>
      <c r="S2244" s="61" ph="1"/>
      <c r="U2244" s="229"/>
      <c r="V2244" s="264"/>
      <c r="W2244" s="199"/>
      <c r="X2244" s="264"/>
      <c r="Y2244" s="264"/>
      <c r="Z2244" s="386"/>
      <c r="AD2244" s="264"/>
      <c r="AE2244" s="264"/>
      <c r="AF2244" s="264"/>
      <c r="AG2244" s="264"/>
    </row>
    <row r="2245" spans="1:33" ht="26.25">
      <c r="A2245" s="264"/>
      <c r="B2245" s="264"/>
      <c r="C2245" s="264"/>
      <c r="D2245" s="264"/>
      <c r="E2245" s="264"/>
      <c r="F2245" s="264"/>
      <c r="G2245" s="264"/>
      <c r="H2245" s="264"/>
      <c r="I2245" s="264"/>
      <c r="J2245" s="327"/>
      <c r="K2245" s="327"/>
      <c r="L2245" s="327"/>
      <c r="M2245" s="321"/>
      <c r="N2245" s="321"/>
      <c r="O2245" s="364"/>
      <c r="P2245" s="381"/>
      <c r="R2245" s="392"/>
      <c r="S2245" s="61" ph="1"/>
      <c r="U2245" s="229"/>
      <c r="V2245" s="264"/>
      <c r="W2245" s="199"/>
      <c r="X2245" s="264"/>
      <c r="Y2245" s="264"/>
      <c r="Z2245" s="386"/>
      <c r="AD2245" s="264"/>
      <c r="AE2245" s="264"/>
      <c r="AF2245" s="264"/>
      <c r="AG2245" s="264"/>
    </row>
    <row r="2246" spans="1:33" ht="26.25">
      <c r="A2246" s="264"/>
      <c r="B2246" s="264"/>
      <c r="C2246" s="264"/>
      <c r="D2246" s="264"/>
      <c r="E2246" s="264"/>
      <c r="F2246" s="264"/>
      <c r="G2246" s="264"/>
      <c r="H2246" s="264"/>
      <c r="I2246" s="264"/>
      <c r="J2246" s="327"/>
      <c r="K2246" s="327"/>
      <c r="L2246" s="327"/>
      <c r="M2246" s="321"/>
      <c r="N2246" s="321"/>
      <c r="O2246" s="364"/>
      <c r="P2246" s="381"/>
      <c r="R2246" s="392"/>
      <c r="S2246" s="61" ph="1"/>
      <c r="U2246" s="229"/>
      <c r="V2246" s="264"/>
      <c r="W2246" s="199"/>
      <c r="X2246" s="264"/>
      <c r="Y2246" s="264"/>
      <c r="Z2246" s="386"/>
      <c r="AD2246" s="264"/>
      <c r="AE2246" s="264"/>
      <c r="AF2246" s="264"/>
      <c r="AG2246" s="264"/>
    </row>
    <row r="2247" spans="1:33" ht="26.25">
      <c r="A2247" s="264"/>
      <c r="B2247" s="264"/>
      <c r="C2247" s="264"/>
      <c r="D2247" s="264"/>
      <c r="E2247" s="264"/>
      <c r="F2247" s="264"/>
      <c r="G2247" s="264"/>
      <c r="H2247" s="264"/>
      <c r="I2247" s="264"/>
      <c r="J2247" s="327"/>
      <c r="K2247" s="327"/>
      <c r="L2247" s="327"/>
      <c r="M2247" s="321"/>
      <c r="N2247" s="321"/>
      <c r="O2247" s="364"/>
      <c r="P2247" s="381"/>
      <c r="R2247" s="392"/>
      <c r="S2247" s="61" ph="1"/>
      <c r="U2247" s="229"/>
      <c r="V2247" s="264"/>
      <c r="W2247" s="199"/>
      <c r="X2247" s="264"/>
      <c r="Y2247" s="264"/>
      <c r="Z2247" s="386"/>
      <c r="AD2247" s="264"/>
      <c r="AE2247" s="264"/>
      <c r="AF2247" s="264"/>
      <c r="AG2247" s="264"/>
    </row>
    <row r="2248" spans="1:33" ht="26.25">
      <c r="A2248" s="264"/>
      <c r="B2248" s="264"/>
      <c r="C2248" s="264"/>
      <c r="D2248" s="264"/>
      <c r="E2248" s="264"/>
      <c r="F2248" s="264"/>
      <c r="G2248" s="264"/>
      <c r="H2248" s="264"/>
      <c r="I2248" s="264"/>
      <c r="J2248" s="327"/>
      <c r="K2248" s="327"/>
      <c r="L2248" s="327"/>
      <c r="M2248" s="321"/>
      <c r="N2248" s="321"/>
      <c r="O2248" s="364"/>
      <c r="P2248" s="381"/>
      <c r="R2248" s="392"/>
      <c r="S2248" s="61" ph="1"/>
      <c r="U2248" s="229"/>
      <c r="V2248" s="264"/>
      <c r="W2248" s="199"/>
      <c r="X2248" s="264"/>
      <c r="Y2248" s="264"/>
      <c r="Z2248" s="386"/>
      <c r="AD2248" s="264"/>
      <c r="AE2248" s="264"/>
      <c r="AF2248" s="264"/>
      <c r="AG2248" s="264"/>
    </row>
    <row r="2249" spans="1:33" ht="26.25">
      <c r="A2249" s="264"/>
      <c r="B2249" s="264"/>
      <c r="C2249" s="264"/>
      <c r="D2249" s="264"/>
      <c r="E2249" s="264"/>
      <c r="F2249" s="264"/>
      <c r="G2249" s="264"/>
      <c r="H2249" s="264"/>
      <c r="I2249" s="264"/>
      <c r="J2249" s="327"/>
      <c r="K2249" s="327"/>
      <c r="L2249" s="327"/>
      <c r="M2249" s="321"/>
      <c r="N2249" s="321"/>
      <c r="O2249" s="364"/>
      <c r="P2249" s="381"/>
      <c r="R2249" s="392"/>
      <c r="S2249" s="61" ph="1"/>
      <c r="U2249" s="229"/>
      <c r="V2249" s="264"/>
      <c r="W2249" s="199"/>
      <c r="X2249" s="264"/>
      <c r="Y2249" s="264"/>
      <c r="Z2249" s="386"/>
      <c r="AD2249" s="264"/>
      <c r="AE2249" s="264"/>
      <c r="AF2249" s="264"/>
      <c r="AG2249" s="264"/>
    </row>
    <row r="2250" spans="1:33" ht="26.25">
      <c r="A2250" s="264"/>
      <c r="B2250" s="264"/>
      <c r="C2250" s="264"/>
      <c r="D2250" s="264"/>
      <c r="E2250" s="264"/>
      <c r="F2250" s="264"/>
      <c r="G2250" s="264"/>
      <c r="H2250" s="264"/>
      <c r="I2250" s="264"/>
      <c r="J2250" s="327"/>
      <c r="K2250" s="327"/>
      <c r="L2250" s="327"/>
      <c r="M2250" s="321"/>
      <c r="N2250" s="321"/>
      <c r="O2250" s="364"/>
      <c r="P2250" s="381"/>
      <c r="R2250" s="392"/>
      <c r="S2250" s="61" ph="1"/>
      <c r="U2250" s="229"/>
      <c r="V2250" s="264"/>
      <c r="W2250" s="199"/>
      <c r="X2250" s="264"/>
      <c r="Y2250" s="264"/>
      <c r="Z2250" s="386"/>
      <c r="AD2250" s="264"/>
      <c r="AE2250" s="264"/>
      <c r="AF2250" s="264"/>
      <c r="AG2250" s="264"/>
    </row>
    <row r="2251" spans="1:33" ht="26.25">
      <c r="A2251" s="264"/>
      <c r="B2251" s="264"/>
      <c r="C2251" s="264"/>
      <c r="D2251" s="264"/>
      <c r="E2251" s="264"/>
      <c r="F2251" s="264"/>
      <c r="G2251" s="264"/>
      <c r="H2251" s="264"/>
      <c r="I2251" s="264"/>
      <c r="J2251" s="327"/>
      <c r="K2251" s="327"/>
      <c r="L2251" s="327"/>
      <c r="M2251" s="321"/>
      <c r="N2251" s="321"/>
      <c r="O2251" s="364"/>
      <c r="P2251" s="381"/>
      <c r="R2251" s="392"/>
      <c r="S2251" s="61" ph="1"/>
      <c r="U2251" s="229"/>
      <c r="V2251" s="264"/>
      <c r="W2251" s="199"/>
      <c r="X2251" s="264"/>
      <c r="Y2251" s="264"/>
      <c r="Z2251" s="386"/>
      <c r="AD2251" s="264"/>
      <c r="AE2251" s="264"/>
      <c r="AF2251" s="264"/>
      <c r="AG2251" s="264"/>
    </row>
    <row r="2252" spans="1:33" ht="26.25">
      <c r="A2252" s="264"/>
      <c r="B2252" s="264"/>
      <c r="C2252" s="264"/>
      <c r="D2252" s="264"/>
      <c r="E2252" s="264"/>
      <c r="F2252" s="264"/>
      <c r="G2252" s="264"/>
      <c r="H2252" s="264"/>
      <c r="I2252" s="264"/>
      <c r="J2252" s="327"/>
      <c r="K2252" s="327"/>
      <c r="L2252" s="327"/>
      <c r="M2252" s="321"/>
      <c r="N2252" s="321"/>
      <c r="O2252" s="364"/>
      <c r="P2252" s="381"/>
      <c r="R2252" s="392"/>
      <c r="S2252" s="61" ph="1"/>
      <c r="U2252" s="229"/>
      <c r="V2252" s="264"/>
      <c r="W2252" s="199"/>
      <c r="X2252" s="264"/>
      <c r="Y2252" s="264"/>
      <c r="Z2252" s="386"/>
      <c r="AD2252" s="264"/>
      <c r="AE2252" s="264"/>
      <c r="AF2252" s="264"/>
      <c r="AG2252" s="264"/>
    </row>
    <row r="2253" spans="1:33" ht="26.25">
      <c r="A2253" s="264"/>
      <c r="B2253" s="264"/>
      <c r="C2253" s="264"/>
      <c r="D2253" s="264"/>
      <c r="E2253" s="264"/>
      <c r="F2253" s="264"/>
      <c r="G2253" s="264"/>
      <c r="H2253" s="264"/>
      <c r="I2253" s="264"/>
      <c r="J2253" s="327"/>
      <c r="K2253" s="327"/>
      <c r="L2253" s="327"/>
      <c r="M2253" s="321"/>
      <c r="N2253" s="321"/>
      <c r="O2253" s="364"/>
      <c r="P2253" s="381"/>
      <c r="R2253" s="392"/>
      <c r="S2253" s="61" ph="1"/>
      <c r="U2253" s="229"/>
      <c r="V2253" s="264"/>
      <c r="W2253" s="199"/>
      <c r="X2253" s="264"/>
      <c r="Y2253" s="264"/>
      <c r="Z2253" s="386"/>
      <c r="AD2253" s="264"/>
      <c r="AE2253" s="264"/>
      <c r="AF2253" s="264"/>
      <c r="AG2253" s="264"/>
    </row>
    <row r="2254" spans="1:33" ht="26.25">
      <c r="A2254" s="264"/>
      <c r="B2254" s="264"/>
      <c r="C2254" s="264"/>
      <c r="D2254" s="264"/>
      <c r="E2254" s="264"/>
      <c r="F2254" s="264"/>
      <c r="G2254" s="264"/>
      <c r="H2254" s="264"/>
      <c r="I2254" s="264"/>
      <c r="J2254" s="327"/>
      <c r="K2254" s="327"/>
      <c r="L2254" s="327"/>
      <c r="M2254" s="321"/>
      <c r="N2254" s="321"/>
      <c r="O2254" s="364"/>
      <c r="P2254" s="381"/>
      <c r="R2254" s="392"/>
      <c r="S2254" s="61" ph="1"/>
      <c r="U2254" s="229"/>
      <c r="V2254" s="264"/>
      <c r="W2254" s="199"/>
      <c r="X2254" s="264"/>
      <c r="Y2254" s="264"/>
      <c r="Z2254" s="386"/>
      <c r="AD2254" s="264"/>
      <c r="AE2254" s="264"/>
      <c r="AF2254" s="264"/>
      <c r="AG2254" s="264"/>
    </row>
    <row r="2255" spans="1:33" ht="26.25">
      <c r="A2255" s="264"/>
      <c r="B2255" s="264"/>
      <c r="C2255" s="264"/>
      <c r="D2255" s="264"/>
      <c r="E2255" s="264"/>
      <c r="F2255" s="264"/>
      <c r="G2255" s="264"/>
      <c r="H2255" s="264"/>
      <c r="I2255" s="264"/>
      <c r="J2255" s="327"/>
      <c r="K2255" s="327"/>
      <c r="L2255" s="327"/>
      <c r="M2255" s="321"/>
      <c r="N2255" s="321"/>
      <c r="O2255" s="364"/>
      <c r="P2255" s="381"/>
      <c r="R2255" s="392"/>
      <c r="S2255" s="61" ph="1"/>
      <c r="U2255" s="229"/>
      <c r="V2255" s="264"/>
      <c r="W2255" s="199"/>
      <c r="X2255" s="264"/>
      <c r="Y2255" s="264"/>
      <c r="Z2255" s="386"/>
      <c r="AD2255" s="264"/>
      <c r="AE2255" s="264"/>
      <c r="AF2255" s="264"/>
      <c r="AG2255" s="264"/>
    </row>
    <row r="2256" spans="1:33" ht="26.25">
      <c r="A2256" s="264"/>
      <c r="B2256" s="264"/>
      <c r="C2256" s="264"/>
      <c r="D2256" s="264"/>
      <c r="E2256" s="264"/>
      <c r="F2256" s="264"/>
      <c r="G2256" s="264"/>
      <c r="H2256" s="264"/>
      <c r="I2256" s="264"/>
      <c r="J2256" s="327"/>
      <c r="K2256" s="327"/>
      <c r="L2256" s="327"/>
      <c r="M2256" s="321"/>
      <c r="N2256" s="321"/>
      <c r="O2256" s="364"/>
      <c r="P2256" s="381"/>
      <c r="R2256" s="392"/>
      <c r="S2256" s="61" ph="1"/>
      <c r="U2256" s="229"/>
      <c r="V2256" s="264"/>
      <c r="W2256" s="199"/>
      <c r="X2256" s="264"/>
      <c r="Y2256" s="264"/>
      <c r="Z2256" s="386"/>
      <c r="AD2256" s="264"/>
      <c r="AE2256" s="264"/>
      <c r="AF2256" s="264"/>
      <c r="AG2256" s="264"/>
    </row>
    <row r="2257" spans="1:33" ht="26.25">
      <c r="A2257" s="264"/>
      <c r="B2257" s="264"/>
      <c r="C2257" s="264"/>
      <c r="D2257" s="264"/>
      <c r="E2257" s="264"/>
      <c r="F2257" s="264"/>
      <c r="G2257" s="264"/>
      <c r="H2257" s="264"/>
      <c r="I2257" s="264"/>
      <c r="J2257" s="327"/>
      <c r="K2257" s="327"/>
      <c r="L2257" s="327"/>
      <c r="M2257" s="321"/>
      <c r="N2257" s="321"/>
      <c r="O2257" s="364"/>
      <c r="P2257" s="381"/>
      <c r="R2257" s="392"/>
      <c r="S2257" s="61" ph="1"/>
      <c r="U2257" s="229"/>
      <c r="V2257" s="264"/>
      <c r="W2257" s="199"/>
      <c r="X2257" s="264"/>
      <c r="Y2257" s="264"/>
      <c r="Z2257" s="386"/>
      <c r="AD2257" s="264"/>
      <c r="AE2257" s="264"/>
      <c r="AF2257" s="264"/>
      <c r="AG2257" s="264"/>
    </row>
    <row r="2258" spans="1:33" ht="26.25">
      <c r="A2258" s="264"/>
      <c r="B2258" s="264"/>
      <c r="C2258" s="264"/>
      <c r="D2258" s="264"/>
      <c r="E2258" s="264"/>
      <c r="F2258" s="264"/>
      <c r="G2258" s="264"/>
      <c r="H2258" s="264"/>
      <c r="I2258" s="264"/>
      <c r="J2258" s="327"/>
      <c r="K2258" s="327"/>
      <c r="L2258" s="327"/>
      <c r="M2258" s="321"/>
      <c r="N2258" s="321"/>
      <c r="O2258" s="364"/>
      <c r="P2258" s="381"/>
      <c r="R2258" s="392"/>
      <c r="S2258" s="61" ph="1"/>
      <c r="U2258" s="229"/>
      <c r="V2258" s="264"/>
      <c r="W2258" s="199"/>
      <c r="X2258" s="264"/>
      <c r="Y2258" s="264"/>
      <c r="Z2258" s="386"/>
      <c r="AD2258" s="264"/>
      <c r="AE2258" s="264"/>
      <c r="AF2258" s="264"/>
      <c r="AG2258" s="264"/>
    </row>
    <row r="2259" spans="1:33" ht="26.25">
      <c r="A2259" s="264"/>
      <c r="B2259" s="264"/>
      <c r="C2259" s="264"/>
      <c r="D2259" s="264"/>
      <c r="E2259" s="264"/>
      <c r="F2259" s="264"/>
      <c r="G2259" s="264"/>
      <c r="H2259" s="264"/>
      <c r="I2259" s="264"/>
      <c r="J2259" s="327"/>
      <c r="K2259" s="327"/>
      <c r="L2259" s="327"/>
      <c r="M2259" s="321"/>
      <c r="N2259" s="321"/>
      <c r="O2259" s="364"/>
      <c r="P2259" s="381"/>
      <c r="R2259" s="392"/>
      <c r="S2259" s="61" ph="1"/>
      <c r="U2259" s="229"/>
      <c r="V2259" s="264"/>
      <c r="W2259" s="199"/>
      <c r="X2259" s="264"/>
      <c r="Y2259" s="264"/>
      <c r="Z2259" s="386"/>
      <c r="AD2259" s="264"/>
      <c r="AE2259" s="264"/>
      <c r="AF2259" s="264"/>
      <c r="AG2259" s="264"/>
    </row>
    <row r="2260" spans="1:33" ht="26.25">
      <c r="A2260" s="264"/>
      <c r="B2260" s="264"/>
      <c r="C2260" s="264"/>
      <c r="D2260" s="264"/>
      <c r="E2260" s="264"/>
      <c r="F2260" s="264"/>
      <c r="G2260" s="264"/>
      <c r="H2260" s="264"/>
      <c r="I2260" s="264"/>
      <c r="J2260" s="327"/>
      <c r="K2260" s="327"/>
      <c r="L2260" s="327"/>
      <c r="M2260" s="321"/>
      <c r="N2260" s="321"/>
      <c r="O2260" s="364"/>
      <c r="P2260" s="381"/>
      <c r="R2260" s="392"/>
      <c r="S2260" s="61" ph="1"/>
      <c r="U2260" s="229"/>
      <c r="V2260" s="264"/>
      <c r="W2260" s="199"/>
      <c r="X2260" s="264"/>
      <c r="Y2260" s="264"/>
      <c r="Z2260" s="386"/>
      <c r="AD2260" s="264"/>
      <c r="AE2260" s="264"/>
      <c r="AF2260" s="264"/>
      <c r="AG2260" s="264"/>
    </row>
    <row r="2261" spans="1:33" ht="26.25">
      <c r="A2261" s="264"/>
      <c r="B2261" s="264"/>
      <c r="C2261" s="264"/>
      <c r="D2261" s="264"/>
      <c r="E2261" s="264"/>
      <c r="F2261" s="264"/>
      <c r="G2261" s="264"/>
      <c r="H2261" s="264"/>
      <c r="I2261" s="264"/>
      <c r="J2261" s="327"/>
      <c r="K2261" s="327"/>
      <c r="L2261" s="327"/>
      <c r="M2261" s="321"/>
      <c r="N2261" s="321"/>
      <c r="O2261" s="364"/>
      <c r="P2261" s="381"/>
      <c r="R2261" s="392"/>
      <c r="S2261" s="61" ph="1"/>
      <c r="U2261" s="229"/>
      <c r="V2261" s="264"/>
      <c r="W2261" s="199"/>
      <c r="X2261" s="264"/>
      <c r="Y2261" s="264"/>
      <c r="Z2261" s="386"/>
      <c r="AD2261" s="264"/>
      <c r="AE2261" s="264"/>
      <c r="AF2261" s="264"/>
      <c r="AG2261" s="264"/>
    </row>
    <row r="2262" spans="1:33" ht="26.25">
      <c r="A2262" s="264"/>
      <c r="B2262" s="264"/>
      <c r="C2262" s="264"/>
      <c r="D2262" s="264"/>
      <c r="E2262" s="264"/>
      <c r="F2262" s="264"/>
      <c r="G2262" s="264"/>
      <c r="H2262" s="264"/>
      <c r="I2262" s="264"/>
      <c r="J2262" s="327"/>
      <c r="K2262" s="327"/>
      <c r="L2262" s="327"/>
      <c r="M2262" s="321"/>
      <c r="N2262" s="321"/>
      <c r="O2262" s="364"/>
      <c r="P2262" s="381"/>
      <c r="R2262" s="392"/>
      <c r="S2262" s="61" ph="1"/>
      <c r="U2262" s="229"/>
      <c r="V2262" s="264"/>
      <c r="W2262" s="199"/>
      <c r="X2262" s="264"/>
      <c r="Y2262" s="264"/>
      <c r="Z2262" s="386"/>
      <c r="AD2262" s="264"/>
      <c r="AE2262" s="264"/>
      <c r="AF2262" s="264"/>
      <c r="AG2262" s="264"/>
    </row>
    <row r="2263" spans="1:33" ht="26.25">
      <c r="A2263" s="264"/>
      <c r="B2263" s="264"/>
      <c r="C2263" s="264"/>
      <c r="D2263" s="264"/>
      <c r="E2263" s="264"/>
      <c r="F2263" s="264"/>
      <c r="G2263" s="264"/>
      <c r="H2263" s="264"/>
      <c r="I2263" s="264"/>
      <c r="J2263" s="327"/>
      <c r="K2263" s="327"/>
      <c r="L2263" s="327"/>
      <c r="M2263" s="321"/>
      <c r="N2263" s="321"/>
      <c r="O2263" s="364"/>
      <c r="P2263" s="381"/>
      <c r="R2263" s="392"/>
      <c r="S2263" s="61" ph="1"/>
      <c r="U2263" s="229"/>
      <c r="V2263" s="264"/>
      <c r="W2263" s="199"/>
      <c r="X2263" s="264"/>
      <c r="Y2263" s="264"/>
      <c r="Z2263" s="386"/>
      <c r="AD2263" s="264"/>
      <c r="AE2263" s="264"/>
      <c r="AF2263" s="264"/>
      <c r="AG2263" s="264"/>
    </row>
    <row r="2264" spans="1:33" ht="26.25">
      <c r="A2264" s="264"/>
      <c r="B2264" s="264"/>
      <c r="C2264" s="264"/>
      <c r="D2264" s="264"/>
      <c r="E2264" s="264"/>
      <c r="F2264" s="264"/>
      <c r="G2264" s="264"/>
      <c r="H2264" s="264"/>
      <c r="I2264" s="264"/>
      <c r="J2264" s="327"/>
      <c r="K2264" s="327"/>
      <c r="L2264" s="327"/>
      <c r="M2264" s="321"/>
      <c r="N2264" s="321"/>
      <c r="O2264" s="364"/>
      <c r="P2264" s="381"/>
      <c r="R2264" s="392"/>
      <c r="S2264" s="61" ph="1"/>
      <c r="U2264" s="229"/>
      <c r="V2264" s="264"/>
      <c r="W2264" s="199"/>
      <c r="X2264" s="264"/>
      <c r="Y2264" s="264"/>
      <c r="Z2264" s="386"/>
      <c r="AD2264" s="264"/>
      <c r="AE2264" s="264"/>
      <c r="AF2264" s="264"/>
      <c r="AG2264" s="264"/>
    </row>
    <row r="2265" spans="1:33" ht="26.25">
      <c r="A2265" s="264"/>
      <c r="B2265" s="264"/>
      <c r="C2265" s="264"/>
      <c r="D2265" s="264"/>
      <c r="E2265" s="264"/>
      <c r="F2265" s="264"/>
      <c r="G2265" s="264"/>
      <c r="H2265" s="264"/>
      <c r="I2265" s="264"/>
      <c r="J2265" s="327"/>
      <c r="K2265" s="327"/>
      <c r="L2265" s="327"/>
      <c r="M2265" s="321"/>
      <c r="N2265" s="321"/>
      <c r="O2265" s="364"/>
      <c r="P2265" s="381"/>
      <c r="R2265" s="392"/>
      <c r="S2265" s="61" ph="1"/>
      <c r="U2265" s="229"/>
      <c r="V2265" s="264"/>
      <c r="W2265" s="199"/>
      <c r="X2265" s="264"/>
      <c r="Y2265" s="264"/>
      <c r="Z2265" s="386"/>
      <c r="AD2265" s="264"/>
      <c r="AE2265" s="264"/>
      <c r="AF2265" s="264"/>
      <c r="AG2265" s="264"/>
    </row>
    <row r="2266" spans="1:33" ht="26.25">
      <c r="A2266" s="264"/>
      <c r="B2266" s="264"/>
      <c r="C2266" s="264"/>
      <c r="D2266" s="264"/>
      <c r="E2266" s="264"/>
      <c r="F2266" s="264"/>
      <c r="G2266" s="264"/>
      <c r="H2266" s="264"/>
      <c r="I2266" s="264"/>
      <c r="J2266" s="327"/>
      <c r="K2266" s="327"/>
      <c r="L2266" s="327"/>
      <c r="M2266" s="321"/>
      <c r="N2266" s="321"/>
      <c r="O2266" s="364"/>
      <c r="P2266" s="381"/>
      <c r="R2266" s="392"/>
      <c r="S2266" s="61" ph="1"/>
      <c r="U2266" s="229"/>
      <c r="V2266" s="264"/>
      <c r="W2266" s="199"/>
      <c r="X2266" s="264"/>
      <c r="Y2266" s="264"/>
      <c r="Z2266" s="386"/>
      <c r="AD2266" s="264"/>
      <c r="AE2266" s="264"/>
      <c r="AF2266" s="264"/>
      <c r="AG2266" s="264"/>
    </row>
    <row r="2267" spans="1:33" ht="26.25">
      <c r="A2267" s="264"/>
      <c r="B2267" s="264"/>
      <c r="C2267" s="264"/>
      <c r="D2267" s="264"/>
      <c r="E2267" s="264"/>
      <c r="F2267" s="264"/>
      <c r="G2267" s="264"/>
      <c r="H2267" s="264"/>
      <c r="I2267" s="264"/>
      <c r="J2267" s="327"/>
      <c r="K2267" s="327"/>
      <c r="L2267" s="327"/>
      <c r="M2267" s="321"/>
      <c r="N2267" s="321"/>
      <c r="O2267" s="364"/>
      <c r="P2267" s="381"/>
      <c r="R2267" s="392"/>
      <c r="S2267" s="61" ph="1"/>
      <c r="U2267" s="229"/>
      <c r="V2267" s="264"/>
      <c r="W2267" s="199"/>
      <c r="X2267" s="264"/>
      <c r="Y2267" s="264"/>
      <c r="Z2267" s="386"/>
      <c r="AD2267" s="264"/>
      <c r="AE2267" s="264"/>
      <c r="AF2267" s="264"/>
      <c r="AG2267" s="264"/>
    </row>
    <row r="2268" spans="1:33" ht="26.25">
      <c r="A2268" s="264"/>
      <c r="B2268" s="264"/>
      <c r="C2268" s="264"/>
      <c r="D2268" s="264"/>
      <c r="E2268" s="264"/>
      <c r="F2268" s="264"/>
      <c r="G2268" s="264"/>
      <c r="H2268" s="264"/>
      <c r="I2268" s="264"/>
      <c r="J2268" s="327"/>
      <c r="K2268" s="327"/>
      <c r="L2268" s="327"/>
      <c r="M2268" s="321"/>
      <c r="N2268" s="321"/>
      <c r="O2268" s="364"/>
      <c r="P2268" s="381"/>
      <c r="R2268" s="392"/>
      <c r="S2268" s="61" ph="1"/>
      <c r="U2268" s="229"/>
      <c r="V2268" s="264"/>
      <c r="W2268" s="199"/>
      <c r="X2268" s="264"/>
      <c r="Y2268" s="264"/>
      <c r="Z2268" s="386"/>
      <c r="AD2268" s="264"/>
      <c r="AE2268" s="264"/>
      <c r="AF2268" s="264"/>
      <c r="AG2268" s="264"/>
    </row>
    <row r="2269" spans="1:33" ht="26.25">
      <c r="A2269" s="264"/>
      <c r="B2269" s="264"/>
      <c r="C2269" s="264"/>
      <c r="D2269" s="264"/>
      <c r="E2269" s="264"/>
      <c r="F2269" s="264"/>
      <c r="G2269" s="264"/>
      <c r="H2269" s="264"/>
      <c r="I2269" s="264"/>
      <c r="J2269" s="327"/>
      <c r="K2269" s="327"/>
      <c r="L2269" s="327"/>
      <c r="M2269" s="321"/>
      <c r="N2269" s="321"/>
      <c r="O2269" s="364"/>
      <c r="P2269" s="381"/>
      <c r="R2269" s="392"/>
      <c r="S2269" s="61" ph="1"/>
      <c r="U2269" s="229"/>
      <c r="V2269" s="264"/>
      <c r="W2269" s="199"/>
      <c r="X2269" s="264"/>
      <c r="Y2269" s="264"/>
      <c r="Z2269" s="386"/>
      <c r="AD2269" s="264"/>
      <c r="AE2269" s="264"/>
      <c r="AF2269" s="264"/>
      <c r="AG2269" s="264"/>
    </row>
    <row r="2270" spans="1:33" ht="26.25">
      <c r="A2270" s="264"/>
      <c r="B2270" s="264"/>
      <c r="C2270" s="264"/>
      <c r="D2270" s="264"/>
      <c r="E2270" s="264"/>
      <c r="F2270" s="264"/>
      <c r="G2270" s="264"/>
      <c r="H2270" s="264"/>
      <c r="I2270" s="264"/>
      <c r="J2270" s="327"/>
      <c r="K2270" s="327"/>
      <c r="L2270" s="327"/>
      <c r="M2270" s="321"/>
      <c r="N2270" s="321"/>
      <c r="O2270" s="364"/>
      <c r="P2270" s="381"/>
      <c r="R2270" s="392"/>
      <c r="S2270" s="61" ph="1"/>
      <c r="U2270" s="229"/>
      <c r="V2270" s="264"/>
      <c r="W2270" s="199"/>
      <c r="X2270" s="264"/>
      <c r="Y2270" s="264"/>
      <c r="Z2270" s="386"/>
      <c r="AD2270" s="264"/>
      <c r="AE2270" s="264"/>
      <c r="AF2270" s="264"/>
      <c r="AG2270" s="264"/>
    </row>
    <row r="2271" spans="1:33" ht="26.25">
      <c r="A2271" s="264"/>
      <c r="B2271" s="264"/>
      <c r="C2271" s="264"/>
      <c r="D2271" s="264"/>
      <c r="E2271" s="264"/>
      <c r="F2271" s="264"/>
      <c r="G2271" s="264"/>
      <c r="H2271" s="264"/>
      <c r="I2271" s="264"/>
      <c r="J2271" s="327"/>
      <c r="K2271" s="327"/>
      <c r="L2271" s="327"/>
      <c r="M2271" s="321"/>
      <c r="N2271" s="321"/>
      <c r="O2271" s="364"/>
      <c r="P2271" s="381"/>
      <c r="R2271" s="392"/>
      <c r="S2271" s="61" ph="1"/>
      <c r="U2271" s="229"/>
      <c r="V2271" s="264"/>
      <c r="W2271" s="199"/>
      <c r="X2271" s="264"/>
      <c r="Y2271" s="264"/>
      <c r="Z2271" s="386"/>
      <c r="AD2271" s="264"/>
      <c r="AE2271" s="264"/>
      <c r="AF2271" s="264"/>
      <c r="AG2271" s="264"/>
    </row>
    <row r="2272" spans="1:33" ht="26.25">
      <c r="A2272" s="264"/>
      <c r="B2272" s="264"/>
      <c r="C2272" s="264"/>
      <c r="D2272" s="264"/>
      <c r="E2272" s="264"/>
      <c r="F2272" s="264"/>
      <c r="G2272" s="264"/>
      <c r="H2272" s="264"/>
      <c r="I2272" s="264"/>
      <c r="J2272" s="327"/>
      <c r="K2272" s="327"/>
      <c r="L2272" s="327"/>
      <c r="M2272" s="321"/>
      <c r="N2272" s="321"/>
      <c r="O2272" s="364"/>
      <c r="P2272" s="381"/>
      <c r="R2272" s="392"/>
      <c r="S2272" s="61" ph="1"/>
      <c r="U2272" s="229"/>
      <c r="V2272" s="264"/>
      <c r="W2272" s="199"/>
      <c r="X2272" s="264"/>
      <c r="Y2272" s="264"/>
      <c r="Z2272" s="386"/>
      <c r="AD2272" s="264"/>
      <c r="AE2272" s="264"/>
      <c r="AF2272" s="264"/>
      <c r="AG2272" s="264"/>
    </row>
    <row r="2273" spans="1:33" ht="26.25">
      <c r="A2273" s="264"/>
      <c r="B2273" s="264"/>
      <c r="C2273" s="264"/>
      <c r="D2273" s="264"/>
      <c r="E2273" s="264"/>
      <c r="F2273" s="264"/>
      <c r="G2273" s="264"/>
      <c r="H2273" s="264"/>
      <c r="I2273" s="264"/>
      <c r="J2273" s="327"/>
      <c r="K2273" s="327"/>
      <c r="L2273" s="327"/>
      <c r="M2273" s="321"/>
      <c r="N2273" s="321"/>
      <c r="O2273" s="364"/>
      <c r="P2273" s="381"/>
      <c r="R2273" s="392"/>
      <c r="S2273" s="61" ph="1"/>
      <c r="U2273" s="229"/>
      <c r="V2273" s="264"/>
      <c r="W2273" s="199"/>
      <c r="X2273" s="264"/>
      <c r="Y2273" s="264"/>
      <c r="Z2273" s="386"/>
      <c r="AD2273" s="264"/>
      <c r="AE2273" s="264"/>
      <c r="AF2273" s="264"/>
      <c r="AG2273" s="264"/>
    </row>
    <row r="2274" spans="1:33" ht="26.25">
      <c r="A2274" s="264"/>
      <c r="B2274" s="264"/>
      <c r="C2274" s="264"/>
      <c r="D2274" s="264"/>
      <c r="E2274" s="264"/>
      <c r="F2274" s="264"/>
      <c r="G2274" s="264"/>
      <c r="H2274" s="264"/>
      <c r="I2274" s="264"/>
      <c r="J2274" s="327"/>
      <c r="K2274" s="327"/>
      <c r="L2274" s="327"/>
      <c r="M2274" s="321"/>
      <c r="N2274" s="321"/>
      <c r="O2274" s="364"/>
      <c r="P2274" s="381"/>
      <c r="R2274" s="392"/>
      <c r="S2274" s="61" ph="1"/>
      <c r="U2274" s="229"/>
      <c r="V2274" s="264"/>
      <c r="W2274" s="199"/>
      <c r="X2274" s="264"/>
      <c r="Y2274" s="264"/>
      <c r="Z2274" s="386"/>
      <c r="AD2274" s="264"/>
      <c r="AE2274" s="264"/>
      <c r="AF2274" s="264"/>
      <c r="AG2274" s="264"/>
    </row>
    <row r="2275" spans="1:33" ht="26.25">
      <c r="A2275" s="264"/>
      <c r="B2275" s="264"/>
      <c r="C2275" s="264"/>
      <c r="D2275" s="264"/>
      <c r="E2275" s="264"/>
      <c r="F2275" s="264"/>
      <c r="G2275" s="264"/>
      <c r="H2275" s="264"/>
      <c r="I2275" s="264"/>
      <c r="J2275" s="327"/>
      <c r="K2275" s="327"/>
      <c r="L2275" s="327"/>
      <c r="M2275" s="321"/>
      <c r="N2275" s="321"/>
      <c r="O2275" s="364"/>
      <c r="P2275" s="381"/>
      <c r="R2275" s="392"/>
      <c r="S2275" s="61" ph="1"/>
      <c r="U2275" s="229"/>
      <c r="V2275" s="264"/>
      <c r="W2275" s="199"/>
      <c r="X2275" s="264"/>
      <c r="Y2275" s="264"/>
      <c r="Z2275" s="386"/>
      <c r="AD2275" s="264"/>
      <c r="AE2275" s="264"/>
      <c r="AF2275" s="264"/>
      <c r="AG2275" s="264"/>
    </row>
    <row r="2276" spans="1:33" ht="26.25">
      <c r="A2276" s="264"/>
      <c r="B2276" s="264"/>
      <c r="C2276" s="264"/>
      <c r="D2276" s="264"/>
      <c r="E2276" s="264"/>
      <c r="F2276" s="264"/>
      <c r="G2276" s="264"/>
      <c r="H2276" s="264"/>
      <c r="I2276" s="264"/>
      <c r="J2276" s="327"/>
      <c r="K2276" s="327"/>
      <c r="L2276" s="327"/>
      <c r="M2276" s="321"/>
      <c r="N2276" s="321"/>
      <c r="O2276" s="364"/>
      <c r="P2276" s="381"/>
      <c r="R2276" s="392"/>
      <c r="S2276" s="61" ph="1"/>
      <c r="U2276" s="229"/>
      <c r="V2276" s="264"/>
      <c r="W2276" s="199"/>
      <c r="X2276" s="264"/>
      <c r="Y2276" s="264"/>
      <c r="Z2276" s="386"/>
      <c r="AD2276" s="264"/>
      <c r="AE2276" s="264"/>
      <c r="AF2276" s="264"/>
      <c r="AG2276" s="264"/>
    </row>
    <row r="2277" spans="1:33" ht="26.25">
      <c r="A2277" s="264"/>
      <c r="B2277" s="264"/>
      <c r="C2277" s="264"/>
      <c r="D2277" s="264"/>
      <c r="E2277" s="264"/>
      <c r="F2277" s="264"/>
      <c r="G2277" s="264"/>
      <c r="H2277" s="264"/>
      <c r="I2277" s="264"/>
      <c r="J2277" s="327"/>
      <c r="K2277" s="327"/>
      <c r="L2277" s="327"/>
      <c r="M2277" s="321"/>
      <c r="N2277" s="321"/>
      <c r="O2277" s="364"/>
      <c r="P2277" s="381"/>
      <c r="R2277" s="392"/>
      <c r="S2277" s="61" ph="1"/>
      <c r="U2277" s="229"/>
      <c r="V2277" s="264"/>
      <c r="W2277" s="199"/>
      <c r="X2277" s="264"/>
      <c r="Y2277" s="264"/>
      <c r="Z2277" s="386"/>
      <c r="AD2277" s="264"/>
      <c r="AE2277" s="264"/>
      <c r="AF2277" s="264"/>
      <c r="AG2277" s="264"/>
    </row>
    <row r="2278" spans="1:33" ht="26.25">
      <c r="A2278" s="264"/>
      <c r="B2278" s="264"/>
      <c r="C2278" s="264"/>
      <c r="D2278" s="264"/>
      <c r="E2278" s="264"/>
      <c r="F2278" s="264"/>
      <c r="G2278" s="264"/>
      <c r="H2278" s="264"/>
      <c r="I2278" s="264"/>
      <c r="J2278" s="327"/>
      <c r="K2278" s="327"/>
      <c r="L2278" s="327"/>
      <c r="M2278" s="321"/>
      <c r="N2278" s="321"/>
      <c r="O2278" s="364"/>
      <c r="P2278" s="381"/>
      <c r="R2278" s="392"/>
      <c r="S2278" s="61" ph="1"/>
      <c r="U2278" s="229"/>
      <c r="V2278" s="264"/>
      <c r="W2278" s="199"/>
      <c r="X2278" s="264"/>
      <c r="Y2278" s="264"/>
      <c r="Z2278" s="386"/>
      <c r="AD2278" s="264"/>
      <c r="AE2278" s="264"/>
      <c r="AF2278" s="264"/>
      <c r="AG2278" s="264"/>
    </row>
    <row r="2279" spans="1:33" ht="26.25">
      <c r="A2279" s="264"/>
      <c r="B2279" s="264"/>
      <c r="C2279" s="264"/>
      <c r="D2279" s="264"/>
      <c r="E2279" s="264"/>
      <c r="F2279" s="264"/>
      <c r="G2279" s="264"/>
      <c r="H2279" s="264"/>
      <c r="I2279" s="264"/>
      <c r="J2279" s="327"/>
      <c r="K2279" s="327"/>
      <c r="L2279" s="327"/>
      <c r="M2279" s="321"/>
      <c r="N2279" s="321"/>
      <c r="O2279" s="364"/>
      <c r="P2279" s="381"/>
      <c r="R2279" s="392"/>
      <c r="S2279" s="61" ph="1"/>
      <c r="U2279" s="229"/>
      <c r="V2279" s="264"/>
      <c r="W2279" s="199"/>
      <c r="X2279" s="264"/>
      <c r="Y2279" s="264"/>
      <c r="Z2279" s="386"/>
      <c r="AD2279" s="264"/>
      <c r="AE2279" s="264"/>
      <c r="AF2279" s="264"/>
      <c r="AG2279" s="264"/>
    </row>
    <row r="2280" spans="1:33" ht="26.25">
      <c r="A2280" s="264"/>
      <c r="B2280" s="264"/>
      <c r="C2280" s="264"/>
      <c r="D2280" s="264"/>
      <c r="E2280" s="264"/>
      <c r="F2280" s="264"/>
      <c r="G2280" s="264"/>
      <c r="H2280" s="264"/>
      <c r="I2280" s="264"/>
      <c r="J2280" s="327"/>
      <c r="K2280" s="327"/>
      <c r="L2280" s="327"/>
      <c r="M2280" s="321"/>
      <c r="N2280" s="321"/>
      <c r="O2280" s="364"/>
      <c r="P2280" s="381"/>
      <c r="R2280" s="392"/>
      <c r="S2280" s="61" ph="1"/>
      <c r="U2280" s="229"/>
      <c r="V2280" s="264"/>
      <c r="W2280" s="199"/>
      <c r="X2280" s="264"/>
      <c r="Y2280" s="264"/>
      <c r="Z2280" s="386"/>
      <c r="AD2280" s="264"/>
      <c r="AE2280" s="264"/>
      <c r="AF2280" s="264"/>
      <c r="AG2280" s="264"/>
    </row>
    <row r="2281" spans="1:33" ht="26.25">
      <c r="A2281" s="264"/>
      <c r="B2281" s="264"/>
      <c r="C2281" s="264"/>
      <c r="D2281" s="264"/>
      <c r="E2281" s="264"/>
      <c r="F2281" s="264"/>
      <c r="G2281" s="264"/>
      <c r="H2281" s="264"/>
      <c r="I2281" s="264"/>
      <c r="J2281" s="327"/>
      <c r="K2281" s="327"/>
      <c r="L2281" s="327"/>
      <c r="M2281" s="321"/>
      <c r="N2281" s="321"/>
      <c r="O2281" s="364"/>
      <c r="P2281" s="381"/>
      <c r="R2281" s="392"/>
      <c r="S2281" s="61" ph="1"/>
      <c r="U2281" s="229"/>
      <c r="V2281" s="264"/>
      <c r="W2281" s="199"/>
      <c r="X2281" s="264"/>
      <c r="Y2281" s="264"/>
      <c r="Z2281" s="386"/>
      <c r="AD2281" s="264"/>
      <c r="AE2281" s="264"/>
      <c r="AF2281" s="264"/>
      <c r="AG2281" s="264"/>
    </row>
    <row r="2282" spans="1:33" ht="26.25">
      <c r="A2282" s="264"/>
      <c r="B2282" s="264"/>
      <c r="C2282" s="264"/>
      <c r="D2282" s="264"/>
      <c r="E2282" s="264"/>
      <c r="F2282" s="264"/>
      <c r="G2282" s="264"/>
      <c r="H2282" s="264"/>
      <c r="I2282" s="264"/>
      <c r="J2282" s="327"/>
      <c r="K2282" s="327"/>
      <c r="L2282" s="327"/>
      <c r="M2282" s="321"/>
      <c r="N2282" s="321"/>
      <c r="O2282" s="364"/>
      <c r="P2282" s="381"/>
      <c r="R2282" s="392"/>
      <c r="S2282" s="61" ph="1"/>
      <c r="U2282" s="229"/>
      <c r="V2282" s="264"/>
      <c r="W2282" s="199"/>
      <c r="X2282" s="264"/>
      <c r="Y2282" s="264"/>
      <c r="Z2282" s="386"/>
      <c r="AD2282" s="264"/>
      <c r="AE2282" s="264"/>
      <c r="AF2282" s="264"/>
      <c r="AG2282" s="264"/>
    </row>
    <row r="2283" spans="1:33" ht="26.25">
      <c r="A2283" s="264"/>
      <c r="B2283" s="264"/>
      <c r="C2283" s="264"/>
      <c r="D2283" s="264"/>
      <c r="E2283" s="264"/>
      <c r="F2283" s="264"/>
      <c r="G2283" s="264"/>
      <c r="H2283" s="264"/>
      <c r="I2283" s="264"/>
      <c r="J2283" s="327"/>
      <c r="K2283" s="327"/>
      <c r="L2283" s="327"/>
      <c r="M2283" s="321"/>
      <c r="N2283" s="321"/>
      <c r="O2283" s="364"/>
      <c r="P2283" s="381"/>
      <c r="R2283" s="392"/>
      <c r="S2283" s="61" ph="1"/>
      <c r="U2283" s="229"/>
      <c r="V2283" s="264"/>
      <c r="W2283" s="199"/>
      <c r="X2283" s="264"/>
      <c r="Y2283" s="264"/>
      <c r="Z2283" s="386"/>
      <c r="AD2283" s="264"/>
      <c r="AE2283" s="264"/>
      <c r="AF2283" s="264"/>
      <c r="AG2283" s="264"/>
    </row>
    <row r="2284" spans="1:33" ht="26.25">
      <c r="A2284" s="264"/>
      <c r="B2284" s="264"/>
      <c r="C2284" s="264"/>
      <c r="D2284" s="264"/>
      <c r="E2284" s="264"/>
      <c r="F2284" s="264"/>
      <c r="G2284" s="264"/>
      <c r="H2284" s="264"/>
      <c r="I2284" s="264"/>
      <c r="J2284" s="327"/>
      <c r="K2284" s="327"/>
      <c r="L2284" s="327"/>
      <c r="M2284" s="321"/>
      <c r="N2284" s="321"/>
      <c r="O2284" s="364"/>
      <c r="P2284" s="381"/>
      <c r="R2284" s="392"/>
      <c r="S2284" s="61" ph="1"/>
      <c r="U2284" s="229"/>
      <c r="V2284" s="264"/>
      <c r="W2284" s="199"/>
      <c r="X2284" s="264"/>
      <c r="Y2284" s="264"/>
      <c r="Z2284" s="386"/>
      <c r="AD2284" s="264"/>
      <c r="AE2284" s="264"/>
      <c r="AF2284" s="264"/>
      <c r="AG2284" s="264"/>
    </row>
    <row r="2285" spans="1:33" ht="26.25">
      <c r="A2285" s="264"/>
      <c r="B2285" s="264"/>
      <c r="C2285" s="264"/>
      <c r="D2285" s="264"/>
      <c r="E2285" s="264"/>
      <c r="F2285" s="264"/>
      <c r="G2285" s="264"/>
      <c r="H2285" s="264"/>
      <c r="I2285" s="264"/>
      <c r="J2285" s="327"/>
      <c r="K2285" s="327"/>
      <c r="L2285" s="327"/>
      <c r="M2285" s="321"/>
      <c r="N2285" s="321"/>
      <c r="O2285" s="364"/>
      <c r="P2285" s="381"/>
      <c r="R2285" s="392"/>
      <c r="S2285" s="61" ph="1"/>
      <c r="U2285" s="229"/>
      <c r="V2285" s="264"/>
      <c r="W2285" s="199"/>
      <c r="X2285" s="264"/>
      <c r="Y2285" s="264"/>
      <c r="Z2285" s="386"/>
      <c r="AD2285" s="264"/>
      <c r="AE2285" s="264"/>
      <c r="AF2285" s="264"/>
      <c r="AG2285" s="264"/>
    </row>
    <row r="2286" spans="1:33" ht="26.25">
      <c r="A2286" s="264"/>
      <c r="B2286" s="264"/>
      <c r="C2286" s="264"/>
      <c r="D2286" s="264"/>
      <c r="E2286" s="264"/>
      <c r="F2286" s="264"/>
      <c r="G2286" s="264"/>
      <c r="H2286" s="264"/>
      <c r="I2286" s="264"/>
      <c r="J2286" s="327"/>
      <c r="K2286" s="327"/>
      <c r="L2286" s="327"/>
      <c r="M2286" s="321"/>
      <c r="N2286" s="321"/>
      <c r="O2286" s="364"/>
      <c r="P2286" s="381"/>
      <c r="R2286" s="392"/>
      <c r="S2286" s="61" ph="1"/>
      <c r="U2286" s="229"/>
      <c r="V2286" s="264"/>
      <c r="W2286" s="199"/>
      <c r="X2286" s="264"/>
      <c r="Y2286" s="264"/>
      <c r="Z2286" s="386"/>
      <c r="AD2286" s="264"/>
      <c r="AE2286" s="264"/>
      <c r="AF2286" s="264"/>
      <c r="AG2286" s="264"/>
    </row>
    <row r="2287" spans="1:33" ht="26.25">
      <c r="A2287" s="264"/>
      <c r="B2287" s="264"/>
      <c r="C2287" s="264"/>
      <c r="D2287" s="264"/>
      <c r="E2287" s="264"/>
      <c r="F2287" s="264"/>
      <c r="G2287" s="264"/>
      <c r="H2287" s="264"/>
      <c r="I2287" s="264"/>
      <c r="J2287" s="327"/>
      <c r="K2287" s="327"/>
      <c r="L2287" s="327"/>
      <c r="M2287" s="321"/>
      <c r="N2287" s="321"/>
      <c r="O2287" s="364"/>
      <c r="P2287" s="381"/>
      <c r="R2287" s="392"/>
      <c r="S2287" s="61" ph="1"/>
      <c r="U2287" s="229"/>
      <c r="V2287" s="264"/>
      <c r="W2287" s="199"/>
      <c r="X2287" s="264"/>
      <c r="Y2287" s="264"/>
      <c r="Z2287" s="386"/>
      <c r="AD2287" s="264"/>
      <c r="AE2287" s="264"/>
      <c r="AF2287" s="264"/>
      <c r="AG2287" s="264"/>
    </row>
    <row r="2288" spans="1:33" ht="26.25">
      <c r="A2288" s="264"/>
      <c r="B2288" s="264"/>
      <c r="C2288" s="264"/>
      <c r="D2288" s="264"/>
      <c r="E2288" s="264"/>
      <c r="F2288" s="264"/>
      <c r="G2288" s="264"/>
      <c r="H2288" s="264"/>
      <c r="I2288" s="264"/>
      <c r="J2288" s="327"/>
      <c r="K2288" s="327"/>
      <c r="L2288" s="327"/>
      <c r="M2288" s="321"/>
      <c r="N2288" s="321"/>
      <c r="O2288" s="364"/>
      <c r="P2288" s="381"/>
      <c r="R2288" s="392"/>
      <c r="S2288" s="61" ph="1"/>
      <c r="U2288" s="229"/>
      <c r="V2288" s="264"/>
      <c r="W2288" s="199"/>
      <c r="X2288" s="264"/>
      <c r="Y2288" s="264"/>
      <c r="Z2288" s="386"/>
      <c r="AD2288" s="264"/>
      <c r="AE2288" s="264"/>
      <c r="AF2288" s="264"/>
      <c r="AG2288" s="264"/>
    </row>
    <row r="2289" spans="1:33" ht="26.25">
      <c r="A2289" s="264"/>
      <c r="B2289" s="264"/>
      <c r="C2289" s="264"/>
      <c r="D2289" s="264"/>
      <c r="E2289" s="264"/>
      <c r="F2289" s="264"/>
      <c r="G2289" s="264"/>
      <c r="H2289" s="264"/>
      <c r="I2289" s="264"/>
      <c r="J2289" s="327"/>
      <c r="K2289" s="327"/>
      <c r="L2289" s="327"/>
      <c r="M2289" s="321"/>
      <c r="N2289" s="321"/>
      <c r="O2289" s="364"/>
      <c r="P2289" s="381"/>
      <c r="R2289" s="392"/>
      <c r="S2289" s="61" ph="1"/>
      <c r="U2289" s="229"/>
      <c r="V2289" s="264"/>
      <c r="W2289" s="199"/>
      <c r="X2289" s="264"/>
      <c r="Y2289" s="264"/>
      <c r="Z2289" s="386"/>
      <c r="AD2289" s="264"/>
      <c r="AE2289" s="264"/>
      <c r="AF2289" s="264"/>
      <c r="AG2289" s="264"/>
    </row>
    <row r="2290" spans="1:33" ht="26.25">
      <c r="A2290" s="264"/>
      <c r="B2290" s="264"/>
      <c r="C2290" s="264"/>
      <c r="D2290" s="264"/>
      <c r="E2290" s="264"/>
      <c r="F2290" s="264"/>
      <c r="G2290" s="264"/>
      <c r="H2290" s="264"/>
      <c r="I2290" s="264"/>
      <c r="J2290" s="327"/>
      <c r="K2290" s="327"/>
      <c r="L2290" s="327"/>
      <c r="M2290" s="321"/>
      <c r="N2290" s="321"/>
      <c r="O2290" s="364"/>
      <c r="P2290" s="381"/>
      <c r="R2290" s="392"/>
      <c r="S2290" s="61" ph="1"/>
      <c r="U2290" s="229"/>
      <c r="V2290" s="264"/>
      <c r="W2290" s="199"/>
      <c r="X2290" s="264"/>
      <c r="Y2290" s="264"/>
      <c r="Z2290" s="386"/>
      <c r="AD2290" s="264"/>
      <c r="AE2290" s="264"/>
      <c r="AF2290" s="264"/>
      <c r="AG2290" s="264"/>
    </row>
    <row r="2291" spans="1:33" ht="26.25">
      <c r="A2291" s="264"/>
      <c r="B2291" s="264"/>
      <c r="C2291" s="264"/>
      <c r="D2291" s="264"/>
      <c r="E2291" s="264"/>
      <c r="F2291" s="264"/>
      <c r="G2291" s="264"/>
      <c r="H2291" s="264"/>
      <c r="I2291" s="264"/>
      <c r="J2291" s="327"/>
      <c r="K2291" s="327"/>
      <c r="L2291" s="327"/>
      <c r="M2291" s="321"/>
      <c r="N2291" s="321"/>
      <c r="O2291" s="364"/>
      <c r="P2291" s="381"/>
      <c r="R2291" s="392"/>
      <c r="S2291" s="61" ph="1"/>
      <c r="U2291" s="229"/>
      <c r="V2291" s="264"/>
      <c r="W2291" s="199"/>
      <c r="X2291" s="264"/>
      <c r="Y2291" s="264"/>
      <c r="Z2291" s="386"/>
      <c r="AD2291" s="264"/>
      <c r="AE2291" s="264"/>
      <c r="AF2291" s="264"/>
      <c r="AG2291" s="264"/>
    </row>
    <row r="2292" spans="1:33" ht="26.25">
      <c r="A2292" s="264"/>
      <c r="B2292" s="264"/>
      <c r="C2292" s="264"/>
      <c r="D2292" s="264"/>
      <c r="E2292" s="264"/>
      <c r="F2292" s="264"/>
      <c r="G2292" s="264"/>
      <c r="H2292" s="264"/>
      <c r="I2292" s="264"/>
      <c r="J2292" s="327"/>
      <c r="K2292" s="327"/>
      <c r="L2292" s="327"/>
      <c r="M2292" s="321"/>
      <c r="N2292" s="321"/>
      <c r="O2292" s="364"/>
      <c r="P2292" s="381"/>
      <c r="R2292" s="392"/>
      <c r="S2292" s="61" ph="1"/>
      <c r="U2292" s="229"/>
      <c r="V2292" s="264"/>
      <c r="W2292" s="199"/>
      <c r="X2292" s="264"/>
      <c r="Y2292" s="264"/>
      <c r="Z2292" s="386"/>
      <c r="AD2292" s="264"/>
      <c r="AE2292" s="264"/>
      <c r="AF2292" s="264"/>
      <c r="AG2292" s="264"/>
    </row>
    <row r="2293" spans="1:33" ht="26.25">
      <c r="A2293" s="264"/>
      <c r="B2293" s="264"/>
      <c r="C2293" s="264"/>
      <c r="D2293" s="264"/>
      <c r="E2293" s="264"/>
      <c r="F2293" s="264"/>
      <c r="G2293" s="264"/>
      <c r="H2293" s="264"/>
      <c r="I2293" s="264"/>
      <c r="J2293" s="327"/>
      <c r="K2293" s="327"/>
      <c r="L2293" s="327"/>
      <c r="M2293" s="321"/>
      <c r="N2293" s="321"/>
      <c r="O2293" s="364"/>
      <c r="P2293" s="381"/>
      <c r="R2293" s="392"/>
      <c r="S2293" s="61" ph="1"/>
      <c r="U2293" s="229"/>
      <c r="V2293" s="264"/>
      <c r="W2293" s="199"/>
      <c r="X2293" s="264"/>
      <c r="Y2293" s="264"/>
      <c r="Z2293" s="386"/>
      <c r="AD2293" s="264"/>
      <c r="AE2293" s="264"/>
      <c r="AF2293" s="264"/>
      <c r="AG2293" s="264"/>
    </row>
    <row r="2294" spans="1:33" ht="26.25">
      <c r="A2294" s="264"/>
      <c r="B2294" s="264"/>
      <c r="C2294" s="264"/>
      <c r="D2294" s="264"/>
      <c r="E2294" s="264"/>
      <c r="F2294" s="264"/>
      <c r="G2294" s="264"/>
      <c r="H2294" s="264"/>
      <c r="I2294" s="264"/>
      <c r="J2294" s="327"/>
      <c r="K2294" s="327"/>
      <c r="L2294" s="327"/>
      <c r="M2294" s="321"/>
      <c r="N2294" s="321"/>
      <c r="O2294" s="364"/>
      <c r="P2294" s="381"/>
      <c r="R2294" s="392"/>
      <c r="S2294" s="61" ph="1"/>
      <c r="U2294" s="229"/>
      <c r="V2294" s="264"/>
      <c r="W2294" s="199"/>
      <c r="X2294" s="264"/>
      <c r="Y2294" s="264"/>
      <c r="Z2294" s="386"/>
      <c r="AD2294" s="264"/>
      <c r="AE2294" s="264"/>
      <c r="AF2294" s="264"/>
      <c r="AG2294" s="264"/>
    </row>
    <row r="2295" spans="1:33" ht="26.25">
      <c r="A2295" s="264"/>
      <c r="B2295" s="264"/>
      <c r="C2295" s="264"/>
      <c r="D2295" s="264"/>
      <c r="E2295" s="264"/>
      <c r="F2295" s="264"/>
      <c r="G2295" s="264"/>
      <c r="H2295" s="264"/>
      <c r="I2295" s="264"/>
      <c r="J2295" s="327"/>
      <c r="K2295" s="327"/>
      <c r="L2295" s="327"/>
      <c r="M2295" s="321"/>
      <c r="N2295" s="321"/>
      <c r="O2295" s="364"/>
      <c r="P2295" s="381"/>
      <c r="R2295" s="392"/>
      <c r="S2295" s="61" ph="1"/>
      <c r="U2295" s="229"/>
      <c r="V2295" s="264"/>
      <c r="W2295" s="199"/>
      <c r="X2295" s="264"/>
      <c r="Y2295" s="264"/>
      <c r="Z2295" s="386"/>
      <c r="AD2295" s="264"/>
      <c r="AE2295" s="264"/>
      <c r="AF2295" s="264"/>
      <c r="AG2295" s="264"/>
    </row>
    <row r="2296" spans="1:33" ht="26.25">
      <c r="A2296" s="264"/>
      <c r="B2296" s="264"/>
      <c r="C2296" s="264"/>
      <c r="D2296" s="264"/>
      <c r="E2296" s="264"/>
      <c r="F2296" s="264"/>
      <c r="G2296" s="264"/>
      <c r="H2296" s="264"/>
      <c r="I2296" s="264"/>
      <c r="J2296" s="327"/>
      <c r="K2296" s="327"/>
      <c r="L2296" s="327"/>
      <c r="M2296" s="321"/>
      <c r="N2296" s="321"/>
      <c r="O2296" s="364"/>
      <c r="P2296" s="381"/>
      <c r="R2296" s="392"/>
      <c r="S2296" s="61" ph="1"/>
      <c r="U2296" s="229"/>
      <c r="V2296" s="264"/>
      <c r="W2296" s="199"/>
      <c r="X2296" s="264"/>
      <c r="Y2296" s="264"/>
      <c r="Z2296" s="386"/>
      <c r="AD2296" s="264"/>
      <c r="AE2296" s="264"/>
      <c r="AF2296" s="264"/>
      <c r="AG2296" s="264"/>
    </row>
    <row r="2297" spans="1:33" ht="26.25">
      <c r="A2297" s="264"/>
      <c r="B2297" s="264"/>
      <c r="C2297" s="264"/>
      <c r="D2297" s="264"/>
      <c r="E2297" s="264"/>
      <c r="F2297" s="264"/>
      <c r="G2297" s="264"/>
      <c r="H2297" s="264"/>
      <c r="I2297" s="264"/>
      <c r="J2297" s="327"/>
      <c r="K2297" s="327"/>
      <c r="L2297" s="327"/>
      <c r="M2297" s="321"/>
      <c r="N2297" s="321"/>
      <c r="O2297" s="364"/>
      <c r="P2297" s="381"/>
      <c r="R2297" s="392"/>
      <c r="S2297" s="61" ph="1"/>
      <c r="U2297" s="229"/>
      <c r="V2297" s="264"/>
      <c r="W2297" s="199"/>
      <c r="X2297" s="264"/>
      <c r="Y2297" s="264"/>
      <c r="Z2297" s="386"/>
      <c r="AD2297" s="264"/>
      <c r="AE2297" s="264"/>
      <c r="AF2297" s="264"/>
      <c r="AG2297" s="264"/>
    </row>
    <row r="2298" spans="1:33" ht="26.25">
      <c r="A2298" s="264"/>
      <c r="B2298" s="264"/>
      <c r="C2298" s="264"/>
      <c r="D2298" s="264"/>
      <c r="E2298" s="264"/>
      <c r="F2298" s="264"/>
      <c r="G2298" s="264"/>
      <c r="H2298" s="264"/>
      <c r="I2298" s="264"/>
      <c r="J2298" s="327"/>
      <c r="K2298" s="327"/>
      <c r="L2298" s="327"/>
      <c r="M2298" s="321"/>
      <c r="N2298" s="321"/>
      <c r="O2298" s="364"/>
      <c r="P2298" s="381"/>
      <c r="R2298" s="392"/>
      <c r="S2298" s="61" ph="1"/>
      <c r="U2298" s="229"/>
      <c r="V2298" s="264"/>
      <c r="W2298" s="199"/>
      <c r="X2298" s="264"/>
      <c r="Y2298" s="264"/>
      <c r="Z2298" s="386"/>
      <c r="AD2298" s="264"/>
      <c r="AE2298" s="264"/>
      <c r="AF2298" s="264"/>
      <c r="AG2298" s="264"/>
    </row>
    <row r="2299" spans="1:33" ht="26.25">
      <c r="A2299" s="264"/>
      <c r="B2299" s="264"/>
      <c r="C2299" s="264"/>
      <c r="D2299" s="264"/>
      <c r="E2299" s="264"/>
      <c r="F2299" s="264"/>
      <c r="G2299" s="264"/>
      <c r="H2299" s="264"/>
      <c r="I2299" s="264"/>
      <c r="J2299" s="327"/>
      <c r="K2299" s="327"/>
      <c r="L2299" s="327"/>
      <c r="M2299" s="321"/>
      <c r="N2299" s="321"/>
      <c r="O2299" s="364"/>
      <c r="P2299" s="381"/>
      <c r="R2299" s="392"/>
      <c r="S2299" s="61" ph="1"/>
      <c r="U2299" s="229"/>
      <c r="V2299" s="264"/>
      <c r="W2299" s="199"/>
      <c r="X2299" s="264"/>
      <c r="Y2299" s="264"/>
      <c r="Z2299" s="386"/>
      <c r="AD2299" s="264"/>
      <c r="AE2299" s="264"/>
      <c r="AF2299" s="264"/>
      <c r="AG2299" s="264"/>
    </row>
    <row r="2300" spans="1:33" ht="26.25">
      <c r="A2300" s="264"/>
      <c r="B2300" s="264"/>
      <c r="C2300" s="264"/>
      <c r="D2300" s="264"/>
      <c r="E2300" s="264"/>
      <c r="F2300" s="264"/>
      <c r="G2300" s="264"/>
      <c r="H2300" s="264"/>
      <c r="I2300" s="264"/>
      <c r="J2300" s="327"/>
      <c r="K2300" s="327"/>
      <c r="L2300" s="327"/>
      <c r="M2300" s="321"/>
      <c r="N2300" s="321"/>
      <c r="O2300" s="364"/>
      <c r="P2300" s="381"/>
      <c r="R2300" s="392"/>
      <c r="S2300" s="61" ph="1"/>
      <c r="U2300" s="229"/>
      <c r="V2300" s="264"/>
      <c r="W2300" s="199"/>
      <c r="X2300" s="264"/>
      <c r="Y2300" s="264"/>
      <c r="Z2300" s="386"/>
      <c r="AD2300" s="264"/>
      <c r="AE2300" s="264"/>
      <c r="AF2300" s="264"/>
      <c r="AG2300" s="264"/>
    </row>
    <row r="2301" spans="1:33" ht="26.25">
      <c r="A2301" s="264"/>
      <c r="B2301" s="264"/>
      <c r="C2301" s="264"/>
      <c r="D2301" s="264"/>
      <c r="E2301" s="264"/>
      <c r="F2301" s="264"/>
      <c r="G2301" s="264"/>
      <c r="H2301" s="264"/>
      <c r="I2301" s="264"/>
      <c r="J2301" s="327"/>
      <c r="K2301" s="327"/>
      <c r="L2301" s="327"/>
      <c r="M2301" s="321"/>
      <c r="N2301" s="321"/>
      <c r="O2301" s="364"/>
      <c r="P2301" s="381"/>
      <c r="R2301" s="392"/>
      <c r="S2301" s="61" ph="1"/>
      <c r="U2301" s="229"/>
      <c r="V2301" s="264"/>
      <c r="W2301" s="199"/>
      <c r="X2301" s="264"/>
      <c r="Y2301" s="264"/>
      <c r="Z2301" s="386"/>
      <c r="AD2301" s="264"/>
      <c r="AE2301" s="264"/>
      <c r="AF2301" s="264"/>
      <c r="AG2301" s="264"/>
    </row>
    <row r="2302" spans="1:33" ht="26.25">
      <c r="A2302" s="264"/>
      <c r="B2302" s="264"/>
      <c r="C2302" s="264"/>
      <c r="D2302" s="264"/>
      <c r="E2302" s="264"/>
      <c r="F2302" s="264"/>
      <c r="G2302" s="264"/>
      <c r="H2302" s="264"/>
      <c r="I2302" s="264"/>
      <c r="J2302" s="327"/>
      <c r="K2302" s="327"/>
      <c r="L2302" s="327"/>
      <c r="M2302" s="321"/>
      <c r="N2302" s="321"/>
      <c r="O2302" s="364"/>
      <c r="P2302" s="381"/>
      <c r="R2302" s="392"/>
      <c r="S2302" s="61" ph="1"/>
      <c r="U2302" s="229"/>
      <c r="V2302" s="264"/>
      <c r="W2302" s="199"/>
      <c r="X2302" s="264"/>
      <c r="Y2302" s="264"/>
      <c r="Z2302" s="386"/>
      <c r="AD2302" s="264"/>
      <c r="AE2302" s="264"/>
      <c r="AF2302" s="264"/>
      <c r="AG2302" s="264"/>
    </row>
    <row r="2303" spans="1:33" ht="26.25">
      <c r="A2303" s="264"/>
      <c r="B2303" s="264"/>
      <c r="C2303" s="264"/>
      <c r="D2303" s="264"/>
      <c r="E2303" s="264"/>
      <c r="F2303" s="264"/>
      <c r="G2303" s="264"/>
      <c r="H2303" s="264"/>
      <c r="I2303" s="264"/>
      <c r="J2303" s="327"/>
      <c r="K2303" s="327"/>
      <c r="L2303" s="327"/>
      <c r="M2303" s="321"/>
      <c r="N2303" s="321"/>
      <c r="O2303" s="364"/>
      <c r="P2303" s="381"/>
      <c r="R2303" s="392"/>
      <c r="S2303" s="61" ph="1"/>
      <c r="U2303" s="229"/>
      <c r="V2303" s="264"/>
      <c r="W2303" s="199"/>
      <c r="X2303" s="264"/>
      <c r="Y2303" s="264"/>
      <c r="Z2303" s="386"/>
      <c r="AD2303" s="264"/>
      <c r="AE2303" s="264"/>
      <c r="AF2303" s="264"/>
      <c r="AG2303" s="264"/>
    </row>
    <row r="2304" spans="1:33" ht="26.25">
      <c r="A2304" s="264"/>
      <c r="B2304" s="264"/>
      <c r="C2304" s="264"/>
      <c r="D2304" s="264"/>
      <c r="E2304" s="264"/>
      <c r="F2304" s="264"/>
      <c r="G2304" s="264"/>
      <c r="H2304" s="264"/>
      <c r="I2304" s="264"/>
      <c r="J2304" s="327"/>
      <c r="K2304" s="327"/>
      <c r="L2304" s="327"/>
      <c r="M2304" s="321"/>
      <c r="N2304" s="321"/>
      <c r="O2304" s="364"/>
      <c r="P2304" s="381"/>
      <c r="R2304" s="392"/>
      <c r="S2304" s="61" ph="1"/>
      <c r="U2304" s="229"/>
      <c r="V2304" s="264"/>
      <c r="W2304" s="199"/>
      <c r="X2304" s="264"/>
      <c r="Y2304" s="264"/>
      <c r="Z2304" s="386"/>
      <c r="AD2304" s="264"/>
      <c r="AE2304" s="264"/>
      <c r="AF2304" s="264"/>
      <c r="AG2304" s="264"/>
    </row>
    <row r="2305" spans="1:33" ht="26.25">
      <c r="A2305" s="264"/>
      <c r="B2305" s="264"/>
      <c r="C2305" s="264"/>
      <c r="D2305" s="264"/>
      <c r="E2305" s="264"/>
      <c r="F2305" s="264"/>
      <c r="G2305" s="264"/>
      <c r="H2305" s="264"/>
      <c r="I2305" s="264"/>
      <c r="J2305" s="327"/>
      <c r="K2305" s="327"/>
      <c r="L2305" s="327"/>
      <c r="M2305" s="321"/>
      <c r="N2305" s="321"/>
      <c r="O2305" s="364"/>
      <c r="P2305" s="381"/>
      <c r="R2305" s="392"/>
      <c r="S2305" s="61" ph="1"/>
      <c r="U2305" s="229"/>
      <c r="V2305" s="264"/>
      <c r="W2305" s="199"/>
      <c r="X2305" s="264"/>
      <c r="Y2305" s="264"/>
      <c r="Z2305" s="386"/>
      <c r="AD2305" s="264"/>
      <c r="AE2305" s="264"/>
      <c r="AF2305" s="264"/>
      <c r="AG2305" s="264"/>
    </row>
    <row r="2306" spans="1:33" ht="26.25">
      <c r="A2306" s="264"/>
      <c r="B2306" s="264"/>
      <c r="C2306" s="264"/>
      <c r="D2306" s="264"/>
      <c r="E2306" s="264"/>
      <c r="F2306" s="264"/>
      <c r="G2306" s="264"/>
      <c r="H2306" s="264"/>
      <c r="I2306" s="264"/>
      <c r="J2306" s="327"/>
      <c r="K2306" s="327"/>
      <c r="L2306" s="327"/>
      <c r="M2306" s="321"/>
      <c r="N2306" s="321"/>
      <c r="O2306" s="364"/>
      <c r="P2306" s="381"/>
      <c r="R2306" s="392"/>
      <c r="S2306" s="61" ph="1"/>
      <c r="U2306" s="229"/>
      <c r="V2306" s="264"/>
      <c r="W2306" s="199"/>
      <c r="X2306" s="264"/>
      <c r="Y2306" s="264"/>
      <c r="Z2306" s="386"/>
      <c r="AD2306" s="264"/>
      <c r="AE2306" s="264"/>
      <c r="AF2306" s="264"/>
      <c r="AG2306" s="264"/>
    </row>
    <row r="2307" spans="1:33" ht="26.25">
      <c r="A2307" s="264"/>
      <c r="B2307" s="264"/>
      <c r="C2307" s="264"/>
      <c r="D2307" s="264"/>
      <c r="E2307" s="264"/>
      <c r="F2307" s="264"/>
      <c r="G2307" s="264"/>
      <c r="H2307" s="264"/>
      <c r="I2307" s="264"/>
      <c r="J2307" s="327"/>
      <c r="K2307" s="327"/>
      <c r="L2307" s="327"/>
      <c r="M2307" s="321"/>
      <c r="N2307" s="321"/>
      <c r="O2307" s="364"/>
      <c r="P2307" s="381"/>
      <c r="R2307" s="392"/>
      <c r="S2307" s="61" ph="1"/>
      <c r="U2307" s="229"/>
      <c r="V2307" s="264"/>
      <c r="W2307" s="199"/>
      <c r="X2307" s="264"/>
      <c r="Y2307" s="264"/>
      <c r="Z2307" s="386"/>
      <c r="AD2307" s="264"/>
      <c r="AE2307" s="264"/>
      <c r="AF2307" s="264"/>
      <c r="AG2307" s="264"/>
    </row>
    <row r="2308" spans="1:33" ht="26.25">
      <c r="A2308" s="264"/>
      <c r="B2308" s="264"/>
      <c r="C2308" s="264"/>
      <c r="D2308" s="264"/>
      <c r="E2308" s="264"/>
      <c r="F2308" s="264"/>
      <c r="G2308" s="264"/>
      <c r="H2308" s="264"/>
      <c r="I2308" s="264"/>
      <c r="J2308" s="327"/>
      <c r="K2308" s="327"/>
      <c r="L2308" s="327"/>
      <c r="M2308" s="321"/>
      <c r="N2308" s="321"/>
      <c r="O2308" s="364"/>
      <c r="P2308" s="381"/>
      <c r="R2308" s="392"/>
      <c r="S2308" s="61" ph="1"/>
      <c r="U2308" s="229"/>
      <c r="V2308" s="264"/>
      <c r="W2308" s="199"/>
      <c r="X2308" s="264"/>
      <c r="Y2308" s="264"/>
      <c r="Z2308" s="386"/>
      <c r="AD2308" s="264"/>
      <c r="AE2308" s="264"/>
      <c r="AF2308" s="264"/>
      <c r="AG2308" s="264"/>
    </row>
    <row r="2309" spans="1:33" ht="26.25">
      <c r="A2309" s="264"/>
      <c r="B2309" s="264"/>
      <c r="C2309" s="264"/>
      <c r="D2309" s="264"/>
      <c r="E2309" s="264"/>
      <c r="F2309" s="264"/>
      <c r="G2309" s="264"/>
      <c r="H2309" s="264"/>
      <c r="I2309" s="264"/>
      <c r="J2309" s="327"/>
      <c r="K2309" s="327"/>
      <c r="L2309" s="327"/>
      <c r="M2309" s="321"/>
      <c r="N2309" s="321"/>
      <c r="O2309" s="364"/>
      <c r="P2309" s="381"/>
      <c r="R2309" s="392"/>
      <c r="S2309" s="61" ph="1"/>
      <c r="U2309" s="229"/>
      <c r="V2309" s="264"/>
      <c r="W2309" s="199"/>
      <c r="X2309" s="264"/>
      <c r="Y2309" s="264"/>
      <c r="Z2309" s="386"/>
      <c r="AD2309" s="264"/>
      <c r="AE2309" s="264"/>
      <c r="AF2309" s="264"/>
      <c r="AG2309" s="264"/>
    </row>
    <row r="2310" spans="1:33" ht="26.25">
      <c r="A2310" s="264"/>
      <c r="B2310" s="264"/>
      <c r="C2310" s="264"/>
      <c r="D2310" s="264"/>
      <c r="E2310" s="264"/>
      <c r="F2310" s="264"/>
      <c r="G2310" s="264"/>
      <c r="H2310" s="264"/>
      <c r="I2310" s="264"/>
      <c r="J2310" s="327"/>
      <c r="K2310" s="327"/>
      <c r="L2310" s="327"/>
      <c r="M2310" s="321"/>
      <c r="N2310" s="321"/>
      <c r="O2310" s="364"/>
      <c r="P2310" s="381"/>
      <c r="R2310" s="392"/>
      <c r="S2310" s="61" ph="1"/>
      <c r="U2310" s="229"/>
      <c r="V2310" s="264"/>
      <c r="W2310" s="199"/>
      <c r="X2310" s="264"/>
      <c r="Y2310" s="264"/>
      <c r="Z2310" s="386"/>
      <c r="AD2310" s="264"/>
      <c r="AE2310" s="264"/>
      <c r="AF2310" s="264"/>
      <c r="AG2310" s="264"/>
    </row>
    <row r="2311" spans="1:33" ht="26.25">
      <c r="A2311" s="264"/>
      <c r="B2311" s="264"/>
      <c r="C2311" s="264"/>
      <c r="D2311" s="264"/>
      <c r="E2311" s="264"/>
      <c r="F2311" s="264"/>
      <c r="G2311" s="264"/>
      <c r="H2311" s="264"/>
      <c r="I2311" s="264"/>
      <c r="J2311" s="327"/>
      <c r="K2311" s="327"/>
      <c r="L2311" s="327"/>
      <c r="M2311" s="321"/>
      <c r="N2311" s="321"/>
      <c r="O2311" s="364"/>
      <c r="P2311" s="381"/>
      <c r="R2311" s="392"/>
      <c r="S2311" s="61" ph="1"/>
      <c r="U2311" s="229"/>
      <c r="V2311" s="264"/>
      <c r="W2311" s="199"/>
      <c r="X2311" s="264"/>
      <c r="Y2311" s="264"/>
      <c r="Z2311" s="386"/>
      <c r="AD2311" s="264"/>
      <c r="AE2311" s="264"/>
      <c r="AF2311" s="264"/>
      <c r="AG2311" s="264"/>
    </row>
    <row r="2312" spans="1:33" ht="26.25">
      <c r="A2312" s="264"/>
      <c r="B2312" s="264"/>
      <c r="C2312" s="264"/>
      <c r="D2312" s="264"/>
      <c r="E2312" s="264"/>
      <c r="F2312" s="264"/>
      <c r="G2312" s="264"/>
      <c r="H2312" s="264"/>
      <c r="I2312" s="264"/>
      <c r="J2312" s="327"/>
      <c r="K2312" s="327"/>
      <c r="L2312" s="327"/>
      <c r="M2312" s="321"/>
      <c r="N2312" s="321"/>
      <c r="O2312" s="364"/>
      <c r="P2312" s="381"/>
      <c r="R2312" s="392"/>
      <c r="S2312" s="61" ph="1"/>
      <c r="U2312" s="229"/>
      <c r="V2312" s="264"/>
      <c r="W2312" s="199"/>
      <c r="X2312" s="264"/>
      <c r="Y2312" s="264"/>
      <c r="Z2312" s="386"/>
      <c r="AD2312" s="264"/>
      <c r="AE2312" s="264"/>
      <c r="AF2312" s="264"/>
      <c r="AG2312" s="264"/>
    </row>
    <row r="2313" spans="1:33" ht="26.25">
      <c r="A2313" s="264"/>
      <c r="B2313" s="264"/>
      <c r="C2313" s="264"/>
      <c r="D2313" s="264"/>
      <c r="E2313" s="264"/>
      <c r="F2313" s="264"/>
      <c r="G2313" s="264"/>
      <c r="H2313" s="264"/>
      <c r="I2313" s="264"/>
      <c r="J2313" s="327"/>
      <c r="K2313" s="327"/>
      <c r="L2313" s="327"/>
      <c r="M2313" s="321"/>
      <c r="N2313" s="321"/>
      <c r="O2313" s="364"/>
      <c r="P2313" s="381"/>
      <c r="R2313" s="392"/>
      <c r="S2313" s="61" ph="1"/>
      <c r="U2313" s="229"/>
      <c r="V2313" s="264"/>
      <c r="W2313" s="199"/>
      <c r="X2313" s="264"/>
      <c r="Y2313" s="264"/>
      <c r="Z2313" s="386"/>
      <c r="AD2313" s="264"/>
      <c r="AE2313" s="264"/>
      <c r="AF2313" s="264"/>
      <c r="AG2313" s="264"/>
    </row>
    <row r="2314" spans="1:33" ht="26.25">
      <c r="A2314" s="264"/>
      <c r="B2314" s="264"/>
      <c r="C2314" s="264"/>
      <c r="D2314" s="264"/>
      <c r="E2314" s="264"/>
      <c r="F2314" s="264"/>
      <c r="G2314" s="264"/>
      <c r="H2314" s="264"/>
      <c r="I2314" s="264"/>
      <c r="J2314" s="327"/>
      <c r="K2314" s="327"/>
      <c r="L2314" s="327"/>
      <c r="M2314" s="321"/>
      <c r="N2314" s="321"/>
      <c r="O2314" s="364"/>
      <c r="P2314" s="381"/>
      <c r="R2314" s="392"/>
      <c r="S2314" s="61" ph="1"/>
      <c r="U2314" s="229"/>
      <c r="V2314" s="264"/>
      <c r="W2314" s="199"/>
      <c r="X2314" s="264"/>
      <c r="Y2314" s="264"/>
      <c r="Z2314" s="386"/>
      <c r="AD2314" s="264"/>
      <c r="AE2314" s="264"/>
      <c r="AF2314" s="264"/>
      <c r="AG2314" s="264"/>
    </row>
    <row r="2315" spans="1:33" ht="26.25">
      <c r="A2315" s="264"/>
      <c r="B2315" s="264"/>
      <c r="C2315" s="264"/>
      <c r="D2315" s="264"/>
      <c r="E2315" s="264"/>
      <c r="F2315" s="264"/>
      <c r="G2315" s="264"/>
      <c r="H2315" s="264"/>
      <c r="I2315" s="264"/>
      <c r="J2315" s="327"/>
      <c r="K2315" s="327"/>
      <c r="L2315" s="327"/>
      <c r="M2315" s="321"/>
      <c r="N2315" s="321"/>
      <c r="O2315" s="364"/>
      <c r="P2315" s="381"/>
      <c r="R2315" s="392"/>
      <c r="S2315" s="61" ph="1"/>
      <c r="U2315" s="229"/>
      <c r="V2315" s="264"/>
      <c r="W2315" s="199"/>
      <c r="X2315" s="264"/>
      <c r="Y2315" s="264"/>
      <c r="Z2315" s="386"/>
      <c r="AD2315" s="264"/>
      <c r="AE2315" s="264"/>
      <c r="AF2315" s="264"/>
      <c r="AG2315" s="264"/>
    </row>
    <row r="2316" spans="1:33" ht="26.25">
      <c r="A2316" s="264"/>
      <c r="B2316" s="264"/>
      <c r="C2316" s="264"/>
      <c r="D2316" s="264"/>
      <c r="E2316" s="264"/>
      <c r="F2316" s="264"/>
      <c r="G2316" s="264"/>
      <c r="H2316" s="264"/>
      <c r="I2316" s="264"/>
      <c r="J2316" s="327"/>
      <c r="K2316" s="327"/>
      <c r="L2316" s="327"/>
      <c r="M2316" s="321"/>
      <c r="N2316" s="321"/>
      <c r="O2316" s="364"/>
      <c r="P2316" s="381"/>
      <c r="R2316" s="392"/>
      <c r="S2316" s="61" ph="1"/>
      <c r="U2316" s="229"/>
      <c r="V2316" s="264"/>
      <c r="W2316" s="199"/>
      <c r="X2316" s="264"/>
      <c r="Y2316" s="264"/>
      <c r="Z2316" s="386"/>
      <c r="AD2316" s="264"/>
      <c r="AE2316" s="264"/>
      <c r="AF2316" s="264"/>
      <c r="AG2316" s="264"/>
    </row>
    <row r="2317" spans="1:33" ht="26.25">
      <c r="A2317" s="264"/>
      <c r="B2317" s="264"/>
      <c r="C2317" s="264"/>
      <c r="D2317" s="264"/>
      <c r="E2317" s="264"/>
      <c r="F2317" s="264"/>
      <c r="G2317" s="264"/>
      <c r="H2317" s="264"/>
      <c r="I2317" s="264"/>
      <c r="J2317" s="327"/>
      <c r="K2317" s="327"/>
      <c r="L2317" s="327"/>
      <c r="M2317" s="321"/>
      <c r="N2317" s="321"/>
      <c r="O2317" s="364"/>
      <c r="P2317" s="381"/>
      <c r="R2317" s="392"/>
      <c r="S2317" s="61" ph="1"/>
      <c r="U2317" s="229"/>
      <c r="V2317" s="264"/>
      <c r="W2317" s="199"/>
      <c r="X2317" s="264"/>
      <c r="Y2317" s="264"/>
      <c r="Z2317" s="386"/>
      <c r="AD2317" s="264"/>
      <c r="AE2317" s="264"/>
      <c r="AF2317" s="264"/>
      <c r="AG2317" s="264"/>
    </row>
    <row r="2318" spans="1:33" ht="26.25">
      <c r="A2318" s="264"/>
      <c r="B2318" s="264"/>
      <c r="C2318" s="264"/>
      <c r="D2318" s="264"/>
      <c r="E2318" s="264"/>
      <c r="F2318" s="264"/>
      <c r="G2318" s="264"/>
      <c r="H2318" s="264"/>
      <c r="I2318" s="264"/>
      <c r="J2318" s="327"/>
      <c r="K2318" s="327"/>
      <c r="L2318" s="327"/>
      <c r="M2318" s="321"/>
      <c r="N2318" s="321"/>
      <c r="O2318" s="364"/>
      <c r="P2318" s="381"/>
      <c r="R2318" s="392"/>
      <c r="S2318" s="61" ph="1"/>
      <c r="U2318" s="229"/>
      <c r="V2318" s="264"/>
      <c r="W2318" s="199"/>
      <c r="X2318" s="264"/>
      <c r="Y2318" s="264"/>
      <c r="Z2318" s="386"/>
      <c r="AD2318" s="264"/>
      <c r="AE2318" s="264"/>
      <c r="AF2318" s="264"/>
      <c r="AG2318" s="264"/>
    </row>
    <row r="2319" spans="1:33" ht="26.25">
      <c r="A2319" s="264"/>
      <c r="B2319" s="264"/>
      <c r="C2319" s="264"/>
      <c r="D2319" s="264"/>
      <c r="E2319" s="264"/>
      <c r="F2319" s="264"/>
      <c r="G2319" s="264"/>
      <c r="H2319" s="264"/>
      <c r="I2319" s="264"/>
      <c r="J2319" s="327"/>
      <c r="K2319" s="327"/>
      <c r="L2319" s="327"/>
      <c r="M2319" s="321"/>
      <c r="N2319" s="321"/>
      <c r="O2319" s="364"/>
      <c r="P2319" s="381"/>
      <c r="R2319" s="392"/>
      <c r="S2319" s="61" ph="1"/>
      <c r="U2319" s="229"/>
      <c r="V2319" s="264"/>
      <c r="W2319" s="199"/>
      <c r="X2319" s="264"/>
      <c r="Y2319" s="264"/>
      <c r="Z2319" s="386"/>
      <c r="AD2319" s="264"/>
      <c r="AE2319" s="264"/>
      <c r="AF2319" s="264"/>
      <c r="AG2319" s="264"/>
    </row>
    <row r="2320" spans="1:33" ht="26.25">
      <c r="A2320" s="264"/>
      <c r="B2320" s="264"/>
      <c r="C2320" s="264"/>
      <c r="D2320" s="264"/>
      <c r="E2320" s="264"/>
      <c r="F2320" s="264"/>
      <c r="G2320" s="264"/>
      <c r="H2320" s="264"/>
      <c r="I2320" s="264"/>
      <c r="J2320" s="327"/>
      <c r="K2320" s="327"/>
      <c r="L2320" s="327"/>
      <c r="M2320" s="321"/>
      <c r="N2320" s="321"/>
      <c r="O2320" s="364"/>
      <c r="P2320" s="381"/>
      <c r="R2320" s="392"/>
      <c r="S2320" s="61" ph="1"/>
      <c r="U2320" s="229"/>
      <c r="V2320" s="264"/>
      <c r="W2320" s="199"/>
      <c r="X2320" s="264"/>
      <c r="Y2320" s="264"/>
      <c r="Z2320" s="386"/>
      <c r="AD2320" s="264"/>
      <c r="AE2320" s="264"/>
      <c r="AF2320" s="264"/>
      <c r="AG2320" s="264"/>
    </row>
    <row r="2321" spans="1:33" ht="26.25">
      <c r="A2321" s="264"/>
      <c r="B2321" s="264"/>
      <c r="C2321" s="264"/>
      <c r="D2321" s="264"/>
      <c r="E2321" s="264"/>
      <c r="F2321" s="264"/>
      <c r="G2321" s="264"/>
      <c r="H2321" s="264"/>
      <c r="I2321" s="264"/>
      <c r="J2321" s="327"/>
      <c r="K2321" s="327"/>
      <c r="L2321" s="327"/>
      <c r="M2321" s="321"/>
      <c r="N2321" s="321"/>
      <c r="O2321" s="364"/>
      <c r="P2321" s="381"/>
      <c r="R2321" s="392"/>
      <c r="S2321" s="61" ph="1"/>
      <c r="U2321" s="229"/>
      <c r="V2321" s="264"/>
      <c r="W2321" s="199"/>
      <c r="X2321" s="264"/>
      <c r="Y2321" s="264"/>
      <c r="Z2321" s="386"/>
      <c r="AD2321" s="264"/>
      <c r="AE2321" s="264"/>
      <c r="AF2321" s="264"/>
      <c r="AG2321" s="264"/>
    </row>
    <row r="2322" spans="1:33" ht="26.25">
      <c r="A2322" s="264"/>
      <c r="B2322" s="264"/>
      <c r="C2322" s="264"/>
      <c r="D2322" s="264"/>
      <c r="E2322" s="264"/>
      <c r="F2322" s="264"/>
      <c r="G2322" s="264"/>
      <c r="H2322" s="264"/>
      <c r="I2322" s="264"/>
      <c r="J2322" s="327"/>
      <c r="K2322" s="327"/>
      <c r="L2322" s="327"/>
      <c r="M2322" s="321"/>
      <c r="N2322" s="321"/>
      <c r="O2322" s="364"/>
      <c r="P2322" s="381"/>
      <c r="R2322" s="392"/>
      <c r="S2322" s="61" ph="1"/>
      <c r="U2322" s="229"/>
      <c r="V2322" s="264"/>
      <c r="W2322" s="199"/>
      <c r="X2322" s="264"/>
      <c r="Y2322" s="264"/>
      <c r="Z2322" s="386"/>
      <c r="AD2322" s="264"/>
      <c r="AE2322" s="264"/>
      <c r="AF2322" s="264"/>
      <c r="AG2322" s="264"/>
    </row>
    <row r="2323" spans="1:33" ht="26.25">
      <c r="A2323" s="264"/>
      <c r="B2323" s="264"/>
      <c r="C2323" s="264"/>
      <c r="D2323" s="264"/>
      <c r="E2323" s="264"/>
      <c r="F2323" s="264"/>
      <c r="G2323" s="264"/>
      <c r="H2323" s="264"/>
      <c r="I2323" s="264"/>
      <c r="J2323" s="327"/>
      <c r="K2323" s="327"/>
      <c r="L2323" s="327"/>
      <c r="M2323" s="321"/>
      <c r="N2323" s="321"/>
      <c r="O2323" s="364"/>
      <c r="P2323" s="381"/>
      <c r="R2323" s="392"/>
      <c r="S2323" s="61" ph="1"/>
      <c r="U2323" s="229"/>
      <c r="V2323" s="264"/>
      <c r="W2323" s="199"/>
      <c r="X2323" s="264"/>
      <c r="Y2323" s="264"/>
      <c r="Z2323" s="386"/>
      <c r="AD2323" s="264"/>
      <c r="AE2323" s="264"/>
      <c r="AF2323" s="264"/>
      <c r="AG2323" s="264"/>
    </row>
    <row r="2324" spans="1:33" ht="26.25">
      <c r="A2324" s="264"/>
      <c r="B2324" s="264"/>
      <c r="C2324" s="264"/>
      <c r="D2324" s="264"/>
      <c r="E2324" s="264"/>
      <c r="F2324" s="264"/>
      <c r="G2324" s="264"/>
      <c r="H2324" s="264"/>
      <c r="I2324" s="264"/>
      <c r="J2324" s="327"/>
      <c r="K2324" s="327"/>
      <c r="L2324" s="327"/>
      <c r="M2324" s="321"/>
      <c r="N2324" s="321"/>
      <c r="O2324" s="364"/>
      <c r="P2324" s="381"/>
      <c r="R2324" s="392"/>
      <c r="S2324" s="61" ph="1"/>
      <c r="U2324" s="229"/>
      <c r="V2324" s="264"/>
      <c r="W2324" s="199"/>
      <c r="X2324" s="264"/>
      <c r="Y2324" s="264"/>
      <c r="Z2324" s="386"/>
      <c r="AD2324" s="264"/>
      <c r="AE2324" s="264"/>
      <c r="AF2324" s="264"/>
      <c r="AG2324" s="264"/>
    </row>
    <row r="2325" spans="1:33" ht="26.25">
      <c r="A2325" s="264"/>
      <c r="B2325" s="264"/>
      <c r="C2325" s="264"/>
      <c r="D2325" s="264"/>
      <c r="E2325" s="264"/>
      <c r="F2325" s="264"/>
      <c r="G2325" s="264"/>
      <c r="H2325" s="264"/>
      <c r="I2325" s="264"/>
      <c r="J2325" s="327"/>
      <c r="K2325" s="327"/>
      <c r="L2325" s="327"/>
      <c r="M2325" s="321"/>
      <c r="N2325" s="321"/>
      <c r="O2325" s="364"/>
      <c r="P2325" s="381"/>
      <c r="R2325" s="392"/>
      <c r="S2325" s="61" ph="1"/>
      <c r="U2325" s="229"/>
      <c r="V2325" s="264"/>
      <c r="W2325" s="199"/>
      <c r="X2325" s="264"/>
      <c r="Y2325" s="264"/>
      <c r="Z2325" s="386"/>
      <c r="AD2325" s="264"/>
      <c r="AE2325" s="264"/>
      <c r="AF2325" s="264"/>
      <c r="AG2325" s="264"/>
    </row>
    <row r="2326" spans="1:33" ht="26.25">
      <c r="A2326" s="264"/>
      <c r="B2326" s="264"/>
      <c r="C2326" s="264"/>
      <c r="D2326" s="264"/>
      <c r="E2326" s="264"/>
      <c r="F2326" s="264"/>
      <c r="G2326" s="264"/>
      <c r="H2326" s="264"/>
      <c r="I2326" s="264"/>
      <c r="J2326" s="327"/>
      <c r="K2326" s="327"/>
      <c r="L2326" s="327"/>
      <c r="M2326" s="321"/>
      <c r="N2326" s="321"/>
      <c r="O2326" s="364"/>
      <c r="P2326" s="381"/>
      <c r="R2326" s="392"/>
      <c r="S2326" s="61" ph="1"/>
      <c r="U2326" s="229"/>
      <c r="V2326" s="264"/>
      <c r="W2326" s="199"/>
      <c r="X2326" s="264"/>
      <c r="Y2326" s="264"/>
      <c r="Z2326" s="386"/>
      <c r="AD2326" s="264"/>
      <c r="AE2326" s="264"/>
      <c r="AF2326" s="264"/>
      <c r="AG2326" s="264"/>
    </row>
    <row r="2327" spans="1:33" ht="26.25">
      <c r="A2327" s="264"/>
      <c r="B2327" s="264"/>
      <c r="C2327" s="264"/>
      <c r="D2327" s="264"/>
      <c r="E2327" s="264"/>
      <c r="F2327" s="264"/>
      <c r="G2327" s="264"/>
      <c r="H2327" s="264"/>
      <c r="I2327" s="264"/>
      <c r="J2327" s="327"/>
      <c r="K2327" s="327"/>
      <c r="L2327" s="327"/>
      <c r="M2327" s="321"/>
      <c r="N2327" s="321"/>
      <c r="O2327" s="364"/>
      <c r="P2327" s="381"/>
      <c r="R2327" s="392"/>
      <c r="S2327" s="61" ph="1"/>
      <c r="U2327" s="229"/>
      <c r="V2327" s="264"/>
      <c r="W2327" s="199"/>
      <c r="X2327" s="264"/>
      <c r="Y2327" s="264"/>
      <c r="Z2327" s="386"/>
      <c r="AD2327" s="264"/>
      <c r="AE2327" s="264"/>
      <c r="AF2327" s="264"/>
      <c r="AG2327" s="264"/>
    </row>
    <row r="2328" spans="1:33" ht="26.25">
      <c r="A2328" s="264"/>
      <c r="B2328" s="264"/>
      <c r="C2328" s="264"/>
      <c r="D2328" s="264"/>
      <c r="E2328" s="264"/>
      <c r="F2328" s="264"/>
      <c r="G2328" s="264"/>
      <c r="H2328" s="264"/>
      <c r="I2328" s="264"/>
      <c r="J2328" s="327"/>
      <c r="K2328" s="327"/>
      <c r="L2328" s="327"/>
      <c r="M2328" s="321"/>
      <c r="N2328" s="321"/>
      <c r="O2328" s="364"/>
      <c r="P2328" s="381"/>
      <c r="R2328" s="392"/>
      <c r="S2328" s="61" ph="1"/>
      <c r="U2328" s="229"/>
      <c r="V2328" s="264"/>
      <c r="W2328" s="199"/>
      <c r="X2328" s="264"/>
      <c r="Y2328" s="264"/>
      <c r="Z2328" s="386"/>
      <c r="AD2328" s="264"/>
      <c r="AE2328" s="264"/>
      <c r="AF2328" s="264"/>
      <c r="AG2328" s="264"/>
    </row>
    <row r="2329" spans="1:33" ht="26.25">
      <c r="A2329" s="264"/>
      <c r="B2329" s="264"/>
      <c r="C2329" s="264"/>
      <c r="D2329" s="264"/>
      <c r="E2329" s="264"/>
      <c r="F2329" s="264"/>
      <c r="G2329" s="264"/>
      <c r="H2329" s="264"/>
      <c r="I2329" s="264"/>
      <c r="J2329" s="327"/>
      <c r="K2329" s="327"/>
      <c r="L2329" s="327"/>
      <c r="M2329" s="321"/>
      <c r="N2329" s="321"/>
      <c r="O2329" s="364"/>
      <c r="P2329" s="381"/>
      <c r="R2329" s="392"/>
      <c r="S2329" s="61" ph="1"/>
      <c r="U2329" s="229"/>
      <c r="V2329" s="264"/>
      <c r="W2329" s="199"/>
      <c r="X2329" s="264"/>
      <c r="Y2329" s="264"/>
      <c r="Z2329" s="386"/>
      <c r="AD2329" s="264"/>
      <c r="AE2329" s="264"/>
      <c r="AF2329" s="264"/>
      <c r="AG2329" s="264"/>
    </row>
    <row r="2330" spans="1:33" ht="26.25">
      <c r="A2330" s="264"/>
      <c r="B2330" s="264"/>
      <c r="C2330" s="264"/>
      <c r="D2330" s="264"/>
      <c r="E2330" s="264"/>
      <c r="F2330" s="264"/>
      <c r="G2330" s="264"/>
      <c r="H2330" s="264"/>
      <c r="I2330" s="264"/>
      <c r="J2330" s="327"/>
      <c r="K2330" s="327"/>
      <c r="L2330" s="327"/>
      <c r="M2330" s="321"/>
      <c r="N2330" s="321"/>
      <c r="O2330" s="364"/>
      <c r="P2330" s="381"/>
      <c r="R2330" s="392"/>
      <c r="S2330" s="61" ph="1"/>
      <c r="U2330" s="229"/>
      <c r="V2330" s="264"/>
      <c r="W2330" s="199"/>
      <c r="X2330" s="264"/>
      <c r="Y2330" s="264"/>
      <c r="Z2330" s="386"/>
      <c r="AD2330" s="264"/>
      <c r="AE2330" s="264"/>
      <c r="AF2330" s="264"/>
      <c r="AG2330" s="264"/>
    </row>
    <row r="2331" spans="1:33" ht="26.25">
      <c r="A2331" s="264"/>
      <c r="B2331" s="264"/>
      <c r="C2331" s="264"/>
      <c r="D2331" s="264"/>
      <c r="E2331" s="264"/>
      <c r="F2331" s="264"/>
      <c r="G2331" s="264"/>
      <c r="H2331" s="264"/>
      <c r="I2331" s="264"/>
      <c r="J2331" s="327"/>
      <c r="K2331" s="327"/>
      <c r="L2331" s="327"/>
      <c r="M2331" s="321"/>
      <c r="N2331" s="321"/>
      <c r="O2331" s="364"/>
      <c r="P2331" s="381"/>
      <c r="R2331" s="392"/>
      <c r="S2331" s="61" ph="1"/>
      <c r="U2331" s="229"/>
      <c r="V2331" s="264"/>
      <c r="W2331" s="199"/>
      <c r="X2331" s="264"/>
      <c r="Y2331" s="264"/>
      <c r="Z2331" s="386"/>
      <c r="AD2331" s="264"/>
      <c r="AE2331" s="264"/>
      <c r="AF2331" s="264"/>
      <c r="AG2331" s="264"/>
    </row>
    <row r="2332" spans="1:33" ht="26.25">
      <c r="A2332" s="264"/>
      <c r="B2332" s="264"/>
      <c r="C2332" s="264"/>
      <c r="D2332" s="264"/>
      <c r="E2332" s="264"/>
      <c r="F2332" s="264"/>
      <c r="G2332" s="264"/>
      <c r="H2332" s="264"/>
      <c r="I2332" s="264"/>
      <c r="J2332" s="327"/>
      <c r="K2332" s="327"/>
      <c r="L2332" s="327"/>
      <c r="M2332" s="321"/>
      <c r="N2332" s="321"/>
      <c r="O2332" s="364"/>
      <c r="P2332" s="381"/>
      <c r="R2332" s="392"/>
      <c r="S2332" s="61" ph="1"/>
      <c r="U2332" s="229"/>
      <c r="V2332" s="264"/>
      <c r="W2332" s="199"/>
      <c r="X2332" s="264"/>
      <c r="Y2332" s="264"/>
      <c r="Z2332" s="386"/>
      <c r="AD2332" s="264"/>
      <c r="AE2332" s="264"/>
      <c r="AF2332" s="264"/>
      <c r="AG2332" s="264"/>
    </row>
    <row r="2333" spans="1:33" ht="26.25">
      <c r="A2333" s="264"/>
      <c r="B2333" s="264"/>
      <c r="C2333" s="264"/>
      <c r="D2333" s="264"/>
      <c r="E2333" s="264"/>
      <c r="F2333" s="264"/>
      <c r="G2333" s="264"/>
      <c r="H2333" s="264"/>
      <c r="I2333" s="264"/>
      <c r="J2333" s="327"/>
      <c r="K2333" s="327"/>
      <c r="L2333" s="327"/>
      <c r="M2333" s="321"/>
      <c r="N2333" s="321"/>
      <c r="O2333" s="364"/>
      <c r="P2333" s="381"/>
      <c r="R2333" s="392"/>
      <c r="S2333" s="61" ph="1"/>
      <c r="U2333" s="229"/>
      <c r="V2333" s="264"/>
      <c r="W2333" s="199"/>
      <c r="X2333" s="264"/>
      <c r="Y2333" s="264"/>
      <c r="Z2333" s="386"/>
      <c r="AD2333" s="264"/>
      <c r="AE2333" s="264"/>
      <c r="AF2333" s="264"/>
      <c r="AG2333" s="264"/>
    </row>
    <row r="2334" spans="1:33" ht="26.25">
      <c r="A2334" s="264"/>
      <c r="B2334" s="264"/>
      <c r="C2334" s="264"/>
      <c r="D2334" s="264"/>
      <c r="E2334" s="264"/>
      <c r="F2334" s="264"/>
      <c r="G2334" s="264"/>
      <c r="H2334" s="264"/>
      <c r="I2334" s="264"/>
      <c r="J2334" s="327"/>
      <c r="K2334" s="327"/>
      <c r="L2334" s="327"/>
      <c r="M2334" s="321"/>
      <c r="N2334" s="321"/>
      <c r="O2334" s="364"/>
      <c r="P2334" s="381"/>
      <c r="R2334" s="392"/>
      <c r="S2334" s="61" ph="1"/>
      <c r="U2334" s="229"/>
      <c r="V2334" s="264"/>
      <c r="W2334" s="199"/>
      <c r="X2334" s="264"/>
      <c r="Y2334" s="264"/>
      <c r="Z2334" s="386"/>
      <c r="AD2334" s="264"/>
      <c r="AE2334" s="264"/>
      <c r="AF2334" s="264"/>
      <c r="AG2334" s="264"/>
    </row>
    <row r="2335" spans="1:33" ht="26.25">
      <c r="A2335" s="264"/>
      <c r="B2335" s="264"/>
      <c r="C2335" s="264"/>
      <c r="D2335" s="264"/>
      <c r="E2335" s="264"/>
      <c r="F2335" s="264"/>
      <c r="G2335" s="264"/>
      <c r="H2335" s="264"/>
      <c r="I2335" s="264"/>
      <c r="J2335" s="327"/>
      <c r="K2335" s="327"/>
      <c r="L2335" s="327"/>
      <c r="M2335" s="321"/>
      <c r="N2335" s="321"/>
      <c r="O2335" s="364"/>
      <c r="P2335" s="381"/>
      <c r="R2335" s="392"/>
      <c r="S2335" s="61" ph="1"/>
      <c r="U2335" s="229"/>
      <c r="V2335" s="264"/>
      <c r="W2335" s="199"/>
      <c r="X2335" s="264"/>
      <c r="Y2335" s="264"/>
      <c r="Z2335" s="386"/>
      <c r="AD2335" s="264"/>
      <c r="AE2335" s="264"/>
      <c r="AF2335" s="264"/>
      <c r="AG2335" s="264"/>
    </row>
    <row r="2336" spans="1:33" ht="26.25">
      <c r="A2336" s="264"/>
      <c r="B2336" s="264"/>
      <c r="C2336" s="264"/>
      <c r="D2336" s="264"/>
      <c r="E2336" s="264"/>
      <c r="F2336" s="264"/>
      <c r="G2336" s="264"/>
      <c r="H2336" s="264"/>
      <c r="I2336" s="264"/>
      <c r="J2336" s="327"/>
      <c r="K2336" s="327"/>
      <c r="L2336" s="327"/>
      <c r="M2336" s="321"/>
      <c r="N2336" s="321"/>
      <c r="O2336" s="364"/>
      <c r="P2336" s="381"/>
      <c r="R2336" s="392"/>
      <c r="S2336" s="61" ph="1"/>
      <c r="U2336" s="229"/>
      <c r="V2336" s="264"/>
      <c r="W2336" s="199"/>
      <c r="X2336" s="264"/>
      <c r="Y2336" s="264"/>
      <c r="Z2336" s="386"/>
      <c r="AD2336" s="264"/>
      <c r="AE2336" s="264"/>
      <c r="AF2336" s="264"/>
      <c r="AG2336" s="264"/>
    </row>
    <row r="2337" spans="1:33" ht="26.25">
      <c r="A2337" s="264"/>
      <c r="B2337" s="264"/>
      <c r="C2337" s="264"/>
      <c r="D2337" s="264"/>
      <c r="E2337" s="264"/>
      <c r="F2337" s="264"/>
      <c r="G2337" s="264"/>
      <c r="H2337" s="264"/>
      <c r="I2337" s="264"/>
      <c r="J2337" s="327"/>
      <c r="K2337" s="327"/>
      <c r="L2337" s="327"/>
      <c r="M2337" s="321"/>
      <c r="N2337" s="321"/>
      <c r="O2337" s="364"/>
      <c r="P2337" s="381"/>
      <c r="R2337" s="392"/>
      <c r="S2337" s="61" ph="1"/>
      <c r="U2337" s="229"/>
      <c r="V2337" s="264"/>
      <c r="W2337" s="199"/>
      <c r="X2337" s="264"/>
      <c r="Y2337" s="264"/>
      <c r="Z2337" s="386"/>
      <c r="AD2337" s="264"/>
      <c r="AE2337" s="264"/>
      <c r="AF2337" s="264"/>
      <c r="AG2337" s="264"/>
    </row>
    <row r="2338" spans="1:33" ht="26.25">
      <c r="A2338" s="264"/>
      <c r="B2338" s="264"/>
      <c r="C2338" s="264"/>
      <c r="D2338" s="264"/>
      <c r="E2338" s="264"/>
      <c r="F2338" s="264"/>
      <c r="G2338" s="264"/>
      <c r="H2338" s="264"/>
      <c r="I2338" s="264"/>
      <c r="J2338" s="327"/>
      <c r="K2338" s="327"/>
      <c r="L2338" s="327"/>
      <c r="M2338" s="321"/>
      <c r="N2338" s="321"/>
      <c r="O2338" s="364"/>
      <c r="P2338" s="381"/>
      <c r="R2338" s="392"/>
      <c r="S2338" s="61" ph="1"/>
      <c r="U2338" s="229"/>
      <c r="V2338" s="264"/>
      <c r="W2338" s="199"/>
      <c r="X2338" s="264"/>
      <c r="Y2338" s="264"/>
      <c r="Z2338" s="386"/>
      <c r="AD2338" s="264"/>
      <c r="AE2338" s="264"/>
      <c r="AF2338" s="264"/>
      <c r="AG2338" s="264"/>
    </row>
    <row r="2339" spans="1:33" ht="26.25">
      <c r="A2339" s="264"/>
      <c r="B2339" s="264"/>
      <c r="C2339" s="264"/>
      <c r="D2339" s="264"/>
      <c r="E2339" s="264"/>
      <c r="F2339" s="264"/>
      <c r="G2339" s="264"/>
      <c r="H2339" s="264"/>
      <c r="I2339" s="264"/>
      <c r="J2339" s="327"/>
      <c r="K2339" s="327"/>
      <c r="L2339" s="327"/>
      <c r="M2339" s="321"/>
      <c r="N2339" s="321"/>
      <c r="O2339" s="364"/>
      <c r="P2339" s="381"/>
      <c r="R2339" s="392"/>
      <c r="S2339" s="61" ph="1"/>
      <c r="U2339" s="229"/>
      <c r="V2339" s="264"/>
      <c r="W2339" s="199"/>
      <c r="X2339" s="264"/>
      <c r="Y2339" s="264"/>
      <c r="Z2339" s="386"/>
      <c r="AD2339" s="264"/>
      <c r="AE2339" s="264"/>
      <c r="AF2339" s="264"/>
      <c r="AG2339" s="264"/>
    </row>
    <row r="2340" spans="1:33" ht="26.25">
      <c r="A2340" s="264"/>
      <c r="B2340" s="264"/>
      <c r="C2340" s="264"/>
      <c r="D2340" s="264"/>
      <c r="E2340" s="264"/>
      <c r="F2340" s="264"/>
      <c r="G2340" s="264"/>
      <c r="H2340" s="264"/>
      <c r="I2340" s="264"/>
      <c r="J2340" s="327"/>
      <c r="K2340" s="327"/>
      <c r="L2340" s="327"/>
      <c r="M2340" s="321"/>
      <c r="N2340" s="321"/>
      <c r="O2340" s="364"/>
      <c r="P2340" s="381"/>
      <c r="R2340" s="392"/>
      <c r="S2340" s="61" ph="1"/>
      <c r="U2340" s="229"/>
      <c r="V2340" s="264"/>
      <c r="W2340" s="199"/>
      <c r="X2340" s="264"/>
      <c r="Y2340" s="264"/>
      <c r="Z2340" s="386"/>
      <c r="AD2340" s="264"/>
      <c r="AE2340" s="264"/>
      <c r="AF2340" s="264"/>
      <c r="AG2340" s="264"/>
    </row>
    <row r="2341" spans="1:33" ht="26.25">
      <c r="A2341" s="264"/>
      <c r="B2341" s="264"/>
      <c r="C2341" s="264"/>
      <c r="D2341" s="264"/>
      <c r="E2341" s="264"/>
      <c r="F2341" s="264"/>
      <c r="G2341" s="264"/>
      <c r="H2341" s="264"/>
      <c r="I2341" s="264"/>
      <c r="J2341" s="327"/>
      <c r="K2341" s="327"/>
      <c r="L2341" s="327"/>
      <c r="M2341" s="321"/>
      <c r="N2341" s="321"/>
      <c r="O2341" s="364"/>
      <c r="P2341" s="381"/>
      <c r="R2341" s="392"/>
      <c r="S2341" s="61" ph="1"/>
      <c r="U2341" s="229"/>
      <c r="V2341" s="264"/>
      <c r="W2341" s="199"/>
      <c r="X2341" s="264"/>
      <c r="Y2341" s="264"/>
      <c r="Z2341" s="386"/>
      <c r="AD2341" s="264"/>
      <c r="AE2341" s="264"/>
      <c r="AF2341" s="264"/>
      <c r="AG2341" s="264"/>
    </row>
    <row r="2342" spans="1:33" ht="26.25">
      <c r="A2342" s="264"/>
      <c r="B2342" s="264"/>
      <c r="C2342" s="264"/>
      <c r="D2342" s="264"/>
      <c r="E2342" s="264"/>
      <c r="F2342" s="264"/>
      <c r="G2342" s="264"/>
      <c r="H2342" s="264"/>
      <c r="I2342" s="264"/>
      <c r="J2342" s="327"/>
      <c r="K2342" s="327"/>
      <c r="L2342" s="327"/>
      <c r="M2342" s="321"/>
      <c r="N2342" s="321"/>
      <c r="O2342" s="364"/>
      <c r="P2342" s="381"/>
      <c r="R2342" s="392"/>
      <c r="S2342" s="61" ph="1"/>
      <c r="U2342" s="229"/>
      <c r="V2342" s="264"/>
      <c r="W2342" s="199"/>
      <c r="X2342" s="264"/>
      <c r="Y2342" s="264"/>
      <c r="Z2342" s="386"/>
      <c r="AD2342" s="264"/>
      <c r="AE2342" s="264"/>
      <c r="AF2342" s="264"/>
      <c r="AG2342" s="264"/>
    </row>
    <row r="2343" spans="1:33" ht="26.25">
      <c r="A2343" s="264"/>
      <c r="B2343" s="264"/>
      <c r="C2343" s="264"/>
      <c r="D2343" s="264"/>
      <c r="E2343" s="264"/>
      <c r="F2343" s="264"/>
      <c r="G2343" s="264"/>
      <c r="H2343" s="264"/>
      <c r="I2343" s="264"/>
      <c r="J2343" s="327"/>
      <c r="K2343" s="327"/>
      <c r="L2343" s="327"/>
      <c r="M2343" s="321"/>
      <c r="N2343" s="321"/>
      <c r="O2343" s="364"/>
      <c r="P2343" s="381"/>
      <c r="R2343" s="392"/>
      <c r="S2343" s="61" ph="1"/>
      <c r="U2343" s="229"/>
      <c r="V2343" s="264"/>
      <c r="W2343" s="199"/>
      <c r="X2343" s="264"/>
      <c r="Y2343" s="264"/>
      <c r="Z2343" s="386"/>
      <c r="AD2343" s="264"/>
      <c r="AE2343" s="264"/>
      <c r="AF2343" s="264"/>
      <c r="AG2343" s="264"/>
    </row>
    <row r="2344" spans="1:33" ht="26.25">
      <c r="A2344" s="264"/>
      <c r="B2344" s="264"/>
      <c r="C2344" s="264"/>
      <c r="D2344" s="264"/>
      <c r="E2344" s="264"/>
      <c r="F2344" s="264"/>
      <c r="G2344" s="264"/>
      <c r="H2344" s="264"/>
      <c r="I2344" s="264"/>
      <c r="J2344" s="327"/>
      <c r="K2344" s="327"/>
      <c r="L2344" s="327"/>
      <c r="M2344" s="321"/>
      <c r="N2344" s="321"/>
      <c r="O2344" s="364"/>
      <c r="P2344" s="381"/>
      <c r="R2344" s="392"/>
      <c r="S2344" s="61" ph="1"/>
      <c r="U2344" s="229"/>
      <c r="V2344" s="264"/>
      <c r="W2344" s="199"/>
      <c r="X2344" s="264"/>
      <c r="Y2344" s="264"/>
      <c r="Z2344" s="386"/>
      <c r="AD2344" s="264"/>
      <c r="AE2344" s="264"/>
      <c r="AF2344" s="264"/>
      <c r="AG2344" s="264"/>
    </row>
    <row r="2345" spans="1:33" ht="26.25">
      <c r="A2345" s="264"/>
      <c r="B2345" s="264"/>
      <c r="C2345" s="264"/>
      <c r="D2345" s="264"/>
      <c r="E2345" s="264"/>
      <c r="F2345" s="264"/>
      <c r="G2345" s="264"/>
      <c r="H2345" s="264"/>
      <c r="I2345" s="264"/>
      <c r="J2345" s="327"/>
      <c r="K2345" s="327"/>
      <c r="L2345" s="327"/>
      <c r="M2345" s="321"/>
      <c r="N2345" s="321"/>
      <c r="O2345" s="364"/>
      <c r="P2345" s="381"/>
      <c r="R2345" s="392"/>
      <c r="S2345" s="61" ph="1"/>
      <c r="U2345" s="229"/>
      <c r="V2345" s="264"/>
      <c r="W2345" s="199"/>
      <c r="X2345" s="264"/>
      <c r="Y2345" s="264"/>
      <c r="Z2345" s="386"/>
      <c r="AD2345" s="264"/>
      <c r="AE2345" s="264"/>
      <c r="AF2345" s="264"/>
      <c r="AG2345" s="264"/>
    </row>
    <row r="2346" spans="1:33" ht="26.25">
      <c r="A2346" s="264"/>
      <c r="B2346" s="264"/>
      <c r="C2346" s="264"/>
      <c r="D2346" s="264"/>
      <c r="E2346" s="264"/>
      <c r="F2346" s="264"/>
      <c r="G2346" s="264"/>
      <c r="H2346" s="264"/>
      <c r="I2346" s="264"/>
      <c r="J2346" s="327"/>
      <c r="K2346" s="327"/>
      <c r="L2346" s="327"/>
      <c r="M2346" s="321"/>
      <c r="N2346" s="321"/>
      <c r="O2346" s="364"/>
      <c r="P2346" s="381"/>
      <c r="R2346" s="392"/>
      <c r="S2346" s="61" ph="1"/>
      <c r="U2346" s="229"/>
      <c r="V2346" s="264"/>
      <c r="W2346" s="199"/>
      <c r="X2346" s="264"/>
      <c r="Y2346" s="264"/>
      <c r="Z2346" s="386"/>
      <c r="AD2346" s="264"/>
      <c r="AE2346" s="264"/>
      <c r="AF2346" s="264"/>
      <c r="AG2346" s="264"/>
    </row>
    <row r="2347" spans="1:33" ht="26.25">
      <c r="A2347" s="264"/>
      <c r="B2347" s="264"/>
      <c r="C2347" s="264"/>
      <c r="D2347" s="264"/>
      <c r="E2347" s="264"/>
      <c r="F2347" s="264"/>
      <c r="G2347" s="264"/>
      <c r="H2347" s="264"/>
      <c r="I2347" s="264"/>
      <c r="J2347" s="327"/>
      <c r="K2347" s="327"/>
      <c r="L2347" s="327"/>
      <c r="M2347" s="321"/>
      <c r="N2347" s="321"/>
      <c r="O2347" s="364"/>
      <c r="P2347" s="381"/>
      <c r="R2347" s="392"/>
      <c r="S2347" s="61" ph="1"/>
      <c r="U2347" s="229"/>
      <c r="V2347" s="264"/>
      <c r="W2347" s="199"/>
      <c r="X2347" s="264"/>
      <c r="Y2347" s="264"/>
      <c r="Z2347" s="386"/>
      <c r="AD2347" s="264"/>
      <c r="AE2347" s="264"/>
      <c r="AF2347" s="264"/>
      <c r="AG2347" s="264"/>
    </row>
    <row r="2348" spans="1:33" ht="26.25">
      <c r="A2348" s="264"/>
      <c r="B2348" s="264"/>
      <c r="C2348" s="264"/>
      <c r="D2348" s="264"/>
      <c r="E2348" s="264"/>
      <c r="F2348" s="264"/>
      <c r="G2348" s="264"/>
      <c r="H2348" s="264"/>
      <c r="I2348" s="264"/>
      <c r="J2348" s="327"/>
      <c r="K2348" s="327"/>
      <c r="L2348" s="327"/>
      <c r="M2348" s="321"/>
      <c r="N2348" s="321"/>
      <c r="O2348" s="364"/>
      <c r="P2348" s="381"/>
      <c r="R2348" s="392"/>
      <c r="S2348" s="61" ph="1"/>
      <c r="U2348" s="229"/>
      <c r="V2348" s="264"/>
      <c r="W2348" s="199"/>
      <c r="X2348" s="264"/>
      <c r="Y2348" s="264"/>
      <c r="Z2348" s="386"/>
      <c r="AD2348" s="264"/>
      <c r="AE2348" s="264"/>
      <c r="AF2348" s="264"/>
      <c r="AG2348" s="264"/>
    </row>
    <row r="2349" spans="1:33" ht="26.25">
      <c r="A2349" s="264"/>
      <c r="B2349" s="264"/>
      <c r="C2349" s="264"/>
      <c r="D2349" s="264"/>
      <c r="E2349" s="264"/>
      <c r="F2349" s="264"/>
      <c r="G2349" s="264"/>
      <c r="H2349" s="264"/>
      <c r="I2349" s="264"/>
      <c r="J2349" s="327"/>
      <c r="K2349" s="327"/>
      <c r="L2349" s="327"/>
      <c r="M2349" s="321"/>
      <c r="N2349" s="321"/>
      <c r="O2349" s="364"/>
      <c r="P2349" s="381"/>
      <c r="R2349" s="392"/>
      <c r="S2349" s="61" ph="1"/>
      <c r="U2349" s="229"/>
      <c r="V2349" s="264"/>
      <c r="W2349" s="199"/>
      <c r="X2349" s="264"/>
      <c r="Y2349" s="264"/>
      <c r="Z2349" s="386"/>
      <c r="AD2349" s="264"/>
      <c r="AE2349" s="264"/>
      <c r="AF2349" s="264"/>
      <c r="AG2349" s="264"/>
    </row>
    <row r="2350" spans="1:33" ht="26.25">
      <c r="A2350" s="264"/>
      <c r="B2350" s="264"/>
      <c r="C2350" s="264"/>
      <c r="D2350" s="264"/>
      <c r="E2350" s="264"/>
      <c r="F2350" s="264"/>
      <c r="G2350" s="264"/>
      <c r="H2350" s="264"/>
      <c r="I2350" s="264"/>
      <c r="J2350" s="327"/>
      <c r="K2350" s="327"/>
      <c r="L2350" s="327"/>
      <c r="M2350" s="321"/>
      <c r="N2350" s="321"/>
      <c r="O2350" s="364"/>
      <c r="P2350" s="381"/>
      <c r="R2350" s="392"/>
      <c r="S2350" s="61" ph="1"/>
      <c r="U2350" s="229"/>
      <c r="V2350" s="264"/>
      <c r="W2350" s="199"/>
      <c r="X2350" s="264"/>
      <c r="Y2350" s="264"/>
      <c r="Z2350" s="386"/>
      <c r="AD2350" s="264"/>
      <c r="AE2350" s="264"/>
      <c r="AF2350" s="264"/>
      <c r="AG2350" s="264"/>
    </row>
    <row r="2351" spans="1:33" ht="26.25">
      <c r="A2351" s="264"/>
      <c r="B2351" s="264"/>
      <c r="C2351" s="264"/>
      <c r="D2351" s="264"/>
      <c r="E2351" s="264"/>
      <c r="F2351" s="264"/>
      <c r="G2351" s="264"/>
      <c r="H2351" s="264"/>
      <c r="I2351" s="264"/>
      <c r="J2351" s="327"/>
      <c r="K2351" s="327"/>
      <c r="L2351" s="327"/>
      <c r="M2351" s="321"/>
      <c r="N2351" s="321"/>
      <c r="O2351" s="364"/>
      <c r="P2351" s="381"/>
      <c r="R2351" s="392"/>
      <c r="S2351" s="61" ph="1"/>
      <c r="U2351" s="229"/>
      <c r="V2351" s="264"/>
      <c r="W2351" s="199"/>
      <c r="X2351" s="264"/>
      <c r="Y2351" s="264"/>
      <c r="Z2351" s="386"/>
      <c r="AD2351" s="264"/>
      <c r="AE2351" s="264"/>
      <c r="AF2351" s="264"/>
      <c r="AG2351" s="264"/>
    </row>
    <row r="2352" spans="1:33" ht="26.25">
      <c r="A2352" s="264"/>
      <c r="B2352" s="264"/>
      <c r="C2352" s="264"/>
      <c r="D2352" s="264"/>
      <c r="E2352" s="264"/>
      <c r="F2352" s="264"/>
      <c r="G2352" s="264"/>
      <c r="H2352" s="264"/>
      <c r="I2352" s="264"/>
      <c r="J2352" s="327"/>
      <c r="K2352" s="327"/>
      <c r="L2352" s="327"/>
      <c r="M2352" s="321"/>
      <c r="N2352" s="321"/>
      <c r="O2352" s="364"/>
      <c r="P2352" s="381"/>
      <c r="R2352" s="392"/>
      <c r="S2352" s="61" ph="1"/>
      <c r="U2352" s="229"/>
      <c r="V2352" s="264"/>
      <c r="W2352" s="199"/>
      <c r="X2352" s="264"/>
      <c r="Y2352" s="264"/>
      <c r="Z2352" s="386"/>
      <c r="AD2352" s="264"/>
      <c r="AE2352" s="264"/>
      <c r="AF2352" s="264"/>
      <c r="AG2352" s="264"/>
    </row>
    <row r="2353" spans="1:33" ht="26.25">
      <c r="A2353" s="264"/>
      <c r="B2353" s="264"/>
      <c r="C2353" s="264"/>
      <c r="D2353" s="264"/>
      <c r="E2353" s="264"/>
      <c r="F2353" s="264"/>
      <c r="G2353" s="264"/>
      <c r="H2353" s="264"/>
      <c r="I2353" s="264"/>
      <c r="J2353" s="327"/>
      <c r="K2353" s="327"/>
      <c r="L2353" s="327"/>
      <c r="M2353" s="321"/>
      <c r="N2353" s="321"/>
      <c r="O2353" s="364"/>
      <c r="P2353" s="381"/>
      <c r="R2353" s="392"/>
      <c r="S2353" s="61" ph="1"/>
      <c r="U2353" s="229"/>
      <c r="V2353" s="264"/>
      <c r="W2353" s="199"/>
      <c r="X2353" s="264"/>
      <c r="Y2353" s="264"/>
      <c r="Z2353" s="386"/>
      <c r="AD2353" s="264"/>
      <c r="AE2353" s="264"/>
      <c r="AF2353" s="264"/>
      <c r="AG2353" s="264"/>
    </row>
    <row r="2354" spans="1:33" ht="26.25">
      <c r="A2354" s="264"/>
      <c r="B2354" s="264"/>
      <c r="C2354" s="264"/>
      <c r="D2354" s="264"/>
      <c r="E2354" s="264"/>
      <c r="F2354" s="264"/>
      <c r="G2354" s="264"/>
      <c r="H2354" s="264"/>
      <c r="I2354" s="264"/>
      <c r="J2354" s="327"/>
      <c r="K2354" s="327"/>
      <c r="L2354" s="327"/>
      <c r="M2354" s="321"/>
      <c r="N2354" s="321"/>
      <c r="O2354" s="364"/>
      <c r="P2354" s="381"/>
      <c r="R2354" s="392"/>
      <c r="S2354" s="61" ph="1"/>
      <c r="U2354" s="229"/>
      <c r="V2354" s="264"/>
      <c r="W2354" s="199"/>
      <c r="X2354" s="264"/>
      <c r="Y2354" s="264"/>
      <c r="Z2354" s="386"/>
      <c r="AD2354" s="264"/>
      <c r="AE2354" s="264"/>
      <c r="AF2354" s="264"/>
      <c r="AG2354" s="264"/>
    </row>
    <row r="2355" spans="1:33" ht="26.25">
      <c r="A2355" s="264"/>
      <c r="B2355" s="264"/>
      <c r="C2355" s="264"/>
      <c r="D2355" s="264"/>
      <c r="E2355" s="264"/>
      <c r="F2355" s="264"/>
      <c r="G2355" s="264"/>
      <c r="H2355" s="264"/>
      <c r="I2355" s="264"/>
      <c r="J2355" s="327"/>
      <c r="K2355" s="327"/>
      <c r="L2355" s="327"/>
      <c r="M2355" s="321"/>
      <c r="N2355" s="321"/>
      <c r="O2355" s="364"/>
      <c r="P2355" s="381"/>
      <c r="R2355" s="392"/>
      <c r="S2355" s="61" ph="1"/>
      <c r="U2355" s="229"/>
      <c r="V2355" s="264"/>
      <c r="W2355" s="199"/>
      <c r="X2355" s="264"/>
      <c r="Y2355" s="264"/>
      <c r="Z2355" s="386"/>
      <c r="AD2355" s="264"/>
      <c r="AE2355" s="264"/>
      <c r="AF2355" s="264"/>
      <c r="AG2355" s="264"/>
    </row>
    <row r="2356" spans="1:33" ht="26.25">
      <c r="A2356" s="264"/>
      <c r="B2356" s="264"/>
      <c r="C2356" s="264"/>
      <c r="D2356" s="264"/>
      <c r="E2356" s="264"/>
      <c r="F2356" s="264"/>
      <c r="G2356" s="264"/>
      <c r="H2356" s="264"/>
      <c r="I2356" s="264"/>
      <c r="J2356" s="327"/>
      <c r="K2356" s="327"/>
      <c r="L2356" s="327"/>
      <c r="M2356" s="321"/>
      <c r="N2356" s="321"/>
      <c r="O2356" s="364"/>
      <c r="P2356" s="381"/>
      <c r="R2356" s="392"/>
      <c r="S2356" s="61" ph="1"/>
      <c r="U2356" s="229"/>
      <c r="V2356" s="264"/>
      <c r="W2356" s="199"/>
      <c r="X2356" s="264"/>
      <c r="Y2356" s="264"/>
      <c r="Z2356" s="386"/>
      <c r="AD2356" s="264"/>
      <c r="AE2356" s="264"/>
      <c r="AF2356" s="264"/>
      <c r="AG2356" s="264"/>
    </row>
    <row r="2357" spans="1:33" ht="26.25">
      <c r="A2357" s="264"/>
      <c r="B2357" s="264"/>
      <c r="C2357" s="264"/>
      <c r="D2357" s="264"/>
      <c r="E2357" s="264"/>
      <c r="F2357" s="264"/>
      <c r="G2357" s="264"/>
      <c r="H2357" s="264"/>
      <c r="I2357" s="264"/>
      <c r="J2357" s="327"/>
      <c r="K2357" s="327"/>
      <c r="L2357" s="327"/>
      <c r="M2357" s="321"/>
      <c r="N2357" s="321"/>
      <c r="O2357" s="364"/>
      <c r="P2357" s="381"/>
      <c r="R2357" s="392"/>
      <c r="S2357" s="61" ph="1"/>
      <c r="U2357" s="229"/>
      <c r="V2357" s="264"/>
      <c r="W2357" s="199"/>
      <c r="X2357" s="264"/>
      <c r="Y2357" s="264"/>
      <c r="Z2357" s="386"/>
      <c r="AD2357" s="264"/>
      <c r="AE2357" s="264"/>
      <c r="AF2357" s="264"/>
      <c r="AG2357" s="264"/>
    </row>
    <row r="2358" spans="1:33" ht="26.25">
      <c r="A2358" s="264"/>
      <c r="B2358" s="264"/>
      <c r="C2358" s="264"/>
      <c r="D2358" s="264"/>
      <c r="E2358" s="264"/>
      <c r="F2358" s="264"/>
      <c r="G2358" s="264"/>
      <c r="H2358" s="264"/>
      <c r="I2358" s="264"/>
      <c r="J2358" s="327"/>
      <c r="K2358" s="327"/>
      <c r="L2358" s="327"/>
      <c r="M2358" s="321"/>
      <c r="N2358" s="321"/>
      <c r="O2358" s="364"/>
      <c r="P2358" s="381"/>
      <c r="R2358" s="392"/>
      <c r="S2358" s="61" ph="1"/>
      <c r="U2358" s="229"/>
      <c r="V2358" s="264"/>
      <c r="W2358" s="199"/>
      <c r="X2358" s="264"/>
      <c r="Y2358" s="264"/>
      <c r="Z2358" s="386"/>
      <c r="AD2358" s="264"/>
      <c r="AE2358" s="264"/>
      <c r="AF2358" s="264"/>
      <c r="AG2358" s="264"/>
    </row>
    <row r="2359" spans="1:33" ht="26.25">
      <c r="A2359" s="264"/>
      <c r="B2359" s="264"/>
      <c r="C2359" s="264"/>
      <c r="D2359" s="264"/>
      <c r="E2359" s="264"/>
      <c r="F2359" s="264"/>
      <c r="G2359" s="264"/>
      <c r="H2359" s="264"/>
      <c r="I2359" s="264"/>
      <c r="J2359" s="327"/>
      <c r="K2359" s="327"/>
      <c r="L2359" s="327"/>
      <c r="M2359" s="321"/>
      <c r="N2359" s="321"/>
      <c r="O2359" s="364"/>
      <c r="P2359" s="381"/>
      <c r="R2359" s="392"/>
      <c r="S2359" s="61" ph="1"/>
      <c r="U2359" s="229"/>
      <c r="V2359" s="264"/>
      <c r="W2359" s="199"/>
      <c r="X2359" s="264"/>
      <c r="Y2359" s="264"/>
      <c r="Z2359" s="386"/>
      <c r="AD2359" s="264"/>
      <c r="AE2359" s="264"/>
      <c r="AF2359" s="264"/>
      <c r="AG2359" s="264"/>
    </row>
    <row r="2360" spans="1:33" ht="26.25">
      <c r="A2360" s="264"/>
      <c r="B2360" s="264"/>
      <c r="C2360" s="264"/>
      <c r="D2360" s="264"/>
      <c r="E2360" s="264"/>
      <c r="F2360" s="264"/>
      <c r="G2360" s="264"/>
      <c r="H2360" s="264"/>
      <c r="I2360" s="264"/>
      <c r="J2360" s="327"/>
      <c r="K2360" s="327"/>
      <c r="L2360" s="327"/>
      <c r="M2360" s="321"/>
      <c r="N2360" s="321"/>
      <c r="O2360" s="364"/>
      <c r="P2360" s="381"/>
      <c r="R2360" s="392"/>
      <c r="S2360" s="61" ph="1"/>
      <c r="U2360" s="229"/>
      <c r="V2360" s="264"/>
      <c r="W2360" s="199"/>
      <c r="X2360" s="264"/>
      <c r="Y2360" s="264"/>
      <c r="Z2360" s="386"/>
      <c r="AD2360" s="264"/>
      <c r="AE2360" s="264"/>
      <c r="AF2360" s="264"/>
      <c r="AG2360" s="264"/>
    </row>
    <row r="2361" spans="1:33" ht="26.25">
      <c r="A2361" s="264"/>
      <c r="B2361" s="264"/>
      <c r="C2361" s="264"/>
      <c r="D2361" s="264"/>
      <c r="E2361" s="264"/>
      <c r="F2361" s="264"/>
      <c r="G2361" s="264"/>
      <c r="H2361" s="264"/>
      <c r="I2361" s="264"/>
      <c r="J2361" s="327"/>
      <c r="K2361" s="327"/>
      <c r="L2361" s="327"/>
      <c r="M2361" s="321"/>
      <c r="N2361" s="321"/>
      <c r="O2361" s="364"/>
      <c r="P2361" s="381"/>
      <c r="R2361" s="392"/>
      <c r="S2361" s="61" ph="1"/>
      <c r="U2361" s="229"/>
      <c r="V2361" s="264"/>
      <c r="W2361" s="199"/>
      <c r="X2361" s="264"/>
      <c r="Y2361" s="264"/>
      <c r="Z2361" s="386"/>
      <c r="AD2361" s="264"/>
      <c r="AE2361" s="264"/>
      <c r="AF2361" s="264"/>
      <c r="AG2361" s="264"/>
    </row>
    <row r="2362" spans="1:33" ht="26.25">
      <c r="A2362" s="264"/>
      <c r="B2362" s="264"/>
      <c r="C2362" s="264"/>
      <c r="D2362" s="264"/>
      <c r="E2362" s="264"/>
      <c r="F2362" s="264"/>
      <c r="G2362" s="264"/>
      <c r="H2362" s="264"/>
      <c r="I2362" s="264"/>
      <c r="J2362" s="327"/>
      <c r="K2362" s="327"/>
      <c r="L2362" s="327"/>
      <c r="M2362" s="321"/>
      <c r="N2362" s="321"/>
      <c r="O2362" s="364"/>
      <c r="P2362" s="381"/>
      <c r="R2362" s="392"/>
      <c r="S2362" s="61" ph="1"/>
      <c r="U2362" s="229"/>
      <c r="V2362" s="264"/>
      <c r="W2362" s="199"/>
      <c r="X2362" s="264"/>
      <c r="Y2362" s="264"/>
      <c r="Z2362" s="386"/>
      <c r="AD2362" s="264"/>
      <c r="AE2362" s="264"/>
      <c r="AF2362" s="264"/>
      <c r="AG2362" s="264"/>
    </row>
    <row r="2363" spans="1:33" ht="26.25">
      <c r="A2363" s="264"/>
      <c r="B2363" s="264"/>
      <c r="C2363" s="264"/>
      <c r="D2363" s="264"/>
      <c r="E2363" s="264"/>
      <c r="F2363" s="264"/>
      <c r="G2363" s="264"/>
      <c r="H2363" s="264"/>
      <c r="I2363" s="264"/>
      <c r="J2363" s="327"/>
      <c r="K2363" s="327"/>
      <c r="L2363" s="327"/>
      <c r="M2363" s="321"/>
      <c r="N2363" s="321"/>
      <c r="O2363" s="364"/>
      <c r="P2363" s="381"/>
      <c r="R2363" s="392"/>
      <c r="S2363" s="61" ph="1"/>
      <c r="U2363" s="229"/>
      <c r="V2363" s="264"/>
      <c r="W2363" s="199"/>
      <c r="X2363" s="264"/>
      <c r="Y2363" s="264"/>
      <c r="Z2363" s="386"/>
      <c r="AD2363" s="264"/>
      <c r="AE2363" s="264"/>
      <c r="AF2363" s="264"/>
      <c r="AG2363" s="264"/>
    </row>
    <row r="2364" spans="1:33" ht="26.25">
      <c r="A2364" s="264"/>
      <c r="B2364" s="264"/>
      <c r="C2364" s="264"/>
      <c r="D2364" s="264"/>
      <c r="E2364" s="264"/>
      <c r="F2364" s="264"/>
      <c r="G2364" s="264"/>
      <c r="H2364" s="264"/>
      <c r="I2364" s="264"/>
      <c r="J2364" s="327"/>
      <c r="K2364" s="327"/>
      <c r="L2364" s="327"/>
      <c r="M2364" s="321"/>
      <c r="N2364" s="321"/>
      <c r="O2364" s="364"/>
      <c r="P2364" s="381"/>
      <c r="R2364" s="392"/>
      <c r="S2364" s="61" ph="1"/>
      <c r="U2364" s="229"/>
      <c r="V2364" s="264"/>
      <c r="W2364" s="199"/>
      <c r="X2364" s="264"/>
      <c r="Y2364" s="264"/>
      <c r="Z2364" s="386"/>
      <c r="AD2364" s="264"/>
      <c r="AE2364" s="264"/>
      <c r="AF2364" s="264"/>
      <c r="AG2364" s="264"/>
    </row>
    <row r="2365" spans="1:33" ht="26.25">
      <c r="A2365" s="264"/>
      <c r="B2365" s="264"/>
      <c r="C2365" s="264"/>
      <c r="D2365" s="264"/>
      <c r="E2365" s="264"/>
      <c r="F2365" s="264"/>
      <c r="G2365" s="264"/>
      <c r="H2365" s="264"/>
      <c r="I2365" s="264"/>
      <c r="J2365" s="327"/>
      <c r="K2365" s="327"/>
      <c r="L2365" s="327"/>
      <c r="M2365" s="321"/>
      <c r="N2365" s="321"/>
      <c r="O2365" s="364"/>
      <c r="P2365" s="381"/>
      <c r="R2365" s="392"/>
      <c r="S2365" s="61" ph="1"/>
      <c r="U2365" s="229"/>
      <c r="V2365" s="264"/>
      <c r="W2365" s="199"/>
      <c r="X2365" s="264"/>
      <c r="Y2365" s="264"/>
      <c r="Z2365" s="386"/>
      <c r="AD2365" s="264"/>
      <c r="AE2365" s="264"/>
      <c r="AF2365" s="264"/>
      <c r="AG2365" s="264"/>
    </row>
    <row r="2366" spans="1:33" ht="26.25">
      <c r="O2366" s="364"/>
      <c r="S2366" s="61" ph="1"/>
    </row>
    <row r="2367" spans="1:33" ht="26.25">
      <c r="O2367" s="364"/>
      <c r="S2367" s="61" ph="1"/>
    </row>
    <row r="2368" spans="1:33" ht="26.25">
      <c r="O2368" s="364"/>
      <c r="S2368" s="61" ph="1"/>
    </row>
    <row r="2369" spans="15:19" ht="26.25">
      <c r="O2369" s="364"/>
      <c r="S2369" s="61" ph="1"/>
    </row>
    <row r="2370" spans="15:19" ht="26.25">
      <c r="O2370" s="364"/>
      <c r="S2370" s="61" ph="1"/>
    </row>
    <row r="2371" spans="15:19" ht="26.25">
      <c r="O2371" s="364"/>
      <c r="S2371" s="61" ph="1"/>
    </row>
    <row r="2372" spans="15:19" ht="26.25">
      <c r="O2372" s="364"/>
      <c r="S2372" s="61" ph="1"/>
    </row>
    <row r="2373" spans="15:19" ht="26.25">
      <c r="O2373" s="364"/>
      <c r="S2373" s="61" ph="1"/>
    </row>
    <row r="2374" spans="15:19" ht="26.25">
      <c r="O2374" s="364"/>
      <c r="S2374" s="61" ph="1"/>
    </row>
    <row r="2375" spans="15:19" ht="26.25">
      <c r="O2375" s="364"/>
      <c r="S2375" s="61" ph="1"/>
    </row>
    <row r="2376" spans="15:19" ht="26.25">
      <c r="O2376" s="364"/>
      <c r="S2376" s="61" ph="1"/>
    </row>
    <row r="2377" spans="15:19" ht="26.25">
      <c r="O2377" s="364"/>
      <c r="S2377" s="61" ph="1"/>
    </row>
    <row r="2378" spans="15:19" ht="26.25">
      <c r="S2378" s="61" ph="1"/>
    </row>
    <row r="2379" spans="15:19" ht="26.25">
      <c r="S2379" s="61" ph="1"/>
    </row>
    <row r="2380" spans="15:19" ht="26.25">
      <c r="S2380" s="61" ph="1"/>
    </row>
    <row r="2381" spans="15:19" ht="26.25">
      <c r="S2381" s="61" ph="1"/>
    </row>
    <row r="2382" spans="15:19" ht="26.25">
      <c r="S2382" s="61" ph="1"/>
    </row>
    <row r="2383" spans="15:19" ht="26.25">
      <c r="S2383" s="61" ph="1"/>
    </row>
    <row r="2384" spans="15:19" ht="26.25">
      <c r="S2384" s="61" ph="1"/>
    </row>
    <row r="2385" spans="19:19" ht="26.25">
      <c r="S2385" s="61" ph="1"/>
    </row>
    <row r="2386" spans="19:19" ht="26.25">
      <c r="S2386" s="61" ph="1"/>
    </row>
    <row r="2387" spans="19:19" ht="26.25">
      <c r="S2387" s="61" ph="1"/>
    </row>
    <row r="2388" spans="19:19" ht="26.25">
      <c r="S2388" s="61" ph="1"/>
    </row>
    <row r="2389" spans="19:19" ht="26.25">
      <c r="S2389" s="61" ph="1"/>
    </row>
    <row r="2390" spans="19:19" ht="26.25">
      <c r="S2390" s="61" ph="1"/>
    </row>
    <row r="2391" spans="19:19" ht="26.25">
      <c r="S2391" s="61" ph="1"/>
    </row>
    <row r="2392" spans="19:19" ht="26.25">
      <c r="S2392" s="61" ph="1"/>
    </row>
    <row r="2393" spans="19:19" ht="26.25">
      <c r="S2393" s="61" ph="1"/>
    </row>
    <row r="2394" spans="19:19" ht="26.25">
      <c r="S2394" s="61" ph="1"/>
    </row>
    <row r="2395" spans="19:19" ht="26.25">
      <c r="S2395" s="61" ph="1"/>
    </row>
    <row r="2396" spans="19:19" ht="26.25">
      <c r="S2396" s="61" ph="1"/>
    </row>
    <row r="2397" spans="19:19" ht="26.25">
      <c r="S2397" s="61" ph="1"/>
    </row>
    <row r="2398" spans="19:19" ht="26.25">
      <c r="S2398" s="61" ph="1"/>
    </row>
    <row r="2399" spans="19:19" ht="26.25">
      <c r="S2399" s="61" ph="1"/>
    </row>
    <row r="2400" spans="19:19" ht="26.25">
      <c r="S2400" s="61" ph="1"/>
    </row>
    <row r="2401" spans="19:19" ht="26.25">
      <c r="S2401" s="61" ph="1"/>
    </row>
    <row r="2402" spans="19:19" ht="26.25">
      <c r="S2402" s="61" ph="1"/>
    </row>
    <row r="2403" spans="19:19" ht="26.25">
      <c r="S2403" s="61" ph="1"/>
    </row>
    <row r="2404" spans="19:19" ht="26.25">
      <c r="S2404" s="61" ph="1"/>
    </row>
    <row r="2405" spans="19:19" ht="26.25">
      <c r="S2405" s="61" ph="1"/>
    </row>
    <row r="2406" spans="19:19" ht="26.25">
      <c r="S2406" s="61" ph="1"/>
    </row>
    <row r="2407" spans="19:19" ht="26.25">
      <c r="S2407" s="61" ph="1"/>
    </row>
    <row r="2408" spans="19:19" ht="26.25">
      <c r="S2408" s="61" ph="1"/>
    </row>
    <row r="2409" spans="19:19" ht="26.25">
      <c r="S2409" s="61" ph="1"/>
    </row>
    <row r="2410" spans="19:19" ht="26.25">
      <c r="S2410" s="61" ph="1"/>
    </row>
    <row r="2411" spans="19:19" ht="26.25">
      <c r="S2411" s="61" ph="1"/>
    </row>
    <row r="2412" spans="19:19" ht="26.25">
      <c r="S2412" s="61" ph="1"/>
    </row>
    <row r="2413" spans="19:19" ht="26.25">
      <c r="S2413" s="61" ph="1"/>
    </row>
    <row r="2414" spans="19:19" ht="26.25">
      <c r="S2414" s="61" ph="1"/>
    </row>
    <row r="2415" spans="19:19" ht="26.25">
      <c r="S2415" s="61" ph="1"/>
    </row>
    <row r="2416" spans="19:19" ht="26.25">
      <c r="S2416" s="61" ph="1"/>
    </row>
    <row r="2417" spans="19:19" ht="26.25">
      <c r="S2417" s="61" ph="1"/>
    </row>
    <row r="2418" spans="19:19" ht="26.25">
      <c r="S2418" s="61" ph="1"/>
    </row>
    <row r="2419" spans="19:19" ht="26.25">
      <c r="S2419" s="61" ph="1"/>
    </row>
    <row r="2420" spans="19:19" ht="26.25">
      <c r="S2420" s="61" ph="1"/>
    </row>
    <row r="2421" spans="19:19" ht="26.25">
      <c r="S2421" s="61" ph="1"/>
    </row>
    <row r="2422" spans="19:19" ht="26.25">
      <c r="S2422" s="61" ph="1"/>
    </row>
    <row r="2423" spans="19:19" ht="26.25">
      <c r="S2423" s="61" ph="1"/>
    </row>
    <row r="2424" spans="19:19" ht="26.25">
      <c r="S2424" s="61" ph="1"/>
    </row>
    <row r="2425" spans="19:19" ht="26.25">
      <c r="S2425" s="61" ph="1"/>
    </row>
    <row r="2426" spans="19:19" ht="26.25">
      <c r="S2426" s="61" ph="1"/>
    </row>
    <row r="2427" spans="19:19" ht="26.25">
      <c r="S2427" s="61" ph="1"/>
    </row>
    <row r="2428" spans="19:19" ht="26.25">
      <c r="S2428" s="61" ph="1"/>
    </row>
    <row r="2429" spans="19:19" ht="26.25">
      <c r="S2429" s="61" ph="1"/>
    </row>
    <row r="2430" spans="19:19" ht="26.25">
      <c r="S2430" s="61" ph="1"/>
    </row>
    <row r="2431" spans="19:19" ht="26.25">
      <c r="S2431" s="61" ph="1"/>
    </row>
    <row r="2432" spans="19:19" ht="26.25">
      <c r="S2432" s="61" ph="1"/>
    </row>
    <row r="2433" spans="19:19" ht="26.25">
      <c r="S2433" s="61" ph="1"/>
    </row>
    <row r="2434" spans="19:19" ht="26.25">
      <c r="S2434" s="61" ph="1"/>
    </row>
    <row r="2435" spans="19:19" ht="26.25">
      <c r="S2435" s="61" ph="1"/>
    </row>
    <row r="2436" spans="19:19" ht="26.25">
      <c r="S2436" s="61" ph="1"/>
    </row>
    <row r="2437" spans="19:19" ht="26.25">
      <c r="S2437" s="61" ph="1"/>
    </row>
    <row r="2438" spans="19:19" ht="26.25">
      <c r="S2438" s="61" ph="1"/>
    </row>
    <row r="2439" spans="19:19" ht="26.25">
      <c r="S2439" s="61" ph="1"/>
    </row>
    <row r="2440" spans="19:19" ht="26.25">
      <c r="S2440" s="61" ph="1"/>
    </row>
    <row r="2441" spans="19:19" ht="26.25">
      <c r="S2441" s="61" ph="1"/>
    </row>
    <row r="2442" spans="19:19" ht="26.25">
      <c r="S2442" s="61" ph="1"/>
    </row>
    <row r="2443" spans="19:19" ht="26.25">
      <c r="S2443" s="61" ph="1"/>
    </row>
    <row r="2444" spans="19:19" ht="26.25">
      <c r="S2444" s="61" ph="1"/>
    </row>
    <row r="2445" spans="19:19" ht="26.25">
      <c r="S2445" s="61" ph="1"/>
    </row>
    <row r="2446" spans="19:19" ht="26.25">
      <c r="S2446" s="61" ph="1"/>
    </row>
    <row r="2447" spans="19:19" ht="26.25">
      <c r="S2447" s="61" ph="1"/>
    </row>
    <row r="2448" spans="19:19" ht="26.25">
      <c r="S2448" s="61" ph="1"/>
    </row>
    <row r="2449" spans="19:19" ht="26.25">
      <c r="S2449" s="61" ph="1"/>
    </row>
    <row r="2450" spans="19:19" ht="26.25">
      <c r="S2450" s="61" ph="1"/>
    </row>
    <row r="2451" spans="19:19" ht="26.25">
      <c r="S2451" s="61" ph="1"/>
    </row>
    <row r="2452" spans="19:19" ht="26.25">
      <c r="S2452" s="61" ph="1"/>
    </row>
    <row r="2453" spans="19:19" ht="26.25">
      <c r="S2453" s="61" ph="1"/>
    </row>
    <row r="2454" spans="19:19" ht="26.25">
      <c r="S2454" s="61" ph="1"/>
    </row>
    <row r="2455" spans="19:19" ht="26.25">
      <c r="S2455" s="61" ph="1"/>
    </row>
    <row r="2456" spans="19:19" ht="26.25">
      <c r="S2456" s="61" ph="1"/>
    </row>
    <row r="2457" spans="19:19" ht="26.25">
      <c r="S2457" s="61" ph="1"/>
    </row>
    <row r="2458" spans="19:19" ht="26.25">
      <c r="S2458" s="61" ph="1"/>
    </row>
    <row r="2459" spans="19:19" ht="26.25">
      <c r="S2459" s="61" ph="1"/>
    </row>
    <row r="2460" spans="19:19" ht="26.25">
      <c r="S2460" s="61" ph="1"/>
    </row>
    <row r="2461" spans="19:19" ht="26.25">
      <c r="S2461" s="61" ph="1"/>
    </row>
    <row r="2462" spans="19:19" ht="26.25">
      <c r="S2462" s="61" ph="1"/>
    </row>
    <row r="2463" spans="19:19" ht="26.25">
      <c r="S2463" s="61" ph="1"/>
    </row>
    <row r="2464" spans="19:19" ht="26.25">
      <c r="S2464" s="61" ph="1"/>
    </row>
    <row r="2465" spans="19:19" ht="26.25">
      <c r="S2465" s="61" ph="1"/>
    </row>
    <row r="2466" spans="19:19" ht="26.25">
      <c r="S2466" s="61" ph="1"/>
    </row>
    <row r="2467" spans="19:19" ht="26.25">
      <c r="S2467" s="61" ph="1"/>
    </row>
    <row r="2468" spans="19:19" ht="26.25">
      <c r="S2468" s="61" ph="1"/>
    </row>
    <row r="2469" spans="19:19" ht="26.25">
      <c r="S2469" s="61" ph="1"/>
    </row>
    <row r="2470" spans="19:19" ht="26.25">
      <c r="S2470" s="61" ph="1"/>
    </row>
    <row r="2471" spans="19:19" ht="26.25">
      <c r="S2471" s="61" ph="1"/>
    </row>
    <row r="2472" spans="19:19" ht="26.25">
      <c r="S2472" s="61" ph="1"/>
    </row>
    <row r="2473" spans="19:19" ht="26.25">
      <c r="S2473" s="61" ph="1"/>
    </row>
    <row r="2474" spans="19:19" ht="26.25">
      <c r="S2474" s="61" ph="1"/>
    </row>
    <row r="2475" spans="19:19" ht="26.25">
      <c r="S2475" s="61" ph="1"/>
    </row>
    <row r="2476" spans="19:19" ht="26.25">
      <c r="S2476" s="61" ph="1"/>
    </row>
    <row r="2477" spans="19:19" ht="26.25">
      <c r="S2477" s="61" ph="1"/>
    </row>
    <row r="2478" spans="19:19" ht="26.25">
      <c r="S2478" s="61" ph="1"/>
    </row>
    <row r="2479" spans="19:19" ht="26.25">
      <c r="S2479" s="61" ph="1"/>
    </row>
    <row r="2480" spans="19:19" ht="26.25">
      <c r="S2480" s="61" ph="1"/>
    </row>
    <row r="2481" spans="19:19" ht="26.25">
      <c r="S2481" s="61" ph="1"/>
    </row>
    <row r="2482" spans="19:19" ht="26.25">
      <c r="S2482" s="61" ph="1"/>
    </row>
    <row r="2483" spans="19:19" ht="26.25">
      <c r="S2483" s="61" ph="1"/>
    </row>
    <row r="2484" spans="19:19" ht="26.25">
      <c r="S2484" s="61" ph="1"/>
    </row>
    <row r="2485" spans="19:19" ht="26.25">
      <c r="S2485" s="61" ph="1"/>
    </row>
    <row r="2486" spans="19:19" ht="26.25">
      <c r="S2486" s="61" ph="1"/>
    </row>
    <row r="2487" spans="19:19" ht="26.25">
      <c r="S2487" s="61" ph="1"/>
    </row>
    <row r="2488" spans="19:19" ht="26.25">
      <c r="S2488" s="61" ph="1"/>
    </row>
    <row r="2489" spans="19:19" ht="26.25">
      <c r="S2489" s="61" ph="1"/>
    </row>
    <row r="2490" spans="19:19" ht="26.25">
      <c r="S2490" s="61" ph="1"/>
    </row>
    <row r="2491" spans="19:19" ht="26.25">
      <c r="S2491" s="61" ph="1"/>
    </row>
    <row r="2492" spans="19:19" ht="26.25">
      <c r="S2492" s="61" ph="1"/>
    </row>
    <row r="2493" spans="19:19" ht="26.25">
      <c r="S2493" s="61" ph="1"/>
    </row>
    <row r="2494" spans="19:19" ht="26.25">
      <c r="S2494" s="61" ph="1"/>
    </row>
    <row r="2495" spans="19:19" ht="26.25">
      <c r="S2495" s="61" ph="1"/>
    </row>
    <row r="2496" spans="19:19" ht="26.25">
      <c r="S2496" s="61" ph="1"/>
    </row>
    <row r="2497" spans="19:19" ht="26.25">
      <c r="S2497" s="61" ph="1"/>
    </row>
    <row r="2498" spans="19:19" ht="26.25">
      <c r="S2498" s="61" ph="1"/>
    </row>
    <row r="2499" spans="19:19" ht="26.25">
      <c r="S2499" s="61" ph="1"/>
    </row>
    <row r="2500" spans="19:19" ht="26.25">
      <c r="S2500" s="61" ph="1"/>
    </row>
    <row r="2501" spans="19:19" ht="26.25">
      <c r="S2501" s="61" ph="1"/>
    </row>
    <row r="2502" spans="19:19" ht="26.25">
      <c r="S2502" s="61" ph="1"/>
    </row>
    <row r="2503" spans="19:19" ht="26.25">
      <c r="S2503" s="61" ph="1"/>
    </row>
    <row r="2504" spans="19:19" ht="26.25">
      <c r="S2504" s="61" ph="1"/>
    </row>
    <row r="2505" spans="19:19" ht="26.25">
      <c r="S2505" s="61" ph="1"/>
    </row>
    <row r="2506" spans="19:19" ht="26.25">
      <c r="S2506" s="61" ph="1"/>
    </row>
    <row r="2507" spans="19:19" ht="26.25">
      <c r="S2507" s="61" ph="1"/>
    </row>
    <row r="2508" spans="19:19" ht="26.25">
      <c r="S2508" s="61" ph="1"/>
    </row>
    <row r="2509" spans="19:19" ht="26.25">
      <c r="S2509" s="61" ph="1"/>
    </row>
    <row r="2510" spans="19:19" ht="26.25">
      <c r="S2510" s="61" ph="1"/>
    </row>
    <row r="2511" spans="19:19" ht="26.25">
      <c r="S2511" s="61" ph="1"/>
    </row>
    <row r="2512" spans="19:19" ht="26.25">
      <c r="S2512" s="61" ph="1"/>
    </row>
    <row r="2513" spans="19:19" ht="26.25">
      <c r="S2513" s="61" ph="1"/>
    </row>
    <row r="2514" spans="19:19" ht="26.25">
      <c r="S2514" s="61" ph="1"/>
    </row>
    <row r="2515" spans="19:19" ht="26.25">
      <c r="S2515" s="61" ph="1"/>
    </row>
    <row r="2516" spans="19:19" ht="26.25">
      <c r="S2516" s="61" ph="1"/>
    </row>
    <row r="2517" spans="19:19" ht="26.25">
      <c r="S2517" s="61" ph="1"/>
    </row>
    <row r="2518" spans="19:19" ht="26.25">
      <c r="S2518" s="61" ph="1"/>
    </row>
    <row r="2519" spans="19:19" ht="26.25">
      <c r="S2519" s="61" ph="1"/>
    </row>
    <row r="2520" spans="19:19" ht="26.25">
      <c r="S2520" s="61" ph="1"/>
    </row>
    <row r="2521" spans="19:19" ht="26.25">
      <c r="S2521" s="61" ph="1"/>
    </row>
    <row r="2522" spans="19:19" ht="26.25">
      <c r="S2522" s="61" ph="1"/>
    </row>
    <row r="2523" spans="19:19" ht="26.25">
      <c r="S2523" s="61" ph="1"/>
    </row>
    <row r="2524" spans="19:19" ht="26.25">
      <c r="S2524" s="61" ph="1"/>
    </row>
    <row r="2525" spans="19:19" ht="26.25">
      <c r="S2525" s="61" ph="1"/>
    </row>
    <row r="2526" spans="19:19" ht="26.25">
      <c r="S2526" s="61" ph="1"/>
    </row>
    <row r="2527" spans="19:19" ht="26.25">
      <c r="S2527" s="61" ph="1"/>
    </row>
    <row r="2528" spans="19:19" ht="26.25">
      <c r="S2528" s="61" ph="1"/>
    </row>
    <row r="2529" spans="19:19" ht="26.25">
      <c r="S2529" s="61" ph="1"/>
    </row>
    <row r="2530" spans="19:19" ht="26.25">
      <c r="S2530" s="61" ph="1"/>
    </row>
    <row r="2531" spans="19:19" ht="26.25">
      <c r="S2531" s="61" ph="1"/>
    </row>
    <row r="2532" spans="19:19" ht="26.25">
      <c r="S2532" s="61" ph="1"/>
    </row>
    <row r="2533" spans="19:19" ht="26.25">
      <c r="S2533" s="61" ph="1"/>
    </row>
    <row r="2534" spans="19:19" ht="26.25">
      <c r="S2534" s="61" ph="1"/>
    </row>
    <row r="2535" spans="19:19" ht="26.25">
      <c r="S2535" s="61" ph="1"/>
    </row>
    <row r="2536" spans="19:19" ht="26.25">
      <c r="S2536" s="61" ph="1"/>
    </row>
    <row r="2537" spans="19:19" ht="26.25">
      <c r="S2537" s="61" ph="1"/>
    </row>
    <row r="2538" spans="19:19" ht="26.25">
      <c r="S2538" s="61" ph="1"/>
    </row>
    <row r="2539" spans="19:19" ht="26.25">
      <c r="S2539" s="61" ph="1"/>
    </row>
    <row r="2540" spans="19:19" ht="26.25">
      <c r="S2540" s="61" ph="1"/>
    </row>
    <row r="2541" spans="19:19" ht="26.25">
      <c r="S2541" s="61" ph="1"/>
    </row>
    <row r="2542" spans="19:19" ht="26.25">
      <c r="S2542" s="61" ph="1"/>
    </row>
    <row r="2543" spans="19:19" ht="26.25">
      <c r="S2543" s="61" ph="1"/>
    </row>
    <row r="2544" spans="19:19" ht="26.25">
      <c r="S2544" s="61" ph="1"/>
    </row>
    <row r="2545" spans="19:19" ht="26.25">
      <c r="S2545" s="61" ph="1"/>
    </row>
    <row r="2546" spans="19:19" ht="26.25">
      <c r="S2546" s="61" ph="1"/>
    </row>
    <row r="2547" spans="19:19" ht="26.25">
      <c r="S2547" s="61" ph="1"/>
    </row>
    <row r="2548" spans="19:19" ht="26.25">
      <c r="S2548" s="61" ph="1"/>
    </row>
    <row r="2549" spans="19:19" ht="26.25">
      <c r="S2549" s="61" ph="1"/>
    </row>
    <row r="2550" spans="19:19" ht="26.25">
      <c r="S2550" s="61" ph="1"/>
    </row>
    <row r="2551" spans="19:19" ht="26.25">
      <c r="S2551" s="61" ph="1"/>
    </row>
    <row r="2552" spans="19:19" ht="26.25">
      <c r="S2552" s="61" ph="1"/>
    </row>
    <row r="2553" spans="19:19" ht="26.25">
      <c r="S2553" s="61" ph="1"/>
    </row>
    <row r="2554" spans="19:19" ht="26.25">
      <c r="S2554" s="61" ph="1"/>
    </row>
    <row r="2555" spans="19:19" ht="26.25">
      <c r="S2555" s="61" ph="1"/>
    </row>
    <row r="2556" spans="19:19" ht="26.25">
      <c r="S2556" s="61" ph="1"/>
    </row>
    <row r="2557" spans="19:19" ht="26.25">
      <c r="S2557" s="61" ph="1"/>
    </row>
    <row r="2558" spans="19:19" ht="26.25">
      <c r="S2558" s="61" ph="1"/>
    </row>
    <row r="2559" spans="19:19" ht="26.25">
      <c r="S2559" s="61" ph="1"/>
    </row>
    <row r="2560" spans="19:19" ht="26.25">
      <c r="S2560" s="61" ph="1"/>
    </row>
    <row r="2561" spans="19:19" ht="26.25">
      <c r="S2561" s="61" ph="1"/>
    </row>
    <row r="2562" spans="19:19" ht="26.25">
      <c r="S2562" s="61" ph="1"/>
    </row>
    <row r="2563" spans="19:19" ht="26.25">
      <c r="S2563" s="61" ph="1"/>
    </row>
    <row r="2564" spans="19:19" ht="26.25">
      <c r="S2564" s="61" ph="1"/>
    </row>
    <row r="2565" spans="19:19" ht="26.25">
      <c r="S2565" s="61" ph="1"/>
    </row>
    <row r="2566" spans="19:19" ht="26.25">
      <c r="S2566" s="61" ph="1"/>
    </row>
    <row r="2567" spans="19:19" ht="26.25">
      <c r="S2567" s="61" ph="1"/>
    </row>
    <row r="2568" spans="19:19" ht="26.25">
      <c r="S2568" s="61" ph="1"/>
    </row>
    <row r="2569" spans="19:19" ht="26.25">
      <c r="S2569" s="61" ph="1"/>
    </row>
    <row r="2570" spans="19:19" ht="26.25">
      <c r="S2570" s="61" ph="1"/>
    </row>
    <row r="2571" spans="19:19" ht="26.25">
      <c r="S2571" s="61" ph="1"/>
    </row>
    <row r="2572" spans="19:19" ht="26.25">
      <c r="S2572" s="61" ph="1"/>
    </row>
    <row r="2573" spans="19:19" ht="26.25">
      <c r="S2573" s="61" ph="1"/>
    </row>
    <row r="2574" spans="19:19" ht="26.25">
      <c r="S2574" s="61" ph="1"/>
    </row>
    <row r="2575" spans="19:19" ht="26.25">
      <c r="S2575" s="61" ph="1"/>
    </row>
    <row r="2576" spans="19:19" ht="26.25">
      <c r="S2576" s="61" ph="1"/>
    </row>
    <row r="2577" spans="19:19" ht="26.25">
      <c r="S2577" s="61" ph="1"/>
    </row>
    <row r="2578" spans="19:19" ht="26.25">
      <c r="S2578" s="61" ph="1"/>
    </row>
    <row r="2579" spans="19:19" ht="26.25">
      <c r="S2579" s="61" ph="1"/>
    </row>
    <row r="2580" spans="19:19" ht="26.25">
      <c r="S2580" s="61" ph="1"/>
    </row>
    <row r="2581" spans="19:19" ht="26.25">
      <c r="S2581" s="61" ph="1"/>
    </row>
    <row r="2582" spans="19:19" ht="26.25">
      <c r="S2582" s="61" ph="1"/>
    </row>
    <row r="2583" spans="19:19" ht="26.25">
      <c r="S2583" s="61" ph="1"/>
    </row>
    <row r="2584" spans="19:19" ht="26.25">
      <c r="S2584" s="61" ph="1"/>
    </row>
    <row r="2585" spans="19:19" ht="26.25">
      <c r="S2585" s="61" ph="1"/>
    </row>
    <row r="2586" spans="19:19" ht="26.25">
      <c r="S2586" s="61" ph="1"/>
    </row>
    <row r="2587" spans="19:19" ht="26.25">
      <c r="S2587" s="61" ph="1"/>
    </row>
    <row r="2588" spans="19:19" ht="26.25">
      <c r="S2588" s="61" ph="1"/>
    </row>
    <row r="2589" spans="19:19" ht="26.25">
      <c r="S2589" s="61" ph="1"/>
    </row>
    <row r="2590" spans="19:19" ht="26.25">
      <c r="S2590" s="61" ph="1"/>
    </row>
    <row r="2591" spans="19:19" ht="26.25">
      <c r="S2591" s="61" ph="1"/>
    </row>
    <row r="2592" spans="19:19" ht="26.25">
      <c r="S2592" s="61" ph="1"/>
    </row>
    <row r="2593" spans="19:19" ht="26.25">
      <c r="S2593" s="61" ph="1"/>
    </row>
    <row r="2594" spans="19:19" ht="26.25">
      <c r="S2594" s="61" ph="1"/>
    </row>
    <row r="2595" spans="19:19" ht="26.25">
      <c r="S2595" s="61" ph="1"/>
    </row>
    <row r="2596" spans="19:19" ht="26.25">
      <c r="S2596" s="61" ph="1"/>
    </row>
    <row r="2597" spans="19:19" ht="26.25">
      <c r="S2597" s="61" ph="1"/>
    </row>
    <row r="2598" spans="19:19" ht="26.25">
      <c r="S2598" s="61" ph="1"/>
    </row>
    <row r="2599" spans="19:19" ht="26.25">
      <c r="S2599" s="61" ph="1"/>
    </row>
    <row r="2600" spans="19:19" ht="26.25">
      <c r="S2600" s="61" ph="1"/>
    </row>
    <row r="2601" spans="19:19" ht="26.25">
      <c r="S2601" s="61" ph="1"/>
    </row>
    <row r="2602" spans="19:19" ht="26.25">
      <c r="S2602" s="61" ph="1"/>
    </row>
    <row r="2603" spans="19:19" ht="26.25">
      <c r="S2603" s="61" ph="1"/>
    </row>
    <row r="2604" spans="19:19" ht="26.25">
      <c r="S2604" s="61" ph="1"/>
    </row>
    <row r="2605" spans="19:19" ht="26.25">
      <c r="S2605" s="61" ph="1"/>
    </row>
    <row r="2606" spans="19:19" ht="26.25">
      <c r="S2606" s="61" ph="1"/>
    </row>
    <row r="2607" spans="19:19" ht="26.25">
      <c r="S2607" s="61" ph="1"/>
    </row>
    <row r="2608" spans="19:19" ht="26.25">
      <c r="S2608" s="61" ph="1"/>
    </row>
    <row r="2609" spans="19:19" ht="26.25">
      <c r="S2609" s="61" ph="1"/>
    </row>
    <row r="2610" spans="19:19" ht="26.25">
      <c r="S2610" s="61" ph="1"/>
    </row>
    <row r="2611" spans="19:19" ht="26.25">
      <c r="S2611" s="61" ph="1"/>
    </row>
    <row r="2612" spans="19:19" ht="26.25">
      <c r="S2612" s="61" ph="1"/>
    </row>
    <row r="2613" spans="19:19" ht="26.25">
      <c r="S2613" s="61" ph="1"/>
    </row>
    <row r="2614" spans="19:19" ht="26.25">
      <c r="S2614" s="61" ph="1"/>
    </row>
    <row r="2615" spans="19:19" ht="26.25">
      <c r="S2615" s="61" ph="1"/>
    </row>
    <row r="2616" spans="19:19" ht="26.25">
      <c r="S2616" s="61" ph="1"/>
    </row>
    <row r="2617" spans="19:19" ht="26.25">
      <c r="S2617" s="61" ph="1"/>
    </row>
    <row r="2618" spans="19:19" ht="26.25">
      <c r="S2618" s="61" ph="1"/>
    </row>
    <row r="2619" spans="19:19" ht="26.25">
      <c r="S2619" s="61" ph="1"/>
    </row>
    <row r="2620" spans="19:19" ht="26.25">
      <c r="S2620" s="61" ph="1"/>
    </row>
    <row r="2621" spans="19:19" ht="26.25">
      <c r="S2621" s="61" ph="1"/>
    </row>
    <row r="2622" spans="19:19" ht="26.25">
      <c r="S2622" s="61" ph="1"/>
    </row>
    <row r="2623" spans="19:19" ht="26.25">
      <c r="S2623" s="61" ph="1"/>
    </row>
    <row r="2624" spans="19:19" ht="26.25">
      <c r="S2624" s="61" ph="1"/>
    </row>
    <row r="2625" spans="19:19" ht="26.25">
      <c r="S2625" s="61" ph="1"/>
    </row>
    <row r="2626" spans="19:19" ht="26.25">
      <c r="S2626" s="61" ph="1"/>
    </row>
    <row r="2627" spans="19:19" ht="26.25">
      <c r="S2627" s="61" ph="1"/>
    </row>
    <row r="2628" spans="19:19" ht="26.25">
      <c r="S2628" s="61" ph="1"/>
    </row>
    <row r="2629" spans="19:19" ht="26.25">
      <c r="S2629" s="61" ph="1"/>
    </row>
    <row r="2630" spans="19:19" ht="26.25">
      <c r="S2630" s="61" ph="1"/>
    </row>
    <row r="2631" spans="19:19" ht="26.25">
      <c r="S2631" s="61" ph="1"/>
    </row>
    <row r="2632" spans="19:19" ht="26.25">
      <c r="S2632" s="61" ph="1"/>
    </row>
    <row r="2633" spans="19:19" ht="26.25">
      <c r="S2633" s="61" ph="1"/>
    </row>
    <row r="2634" spans="19:19" ht="26.25">
      <c r="S2634" s="61" ph="1"/>
    </row>
    <row r="2635" spans="19:19" ht="26.25">
      <c r="S2635" s="61" ph="1"/>
    </row>
    <row r="2636" spans="19:19" ht="26.25">
      <c r="S2636" s="61" ph="1"/>
    </row>
    <row r="2637" spans="19:19" ht="26.25">
      <c r="S2637" s="61" ph="1"/>
    </row>
    <row r="2638" spans="19:19" ht="26.25">
      <c r="S2638" s="61" ph="1"/>
    </row>
    <row r="2639" spans="19:19" ht="26.25">
      <c r="S2639" s="61" ph="1"/>
    </row>
    <row r="2640" spans="19:19" ht="26.25">
      <c r="S2640" s="61" ph="1"/>
    </row>
    <row r="2641" spans="19:19" ht="26.25">
      <c r="S2641" s="61" ph="1"/>
    </row>
    <row r="2642" spans="19:19" ht="26.25">
      <c r="S2642" s="61" ph="1"/>
    </row>
    <row r="2643" spans="19:19" ht="26.25">
      <c r="S2643" s="61" ph="1"/>
    </row>
    <row r="2644" spans="19:19" ht="26.25">
      <c r="S2644" s="61" ph="1"/>
    </row>
    <row r="2645" spans="19:19" ht="26.25">
      <c r="S2645" s="61" ph="1"/>
    </row>
    <row r="2646" spans="19:19" ht="26.25">
      <c r="S2646" s="61" ph="1"/>
    </row>
    <row r="2647" spans="19:19" ht="26.25">
      <c r="S2647" s="61" ph="1"/>
    </row>
    <row r="2648" spans="19:19" ht="26.25">
      <c r="S2648" s="61" ph="1"/>
    </row>
    <row r="2649" spans="19:19" ht="26.25">
      <c r="S2649" s="61" ph="1"/>
    </row>
    <row r="2650" spans="19:19" ht="26.25">
      <c r="S2650" s="61" ph="1"/>
    </row>
    <row r="2651" spans="19:19" ht="26.25">
      <c r="S2651" s="61" ph="1"/>
    </row>
    <row r="2652" spans="19:19" ht="26.25">
      <c r="S2652" s="61" ph="1"/>
    </row>
    <row r="2653" spans="19:19" ht="26.25">
      <c r="S2653" s="61" ph="1"/>
    </row>
    <row r="2654" spans="19:19" ht="26.25">
      <c r="S2654" s="61" ph="1"/>
    </row>
    <row r="2655" spans="19:19" ht="26.25">
      <c r="S2655" s="61" ph="1"/>
    </row>
    <row r="2656" spans="19:19" ht="26.25">
      <c r="S2656" s="61" ph="1"/>
    </row>
    <row r="2657" spans="19:19" ht="26.25">
      <c r="S2657" s="61" ph="1"/>
    </row>
    <row r="2658" spans="19:19" ht="26.25">
      <c r="S2658" s="61" ph="1"/>
    </row>
    <row r="2659" spans="19:19" ht="26.25">
      <c r="S2659" s="61" ph="1"/>
    </row>
    <row r="2660" spans="19:19" ht="26.25">
      <c r="S2660" s="61" ph="1"/>
    </row>
    <row r="2661" spans="19:19" ht="26.25">
      <c r="S2661" s="61" ph="1"/>
    </row>
    <row r="2662" spans="19:19" ht="26.25">
      <c r="S2662" s="61" ph="1"/>
    </row>
    <row r="2663" spans="19:19" ht="26.25">
      <c r="S2663" s="61" ph="1"/>
    </row>
    <row r="2664" spans="19:19" ht="26.25">
      <c r="S2664" s="61" ph="1"/>
    </row>
    <row r="2665" spans="19:19" ht="26.25">
      <c r="S2665" s="61" ph="1"/>
    </row>
    <row r="2666" spans="19:19" ht="26.25">
      <c r="S2666" s="61" ph="1"/>
    </row>
    <row r="2667" spans="19:19" ht="26.25">
      <c r="S2667" s="61" ph="1"/>
    </row>
    <row r="2668" spans="19:19" ht="26.25">
      <c r="S2668" s="61" ph="1"/>
    </row>
    <row r="2669" spans="19:19" ht="26.25">
      <c r="S2669" s="61" ph="1"/>
    </row>
    <row r="2670" spans="19:19" ht="26.25">
      <c r="S2670" s="61" ph="1"/>
    </row>
    <row r="2671" spans="19:19" ht="26.25">
      <c r="S2671" s="61" ph="1"/>
    </row>
    <row r="2672" spans="19:19" ht="26.25">
      <c r="S2672" s="61" ph="1"/>
    </row>
    <row r="2673" spans="19:19" ht="26.25">
      <c r="S2673" s="61" ph="1"/>
    </row>
    <row r="2674" spans="19:19" ht="26.25">
      <c r="S2674" s="61" ph="1"/>
    </row>
    <row r="2675" spans="19:19" ht="26.25">
      <c r="S2675" s="61" ph="1"/>
    </row>
    <row r="2676" spans="19:19" ht="26.25">
      <c r="S2676" s="61" ph="1"/>
    </row>
    <row r="2677" spans="19:19" ht="26.25">
      <c r="S2677" s="61" ph="1"/>
    </row>
    <row r="2678" spans="19:19" ht="26.25">
      <c r="S2678" s="61" ph="1"/>
    </row>
    <row r="2679" spans="19:19" ht="26.25">
      <c r="S2679" s="61" ph="1"/>
    </row>
    <row r="2680" spans="19:19" ht="26.25">
      <c r="S2680" s="61" ph="1"/>
    </row>
    <row r="2681" spans="19:19" ht="26.25">
      <c r="S2681" s="61" ph="1"/>
    </row>
    <row r="2682" spans="19:19" ht="26.25">
      <c r="S2682" s="61" ph="1"/>
    </row>
    <row r="2683" spans="19:19" ht="26.25">
      <c r="S2683" s="61" ph="1"/>
    </row>
    <row r="2684" spans="19:19" ht="26.25">
      <c r="S2684" s="61" ph="1"/>
    </row>
    <row r="2685" spans="19:19" ht="26.25">
      <c r="S2685" s="61" ph="1"/>
    </row>
    <row r="2686" spans="19:19" ht="26.25">
      <c r="S2686" s="61" ph="1"/>
    </row>
    <row r="2687" spans="19:19" ht="26.25">
      <c r="S2687" s="61" ph="1"/>
    </row>
    <row r="2688" spans="19:19" ht="26.25">
      <c r="S2688" s="61" ph="1"/>
    </row>
    <row r="2689" spans="19:19" ht="26.25">
      <c r="S2689" s="61" ph="1"/>
    </row>
    <row r="2690" spans="19:19" ht="26.25">
      <c r="S2690" s="61" ph="1"/>
    </row>
    <row r="2691" spans="19:19" ht="26.25">
      <c r="S2691" s="61" ph="1"/>
    </row>
    <row r="2692" spans="19:19" ht="26.25">
      <c r="S2692" s="61" ph="1"/>
    </row>
    <row r="2693" spans="19:19" ht="26.25">
      <c r="S2693" s="61" ph="1"/>
    </row>
    <row r="2694" spans="19:19" ht="26.25">
      <c r="S2694" s="61" ph="1"/>
    </row>
    <row r="2695" spans="19:19" ht="26.25">
      <c r="S2695" s="61" ph="1"/>
    </row>
    <row r="2696" spans="19:19" ht="26.25">
      <c r="S2696" s="61" ph="1"/>
    </row>
    <row r="2697" spans="19:19" ht="26.25">
      <c r="S2697" s="61" ph="1"/>
    </row>
    <row r="2698" spans="19:19" ht="26.25">
      <c r="S2698" s="61" ph="1"/>
    </row>
    <row r="2699" spans="19:19" ht="26.25">
      <c r="S2699" s="61" ph="1"/>
    </row>
    <row r="2700" spans="19:19" ht="26.25">
      <c r="S2700" s="61" ph="1"/>
    </row>
    <row r="2701" spans="19:19" ht="26.25">
      <c r="S2701" s="61" ph="1"/>
    </row>
    <row r="2702" spans="19:19" ht="26.25">
      <c r="S2702" s="61" ph="1"/>
    </row>
    <row r="2703" spans="19:19" ht="26.25">
      <c r="S2703" s="61" ph="1"/>
    </row>
    <row r="2704" spans="19:19" ht="26.25">
      <c r="S2704" s="61" ph="1"/>
    </row>
    <row r="2705" spans="19:19" ht="26.25">
      <c r="S2705" s="61" ph="1"/>
    </row>
    <row r="2706" spans="19:19" ht="26.25">
      <c r="S2706" s="61" ph="1"/>
    </row>
    <row r="2707" spans="19:19" ht="26.25">
      <c r="S2707" s="61" ph="1"/>
    </row>
    <row r="2708" spans="19:19" ht="26.25">
      <c r="S2708" s="61" ph="1"/>
    </row>
    <row r="2709" spans="19:19" ht="26.25">
      <c r="S2709" s="61" ph="1"/>
    </row>
    <row r="2710" spans="19:19" ht="26.25">
      <c r="S2710" s="61" ph="1"/>
    </row>
    <row r="2711" spans="19:19" ht="26.25">
      <c r="S2711" s="61" ph="1"/>
    </row>
    <row r="2712" spans="19:19" ht="26.25">
      <c r="S2712" s="61" ph="1"/>
    </row>
    <row r="2713" spans="19:19" ht="26.25">
      <c r="S2713" s="61" ph="1"/>
    </row>
    <row r="2714" spans="19:19" ht="26.25">
      <c r="S2714" s="61" ph="1"/>
    </row>
    <row r="2715" spans="19:19" ht="26.25">
      <c r="S2715" s="61" ph="1"/>
    </row>
    <row r="2716" spans="19:19" ht="26.25">
      <c r="S2716" s="61" ph="1"/>
    </row>
    <row r="2717" spans="19:19" ht="26.25">
      <c r="S2717" s="61" ph="1"/>
    </row>
    <row r="2718" spans="19:19" ht="26.25">
      <c r="S2718" s="61" ph="1"/>
    </row>
    <row r="2719" spans="19:19" ht="26.25">
      <c r="S2719" s="61" ph="1"/>
    </row>
    <row r="2720" spans="19:19" ht="26.25">
      <c r="S2720" s="61" ph="1"/>
    </row>
    <row r="2721" spans="19:19" ht="26.25">
      <c r="S2721" s="61" ph="1"/>
    </row>
    <row r="2722" spans="19:19" ht="26.25">
      <c r="S2722" s="61" ph="1"/>
    </row>
    <row r="2723" spans="19:19" ht="26.25">
      <c r="S2723" s="61" ph="1"/>
    </row>
    <row r="2724" spans="19:19" ht="26.25">
      <c r="S2724" s="61" ph="1"/>
    </row>
    <row r="2725" spans="19:19" ht="26.25">
      <c r="S2725" s="61" ph="1"/>
    </row>
    <row r="2726" spans="19:19" ht="26.25">
      <c r="S2726" s="61" ph="1"/>
    </row>
    <row r="2727" spans="19:19" ht="26.25">
      <c r="S2727" s="61" ph="1"/>
    </row>
    <row r="2728" spans="19:19" ht="26.25">
      <c r="S2728" s="61" ph="1"/>
    </row>
    <row r="2729" spans="19:19" ht="26.25">
      <c r="S2729" s="61" ph="1"/>
    </row>
    <row r="2730" spans="19:19" ht="26.25">
      <c r="S2730" s="61" ph="1"/>
    </row>
    <row r="2731" spans="19:19" ht="26.25">
      <c r="S2731" s="61" ph="1"/>
    </row>
    <row r="2732" spans="19:19" ht="26.25">
      <c r="S2732" s="61" ph="1"/>
    </row>
    <row r="2733" spans="19:19" ht="26.25">
      <c r="S2733" s="61" ph="1"/>
    </row>
    <row r="2734" spans="19:19" ht="26.25">
      <c r="S2734" s="61" ph="1"/>
    </row>
    <row r="2735" spans="19:19" ht="26.25">
      <c r="S2735" s="61" ph="1"/>
    </row>
    <row r="2736" spans="19:19" ht="26.25">
      <c r="S2736" s="61" ph="1"/>
    </row>
    <row r="2737" spans="19:19" ht="26.25">
      <c r="S2737" s="61" ph="1"/>
    </row>
    <row r="2738" spans="19:19" ht="26.25">
      <c r="S2738" s="61" ph="1"/>
    </row>
    <row r="2739" spans="19:19" ht="26.25">
      <c r="S2739" s="61" ph="1"/>
    </row>
    <row r="2740" spans="19:19" ht="26.25">
      <c r="S2740" s="61" ph="1"/>
    </row>
    <row r="2741" spans="19:19" ht="26.25">
      <c r="S2741" s="61" ph="1"/>
    </row>
    <row r="2742" spans="19:19" ht="26.25">
      <c r="S2742" s="61" ph="1"/>
    </row>
    <row r="2743" spans="19:19" ht="26.25">
      <c r="S2743" s="61" ph="1"/>
    </row>
    <row r="2744" spans="19:19" ht="26.25">
      <c r="S2744" s="61" ph="1"/>
    </row>
    <row r="2745" spans="19:19" ht="26.25">
      <c r="S2745" s="61" ph="1"/>
    </row>
    <row r="2746" spans="19:19" ht="26.25">
      <c r="S2746" s="61" ph="1"/>
    </row>
    <row r="2747" spans="19:19" ht="26.25">
      <c r="S2747" s="61" ph="1"/>
    </row>
    <row r="2748" spans="19:19" ht="26.25">
      <c r="S2748" s="61" ph="1"/>
    </row>
    <row r="2749" spans="19:19" ht="26.25">
      <c r="S2749" s="61" ph="1"/>
    </row>
    <row r="2750" spans="19:19" ht="26.25">
      <c r="S2750" s="61" ph="1"/>
    </row>
    <row r="2751" spans="19:19" ht="26.25">
      <c r="S2751" s="61" ph="1"/>
    </row>
    <row r="2752" spans="19:19" ht="26.25">
      <c r="S2752" s="61" ph="1"/>
    </row>
    <row r="2753" spans="19:19" ht="26.25">
      <c r="S2753" s="61" ph="1"/>
    </row>
    <row r="2754" spans="19:19" ht="26.25">
      <c r="S2754" s="61" ph="1"/>
    </row>
    <row r="2755" spans="19:19" ht="26.25">
      <c r="S2755" s="61" ph="1"/>
    </row>
    <row r="2756" spans="19:19" ht="26.25">
      <c r="S2756" s="61" ph="1"/>
    </row>
    <row r="2757" spans="19:19" ht="26.25">
      <c r="S2757" s="61" ph="1"/>
    </row>
    <row r="2758" spans="19:19" ht="26.25">
      <c r="S2758" s="61" ph="1"/>
    </row>
    <row r="2759" spans="19:19" ht="26.25">
      <c r="S2759" s="61" ph="1"/>
    </row>
    <row r="2760" spans="19:19" ht="26.25">
      <c r="S2760" s="61" ph="1"/>
    </row>
    <row r="2761" spans="19:19" ht="26.25">
      <c r="S2761" s="61" ph="1"/>
    </row>
    <row r="2762" spans="19:19" ht="26.25">
      <c r="S2762" s="61" ph="1"/>
    </row>
    <row r="2763" spans="19:19" ht="26.25">
      <c r="S2763" s="61" ph="1"/>
    </row>
    <row r="2764" spans="19:19" ht="26.25">
      <c r="S2764" s="61" ph="1"/>
    </row>
    <row r="2765" spans="19:19" ht="26.25">
      <c r="S2765" s="61" ph="1"/>
    </row>
    <row r="2766" spans="19:19" ht="26.25">
      <c r="S2766" s="61" ph="1"/>
    </row>
    <row r="2767" spans="19:19" ht="26.25">
      <c r="S2767" s="61" ph="1"/>
    </row>
    <row r="2768" spans="19:19" ht="26.25">
      <c r="S2768" s="61" ph="1"/>
    </row>
    <row r="2769" spans="19:19" ht="26.25">
      <c r="S2769" s="61" ph="1"/>
    </row>
    <row r="2770" spans="19:19" ht="26.25">
      <c r="S2770" s="61" ph="1"/>
    </row>
    <row r="2771" spans="19:19" ht="26.25">
      <c r="S2771" s="61" ph="1"/>
    </row>
    <row r="2772" spans="19:19" ht="26.25">
      <c r="S2772" s="61" ph="1"/>
    </row>
    <row r="2773" spans="19:19" ht="26.25">
      <c r="S2773" s="61" ph="1"/>
    </row>
    <row r="2774" spans="19:19" ht="26.25">
      <c r="S2774" s="61" ph="1"/>
    </row>
    <row r="2775" spans="19:19" ht="26.25">
      <c r="S2775" s="61" ph="1"/>
    </row>
    <row r="2776" spans="19:19" ht="26.25">
      <c r="S2776" s="61" ph="1"/>
    </row>
    <row r="2777" spans="19:19" ht="26.25">
      <c r="S2777" s="61" ph="1"/>
    </row>
    <row r="2778" spans="19:19" ht="26.25">
      <c r="S2778" s="61" ph="1"/>
    </row>
    <row r="2779" spans="19:19" ht="26.25">
      <c r="S2779" s="61" ph="1"/>
    </row>
    <row r="2780" spans="19:19" ht="26.25">
      <c r="S2780" s="61" ph="1"/>
    </row>
    <row r="2781" spans="19:19" ht="26.25">
      <c r="S2781" s="61" ph="1"/>
    </row>
    <row r="2782" spans="19:19" ht="26.25">
      <c r="S2782" s="61" ph="1"/>
    </row>
    <row r="2783" spans="19:19" ht="26.25">
      <c r="S2783" s="61" ph="1"/>
    </row>
    <row r="2784" spans="19:19" ht="26.25">
      <c r="S2784" s="61" ph="1"/>
    </row>
    <row r="2785" spans="19:19" ht="26.25">
      <c r="S2785" s="61" ph="1"/>
    </row>
    <row r="2786" spans="19:19" ht="26.25">
      <c r="S2786" s="61" ph="1"/>
    </row>
    <row r="2787" spans="19:19" ht="26.25">
      <c r="S2787" s="61" ph="1"/>
    </row>
    <row r="2788" spans="19:19" ht="26.25">
      <c r="S2788" s="61" ph="1"/>
    </row>
    <row r="2789" spans="19:19" ht="26.25">
      <c r="S2789" s="61" ph="1"/>
    </row>
    <row r="2790" spans="19:19" ht="26.25">
      <c r="S2790" s="61" ph="1"/>
    </row>
    <row r="2791" spans="19:19" ht="26.25">
      <c r="S2791" s="61" ph="1"/>
    </row>
    <row r="2792" spans="19:19" ht="26.25">
      <c r="S2792" s="61" ph="1"/>
    </row>
    <row r="2793" spans="19:19" ht="26.25">
      <c r="S2793" s="61" ph="1"/>
    </row>
    <row r="2794" spans="19:19" ht="26.25">
      <c r="S2794" s="61" ph="1"/>
    </row>
    <row r="2795" spans="19:19" ht="26.25">
      <c r="S2795" s="61" ph="1"/>
    </row>
    <row r="2796" spans="19:19" ht="26.25">
      <c r="S2796" s="61" ph="1"/>
    </row>
    <row r="2797" spans="19:19" ht="26.25">
      <c r="S2797" s="61" ph="1"/>
    </row>
    <row r="2798" spans="19:19" ht="26.25">
      <c r="S2798" s="61" ph="1"/>
    </row>
    <row r="2799" spans="19:19" ht="26.25">
      <c r="S2799" s="61" ph="1"/>
    </row>
    <row r="2800" spans="19:19" ht="26.25">
      <c r="S2800" s="61" ph="1"/>
    </row>
    <row r="2801" spans="19:19" ht="26.25">
      <c r="S2801" s="61" ph="1"/>
    </row>
    <row r="2802" spans="19:19" ht="26.25">
      <c r="S2802" s="61" ph="1"/>
    </row>
    <row r="2803" spans="19:19" ht="26.25">
      <c r="S2803" s="61" ph="1"/>
    </row>
    <row r="2804" spans="19:19" ht="26.25">
      <c r="S2804" s="61" ph="1"/>
    </row>
    <row r="2805" spans="19:19" ht="26.25">
      <c r="S2805" s="61" ph="1"/>
    </row>
    <row r="2806" spans="19:19" ht="26.25">
      <c r="S2806" s="61" ph="1"/>
    </row>
    <row r="2807" spans="19:19" ht="26.25">
      <c r="S2807" s="61" ph="1"/>
    </row>
    <row r="2808" spans="19:19" ht="26.25">
      <c r="S2808" s="61" ph="1"/>
    </row>
    <row r="2809" spans="19:19" ht="26.25">
      <c r="S2809" s="61" ph="1"/>
    </row>
    <row r="2810" spans="19:19" ht="26.25">
      <c r="S2810" s="61" ph="1"/>
    </row>
    <row r="2811" spans="19:19" ht="26.25">
      <c r="S2811" s="61" ph="1"/>
    </row>
    <row r="2812" spans="19:19" ht="26.25">
      <c r="S2812" s="61" ph="1"/>
    </row>
    <row r="2813" spans="19:19" ht="26.25">
      <c r="S2813" s="61" ph="1"/>
    </row>
    <row r="2814" spans="19:19" ht="26.25">
      <c r="S2814" s="61" ph="1"/>
    </row>
    <row r="2815" spans="19:19" ht="26.25">
      <c r="S2815" s="61" ph="1"/>
    </row>
    <row r="2816" spans="19:19" ht="26.25">
      <c r="S2816" s="61" ph="1"/>
    </row>
    <row r="2817" spans="19:19" ht="26.25">
      <c r="S2817" s="61" ph="1"/>
    </row>
    <row r="2818" spans="19:19" ht="26.25">
      <c r="S2818" s="61" ph="1"/>
    </row>
    <row r="2819" spans="19:19" ht="26.25">
      <c r="S2819" s="61" ph="1"/>
    </row>
    <row r="2820" spans="19:19" ht="26.25">
      <c r="S2820" s="61" ph="1"/>
    </row>
    <row r="2821" spans="19:19" ht="26.25">
      <c r="S2821" s="61" ph="1"/>
    </row>
    <row r="2822" spans="19:19" ht="26.25">
      <c r="S2822" s="61" ph="1"/>
    </row>
    <row r="2823" spans="19:19" ht="26.25">
      <c r="S2823" s="61" ph="1"/>
    </row>
    <row r="2824" spans="19:19" ht="26.25">
      <c r="S2824" s="61" ph="1"/>
    </row>
    <row r="2825" spans="19:19" ht="26.25">
      <c r="S2825" s="61" ph="1"/>
    </row>
    <row r="2826" spans="19:19" ht="26.25">
      <c r="S2826" s="61" ph="1"/>
    </row>
    <row r="2827" spans="19:19" ht="26.25">
      <c r="S2827" s="61" ph="1"/>
    </row>
    <row r="2828" spans="19:19" ht="26.25">
      <c r="S2828" s="61" ph="1"/>
    </row>
    <row r="2829" spans="19:19" ht="26.25">
      <c r="S2829" s="61" ph="1"/>
    </row>
    <row r="2830" spans="19:19" ht="26.25">
      <c r="S2830" s="61" ph="1"/>
    </row>
    <row r="2831" spans="19:19" ht="26.25">
      <c r="S2831" s="61" ph="1"/>
    </row>
    <row r="2832" spans="19:19" ht="26.25">
      <c r="S2832" s="61" ph="1"/>
    </row>
    <row r="2833" spans="19:19" ht="26.25">
      <c r="S2833" s="61" ph="1"/>
    </row>
    <row r="2834" spans="19:19" ht="26.25">
      <c r="S2834" s="61" ph="1"/>
    </row>
    <row r="2835" spans="19:19" ht="26.25">
      <c r="S2835" s="61" ph="1"/>
    </row>
    <row r="2836" spans="19:19" ht="26.25">
      <c r="S2836" s="61" ph="1"/>
    </row>
    <row r="2837" spans="19:19" ht="26.25">
      <c r="S2837" s="61" ph="1"/>
    </row>
    <row r="2838" spans="19:19" ht="26.25">
      <c r="S2838" s="61" ph="1"/>
    </row>
    <row r="2839" spans="19:19" ht="26.25">
      <c r="S2839" s="61" ph="1"/>
    </row>
    <row r="2840" spans="19:19" ht="26.25">
      <c r="S2840" s="61" ph="1"/>
    </row>
    <row r="2841" spans="19:19" ht="26.25">
      <c r="S2841" s="61" ph="1"/>
    </row>
    <row r="2842" spans="19:19" ht="26.25">
      <c r="S2842" s="61" ph="1"/>
    </row>
    <row r="2843" spans="19:19" ht="26.25">
      <c r="S2843" s="61" ph="1"/>
    </row>
    <row r="2844" spans="19:19" ht="26.25">
      <c r="S2844" s="61" ph="1"/>
    </row>
    <row r="2845" spans="19:19" ht="26.25">
      <c r="S2845" s="61" ph="1"/>
    </row>
    <row r="2846" spans="19:19" ht="26.25">
      <c r="S2846" s="61" ph="1"/>
    </row>
    <row r="2847" spans="19:19" ht="26.25">
      <c r="S2847" s="61" ph="1"/>
    </row>
    <row r="2848" spans="19:19" ht="26.25">
      <c r="S2848" s="61" ph="1"/>
    </row>
    <row r="2849" spans="19:19" ht="26.25">
      <c r="S2849" s="61" ph="1"/>
    </row>
    <row r="2850" spans="19:19" ht="26.25">
      <c r="S2850" s="61" ph="1"/>
    </row>
    <row r="2851" spans="19:19" ht="26.25">
      <c r="S2851" s="61" ph="1"/>
    </row>
    <row r="2852" spans="19:19" ht="26.25">
      <c r="S2852" s="61" ph="1"/>
    </row>
    <row r="2853" spans="19:19" ht="26.25">
      <c r="S2853" s="61" ph="1"/>
    </row>
    <row r="2854" spans="19:19" ht="26.25">
      <c r="S2854" s="61" ph="1"/>
    </row>
    <row r="2855" spans="19:19" ht="26.25">
      <c r="S2855" s="61" ph="1"/>
    </row>
    <row r="2856" spans="19:19" ht="26.25">
      <c r="S2856" s="61" ph="1"/>
    </row>
    <row r="2857" spans="19:19" ht="26.25">
      <c r="S2857" s="61" ph="1"/>
    </row>
    <row r="2858" spans="19:19" ht="26.25">
      <c r="S2858" s="61" ph="1"/>
    </row>
    <row r="2859" spans="19:19" ht="26.25">
      <c r="S2859" s="61" ph="1"/>
    </row>
    <row r="2860" spans="19:19" ht="26.25">
      <c r="S2860" s="61" ph="1"/>
    </row>
    <row r="2861" spans="19:19" ht="26.25">
      <c r="S2861" s="61" ph="1"/>
    </row>
    <row r="2862" spans="19:19" ht="26.25">
      <c r="S2862" s="61" ph="1"/>
    </row>
    <row r="2863" spans="19:19" ht="26.25">
      <c r="S2863" s="61" ph="1"/>
    </row>
    <row r="2864" spans="19:19" ht="26.25">
      <c r="S2864" s="61" ph="1"/>
    </row>
    <row r="2865" spans="19:19" ht="26.25">
      <c r="S2865" s="61" ph="1"/>
    </row>
    <row r="2866" spans="19:19" ht="26.25">
      <c r="S2866" s="61" ph="1"/>
    </row>
    <row r="2867" spans="19:19" ht="26.25">
      <c r="S2867" s="61" ph="1"/>
    </row>
    <row r="2868" spans="19:19" ht="26.25">
      <c r="S2868" s="61" ph="1"/>
    </row>
    <row r="2869" spans="19:19" ht="26.25">
      <c r="S2869" s="61" ph="1"/>
    </row>
    <row r="2870" spans="19:19" ht="26.25">
      <c r="S2870" s="61" ph="1"/>
    </row>
    <row r="2871" spans="19:19" ht="26.25">
      <c r="S2871" s="61" ph="1"/>
    </row>
    <row r="2872" spans="19:19" ht="26.25">
      <c r="S2872" s="61" ph="1"/>
    </row>
    <row r="2873" spans="19:19" ht="26.25">
      <c r="S2873" s="61" ph="1"/>
    </row>
    <row r="2874" spans="19:19" ht="26.25">
      <c r="S2874" s="61" ph="1"/>
    </row>
    <row r="2875" spans="19:19" ht="26.25">
      <c r="S2875" s="61" ph="1"/>
    </row>
    <row r="2876" spans="19:19" ht="26.25">
      <c r="S2876" s="61" ph="1"/>
    </row>
    <row r="2877" spans="19:19" ht="26.25">
      <c r="S2877" s="61" ph="1"/>
    </row>
    <row r="2878" spans="19:19" ht="26.25">
      <c r="S2878" s="61" ph="1"/>
    </row>
    <row r="2879" spans="19:19" ht="26.25">
      <c r="S2879" s="61" ph="1"/>
    </row>
    <row r="2880" spans="19:19" ht="26.25">
      <c r="S2880" s="61" ph="1"/>
    </row>
    <row r="2881" spans="19:19" ht="26.25">
      <c r="S2881" s="61" ph="1"/>
    </row>
    <row r="2882" spans="19:19" ht="26.25">
      <c r="S2882" s="61" ph="1"/>
    </row>
    <row r="2883" spans="19:19" ht="26.25">
      <c r="S2883" s="61" ph="1"/>
    </row>
    <row r="2884" spans="19:19" ht="26.25">
      <c r="S2884" s="61" ph="1"/>
    </row>
    <row r="2885" spans="19:19" ht="26.25">
      <c r="S2885" s="61" ph="1"/>
    </row>
    <row r="2886" spans="19:19" ht="26.25">
      <c r="S2886" s="61" ph="1"/>
    </row>
    <row r="2887" spans="19:19" ht="26.25">
      <c r="S2887" s="61" ph="1"/>
    </row>
    <row r="2888" spans="19:19" ht="26.25">
      <c r="S2888" s="61" ph="1"/>
    </row>
    <row r="2889" spans="19:19" ht="26.25">
      <c r="S2889" s="61" ph="1"/>
    </row>
    <row r="2890" spans="19:19" ht="26.25">
      <c r="S2890" s="61" ph="1"/>
    </row>
    <row r="2891" spans="19:19" ht="26.25">
      <c r="S2891" s="61" ph="1"/>
    </row>
    <row r="2892" spans="19:19" ht="26.25">
      <c r="S2892" s="61" ph="1"/>
    </row>
    <row r="2893" spans="19:19" ht="26.25">
      <c r="S2893" s="61" ph="1"/>
    </row>
    <row r="2894" spans="19:19" ht="26.25">
      <c r="S2894" s="61" ph="1"/>
    </row>
    <row r="2895" spans="19:19" ht="26.25">
      <c r="S2895" s="61" ph="1"/>
    </row>
    <row r="2896" spans="19:19" ht="26.25">
      <c r="S2896" s="61" ph="1"/>
    </row>
    <row r="2897" spans="19:19" ht="26.25">
      <c r="S2897" s="61" ph="1"/>
    </row>
    <row r="2898" spans="19:19" ht="26.25">
      <c r="S2898" s="61" ph="1"/>
    </row>
    <row r="2899" spans="19:19" ht="26.25">
      <c r="S2899" s="61" ph="1"/>
    </row>
    <row r="2900" spans="19:19" ht="26.25">
      <c r="S2900" s="61" ph="1"/>
    </row>
    <row r="2901" spans="19:19" ht="26.25">
      <c r="S2901" s="61" ph="1"/>
    </row>
    <row r="2902" spans="19:19" ht="26.25">
      <c r="S2902" s="61" ph="1"/>
    </row>
    <row r="2903" spans="19:19" ht="26.25">
      <c r="S2903" s="61" ph="1"/>
    </row>
    <row r="2904" spans="19:19" ht="26.25">
      <c r="S2904" s="61" ph="1"/>
    </row>
    <row r="2905" spans="19:19" ht="26.25">
      <c r="S2905" s="61" ph="1"/>
    </row>
    <row r="2906" spans="19:19" ht="26.25">
      <c r="S2906" s="61" ph="1"/>
    </row>
    <row r="2907" spans="19:19" ht="26.25">
      <c r="S2907" s="61" ph="1"/>
    </row>
    <row r="2908" spans="19:19" ht="26.25">
      <c r="S2908" s="61" ph="1"/>
    </row>
    <row r="2909" spans="19:19" ht="26.25">
      <c r="S2909" s="61" ph="1"/>
    </row>
    <row r="2910" spans="19:19" ht="26.25">
      <c r="S2910" s="61" ph="1"/>
    </row>
    <row r="2911" spans="19:19" ht="26.25">
      <c r="S2911" s="61" ph="1"/>
    </row>
    <row r="2912" spans="19:19" ht="26.25">
      <c r="S2912" s="61" ph="1"/>
    </row>
    <row r="2913" spans="19:19" ht="26.25">
      <c r="S2913" s="61" ph="1"/>
    </row>
    <row r="2914" spans="19:19" ht="26.25">
      <c r="S2914" s="61" ph="1"/>
    </row>
    <row r="2915" spans="19:19" ht="26.25">
      <c r="S2915" s="61" ph="1"/>
    </row>
    <row r="2916" spans="19:19" ht="26.25">
      <c r="S2916" s="61" ph="1"/>
    </row>
    <row r="2917" spans="19:19" ht="26.25">
      <c r="S2917" s="61" ph="1"/>
    </row>
    <row r="2918" spans="19:19" ht="26.25">
      <c r="S2918" s="61" ph="1"/>
    </row>
    <row r="2919" spans="19:19" ht="26.25">
      <c r="S2919" s="61" ph="1"/>
    </row>
    <row r="2920" spans="19:19" ht="26.25">
      <c r="S2920" s="61" ph="1"/>
    </row>
    <row r="2921" spans="19:19" ht="26.25">
      <c r="S2921" s="61" ph="1"/>
    </row>
    <row r="2922" spans="19:19" ht="26.25">
      <c r="S2922" s="61" ph="1"/>
    </row>
    <row r="2923" spans="19:19" ht="26.25">
      <c r="S2923" s="61" ph="1"/>
    </row>
    <row r="2924" spans="19:19" ht="26.25">
      <c r="S2924" s="61" ph="1"/>
    </row>
    <row r="2925" spans="19:19" ht="26.25">
      <c r="S2925" s="61" ph="1"/>
    </row>
    <row r="2926" spans="19:19" ht="26.25">
      <c r="S2926" s="61" ph="1"/>
    </row>
    <row r="2927" spans="19:19" ht="26.25">
      <c r="S2927" s="61" ph="1"/>
    </row>
    <row r="2928" spans="19:19" ht="26.25">
      <c r="S2928" s="61" ph="1"/>
    </row>
    <row r="2929" spans="19:19" ht="26.25">
      <c r="S2929" s="61" ph="1"/>
    </row>
    <row r="2930" spans="19:19" ht="26.25">
      <c r="S2930" s="61" ph="1"/>
    </row>
    <row r="2931" spans="19:19" ht="26.25">
      <c r="S2931" s="61" ph="1"/>
    </row>
    <row r="2932" spans="19:19" ht="26.25">
      <c r="S2932" s="61" ph="1"/>
    </row>
    <row r="2933" spans="19:19" ht="26.25">
      <c r="S2933" s="61" ph="1"/>
    </row>
    <row r="2934" spans="19:19" ht="26.25">
      <c r="S2934" s="61" ph="1"/>
    </row>
    <row r="2935" spans="19:19" ht="26.25">
      <c r="S2935" s="61" ph="1"/>
    </row>
    <row r="2936" spans="19:19" ht="26.25">
      <c r="S2936" s="61" ph="1"/>
    </row>
    <row r="2937" spans="19:19" ht="26.25">
      <c r="S2937" s="61" ph="1"/>
    </row>
    <row r="2938" spans="19:19" ht="26.25">
      <c r="S2938" s="61" ph="1"/>
    </row>
    <row r="2939" spans="19:19" ht="26.25">
      <c r="S2939" s="61" ph="1"/>
    </row>
    <row r="2940" spans="19:19" ht="26.25">
      <c r="S2940" s="61" ph="1"/>
    </row>
    <row r="2941" spans="19:19" ht="26.25">
      <c r="S2941" s="61" ph="1"/>
    </row>
    <row r="2942" spans="19:19" ht="26.25">
      <c r="S2942" s="61" ph="1"/>
    </row>
    <row r="2943" spans="19:19" ht="26.25">
      <c r="S2943" s="61" ph="1"/>
    </row>
    <row r="2944" spans="19:19" ht="26.25">
      <c r="S2944" s="61" ph="1"/>
    </row>
    <row r="2945" spans="19:19" ht="26.25">
      <c r="S2945" s="61" ph="1"/>
    </row>
    <row r="2946" spans="19:19" ht="26.25">
      <c r="S2946" s="61" ph="1"/>
    </row>
    <row r="2947" spans="19:19" ht="26.25">
      <c r="S2947" s="61" ph="1"/>
    </row>
    <row r="2948" spans="19:19" ht="26.25">
      <c r="S2948" s="61" ph="1"/>
    </row>
    <row r="2949" spans="19:19" ht="26.25">
      <c r="S2949" s="61" ph="1"/>
    </row>
    <row r="2950" spans="19:19" ht="26.25">
      <c r="S2950" s="61" ph="1"/>
    </row>
    <row r="2951" spans="19:19" ht="26.25">
      <c r="S2951" s="61" ph="1"/>
    </row>
    <row r="2952" spans="19:19" ht="26.25">
      <c r="S2952" s="61" ph="1"/>
    </row>
    <row r="2953" spans="19:19" ht="26.25">
      <c r="S2953" s="61" ph="1"/>
    </row>
    <row r="2954" spans="19:19" ht="26.25">
      <c r="S2954" s="61" ph="1"/>
    </row>
    <row r="2955" spans="19:19" ht="26.25">
      <c r="S2955" s="61" ph="1"/>
    </row>
    <row r="2956" spans="19:19" ht="26.25">
      <c r="S2956" s="61" ph="1"/>
    </row>
    <row r="2957" spans="19:19" ht="26.25">
      <c r="S2957" s="61" ph="1"/>
    </row>
    <row r="2958" spans="19:19" ht="26.25">
      <c r="S2958" s="61" ph="1"/>
    </row>
    <row r="2959" spans="19:19" ht="26.25">
      <c r="S2959" s="61" ph="1"/>
    </row>
    <row r="2960" spans="19:19" ht="26.25">
      <c r="S2960" s="61" ph="1"/>
    </row>
    <row r="2961" spans="19:19" ht="26.25">
      <c r="S2961" s="61" ph="1"/>
    </row>
    <row r="2962" spans="19:19" ht="26.25">
      <c r="S2962" s="61" ph="1"/>
    </row>
    <row r="2963" spans="19:19" ht="26.25">
      <c r="S2963" s="61" ph="1"/>
    </row>
    <row r="2964" spans="19:19" ht="26.25">
      <c r="S2964" s="61" ph="1"/>
    </row>
    <row r="2965" spans="19:19" ht="26.25">
      <c r="S2965" s="61" ph="1"/>
    </row>
    <row r="2966" spans="19:19" ht="26.25">
      <c r="S2966" s="61" ph="1"/>
    </row>
    <row r="2967" spans="19:19" ht="26.25">
      <c r="S2967" s="61" ph="1"/>
    </row>
    <row r="2968" spans="19:19" ht="26.25">
      <c r="S2968" s="61" ph="1"/>
    </row>
    <row r="2969" spans="19:19" ht="26.25">
      <c r="S2969" s="61" ph="1"/>
    </row>
    <row r="2970" spans="19:19" ht="26.25">
      <c r="S2970" s="61" ph="1"/>
    </row>
    <row r="2971" spans="19:19" ht="26.25">
      <c r="S2971" s="61" ph="1"/>
    </row>
    <row r="2972" spans="19:19" ht="26.25">
      <c r="S2972" s="61" ph="1"/>
    </row>
    <row r="2973" spans="19:19" ht="26.25">
      <c r="S2973" s="61" ph="1"/>
    </row>
    <row r="2974" spans="19:19" ht="26.25">
      <c r="S2974" s="61" ph="1"/>
    </row>
    <row r="2975" spans="19:19" ht="26.25">
      <c r="S2975" s="61" ph="1"/>
    </row>
    <row r="2976" spans="19:19" ht="26.25">
      <c r="S2976" s="61" ph="1"/>
    </row>
    <row r="2977" spans="19:19" ht="26.25">
      <c r="S2977" s="61" ph="1"/>
    </row>
    <row r="2978" spans="19:19" ht="26.25">
      <c r="S2978" s="61" ph="1"/>
    </row>
    <row r="2979" spans="19:19" ht="26.25">
      <c r="S2979" s="61" ph="1"/>
    </row>
    <row r="2980" spans="19:19" ht="26.25">
      <c r="S2980" s="61" ph="1"/>
    </row>
    <row r="2981" spans="19:19" ht="26.25">
      <c r="S2981" s="61" ph="1"/>
    </row>
    <row r="2982" spans="19:19" ht="26.25">
      <c r="S2982" s="61" ph="1"/>
    </row>
    <row r="2983" spans="19:19" ht="26.25">
      <c r="S2983" s="61" ph="1"/>
    </row>
    <row r="2984" spans="19:19" ht="26.25">
      <c r="S2984" s="61" ph="1"/>
    </row>
    <row r="2985" spans="19:19" ht="26.25">
      <c r="S2985" s="61" ph="1"/>
    </row>
    <row r="2986" spans="19:19" ht="26.25">
      <c r="S2986" s="61" ph="1"/>
    </row>
    <row r="2987" spans="19:19" ht="26.25">
      <c r="S2987" s="61" ph="1"/>
    </row>
    <row r="2988" spans="19:19" ht="26.25">
      <c r="S2988" s="61" ph="1"/>
    </row>
    <row r="2989" spans="19:19" ht="26.25">
      <c r="S2989" s="61" ph="1"/>
    </row>
    <row r="2990" spans="19:19" ht="26.25">
      <c r="S2990" s="61" ph="1"/>
    </row>
    <row r="2991" spans="19:19" ht="26.25">
      <c r="S2991" s="61" ph="1"/>
    </row>
    <row r="2992" spans="19:19" ht="26.25">
      <c r="S2992" s="61" ph="1"/>
    </row>
    <row r="2993" spans="19:19" ht="26.25">
      <c r="S2993" s="61" ph="1"/>
    </row>
    <row r="2994" spans="19:19" ht="26.25">
      <c r="S2994" s="61" ph="1"/>
    </row>
    <row r="2995" spans="19:19" ht="26.25">
      <c r="S2995" s="61" ph="1"/>
    </row>
    <row r="2996" spans="19:19" ht="26.25">
      <c r="S2996" s="61" ph="1"/>
    </row>
    <row r="2997" spans="19:19" ht="26.25">
      <c r="S2997" s="61" ph="1"/>
    </row>
    <row r="2998" spans="19:19" ht="26.25">
      <c r="S2998" s="61" ph="1"/>
    </row>
    <row r="2999" spans="19:19" ht="26.25">
      <c r="S2999" s="61" ph="1"/>
    </row>
    <row r="3000" spans="19:19" ht="26.25">
      <c r="S3000" s="61" ph="1"/>
    </row>
    <row r="3001" spans="19:19" ht="26.25">
      <c r="S3001" s="61" ph="1"/>
    </row>
    <row r="3002" spans="19:19" ht="26.25">
      <c r="S3002" s="61" ph="1"/>
    </row>
    <row r="3003" spans="19:19" ht="26.25">
      <c r="S3003" s="61" ph="1"/>
    </row>
    <row r="3004" spans="19:19" ht="26.25">
      <c r="S3004" s="61" ph="1"/>
    </row>
    <row r="3005" spans="19:19" ht="26.25">
      <c r="S3005" s="61" ph="1"/>
    </row>
    <row r="3006" spans="19:19" ht="26.25">
      <c r="S3006" s="61" ph="1"/>
    </row>
    <row r="3007" spans="19:19" ht="26.25">
      <c r="S3007" s="61" ph="1"/>
    </row>
    <row r="3008" spans="19:19" ht="26.25">
      <c r="S3008" s="61" ph="1"/>
    </row>
    <row r="3009" spans="19:19" ht="26.25">
      <c r="S3009" s="61" ph="1"/>
    </row>
    <row r="3010" spans="19:19" ht="26.25">
      <c r="S3010" s="61" ph="1"/>
    </row>
    <row r="3011" spans="19:19" ht="26.25">
      <c r="S3011" s="61" ph="1"/>
    </row>
    <row r="3012" spans="19:19" ht="26.25">
      <c r="S3012" s="61" ph="1"/>
    </row>
    <row r="3013" spans="19:19" ht="26.25">
      <c r="S3013" s="61" ph="1"/>
    </row>
    <row r="3014" spans="19:19" ht="26.25">
      <c r="S3014" s="61" ph="1"/>
    </row>
    <row r="3015" spans="19:19" ht="26.25">
      <c r="S3015" s="61" ph="1"/>
    </row>
    <row r="3016" spans="19:19" ht="26.25">
      <c r="S3016" s="61" ph="1"/>
    </row>
    <row r="3017" spans="19:19" ht="26.25">
      <c r="S3017" s="61" ph="1"/>
    </row>
    <row r="3018" spans="19:19" ht="26.25">
      <c r="S3018" s="61" ph="1"/>
    </row>
    <row r="3019" spans="19:19" ht="26.25">
      <c r="S3019" s="61" ph="1"/>
    </row>
    <row r="3020" spans="19:19" ht="26.25">
      <c r="S3020" s="61" ph="1"/>
    </row>
    <row r="3021" spans="19:19" ht="26.25">
      <c r="S3021" s="61" ph="1"/>
    </row>
    <row r="3022" spans="19:19" ht="26.25">
      <c r="S3022" s="61" ph="1"/>
    </row>
    <row r="3023" spans="19:19" ht="26.25">
      <c r="S3023" s="61" ph="1"/>
    </row>
    <row r="3024" spans="19:19" ht="26.25">
      <c r="S3024" s="61" ph="1"/>
    </row>
    <row r="3025" spans="19:19" ht="26.25">
      <c r="S3025" s="61" ph="1"/>
    </row>
    <row r="3026" spans="19:19" ht="26.25">
      <c r="S3026" s="61" ph="1"/>
    </row>
    <row r="3027" spans="19:19" ht="26.25">
      <c r="S3027" s="61" ph="1"/>
    </row>
    <row r="3028" spans="19:19" ht="26.25">
      <c r="S3028" s="61" ph="1"/>
    </row>
    <row r="3029" spans="19:19" ht="26.25">
      <c r="S3029" s="61" ph="1"/>
    </row>
    <row r="3030" spans="19:19" ht="26.25">
      <c r="S3030" s="61" ph="1"/>
    </row>
    <row r="3031" spans="19:19" ht="26.25">
      <c r="S3031" s="61" ph="1"/>
    </row>
    <row r="3032" spans="19:19" ht="26.25">
      <c r="S3032" s="61" ph="1"/>
    </row>
    <row r="3033" spans="19:19" ht="26.25">
      <c r="S3033" s="61" ph="1"/>
    </row>
    <row r="3034" spans="19:19" ht="26.25">
      <c r="S3034" s="61" ph="1"/>
    </row>
    <row r="3035" spans="19:19" ht="26.25">
      <c r="S3035" s="61" ph="1"/>
    </row>
    <row r="3036" spans="19:19" ht="26.25">
      <c r="S3036" s="61" ph="1"/>
    </row>
    <row r="3037" spans="19:19" ht="26.25">
      <c r="S3037" s="61" ph="1"/>
    </row>
    <row r="3038" spans="19:19" ht="26.25">
      <c r="S3038" s="61" ph="1"/>
    </row>
    <row r="3039" spans="19:19" ht="26.25">
      <c r="S3039" s="61" ph="1"/>
    </row>
    <row r="3040" spans="19:19" ht="26.25">
      <c r="S3040" s="61" ph="1"/>
    </row>
    <row r="3041" spans="19:19" ht="26.25">
      <c r="S3041" s="61" ph="1"/>
    </row>
    <row r="3042" spans="19:19" ht="26.25">
      <c r="S3042" s="61" ph="1"/>
    </row>
    <row r="3043" spans="19:19" ht="26.25">
      <c r="S3043" s="61" ph="1"/>
    </row>
    <row r="3044" spans="19:19" ht="26.25">
      <c r="S3044" s="61" ph="1"/>
    </row>
    <row r="3045" spans="19:19" ht="26.25">
      <c r="S3045" s="61" ph="1"/>
    </row>
    <row r="3046" spans="19:19" ht="26.25">
      <c r="S3046" s="61" ph="1"/>
    </row>
    <row r="3047" spans="19:19" ht="26.25">
      <c r="S3047" s="61" ph="1"/>
    </row>
    <row r="3048" spans="19:19" ht="26.25">
      <c r="S3048" s="61" ph="1"/>
    </row>
    <row r="3049" spans="19:19" ht="26.25">
      <c r="S3049" s="61" ph="1"/>
    </row>
    <row r="3050" spans="19:19" ht="26.25">
      <c r="S3050" s="61" ph="1"/>
    </row>
    <row r="3051" spans="19:19" ht="26.25">
      <c r="S3051" s="61" ph="1"/>
    </row>
    <row r="3052" spans="19:19" ht="26.25">
      <c r="S3052" s="61" ph="1"/>
    </row>
    <row r="3053" spans="19:19" ht="26.25">
      <c r="S3053" s="61" ph="1"/>
    </row>
    <row r="3054" spans="19:19" ht="26.25">
      <c r="S3054" s="61" ph="1"/>
    </row>
    <row r="3055" spans="19:19" ht="26.25">
      <c r="S3055" s="61" ph="1"/>
    </row>
    <row r="3056" spans="19:19" ht="26.25">
      <c r="S3056" s="61" ph="1"/>
    </row>
    <row r="3057" spans="19:19" ht="26.25">
      <c r="S3057" s="61" ph="1"/>
    </row>
    <row r="3058" spans="19:19" ht="26.25">
      <c r="S3058" s="61" ph="1"/>
    </row>
    <row r="3059" spans="19:19" ht="26.25">
      <c r="S3059" s="61" ph="1"/>
    </row>
    <row r="3060" spans="19:19" ht="26.25">
      <c r="S3060" s="61" ph="1"/>
    </row>
    <row r="3061" spans="19:19" ht="26.25">
      <c r="S3061" s="61" ph="1"/>
    </row>
    <row r="3062" spans="19:19" ht="26.25">
      <c r="S3062" s="61" ph="1"/>
    </row>
    <row r="3063" spans="19:19" ht="26.25">
      <c r="S3063" s="61" ph="1"/>
    </row>
    <row r="3064" spans="19:19" ht="26.25">
      <c r="S3064" s="61" ph="1"/>
    </row>
    <row r="3065" spans="19:19" ht="26.25">
      <c r="S3065" s="61" ph="1"/>
    </row>
    <row r="3066" spans="19:19" ht="26.25">
      <c r="S3066" s="61" ph="1"/>
    </row>
    <row r="3067" spans="19:19" ht="26.25">
      <c r="S3067" s="61" ph="1"/>
    </row>
    <row r="3068" spans="19:19" ht="26.25">
      <c r="S3068" s="61" ph="1"/>
    </row>
    <row r="3069" spans="19:19" ht="26.25">
      <c r="S3069" s="61" ph="1"/>
    </row>
    <row r="3070" spans="19:19" ht="26.25">
      <c r="S3070" s="61" ph="1"/>
    </row>
    <row r="3071" spans="19:19" ht="26.25">
      <c r="S3071" s="61" ph="1"/>
    </row>
    <row r="3072" spans="19:19" ht="26.25">
      <c r="S3072" s="61" ph="1"/>
    </row>
    <row r="3073" spans="19:19" ht="26.25">
      <c r="S3073" s="61" ph="1"/>
    </row>
    <row r="3074" spans="19:19" ht="26.25">
      <c r="S3074" s="61" ph="1"/>
    </row>
    <row r="3075" spans="19:19" ht="26.25">
      <c r="S3075" s="61" ph="1"/>
    </row>
    <row r="3076" spans="19:19" ht="26.25">
      <c r="S3076" s="61" ph="1"/>
    </row>
    <row r="3077" spans="19:19" ht="26.25">
      <c r="S3077" s="61" ph="1"/>
    </row>
    <row r="3078" spans="19:19" ht="26.25">
      <c r="S3078" s="61" ph="1"/>
    </row>
    <row r="3079" spans="19:19" ht="26.25">
      <c r="S3079" s="61" ph="1"/>
    </row>
    <row r="3080" spans="19:19" ht="26.25">
      <c r="S3080" s="61" ph="1"/>
    </row>
    <row r="3081" spans="19:19" ht="26.25">
      <c r="S3081" s="61" ph="1"/>
    </row>
    <row r="3082" spans="19:19" ht="26.25">
      <c r="S3082" s="61" ph="1"/>
    </row>
    <row r="3083" spans="19:19" ht="26.25">
      <c r="S3083" s="61" ph="1"/>
    </row>
    <row r="3084" spans="19:19" ht="26.25">
      <c r="S3084" s="61" ph="1"/>
    </row>
    <row r="3085" spans="19:19" ht="26.25">
      <c r="S3085" s="61" ph="1"/>
    </row>
    <row r="3086" spans="19:19" ht="26.25">
      <c r="S3086" s="61" ph="1"/>
    </row>
    <row r="3087" spans="19:19" ht="26.25">
      <c r="S3087" s="61" ph="1"/>
    </row>
    <row r="3088" spans="19:19" ht="26.25">
      <c r="S3088" s="61" ph="1"/>
    </row>
    <row r="3089" spans="19:19" ht="26.25">
      <c r="S3089" s="61" ph="1"/>
    </row>
    <row r="3090" spans="19:19" ht="26.25">
      <c r="S3090" s="61" ph="1"/>
    </row>
    <row r="3091" spans="19:19" ht="26.25">
      <c r="S3091" s="61" ph="1"/>
    </row>
    <row r="3092" spans="19:19" ht="26.25">
      <c r="S3092" s="61" ph="1"/>
    </row>
    <row r="3093" spans="19:19" ht="26.25">
      <c r="S3093" s="61" ph="1"/>
    </row>
    <row r="3094" spans="19:19" ht="26.25">
      <c r="S3094" s="61" ph="1"/>
    </row>
    <row r="3095" spans="19:19" ht="26.25">
      <c r="S3095" s="61" ph="1"/>
    </row>
    <row r="3096" spans="19:19" ht="26.25">
      <c r="S3096" s="61" ph="1"/>
    </row>
    <row r="3097" spans="19:19" ht="26.25">
      <c r="S3097" s="61" ph="1"/>
    </row>
    <row r="3098" spans="19:19" ht="26.25">
      <c r="S3098" s="61" ph="1"/>
    </row>
    <row r="3099" spans="19:19" ht="26.25">
      <c r="S3099" s="61" ph="1"/>
    </row>
    <row r="3100" spans="19:19" ht="26.25">
      <c r="S3100" s="61" ph="1"/>
    </row>
    <row r="3101" spans="19:19" ht="26.25">
      <c r="S3101" s="61" ph="1"/>
    </row>
    <row r="3102" spans="19:19" ht="26.25">
      <c r="S3102" s="61" ph="1"/>
    </row>
    <row r="3103" spans="19:19" ht="26.25">
      <c r="S3103" s="61" ph="1"/>
    </row>
    <row r="3104" spans="19:19" ht="26.25">
      <c r="S3104" s="61" ph="1"/>
    </row>
    <row r="3105" spans="19:19" ht="26.25">
      <c r="S3105" s="61" ph="1"/>
    </row>
    <row r="3106" spans="19:19" ht="26.25">
      <c r="S3106" s="61" ph="1"/>
    </row>
    <row r="3107" spans="19:19" ht="26.25">
      <c r="S3107" s="61" ph="1"/>
    </row>
    <row r="3108" spans="19:19" ht="26.25">
      <c r="S3108" s="61" ph="1"/>
    </row>
    <row r="3109" spans="19:19" ht="26.25">
      <c r="S3109" s="61" ph="1"/>
    </row>
    <row r="3110" spans="19:19" ht="26.25">
      <c r="S3110" s="61" ph="1"/>
    </row>
    <row r="3111" spans="19:19" ht="26.25">
      <c r="S3111" s="61" ph="1"/>
    </row>
    <row r="3112" spans="19:19" ht="26.25">
      <c r="S3112" s="61" ph="1"/>
    </row>
    <row r="3113" spans="19:19" ht="26.25">
      <c r="S3113" s="61" ph="1"/>
    </row>
    <row r="3114" spans="19:19" ht="26.25">
      <c r="S3114" s="61" ph="1"/>
    </row>
    <row r="3115" spans="19:19" ht="26.25">
      <c r="S3115" s="61" ph="1"/>
    </row>
    <row r="3116" spans="19:19" ht="26.25">
      <c r="S3116" s="61" ph="1"/>
    </row>
    <row r="3117" spans="19:19" ht="26.25">
      <c r="S3117" s="61" ph="1"/>
    </row>
    <row r="3118" spans="19:19" ht="26.25">
      <c r="S3118" s="61" ph="1"/>
    </row>
    <row r="3119" spans="19:19" ht="26.25">
      <c r="S3119" s="61" ph="1"/>
    </row>
    <row r="3120" spans="19:19" ht="26.25">
      <c r="S3120" s="61" ph="1"/>
    </row>
    <row r="3121" spans="19:19" ht="26.25">
      <c r="S3121" s="61" ph="1"/>
    </row>
    <row r="3122" spans="19:19" ht="26.25">
      <c r="S3122" s="61" ph="1"/>
    </row>
    <row r="3123" spans="19:19" ht="26.25">
      <c r="S3123" s="61" ph="1"/>
    </row>
    <row r="3124" spans="19:19" ht="26.25">
      <c r="S3124" s="61" ph="1"/>
    </row>
    <row r="3125" spans="19:19" ht="26.25">
      <c r="S3125" s="61" ph="1"/>
    </row>
    <row r="3126" spans="19:19" ht="26.25">
      <c r="S3126" s="61" ph="1"/>
    </row>
    <row r="3127" spans="19:19" ht="26.25">
      <c r="S3127" s="61" ph="1"/>
    </row>
    <row r="3128" spans="19:19" ht="26.25">
      <c r="S3128" s="61" ph="1"/>
    </row>
    <row r="3129" spans="19:19" ht="26.25">
      <c r="S3129" s="61" ph="1"/>
    </row>
    <row r="3130" spans="19:19" ht="26.25">
      <c r="S3130" s="61" ph="1"/>
    </row>
    <row r="3131" spans="19:19" ht="26.25">
      <c r="S3131" s="61" ph="1"/>
    </row>
    <row r="3132" spans="19:19" ht="26.25">
      <c r="S3132" s="61" ph="1"/>
    </row>
    <row r="3133" spans="19:19" ht="26.25">
      <c r="S3133" s="61" ph="1"/>
    </row>
    <row r="3134" spans="19:19" ht="26.25">
      <c r="S3134" s="61" ph="1"/>
    </row>
    <row r="3135" spans="19:19" ht="26.25">
      <c r="S3135" s="61" ph="1"/>
    </row>
    <row r="3136" spans="19:19" ht="26.25">
      <c r="S3136" s="61" ph="1"/>
    </row>
    <row r="3137" spans="19:19" ht="26.25">
      <c r="S3137" s="61" ph="1"/>
    </row>
    <row r="3138" spans="19:19" ht="26.25">
      <c r="S3138" s="61" ph="1"/>
    </row>
    <row r="3139" spans="19:19" ht="26.25">
      <c r="S3139" s="61" ph="1"/>
    </row>
    <row r="3140" spans="19:19" ht="26.25">
      <c r="S3140" s="61" ph="1"/>
    </row>
    <row r="3141" spans="19:19" ht="26.25">
      <c r="S3141" s="61" ph="1"/>
    </row>
    <row r="3142" spans="19:19" ht="26.25">
      <c r="S3142" s="61" ph="1"/>
    </row>
    <row r="3143" spans="19:19" ht="26.25">
      <c r="S3143" s="61" ph="1"/>
    </row>
    <row r="3144" spans="19:19" ht="26.25">
      <c r="S3144" s="61" ph="1"/>
    </row>
    <row r="3145" spans="19:19" ht="26.25">
      <c r="S3145" s="61" ph="1"/>
    </row>
    <row r="3146" spans="19:19" ht="26.25">
      <c r="S3146" s="61" ph="1"/>
    </row>
    <row r="3147" spans="19:19" ht="26.25">
      <c r="S3147" s="61" ph="1"/>
    </row>
    <row r="3148" spans="19:19" ht="26.25">
      <c r="S3148" s="61" ph="1"/>
    </row>
    <row r="3149" spans="19:19" ht="26.25">
      <c r="S3149" s="61" ph="1"/>
    </row>
    <row r="3150" spans="19:19" ht="26.25">
      <c r="S3150" s="61" ph="1"/>
    </row>
    <row r="3151" spans="19:19" ht="26.25">
      <c r="S3151" s="61" ph="1"/>
    </row>
    <row r="3152" spans="19:19" ht="26.25">
      <c r="S3152" s="61" ph="1"/>
    </row>
    <row r="3153" spans="19:19" ht="26.25">
      <c r="S3153" s="61" ph="1"/>
    </row>
    <row r="3154" spans="19:19" ht="26.25">
      <c r="S3154" s="61" ph="1"/>
    </row>
    <row r="3155" spans="19:19" ht="26.25">
      <c r="S3155" s="61" ph="1"/>
    </row>
    <row r="3156" spans="19:19" ht="26.25">
      <c r="S3156" s="61" ph="1"/>
    </row>
    <row r="3157" spans="19:19" ht="26.25">
      <c r="S3157" s="61" ph="1"/>
    </row>
    <row r="3158" spans="19:19" ht="26.25">
      <c r="S3158" s="61" ph="1"/>
    </row>
    <row r="3159" spans="19:19" ht="26.25">
      <c r="S3159" s="61" ph="1"/>
    </row>
    <row r="3160" spans="19:19" ht="26.25">
      <c r="S3160" s="61" ph="1"/>
    </row>
    <row r="3161" spans="19:19" ht="26.25">
      <c r="S3161" s="61" ph="1"/>
    </row>
    <row r="3162" spans="19:19" ht="26.25">
      <c r="S3162" s="61" ph="1"/>
    </row>
    <row r="3163" spans="19:19" ht="26.25">
      <c r="S3163" s="61" ph="1"/>
    </row>
    <row r="3164" spans="19:19" ht="26.25">
      <c r="S3164" s="61" ph="1"/>
    </row>
    <row r="3165" spans="19:19" ht="26.25">
      <c r="S3165" s="61" ph="1"/>
    </row>
    <row r="3166" spans="19:19" ht="26.25">
      <c r="S3166" s="61" ph="1"/>
    </row>
    <row r="3167" spans="19:19" ht="26.25">
      <c r="S3167" s="61" ph="1"/>
    </row>
    <row r="3168" spans="19:19" ht="26.25">
      <c r="S3168" s="61" ph="1"/>
    </row>
    <row r="3169" spans="19:19" ht="26.25">
      <c r="S3169" s="61" ph="1"/>
    </row>
    <row r="3170" spans="19:19" ht="26.25">
      <c r="S3170" s="61" ph="1"/>
    </row>
    <row r="3171" spans="19:19" ht="26.25">
      <c r="S3171" s="61" ph="1"/>
    </row>
    <row r="3172" spans="19:19" ht="26.25">
      <c r="S3172" s="61" ph="1"/>
    </row>
    <row r="3173" spans="19:19" ht="26.25">
      <c r="S3173" s="61" ph="1"/>
    </row>
    <row r="3174" spans="19:19" ht="26.25">
      <c r="S3174" s="61" ph="1"/>
    </row>
    <row r="3175" spans="19:19" ht="26.25">
      <c r="S3175" s="61" ph="1"/>
    </row>
    <row r="3176" spans="19:19" ht="26.25">
      <c r="S3176" s="61" ph="1"/>
    </row>
    <row r="3177" spans="19:19" ht="26.25">
      <c r="S3177" s="61" ph="1"/>
    </row>
    <row r="3178" spans="19:19" ht="26.25">
      <c r="S3178" s="61" ph="1"/>
    </row>
    <row r="3179" spans="19:19" ht="26.25">
      <c r="S3179" s="61" ph="1"/>
    </row>
    <row r="3180" spans="19:19" ht="26.25">
      <c r="S3180" s="61" ph="1"/>
    </row>
    <row r="3181" spans="19:19" ht="26.25">
      <c r="S3181" s="61" ph="1"/>
    </row>
    <row r="3182" spans="19:19" ht="26.25">
      <c r="S3182" s="61" ph="1"/>
    </row>
    <row r="3183" spans="19:19" ht="26.25">
      <c r="S3183" s="61" ph="1"/>
    </row>
    <row r="3184" spans="19:19" ht="26.25">
      <c r="S3184" s="61" ph="1"/>
    </row>
    <row r="3185" spans="19:19" ht="26.25">
      <c r="S3185" s="61" ph="1"/>
    </row>
    <row r="3186" spans="19:19" ht="26.25">
      <c r="S3186" s="61" ph="1"/>
    </row>
    <row r="3187" spans="19:19" ht="26.25">
      <c r="S3187" s="61" ph="1"/>
    </row>
    <row r="3188" spans="19:19" ht="26.25">
      <c r="S3188" s="61" ph="1"/>
    </row>
    <row r="3189" spans="19:19" ht="26.25">
      <c r="S3189" s="61" ph="1"/>
    </row>
    <row r="3190" spans="19:19" ht="26.25">
      <c r="S3190" s="61" ph="1"/>
    </row>
    <row r="3191" spans="19:19" ht="26.25">
      <c r="S3191" s="61" ph="1"/>
    </row>
    <row r="3192" spans="19:19" ht="26.25">
      <c r="S3192" s="61" ph="1"/>
    </row>
    <row r="3193" spans="19:19" ht="26.25">
      <c r="S3193" s="61" ph="1"/>
    </row>
    <row r="3194" spans="19:19" ht="26.25">
      <c r="S3194" s="61" ph="1"/>
    </row>
    <row r="3195" spans="19:19" ht="26.25">
      <c r="S3195" s="61" ph="1"/>
    </row>
    <row r="3196" spans="19:19" ht="26.25">
      <c r="S3196" s="61" ph="1"/>
    </row>
    <row r="3197" spans="19:19" ht="26.25">
      <c r="S3197" s="61" ph="1"/>
    </row>
    <row r="3198" spans="19:19" ht="26.25">
      <c r="S3198" s="61" ph="1"/>
    </row>
    <row r="3199" spans="19:19" ht="26.25">
      <c r="S3199" s="61" ph="1"/>
    </row>
    <row r="3200" spans="19:19" ht="26.25">
      <c r="S3200" s="61" ph="1"/>
    </row>
    <row r="3201" spans="19:19" ht="26.25">
      <c r="S3201" s="61" ph="1"/>
    </row>
    <row r="3202" spans="19:19" ht="26.25">
      <c r="S3202" s="61" ph="1"/>
    </row>
    <row r="3203" spans="19:19" ht="26.25">
      <c r="S3203" s="61" ph="1"/>
    </row>
    <row r="3204" spans="19:19" ht="26.25">
      <c r="S3204" s="61" ph="1"/>
    </row>
    <row r="3205" spans="19:19" ht="26.25">
      <c r="S3205" s="61" ph="1"/>
    </row>
    <row r="3206" spans="19:19" ht="26.25">
      <c r="S3206" s="61" ph="1"/>
    </row>
    <row r="3207" spans="19:19" ht="26.25">
      <c r="S3207" s="61" ph="1"/>
    </row>
    <row r="3208" spans="19:19" ht="26.25">
      <c r="S3208" s="61" ph="1"/>
    </row>
    <row r="3209" spans="19:19" ht="26.25">
      <c r="S3209" s="61" ph="1"/>
    </row>
    <row r="3210" spans="19:19" ht="26.25">
      <c r="S3210" s="61" ph="1"/>
    </row>
    <row r="3211" spans="19:19" ht="26.25">
      <c r="S3211" s="61" ph="1"/>
    </row>
    <row r="3212" spans="19:19" ht="26.25">
      <c r="S3212" s="61" ph="1"/>
    </row>
    <row r="3213" spans="19:19" ht="26.25">
      <c r="S3213" s="61" ph="1"/>
    </row>
    <row r="3214" spans="19:19" ht="26.25">
      <c r="S3214" s="61" ph="1"/>
    </row>
    <row r="3215" spans="19:19" ht="26.25">
      <c r="S3215" s="61" ph="1"/>
    </row>
    <row r="3216" spans="19:19" ht="26.25">
      <c r="S3216" s="61" ph="1"/>
    </row>
    <row r="3217" spans="19:19" ht="26.25">
      <c r="S3217" s="61" ph="1"/>
    </row>
    <row r="3218" spans="19:19" ht="26.25">
      <c r="S3218" s="61" ph="1"/>
    </row>
    <row r="3219" spans="19:19" ht="26.25">
      <c r="S3219" s="61" ph="1"/>
    </row>
    <row r="3220" spans="19:19" ht="26.25">
      <c r="S3220" s="61" ph="1"/>
    </row>
    <row r="3221" spans="19:19" ht="26.25">
      <c r="S3221" s="61" ph="1"/>
    </row>
    <row r="3222" spans="19:19" ht="26.25">
      <c r="S3222" s="61" ph="1"/>
    </row>
    <row r="3223" spans="19:19" ht="26.25">
      <c r="S3223" s="61" ph="1"/>
    </row>
    <row r="3224" spans="19:19" ht="26.25">
      <c r="S3224" s="61" ph="1"/>
    </row>
    <row r="3225" spans="19:19" ht="26.25">
      <c r="S3225" s="61" ph="1"/>
    </row>
    <row r="3226" spans="19:19" ht="26.25">
      <c r="S3226" s="61" ph="1"/>
    </row>
    <row r="3227" spans="19:19" ht="26.25">
      <c r="S3227" s="61" ph="1"/>
    </row>
    <row r="3228" spans="19:19" ht="26.25">
      <c r="S3228" s="61" ph="1"/>
    </row>
    <row r="3229" spans="19:19" ht="26.25">
      <c r="S3229" s="61" ph="1"/>
    </row>
    <row r="3230" spans="19:19" ht="26.25">
      <c r="S3230" s="61" ph="1"/>
    </row>
    <row r="3231" spans="19:19" ht="26.25">
      <c r="S3231" s="61" ph="1"/>
    </row>
    <row r="3232" spans="19:19" ht="26.25">
      <c r="S3232" s="61" ph="1"/>
    </row>
    <row r="3233" spans="19:19" ht="26.25">
      <c r="S3233" s="61" ph="1"/>
    </row>
    <row r="3234" spans="19:19" ht="26.25">
      <c r="S3234" s="61" ph="1"/>
    </row>
    <row r="3235" spans="19:19" ht="26.25">
      <c r="S3235" s="61" ph="1"/>
    </row>
    <row r="3236" spans="19:19" ht="26.25">
      <c r="S3236" s="61" ph="1"/>
    </row>
    <row r="3237" spans="19:19" ht="26.25">
      <c r="S3237" s="61" ph="1"/>
    </row>
    <row r="3238" spans="19:19" ht="26.25">
      <c r="S3238" s="61" ph="1"/>
    </row>
    <row r="3239" spans="19:19" ht="26.25">
      <c r="S3239" s="61" ph="1"/>
    </row>
    <row r="3240" spans="19:19" ht="26.25">
      <c r="S3240" s="61" ph="1"/>
    </row>
    <row r="3241" spans="19:19" ht="26.25">
      <c r="S3241" s="61" ph="1"/>
    </row>
    <row r="3242" spans="19:19" ht="26.25">
      <c r="S3242" s="61" ph="1"/>
    </row>
    <row r="3243" spans="19:19" ht="26.25">
      <c r="S3243" s="61" ph="1"/>
    </row>
    <row r="3244" spans="19:19" ht="26.25">
      <c r="S3244" s="61" ph="1"/>
    </row>
    <row r="3245" spans="19:19" ht="26.25">
      <c r="S3245" s="61" ph="1"/>
    </row>
    <row r="3246" spans="19:19" ht="26.25">
      <c r="S3246" s="61" ph="1"/>
    </row>
    <row r="3247" spans="19:19" ht="26.25">
      <c r="S3247" s="61" ph="1"/>
    </row>
    <row r="3248" spans="19:19" ht="26.25">
      <c r="S3248" s="61" ph="1"/>
    </row>
    <row r="3249" spans="19:19" ht="26.25">
      <c r="S3249" s="61" ph="1"/>
    </row>
    <row r="3250" spans="19:19" ht="26.25">
      <c r="S3250" s="61" ph="1"/>
    </row>
    <row r="3251" spans="19:19" ht="26.25">
      <c r="S3251" s="61" ph="1"/>
    </row>
    <row r="3252" spans="19:19" ht="26.25">
      <c r="S3252" s="61" ph="1"/>
    </row>
    <row r="3253" spans="19:19" ht="26.25">
      <c r="S3253" s="61" ph="1"/>
    </row>
    <row r="3254" spans="19:19" ht="26.25">
      <c r="S3254" s="61" ph="1"/>
    </row>
    <row r="3255" spans="19:19" ht="26.25">
      <c r="S3255" s="61" ph="1"/>
    </row>
    <row r="3256" spans="19:19" ht="26.25">
      <c r="S3256" s="61" ph="1"/>
    </row>
    <row r="3257" spans="19:19" ht="26.25">
      <c r="S3257" s="61" ph="1"/>
    </row>
    <row r="3258" spans="19:19" ht="26.25">
      <c r="S3258" s="61" ph="1"/>
    </row>
    <row r="3259" spans="19:19" ht="26.25">
      <c r="S3259" s="61" ph="1"/>
    </row>
    <row r="3260" spans="19:19" ht="26.25">
      <c r="S3260" s="61" ph="1"/>
    </row>
    <row r="3261" spans="19:19" ht="26.25">
      <c r="S3261" s="61" ph="1"/>
    </row>
    <row r="3262" spans="19:19" ht="26.25">
      <c r="S3262" s="61" ph="1"/>
    </row>
    <row r="3263" spans="19:19" ht="26.25">
      <c r="S3263" s="61" ph="1"/>
    </row>
    <row r="3264" spans="19:19" ht="26.25">
      <c r="S3264" s="61" ph="1"/>
    </row>
    <row r="3265" spans="19:19" ht="26.25">
      <c r="S3265" s="61" ph="1"/>
    </row>
    <row r="3266" spans="19:19" ht="26.25">
      <c r="S3266" s="61" ph="1"/>
    </row>
    <row r="3267" spans="19:19" ht="26.25">
      <c r="S3267" s="61" ph="1"/>
    </row>
    <row r="3268" spans="19:19" ht="26.25">
      <c r="S3268" s="61" ph="1"/>
    </row>
    <row r="3269" spans="19:19" ht="26.25">
      <c r="S3269" s="61" ph="1"/>
    </row>
    <row r="3270" spans="19:19" ht="26.25">
      <c r="S3270" s="61" ph="1"/>
    </row>
    <row r="3271" spans="19:19" ht="26.25">
      <c r="S3271" s="61" ph="1"/>
    </row>
    <row r="3272" spans="19:19" ht="26.25">
      <c r="S3272" s="61" ph="1"/>
    </row>
    <row r="3273" spans="19:19" ht="26.25">
      <c r="S3273" s="61" ph="1"/>
    </row>
    <row r="3274" spans="19:19" ht="26.25">
      <c r="S3274" s="61" ph="1"/>
    </row>
    <row r="3275" spans="19:19" ht="26.25">
      <c r="S3275" s="61" ph="1"/>
    </row>
    <row r="3276" spans="19:19" ht="26.25">
      <c r="S3276" s="61" ph="1"/>
    </row>
    <row r="3277" spans="19:19" ht="26.25">
      <c r="S3277" s="61" ph="1"/>
    </row>
    <row r="3278" spans="19:19" ht="26.25">
      <c r="S3278" s="61" ph="1"/>
    </row>
    <row r="3279" spans="19:19" ht="26.25">
      <c r="S3279" s="61" ph="1"/>
    </row>
    <row r="3280" spans="19:19" ht="26.25">
      <c r="S3280" s="61" ph="1"/>
    </row>
    <row r="3281" spans="19:19" ht="26.25">
      <c r="S3281" s="61" ph="1"/>
    </row>
    <row r="3282" spans="19:19" ht="26.25">
      <c r="S3282" s="61" ph="1"/>
    </row>
    <row r="3283" spans="19:19" ht="26.25">
      <c r="S3283" s="61" ph="1"/>
    </row>
    <row r="3284" spans="19:19" ht="26.25">
      <c r="S3284" s="61" ph="1"/>
    </row>
    <row r="3285" spans="19:19" ht="26.25">
      <c r="S3285" s="61" ph="1"/>
    </row>
    <row r="3286" spans="19:19" ht="26.25">
      <c r="S3286" s="61" ph="1"/>
    </row>
    <row r="3287" spans="19:19" ht="26.25">
      <c r="S3287" s="61" ph="1"/>
    </row>
    <row r="3288" spans="19:19" ht="26.25">
      <c r="S3288" s="61" ph="1"/>
    </row>
    <row r="3289" spans="19:19" ht="26.25">
      <c r="S3289" s="61" ph="1"/>
    </row>
    <row r="3290" spans="19:19" ht="26.25">
      <c r="S3290" s="61" ph="1"/>
    </row>
    <row r="3291" spans="19:19" ht="26.25">
      <c r="S3291" s="61" ph="1"/>
    </row>
    <row r="3292" spans="19:19" ht="26.25">
      <c r="S3292" s="61" ph="1"/>
    </row>
    <row r="3293" spans="19:19" ht="26.25">
      <c r="S3293" s="61" ph="1"/>
    </row>
    <row r="3294" spans="19:19" ht="26.25">
      <c r="S3294" s="61" ph="1"/>
    </row>
    <row r="3295" spans="19:19" ht="26.25">
      <c r="S3295" s="61" ph="1"/>
    </row>
    <row r="3296" spans="19:19" ht="26.25">
      <c r="S3296" s="61" ph="1"/>
    </row>
    <row r="3297" spans="19:19" ht="26.25">
      <c r="S3297" s="61" ph="1"/>
    </row>
    <row r="3298" spans="19:19" ht="26.25">
      <c r="S3298" s="61" ph="1"/>
    </row>
    <row r="3299" spans="19:19" ht="26.25">
      <c r="S3299" s="61" ph="1"/>
    </row>
    <row r="3300" spans="19:19" ht="26.25">
      <c r="S3300" s="61" ph="1"/>
    </row>
    <row r="3301" spans="19:19" ht="26.25">
      <c r="S3301" s="61" ph="1"/>
    </row>
    <row r="3302" spans="19:19" ht="26.25">
      <c r="S3302" s="61" ph="1"/>
    </row>
    <row r="3303" spans="19:19" ht="26.25">
      <c r="S3303" s="61" ph="1"/>
    </row>
    <row r="3304" spans="19:19" ht="26.25">
      <c r="S3304" s="61" ph="1"/>
    </row>
    <row r="3305" spans="19:19" ht="26.25">
      <c r="S3305" s="61" ph="1"/>
    </row>
    <row r="3306" spans="19:19" ht="26.25">
      <c r="S3306" s="61" ph="1"/>
    </row>
    <row r="3307" spans="19:19" ht="26.25">
      <c r="S3307" s="61" ph="1"/>
    </row>
    <row r="3308" spans="19:19" ht="26.25">
      <c r="S3308" s="61" ph="1"/>
    </row>
    <row r="3309" spans="19:19" ht="26.25">
      <c r="S3309" s="61" ph="1"/>
    </row>
    <row r="3310" spans="19:19" ht="26.25">
      <c r="S3310" s="61" ph="1"/>
    </row>
    <row r="3311" spans="19:19" ht="26.25">
      <c r="S3311" s="61" ph="1"/>
    </row>
    <row r="3312" spans="19:19" ht="26.25">
      <c r="S3312" s="61" ph="1"/>
    </row>
    <row r="3313" spans="19:19" ht="26.25">
      <c r="S3313" s="61" ph="1"/>
    </row>
    <row r="3314" spans="19:19" ht="26.25">
      <c r="S3314" s="61" ph="1"/>
    </row>
    <row r="3315" spans="19:19" ht="26.25">
      <c r="S3315" s="61" ph="1"/>
    </row>
    <row r="3316" spans="19:19" ht="26.25">
      <c r="S3316" s="61" ph="1"/>
    </row>
    <row r="3317" spans="19:19" ht="26.25">
      <c r="S3317" s="61" ph="1"/>
    </row>
    <row r="3318" spans="19:19" ht="26.25">
      <c r="S3318" s="61" ph="1"/>
    </row>
    <row r="3319" spans="19:19" ht="26.25">
      <c r="S3319" s="61" ph="1"/>
    </row>
    <row r="3320" spans="19:19" ht="26.25">
      <c r="S3320" s="61" ph="1"/>
    </row>
    <row r="3321" spans="19:19" ht="26.25">
      <c r="S3321" s="61" ph="1"/>
    </row>
    <row r="3322" spans="19:19" ht="26.25">
      <c r="S3322" s="61" ph="1"/>
    </row>
    <row r="3323" spans="19:19" ht="26.25">
      <c r="S3323" s="61" ph="1"/>
    </row>
    <row r="3324" spans="19:19" ht="26.25">
      <c r="S3324" s="61" ph="1"/>
    </row>
    <row r="3325" spans="19:19" ht="26.25">
      <c r="S3325" s="61" ph="1"/>
    </row>
    <row r="3326" spans="19:19" ht="26.25">
      <c r="S3326" s="61" ph="1"/>
    </row>
    <row r="3327" spans="19:19" ht="26.25">
      <c r="S3327" s="61" ph="1"/>
    </row>
    <row r="3328" spans="19:19" ht="26.25">
      <c r="S3328" s="61" ph="1"/>
    </row>
    <row r="3329" spans="19:19" ht="26.25">
      <c r="S3329" s="61" ph="1"/>
    </row>
    <row r="3330" spans="19:19" ht="26.25">
      <c r="S3330" s="61" ph="1"/>
    </row>
    <row r="3331" spans="19:19" ht="26.25">
      <c r="S3331" s="61" ph="1"/>
    </row>
    <row r="3332" spans="19:19" ht="26.25">
      <c r="S3332" s="61" ph="1"/>
    </row>
    <row r="3333" spans="19:19" ht="26.25">
      <c r="S3333" s="61" ph="1"/>
    </row>
    <row r="3334" spans="19:19" ht="26.25">
      <c r="S3334" s="61" ph="1"/>
    </row>
    <row r="3335" spans="19:19" ht="26.25">
      <c r="S3335" s="61" ph="1"/>
    </row>
    <row r="3336" spans="19:19" ht="26.25">
      <c r="S3336" s="61" ph="1"/>
    </row>
    <row r="3337" spans="19:19" ht="26.25">
      <c r="S3337" s="61" ph="1"/>
    </row>
    <row r="3338" spans="19:19" ht="26.25">
      <c r="S3338" s="61" ph="1"/>
    </row>
    <row r="3339" spans="19:19" ht="26.25">
      <c r="S3339" s="61" ph="1"/>
    </row>
    <row r="3340" spans="19:19" ht="26.25">
      <c r="S3340" s="61" ph="1"/>
    </row>
    <row r="3341" spans="19:19" ht="26.25">
      <c r="S3341" s="61" ph="1"/>
    </row>
    <row r="3342" spans="19:19" ht="26.25">
      <c r="S3342" s="61" ph="1"/>
    </row>
    <row r="3343" spans="19:19" ht="26.25">
      <c r="S3343" s="61" ph="1"/>
    </row>
    <row r="3344" spans="19:19" ht="26.25">
      <c r="S3344" s="61" ph="1"/>
    </row>
    <row r="3345" spans="19:19" ht="26.25">
      <c r="S3345" s="61" ph="1"/>
    </row>
    <row r="3346" spans="19:19" ht="26.25">
      <c r="S3346" s="61" ph="1"/>
    </row>
    <row r="3347" spans="19:19" ht="26.25">
      <c r="S3347" s="61" ph="1"/>
    </row>
    <row r="3348" spans="19:19" ht="26.25">
      <c r="S3348" s="61" ph="1"/>
    </row>
    <row r="3349" spans="19:19" ht="26.25">
      <c r="S3349" s="61" ph="1"/>
    </row>
    <row r="3350" spans="19:19" ht="26.25">
      <c r="S3350" s="61" ph="1"/>
    </row>
    <row r="3351" spans="19:19" ht="26.25">
      <c r="S3351" s="61" ph="1"/>
    </row>
    <row r="3352" spans="19:19" ht="26.25">
      <c r="S3352" s="61" ph="1"/>
    </row>
    <row r="3353" spans="19:19" ht="26.25">
      <c r="S3353" s="61" ph="1"/>
    </row>
    <row r="3354" spans="19:19" ht="26.25">
      <c r="S3354" s="61" ph="1"/>
    </row>
    <row r="3355" spans="19:19" ht="26.25">
      <c r="S3355" s="61" ph="1"/>
    </row>
    <row r="3356" spans="19:19" ht="26.25">
      <c r="S3356" s="61" ph="1"/>
    </row>
    <row r="3357" spans="19:19" ht="26.25">
      <c r="S3357" s="61" ph="1"/>
    </row>
    <row r="3358" spans="19:19" ht="26.25">
      <c r="S3358" s="61" ph="1"/>
    </row>
    <row r="3359" spans="19:19" ht="26.25">
      <c r="S3359" s="61" ph="1"/>
    </row>
    <row r="3360" spans="19:19" ht="26.25">
      <c r="S3360" s="61" ph="1"/>
    </row>
    <row r="3361" spans="19:19" ht="26.25">
      <c r="S3361" s="61" ph="1"/>
    </row>
    <row r="3362" spans="19:19" ht="26.25">
      <c r="S3362" s="61" ph="1"/>
    </row>
    <row r="3363" spans="19:19" ht="26.25">
      <c r="S3363" s="61" ph="1"/>
    </row>
    <row r="3364" spans="19:19" ht="26.25">
      <c r="S3364" s="61" ph="1"/>
    </row>
    <row r="3365" spans="19:19" ht="26.25">
      <c r="S3365" s="61" ph="1"/>
    </row>
    <row r="3366" spans="19:19" ht="26.25">
      <c r="S3366" s="61" ph="1"/>
    </row>
    <row r="3367" spans="19:19" ht="26.25">
      <c r="S3367" s="61" ph="1"/>
    </row>
    <row r="3368" spans="19:19" ht="26.25">
      <c r="S3368" s="61" ph="1"/>
    </row>
    <row r="3369" spans="19:19" ht="26.25">
      <c r="S3369" s="61" ph="1"/>
    </row>
    <row r="3370" spans="19:19" ht="26.25">
      <c r="S3370" s="61" ph="1"/>
    </row>
    <row r="3371" spans="19:19" ht="26.25">
      <c r="S3371" s="61" ph="1"/>
    </row>
    <row r="3372" spans="19:19" ht="26.25">
      <c r="S3372" s="61" ph="1"/>
    </row>
    <row r="3373" spans="19:19" ht="26.25">
      <c r="S3373" s="61" ph="1"/>
    </row>
    <row r="3374" spans="19:19" ht="26.25">
      <c r="S3374" s="61" ph="1"/>
    </row>
    <row r="3375" spans="19:19" ht="26.25">
      <c r="S3375" s="61" ph="1"/>
    </row>
    <row r="3376" spans="19:19" ht="26.25">
      <c r="S3376" s="61" ph="1"/>
    </row>
    <row r="3377" spans="19:19" ht="26.25">
      <c r="S3377" s="61" ph="1"/>
    </row>
    <row r="3378" spans="19:19" ht="26.25">
      <c r="S3378" s="61" ph="1"/>
    </row>
    <row r="3379" spans="19:19" ht="26.25">
      <c r="S3379" s="61" ph="1"/>
    </row>
    <row r="3380" spans="19:19" ht="26.25">
      <c r="S3380" s="61" ph="1"/>
    </row>
    <row r="3381" spans="19:19" ht="26.25">
      <c r="S3381" s="61" ph="1"/>
    </row>
    <row r="3382" spans="19:19" ht="26.25">
      <c r="S3382" s="61" ph="1"/>
    </row>
    <row r="3383" spans="19:19" ht="26.25">
      <c r="S3383" s="61" ph="1"/>
    </row>
    <row r="3384" spans="19:19" ht="26.25">
      <c r="S3384" s="61" ph="1"/>
    </row>
    <row r="3385" spans="19:19" ht="26.25">
      <c r="S3385" s="61" ph="1"/>
    </row>
    <row r="3386" spans="19:19" ht="26.25">
      <c r="S3386" s="61" ph="1"/>
    </row>
    <row r="3387" spans="19:19" ht="26.25">
      <c r="S3387" s="61" ph="1"/>
    </row>
    <row r="3388" spans="19:19" ht="26.25">
      <c r="S3388" s="61" ph="1"/>
    </row>
    <row r="3389" spans="19:19" ht="26.25">
      <c r="S3389" s="61" ph="1"/>
    </row>
    <row r="3390" spans="19:19" ht="26.25">
      <c r="S3390" s="61" ph="1"/>
    </row>
    <row r="3391" spans="19:19" ht="26.25">
      <c r="S3391" s="61" ph="1"/>
    </row>
    <row r="3392" spans="19:19" ht="26.25">
      <c r="S3392" s="61" ph="1"/>
    </row>
    <row r="3393" spans="19:19" ht="26.25">
      <c r="S3393" s="61" ph="1"/>
    </row>
    <row r="3394" spans="19:19" ht="26.25">
      <c r="S3394" s="61" ph="1"/>
    </row>
    <row r="3395" spans="19:19" ht="26.25">
      <c r="S3395" s="61" ph="1"/>
    </row>
    <row r="3396" spans="19:19" ht="26.25">
      <c r="S3396" s="61" ph="1"/>
    </row>
    <row r="3397" spans="19:19" ht="26.25">
      <c r="S3397" s="61" ph="1"/>
    </row>
    <row r="3398" spans="19:19" ht="26.25">
      <c r="S3398" s="61" ph="1"/>
    </row>
    <row r="3399" spans="19:19" ht="26.25">
      <c r="S3399" s="61" ph="1"/>
    </row>
    <row r="3400" spans="19:19" ht="26.25">
      <c r="S3400" s="61" ph="1"/>
    </row>
    <row r="3401" spans="19:19" ht="26.25">
      <c r="S3401" s="61" ph="1"/>
    </row>
    <row r="3402" spans="19:19" ht="26.25">
      <c r="S3402" s="61" ph="1"/>
    </row>
    <row r="3403" spans="19:19" ht="26.25">
      <c r="S3403" s="61" ph="1"/>
    </row>
    <row r="3404" spans="19:19" ht="26.25">
      <c r="S3404" s="61" ph="1"/>
    </row>
    <row r="3405" spans="19:19" ht="26.25">
      <c r="S3405" s="61" ph="1"/>
    </row>
    <row r="3406" spans="19:19" ht="26.25">
      <c r="S3406" s="61" ph="1"/>
    </row>
    <row r="3407" spans="19:19" ht="26.25">
      <c r="S3407" s="61" ph="1"/>
    </row>
    <row r="3408" spans="19:19" ht="26.25">
      <c r="S3408" s="61" ph="1"/>
    </row>
    <row r="3409" spans="19:19" ht="26.25">
      <c r="S3409" s="61" ph="1"/>
    </row>
    <row r="3410" spans="19:19" ht="26.25">
      <c r="S3410" s="61" ph="1"/>
    </row>
    <row r="3411" spans="19:19" ht="26.25">
      <c r="S3411" s="61" ph="1"/>
    </row>
    <row r="3412" spans="19:19" ht="26.25">
      <c r="S3412" s="61" ph="1"/>
    </row>
    <row r="3413" spans="19:19" ht="26.25">
      <c r="S3413" s="61" ph="1"/>
    </row>
    <row r="3414" spans="19:19" ht="26.25">
      <c r="S3414" s="61" ph="1"/>
    </row>
    <row r="3415" spans="19:19" ht="26.25">
      <c r="S3415" s="61" ph="1"/>
    </row>
    <row r="3416" spans="19:19" ht="26.25">
      <c r="S3416" s="61" ph="1"/>
    </row>
    <row r="3417" spans="19:19" ht="26.25">
      <c r="S3417" s="61" ph="1"/>
    </row>
    <row r="3418" spans="19:19" ht="26.25">
      <c r="S3418" s="61" ph="1"/>
    </row>
    <row r="3419" spans="19:19" ht="26.25">
      <c r="S3419" s="61" ph="1"/>
    </row>
    <row r="3420" spans="19:19" ht="26.25">
      <c r="S3420" s="61" ph="1"/>
    </row>
    <row r="3421" spans="19:19" ht="26.25">
      <c r="S3421" s="61" ph="1"/>
    </row>
    <row r="3422" spans="19:19" ht="26.25">
      <c r="S3422" s="61" ph="1"/>
    </row>
    <row r="3423" spans="19:19" ht="26.25">
      <c r="S3423" s="61" ph="1"/>
    </row>
    <row r="3424" spans="19:19" ht="26.25">
      <c r="S3424" s="61" ph="1"/>
    </row>
    <row r="3425" spans="19:19" ht="26.25">
      <c r="S3425" s="61" ph="1"/>
    </row>
    <row r="3426" spans="19:19" ht="26.25">
      <c r="S3426" s="61" ph="1"/>
    </row>
    <row r="3427" spans="19:19" ht="26.25">
      <c r="S3427" s="61" ph="1"/>
    </row>
    <row r="3428" spans="19:19" ht="26.25">
      <c r="S3428" s="61" ph="1"/>
    </row>
    <row r="3429" spans="19:19" ht="26.25">
      <c r="S3429" s="61" ph="1"/>
    </row>
    <row r="3430" spans="19:19" ht="26.25">
      <c r="S3430" s="61" ph="1"/>
    </row>
    <row r="3431" spans="19:19" ht="26.25">
      <c r="S3431" s="61" ph="1"/>
    </row>
    <row r="3432" spans="19:19" ht="26.25">
      <c r="S3432" s="61" ph="1"/>
    </row>
    <row r="3433" spans="19:19" ht="26.25">
      <c r="S3433" s="61" ph="1"/>
    </row>
    <row r="3434" spans="19:19" ht="26.25">
      <c r="S3434" s="61" ph="1"/>
    </row>
    <row r="3435" spans="19:19" ht="26.25">
      <c r="S3435" s="61" ph="1"/>
    </row>
    <row r="3436" spans="19:19" ht="26.25">
      <c r="S3436" s="61" ph="1"/>
    </row>
    <row r="3437" spans="19:19" ht="26.25">
      <c r="S3437" s="61" ph="1"/>
    </row>
    <row r="3438" spans="19:19" ht="26.25">
      <c r="S3438" s="61" ph="1"/>
    </row>
    <row r="3439" spans="19:19" ht="26.25">
      <c r="S3439" s="61" ph="1"/>
    </row>
    <row r="3440" spans="19:19" ht="26.25">
      <c r="S3440" s="61" ph="1"/>
    </row>
    <row r="3441" spans="19:19" ht="26.25">
      <c r="S3441" s="61" ph="1"/>
    </row>
    <row r="3442" spans="19:19" ht="26.25">
      <c r="S3442" s="61" ph="1"/>
    </row>
    <row r="3443" spans="19:19" ht="26.25">
      <c r="S3443" s="61" ph="1"/>
    </row>
    <row r="3444" spans="19:19" ht="26.25">
      <c r="S3444" s="61" ph="1"/>
    </row>
    <row r="3445" spans="19:19" ht="26.25">
      <c r="S3445" s="61" ph="1"/>
    </row>
    <row r="3446" spans="19:19" ht="26.25">
      <c r="S3446" s="61" ph="1"/>
    </row>
    <row r="3447" spans="19:19" ht="26.25">
      <c r="S3447" s="61" ph="1"/>
    </row>
    <row r="3448" spans="19:19" ht="26.25">
      <c r="S3448" s="61" ph="1"/>
    </row>
    <row r="3449" spans="19:19" ht="26.25">
      <c r="S3449" s="61" ph="1"/>
    </row>
    <row r="3450" spans="19:19" ht="26.25">
      <c r="S3450" s="61" ph="1"/>
    </row>
    <row r="3451" spans="19:19" ht="26.25">
      <c r="S3451" s="61" ph="1"/>
    </row>
    <row r="3452" spans="19:19" ht="26.25">
      <c r="S3452" s="61" ph="1"/>
    </row>
    <row r="3453" spans="19:19" ht="26.25">
      <c r="S3453" s="61" ph="1"/>
    </row>
    <row r="3454" spans="19:19" ht="26.25">
      <c r="S3454" s="61" ph="1"/>
    </row>
    <row r="3455" spans="19:19" ht="26.25">
      <c r="S3455" s="61" ph="1"/>
    </row>
    <row r="3456" spans="19:19" ht="26.25">
      <c r="S3456" s="61" ph="1"/>
    </row>
    <row r="3457" spans="19:19" ht="26.25">
      <c r="S3457" s="61" ph="1"/>
    </row>
    <row r="3458" spans="19:19" ht="26.25">
      <c r="S3458" s="61" ph="1"/>
    </row>
    <row r="3459" spans="19:19" ht="26.25">
      <c r="S3459" s="61" ph="1"/>
    </row>
    <row r="3460" spans="19:19" ht="26.25">
      <c r="S3460" s="61" ph="1"/>
    </row>
    <row r="3461" spans="19:19" ht="26.25">
      <c r="S3461" s="61" ph="1"/>
    </row>
    <row r="3462" spans="19:19" ht="26.25">
      <c r="S3462" s="61" ph="1"/>
    </row>
    <row r="3463" spans="19:19" ht="26.25">
      <c r="S3463" s="61" ph="1"/>
    </row>
    <row r="3464" spans="19:19" ht="26.25">
      <c r="S3464" s="61" ph="1"/>
    </row>
    <row r="3465" spans="19:19" ht="26.25">
      <c r="S3465" s="61" ph="1"/>
    </row>
    <row r="3466" spans="19:19" ht="26.25">
      <c r="S3466" s="61" ph="1"/>
    </row>
    <row r="3467" spans="19:19" ht="26.25">
      <c r="S3467" s="61" ph="1"/>
    </row>
    <row r="3468" spans="19:19" ht="26.25">
      <c r="S3468" s="61" ph="1"/>
    </row>
    <row r="3469" spans="19:19" ht="26.25">
      <c r="S3469" s="61" ph="1"/>
    </row>
    <row r="3470" spans="19:19" ht="26.25">
      <c r="S3470" s="61" ph="1"/>
    </row>
    <row r="3471" spans="19:19" ht="26.25">
      <c r="S3471" s="61" ph="1"/>
    </row>
    <row r="3472" spans="19:19" ht="26.25">
      <c r="S3472" s="61" ph="1"/>
    </row>
    <row r="3473" spans="19:19" ht="26.25">
      <c r="S3473" s="61" ph="1"/>
    </row>
    <row r="3474" spans="19:19" ht="26.25">
      <c r="S3474" s="61" ph="1"/>
    </row>
    <row r="3475" spans="19:19" ht="26.25">
      <c r="S3475" s="61" ph="1"/>
    </row>
    <row r="3476" spans="19:19" ht="26.25">
      <c r="S3476" s="61" ph="1"/>
    </row>
    <row r="3477" spans="19:19" ht="26.25">
      <c r="S3477" s="61" ph="1"/>
    </row>
    <row r="3478" spans="19:19" ht="26.25">
      <c r="S3478" s="61" ph="1"/>
    </row>
    <row r="3479" spans="19:19" ht="26.25">
      <c r="S3479" s="61" ph="1"/>
    </row>
    <row r="3480" spans="19:19" ht="26.25">
      <c r="S3480" s="61" ph="1"/>
    </row>
    <row r="3481" spans="19:19" ht="26.25">
      <c r="S3481" s="61" ph="1"/>
    </row>
    <row r="3482" spans="19:19" ht="26.25">
      <c r="S3482" s="61" ph="1"/>
    </row>
    <row r="3483" spans="19:19" ht="26.25">
      <c r="S3483" s="61" ph="1"/>
    </row>
    <row r="3484" spans="19:19" ht="26.25">
      <c r="S3484" s="61" ph="1"/>
    </row>
    <row r="3485" spans="19:19" ht="26.25">
      <c r="S3485" s="61" ph="1"/>
    </row>
    <row r="3486" spans="19:19" ht="26.25">
      <c r="S3486" s="61" ph="1"/>
    </row>
    <row r="3487" spans="19:19" ht="26.25">
      <c r="S3487" s="61" ph="1"/>
    </row>
    <row r="3488" spans="19:19" ht="26.25">
      <c r="S3488" s="61" ph="1"/>
    </row>
    <row r="3489" spans="19:19" ht="26.25">
      <c r="S3489" s="61" ph="1"/>
    </row>
    <row r="3490" spans="19:19" ht="26.25">
      <c r="S3490" s="61" ph="1"/>
    </row>
    <row r="3491" spans="19:19" ht="26.25">
      <c r="S3491" s="61" ph="1"/>
    </row>
    <row r="3492" spans="19:19" ht="26.25">
      <c r="S3492" s="61" ph="1"/>
    </row>
    <row r="3493" spans="19:19" ht="26.25">
      <c r="S3493" s="61" ph="1"/>
    </row>
    <row r="3494" spans="19:19" ht="26.25">
      <c r="S3494" s="61" ph="1"/>
    </row>
    <row r="3495" spans="19:19" ht="26.25">
      <c r="S3495" s="61" ph="1"/>
    </row>
    <row r="3496" spans="19:19" ht="26.25">
      <c r="S3496" s="61" ph="1"/>
    </row>
    <row r="3497" spans="19:19" ht="26.25">
      <c r="S3497" s="61" ph="1"/>
    </row>
    <row r="3498" spans="19:19" ht="26.25">
      <c r="S3498" s="61" ph="1"/>
    </row>
    <row r="3499" spans="19:19" ht="26.25">
      <c r="S3499" s="61" ph="1"/>
    </row>
    <row r="3500" spans="19:19" ht="26.25">
      <c r="S3500" s="61" ph="1"/>
    </row>
    <row r="3501" spans="19:19" ht="26.25">
      <c r="S3501" s="61" ph="1"/>
    </row>
    <row r="3502" spans="19:19" ht="26.25">
      <c r="S3502" s="61" ph="1"/>
    </row>
    <row r="3503" spans="19:19" ht="26.25">
      <c r="S3503" s="61" ph="1"/>
    </row>
    <row r="3504" spans="19:19" ht="26.25">
      <c r="S3504" s="61" ph="1"/>
    </row>
    <row r="3505" spans="19:19" ht="26.25">
      <c r="S3505" s="61" ph="1"/>
    </row>
    <row r="3506" spans="19:19" ht="26.25">
      <c r="S3506" s="61" ph="1"/>
    </row>
    <row r="3507" spans="19:19" ht="26.25">
      <c r="S3507" s="61" ph="1"/>
    </row>
    <row r="3508" spans="19:19" ht="26.25">
      <c r="S3508" s="61" ph="1"/>
    </row>
    <row r="3509" spans="19:19" ht="26.25">
      <c r="S3509" s="61" ph="1"/>
    </row>
    <row r="3510" spans="19:19" ht="26.25">
      <c r="S3510" s="61" ph="1"/>
    </row>
    <row r="3511" spans="19:19" ht="26.25">
      <c r="S3511" s="61" ph="1"/>
    </row>
    <row r="3512" spans="19:19" ht="26.25">
      <c r="S3512" s="61" ph="1"/>
    </row>
    <row r="3513" spans="19:19" ht="26.25">
      <c r="S3513" s="61" ph="1"/>
    </row>
    <row r="3514" spans="19:19" ht="26.25">
      <c r="S3514" s="61" ph="1"/>
    </row>
    <row r="3515" spans="19:19" ht="26.25">
      <c r="S3515" s="61" ph="1"/>
    </row>
    <row r="3516" spans="19:19" ht="26.25">
      <c r="S3516" s="61" ph="1"/>
    </row>
    <row r="3517" spans="19:19" ht="26.25">
      <c r="S3517" s="61" ph="1"/>
    </row>
    <row r="3518" spans="19:19" ht="26.25">
      <c r="S3518" s="61" ph="1"/>
    </row>
    <row r="3519" spans="19:19" ht="26.25">
      <c r="S3519" s="61" ph="1"/>
    </row>
    <row r="3520" spans="19:19" ht="26.25">
      <c r="S3520" s="61" ph="1"/>
    </row>
    <row r="3521" spans="19:19" ht="26.25">
      <c r="S3521" s="61" ph="1"/>
    </row>
    <row r="3522" spans="19:19" ht="26.25">
      <c r="S3522" s="61" ph="1"/>
    </row>
    <row r="3523" spans="19:19" ht="26.25">
      <c r="S3523" s="61" ph="1"/>
    </row>
    <row r="3524" spans="19:19" ht="26.25">
      <c r="S3524" s="61" ph="1"/>
    </row>
    <row r="3525" spans="19:19" ht="26.25">
      <c r="S3525" s="61" ph="1"/>
    </row>
    <row r="3526" spans="19:19" ht="26.25">
      <c r="S3526" s="61" ph="1"/>
    </row>
    <row r="3527" spans="19:19" ht="26.25">
      <c r="S3527" s="61" ph="1"/>
    </row>
    <row r="3528" spans="19:19" ht="26.25">
      <c r="S3528" s="61" ph="1"/>
    </row>
    <row r="3529" spans="19:19" ht="26.25">
      <c r="S3529" s="61" ph="1"/>
    </row>
    <row r="3530" spans="19:19" ht="26.25">
      <c r="S3530" s="61" ph="1"/>
    </row>
    <row r="3531" spans="19:19" ht="26.25">
      <c r="S3531" s="61" ph="1"/>
    </row>
    <row r="3532" spans="19:19" ht="26.25">
      <c r="S3532" s="61" ph="1"/>
    </row>
    <row r="3533" spans="19:19" ht="26.25">
      <c r="S3533" s="61" ph="1"/>
    </row>
    <row r="3534" spans="19:19" ht="26.25">
      <c r="S3534" s="61" ph="1"/>
    </row>
    <row r="3535" spans="19:19" ht="26.25">
      <c r="S3535" s="61" ph="1"/>
    </row>
    <row r="3536" spans="19:19" ht="26.25">
      <c r="S3536" s="61" ph="1"/>
    </row>
    <row r="3537" spans="19:19" ht="26.25">
      <c r="S3537" s="61" ph="1"/>
    </row>
    <row r="3538" spans="19:19" ht="26.25">
      <c r="S3538" s="61" ph="1"/>
    </row>
    <row r="3539" spans="19:19" ht="26.25">
      <c r="S3539" s="61" ph="1"/>
    </row>
    <row r="3540" spans="19:19" ht="26.25">
      <c r="S3540" s="61" ph="1"/>
    </row>
    <row r="3541" spans="19:19" ht="26.25">
      <c r="S3541" s="61" ph="1"/>
    </row>
    <row r="3542" spans="19:19" ht="26.25">
      <c r="S3542" s="61" ph="1"/>
    </row>
    <row r="3543" spans="19:19" ht="26.25">
      <c r="S3543" s="61" ph="1"/>
    </row>
    <row r="3544" spans="19:19" ht="26.25">
      <c r="S3544" s="61" ph="1"/>
    </row>
    <row r="3545" spans="19:19" ht="26.25">
      <c r="S3545" s="61" ph="1"/>
    </row>
    <row r="3546" spans="19:19" ht="26.25">
      <c r="S3546" s="61" ph="1"/>
    </row>
    <row r="3547" spans="19:19" ht="26.25">
      <c r="S3547" s="61" ph="1"/>
    </row>
    <row r="3548" spans="19:19" ht="26.25">
      <c r="S3548" s="61" ph="1"/>
    </row>
    <row r="3549" spans="19:19" ht="26.25">
      <c r="S3549" s="61" ph="1"/>
    </row>
    <row r="3550" spans="19:19" ht="26.25">
      <c r="S3550" s="61" ph="1"/>
    </row>
    <row r="3551" spans="19:19" ht="26.25">
      <c r="S3551" s="61" ph="1"/>
    </row>
    <row r="3552" spans="19:19" ht="26.25">
      <c r="S3552" s="61" ph="1"/>
    </row>
    <row r="3553" spans="19:19" ht="26.25">
      <c r="S3553" s="61" ph="1"/>
    </row>
    <row r="3554" spans="19:19" ht="26.25">
      <c r="S3554" s="61" ph="1"/>
    </row>
    <row r="3555" spans="19:19" ht="26.25">
      <c r="S3555" s="61" ph="1"/>
    </row>
    <row r="3556" spans="19:19" ht="26.25">
      <c r="S3556" s="61" ph="1"/>
    </row>
    <row r="3557" spans="19:19" ht="26.25">
      <c r="S3557" s="61" ph="1"/>
    </row>
    <row r="3558" spans="19:19" ht="26.25">
      <c r="S3558" s="61" ph="1"/>
    </row>
    <row r="3559" spans="19:19" ht="26.25">
      <c r="S3559" s="61" ph="1"/>
    </row>
    <row r="3560" spans="19:19" ht="26.25">
      <c r="S3560" s="61" ph="1"/>
    </row>
    <row r="3561" spans="19:19" ht="26.25">
      <c r="S3561" s="61" ph="1"/>
    </row>
    <row r="3562" spans="19:19" ht="26.25">
      <c r="S3562" s="61" ph="1"/>
    </row>
    <row r="3563" spans="19:19" ht="26.25">
      <c r="S3563" s="61" ph="1"/>
    </row>
    <row r="3564" spans="19:19" ht="26.25">
      <c r="S3564" s="61" ph="1"/>
    </row>
    <row r="3565" spans="19:19" ht="26.25">
      <c r="S3565" s="61" ph="1"/>
    </row>
    <row r="3566" spans="19:19" ht="26.25">
      <c r="S3566" s="61" ph="1"/>
    </row>
    <row r="3567" spans="19:19" ht="26.25">
      <c r="S3567" s="61" ph="1"/>
    </row>
    <row r="3568" spans="19:19" ht="26.25">
      <c r="S3568" s="61" ph="1"/>
    </row>
    <row r="3569" spans="19:19" ht="26.25">
      <c r="S3569" s="61" ph="1"/>
    </row>
    <row r="3570" spans="19:19" ht="26.25">
      <c r="S3570" s="61" ph="1"/>
    </row>
    <row r="3571" spans="19:19" ht="26.25">
      <c r="S3571" s="61" ph="1"/>
    </row>
    <row r="3572" spans="19:19" ht="26.25">
      <c r="S3572" s="61" ph="1"/>
    </row>
    <row r="3573" spans="19:19" ht="26.25">
      <c r="S3573" s="61" ph="1"/>
    </row>
    <row r="3574" spans="19:19" ht="26.25">
      <c r="S3574" s="61" ph="1"/>
    </row>
    <row r="3575" spans="19:19" ht="26.25">
      <c r="S3575" s="61" ph="1"/>
    </row>
    <row r="3576" spans="19:19" ht="26.25">
      <c r="S3576" s="61" ph="1"/>
    </row>
    <row r="3577" spans="19:19" ht="26.25">
      <c r="S3577" s="61" ph="1"/>
    </row>
    <row r="3578" spans="19:19" ht="26.25">
      <c r="S3578" s="61" ph="1"/>
    </row>
    <row r="3579" spans="19:19" ht="26.25">
      <c r="S3579" s="61" ph="1"/>
    </row>
    <row r="3580" spans="19:19" ht="26.25">
      <c r="S3580" s="61" ph="1"/>
    </row>
    <row r="3581" spans="19:19" ht="26.25">
      <c r="S3581" s="61" ph="1"/>
    </row>
    <row r="3582" spans="19:19" ht="26.25">
      <c r="S3582" s="61" ph="1"/>
    </row>
    <row r="3583" spans="19:19" ht="26.25">
      <c r="S3583" s="61" ph="1"/>
    </row>
    <row r="3584" spans="19:19" ht="26.25">
      <c r="S3584" s="61" ph="1"/>
    </row>
    <row r="3585" spans="19:19" ht="26.25">
      <c r="S3585" s="61" ph="1"/>
    </row>
    <row r="3586" spans="19:19" ht="26.25">
      <c r="S3586" s="61" ph="1"/>
    </row>
    <row r="3587" spans="19:19" ht="26.25">
      <c r="S3587" s="61" ph="1"/>
    </row>
    <row r="3588" spans="19:19" ht="26.25">
      <c r="S3588" s="61" ph="1"/>
    </row>
    <row r="3589" spans="19:19" ht="26.25">
      <c r="S3589" s="61" ph="1"/>
    </row>
    <row r="3590" spans="19:19" ht="26.25">
      <c r="S3590" s="61" ph="1"/>
    </row>
    <row r="3591" spans="19:19" ht="26.25">
      <c r="S3591" s="61" ph="1"/>
    </row>
    <row r="3592" spans="19:19" ht="26.25">
      <c r="S3592" s="61" ph="1"/>
    </row>
    <row r="3593" spans="19:19" ht="26.25">
      <c r="S3593" s="61" ph="1"/>
    </row>
    <row r="3594" spans="19:19" ht="26.25">
      <c r="S3594" s="61" ph="1"/>
    </row>
    <row r="3595" spans="19:19" ht="26.25">
      <c r="S3595" s="61" ph="1"/>
    </row>
    <row r="3596" spans="19:19" ht="26.25">
      <c r="S3596" s="61" ph="1"/>
    </row>
    <row r="3597" spans="19:19" ht="26.25">
      <c r="S3597" s="61" ph="1"/>
    </row>
    <row r="3598" spans="19:19" ht="26.25">
      <c r="S3598" s="61" ph="1"/>
    </row>
    <row r="3599" spans="19:19" ht="26.25">
      <c r="S3599" s="61" ph="1"/>
    </row>
    <row r="3600" spans="19:19" ht="26.25">
      <c r="S3600" s="61" ph="1"/>
    </row>
    <row r="3601" spans="19:19" ht="26.25">
      <c r="S3601" s="61" ph="1"/>
    </row>
    <row r="3602" spans="19:19" ht="26.25">
      <c r="S3602" s="61" ph="1"/>
    </row>
    <row r="3603" spans="19:19" ht="26.25">
      <c r="S3603" s="61" ph="1"/>
    </row>
    <row r="3604" spans="19:19" ht="26.25">
      <c r="S3604" s="61" ph="1"/>
    </row>
    <row r="3605" spans="19:19" ht="26.25">
      <c r="S3605" s="61" ph="1"/>
    </row>
    <row r="3606" spans="19:19" ht="26.25">
      <c r="S3606" s="61" ph="1"/>
    </row>
    <row r="3607" spans="19:19" ht="26.25">
      <c r="S3607" s="61" ph="1"/>
    </row>
    <row r="3608" spans="19:19" ht="26.25">
      <c r="S3608" s="61" ph="1"/>
    </row>
    <row r="3609" spans="19:19" ht="26.25">
      <c r="S3609" s="61" ph="1"/>
    </row>
    <row r="3610" spans="19:19" ht="26.25">
      <c r="S3610" s="61" ph="1"/>
    </row>
    <row r="3611" spans="19:19" ht="26.25">
      <c r="S3611" s="61" ph="1"/>
    </row>
    <row r="3612" spans="19:19" ht="26.25">
      <c r="S3612" s="61" ph="1"/>
    </row>
    <row r="3613" spans="19:19" ht="26.25">
      <c r="S3613" s="61" ph="1"/>
    </row>
    <row r="3614" spans="19:19" ht="26.25">
      <c r="S3614" s="61" ph="1"/>
    </row>
    <row r="3615" spans="19:19" ht="26.25">
      <c r="S3615" s="61" ph="1"/>
    </row>
    <row r="3616" spans="19:19" ht="26.25">
      <c r="S3616" s="61" ph="1"/>
    </row>
    <row r="3617" spans="19:19" ht="26.25">
      <c r="S3617" s="61" ph="1"/>
    </row>
    <row r="3618" spans="19:19" ht="26.25">
      <c r="S3618" s="61" ph="1"/>
    </row>
    <row r="3619" spans="19:19" ht="26.25">
      <c r="S3619" s="61" ph="1"/>
    </row>
    <row r="3620" spans="19:19" ht="26.25">
      <c r="S3620" s="61" ph="1"/>
    </row>
    <row r="3621" spans="19:19" ht="26.25">
      <c r="S3621" s="61" ph="1"/>
    </row>
    <row r="3622" spans="19:19" ht="26.25">
      <c r="S3622" s="61" ph="1"/>
    </row>
    <row r="3623" spans="19:19" ht="26.25">
      <c r="S3623" s="61" ph="1"/>
    </row>
    <row r="3624" spans="19:19" ht="26.25">
      <c r="S3624" s="61" ph="1"/>
    </row>
    <row r="3625" spans="19:19" ht="26.25">
      <c r="S3625" s="61" ph="1"/>
    </row>
    <row r="3626" spans="19:19" ht="26.25">
      <c r="S3626" s="61" ph="1"/>
    </row>
    <row r="3627" spans="19:19" ht="26.25">
      <c r="S3627" s="61" ph="1"/>
    </row>
    <row r="3628" spans="19:19" ht="26.25">
      <c r="S3628" s="61" ph="1"/>
    </row>
    <row r="3629" spans="19:19" ht="26.25">
      <c r="S3629" s="61" ph="1"/>
    </row>
    <row r="3630" spans="19:19" ht="26.25">
      <c r="S3630" s="61" ph="1"/>
    </row>
    <row r="3631" spans="19:19" ht="26.25">
      <c r="S3631" s="61" ph="1"/>
    </row>
    <row r="3632" spans="19:19" ht="26.25">
      <c r="S3632" s="61" ph="1"/>
    </row>
    <row r="3633" spans="19:19" ht="26.25">
      <c r="S3633" s="61" ph="1"/>
    </row>
    <row r="3634" spans="19:19" ht="26.25">
      <c r="S3634" s="61" ph="1"/>
    </row>
    <row r="3635" spans="19:19" ht="26.25">
      <c r="S3635" s="61" ph="1"/>
    </row>
    <row r="3636" spans="19:19" ht="26.25">
      <c r="S3636" s="61" ph="1"/>
    </row>
    <row r="3637" spans="19:19" ht="26.25">
      <c r="S3637" s="61" ph="1"/>
    </row>
    <row r="3638" spans="19:19" ht="26.25">
      <c r="S3638" s="61" ph="1"/>
    </row>
    <row r="3639" spans="19:19" ht="26.25">
      <c r="S3639" s="61" ph="1"/>
    </row>
    <row r="3640" spans="19:19" ht="26.25">
      <c r="S3640" s="61" ph="1"/>
    </row>
    <row r="3641" spans="19:19" ht="26.25">
      <c r="S3641" s="61" ph="1"/>
    </row>
    <row r="3642" spans="19:19" ht="26.25">
      <c r="S3642" s="61" ph="1"/>
    </row>
    <row r="3643" spans="19:19" ht="26.25">
      <c r="S3643" s="61" ph="1"/>
    </row>
    <row r="3644" spans="19:19" ht="26.25">
      <c r="S3644" s="61" ph="1"/>
    </row>
    <row r="3645" spans="19:19" ht="26.25">
      <c r="S3645" s="61" ph="1"/>
    </row>
    <row r="3646" spans="19:19" ht="26.25">
      <c r="S3646" s="61" ph="1"/>
    </row>
    <row r="3647" spans="19:19" ht="26.25">
      <c r="S3647" s="61" ph="1"/>
    </row>
    <row r="3648" spans="19:19" ht="26.25">
      <c r="S3648" s="61" ph="1"/>
    </row>
    <row r="3649" spans="19:19" ht="26.25">
      <c r="S3649" s="61" ph="1"/>
    </row>
    <row r="3650" spans="19:19" ht="26.25">
      <c r="S3650" s="61" ph="1"/>
    </row>
    <row r="3651" spans="19:19" ht="26.25">
      <c r="S3651" s="61" ph="1"/>
    </row>
    <row r="3652" spans="19:19" ht="26.25">
      <c r="S3652" s="61" ph="1"/>
    </row>
    <row r="3653" spans="19:19" ht="26.25">
      <c r="S3653" s="61" ph="1"/>
    </row>
    <row r="3654" spans="19:19" ht="26.25">
      <c r="S3654" s="61" ph="1"/>
    </row>
    <row r="3655" spans="19:19" ht="26.25">
      <c r="S3655" s="61" ph="1"/>
    </row>
    <row r="3656" spans="19:19" ht="26.25">
      <c r="S3656" s="61" ph="1"/>
    </row>
    <row r="3657" spans="19:19" ht="26.25">
      <c r="S3657" s="61" ph="1"/>
    </row>
    <row r="3658" spans="19:19" ht="26.25">
      <c r="S3658" s="61" ph="1"/>
    </row>
    <row r="3659" spans="19:19" ht="26.25">
      <c r="S3659" s="61" ph="1"/>
    </row>
    <row r="3660" spans="19:19" ht="26.25">
      <c r="S3660" s="61" ph="1"/>
    </row>
    <row r="3661" spans="19:19" ht="26.25">
      <c r="S3661" s="61" ph="1"/>
    </row>
    <row r="3662" spans="19:19" ht="26.25">
      <c r="S3662" s="61" ph="1"/>
    </row>
    <row r="3663" spans="19:19" ht="26.25">
      <c r="S3663" s="61" ph="1"/>
    </row>
    <row r="3664" spans="19:19" ht="26.25">
      <c r="S3664" s="61" ph="1"/>
    </row>
    <row r="3665" spans="19:19" ht="26.25">
      <c r="S3665" s="61" ph="1"/>
    </row>
    <row r="3666" spans="19:19" ht="26.25">
      <c r="S3666" s="61" ph="1"/>
    </row>
    <row r="3667" spans="19:19" ht="26.25">
      <c r="S3667" s="61" ph="1"/>
    </row>
    <row r="3668" spans="19:19" ht="26.25">
      <c r="S3668" s="61" ph="1"/>
    </row>
    <row r="3669" spans="19:19" ht="26.25">
      <c r="S3669" s="61" ph="1"/>
    </row>
    <row r="3670" spans="19:19" ht="26.25">
      <c r="S3670" s="61" ph="1"/>
    </row>
    <row r="3671" spans="19:19" ht="26.25">
      <c r="S3671" s="61" ph="1"/>
    </row>
    <row r="3672" spans="19:19" ht="26.25">
      <c r="S3672" s="61" ph="1"/>
    </row>
    <row r="3673" spans="19:19" ht="26.25">
      <c r="S3673" s="61" ph="1"/>
    </row>
    <row r="3674" spans="19:19" ht="26.25">
      <c r="S3674" s="61" ph="1"/>
    </row>
    <row r="3675" spans="19:19" ht="26.25">
      <c r="S3675" s="61" ph="1"/>
    </row>
    <row r="3676" spans="19:19" ht="26.25">
      <c r="S3676" s="61" ph="1"/>
    </row>
    <row r="3677" spans="19:19" ht="26.25">
      <c r="S3677" s="61" ph="1"/>
    </row>
    <row r="3678" spans="19:19" ht="26.25">
      <c r="S3678" s="61" ph="1"/>
    </row>
    <row r="3679" spans="19:19" ht="26.25">
      <c r="S3679" s="61" ph="1"/>
    </row>
    <row r="3680" spans="19:19" ht="26.25">
      <c r="S3680" s="61" ph="1"/>
    </row>
    <row r="3681" spans="19:19" ht="26.25">
      <c r="S3681" s="61" ph="1"/>
    </row>
    <row r="3682" spans="19:19" ht="26.25">
      <c r="S3682" s="61" ph="1"/>
    </row>
    <row r="3683" spans="19:19" ht="26.25">
      <c r="S3683" s="61" ph="1"/>
    </row>
    <row r="3684" spans="19:19" ht="26.25">
      <c r="S3684" s="61" ph="1"/>
    </row>
    <row r="3685" spans="19:19" ht="26.25">
      <c r="S3685" s="61" ph="1"/>
    </row>
    <row r="3686" spans="19:19" ht="26.25">
      <c r="S3686" s="61" ph="1"/>
    </row>
    <row r="3687" spans="19:19" ht="26.25">
      <c r="S3687" s="61" ph="1"/>
    </row>
    <row r="3688" spans="19:19" ht="26.25">
      <c r="S3688" s="61" ph="1"/>
    </row>
    <row r="3689" spans="19:19" ht="26.25">
      <c r="S3689" s="61" ph="1"/>
    </row>
    <row r="3690" spans="19:19" ht="26.25">
      <c r="S3690" s="61" ph="1"/>
    </row>
    <row r="3691" spans="19:19" ht="26.25">
      <c r="S3691" s="61" ph="1"/>
    </row>
    <row r="3692" spans="19:19" ht="26.25">
      <c r="S3692" s="61" ph="1"/>
    </row>
    <row r="3693" spans="19:19" ht="26.25">
      <c r="S3693" s="61" ph="1"/>
    </row>
    <row r="3694" spans="19:19" ht="26.25">
      <c r="S3694" s="61" ph="1"/>
    </row>
    <row r="3695" spans="19:19" ht="26.25">
      <c r="S3695" s="61" ph="1"/>
    </row>
    <row r="3696" spans="19:19" ht="26.25">
      <c r="S3696" s="61" ph="1"/>
    </row>
    <row r="3697" spans="19:19" ht="26.25">
      <c r="S3697" s="61" ph="1"/>
    </row>
    <row r="3698" spans="19:19" ht="26.25">
      <c r="S3698" s="61" ph="1"/>
    </row>
    <row r="3699" spans="19:19" ht="26.25">
      <c r="S3699" s="61" ph="1"/>
    </row>
    <row r="3700" spans="19:19" ht="26.25">
      <c r="S3700" s="61" ph="1"/>
    </row>
    <row r="3701" spans="19:19" ht="26.25">
      <c r="S3701" s="61" ph="1"/>
    </row>
    <row r="3702" spans="19:19" ht="26.25">
      <c r="S3702" s="61" ph="1"/>
    </row>
    <row r="3703" spans="19:19" ht="26.25">
      <c r="S3703" s="61" ph="1"/>
    </row>
    <row r="3704" spans="19:19" ht="26.25">
      <c r="S3704" s="61" ph="1"/>
    </row>
    <row r="3705" spans="19:19" ht="26.25">
      <c r="S3705" s="61" ph="1"/>
    </row>
    <row r="3706" spans="19:19" ht="26.25">
      <c r="S3706" s="61" ph="1"/>
    </row>
    <row r="3707" spans="19:19" ht="26.25">
      <c r="S3707" s="61" ph="1"/>
    </row>
    <row r="3708" spans="19:19" ht="26.25">
      <c r="S3708" s="61" ph="1"/>
    </row>
    <row r="3709" spans="19:19" ht="26.25">
      <c r="S3709" s="61" ph="1"/>
    </row>
    <row r="3710" spans="19:19" ht="26.25">
      <c r="S3710" s="61" ph="1"/>
    </row>
    <row r="3711" spans="19:19" ht="26.25">
      <c r="S3711" s="61" ph="1"/>
    </row>
    <row r="3712" spans="19:19" ht="26.25">
      <c r="S3712" s="61" ph="1"/>
    </row>
    <row r="3713" spans="19:19" ht="26.25">
      <c r="S3713" s="61" ph="1"/>
    </row>
    <row r="3714" spans="19:19" ht="26.25">
      <c r="S3714" s="61" ph="1"/>
    </row>
    <row r="3715" spans="19:19" ht="26.25">
      <c r="S3715" s="61" ph="1"/>
    </row>
    <row r="3716" spans="19:19" ht="26.25">
      <c r="S3716" s="61" ph="1"/>
    </row>
    <row r="3717" spans="19:19" ht="26.25">
      <c r="S3717" s="61" ph="1"/>
    </row>
    <row r="3718" spans="19:19" ht="26.25">
      <c r="S3718" s="61" ph="1"/>
    </row>
    <row r="3719" spans="19:19" ht="26.25">
      <c r="S3719" s="61" ph="1"/>
    </row>
    <row r="3720" spans="19:19" ht="26.25">
      <c r="S3720" s="61" ph="1"/>
    </row>
    <row r="3721" spans="19:19" ht="26.25">
      <c r="S3721" s="61" ph="1"/>
    </row>
    <row r="3722" spans="19:19" ht="26.25">
      <c r="S3722" s="61" ph="1"/>
    </row>
    <row r="3723" spans="19:19" ht="26.25">
      <c r="S3723" s="61" ph="1"/>
    </row>
    <row r="3724" spans="19:19" ht="26.25">
      <c r="S3724" s="61" ph="1"/>
    </row>
    <row r="3725" spans="19:19" ht="26.25">
      <c r="S3725" s="61" ph="1"/>
    </row>
    <row r="3726" spans="19:19" ht="26.25">
      <c r="S3726" s="61" ph="1"/>
    </row>
    <row r="3727" spans="19:19" ht="26.25">
      <c r="S3727" s="61" ph="1"/>
    </row>
    <row r="3728" spans="19:19" ht="26.25">
      <c r="S3728" s="61" ph="1"/>
    </row>
    <row r="3729" spans="19:19" ht="26.25">
      <c r="S3729" s="61" ph="1"/>
    </row>
    <row r="3730" spans="19:19" ht="26.25">
      <c r="S3730" s="61" ph="1"/>
    </row>
    <row r="3731" spans="19:19" ht="26.25">
      <c r="S3731" s="61" ph="1"/>
    </row>
    <row r="3732" spans="19:19" ht="26.25">
      <c r="S3732" s="61" ph="1"/>
    </row>
    <row r="3733" spans="19:19" ht="26.25">
      <c r="S3733" s="61" ph="1"/>
    </row>
    <row r="3734" spans="19:19" ht="26.25">
      <c r="S3734" s="61" ph="1"/>
    </row>
    <row r="3735" spans="19:19" ht="26.25">
      <c r="S3735" s="61" ph="1"/>
    </row>
    <row r="3736" spans="19:19" ht="26.25">
      <c r="S3736" s="61" ph="1"/>
    </row>
    <row r="3737" spans="19:19" ht="26.25">
      <c r="S3737" s="61" ph="1"/>
    </row>
    <row r="3738" spans="19:19" ht="26.25">
      <c r="S3738" s="61" ph="1"/>
    </row>
    <row r="3739" spans="19:19" ht="26.25">
      <c r="S3739" s="61" ph="1"/>
    </row>
    <row r="3740" spans="19:19" ht="26.25">
      <c r="S3740" s="61" ph="1"/>
    </row>
    <row r="3741" spans="19:19" ht="26.25">
      <c r="S3741" s="61" ph="1"/>
    </row>
    <row r="3742" spans="19:19" ht="26.25">
      <c r="S3742" s="61" ph="1"/>
    </row>
    <row r="3743" spans="19:19" ht="26.25">
      <c r="S3743" s="61" ph="1"/>
    </row>
    <row r="3744" spans="19:19" ht="26.25">
      <c r="S3744" s="61" ph="1"/>
    </row>
    <row r="3745" spans="19:19" ht="26.25">
      <c r="S3745" s="61" ph="1"/>
    </row>
    <row r="3746" spans="19:19" ht="26.25">
      <c r="S3746" s="61" ph="1"/>
    </row>
    <row r="3747" spans="19:19" ht="26.25">
      <c r="S3747" s="61" ph="1"/>
    </row>
    <row r="3748" spans="19:19" ht="26.25">
      <c r="S3748" s="61" ph="1"/>
    </row>
    <row r="3749" spans="19:19" ht="26.25">
      <c r="S3749" s="61" ph="1"/>
    </row>
    <row r="3750" spans="19:19" ht="26.25">
      <c r="S3750" s="61" ph="1"/>
    </row>
    <row r="3751" spans="19:19" ht="26.25">
      <c r="S3751" s="61" ph="1"/>
    </row>
    <row r="3752" spans="19:19" ht="26.25">
      <c r="S3752" s="61" ph="1"/>
    </row>
    <row r="3753" spans="19:19" ht="26.25">
      <c r="S3753" s="61" ph="1"/>
    </row>
    <row r="3754" spans="19:19" ht="26.25">
      <c r="S3754" s="61" ph="1"/>
    </row>
    <row r="3755" spans="19:19" ht="26.25">
      <c r="S3755" s="61" ph="1"/>
    </row>
    <row r="3756" spans="19:19" ht="26.25">
      <c r="S3756" s="61" ph="1"/>
    </row>
    <row r="3757" spans="19:19" ht="26.25">
      <c r="S3757" s="61" ph="1"/>
    </row>
    <row r="3758" spans="19:19" ht="26.25">
      <c r="S3758" s="61" ph="1"/>
    </row>
    <row r="3759" spans="19:19" ht="26.25">
      <c r="S3759" s="61" ph="1"/>
    </row>
    <row r="3760" spans="19:19" ht="26.25">
      <c r="S3760" s="61" ph="1"/>
    </row>
    <row r="3761" spans="19:19" ht="26.25">
      <c r="S3761" s="61" ph="1"/>
    </row>
    <row r="3762" spans="19:19" ht="26.25">
      <c r="S3762" s="61" ph="1"/>
    </row>
    <row r="3763" spans="19:19" ht="26.25">
      <c r="S3763" s="61" ph="1"/>
    </row>
    <row r="3764" spans="19:19" ht="26.25">
      <c r="S3764" s="61" ph="1"/>
    </row>
    <row r="3765" spans="19:19" ht="26.25">
      <c r="S3765" s="61" ph="1"/>
    </row>
    <row r="3766" spans="19:19" ht="26.25">
      <c r="S3766" s="61" ph="1"/>
    </row>
    <row r="3767" spans="19:19" ht="26.25">
      <c r="S3767" s="61" ph="1"/>
    </row>
    <row r="3768" spans="19:19" ht="26.25">
      <c r="S3768" s="61" ph="1"/>
    </row>
    <row r="3769" spans="19:19" ht="26.25">
      <c r="S3769" s="61" ph="1"/>
    </row>
    <row r="3770" spans="19:19" ht="26.25">
      <c r="S3770" s="61" ph="1"/>
    </row>
    <row r="3771" spans="19:19" ht="26.25">
      <c r="S3771" s="61" ph="1"/>
    </row>
    <row r="3772" spans="19:19" ht="26.25">
      <c r="S3772" s="61" ph="1"/>
    </row>
    <row r="3773" spans="19:19" ht="26.25">
      <c r="S3773" s="61" ph="1"/>
    </row>
    <row r="3774" spans="19:19" ht="26.25">
      <c r="S3774" s="61" ph="1"/>
    </row>
    <row r="3775" spans="19:19" ht="26.25">
      <c r="S3775" s="61" ph="1"/>
    </row>
    <row r="3776" spans="19:19" ht="26.25">
      <c r="S3776" s="61" ph="1"/>
    </row>
    <row r="3777" spans="19:19" ht="26.25">
      <c r="S3777" s="61" ph="1"/>
    </row>
    <row r="3778" spans="19:19" ht="26.25">
      <c r="S3778" s="61" ph="1"/>
    </row>
    <row r="3779" spans="19:19" ht="26.25">
      <c r="S3779" s="61" ph="1"/>
    </row>
    <row r="3780" spans="19:19" ht="26.25">
      <c r="S3780" s="61" ph="1"/>
    </row>
    <row r="3781" spans="19:19" ht="26.25">
      <c r="S3781" s="61" ph="1"/>
    </row>
    <row r="3782" spans="19:19" ht="26.25">
      <c r="S3782" s="61" ph="1"/>
    </row>
    <row r="3783" spans="19:19" ht="26.25">
      <c r="S3783" s="61" ph="1"/>
    </row>
    <row r="3784" spans="19:19" ht="26.25">
      <c r="S3784" s="61" ph="1"/>
    </row>
    <row r="3785" spans="19:19" ht="26.25">
      <c r="S3785" s="61" ph="1"/>
    </row>
    <row r="3786" spans="19:19" ht="26.25">
      <c r="S3786" s="61" ph="1"/>
    </row>
    <row r="3787" spans="19:19" ht="26.25">
      <c r="S3787" s="61" ph="1"/>
    </row>
    <row r="3788" spans="19:19" ht="26.25">
      <c r="S3788" s="61" ph="1"/>
    </row>
    <row r="3789" spans="19:19" ht="26.25">
      <c r="S3789" s="61" ph="1"/>
    </row>
    <row r="3790" spans="19:19" ht="26.25">
      <c r="S3790" s="61" ph="1"/>
    </row>
    <row r="3791" spans="19:19" ht="26.25">
      <c r="S3791" s="61" ph="1"/>
    </row>
    <row r="3792" spans="19:19" ht="26.25">
      <c r="S3792" s="61" ph="1"/>
    </row>
    <row r="3793" spans="19:19" ht="26.25">
      <c r="S3793" s="61" ph="1"/>
    </row>
    <row r="3794" spans="19:19" ht="26.25">
      <c r="S3794" s="61" ph="1"/>
    </row>
    <row r="3795" spans="19:19" ht="26.25">
      <c r="S3795" s="61" ph="1"/>
    </row>
    <row r="3796" spans="19:19" ht="26.25">
      <c r="S3796" s="61" ph="1"/>
    </row>
    <row r="3797" spans="19:19" ht="26.25">
      <c r="S3797" s="61" ph="1"/>
    </row>
    <row r="3798" spans="19:19" ht="26.25">
      <c r="S3798" s="61" ph="1"/>
    </row>
    <row r="3799" spans="19:19" ht="26.25">
      <c r="S3799" s="61" ph="1"/>
    </row>
    <row r="3800" spans="19:19" ht="26.25">
      <c r="S3800" s="61" ph="1"/>
    </row>
    <row r="3801" spans="19:19" ht="26.25">
      <c r="S3801" s="61" ph="1"/>
    </row>
    <row r="3802" spans="19:19" ht="26.25">
      <c r="S3802" s="61" ph="1"/>
    </row>
    <row r="3803" spans="19:19" ht="26.25">
      <c r="S3803" s="61" ph="1"/>
    </row>
    <row r="3804" spans="19:19" ht="26.25">
      <c r="S3804" s="61" ph="1"/>
    </row>
    <row r="3805" spans="19:19" ht="26.25">
      <c r="S3805" s="61" ph="1"/>
    </row>
    <row r="3806" spans="19:19" ht="26.25">
      <c r="S3806" s="61" ph="1"/>
    </row>
    <row r="3807" spans="19:19" ht="26.25">
      <c r="S3807" s="61" ph="1"/>
    </row>
    <row r="3808" spans="19:19" ht="26.25">
      <c r="S3808" s="61" ph="1"/>
    </row>
    <row r="3809" spans="19:19" ht="26.25">
      <c r="S3809" s="61" ph="1"/>
    </row>
    <row r="3810" spans="19:19" ht="26.25">
      <c r="S3810" s="61" ph="1"/>
    </row>
    <row r="3811" spans="19:19" ht="26.25">
      <c r="S3811" s="61" ph="1"/>
    </row>
    <row r="3812" spans="19:19" ht="26.25">
      <c r="S3812" s="61" ph="1"/>
    </row>
    <row r="3813" spans="19:19" ht="26.25">
      <c r="S3813" s="61" ph="1"/>
    </row>
    <row r="3814" spans="19:19" ht="26.25">
      <c r="S3814" s="61" ph="1"/>
    </row>
    <row r="3815" spans="19:19" ht="26.25">
      <c r="S3815" s="61" ph="1"/>
    </row>
    <row r="3816" spans="19:19" ht="26.25">
      <c r="S3816" s="61" ph="1"/>
    </row>
    <row r="3817" spans="19:19" ht="26.25">
      <c r="S3817" s="61" ph="1"/>
    </row>
    <row r="3818" spans="19:19" ht="26.25">
      <c r="S3818" s="61" ph="1"/>
    </row>
    <row r="3819" spans="19:19" ht="26.25">
      <c r="S3819" s="61" ph="1"/>
    </row>
    <row r="3820" spans="19:19" ht="26.25">
      <c r="S3820" s="61" ph="1"/>
    </row>
    <row r="3821" spans="19:19" ht="26.25">
      <c r="S3821" s="61" ph="1"/>
    </row>
    <row r="3822" spans="19:19" ht="26.25">
      <c r="S3822" s="61" ph="1"/>
    </row>
    <row r="3823" spans="19:19" ht="26.25">
      <c r="S3823" s="61" ph="1"/>
    </row>
    <row r="3824" spans="19:19" ht="26.25">
      <c r="S3824" s="61" ph="1"/>
    </row>
    <row r="3825" spans="19:19" ht="26.25">
      <c r="S3825" s="61" ph="1"/>
    </row>
    <row r="3826" spans="19:19" ht="26.25">
      <c r="S3826" s="61" ph="1"/>
    </row>
    <row r="3827" spans="19:19" ht="26.25">
      <c r="S3827" s="61" ph="1"/>
    </row>
    <row r="3828" spans="19:19" ht="26.25">
      <c r="S3828" s="61" ph="1"/>
    </row>
    <row r="3829" spans="19:19" ht="26.25">
      <c r="S3829" s="61" ph="1"/>
    </row>
    <row r="3830" spans="19:19" ht="26.25">
      <c r="S3830" s="61" ph="1"/>
    </row>
    <row r="3831" spans="19:19" ht="26.25">
      <c r="S3831" s="61" ph="1"/>
    </row>
    <row r="3832" spans="19:19" ht="26.25">
      <c r="S3832" s="61" ph="1"/>
    </row>
    <row r="3833" spans="19:19" ht="26.25">
      <c r="S3833" s="61" ph="1"/>
    </row>
    <row r="3834" spans="19:19" ht="26.25">
      <c r="S3834" s="61" ph="1"/>
    </row>
    <row r="3835" spans="19:19" ht="26.25">
      <c r="S3835" s="61" ph="1"/>
    </row>
    <row r="3836" spans="19:19" ht="26.25">
      <c r="S3836" s="61" ph="1"/>
    </row>
    <row r="3837" spans="19:19" ht="26.25">
      <c r="S3837" s="61" ph="1"/>
    </row>
    <row r="3838" spans="19:19" ht="26.25">
      <c r="S3838" s="61" ph="1"/>
    </row>
    <row r="3839" spans="19:19" ht="26.25">
      <c r="S3839" s="61" ph="1"/>
    </row>
    <row r="3840" spans="19:19" ht="26.25">
      <c r="S3840" s="61" ph="1"/>
    </row>
    <row r="3841" spans="19:19" ht="26.25">
      <c r="S3841" s="61" ph="1"/>
    </row>
    <row r="3842" spans="19:19" ht="26.25">
      <c r="S3842" s="61" ph="1"/>
    </row>
    <row r="3843" spans="19:19" ht="26.25">
      <c r="S3843" s="61" ph="1"/>
    </row>
    <row r="3844" spans="19:19" ht="26.25">
      <c r="S3844" s="61" ph="1"/>
    </row>
    <row r="3845" spans="19:19" ht="26.25">
      <c r="S3845" s="61" ph="1"/>
    </row>
    <row r="3846" spans="19:19" ht="26.25">
      <c r="S3846" s="61" ph="1"/>
    </row>
    <row r="3847" spans="19:19" ht="26.25">
      <c r="S3847" s="61" ph="1"/>
    </row>
    <row r="3848" spans="19:19" ht="26.25">
      <c r="S3848" s="61" ph="1"/>
    </row>
    <row r="3849" spans="19:19" ht="26.25">
      <c r="S3849" s="61" ph="1"/>
    </row>
    <row r="3850" spans="19:19" ht="26.25">
      <c r="S3850" s="61" ph="1"/>
    </row>
    <row r="3851" spans="19:19" ht="26.25">
      <c r="S3851" s="61" ph="1"/>
    </row>
    <row r="3852" spans="19:19" ht="26.25">
      <c r="S3852" s="61" ph="1"/>
    </row>
    <row r="3853" spans="19:19" ht="26.25">
      <c r="S3853" s="61" ph="1"/>
    </row>
    <row r="3854" spans="19:19" ht="26.25">
      <c r="S3854" s="61" ph="1"/>
    </row>
    <row r="3855" spans="19:19" ht="26.25">
      <c r="S3855" s="61" ph="1"/>
    </row>
    <row r="3856" spans="19:19" ht="26.25">
      <c r="S3856" s="61" ph="1"/>
    </row>
    <row r="3857" spans="19:19" ht="26.25">
      <c r="S3857" s="61" ph="1"/>
    </row>
    <row r="3858" spans="19:19" ht="26.25">
      <c r="S3858" s="61" ph="1"/>
    </row>
    <row r="3859" spans="19:19" ht="26.25">
      <c r="S3859" s="61" ph="1"/>
    </row>
    <row r="3860" spans="19:19" ht="26.25">
      <c r="S3860" s="61" ph="1"/>
    </row>
    <row r="3861" spans="19:19" ht="26.25">
      <c r="S3861" s="61" ph="1"/>
    </row>
    <row r="3862" spans="19:19" ht="26.25">
      <c r="S3862" s="61" ph="1"/>
    </row>
    <row r="3863" spans="19:19" ht="26.25">
      <c r="S3863" s="61" ph="1"/>
    </row>
    <row r="3864" spans="19:19" ht="26.25">
      <c r="S3864" s="61" ph="1"/>
    </row>
    <row r="3865" spans="19:19" ht="26.25">
      <c r="S3865" s="61" ph="1"/>
    </row>
    <row r="3866" spans="19:19" ht="26.25">
      <c r="S3866" s="61" ph="1"/>
    </row>
    <row r="3867" spans="19:19" ht="26.25">
      <c r="S3867" s="61" ph="1"/>
    </row>
    <row r="3868" spans="19:19" ht="26.25">
      <c r="S3868" s="61" ph="1"/>
    </row>
    <row r="3869" spans="19:19" ht="26.25">
      <c r="S3869" s="61" ph="1"/>
    </row>
    <row r="3870" spans="19:19" ht="26.25">
      <c r="S3870" s="61" ph="1"/>
    </row>
    <row r="3871" spans="19:19" ht="26.25">
      <c r="S3871" s="61" ph="1"/>
    </row>
    <row r="3872" spans="19:19" ht="26.25">
      <c r="S3872" s="61" ph="1"/>
    </row>
    <row r="3873" spans="19:19" ht="26.25">
      <c r="S3873" s="61" ph="1"/>
    </row>
    <row r="3874" spans="19:19" ht="26.25">
      <c r="S3874" s="61" ph="1"/>
    </row>
    <row r="3875" spans="19:19" ht="26.25">
      <c r="S3875" s="61" ph="1"/>
    </row>
    <row r="3876" spans="19:19" ht="26.25">
      <c r="S3876" s="61" ph="1"/>
    </row>
    <row r="3877" spans="19:19" ht="26.25">
      <c r="S3877" s="61" ph="1"/>
    </row>
    <row r="3878" spans="19:19" ht="26.25">
      <c r="S3878" s="61" ph="1"/>
    </row>
    <row r="3879" spans="19:19" ht="26.25">
      <c r="S3879" s="61" ph="1"/>
    </row>
    <row r="3880" spans="19:19" ht="26.25">
      <c r="S3880" s="61" ph="1"/>
    </row>
    <row r="3881" spans="19:19" ht="26.25">
      <c r="S3881" s="61" ph="1"/>
    </row>
    <row r="3882" spans="19:19" ht="26.25">
      <c r="S3882" s="61" ph="1"/>
    </row>
    <row r="3883" spans="19:19" ht="26.25">
      <c r="S3883" s="61" ph="1"/>
    </row>
    <row r="3884" spans="19:19" ht="26.25">
      <c r="S3884" s="61" ph="1"/>
    </row>
    <row r="3885" spans="19:19" ht="26.25">
      <c r="S3885" s="61" ph="1"/>
    </row>
    <row r="3886" spans="19:19" ht="26.25">
      <c r="S3886" s="61" ph="1"/>
    </row>
    <row r="3887" spans="19:19" ht="26.25">
      <c r="S3887" s="61" ph="1"/>
    </row>
    <row r="3888" spans="19:19" ht="26.25">
      <c r="S3888" s="61" ph="1"/>
    </row>
    <row r="3889" spans="19:19" ht="26.25">
      <c r="S3889" s="61" ph="1"/>
    </row>
    <row r="3890" spans="19:19" ht="26.25">
      <c r="S3890" s="61" ph="1"/>
    </row>
    <row r="3891" spans="19:19" ht="26.25">
      <c r="S3891" s="61" ph="1"/>
    </row>
    <row r="3892" spans="19:19" ht="26.25">
      <c r="S3892" s="61" ph="1"/>
    </row>
    <row r="3893" spans="19:19" ht="26.25">
      <c r="S3893" s="61" ph="1"/>
    </row>
    <row r="3894" spans="19:19" ht="26.25">
      <c r="S3894" s="61" ph="1"/>
    </row>
    <row r="3895" spans="19:19" ht="26.25">
      <c r="S3895" s="61" ph="1"/>
    </row>
    <row r="3896" spans="19:19" ht="26.25">
      <c r="S3896" s="61" ph="1"/>
    </row>
    <row r="3897" spans="19:19" ht="26.25">
      <c r="S3897" s="61" ph="1"/>
    </row>
    <row r="3898" spans="19:19" ht="26.25">
      <c r="S3898" s="61" ph="1"/>
    </row>
    <row r="3899" spans="19:19" ht="26.25">
      <c r="S3899" s="61" ph="1"/>
    </row>
    <row r="3900" spans="19:19" ht="26.25">
      <c r="S3900" s="61" ph="1"/>
    </row>
    <row r="3901" spans="19:19" ht="26.25">
      <c r="S3901" s="61" ph="1"/>
    </row>
    <row r="3902" spans="19:19" ht="26.25">
      <c r="S3902" s="61" ph="1"/>
    </row>
    <row r="3903" spans="19:19" ht="26.25">
      <c r="S3903" s="61" ph="1"/>
    </row>
    <row r="3904" spans="19:19" ht="26.25">
      <c r="S3904" s="61" ph="1"/>
    </row>
    <row r="3905" spans="19:19" ht="26.25">
      <c r="S3905" s="61" ph="1"/>
    </row>
    <row r="3906" spans="19:19" ht="26.25">
      <c r="S3906" s="61" ph="1"/>
    </row>
    <row r="3907" spans="19:19" ht="26.25">
      <c r="S3907" s="61" ph="1"/>
    </row>
    <row r="3908" spans="19:19" ht="26.25">
      <c r="S3908" s="61" ph="1"/>
    </row>
    <row r="3909" spans="19:19" ht="26.25">
      <c r="S3909" s="61" ph="1"/>
    </row>
    <row r="3910" spans="19:19" ht="26.25">
      <c r="S3910" s="61" ph="1"/>
    </row>
    <row r="3911" spans="19:19" ht="26.25">
      <c r="S3911" s="61" ph="1"/>
    </row>
    <row r="3912" spans="19:19" ht="26.25">
      <c r="S3912" s="61" ph="1"/>
    </row>
    <row r="3913" spans="19:19" ht="26.25">
      <c r="S3913" s="61" ph="1"/>
    </row>
    <row r="3914" spans="19:19" ht="26.25">
      <c r="S3914" s="61" ph="1"/>
    </row>
    <row r="3915" spans="19:19" ht="26.25">
      <c r="S3915" s="61" ph="1"/>
    </row>
    <row r="3916" spans="19:19" ht="26.25">
      <c r="S3916" s="61" ph="1"/>
    </row>
    <row r="3917" spans="19:19" ht="26.25">
      <c r="S3917" s="61" ph="1"/>
    </row>
    <row r="3918" spans="19:19" ht="26.25">
      <c r="S3918" s="61" ph="1"/>
    </row>
    <row r="3919" spans="19:19" ht="26.25">
      <c r="S3919" s="61" ph="1"/>
    </row>
    <row r="3920" spans="19:19" ht="26.25">
      <c r="S3920" s="61" ph="1"/>
    </row>
    <row r="3921" spans="19:19" ht="26.25">
      <c r="S3921" s="61" ph="1"/>
    </row>
    <row r="3922" spans="19:19" ht="26.25">
      <c r="S3922" s="61" ph="1"/>
    </row>
    <row r="3923" spans="19:19" ht="26.25">
      <c r="S3923" s="61" ph="1"/>
    </row>
    <row r="3924" spans="19:19" ht="26.25">
      <c r="S3924" s="61" ph="1"/>
    </row>
    <row r="3925" spans="19:19" ht="26.25">
      <c r="S3925" s="61" ph="1"/>
    </row>
    <row r="3926" spans="19:19" ht="26.25">
      <c r="S3926" s="61" ph="1"/>
    </row>
    <row r="3927" spans="19:19" ht="26.25">
      <c r="S3927" s="61" ph="1"/>
    </row>
    <row r="3928" spans="19:19" ht="26.25">
      <c r="S3928" s="61" ph="1"/>
    </row>
    <row r="3929" spans="19:19" ht="26.25">
      <c r="S3929" s="61" ph="1"/>
    </row>
    <row r="3930" spans="19:19" ht="26.25">
      <c r="S3930" s="61" ph="1"/>
    </row>
    <row r="3931" spans="19:19" ht="26.25">
      <c r="S3931" s="61" ph="1"/>
    </row>
    <row r="3932" spans="19:19" ht="26.25">
      <c r="S3932" s="61" ph="1"/>
    </row>
    <row r="3933" spans="19:19" ht="26.25">
      <c r="S3933" s="61" ph="1"/>
    </row>
    <row r="3934" spans="19:19" ht="26.25">
      <c r="S3934" s="61" ph="1"/>
    </row>
    <row r="3935" spans="19:19" ht="26.25">
      <c r="S3935" s="61" ph="1"/>
    </row>
    <row r="3936" spans="19:19" ht="26.25">
      <c r="S3936" s="61" ph="1"/>
    </row>
    <row r="3937" spans="19:19" ht="26.25">
      <c r="S3937" s="61" ph="1"/>
    </row>
    <row r="3938" spans="19:19" ht="26.25">
      <c r="S3938" s="61" ph="1"/>
    </row>
    <row r="3939" spans="19:19" ht="26.25">
      <c r="S3939" s="61" ph="1"/>
    </row>
    <row r="3940" spans="19:19" ht="26.25">
      <c r="S3940" s="61" ph="1"/>
    </row>
    <row r="3941" spans="19:19" ht="26.25">
      <c r="S3941" s="61" ph="1"/>
    </row>
    <row r="3942" spans="19:19" ht="26.25">
      <c r="S3942" s="61" ph="1"/>
    </row>
    <row r="3943" spans="19:19" ht="26.25">
      <c r="S3943" s="61" ph="1"/>
    </row>
    <row r="3944" spans="19:19" ht="26.25">
      <c r="S3944" s="61" ph="1"/>
    </row>
    <row r="3945" spans="19:19" ht="26.25">
      <c r="S3945" s="61" ph="1"/>
    </row>
    <row r="3946" spans="19:19" ht="26.25">
      <c r="S3946" s="61" ph="1"/>
    </row>
    <row r="3947" spans="19:19" ht="26.25">
      <c r="S3947" s="61" ph="1"/>
    </row>
    <row r="3948" spans="19:19" ht="26.25">
      <c r="S3948" s="61" ph="1"/>
    </row>
    <row r="3949" spans="19:19" ht="26.25">
      <c r="S3949" s="61" ph="1"/>
    </row>
    <row r="3950" spans="19:19" ht="26.25">
      <c r="S3950" s="61" ph="1"/>
    </row>
    <row r="3951" spans="19:19" ht="26.25">
      <c r="S3951" s="61" ph="1"/>
    </row>
    <row r="3952" spans="19:19" ht="26.25">
      <c r="S3952" s="61" ph="1"/>
    </row>
    <row r="3953" spans="19:19" ht="26.25">
      <c r="S3953" s="61" ph="1"/>
    </row>
    <row r="3954" spans="19:19" ht="26.25">
      <c r="S3954" s="61" ph="1"/>
    </row>
    <row r="3955" spans="19:19" ht="26.25">
      <c r="S3955" s="61" ph="1"/>
    </row>
    <row r="3956" spans="19:19" ht="26.25">
      <c r="S3956" s="61" ph="1"/>
    </row>
    <row r="3957" spans="19:19" ht="26.25">
      <c r="S3957" s="61" ph="1"/>
    </row>
    <row r="3958" spans="19:19" ht="26.25">
      <c r="S3958" s="61" ph="1"/>
    </row>
    <row r="3959" spans="19:19" ht="26.25">
      <c r="S3959" s="61" ph="1"/>
    </row>
    <row r="3960" spans="19:19" ht="26.25">
      <c r="S3960" s="61" ph="1"/>
    </row>
    <row r="3961" spans="19:19" ht="26.25">
      <c r="S3961" s="61" ph="1"/>
    </row>
    <row r="3962" spans="19:19" ht="26.25">
      <c r="S3962" s="61" ph="1"/>
    </row>
    <row r="3963" spans="19:19" ht="26.25">
      <c r="S3963" s="61" ph="1"/>
    </row>
    <row r="3964" spans="19:19" ht="26.25">
      <c r="S3964" s="61" ph="1"/>
    </row>
    <row r="3965" spans="19:19" ht="26.25">
      <c r="S3965" s="61" ph="1"/>
    </row>
    <row r="3966" spans="19:19" ht="26.25">
      <c r="S3966" s="61" ph="1"/>
    </row>
    <row r="3967" spans="19:19" ht="26.25">
      <c r="S3967" s="61" ph="1"/>
    </row>
    <row r="3968" spans="19:19" ht="26.25">
      <c r="S3968" s="61" ph="1"/>
    </row>
    <row r="3969" spans="19:19" ht="26.25">
      <c r="S3969" s="61" ph="1"/>
    </row>
    <row r="3970" spans="19:19" ht="26.25">
      <c r="S3970" s="61" ph="1"/>
    </row>
    <row r="3971" spans="19:19" ht="26.25">
      <c r="S3971" s="61" ph="1"/>
    </row>
    <row r="3972" spans="19:19" ht="26.25">
      <c r="S3972" s="61" ph="1"/>
    </row>
    <row r="3973" spans="19:19" ht="26.25">
      <c r="S3973" s="61" ph="1"/>
    </row>
    <row r="3974" spans="19:19" ht="26.25">
      <c r="S3974" s="61" ph="1"/>
    </row>
    <row r="3975" spans="19:19" ht="26.25">
      <c r="S3975" s="61" ph="1"/>
    </row>
    <row r="3976" spans="19:19" ht="26.25">
      <c r="S3976" s="61" ph="1"/>
    </row>
    <row r="3977" spans="19:19" ht="26.25">
      <c r="S3977" s="61" ph="1"/>
    </row>
    <row r="3978" spans="19:19" ht="26.25">
      <c r="S3978" s="61" ph="1"/>
    </row>
    <row r="3979" spans="19:19" ht="26.25">
      <c r="S3979" s="61" ph="1"/>
    </row>
    <row r="3980" spans="19:19" ht="26.25">
      <c r="S3980" s="61" ph="1"/>
    </row>
    <row r="3981" spans="19:19" ht="26.25">
      <c r="S3981" s="61" ph="1"/>
    </row>
    <row r="3982" spans="19:19" ht="26.25">
      <c r="S3982" s="61" ph="1"/>
    </row>
    <row r="3983" spans="19:19" ht="26.25">
      <c r="S3983" s="61" ph="1"/>
    </row>
    <row r="3984" spans="19:19" ht="26.25">
      <c r="S3984" s="61" ph="1"/>
    </row>
    <row r="3985" spans="19:19" ht="26.25">
      <c r="S3985" s="61" ph="1"/>
    </row>
    <row r="3986" spans="19:19" ht="26.25">
      <c r="S3986" s="61" ph="1"/>
    </row>
    <row r="3987" spans="19:19" ht="26.25">
      <c r="S3987" s="61" ph="1"/>
    </row>
    <row r="3988" spans="19:19" ht="26.25">
      <c r="S3988" s="61" ph="1"/>
    </row>
    <row r="3989" spans="19:19" ht="26.25">
      <c r="S3989" s="61" ph="1"/>
    </row>
    <row r="3990" spans="19:19" ht="26.25">
      <c r="S3990" s="61" ph="1"/>
    </row>
    <row r="3991" spans="19:19" ht="26.25">
      <c r="S3991" s="61" ph="1"/>
    </row>
    <row r="3992" spans="19:19" ht="26.25">
      <c r="S3992" s="61" ph="1"/>
    </row>
    <row r="3993" spans="19:19" ht="26.25">
      <c r="S3993" s="61" ph="1"/>
    </row>
    <row r="3994" spans="19:19" ht="26.25">
      <c r="S3994" s="61" ph="1"/>
    </row>
    <row r="3995" spans="19:19" ht="26.25">
      <c r="S3995" s="61" ph="1"/>
    </row>
    <row r="3996" spans="19:19" ht="26.25">
      <c r="S3996" s="61" ph="1"/>
    </row>
    <row r="3997" spans="19:19" ht="26.25">
      <c r="S3997" s="61" ph="1"/>
    </row>
    <row r="3998" spans="19:19" ht="26.25">
      <c r="S3998" s="61" ph="1"/>
    </row>
    <row r="3999" spans="19:19" ht="26.25">
      <c r="S3999" s="61" ph="1"/>
    </row>
    <row r="4000" spans="19:19" ht="26.25">
      <c r="S4000" s="61" ph="1"/>
    </row>
    <row r="4001" spans="19:19" ht="26.25">
      <c r="S4001" s="61" ph="1"/>
    </row>
    <row r="4002" spans="19:19" ht="26.25">
      <c r="S4002" s="61" ph="1"/>
    </row>
    <row r="4003" spans="19:19" ht="26.25">
      <c r="S4003" s="61" ph="1"/>
    </row>
    <row r="4004" spans="19:19" ht="26.25">
      <c r="S4004" s="61" ph="1"/>
    </row>
    <row r="4005" spans="19:19" ht="26.25">
      <c r="S4005" s="61" ph="1"/>
    </row>
    <row r="4006" spans="19:19" ht="26.25">
      <c r="S4006" s="61" ph="1"/>
    </row>
    <row r="4007" spans="19:19" ht="26.25">
      <c r="S4007" s="61" ph="1"/>
    </row>
    <row r="4008" spans="19:19" ht="26.25">
      <c r="S4008" s="61" ph="1"/>
    </row>
    <row r="4009" spans="19:19" ht="26.25">
      <c r="S4009" s="61" ph="1"/>
    </row>
    <row r="4010" spans="19:19" ht="26.25">
      <c r="S4010" s="61" ph="1"/>
    </row>
    <row r="4011" spans="19:19" ht="26.25">
      <c r="S4011" s="61" ph="1"/>
    </row>
    <row r="4012" spans="19:19" ht="26.25">
      <c r="S4012" s="61" ph="1"/>
    </row>
    <row r="4013" spans="19:19" ht="26.25">
      <c r="S4013" s="61" ph="1"/>
    </row>
    <row r="4014" spans="19:19" ht="26.25">
      <c r="S4014" s="61" ph="1"/>
    </row>
    <row r="4015" spans="19:19" ht="26.25">
      <c r="S4015" s="61" ph="1"/>
    </row>
    <row r="4016" spans="19:19" ht="26.25">
      <c r="S4016" s="61" ph="1"/>
    </row>
    <row r="4017" spans="19:19" ht="26.25">
      <c r="S4017" s="61" ph="1"/>
    </row>
    <row r="4018" spans="19:19" ht="26.25">
      <c r="S4018" s="61" ph="1"/>
    </row>
    <row r="4019" spans="19:19" ht="26.25">
      <c r="S4019" s="61" ph="1"/>
    </row>
    <row r="4020" spans="19:19" ht="26.25">
      <c r="S4020" s="61" ph="1"/>
    </row>
    <row r="4021" spans="19:19" ht="26.25">
      <c r="S4021" s="61" ph="1"/>
    </row>
    <row r="4022" spans="19:19" ht="26.25">
      <c r="S4022" s="61" ph="1"/>
    </row>
    <row r="4023" spans="19:19" ht="26.25">
      <c r="S4023" s="61" ph="1"/>
    </row>
    <row r="4024" spans="19:19" ht="26.25">
      <c r="S4024" s="61" ph="1"/>
    </row>
    <row r="4025" spans="19:19" ht="26.25">
      <c r="S4025" s="61" ph="1"/>
    </row>
    <row r="4026" spans="19:19" ht="26.25">
      <c r="S4026" s="61" ph="1"/>
    </row>
    <row r="4027" spans="19:19" ht="26.25">
      <c r="S4027" s="61" ph="1"/>
    </row>
    <row r="4028" spans="19:19" ht="26.25">
      <c r="S4028" s="61" ph="1"/>
    </row>
    <row r="4029" spans="19:19" ht="26.25">
      <c r="S4029" s="61" ph="1"/>
    </row>
    <row r="4030" spans="19:19" ht="26.25">
      <c r="S4030" s="61" ph="1"/>
    </row>
    <row r="4031" spans="19:19" ht="26.25">
      <c r="S4031" s="61" ph="1"/>
    </row>
    <row r="4032" spans="19:19" ht="26.25">
      <c r="S4032" s="61" ph="1"/>
    </row>
    <row r="4033" spans="19:19" ht="26.25">
      <c r="S4033" s="61" ph="1"/>
    </row>
    <row r="4034" spans="19:19" ht="26.25">
      <c r="S4034" s="61" ph="1"/>
    </row>
    <row r="4035" spans="19:19" ht="26.25">
      <c r="S4035" s="61" ph="1"/>
    </row>
    <row r="4036" spans="19:19" ht="26.25">
      <c r="S4036" s="61" ph="1"/>
    </row>
    <row r="4037" spans="19:19" ht="26.25">
      <c r="S4037" s="61" ph="1"/>
    </row>
    <row r="4038" spans="19:19" ht="26.25">
      <c r="S4038" s="61" ph="1"/>
    </row>
    <row r="4039" spans="19:19" ht="26.25">
      <c r="S4039" s="61" ph="1"/>
    </row>
    <row r="4040" spans="19:19" ht="26.25">
      <c r="S4040" s="61" ph="1"/>
    </row>
    <row r="4041" spans="19:19" ht="26.25">
      <c r="S4041" s="61" ph="1"/>
    </row>
    <row r="4042" spans="19:19" ht="26.25">
      <c r="S4042" s="61" ph="1"/>
    </row>
    <row r="4043" spans="19:19" ht="26.25">
      <c r="S4043" s="61" ph="1"/>
    </row>
    <row r="4044" spans="19:19" ht="26.25">
      <c r="S4044" s="61" ph="1"/>
    </row>
    <row r="4045" spans="19:19" ht="26.25">
      <c r="S4045" s="61" ph="1"/>
    </row>
    <row r="4046" spans="19:19" ht="26.25">
      <c r="S4046" s="61" ph="1"/>
    </row>
    <row r="4047" spans="19:19" ht="26.25">
      <c r="S4047" s="61" ph="1"/>
    </row>
    <row r="4048" spans="19:19" ht="26.25">
      <c r="S4048" s="61" ph="1"/>
    </row>
    <row r="4049" spans="19:19" ht="26.25">
      <c r="S4049" s="61" ph="1"/>
    </row>
    <row r="4050" spans="19:19" ht="26.25">
      <c r="S4050" s="61" ph="1"/>
    </row>
    <row r="4051" spans="19:19" ht="26.25">
      <c r="S4051" s="61" ph="1"/>
    </row>
    <row r="4052" spans="19:19" ht="26.25">
      <c r="S4052" s="61" ph="1"/>
    </row>
    <row r="4053" spans="19:19" ht="26.25">
      <c r="S4053" s="61" ph="1"/>
    </row>
    <row r="4054" spans="19:19" ht="26.25">
      <c r="S4054" s="61" ph="1"/>
    </row>
    <row r="4055" spans="19:19" ht="26.25">
      <c r="S4055" s="61" ph="1"/>
    </row>
    <row r="4056" spans="19:19" ht="26.25">
      <c r="S4056" s="61" ph="1"/>
    </row>
    <row r="4057" spans="19:19" ht="26.25">
      <c r="S4057" s="61" ph="1"/>
    </row>
    <row r="4058" spans="19:19" ht="26.25">
      <c r="S4058" s="61" ph="1"/>
    </row>
    <row r="4059" spans="19:19" ht="26.25">
      <c r="S4059" s="61" ph="1"/>
    </row>
    <row r="4060" spans="19:19" ht="26.25">
      <c r="S4060" s="61" ph="1"/>
    </row>
    <row r="4061" spans="19:19" ht="26.25">
      <c r="S4061" s="61" ph="1"/>
    </row>
    <row r="4062" spans="19:19" ht="26.25">
      <c r="S4062" s="61" ph="1"/>
    </row>
    <row r="4063" spans="19:19" ht="26.25">
      <c r="S4063" s="61" ph="1"/>
    </row>
    <row r="4064" spans="19:19" ht="26.25">
      <c r="S4064" s="61" ph="1"/>
    </row>
    <row r="4065" spans="19:19" ht="26.25">
      <c r="S4065" s="61" ph="1"/>
    </row>
    <row r="4066" spans="19:19" ht="26.25">
      <c r="S4066" s="61" ph="1"/>
    </row>
    <row r="4067" spans="19:19" ht="26.25">
      <c r="S4067" s="61" ph="1"/>
    </row>
    <row r="4068" spans="19:19" ht="26.25">
      <c r="S4068" s="61" ph="1"/>
    </row>
    <row r="4069" spans="19:19" ht="26.25">
      <c r="S4069" s="61" ph="1"/>
    </row>
    <row r="4070" spans="19:19" ht="26.25">
      <c r="S4070" s="61" ph="1"/>
    </row>
    <row r="4071" spans="19:19" ht="26.25">
      <c r="S4071" s="61" ph="1"/>
    </row>
    <row r="4072" spans="19:19" ht="26.25">
      <c r="S4072" s="61" ph="1"/>
    </row>
    <row r="4073" spans="19:19" ht="26.25">
      <c r="S4073" s="61" ph="1"/>
    </row>
    <row r="4074" spans="19:19" ht="26.25">
      <c r="S4074" s="61" ph="1"/>
    </row>
    <row r="4075" spans="19:19" ht="26.25">
      <c r="S4075" s="61" ph="1"/>
    </row>
    <row r="4076" spans="19:19" ht="26.25">
      <c r="S4076" s="61" ph="1"/>
    </row>
    <row r="4077" spans="19:19" ht="26.25">
      <c r="S4077" s="61" ph="1"/>
    </row>
    <row r="4078" spans="19:19" ht="26.25">
      <c r="S4078" s="61" ph="1"/>
    </row>
    <row r="4079" spans="19:19" ht="26.25">
      <c r="S4079" s="61" ph="1"/>
    </row>
    <row r="4080" spans="19:19" ht="26.25">
      <c r="S4080" s="61" ph="1"/>
    </row>
    <row r="4081" spans="19:19" ht="26.25">
      <c r="S4081" s="61" ph="1"/>
    </row>
    <row r="4082" spans="19:19" ht="26.25">
      <c r="S4082" s="61" ph="1"/>
    </row>
    <row r="4083" spans="19:19" ht="26.25">
      <c r="S4083" s="61" ph="1"/>
    </row>
    <row r="4084" spans="19:19" ht="26.25">
      <c r="S4084" s="61" ph="1"/>
    </row>
    <row r="4085" spans="19:19" ht="26.25">
      <c r="S4085" s="61" ph="1"/>
    </row>
    <row r="4086" spans="19:19" ht="26.25">
      <c r="S4086" s="61" ph="1"/>
    </row>
    <row r="4087" spans="19:19" ht="26.25">
      <c r="S4087" s="61" ph="1"/>
    </row>
    <row r="4088" spans="19:19" ht="26.25">
      <c r="S4088" s="61" ph="1"/>
    </row>
    <row r="4089" spans="19:19" ht="26.25">
      <c r="S4089" s="61" ph="1"/>
    </row>
    <row r="4090" spans="19:19" ht="26.25">
      <c r="S4090" s="61" ph="1"/>
    </row>
    <row r="4091" spans="19:19" ht="26.25">
      <c r="S4091" s="61" ph="1"/>
    </row>
    <row r="4092" spans="19:19" ht="26.25">
      <c r="S4092" s="61" ph="1"/>
    </row>
    <row r="4093" spans="19:19" ht="26.25">
      <c r="S4093" s="61" ph="1"/>
    </row>
    <row r="4094" spans="19:19" ht="26.25">
      <c r="S4094" s="61" ph="1"/>
    </row>
    <row r="4095" spans="19:19" ht="26.25">
      <c r="S4095" s="61" ph="1"/>
    </row>
    <row r="4096" spans="19:19" ht="26.25">
      <c r="S4096" s="61" ph="1"/>
    </row>
    <row r="4097" spans="19:19" ht="26.25">
      <c r="S4097" s="61" ph="1"/>
    </row>
    <row r="4098" spans="19:19" ht="26.25">
      <c r="S4098" s="61" ph="1"/>
    </row>
    <row r="4099" spans="19:19" ht="26.25">
      <c r="S4099" s="61" ph="1"/>
    </row>
    <row r="4100" spans="19:19" ht="26.25">
      <c r="S4100" s="61" ph="1"/>
    </row>
    <row r="4101" spans="19:19" ht="26.25">
      <c r="S4101" s="61" ph="1"/>
    </row>
    <row r="4102" spans="19:19" ht="26.25">
      <c r="S4102" s="61" ph="1"/>
    </row>
    <row r="4103" spans="19:19" ht="26.25">
      <c r="S4103" s="61" ph="1"/>
    </row>
    <row r="4104" spans="19:19" ht="26.25">
      <c r="S4104" s="61" ph="1"/>
    </row>
    <row r="4105" spans="19:19" ht="26.25">
      <c r="S4105" s="61" ph="1"/>
    </row>
    <row r="4106" spans="19:19" ht="26.25">
      <c r="S4106" s="61" ph="1"/>
    </row>
    <row r="4107" spans="19:19" ht="26.25">
      <c r="S4107" s="61" ph="1"/>
    </row>
    <row r="4108" spans="19:19" ht="26.25">
      <c r="S4108" s="61" ph="1"/>
    </row>
    <row r="4109" spans="19:19" ht="26.25">
      <c r="S4109" s="61" ph="1"/>
    </row>
    <row r="4110" spans="19:19" ht="26.25">
      <c r="S4110" s="61" ph="1"/>
    </row>
    <row r="4111" spans="19:19" ht="26.25">
      <c r="S4111" s="61" ph="1"/>
    </row>
    <row r="4112" spans="19:19" ht="26.25">
      <c r="S4112" s="61" ph="1"/>
    </row>
    <row r="4113" spans="19:19" ht="26.25">
      <c r="S4113" s="61" ph="1"/>
    </row>
    <row r="4114" spans="19:19" ht="26.25">
      <c r="S4114" s="61" ph="1"/>
    </row>
    <row r="4115" spans="19:19" ht="26.25">
      <c r="S4115" s="61" ph="1"/>
    </row>
    <row r="4116" spans="19:19" ht="26.25">
      <c r="S4116" s="61" ph="1"/>
    </row>
    <row r="4117" spans="19:19" ht="26.25">
      <c r="S4117" s="61" ph="1"/>
    </row>
    <row r="4118" spans="19:19" ht="26.25">
      <c r="S4118" s="61" ph="1"/>
    </row>
    <row r="4119" spans="19:19" ht="26.25">
      <c r="S4119" s="61" ph="1"/>
    </row>
    <row r="4120" spans="19:19" ht="26.25">
      <c r="S4120" s="61" ph="1"/>
    </row>
    <row r="4121" spans="19:19" ht="26.25">
      <c r="S4121" s="61" ph="1"/>
    </row>
    <row r="4122" spans="19:19" ht="26.25">
      <c r="S4122" s="61" ph="1"/>
    </row>
    <row r="4123" spans="19:19" ht="26.25">
      <c r="S4123" s="61" ph="1"/>
    </row>
    <row r="4124" spans="19:19" ht="26.25">
      <c r="S4124" s="61" ph="1"/>
    </row>
    <row r="4125" spans="19:19" ht="26.25">
      <c r="S4125" s="61" ph="1"/>
    </row>
    <row r="4126" spans="19:19" ht="26.25">
      <c r="S4126" s="61" ph="1"/>
    </row>
    <row r="4127" spans="19:19" ht="26.25">
      <c r="S4127" s="61" ph="1"/>
    </row>
    <row r="4128" spans="19:19" ht="26.25">
      <c r="S4128" s="61" ph="1"/>
    </row>
    <row r="4129" spans="19:19" ht="26.25">
      <c r="S4129" s="61" ph="1"/>
    </row>
    <row r="4130" spans="19:19" ht="26.25">
      <c r="S4130" s="61" ph="1"/>
    </row>
    <row r="4131" spans="19:19" ht="26.25">
      <c r="S4131" s="61" ph="1"/>
    </row>
    <row r="4132" spans="19:19" ht="26.25">
      <c r="S4132" s="61" ph="1"/>
    </row>
    <row r="4133" spans="19:19" ht="26.25">
      <c r="S4133" s="61" ph="1"/>
    </row>
    <row r="4134" spans="19:19" ht="26.25">
      <c r="S4134" s="61" ph="1"/>
    </row>
    <row r="4135" spans="19:19" ht="26.25">
      <c r="S4135" s="61" ph="1"/>
    </row>
    <row r="4136" spans="19:19" ht="26.25">
      <c r="S4136" s="61" ph="1"/>
    </row>
    <row r="4137" spans="19:19" ht="26.25">
      <c r="S4137" s="61" ph="1"/>
    </row>
    <row r="4138" spans="19:19" ht="26.25">
      <c r="S4138" s="61" ph="1"/>
    </row>
    <row r="4139" spans="19:19" ht="26.25">
      <c r="S4139" s="61" ph="1"/>
    </row>
    <row r="4140" spans="19:19" ht="26.25">
      <c r="S4140" s="61" ph="1"/>
    </row>
    <row r="4141" spans="19:19" ht="26.25">
      <c r="S4141" s="61" ph="1"/>
    </row>
    <row r="4142" spans="19:19" ht="26.25">
      <c r="S4142" s="61" ph="1"/>
    </row>
    <row r="4143" spans="19:19" ht="26.25">
      <c r="S4143" s="61" ph="1"/>
    </row>
    <row r="4144" spans="19:19" ht="26.25">
      <c r="S4144" s="61" ph="1"/>
    </row>
    <row r="4145" spans="19:19" ht="26.25">
      <c r="S4145" s="61" ph="1"/>
    </row>
    <row r="4146" spans="19:19" ht="26.25">
      <c r="S4146" s="61" ph="1"/>
    </row>
    <row r="4147" spans="19:19" ht="26.25">
      <c r="S4147" s="61" ph="1"/>
    </row>
    <row r="4148" spans="19:19" ht="26.25">
      <c r="S4148" s="61" ph="1"/>
    </row>
    <row r="4149" spans="19:19" ht="26.25">
      <c r="S4149" s="61" ph="1"/>
    </row>
    <row r="4150" spans="19:19" ht="26.25">
      <c r="S4150" s="61" ph="1"/>
    </row>
    <row r="4151" spans="19:19" ht="26.25">
      <c r="S4151" s="61" ph="1"/>
    </row>
    <row r="4152" spans="19:19" ht="26.25">
      <c r="S4152" s="61" ph="1"/>
    </row>
    <row r="4153" spans="19:19" ht="26.25">
      <c r="S4153" s="61" ph="1"/>
    </row>
    <row r="4154" spans="19:19" ht="26.25">
      <c r="S4154" s="61" ph="1"/>
    </row>
    <row r="4155" spans="19:19" ht="26.25">
      <c r="S4155" s="61" ph="1"/>
    </row>
    <row r="4156" spans="19:19" ht="26.25">
      <c r="S4156" s="61" ph="1"/>
    </row>
    <row r="4157" spans="19:19" ht="26.25">
      <c r="S4157" s="61" ph="1"/>
    </row>
    <row r="4158" spans="19:19" ht="26.25">
      <c r="S4158" s="61" ph="1"/>
    </row>
    <row r="4159" spans="19:19" ht="26.25">
      <c r="S4159" s="61" ph="1"/>
    </row>
    <row r="4160" spans="19:19" ht="26.25">
      <c r="S4160" s="61" ph="1"/>
    </row>
    <row r="4161" spans="19:19" ht="26.25">
      <c r="S4161" s="61" ph="1"/>
    </row>
    <row r="4162" spans="19:19" ht="26.25">
      <c r="S4162" s="61" ph="1"/>
    </row>
    <row r="4163" spans="19:19" ht="26.25">
      <c r="S4163" s="61" ph="1"/>
    </row>
    <row r="4164" spans="19:19" ht="26.25">
      <c r="S4164" s="61" ph="1"/>
    </row>
    <row r="4165" spans="19:19" ht="26.25">
      <c r="S4165" s="61" ph="1"/>
    </row>
    <row r="4166" spans="19:19" ht="26.25">
      <c r="S4166" s="61" ph="1"/>
    </row>
    <row r="4167" spans="19:19" ht="26.25">
      <c r="S4167" s="61" ph="1"/>
    </row>
    <row r="4168" spans="19:19" ht="26.25">
      <c r="S4168" s="61" ph="1"/>
    </row>
    <row r="4169" spans="19:19" ht="26.25">
      <c r="S4169" s="61" ph="1"/>
    </row>
    <row r="4170" spans="19:19" ht="26.25">
      <c r="S4170" s="61" ph="1"/>
    </row>
    <row r="4171" spans="19:19" ht="26.25">
      <c r="S4171" s="61" ph="1"/>
    </row>
    <row r="4172" spans="19:19" ht="26.25">
      <c r="S4172" s="61" ph="1"/>
    </row>
    <row r="4173" spans="19:19" ht="26.25">
      <c r="S4173" s="61" ph="1"/>
    </row>
    <row r="4174" spans="19:19" ht="26.25">
      <c r="S4174" s="61" ph="1"/>
    </row>
    <row r="4175" spans="19:19" ht="26.25">
      <c r="S4175" s="61" ph="1"/>
    </row>
    <row r="4176" spans="19:19" ht="26.25">
      <c r="S4176" s="61" ph="1"/>
    </row>
    <row r="4177" spans="19:19" ht="26.25">
      <c r="S4177" s="61" ph="1"/>
    </row>
    <row r="4178" spans="19:19" ht="26.25">
      <c r="S4178" s="61" ph="1"/>
    </row>
    <row r="4179" spans="19:19" ht="26.25">
      <c r="S4179" s="61" ph="1"/>
    </row>
    <row r="4180" spans="19:19" ht="26.25">
      <c r="S4180" s="61" ph="1"/>
    </row>
    <row r="4181" spans="19:19" ht="26.25">
      <c r="S4181" s="61" ph="1"/>
    </row>
    <row r="4182" spans="19:19" ht="26.25">
      <c r="S4182" s="61" ph="1"/>
    </row>
    <row r="4183" spans="19:19" ht="26.25">
      <c r="S4183" s="61" ph="1"/>
    </row>
    <row r="4184" spans="19:19" ht="26.25">
      <c r="S4184" s="61" ph="1"/>
    </row>
    <row r="4185" spans="19:19" ht="26.25">
      <c r="S4185" s="61" ph="1"/>
    </row>
    <row r="4186" spans="19:19" ht="26.25">
      <c r="S4186" s="61" ph="1"/>
    </row>
    <row r="4187" spans="19:19" ht="26.25">
      <c r="S4187" s="61" ph="1"/>
    </row>
    <row r="4188" spans="19:19" ht="26.25">
      <c r="S4188" s="61" ph="1"/>
    </row>
    <row r="4189" spans="19:19" ht="26.25">
      <c r="S4189" s="61" ph="1"/>
    </row>
    <row r="4190" spans="19:19" ht="26.25">
      <c r="S4190" s="61" ph="1"/>
    </row>
    <row r="4191" spans="19:19" ht="26.25">
      <c r="S4191" s="61" ph="1"/>
    </row>
    <row r="4192" spans="19:19" ht="26.25">
      <c r="S4192" s="61" ph="1"/>
    </row>
    <row r="4193" spans="19:19" ht="26.25">
      <c r="S4193" s="61" ph="1"/>
    </row>
    <row r="4194" spans="19:19" ht="26.25">
      <c r="S4194" s="61" ph="1"/>
    </row>
    <row r="4195" spans="19:19" ht="26.25">
      <c r="S4195" s="61" ph="1"/>
    </row>
    <row r="4196" spans="19:19" ht="26.25">
      <c r="S4196" s="61" ph="1"/>
    </row>
    <row r="4197" spans="19:19" ht="26.25">
      <c r="S4197" s="61" ph="1"/>
    </row>
    <row r="4198" spans="19:19" ht="26.25">
      <c r="S4198" s="61" ph="1"/>
    </row>
    <row r="4199" spans="19:19" ht="26.25">
      <c r="S4199" s="61" ph="1"/>
    </row>
    <row r="4200" spans="19:19" ht="26.25">
      <c r="S4200" s="61" ph="1"/>
    </row>
    <row r="4201" spans="19:19" ht="26.25">
      <c r="S4201" s="61" ph="1"/>
    </row>
    <row r="4202" spans="19:19" ht="26.25">
      <c r="S4202" s="61" ph="1"/>
    </row>
    <row r="4203" spans="19:19" ht="26.25">
      <c r="S4203" s="61" ph="1"/>
    </row>
    <row r="4204" spans="19:19" ht="26.25">
      <c r="S4204" s="61" ph="1"/>
    </row>
    <row r="4205" spans="19:19" ht="26.25">
      <c r="S4205" s="61" ph="1"/>
    </row>
    <row r="4206" spans="19:19" ht="26.25">
      <c r="S4206" s="61" ph="1"/>
    </row>
    <row r="4207" spans="19:19" ht="26.25">
      <c r="S4207" s="61" ph="1"/>
    </row>
    <row r="4208" spans="19:19" ht="26.25">
      <c r="S4208" s="61" ph="1"/>
    </row>
    <row r="4209" spans="19:19" ht="26.25">
      <c r="S4209" s="61" ph="1"/>
    </row>
    <row r="4210" spans="19:19" ht="26.25">
      <c r="S4210" s="61" ph="1"/>
    </row>
    <row r="4211" spans="19:19" ht="26.25">
      <c r="S4211" s="61" ph="1"/>
    </row>
    <row r="4212" spans="19:19" ht="26.25">
      <c r="S4212" s="61" ph="1"/>
    </row>
    <row r="4213" spans="19:19" ht="26.25">
      <c r="S4213" s="61" ph="1"/>
    </row>
    <row r="4214" spans="19:19" ht="26.25">
      <c r="S4214" s="61" ph="1"/>
    </row>
    <row r="4215" spans="19:19" ht="26.25">
      <c r="S4215" s="61" ph="1"/>
    </row>
    <row r="4216" spans="19:19" ht="26.25">
      <c r="S4216" s="61" ph="1"/>
    </row>
    <row r="4217" spans="19:19" ht="26.25">
      <c r="S4217" s="61" ph="1"/>
    </row>
    <row r="4218" spans="19:19" ht="26.25">
      <c r="S4218" s="61" ph="1"/>
    </row>
    <row r="4219" spans="19:19" ht="26.25">
      <c r="S4219" s="61" ph="1"/>
    </row>
    <row r="4220" spans="19:19" ht="26.25">
      <c r="S4220" s="61" ph="1"/>
    </row>
    <row r="4221" spans="19:19" ht="26.25">
      <c r="S4221" s="61" ph="1"/>
    </row>
    <row r="4222" spans="19:19" ht="26.25">
      <c r="S4222" s="61" ph="1"/>
    </row>
    <row r="4223" spans="19:19" ht="26.25">
      <c r="S4223" s="61" ph="1"/>
    </row>
    <row r="4224" spans="19:19" ht="26.25">
      <c r="S4224" s="61" ph="1"/>
    </row>
    <row r="4225" spans="19:19" ht="26.25">
      <c r="S4225" s="61" ph="1"/>
    </row>
    <row r="4226" spans="19:19" ht="26.25">
      <c r="S4226" s="61" ph="1"/>
    </row>
    <row r="4227" spans="19:19" ht="26.25">
      <c r="S4227" s="61" ph="1"/>
    </row>
    <row r="4228" spans="19:19" ht="26.25">
      <c r="S4228" s="61" ph="1"/>
    </row>
    <row r="4229" spans="19:19" ht="26.25">
      <c r="S4229" s="61" ph="1"/>
    </row>
    <row r="4230" spans="19:19" ht="26.25">
      <c r="S4230" s="61" ph="1"/>
    </row>
    <row r="4231" spans="19:19" ht="26.25">
      <c r="S4231" s="61" ph="1"/>
    </row>
    <row r="4232" spans="19:19" ht="26.25">
      <c r="S4232" s="61" ph="1"/>
    </row>
    <row r="4233" spans="19:19" ht="26.25">
      <c r="S4233" s="61" ph="1"/>
    </row>
    <row r="4234" spans="19:19" ht="26.25">
      <c r="S4234" s="61" ph="1"/>
    </row>
    <row r="4235" spans="19:19" ht="26.25">
      <c r="S4235" s="61" ph="1"/>
    </row>
    <row r="4236" spans="19:19" ht="26.25">
      <c r="S4236" s="61" ph="1"/>
    </row>
    <row r="4237" spans="19:19" ht="26.25">
      <c r="S4237" s="61" ph="1"/>
    </row>
    <row r="4238" spans="19:19" ht="26.25">
      <c r="S4238" s="61" ph="1"/>
    </row>
    <row r="4239" spans="19:19" ht="26.25">
      <c r="S4239" s="61" ph="1"/>
    </row>
    <row r="4240" spans="19:19" ht="26.25">
      <c r="S4240" s="61" ph="1"/>
    </row>
    <row r="4241" spans="19:19" ht="26.25">
      <c r="S4241" s="61" ph="1"/>
    </row>
    <row r="4242" spans="19:19" ht="26.25">
      <c r="S4242" s="61" ph="1"/>
    </row>
    <row r="4243" spans="19:19" ht="26.25">
      <c r="S4243" s="61" ph="1"/>
    </row>
    <row r="4244" spans="19:19" ht="26.25">
      <c r="S4244" s="61" ph="1"/>
    </row>
    <row r="4245" spans="19:19" ht="26.25">
      <c r="S4245" s="61" ph="1"/>
    </row>
    <row r="4246" spans="19:19" ht="26.25">
      <c r="S4246" s="61" ph="1"/>
    </row>
    <row r="4247" spans="19:19" ht="26.25">
      <c r="S4247" s="61" ph="1"/>
    </row>
    <row r="4248" spans="19:19" ht="26.25">
      <c r="S4248" s="61" ph="1"/>
    </row>
    <row r="4249" spans="19:19" ht="26.25">
      <c r="S4249" s="61" ph="1"/>
    </row>
    <row r="4250" spans="19:19" ht="26.25">
      <c r="S4250" s="61" ph="1"/>
    </row>
    <row r="4251" spans="19:19" ht="26.25">
      <c r="S4251" s="61" ph="1"/>
    </row>
    <row r="4252" spans="19:19" ht="26.25">
      <c r="S4252" s="61" ph="1"/>
    </row>
    <row r="4253" spans="19:19" ht="26.25">
      <c r="S4253" s="61" ph="1"/>
    </row>
    <row r="4254" spans="19:19" ht="26.25">
      <c r="S4254" s="61" ph="1"/>
    </row>
    <row r="4255" spans="19:19" ht="26.25">
      <c r="S4255" s="61" ph="1"/>
    </row>
    <row r="4256" spans="19:19" ht="26.25">
      <c r="S4256" s="61" ph="1"/>
    </row>
    <row r="4257" spans="19:19" ht="26.25">
      <c r="S4257" s="61" ph="1"/>
    </row>
    <row r="4258" spans="19:19" ht="26.25">
      <c r="S4258" s="61" ph="1"/>
    </row>
    <row r="4259" spans="19:19" ht="26.25">
      <c r="S4259" s="61" ph="1"/>
    </row>
    <row r="4260" spans="19:19" ht="26.25">
      <c r="S4260" s="61" ph="1"/>
    </row>
    <row r="4261" spans="19:19" ht="26.25">
      <c r="S4261" s="61" ph="1"/>
    </row>
    <row r="4262" spans="19:19" ht="26.25">
      <c r="S4262" s="61" ph="1"/>
    </row>
    <row r="4263" spans="19:19" ht="26.25">
      <c r="S4263" s="61" ph="1"/>
    </row>
    <row r="4264" spans="19:19" ht="26.25">
      <c r="S4264" s="61" ph="1"/>
    </row>
    <row r="4265" spans="19:19" ht="26.25">
      <c r="S4265" s="61" ph="1"/>
    </row>
    <row r="4266" spans="19:19" ht="26.25">
      <c r="S4266" s="61" ph="1"/>
    </row>
    <row r="4267" spans="19:19" ht="26.25">
      <c r="S4267" s="61" ph="1"/>
    </row>
    <row r="4268" spans="19:19" ht="26.25">
      <c r="S4268" s="61" ph="1"/>
    </row>
    <row r="4269" spans="19:19" ht="26.25">
      <c r="S4269" s="61" ph="1"/>
    </row>
    <row r="4270" spans="19:19" ht="26.25">
      <c r="S4270" s="61" ph="1"/>
    </row>
    <row r="4271" spans="19:19" ht="26.25">
      <c r="S4271" s="61" ph="1"/>
    </row>
    <row r="4272" spans="19:19" ht="26.25">
      <c r="S4272" s="61" ph="1"/>
    </row>
    <row r="4273" spans="19:19" ht="26.25">
      <c r="S4273" s="61" ph="1"/>
    </row>
    <row r="4274" spans="19:19" ht="26.25">
      <c r="S4274" s="61" ph="1"/>
    </row>
    <row r="4275" spans="19:19" ht="26.25">
      <c r="S4275" s="61" ph="1"/>
    </row>
    <row r="4276" spans="19:19" ht="26.25">
      <c r="S4276" s="61" ph="1"/>
    </row>
    <row r="4277" spans="19:19" ht="26.25">
      <c r="S4277" s="61" ph="1"/>
    </row>
    <row r="4278" spans="19:19" ht="26.25">
      <c r="S4278" s="61" ph="1"/>
    </row>
    <row r="4279" spans="19:19" ht="26.25">
      <c r="S4279" s="61" ph="1"/>
    </row>
    <row r="4280" spans="19:19" ht="26.25">
      <c r="S4280" s="61" ph="1"/>
    </row>
    <row r="4281" spans="19:19" ht="26.25">
      <c r="S4281" s="61" ph="1"/>
    </row>
    <row r="4282" spans="19:19" ht="26.25">
      <c r="S4282" s="61" ph="1"/>
    </row>
    <row r="4283" spans="19:19" ht="26.25">
      <c r="S4283" s="61" ph="1"/>
    </row>
    <row r="4284" spans="19:19" ht="26.25">
      <c r="S4284" s="61" ph="1"/>
    </row>
    <row r="4285" spans="19:19" ht="26.25">
      <c r="S4285" s="61" ph="1"/>
    </row>
    <row r="4286" spans="19:19" ht="26.25">
      <c r="S4286" s="61" ph="1"/>
    </row>
    <row r="4287" spans="19:19" ht="26.25">
      <c r="S4287" s="61" ph="1"/>
    </row>
    <row r="4288" spans="19:19" ht="26.25">
      <c r="S4288" s="61" ph="1"/>
    </row>
    <row r="4289" spans="19:19" ht="26.25">
      <c r="S4289" s="61" ph="1"/>
    </row>
    <row r="4290" spans="19:19" ht="26.25">
      <c r="S4290" s="61" ph="1"/>
    </row>
    <row r="4291" spans="19:19" ht="26.25">
      <c r="S4291" s="61" ph="1"/>
    </row>
    <row r="4292" spans="19:19" ht="26.25">
      <c r="S4292" s="61" ph="1"/>
    </row>
    <row r="4293" spans="19:19" ht="26.25">
      <c r="S4293" s="61" ph="1"/>
    </row>
    <row r="4294" spans="19:19" ht="26.25">
      <c r="S4294" s="61" ph="1"/>
    </row>
    <row r="4295" spans="19:19" ht="26.25">
      <c r="S4295" s="61" ph="1"/>
    </row>
    <row r="4296" spans="19:19" ht="26.25">
      <c r="S4296" s="61" ph="1"/>
    </row>
    <row r="4297" spans="19:19" ht="26.25">
      <c r="S4297" s="61" ph="1"/>
    </row>
    <row r="4298" spans="19:19" ht="26.25">
      <c r="S4298" s="61" ph="1"/>
    </row>
    <row r="4299" spans="19:19" ht="26.25">
      <c r="S4299" s="61" ph="1"/>
    </row>
    <row r="4300" spans="19:19" ht="26.25">
      <c r="S4300" s="61" ph="1"/>
    </row>
    <row r="4301" spans="19:19" ht="26.25">
      <c r="S4301" s="61" ph="1"/>
    </row>
    <row r="4302" spans="19:19" ht="26.25">
      <c r="S4302" s="61" ph="1"/>
    </row>
    <row r="4303" spans="19:19" ht="26.25">
      <c r="S4303" s="61" ph="1"/>
    </row>
    <row r="4304" spans="19:19" ht="26.25">
      <c r="S4304" s="61" ph="1"/>
    </row>
    <row r="4305" spans="19:19" ht="26.25">
      <c r="S4305" s="61" ph="1"/>
    </row>
    <row r="4306" spans="19:19" ht="26.25">
      <c r="S4306" s="61" ph="1"/>
    </row>
    <row r="4307" spans="19:19" ht="26.25">
      <c r="S4307" s="61" ph="1"/>
    </row>
    <row r="4308" spans="19:19" ht="26.25">
      <c r="S4308" s="61" ph="1"/>
    </row>
    <row r="4309" spans="19:19" ht="26.25">
      <c r="S4309" s="61" ph="1"/>
    </row>
    <row r="4310" spans="19:19" ht="26.25">
      <c r="S4310" s="61" ph="1"/>
    </row>
    <row r="4311" spans="19:19" ht="26.25">
      <c r="S4311" s="61" ph="1"/>
    </row>
    <row r="4312" spans="19:19" ht="26.25">
      <c r="S4312" s="61" ph="1"/>
    </row>
    <row r="4313" spans="19:19" ht="26.25">
      <c r="S4313" s="61" ph="1"/>
    </row>
    <row r="4314" spans="19:19" ht="26.25">
      <c r="S4314" s="61" ph="1"/>
    </row>
    <row r="4315" spans="19:19" ht="26.25">
      <c r="S4315" s="61" ph="1"/>
    </row>
    <row r="4316" spans="19:19" ht="26.25">
      <c r="S4316" s="61" ph="1"/>
    </row>
    <row r="4317" spans="19:19" ht="26.25">
      <c r="S4317" s="61" ph="1"/>
    </row>
    <row r="4318" spans="19:19" ht="26.25">
      <c r="S4318" s="61" ph="1"/>
    </row>
    <row r="4319" spans="19:19" ht="26.25">
      <c r="S4319" s="61" ph="1"/>
    </row>
    <row r="4320" spans="19:19" ht="26.25">
      <c r="S4320" s="61" ph="1"/>
    </row>
    <row r="4321" spans="19:19" ht="26.25">
      <c r="S4321" s="61" ph="1"/>
    </row>
    <row r="4322" spans="19:19" ht="26.25">
      <c r="S4322" s="61" ph="1"/>
    </row>
    <row r="4323" spans="19:19" ht="26.25">
      <c r="S4323" s="61" ph="1"/>
    </row>
    <row r="4324" spans="19:19" ht="26.25">
      <c r="S4324" s="61" ph="1"/>
    </row>
    <row r="4325" spans="19:19" ht="26.25">
      <c r="S4325" s="61" ph="1"/>
    </row>
    <row r="4326" spans="19:19" ht="26.25">
      <c r="S4326" s="61" ph="1"/>
    </row>
    <row r="4327" spans="19:19" ht="26.25">
      <c r="S4327" s="61" ph="1"/>
    </row>
    <row r="4328" spans="19:19" ht="26.25">
      <c r="S4328" s="61" ph="1"/>
    </row>
    <row r="4329" spans="19:19" ht="26.25">
      <c r="S4329" s="61" ph="1"/>
    </row>
    <row r="4330" spans="19:19" ht="26.25">
      <c r="S4330" s="61" ph="1"/>
    </row>
    <row r="4331" spans="19:19" ht="26.25">
      <c r="S4331" s="61" ph="1"/>
    </row>
    <row r="4332" spans="19:19" ht="26.25">
      <c r="S4332" s="61" ph="1"/>
    </row>
    <row r="4333" spans="19:19" ht="26.25">
      <c r="S4333" s="61" ph="1"/>
    </row>
    <row r="4334" spans="19:19" ht="26.25">
      <c r="S4334" s="61" ph="1"/>
    </row>
    <row r="4335" spans="19:19" ht="26.25">
      <c r="S4335" s="61" ph="1"/>
    </row>
    <row r="4336" spans="19:19" ht="26.25">
      <c r="S4336" s="61" ph="1"/>
    </row>
    <row r="4337" spans="19:19" ht="26.25">
      <c r="S4337" s="61" ph="1"/>
    </row>
    <row r="4338" spans="19:19" ht="26.25">
      <c r="S4338" s="61" ph="1"/>
    </row>
    <row r="4339" spans="19:19" ht="26.25">
      <c r="S4339" s="61" ph="1"/>
    </row>
    <row r="4340" spans="19:19" ht="26.25">
      <c r="S4340" s="61" ph="1"/>
    </row>
    <row r="4341" spans="19:19" ht="26.25">
      <c r="S4341" s="61" ph="1"/>
    </row>
    <row r="4342" spans="19:19" ht="26.25">
      <c r="S4342" s="61" ph="1"/>
    </row>
    <row r="4343" spans="19:19" ht="26.25">
      <c r="S4343" s="61" ph="1"/>
    </row>
    <row r="4344" spans="19:19" ht="26.25">
      <c r="S4344" s="61" ph="1"/>
    </row>
    <row r="4345" spans="19:19" ht="26.25">
      <c r="S4345" s="61" ph="1"/>
    </row>
    <row r="4346" spans="19:19" ht="26.25">
      <c r="S4346" s="61" ph="1"/>
    </row>
    <row r="4347" spans="19:19" ht="26.25">
      <c r="S4347" s="61" ph="1"/>
    </row>
    <row r="4348" spans="19:19" ht="26.25">
      <c r="S4348" s="61" ph="1"/>
    </row>
    <row r="4349" spans="19:19" ht="26.25">
      <c r="S4349" s="61" ph="1"/>
    </row>
    <row r="4350" spans="19:19" ht="26.25">
      <c r="S4350" s="61" ph="1"/>
    </row>
    <row r="4351" spans="19:19" ht="26.25">
      <c r="S4351" s="61" ph="1"/>
    </row>
    <row r="4352" spans="19:19" ht="26.25">
      <c r="S4352" s="61" ph="1"/>
    </row>
    <row r="4353" spans="19:19" ht="26.25">
      <c r="S4353" s="61" ph="1"/>
    </row>
    <row r="4354" spans="19:19" ht="26.25">
      <c r="S4354" s="61" ph="1"/>
    </row>
    <row r="4355" spans="19:19" ht="26.25">
      <c r="S4355" s="61" ph="1"/>
    </row>
    <row r="4356" spans="19:19" ht="26.25">
      <c r="S4356" s="61" ph="1"/>
    </row>
    <row r="4357" spans="19:19" ht="26.25">
      <c r="S4357" s="61" ph="1"/>
    </row>
    <row r="4358" spans="19:19" ht="26.25">
      <c r="S4358" s="61" ph="1"/>
    </row>
    <row r="4359" spans="19:19" ht="26.25">
      <c r="S4359" s="61" ph="1"/>
    </row>
    <row r="4360" spans="19:19" ht="26.25">
      <c r="S4360" s="61" ph="1"/>
    </row>
    <row r="4361" spans="19:19" ht="26.25">
      <c r="S4361" s="61" ph="1"/>
    </row>
    <row r="4362" spans="19:19" ht="26.25">
      <c r="S4362" s="61" ph="1"/>
    </row>
    <row r="4363" spans="19:19" ht="26.25">
      <c r="S4363" s="61" ph="1"/>
    </row>
    <row r="4364" spans="19:19" ht="26.25">
      <c r="S4364" s="61" ph="1"/>
    </row>
    <row r="4365" spans="19:19" ht="26.25">
      <c r="S4365" s="61" ph="1"/>
    </row>
    <row r="4366" spans="19:19" ht="26.25">
      <c r="S4366" s="61" ph="1"/>
    </row>
    <row r="4367" spans="19:19" ht="26.25">
      <c r="S4367" s="61" ph="1"/>
    </row>
    <row r="4368" spans="19:19" ht="26.25">
      <c r="S4368" s="61" ph="1"/>
    </row>
    <row r="4369" spans="19:19" ht="26.25">
      <c r="S4369" s="61" ph="1"/>
    </row>
    <row r="4370" spans="19:19" ht="26.25">
      <c r="S4370" s="61" ph="1"/>
    </row>
    <row r="4371" spans="19:19" ht="26.25">
      <c r="S4371" s="61" ph="1"/>
    </row>
    <row r="4372" spans="19:19" ht="26.25">
      <c r="S4372" s="61" ph="1"/>
    </row>
    <row r="4373" spans="19:19" ht="26.25">
      <c r="S4373" s="61" ph="1"/>
    </row>
    <row r="4374" spans="19:19" ht="26.25">
      <c r="S4374" s="61" ph="1"/>
    </row>
    <row r="4375" spans="19:19" ht="26.25">
      <c r="S4375" s="61" ph="1"/>
    </row>
    <row r="4376" spans="19:19" ht="26.25">
      <c r="S4376" s="61" ph="1"/>
    </row>
    <row r="4377" spans="19:19" ht="26.25">
      <c r="S4377" s="61" ph="1"/>
    </row>
    <row r="4378" spans="19:19" ht="26.25">
      <c r="S4378" s="61" ph="1"/>
    </row>
    <row r="4379" spans="19:19" ht="26.25">
      <c r="S4379" s="61" ph="1"/>
    </row>
    <row r="4380" spans="19:19" ht="26.25">
      <c r="S4380" s="61" ph="1"/>
    </row>
    <row r="4381" spans="19:19" ht="26.25">
      <c r="S4381" s="61" ph="1"/>
    </row>
    <row r="4382" spans="19:19" ht="26.25">
      <c r="S4382" s="61" ph="1"/>
    </row>
    <row r="4383" spans="19:19" ht="26.25">
      <c r="S4383" s="61" ph="1"/>
    </row>
    <row r="4384" spans="19:19" ht="26.25">
      <c r="S4384" s="61" ph="1"/>
    </row>
    <row r="4385" spans="19:19" ht="26.25">
      <c r="S4385" s="61" ph="1"/>
    </row>
    <row r="4386" spans="19:19" ht="26.25">
      <c r="S4386" s="61" ph="1"/>
    </row>
    <row r="4387" spans="19:19" ht="26.25">
      <c r="S4387" s="61" ph="1"/>
    </row>
    <row r="4388" spans="19:19" ht="26.25">
      <c r="S4388" s="61" ph="1"/>
    </row>
    <row r="4389" spans="19:19" ht="26.25">
      <c r="S4389" s="61" ph="1"/>
    </row>
    <row r="4390" spans="19:19" ht="26.25">
      <c r="S4390" s="61" ph="1"/>
    </row>
    <row r="4391" spans="19:19" ht="26.25">
      <c r="S4391" s="61" ph="1"/>
    </row>
    <row r="4392" spans="19:19" ht="26.25">
      <c r="S4392" s="61" ph="1"/>
    </row>
    <row r="4393" spans="19:19" ht="26.25">
      <c r="S4393" s="61" ph="1"/>
    </row>
    <row r="4394" spans="19:19" ht="26.25">
      <c r="S4394" s="61" ph="1"/>
    </row>
    <row r="4395" spans="19:19" ht="26.25">
      <c r="S4395" s="61" ph="1"/>
    </row>
    <row r="4396" spans="19:19" ht="26.25">
      <c r="S4396" s="61" ph="1"/>
    </row>
    <row r="4397" spans="19:19" ht="26.25">
      <c r="S4397" s="61" ph="1"/>
    </row>
    <row r="4398" spans="19:19" ht="26.25">
      <c r="S4398" s="61" ph="1"/>
    </row>
    <row r="4399" spans="19:19" ht="26.25">
      <c r="S4399" s="61" ph="1"/>
    </row>
    <row r="4400" spans="19:19" ht="26.25">
      <c r="S4400" s="61" ph="1"/>
    </row>
    <row r="4401" spans="19:19" ht="26.25">
      <c r="S4401" s="61" ph="1"/>
    </row>
    <row r="4402" spans="19:19" ht="26.25">
      <c r="S4402" s="61" ph="1"/>
    </row>
    <row r="4403" spans="19:19" ht="26.25">
      <c r="S4403" s="61" ph="1"/>
    </row>
    <row r="4404" spans="19:19" ht="26.25">
      <c r="S4404" s="61" ph="1"/>
    </row>
    <row r="4405" spans="19:19" ht="26.25">
      <c r="S4405" s="61" ph="1"/>
    </row>
    <row r="4406" spans="19:19" ht="26.25">
      <c r="S4406" s="61" ph="1"/>
    </row>
    <row r="4407" spans="19:19" ht="26.25">
      <c r="S4407" s="61" ph="1"/>
    </row>
    <row r="4408" spans="19:19" ht="26.25">
      <c r="S4408" s="61" ph="1"/>
    </row>
    <row r="4409" spans="19:19" ht="26.25">
      <c r="S4409" s="61" ph="1"/>
    </row>
    <row r="4410" spans="19:19" ht="26.25">
      <c r="S4410" s="61" ph="1"/>
    </row>
    <row r="4411" spans="19:19" ht="26.25">
      <c r="S4411" s="61" ph="1"/>
    </row>
    <row r="4412" spans="19:19" ht="26.25">
      <c r="S4412" s="61" ph="1"/>
    </row>
    <row r="4413" spans="19:19" ht="26.25">
      <c r="S4413" s="61" ph="1"/>
    </row>
    <row r="4414" spans="19:19" ht="26.25">
      <c r="S4414" s="61" ph="1"/>
    </row>
    <row r="4415" spans="19:19" ht="26.25">
      <c r="S4415" s="61" ph="1"/>
    </row>
    <row r="4416" spans="19:19" ht="26.25">
      <c r="S4416" s="61" ph="1"/>
    </row>
    <row r="4417" spans="19:19" ht="26.25">
      <c r="S4417" s="61" ph="1"/>
    </row>
    <row r="4418" spans="19:19" ht="26.25">
      <c r="S4418" s="61" ph="1"/>
    </row>
    <row r="4419" spans="19:19" ht="26.25">
      <c r="S4419" s="61" ph="1"/>
    </row>
    <row r="4420" spans="19:19" ht="26.25">
      <c r="S4420" s="61" ph="1"/>
    </row>
    <row r="4421" spans="19:19" ht="26.25">
      <c r="S4421" s="61" ph="1"/>
    </row>
    <row r="4422" spans="19:19" ht="26.25">
      <c r="S4422" s="61" ph="1"/>
    </row>
    <row r="4423" spans="19:19" ht="26.25">
      <c r="S4423" s="61" ph="1"/>
    </row>
    <row r="4424" spans="19:19" ht="26.25">
      <c r="S4424" s="61" ph="1"/>
    </row>
    <row r="4425" spans="19:19" ht="26.25">
      <c r="S4425" s="61" ph="1"/>
    </row>
    <row r="4426" spans="19:19" ht="26.25">
      <c r="S4426" s="61" ph="1"/>
    </row>
    <row r="4427" spans="19:19" ht="26.25">
      <c r="S4427" s="61" ph="1"/>
    </row>
    <row r="4428" spans="19:19" ht="26.25">
      <c r="S4428" s="61" ph="1"/>
    </row>
    <row r="4429" spans="19:19" ht="26.25">
      <c r="S4429" s="61" ph="1"/>
    </row>
    <row r="4430" spans="19:19" ht="26.25">
      <c r="S4430" s="61" ph="1"/>
    </row>
    <row r="4431" spans="19:19" ht="26.25">
      <c r="S4431" s="61" ph="1"/>
    </row>
    <row r="4432" spans="19:19" ht="26.25">
      <c r="S4432" s="61" ph="1"/>
    </row>
    <row r="4433" spans="19:19" ht="26.25">
      <c r="S4433" s="61" ph="1"/>
    </row>
    <row r="4434" spans="19:19" ht="26.25">
      <c r="S4434" s="61" ph="1"/>
    </row>
    <row r="4435" spans="19:19" ht="26.25">
      <c r="S4435" s="61" ph="1"/>
    </row>
    <row r="4436" spans="19:19" ht="26.25">
      <c r="S4436" s="61" ph="1"/>
    </row>
    <row r="4437" spans="19:19" ht="26.25">
      <c r="S4437" s="61" ph="1"/>
    </row>
    <row r="4438" spans="19:19" ht="26.25">
      <c r="S4438" s="61" ph="1"/>
    </row>
    <row r="4439" spans="19:19" ht="26.25">
      <c r="S4439" s="61" ph="1"/>
    </row>
    <row r="4440" spans="19:19" ht="26.25">
      <c r="S4440" s="61" ph="1"/>
    </row>
    <row r="4441" spans="19:19" ht="26.25">
      <c r="S4441" s="61" ph="1"/>
    </row>
    <row r="4442" spans="19:19" ht="26.25">
      <c r="S4442" s="61" ph="1"/>
    </row>
    <row r="4443" spans="19:19" ht="26.25">
      <c r="S4443" s="61" ph="1"/>
    </row>
    <row r="4444" spans="19:19" ht="26.25">
      <c r="S4444" s="61" ph="1"/>
    </row>
    <row r="4445" spans="19:19" ht="26.25">
      <c r="S4445" s="61" ph="1"/>
    </row>
    <row r="4446" spans="19:19" ht="26.25">
      <c r="S4446" s="61" ph="1"/>
    </row>
    <row r="4447" spans="19:19" ht="26.25">
      <c r="S4447" s="61" ph="1"/>
    </row>
    <row r="4448" spans="19:19" ht="26.25">
      <c r="S4448" s="61" ph="1"/>
    </row>
    <row r="4449" spans="19:19" ht="26.25">
      <c r="S4449" s="61" ph="1"/>
    </row>
    <row r="4450" spans="19:19" ht="26.25">
      <c r="S4450" s="61" ph="1"/>
    </row>
    <row r="4451" spans="19:19" ht="26.25">
      <c r="S4451" s="61" ph="1"/>
    </row>
    <row r="4452" spans="19:19" ht="26.25">
      <c r="S4452" s="61" ph="1"/>
    </row>
    <row r="4453" spans="19:19" ht="26.25">
      <c r="S4453" s="61" ph="1"/>
    </row>
    <row r="4454" spans="19:19" ht="26.25">
      <c r="S4454" s="61" ph="1"/>
    </row>
    <row r="4455" spans="19:19" ht="26.25">
      <c r="S4455" s="61" ph="1"/>
    </row>
    <row r="4456" spans="19:19" ht="26.25">
      <c r="S4456" s="61" ph="1"/>
    </row>
    <row r="4457" spans="19:19" ht="26.25">
      <c r="S4457" s="61" ph="1"/>
    </row>
    <row r="4458" spans="19:19" ht="26.25">
      <c r="S4458" s="61" ph="1"/>
    </row>
    <row r="4459" spans="19:19" ht="26.25">
      <c r="S4459" s="61" ph="1"/>
    </row>
    <row r="4460" spans="19:19" ht="26.25">
      <c r="S4460" s="61" ph="1"/>
    </row>
    <row r="4461" spans="19:19" ht="26.25">
      <c r="S4461" s="61" ph="1"/>
    </row>
    <row r="4462" spans="19:19" ht="26.25">
      <c r="S4462" s="61" ph="1"/>
    </row>
    <row r="4463" spans="19:19" ht="26.25">
      <c r="S4463" s="61" ph="1"/>
    </row>
    <row r="4464" spans="19:19" ht="26.25">
      <c r="S4464" s="61" ph="1"/>
    </row>
    <row r="4465" spans="19:19" ht="26.25">
      <c r="S4465" s="61" ph="1"/>
    </row>
    <row r="4466" spans="19:19" ht="26.25">
      <c r="S4466" s="61" ph="1"/>
    </row>
    <row r="4467" spans="19:19" ht="26.25">
      <c r="S4467" s="61" ph="1"/>
    </row>
    <row r="4468" spans="19:19" ht="26.25">
      <c r="S4468" s="61" ph="1"/>
    </row>
    <row r="4469" spans="19:19" ht="26.25">
      <c r="S4469" s="61" ph="1"/>
    </row>
    <row r="4470" spans="19:19" ht="26.25">
      <c r="S4470" s="61" ph="1"/>
    </row>
    <row r="4471" spans="19:19" ht="26.25">
      <c r="S4471" s="61" ph="1"/>
    </row>
    <row r="4472" spans="19:19" ht="26.25">
      <c r="S4472" s="61" ph="1"/>
    </row>
    <row r="4473" spans="19:19" ht="26.25">
      <c r="S4473" s="61" ph="1"/>
    </row>
    <row r="4474" spans="19:19" ht="26.25">
      <c r="S4474" s="61" ph="1"/>
    </row>
    <row r="4475" spans="19:19" ht="26.25">
      <c r="S4475" s="61" ph="1"/>
    </row>
    <row r="4476" spans="19:19" ht="26.25">
      <c r="S4476" s="61" ph="1"/>
    </row>
    <row r="4477" spans="19:19" ht="26.25">
      <c r="S4477" s="61" ph="1"/>
    </row>
    <row r="4478" spans="19:19" ht="26.25">
      <c r="S4478" s="61" ph="1"/>
    </row>
    <row r="4479" spans="19:19" ht="26.25">
      <c r="S4479" s="61" ph="1"/>
    </row>
    <row r="4480" spans="19:19" ht="26.25">
      <c r="S4480" s="61" ph="1"/>
    </row>
    <row r="4481" spans="19:19" ht="26.25">
      <c r="S4481" s="61" ph="1"/>
    </row>
    <row r="4482" spans="19:19" ht="26.25">
      <c r="S4482" s="61" ph="1"/>
    </row>
    <row r="4483" spans="19:19" ht="26.25">
      <c r="S4483" s="61" ph="1"/>
    </row>
    <row r="4484" spans="19:19" ht="26.25">
      <c r="S4484" s="61" ph="1"/>
    </row>
    <row r="4485" spans="19:19" ht="26.25">
      <c r="S4485" s="61" ph="1"/>
    </row>
    <row r="4486" spans="19:19" ht="26.25">
      <c r="S4486" s="61" ph="1"/>
    </row>
    <row r="4487" spans="19:19" ht="26.25">
      <c r="S4487" s="61" ph="1"/>
    </row>
    <row r="4488" spans="19:19" ht="26.25">
      <c r="S4488" s="61" ph="1"/>
    </row>
    <row r="4489" spans="19:19" ht="26.25">
      <c r="S4489" s="61" ph="1"/>
    </row>
    <row r="4490" spans="19:19" ht="26.25">
      <c r="S4490" s="61" ph="1"/>
    </row>
    <row r="4491" spans="19:19" ht="26.25">
      <c r="S4491" s="61" ph="1"/>
    </row>
    <row r="4492" spans="19:19" ht="26.25">
      <c r="S4492" s="61" ph="1"/>
    </row>
    <row r="4493" spans="19:19" ht="26.25">
      <c r="S4493" s="61" ph="1"/>
    </row>
    <row r="4494" spans="19:19" ht="26.25">
      <c r="S4494" s="61" ph="1"/>
    </row>
    <row r="4495" spans="19:19" ht="26.25">
      <c r="S4495" s="61" ph="1"/>
    </row>
    <row r="4496" spans="19:19" ht="26.25">
      <c r="S4496" s="61" ph="1"/>
    </row>
    <row r="4497" spans="19:19" ht="26.25">
      <c r="S4497" s="61" ph="1"/>
    </row>
    <row r="4498" spans="19:19" ht="26.25">
      <c r="S4498" s="61" ph="1"/>
    </row>
    <row r="4499" spans="19:19" ht="26.25">
      <c r="S4499" s="61" ph="1"/>
    </row>
    <row r="4500" spans="19:19" ht="26.25">
      <c r="S4500" s="61" ph="1"/>
    </row>
    <row r="4501" spans="19:19" ht="26.25">
      <c r="S4501" s="61" ph="1"/>
    </row>
    <row r="4502" spans="19:19" ht="26.25">
      <c r="S4502" s="61" ph="1"/>
    </row>
    <row r="4503" spans="19:19" ht="26.25">
      <c r="S4503" s="61" ph="1"/>
    </row>
    <row r="4504" spans="19:19" ht="26.25">
      <c r="S4504" s="61" ph="1"/>
    </row>
    <row r="4505" spans="19:19" ht="26.25">
      <c r="S4505" s="61" ph="1"/>
    </row>
    <row r="4506" spans="19:19" ht="26.25">
      <c r="S4506" s="61" ph="1"/>
    </row>
    <row r="4507" spans="19:19" ht="26.25">
      <c r="S4507" s="61" ph="1"/>
    </row>
    <row r="4508" spans="19:19" ht="26.25">
      <c r="S4508" s="61" ph="1"/>
    </row>
    <row r="4509" spans="19:19" ht="26.25">
      <c r="S4509" s="61" ph="1"/>
    </row>
    <row r="4510" spans="19:19" ht="26.25">
      <c r="S4510" s="61" ph="1"/>
    </row>
    <row r="4511" spans="19:19" ht="26.25">
      <c r="S4511" s="61" ph="1"/>
    </row>
    <row r="4512" spans="19:19" ht="26.25">
      <c r="S4512" s="61" ph="1"/>
    </row>
    <row r="4513" spans="19:19" ht="26.25">
      <c r="S4513" s="61" ph="1"/>
    </row>
    <row r="4514" spans="19:19" ht="26.25">
      <c r="S4514" s="61" ph="1"/>
    </row>
    <row r="4515" spans="19:19" ht="26.25">
      <c r="S4515" s="61" ph="1"/>
    </row>
    <row r="4516" spans="19:19" ht="26.25">
      <c r="S4516" s="61" ph="1"/>
    </row>
    <row r="4517" spans="19:19" ht="26.25">
      <c r="S4517" s="61" ph="1"/>
    </row>
    <row r="4518" spans="19:19" ht="26.25">
      <c r="S4518" s="61" ph="1"/>
    </row>
    <row r="4519" spans="19:19" ht="26.25">
      <c r="S4519" s="61" ph="1"/>
    </row>
    <row r="4520" spans="19:19" ht="26.25">
      <c r="S4520" s="61" ph="1"/>
    </row>
    <row r="4521" spans="19:19" ht="26.25">
      <c r="S4521" s="61" ph="1"/>
    </row>
    <row r="4522" spans="19:19" ht="26.25">
      <c r="S4522" s="61" ph="1"/>
    </row>
    <row r="4523" spans="19:19" ht="26.25">
      <c r="S4523" s="61" ph="1"/>
    </row>
    <row r="4524" spans="19:19" ht="26.25">
      <c r="S4524" s="61" ph="1"/>
    </row>
    <row r="4525" spans="19:19" ht="26.25">
      <c r="S4525" s="61" ph="1"/>
    </row>
    <row r="4526" spans="19:19" ht="26.25">
      <c r="S4526" s="61" ph="1"/>
    </row>
    <row r="4527" spans="19:19" ht="26.25">
      <c r="S4527" s="61" ph="1"/>
    </row>
    <row r="4528" spans="19:19" ht="26.25">
      <c r="S4528" s="61" ph="1"/>
    </row>
    <row r="4529" spans="19:19" ht="26.25">
      <c r="S4529" s="61" ph="1"/>
    </row>
    <row r="4530" spans="19:19" ht="26.25">
      <c r="S4530" s="61" ph="1"/>
    </row>
    <row r="4531" spans="19:19" ht="26.25">
      <c r="S4531" s="61" ph="1"/>
    </row>
    <row r="4532" spans="19:19" ht="26.25">
      <c r="S4532" s="61" ph="1"/>
    </row>
    <row r="4533" spans="19:19" ht="26.25">
      <c r="S4533" s="61" ph="1"/>
    </row>
    <row r="4534" spans="19:19" ht="26.25">
      <c r="S4534" s="61" ph="1"/>
    </row>
    <row r="4535" spans="19:19" ht="26.25">
      <c r="S4535" s="61" ph="1"/>
    </row>
    <row r="4536" spans="19:19" ht="26.25">
      <c r="S4536" s="61" ph="1"/>
    </row>
    <row r="4537" spans="19:19" ht="26.25">
      <c r="S4537" s="61" ph="1"/>
    </row>
    <row r="4538" spans="19:19" ht="26.25">
      <c r="S4538" s="61" ph="1"/>
    </row>
    <row r="4539" spans="19:19" ht="26.25">
      <c r="S4539" s="61" ph="1"/>
    </row>
    <row r="4540" spans="19:19" ht="26.25">
      <c r="S4540" s="61" ph="1"/>
    </row>
    <row r="4541" spans="19:19" ht="26.25">
      <c r="S4541" s="61" ph="1"/>
    </row>
    <row r="4542" spans="19:19" ht="26.25">
      <c r="S4542" s="61" ph="1"/>
    </row>
    <row r="4543" spans="19:19" ht="26.25">
      <c r="S4543" s="61" ph="1"/>
    </row>
    <row r="4544" spans="19:19" ht="26.25">
      <c r="S4544" s="61" ph="1"/>
    </row>
    <row r="4545" spans="19:19" ht="26.25">
      <c r="S4545" s="61" ph="1"/>
    </row>
    <row r="4546" spans="19:19" ht="26.25">
      <c r="S4546" s="61" ph="1"/>
    </row>
    <row r="4547" spans="19:19" ht="26.25">
      <c r="S4547" s="61" ph="1"/>
    </row>
    <row r="4548" spans="19:19" ht="26.25">
      <c r="S4548" s="61" ph="1"/>
    </row>
    <row r="4549" spans="19:19" ht="26.25">
      <c r="S4549" s="61" ph="1"/>
    </row>
    <row r="4550" spans="19:19" ht="26.25">
      <c r="S4550" s="61" ph="1"/>
    </row>
    <row r="4551" spans="19:19" ht="26.25">
      <c r="S4551" s="61" ph="1"/>
    </row>
    <row r="4552" spans="19:19" ht="26.25">
      <c r="S4552" s="61" ph="1"/>
    </row>
    <row r="4553" spans="19:19" ht="26.25">
      <c r="S4553" s="61" ph="1"/>
    </row>
    <row r="4554" spans="19:19" ht="26.25">
      <c r="S4554" s="61" ph="1"/>
    </row>
    <row r="4555" spans="19:19" ht="26.25">
      <c r="S4555" s="61" ph="1"/>
    </row>
    <row r="4556" spans="19:19" ht="26.25">
      <c r="S4556" s="61" ph="1"/>
    </row>
    <row r="4557" spans="19:19" ht="26.25">
      <c r="S4557" s="61" ph="1"/>
    </row>
    <row r="4558" spans="19:19" ht="26.25">
      <c r="S4558" s="61" ph="1"/>
    </row>
    <row r="4559" spans="19:19" ht="26.25">
      <c r="S4559" s="61" ph="1"/>
    </row>
    <row r="4560" spans="19:19" ht="26.25">
      <c r="S4560" s="61" ph="1"/>
    </row>
    <row r="4561" spans="19:19" ht="26.25">
      <c r="S4561" s="61" ph="1"/>
    </row>
    <row r="4562" spans="19:19" ht="26.25">
      <c r="S4562" s="61" ph="1"/>
    </row>
    <row r="4563" spans="19:19" ht="26.25">
      <c r="S4563" s="61" ph="1"/>
    </row>
    <row r="4564" spans="19:19" ht="26.25">
      <c r="S4564" s="61" ph="1"/>
    </row>
    <row r="4565" spans="19:19" ht="26.25">
      <c r="S4565" s="61" ph="1"/>
    </row>
    <row r="4566" spans="19:19" ht="26.25">
      <c r="S4566" s="61" ph="1"/>
    </row>
    <row r="4567" spans="19:19" ht="26.25">
      <c r="S4567" s="61" ph="1"/>
    </row>
    <row r="4568" spans="19:19" ht="26.25">
      <c r="S4568" s="61" ph="1"/>
    </row>
    <row r="4569" spans="19:19" ht="26.25">
      <c r="S4569" s="61" ph="1"/>
    </row>
    <row r="4570" spans="19:19" ht="26.25">
      <c r="S4570" s="61" ph="1"/>
    </row>
    <row r="4571" spans="19:19" ht="26.25">
      <c r="S4571" s="61" ph="1"/>
    </row>
    <row r="4572" spans="19:19" ht="26.25">
      <c r="S4572" s="61" ph="1"/>
    </row>
    <row r="4573" spans="19:19" ht="26.25">
      <c r="S4573" s="61" ph="1"/>
    </row>
    <row r="4574" spans="19:19" ht="26.25">
      <c r="S4574" s="61" ph="1"/>
    </row>
    <row r="4575" spans="19:19" ht="26.25">
      <c r="S4575" s="61" ph="1"/>
    </row>
    <row r="4576" spans="19:19" ht="26.25">
      <c r="S4576" s="61" ph="1"/>
    </row>
    <row r="4577" spans="19:19" ht="26.25">
      <c r="S4577" s="61" ph="1"/>
    </row>
    <row r="4578" spans="19:19" ht="26.25">
      <c r="S4578" s="61" ph="1"/>
    </row>
    <row r="4579" spans="19:19" ht="26.25">
      <c r="S4579" s="61" ph="1"/>
    </row>
    <row r="4580" spans="19:19" ht="26.25">
      <c r="S4580" s="61" ph="1"/>
    </row>
    <row r="4581" spans="19:19" ht="26.25">
      <c r="S4581" s="61" ph="1"/>
    </row>
    <row r="4582" spans="19:19" ht="26.25">
      <c r="S4582" s="61" ph="1"/>
    </row>
    <row r="4583" spans="19:19" ht="26.25">
      <c r="S4583" s="61" ph="1"/>
    </row>
    <row r="4584" spans="19:19" ht="26.25">
      <c r="S4584" s="61" ph="1"/>
    </row>
    <row r="4585" spans="19:19" ht="26.25">
      <c r="S4585" s="61" ph="1"/>
    </row>
    <row r="4586" spans="19:19" ht="26.25">
      <c r="S4586" s="61" ph="1"/>
    </row>
    <row r="4587" spans="19:19" ht="26.25">
      <c r="S4587" s="61" ph="1"/>
    </row>
    <row r="4588" spans="19:19" ht="26.25">
      <c r="S4588" s="61" ph="1"/>
    </row>
    <row r="4589" spans="19:19" ht="26.25">
      <c r="S4589" s="61" ph="1"/>
    </row>
    <row r="4590" spans="19:19" ht="26.25">
      <c r="S4590" s="61" ph="1"/>
    </row>
    <row r="4591" spans="19:19" ht="26.25">
      <c r="S4591" s="61" ph="1"/>
    </row>
    <row r="4592" spans="19:19" ht="26.25">
      <c r="S4592" s="61" ph="1"/>
    </row>
    <row r="4593" spans="19:19" ht="26.25">
      <c r="S4593" s="61" ph="1"/>
    </row>
    <row r="4594" spans="19:19" ht="26.25">
      <c r="S4594" s="61" ph="1"/>
    </row>
    <row r="4595" spans="19:19" ht="26.25">
      <c r="S4595" s="61" ph="1"/>
    </row>
    <row r="4596" spans="19:19" ht="26.25">
      <c r="S4596" s="61" ph="1"/>
    </row>
    <row r="4597" spans="19:19" ht="26.25">
      <c r="S4597" s="61" ph="1"/>
    </row>
    <row r="4598" spans="19:19" ht="26.25">
      <c r="S4598" s="61" ph="1"/>
    </row>
    <row r="4599" spans="19:19" ht="26.25">
      <c r="S4599" s="61" ph="1"/>
    </row>
    <row r="4600" spans="19:19" ht="26.25">
      <c r="S4600" s="61" ph="1"/>
    </row>
    <row r="4601" spans="19:19" ht="26.25">
      <c r="S4601" s="61" ph="1"/>
    </row>
    <row r="4602" spans="19:19" ht="26.25">
      <c r="S4602" s="61" ph="1"/>
    </row>
    <row r="4603" spans="19:19" ht="26.25">
      <c r="S4603" s="61" ph="1"/>
    </row>
    <row r="4604" spans="19:19" ht="26.25">
      <c r="S4604" s="61" ph="1"/>
    </row>
    <row r="4605" spans="19:19" ht="26.25">
      <c r="S4605" s="61" ph="1"/>
    </row>
    <row r="4606" spans="19:19" ht="26.25">
      <c r="S4606" s="61" ph="1"/>
    </row>
    <row r="4607" spans="19:19" ht="26.25">
      <c r="S4607" s="61" ph="1"/>
    </row>
    <row r="4608" spans="19:19" ht="26.25">
      <c r="S4608" s="61" ph="1"/>
    </row>
    <row r="4609" spans="19:19" ht="26.25">
      <c r="S4609" s="61" ph="1"/>
    </row>
    <row r="4610" spans="19:19" ht="26.25">
      <c r="S4610" s="61" ph="1"/>
    </row>
    <row r="4611" spans="19:19" ht="26.25">
      <c r="S4611" s="61" ph="1"/>
    </row>
    <row r="4612" spans="19:19" ht="26.25">
      <c r="S4612" s="61" ph="1"/>
    </row>
    <row r="4613" spans="19:19" ht="26.25">
      <c r="S4613" s="61" ph="1"/>
    </row>
    <row r="4614" spans="19:19" ht="26.25">
      <c r="S4614" s="61" ph="1"/>
    </row>
    <row r="4615" spans="19:19" ht="26.25">
      <c r="S4615" s="61" ph="1"/>
    </row>
    <row r="4616" spans="19:19" ht="26.25">
      <c r="S4616" s="61" ph="1"/>
    </row>
    <row r="4617" spans="19:19" ht="26.25">
      <c r="S4617" s="61" ph="1"/>
    </row>
    <row r="4618" spans="19:19" ht="26.25">
      <c r="S4618" s="61" ph="1"/>
    </row>
    <row r="4619" spans="19:19" ht="26.25">
      <c r="S4619" s="61" ph="1"/>
    </row>
    <row r="4620" spans="19:19" ht="26.25">
      <c r="S4620" s="61" ph="1"/>
    </row>
    <row r="4621" spans="19:19" ht="26.25">
      <c r="S4621" s="61" ph="1"/>
    </row>
    <row r="4622" spans="19:19" ht="26.25">
      <c r="S4622" s="61" ph="1"/>
    </row>
    <row r="4623" spans="19:19" ht="26.25">
      <c r="S4623" s="61" ph="1"/>
    </row>
    <row r="4624" spans="19:19" ht="26.25">
      <c r="S4624" s="61" ph="1"/>
    </row>
    <row r="4625" spans="19:19" ht="26.25">
      <c r="S4625" s="61" ph="1"/>
    </row>
    <row r="4626" spans="19:19" ht="26.25">
      <c r="S4626" s="61" ph="1"/>
    </row>
    <row r="4627" spans="19:19" ht="26.25">
      <c r="S4627" s="61" ph="1"/>
    </row>
    <row r="4628" spans="19:19" ht="26.25">
      <c r="S4628" s="61" ph="1"/>
    </row>
    <row r="4629" spans="19:19" ht="26.25">
      <c r="S4629" s="61" ph="1"/>
    </row>
    <row r="4630" spans="19:19" ht="26.25">
      <c r="S4630" s="61" ph="1"/>
    </row>
    <row r="4631" spans="19:19" ht="26.25">
      <c r="S4631" s="61" ph="1"/>
    </row>
    <row r="4632" spans="19:19" ht="26.25">
      <c r="S4632" s="61" ph="1"/>
    </row>
    <row r="4633" spans="19:19" ht="26.25">
      <c r="S4633" s="61" ph="1"/>
    </row>
    <row r="4634" spans="19:19" ht="26.25">
      <c r="S4634" s="61" ph="1"/>
    </row>
    <row r="4635" spans="19:19" ht="26.25">
      <c r="S4635" s="61" ph="1"/>
    </row>
    <row r="4636" spans="19:19" ht="26.25">
      <c r="S4636" s="61" ph="1"/>
    </row>
    <row r="4637" spans="19:19" ht="26.25">
      <c r="S4637" s="61" ph="1"/>
    </row>
    <row r="4638" spans="19:19" ht="26.25">
      <c r="S4638" s="61" ph="1"/>
    </row>
    <row r="4639" spans="19:19" ht="26.25">
      <c r="S4639" s="61" ph="1"/>
    </row>
    <row r="4640" spans="19:19" ht="26.25">
      <c r="S4640" s="61" ph="1"/>
    </row>
    <row r="4641" spans="19:19" ht="26.25">
      <c r="S4641" s="61" ph="1"/>
    </row>
    <row r="4642" spans="19:19" ht="26.25">
      <c r="S4642" s="61" ph="1"/>
    </row>
    <row r="4643" spans="19:19" ht="26.25">
      <c r="S4643" s="61" ph="1"/>
    </row>
    <row r="4644" spans="19:19" ht="26.25">
      <c r="S4644" s="61" ph="1"/>
    </row>
    <row r="4645" spans="19:19" ht="26.25">
      <c r="S4645" s="61" ph="1"/>
    </row>
    <row r="4646" spans="19:19" ht="26.25">
      <c r="S4646" s="61" ph="1"/>
    </row>
    <row r="4647" spans="19:19" ht="26.25">
      <c r="S4647" s="61" ph="1"/>
    </row>
    <row r="4648" spans="19:19" ht="26.25">
      <c r="S4648" s="61" ph="1"/>
    </row>
    <row r="4649" spans="19:19" ht="26.25">
      <c r="S4649" s="61" ph="1"/>
    </row>
    <row r="4650" spans="19:19" ht="26.25">
      <c r="S4650" s="61" ph="1"/>
    </row>
    <row r="4651" spans="19:19" ht="26.25">
      <c r="S4651" s="61" ph="1"/>
    </row>
    <row r="4652" spans="19:19" ht="26.25">
      <c r="S4652" s="61" ph="1"/>
    </row>
    <row r="4653" spans="19:19" ht="26.25">
      <c r="S4653" s="61" ph="1"/>
    </row>
    <row r="4654" spans="19:19" ht="26.25">
      <c r="S4654" s="61" ph="1"/>
    </row>
    <row r="4655" spans="19:19" ht="26.25">
      <c r="S4655" s="61" ph="1"/>
    </row>
    <row r="4656" spans="19:19" ht="26.25">
      <c r="S4656" s="61" ph="1"/>
    </row>
    <row r="4657" spans="19:19" ht="26.25">
      <c r="S4657" s="61" ph="1"/>
    </row>
    <row r="4658" spans="19:19" ht="26.25">
      <c r="S4658" s="61" ph="1"/>
    </row>
    <row r="4659" spans="19:19" ht="26.25">
      <c r="S4659" s="61" ph="1"/>
    </row>
    <row r="4660" spans="19:19" ht="26.25">
      <c r="S4660" s="61" ph="1"/>
    </row>
    <row r="4661" spans="19:19" ht="26.25">
      <c r="S4661" s="61" ph="1"/>
    </row>
    <row r="4662" spans="19:19" ht="26.25">
      <c r="S4662" s="61" ph="1"/>
    </row>
    <row r="4663" spans="19:19" ht="26.25">
      <c r="S4663" s="61" ph="1"/>
    </row>
    <row r="4664" spans="19:19" ht="26.25">
      <c r="S4664" s="61" ph="1"/>
    </row>
    <row r="4665" spans="19:19" ht="26.25">
      <c r="S4665" s="61" ph="1"/>
    </row>
    <row r="4666" spans="19:19" ht="26.25">
      <c r="S4666" s="61" ph="1"/>
    </row>
    <row r="4667" spans="19:19" ht="26.25">
      <c r="S4667" s="61" ph="1"/>
    </row>
    <row r="4668" spans="19:19" ht="26.25">
      <c r="S4668" s="61" ph="1"/>
    </row>
    <row r="4669" spans="19:19" ht="26.25">
      <c r="S4669" s="61" ph="1"/>
    </row>
    <row r="4670" spans="19:19" ht="26.25">
      <c r="S4670" s="61" ph="1"/>
    </row>
    <row r="4671" spans="19:19" ht="26.25">
      <c r="S4671" s="61" ph="1"/>
    </row>
    <row r="4672" spans="19:19" ht="26.25">
      <c r="S4672" s="61" ph="1"/>
    </row>
    <row r="4673" spans="19:19" ht="26.25">
      <c r="S4673" s="61" ph="1"/>
    </row>
    <row r="4674" spans="19:19" ht="26.25">
      <c r="S4674" s="61" ph="1"/>
    </row>
    <row r="4675" spans="19:19" ht="26.25">
      <c r="S4675" s="61" ph="1"/>
    </row>
    <row r="4676" spans="19:19" ht="26.25">
      <c r="S4676" s="61" ph="1"/>
    </row>
    <row r="4677" spans="19:19" ht="26.25">
      <c r="S4677" s="61" ph="1"/>
    </row>
    <row r="4678" spans="19:19" ht="26.25">
      <c r="S4678" s="61" ph="1"/>
    </row>
    <row r="4679" spans="19:19" ht="26.25">
      <c r="S4679" s="61" ph="1"/>
    </row>
    <row r="4680" spans="19:19" ht="26.25">
      <c r="S4680" s="61" ph="1"/>
    </row>
    <row r="4681" spans="19:19" ht="26.25">
      <c r="S4681" s="61" ph="1"/>
    </row>
    <row r="4682" spans="19:19" ht="26.25">
      <c r="S4682" s="61" ph="1"/>
    </row>
    <row r="4683" spans="19:19" ht="26.25">
      <c r="S4683" s="61" ph="1"/>
    </row>
    <row r="4684" spans="19:19" ht="26.25">
      <c r="S4684" s="61" ph="1"/>
    </row>
    <row r="4685" spans="19:19" ht="26.25">
      <c r="S4685" s="61" ph="1"/>
    </row>
    <row r="4686" spans="19:19" ht="26.25">
      <c r="S4686" s="61" ph="1"/>
    </row>
    <row r="4687" spans="19:19" ht="26.25">
      <c r="S4687" s="61" ph="1"/>
    </row>
    <row r="4688" spans="19:19" ht="26.25">
      <c r="S4688" s="61" ph="1"/>
    </row>
    <row r="4689" spans="19:19" ht="26.25">
      <c r="S4689" s="61" ph="1"/>
    </row>
    <row r="4690" spans="19:19" ht="26.25">
      <c r="S4690" s="61" ph="1"/>
    </row>
    <row r="4691" spans="19:19" ht="26.25">
      <c r="S4691" s="61" ph="1"/>
    </row>
    <row r="4692" spans="19:19" ht="26.25">
      <c r="S4692" s="61" ph="1"/>
    </row>
    <row r="4693" spans="19:19" ht="26.25">
      <c r="S4693" s="61" ph="1"/>
    </row>
    <row r="4694" spans="19:19" ht="26.25">
      <c r="S4694" s="61" ph="1"/>
    </row>
    <row r="4695" spans="19:19" ht="26.25">
      <c r="S4695" s="61" ph="1"/>
    </row>
    <row r="4696" spans="19:19" ht="26.25">
      <c r="S4696" s="61" ph="1"/>
    </row>
    <row r="4697" spans="19:19" ht="26.25">
      <c r="S4697" s="61" ph="1"/>
    </row>
    <row r="4698" spans="19:19" ht="26.25">
      <c r="S4698" s="61" ph="1"/>
    </row>
    <row r="4699" spans="19:19" ht="26.25">
      <c r="S4699" s="61" ph="1"/>
    </row>
    <row r="4700" spans="19:19" ht="26.25">
      <c r="S4700" s="61" ph="1"/>
    </row>
    <row r="4701" spans="19:19" ht="26.25">
      <c r="S4701" s="61" ph="1"/>
    </row>
    <row r="4702" spans="19:19" ht="26.25">
      <c r="S4702" s="61" ph="1"/>
    </row>
    <row r="4703" spans="19:19" ht="26.25">
      <c r="S4703" s="61" ph="1"/>
    </row>
    <row r="4704" spans="19:19" ht="26.25">
      <c r="S4704" s="61" ph="1"/>
    </row>
    <row r="4705" spans="19:19" ht="26.25">
      <c r="S4705" s="61" ph="1"/>
    </row>
    <row r="4706" spans="19:19" ht="26.25">
      <c r="S4706" s="61" ph="1"/>
    </row>
    <row r="4707" spans="19:19" ht="26.25">
      <c r="S4707" s="61" ph="1"/>
    </row>
    <row r="4708" spans="19:19" ht="26.25">
      <c r="S4708" s="61" ph="1"/>
    </row>
    <row r="4709" spans="19:19" ht="26.25">
      <c r="S4709" s="61" ph="1"/>
    </row>
    <row r="4710" spans="19:19" ht="26.25">
      <c r="S4710" s="61" ph="1"/>
    </row>
    <row r="4711" spans="19:19" ht="26.25">
      <c r="S4711" s="61" ph="1"/>
    </row>
    <row r="4712" spans="19:19" ht="26.25">
      <c r="S4712" s="61" ph="1"/>
    </row>
    <row r="4713" spans="19:19" ht="26.25">
      <c r="S4713" s="61" ph="1"/>
    </row>
    <row r="4714" spans="19:19" ht="26.25">
      <c r="S4714" s="61" ph="1"/>
    </row>
    <row r="4715" spans="19:19" ht="26.25">
      <c r="S4715" s="61" ph="1"/>
    </row>
    <row r="4716" spans="19:19" ht="26.25">
      <c r="S4716" s="61" ph="1"/>
    </row>
    <row r="4717" spans="19:19" ht="26.25">
      <c r="S4717" s="61" ph="1"/>
    </row>
    <row r="4718" spans="19:19" ht="26.25">
      <c r="S4718" s="61" ph="1"/>
    </row>
    <row r="4719" spans="19:19" ht="26.25">
      <c r="S4719" s="61" ph="1"/>
    </row>
    <row r="4720" spans="19:19" ht="26.25">
      <c r="S4720" s="61" ph="1"/>
    </row>
    <row r="4721" spans="19:19" ht="26.25">
      <c r="S4721" s="61" ph="1"/>
    </row>
    <row r="4722" spans="19:19" ht="26.25">
      <c r="S4722" s="61" ph="1"/>
    </row>
    <row r="4723" spans="19:19" ht="26.25">
      <c r="S4723" s="61" ph="1"/>
    </row>
    <row r="4724" spans="19:19" ht="26.25">
      <c r="S4724" s="61" ph="1"/>
    </row>
    <row r="4725" spans="19:19" ht="26.25">
      <c r="S4725" s="61" ph="1"/>
    </row>
    <row r="4726" spans="19:19" ht="26.25">
      <c r="S4726" s="61" ph="1"/>
    </row>
    <row r="4727" spans="19:19" ht="26.25">
      <c r="S4727" s="61" ph="1"/>
    </row>
    <row r="4728" spans="19:19" ht="26.25">
      <c r="S4728" s="61" ph="1"/>
    </row>
    <row r="4729" spans="19:19" ht="26.25">
      <c r="S4729" s="61" ph="1"/>
    </row>
    <row r="4730" spans="19:19" ht="26.25">
      <c r="S4730" s="61" ph="1"/>
    </row>
    <row r="4731" spans="19:19" ht="26.25">
      <c r="S4731" s="61" ph="1"/>
    </row>
    <row r="4732" spans="19:19" ht="26.25">
      <c r="S4732" s="61" ph="1"/>
    </row>
    <row r="4733" spans="19:19" ht="26.25">
      <c r="S4733" s="61" ph="1"/>
    </row>
    <row r="4734" spans="19:19" ht="26.25">
      <c r="S4734" s="61" ph="1"/>
    </row>
    <row r="4735" spans="19:19" ht="26.25">
      <c r="S4735" s="61" ph="1"/>
    </row>
    <row r="4736" spans="19:19" ht="26.25">
      <c r="S4736" s="61" ph="1"/>
    </row>
    <row r="4737" spans="19:19" ht="26.25">
      <c r="S4737" s="61" ph="1"/>
    </row>
    <row r="4738" spans="19:19" ht="26.25">
      <c r="S4738" s="61" ph="1"/>
    </row>
    <row r="4739" spans="19:19" ht="26.25">
      <c r="S4739" s="61" ph="1"/>
    </row>
    <row r="4740" spans="19:19" ht="26.25">
      <c r="S4740" s="61" ph="1"/>
    </row>
    <row r="4741" spans="19:19" ht="26.25">
      <c r="S4741" s="61" ph="1"/>
    </row>
    <row r="4742" spans="19:19" ht="26.25">
      <c r="S4742" s="61" ph="1"/>
    </row>
    <row r="4743" spans="19:19" ht="26.25">
      <c r="S4743" s="61" ph="1"/>
    </row>
    <row r="4744" spans="19:19" ht="26.25">
      <c r="S4744" s="61" ph="1"/>
    </row>
    <row r="4745" spans="19:19" ht="26.25">
      <c r="S4745" s="61" ph="1"/>
    </row>
    <row r="4746" spans="19:19" ht="26.25">
      <c r="S4746" s="61" ph="1"/>
    </row>
    <row r="4747" spans="19:19" ht="26.25">
      <c r="S4747" s="61" ph="1"/>
    </row>
    <row r="4748" spans="19:19" ht="26.25">
      <c r="S4748" s="61" ph="1"/>
    </row>
    <row r="4749" spans="19:19" ht="26.25">
      <c r="S4749" s="61" ph="1"/>
    </row>
    <row r="4750" spans="19:19" ht="26.25">
      <c r="S4750" s="61" ph="1"/>
    </row>
    <row r="4751" spans="19:19" ht="26.25">
      <c r="S4751" s="61" ph="1"/>
    </row>
    <row r="4752" spans="19:19" ht="26.25">
      <c r="S4752" s="61" ph="1"/>
    </row>
    <row r="4753" spans="19:19" ht="26.25">
      <c r="S4753" s="61" ph="1"/>
    </row>
    <row r="4754" spans="19:19" ht="26.25">
      <c r="S4754" s="61" ph="1"/>
    </row>
    <row r="4755" spans="19:19" ht="26.25">
      <c r="S4755" s="61" ph="1"/>
    </row>
    <row r="4756" spans="19:19" ht="26.25">
      <c r="S4756" s="61" ph="1"/>
    </row>
    <row r="4757" spans="19:19" ht="26.25">
      <c r="S4757" s="61" ph="1"/>
    </row>
    <row r="4758" spans="19:19" ht="26.25">
      <c r="S4758" s="61" ph="1"/>
    </row>
    <row r="4759" spans="19:19" ht="26.25">
      <c r="S4759" s="61" ph="1"/>
    </row>
    <row r="4760" spans="19:19" ht="26.25">
      <c r="S4760" s="61" ph="1"/>
    </row>
    <row r="4761" spans="19:19" ht="26.25">
      <c r="S4761" s="61" ph="1"/>
    </row>
    <row r="4762" spans="19:19" ht="26.25">
      <c r="S4762" s="61" ph="1"/>
    </row>
    <row r="4763" spans="19:19" ht="26.25">
      <c r="S4763" s="61" ph="1"/>
    </row>
    <row r="4764" spans="19:19" ht="26.25">
      <c r="S4764" s="61" ph="1"/>
    </row>
    <row r="4765" spans="19:19" ht="26.25">
      <c r="S4765" s="61" ph="1"/>
    </row>
    <row r="4766" spans="19:19" ht="26.25">
      <c r="S4766" s="61" ph="1"/>
    </row>
    <row r="4767" spans="19:19" ht="26.25">
      <c r="S4767" s="61" ph="1"/>
    </row>
    <row r="4768" spans="19:19" ht="26.25">
      <c r="S4768" s="61" ph="1"/>
    </row>
    <row r="4769" spans="19:19" ht="26.25">
      <c r="S4769" s="61" ph="1"/>
    </row>
    <row r="4770" spans="19:19" ht="26.25">
      <c r="S4770" s="61" ph="1"/>
    </row>
    <row r="4771" spans="19:19" ht="26.25">
      <c r="S4771" s="61" ph="1"/>
    </row>
    <row r="4772" spans="19:19" ht="26.25">
      <c r="S4772" s="61" ph="1"/>
    </row>
    <row r="4773" spans="19:19" ht="26.25">
      <c r="S4773" s="61" ph="1"/>
    </row>
    <row r="4774" spans="19:19" ht="26.25">
      <c r="S4774" s="61" ph="1"/>
    </row>
    <row r="4775" spans="19:19" ht="26.25">
      <c r="S4775" s="61" ph="1"/>
    </row>
    <row r="4776" spans="19:19" ht="26.25">
      <c r="S4776" s="61" ph="1"/>
    </row>
    <row r="4777" spans="19:19" ht="26.25">
      <c r="S4777" s="61" ph="1"/>
    </row>
    <row r="4778" spans="19:19" ht="26.25">
      <c r="S4778" s="61" ph="1"/>
    </row>
    <row r="4779" spans="19:19" ht="26.25">
      <c r="S4779" s="61" ph="1"/>
    </row>
    <row r="4780" spans="19:19" ht="26.25">
      <c r="S4780" s="61" ph="1"/>
    </row>
    <row r="4781" spans="19:19" ht="26.25">
      <c r="S4781" s="61" ph="1"/>
    </row>
    <row r="4782" spans="19:19" ht="26.25">
      <c r="S4782" s="61" ph="1"/>
    </row>
    <row r="4783" spans="19:19" ht="26.25">
      <c r="S4783" s="61" ph="1"/>
    </row>
    <row r="4784" spans="19:19" ht="26.25">
      <c r="S4784" s="61" ph="1"/>
    </row>
    <row r="4785" spans="19:19" ht="26.25">
      <c r="S4785" s="61" ph="1"/>
    </row>
    <row r="4786" spans="19:19" ht="26.25">
      <c r="S4786" s="61" ph="1"/>
    </row>
    <row r="4787" spans="19:19" ht="26.25">
      <c r="S4787" s="61" ph="1"/>
    </row>
    <row r="4788" spans="19:19" ht="26.25">
      <c r="S4788" s="61" ph="1"/>
    </row>
    <row r="4789" spans="19:19" ht="26.25">
      <c r="S4789" s="61" ph="1"/>
    </row>
    <row r="4790" spans="19:19" ht="26.25">
      <c r="S4790" s="61" ph="1"/>
    </row>
    <row r="4791" spans="19:19" ht="26.25">
      <c r="S4791" s="61" ph="1"/>
    </row>
    <row r="4792" spans="19:19" ht="26.25">
      <c r="S4792" s="61" ph="1"/>
    </row>
    <row r="4793" spans="19:19" ht="26.25">
      <c r="S4793" s="61" ph="1"/>
    </row>
    <row r="4794" spans="19:19" ht="26.25">
      <c r="S4794" s="61" ph="1"/>
    </row>
    <row r="4795" spans="19:19" ht="26.25">
      <c r="S4795" s="61" ph="1"/>
    </row>
    <row r="4796" spans="19:19" ht="26.25">
      <c r="S4796" s="61" ph="1"/>
    </row>
    <row r="4797" spans="19:19" ht="26.25">
      <c r="S4797" s="61" ph="1"/>
    </row>
    <row r="4798" spans="19:19" ht="26.25">
      <c r="S4798" s="61" ph="1"/>
    </row>
    <row r="4799" spans="19:19" ht="26.25">
      <c r="S4799" s="61" ph="1"/>
    </row>
    <row r="4800" spans="19:19" ht="26.25">
      <c r="S4800" s="61" ph="1"/>
    </row>
    <row r="4801" spans="19:19" ht="26.25">
      <c r="S4801" s="61" ph="1"/>
    </row>
    <row r="4802" spans="19:19" ht="26.25">
      <c r="S4802" s="61" ph="1"/>
    </row>
    <row r="4803" spans="19:19" ht="26.25">
      <c r="S4803" s="61" ph="1"/>
    </row>
    <row r="4804" spans="19:19" ht="26.25">
      <c r="S4804" s="61" ph="1"/>
    </row>
    <row r="4805" spans="19:19" ht="26.25">
      <c r="S4805" s="61" ph="1"/>
    </row>
    <row r="4806" spans="19:19" ht="26.25">
      <c r="S4806" s="61" ph="1"/>
    </row>
    <row r="4807" spans="19:19" ht="26.25">
      <c r="S4807" s="61" ph="1"/>
    </row>
    <row r="4808" spans="19:19" ht="26.25">
      <c r="S4808" s="61" ph="1"/>
    </row>
    <row r="4809" spans="19:19" ht="26.25">
      <c r="S4809" s="61" ph="1"/>
    </row>
    <row r="4810" spans="19:19" ht="26.25">
      <c r="S4810" s="61" ph="1"/>
    </row>
    <row r="4811" spans="19:19" ht="26.25">
      <c r="S4811" s="61" ph="1"/>
    </row>
    <row r="4812" spans="19:19" ht="26.25">
      <c r="S4812" s="61" ph="1"/>
    </row>
    <row r="4813" spans="19:19" ht="26.25">
      <c r="S4813" s="61" ph="1"/>
    </row>
    <row r="4814" spans="19:19" ht="26.25">
      <c r="S4814" s="61" ph="1"/>
    </row>
    <row r="4815" spans="19:19" ht="26.25">
      <c r="S4815" s="61" ph="1"/>
    </row>
    <row r="4816" spans="19:19" ht="26.25">
      <c r="S4816" s="61" ph="1"/>
    </row>
    <row r="4817" spans="19:19" ht="26.25">
      <c r="S4817" s="61" ph="1"/>
    </row>
    <row r="4818" spans="19:19" ht="26.25">
      <c r="S4818" s="61" ph="1"/>
    </row>
    <row r="4819" spans="19:19" ht="26.25">
      <c r="S4819" s="61" ph="1"/>
    </row>
    <row r="4820" spans="19:19" ht="26.25">
      <c r="S4820" s="61" ph="1"/>
    </row>
    <row r="4821" spans="19:19" ht="26.25">
      <c r="S4821" s="61" ph="1"/>
    </row>
    <row r="4822" spans="19:19" ht="26.25">
      <c r="S4822" s="61" ph="1"/>
    </row>
    <row r="4823" spans="19:19" ht="26.25">
      <c r="S4823" s="61" ph="1"/>
    </row>
    <row r="4824" spans="19:19" ht="26.25">
      <c r="S4824" s="61" ph="1"/>
    </row>
    <row r="4825" spans="19:19" ht="26.25">
      <c r="S4825" s="61" ph="1"/>
    </row>
    <row r="4826" spans="19:19" ht="26.25">
      <c r="S4826" s="61" ph="1"/>
    </row>
    <row r="4827" spans="19:19" ht="26.25">
      <c r="S4827" s="61" ph="1"/>
    </row>
    <row r="4828" spans="19:19" ht="26.25">
      <c r="S4828" s="61" ph="1"/>
    </row>
    <row r="4829" spans="19:19" ht="26.25">
      <c r="S4829" s="61" ph="1"/>
    </row>
    <row r="4830" spans="19:19" ht="26.25">
      <c r="S4830" s="61" ph="1"/>
    </row>
    <row r="4831" spans="19:19" ht="26.25">
      <c r="S4831" s="61" ph="1"/>
    </row>
    <row r="4832" spans="19:19" ht="26.25">
      <c r="S4832" s="61" ph="1"/>
    </row>
    <row r="4833" spans="19:19" ht="26.25">
      <c r="S4833" s="61" ph="1"/>
    </row>
    <row r="4834" spans="19:19" ht="26.25">
      <c r="S4834" s="61" ph="1"/>
    </row>
    <row r="4835" spans="19:19" ht="26.25">
      <c r="S4835" s="61" ph="1"/>
    </row>
    <row r="4836" spans="19:19" ht="26.25">
      <c r="S4836" s="61" ph="1"/>
    </row>
    <row r="4837" spans="19:19" ht="26.25">
      <c r="S4837" s="61" ph="1"/>
    </row>
    <row r="4838" spans="19:19" ht="26.25">
      <c r="S4838" s="61" ph="1"/>
    </row>
    <row r="4839" spans="19:19" ht="26.25">
      <c r="S4839" s="61" ph="1"/>
    </row>
    <row r="4840" spans="19:19" ht="26.25">
      <c r="S4840" s="61" ph="1"/>
    </row>
    <row r="4841" spans="19:19" ht="26.25">
      <c r="S4841" s="61" ph="1"/>
    </row>
    <row r="4842" spans="19:19" ht="26.25">
      <c r="S4842" s="61" ph="1"/>
    </row>
    <row r="4843" spans="19:19" ht="26.25">
      <c r="S4843" s="61" ph="1"/>
    </row>
    <row r="4844" spans="19:19" ht="26.25">
      <c r="S4844" s="61" ph="1"/>
    </row>
    <row r="4845" spans="19:19" ht="26.25">
      <c r="S4845" s="61" ph="1"/>
    </row>
    <row r="4846" spans="19:19" ht="26.25">
      <c r="S4846" s="61" ph="1"/>
    </row>
    <row r="4847" spans="19:19" ht="26.25">
      <c r="S4847" s="61" ph="1"/>
    </row>
    <row r="4848" spans="19:19" ht="26.25">
      <c r="S4848" s="61" ph="1"/>
    </row>
    <row r="4849" spans="19:19" ht="26.25">
      <c r="S4849" s="61" ph="1"/>
    </row>
    <row r="4850" spans="19:19" ht="26.25">
      <c r="S4850" s="61" ph="1"/>
    </row>
    <row r="4851" spans="19:19" ht="26.25">
      <c r="S4851" s="61" ph="1"/>
    </row>
    <row r="4852" spans="19:19" ht="26.25">
      <c r="S4852" s="61" ph="1"/>
    </row>
    <row r="4853" spans="19:19" ht="26.25">
      <c r="S4853" s="61" ph="1"/>
    </row>
    <row r="4854" spans="19:19" ht="26.25">
      <c r="S4854" s="61" ph="1"/>
    </row>
    <row r="4855" spans="19:19" ht="26.25">
      <c r="S4855" s="61" ph="1"/>
    </row>
    <row r="4856" spans="19:19" ht="26.25">
      <c r="S4856" s="61" ph="1"/>
    </row>
    <row r="4857" spans="19:19" ht="26.25">
      <c r="S4857" s="61" ph="1"/>
    </row>
    <row r="4858" spans="19:19" ht="26.25">
      <c r="S4858" s="61" ph="1"/>
    </row>
    <row r="4859" spans="19:19" ht="26.25">
      <c r="S4859" s="61" ph="1"/>
    </row>
    <row r="4860" spans="19:19" ht="26.25">
      <c r="S4860" s="61" ph="1"/>
    </row>
    <row r="4861" spans="19:19" ht="26.25">
      <c r="S4861" s="61" ph="1"/>
    </row>
    <row r="4862" spans="19:19" ht="26.25">
      <c r="S4862" s="61" ph="1"/>
    </row>
    <row r="4863" spans="19:19" ht="26.25">
      <c r="S4863" s="61" ph="1"/>
    </row>
    <row r="4864" spans="19:19" ht="26.25">
      <c r="S4864" s="61" ph="1"/>
    </row>
    <row r="4865" spans="19:19" ht="26.25">
      <c r="S4865" s="61" ph="1"/>
    </row>
    <row r="4866" spans="19:19" ht="26.25">
      <c r="S4866" s="61" ph="1"/>
    </row>
    <row r="4867" spans="19:19" ht="26.25">
      <c r="S4867" s="61" ph="1"/>
    </row>
    <row r="4868" spans="19:19" ht="26.25">
      <c r="S4868" s="61" ph="1"/>
    </row>
    <row r="4869" spans="19:19" ht="26.25">
      <c r="S4869" s="61" ph="1"/>
    </row>
    <row r="4870" spans="19:19" ht="26.25">
      <c r="S4870" s="61" ph="1"/>
    </row>
    <row r="4871" spans="19:19" ht="26.25">
      <c r="S4871" s="61" ph="1"/>
    </row>
    <row r="4872" spans="19:19" ht="26.25">
      <c r="S4872" s="61" ph="1"/>
    </row>
    <row r="4873" spans="19:19" ht="26.25">
      <c r="S4873" s="61" ph="1"/>
    </row>
    <row r="4874" spans="19:19" ht="26.25">
      <c r="S4874" s="61" ph="1"/>
    </row>
    <row r="4875" spans="19:19" ht="26.25">
      <c r="S4875" s="61" ph="1"/>
    </row>
    <row r="4876" spans="19:19" ht="26.25">
      <c r="S4876" s="61" ph="1"/>
    </row>
    <row r="4877" spans="19:19" ht="26.25">
      <c r="S4877" s="61" ph="1"/>
    </row>
    <row r="4878" spans="19:19" ht="26.25">
      <c r="S4878" s="61" ph="1"/>
    </row>
    <row r="4879" spans="19:19" ht="26.25">
      <c r="S4879" s="61" ph="1"/>
    </row>
    <row r="4880" spans="19:19" ht="26.25">
      <c r="S4880" s="61" ph="1"/>
    </row>
    <row r="4881" spans="19:19" ht="26.25">
      <c r="S4881" s="61" ph="1"/>
    </row>
    <row r="4882" spans="19:19" ht="26.25">
      <c r="S4882" s="61" ph="1"/>
    </row>
    <row r="4883" spans="19:19" ht="26.25">
      <c r="S4883" s="61" ph="1"/>
    </row>
    <row r="4884" spans="19:19" ht="26.25">
      <c r="S4884" s="61" ph="1"/>
    </row>
    <row r="4885" spans="19:19" ht="26.25">
      <c r="S4885" s="61" ph="1"/>
    </row>
    <row r="4886" spans="19:19" ht="26.25">
      <c r="S4886" s="61" ph="1"/>
    </row>
    <row r="4887" spans="19:19" ht="26.25">
      <c r="S4887" s="61" ph="1"/>
    </row>
    <row r="4888" spans="19:19" ht="26.25">
      <c r="S4888" s="61" ph="1"/>
    </row>
    <row r="4889" spans="19:19" ht="26.25">
      <c r="S4889" s="61" ph="1"/>
    </row>
    <row r="4890" spans="19:19" ht="26.25">
      <c r="S4890" s="61" ph="1"/>
    </row>
    <row r="4891" spans="19:19" ht="26.25">
      <c r="S4891" s="61" ph="1"/>
    </row>
    <row r="4892" spans="19:19" ht="26.25">
      <c r="S4892" s="61" ph="1"/>
    </row>
    <row r="4893" spans="19:19" ht="26.25">
      <c r="S4893" s="61" ph="1"/>
    </row>
    <row r="4894" spans="19:19" ht="26.25">
      <c r="S4894" s="61" ph="1"/>
    </row>
    <row r="4895" spans="19:19" ht="26.25">
      <c r="S4895" s="61" ph="1"/>
    </row>
    <row r="4896" spans="19:19" ht="26.25">
      <c r="S4896" s="61" ph="1"/>
    </row>
    <row r="4897" spans="19:19" ht="26.25">
      <c r="S4897" s="61" ph="1"/>
    </row>
    <row r="4898" spans="19:19" ht="26.25">
      <c r="S4898" s="61" ph="1"/>
    </row>
    <row r="4899" spans="19:19" ht="26.25">
      <c r="S4899" s="61" ph="1"/>
    </row>
    <row r="4900" spans="19:19" ht="26.25">
      <c r="S4900" s="61" ph="1"/>
    </row>
    <row r="4901" spans="19:19" ht="26.25">
      <c r="S4901" s="61" ph="1"/>
    </row>
    <row r="4902" spans="19:19" ht="26.25">
      <c r="S4902" s="61" ph="1"/>
    </row>
    <row r="4903" spans="19:19" ht="26.25">
      <c r="S4903" s="61" ph="1"/>
    </row>
    <row r="4904" spans="19:19" ht="26.25">
      <c r="S4904" s="61" ph="1"/>
    </row>
    <row r="4905" spans="19:19" ht="26.25">
      <c r="S4905" s="61" ph="1"/>
    </row>
    <row r="4906" spans="19:19" ht="26.25">
      <c r="S4906" s="61" ph="1"/>
    </row>
    <row r="4907" spans="19:19" ht="26.25">
      <c r="S4907" s="61" ph="1"/>
    </row>
    <row r="4908" spans="19:19" ht="26.25">
      <c r="S4908" s="61" ph="1"/>
    </row>
    <row r="4909" spans="19:19" ht="26.25">
      <c r="S4909" s="61" ph="1"/>
    </row>
    <row r="4910" spans="19:19" ht="26.25">
      <c r="S4910" s="61" ph="1"/>
    </row>
    <row r="4911" spans="19:19" ht="26.25">
      <c r="S4911" s="61" ph="1"/>
    </row>
    <row r="4912" spans="19:19" ht="26.25">
      <c r="S4912" s="61" ph="1"/>
    </row>
    <row r="4913" spans="19:19" ht="26.25">
      <c r="S4913" s="61" ph="1"/>
    </row>
    <row r="4914" spans="19:19" ht="26.25">
      <c r="S4914" s="61" ph="1"/>
    </row>
    <row r="4915" spans="19:19" ht="26.25">
      <c r="S4915" s="61" ph="1"/>
    </row>
    <row r="4916" spans="19:19" ht="26.25">
      <c r="S4916" s="61" ph="1"/>
    </row>
    <row r="4917" spans="19:19" ht="26.25">
      <c r="S4917" s="61" ph="1"/>
    </row>
    <row r="4918" spans="19:19" ht="26.25">
      <c r="S4918" s="61" ph="1"/>
    </row>
    <row r="4919" spans="19:19" ht="26.25">
      <c r="S4919" s="61" ph="1"/>
    </row>
    <row r="4920" spans="19:19" ht="26.25">
      <c r="S4920" s="61" ph="1"/>
    </row>
    <row r="4921" spans="19:19" ht="26.25">
      <c r="S4921" s="61" ph="1"/>
    </row>
    <row r="4922" spans="19:19" ht="26.25">
      <c r="S4922" s="61" ph="1"/>
    </row>
    <row r="4923" spans="19:19" ht="26.25">
      <c r="S4923" s="61" ph="1"/>
    </row>
    <row r="4924" spans="19:19" ht="26.25">
      <c r="S4924" s="61" ph="1"/>
    </row>
    <row r="4925" spans="19:19" ht="26.25">
      <c r="S4925" s="61" ph="1"/>
    </row>
    <row r="4926" spans="19:19" ht="26.25">
      <c r="S4926" s="61" ph="1"/>
    </row>
    <row r="4927" spans="19:19" ht="26.25">
      <c r="S4927" s="61" ph="1"/>
    </row>
    <row r="4928" spans="19:19" ht="26.25">
      <c r="S4928" s="61" ph="1"/>
    </row>
    <row r="4929" spans="19:19" ht="26.25">
      <c r="S4929" s="61" ph="1"/>
    </row>
    <row r="4930" spans="19:19" ht="26.25">
      <c r="S4930" s="61" ph="1"/>
    </row>
    <row r="4931" spans="19:19" ht="26.25">
      <c r="S4931" s="61" ph="1"/>
    </row>
    <row r="4932" spans="19:19" ht="26.25">
      <c r="S4932" s="61" ph="1"/>
    </row>
    <row r="4933" spans="19:19" ht="26.25">
      <c r="S4933" s="61" ph="1"/>
    </row>
    <row r="4934" spans="19:19" ht="26.25">
      <c r="S4934" s="61" ph="1"/>
    </row>
    <row r="4935" spans="19:19" ht="26.25">
      <c r="S4935" s="61" ph="1"/>
    </row>
    <row r="4936" spans="19:19" ht="26.25">
      <c r="S4936" s="61" ph="1"/>
    </row>
    <row r="4937" spans="19:19" ht="26.25">
      <c r="S4937" s="61" ph="1"/>
    </row>
    <row r="4938" spans="19:19" ht="26.25">
      <c r="S4938" s="61" ph="1"/>
    </row>
    <row r="4939" spans="19:19" ht="26.25">
      <c r="S4939" s="61" ph="1"/>
    </row>
    <row r="4940" spans="19:19" ht="26.25">
      <c r="S4940" s="61" ph="1"/>
    </row>
    <row r="4941" spans="19:19" ht="26.25">
      <c r="S4941" s="61" ph="1"/>
    </row>
    <row r="4942" spans="19:19" ht="26.25">
      <c r="S4942" s="61" ph="1"/>
    </row>
    <row r="4943" spans="19:19" ht="26.25">
      <c r="S4943" s="61" ph="1"/>
    </row>
    <row r="4944" spans="19:19" ht="26.25">
      <c r="S4944" s="61" ph="1"/>
    </row>
    <row r="4945" spans="19:19" ht="26.25">
      <c r="S4945" s="61" ph="1"/>
    </row>
    <row r="4946" spans="19:19" ht="26.25">
      <c r="S4946" s="61" ph="1"/>
    </row>
    <row r="4947" spans="19:19" ht="26.25">
      <c r="S4947" s="61" ph="1"/>
    </row>
    <row r="4948" spans="19:19" ht="26.25">
      <c r="S4948" s="61" ph="1"/>
    </row>
    <row r="4949" spans="19:19" ht="26.25">
      <c r="S4949" s="61" ph="1"/>
    </row>
    <row r="4950" spans="19:19" ht="26.25">
      <c r="S4950" s="61" ph="1"/>
    </row>
    <row r="4951" spans="19:19" ht="26.25">
      <c r="S4951" s="61" ph="1"/>
    </row>
    <row r="4952" spans="19:19" ht="26.25">
      <c r="S4952" s="61" ph="1"/>
    </row>
    <row r="4953" spans="19:19" ht="26.25">
      <c r="S4953" s="61" ph="1"/>
    </row>
    <row r="4954" spans="19:19" ht="26.25">
      <c r="S4954" s="61" ph="1"/>
    </row>
    <row r="4955" spans="19:19" ht="26.25">
      <c r="S4955" s="61" ph="1"/>
    </row>
    <row r="4956" spans="19:19" ht="26.25">
      <c r="S4956" s="61" ph="1"/>
    </row>
    <row r="4957" spans="19:19" ht="26.25">
      <c r="S4957" s="61" ph="1"/>
    </row>
    <row r="4958" spans="19:19" ht="26.25">
      <c r="S4958" s="61" ph="1"/>
    </row>
    <row r="4959" spans="19:19" ht="26.25">
      <c r="S4959" s="61" ph="1"/>
    </row>
    <row r="4960" spans="19:19" ht="26.25">
      <c r="S4960" s="61" ph="1"/>
    </row>
    <row r="4961" spans="19:19" ht="26.25">
      <c r="S4961" s="61" ph="1"/>
    </row>
    <row r="4962" spans="19:19" ht="26.25">
      <c r="S4962" s="61" ph="1"/>
    </row>
    <row r="4963" spans="19:19" ht="26.25">
      <c r="S4963" s="61" ph="1"/>
    </row>
    <row r="4964" spans="19:19" ht="26.25">
      <c r="S4964" s="61" ph="1"/>
    </row>
    <row r="4965" spans="19:19" ht="26.25">
      <c r="S4965" s="61" ph="1"/>
    </row>
    <row r="4966" spans="19:19" ht="26.25">
      <c r="S4966" s="61" ph="1"/>
    </row>
    <row r="4967" spans="19:19" ht="26.25">
      <c r="S4967" s="61" ph="1"/>
    </row>
    <row r="4968" spans="19:19" ht="26.25">
      <c r="S4968" s="61" ph="1"/>
    </row>
    <row r="4969" spans="19:19" ht="26.25">
      <c r="S4969" s="61" ph="1"/>
    </row>
    <row r="4970" spans="19:19" ht="26.25">
      <c r="S4970" s="61" ph="1"/>
    </row>
    <row r="4971" spans="19:19" ht="26.25">
      <c r="S4971" s="61" ph="1"/>
    </row>
    <row r="4972" spans="19:19" ht="26.25">
      <c r="S4972" s="61" ph="1"/>
    </row>
    <row r="4973" spans="19:19" ht="26.25">
      <c r="S4973" s="61" ph="1"/>
    </row>
    <row r="4974" spans="19:19" ht="26.25">
      <c r="S4974" s="61" ph="1"/>
    </row>
    <row r="4975" spans="19:19" ht="26.25">
      <c r="S4975" s="61" ph="1"/>
    </row>
    <row r="4976" spans="19:19" ht="26.25">
      <c r="S4976" s="61" ph="1"/>
    </row>
    <row r="4977" spans="19:19" ht="26.25">
      <c r="S4977" s="61" ph="1"/>
    </row>
    <row r="4978" spans="19:19" ht="26.25">
      <c r="S4978" s="61" ph="1"/>
    </row>
    <row r="4979" spans="19:19" ht="26.25">
      <c r="S4979" s="61" ph="1"/>
    </row>
    <row r="4980" spans="19:19" ht="26.25">
      <c r="S4980" s="61" ph="1"/>
    </row>
    <row r="4981" spans="19:19" ht="26.25">
      <c r="S4981" s="61" ph="1"/>
    </row>
    <row r="4982" spans="19:19" ht="26.25">
      <c r="S4982" s="61" ph="1"/>
    </row>
    <row r="4983" spans="19:19" ht="26.25">
      <c r="S4983" s="61" ph="1"/>
    </row>
    <row r="4984" spans="19:19" ht="26.25">
      <c r="S4984" s="61" ph="1"/>
    </row>
    <row r="4985" spans="19:19" ht="26.25">
      <c r="S4985" s="61" ph="1"/>
    </row>
    <row r="4986" spans="19:19" ht="26.25">
      <c r="S4986" s="61" ph="1"/>
    </row>
    <row r="4987" spans="19:19" ht="26.25">
      <c r="S4987" s="61" ph="1"/>
    </row>
    <row r="4988" spans="19:19" ht="26.25">
      <c r="S4988" s="61" ph="1"/>
    </row>
    <row r="4989" spans="19:19" ht="26.25">
      <c r="S4989" s="61" ph="1"/>
    </row>
    <row r="4990" spans="19:19" ht="26.25">
      <c r="S4990" s="61" ph="1"/>
    </row>
    <row r="4991" spans="19:19" ht="26.25">
      <c r="S4991" s="61" ph="1"/>
    </row>
    <row r="4992" spans="19:19" ht="26.25">
      <c r="S4992" s="61" ph="1"/>
    </row>
    <row r="4993" spans="19:19" ht="26.25">
      <c r="S4993" s="61" ph="1"/>
    </row>
    <row r="4994" spans="19:19" ht="26.25">
      <c r="S4994" s="61" ph="1"/>
    </row>
    <row r="4995" spans="19:19" ht="26.25">
      <c r="S4995" s="61" ph="1"/>
    </row>
    <row r="4996" spans="19:19" ht="26.25">
      <c r="S4996" s="61" ph="1"/>
    </row>
    <row r="4997" spans="19:19" ht="26.25">
      <c r="S4997" s="61" ph="1"/>
    </row>
    <row r="4998" spans="19:19" ht="26.25">
      <c r="S4998" s="61" ph="1"/>
    </row>
    <row r="4999" spans="19:19" ht="26.25">
      <c r="S4999" s="61" ph="1"/>
    </row>
    <row r="5000" spans="19:19" ht="26.25">
      <c r="S5000" s="61" ph="1"/>
    </row>
    <row r="5001" spans="19:19" ht="26.25">
      <c r="S5001" s="61" ph="1"/>
    </row>
    <row r="5002" spans="19:19" ht="26.25">
      <c r="S5002" s="61" ph="1"/>
    </row>
    <row r="5003" spans="19:19" ht="26.25">
      <c r="S5003" s="61" ph="1"/>
    </row>
    <row r="5004" spans="19:19" ht="26.25">
      <c r="S5004" s="61" ph="1"/>
    </row>
    <row r="5005" spans="19:19" ht="26.25">
      <c r="S5005" s="61" ph="1"/>
    </row>
    <row r="5006" spans="19:19" ht="26.25">
      <c r="S5006" s="61" ph="1"/>
    </row>
    <row r="5007" spans="19:19" ht="26.25">
      <c r="S5007" s="61" ph="1"/>
    </row>
    <row r="5008" spans="19:19" ht="26.25">
      <c r="S5008" s="61" ph="1"/>
    </row>
    <row r="5009" spans="19:19" ht="26.25">
      <c r="S5009" s="61" ph="1"/>
    </row>
    <row r="5010" spans="19:19" ht="26.25">
      <c r="S5010" s="61" ph="1"/>
    </row>
    <row r="5011" spans="19:19" ht="26.25">
      <c r="S5011" s="61" ph="1"/>
    </row>
    <row r="5012" spans="19:19" ht="26.25">
      <c r="S5012" s="61" ph="1"/>
    </row>
    <row r="5013" spans="19:19" ht="26.25">
      <c r="S5013" s="61" ph="1"/>
    </row>
    <row r="5014" spans="19:19" ht="26.25">
      <c r="S5014" s="61" ph="1"/>
    </row>
    <row r="5015" spans="19:19" ht="26.25">
      <c r="S5015" s="61" ph="1"/>
    </row>
    <row r="5016" spans="19:19" ht="26.25">
      <c r="S5016" s="61" ph="1"/>
    </row>
    <row r="5017" spans="19:19" ht="26.25">
      <c r="S5017" s="61" ph="1"/>
    </row>
    <row r="5018" spans="19:19" ht="26.25">
      <c r="S5018" s="61" ph="1"/>
    </row>
    <row r="5019" spans="19:19" ht="26.25">
      <c r="S5019" s="61" ph="1"/>
    </row>
    <row r="5020" spans="19:19" ht="26.25">
      <c r="S5020" s="61" ph="1"/>
    </row>
    <row r="5021" spans="19:19" ht="26.25">
      <c r="S5021" s="61" ph="1"/>
    </row>
    <row r="5022" spans="19:19" ht="26.25">
      <c r="S5022" s="61" ph="1"/>
    </row>
    <row r="5023" spans="19:19" ht="26.25">
      <c r="S5023" s="61" ph="1"/>
    </row>
    <row r="5024" spans="19:19" ht="26.25">
      <c r="S5024" s="61" ph="1"/>
    </row>
    <row r="5025" spans="19:19" ht="26.25">
      <c r="S5025" s="61" ph="1"/>
    </row>
    <row r="5026" spans="19:19" ht="26.25">
      <c r="S5026" s="61" ph="1"/>
    </row>
    <row r="5027" spans="19:19" ht="26.25">
      <c r="S5027" s="61" ph="1"/>
    </row>
    <row r="5028" spans="19:19" ht="26.25">
      <c r="S5028" s="61" ph="1"/>
    </row>
    <row r="5029" spans="19:19" ht="26.25">
      <c r="S5029" s="61" ph="1"/>
    </row>
    <row r="5030" spans="19:19" ht="26.25">
      <c r="S5030" s="61" ph="1"/>
    </row>
    <row r="5031" spans="19:19" ht="26.25">
      <c r="S5031" s="61" ph="1"/>
    </row>
    <row r="5032" spans="19:19" ht="26.25">
      <c r="S5032" s="61" ph="1"/>
    </row>
    <row r="5033" spans="19:19" ht="26.25">
      <c r="S5033" s="61" ph="1"/>
    </row>
    <row r="5034" spans="19:19" ht="26.25">
      <c r="S5034" s="61" ph="1"/>
    </row>
    <row r="5035" spans="19:19" ht="26.25">
      <c r="S5035" s="61" ph="1"/>
    </row>
    <row r="5036" spans="19:19" ht="26.25">
      <c r="S5036" s="61" ph="1"/>
    </row>
    <row r="5037" spans="19:19" ht="26.25">
      <c r="S5037" s="61" ph="1"/>
    </row>
    <row r="5038" spans="19:19" ht="26.25">
      <c r="S5038" s="61" ph="1"/>
    </row>
    <row r="5039" spans="19:19" ht="26.25">
      <c r="S5039" s="61" ph="1"/>
    </row>
    <row r="5040" spans="19:19" ht="26.25">
      <c r="S5040" s="61" ph="1"/>
    </row>
    <row r="5041" spans="19:19" ht="26.25">
      <c r="S5041" s="61" ph="1"/>
    </row>
    <row r="5042" spans="19:19" ht="26.25">
      <c r="S5042" s="61" ph="1"/>
    </row>
    <row r="5043" spans="19:19" ht="26.25">
      <c r="S5043" s="61" ph="1"/>
    </row>
    <row r="5044" spans="19:19" ht="26.25">
      <c r="S5044" s="61" ph="1"/>
    </row>
    <row r="5045" spans="19:19" ht="26.25">
      <c r="S5045" s="61" ph="1"/>
    </row>
    <row r="5046" spans="19:19" ht="26.25">
      <c r="S5046" s="61" ph="1"/>
    </row>
    <row r="5047" spans="19:19" ht="26.25">
      <c r="S5047" s="61" ph="1"/>
    </row>
    <row r="5048" spans="19:19" ht="26.25">
      <c r="S5048" s="61" ph="1"/>
    </row>
    <row r="5049" spans="19:19" ht="26.25">
      <c r="S5049" s="61" ph="1"/>
    </row>
    <row r="5050" spans="19:19" ht="26.25">
      <c r="S5050" s="61" ph="1"/>
    </row>
    <row r="5051" spans="19:19" ht="26.25">
      <c r="S5051" s="61" ph="1"/>
    </row>
    <row r="5052" spans="19:19" ht="26.25">
      <c r="S5052" s="61" ph="1"/>
    </row>
    <row r="5053" spans="19:19" ht="26.25">
      <c r="S5053" s="61" ph="1"/>
    </row>
    <row r="5054" spans="19:19" ht="26.25">
      <c r="S5054" s="61" ph="1"/>
    </row>
    <row r="5055" spans="19:19" ht="26.25">
      <c r="S5055" s="61" ph="1"/>
    </row>
    <row r="5056" spans="19:19" ht="26.25">
      <c r="S5056" s="61" ph="1"/>
    </row>
    <row r="5057" spans="19:19" ht="26.25">
      <c r="S5057" s="61" ph="1"/>
    </row>
    <row r="5058" spans="19:19" ht="26.25">
      <c r="S5058" s="61" ph="1"/>
    </row>
    <row r="5059" spans="19:19" ht="26.25">
      <c r="S5059" s="61" ph="1"/>
    </row>
    <row r="5060" spans="19:19" ht="26.25">
      <c r="S5060" s="61" ph="1"/>
    </row>
    <row r="5061" spans="19:19" ht="26.25">
      <c r="S5061" s="61" ph="1"/>
    </row>
    <row r="5062" spans="19:19" ht="26.25">
      <c r="S5062" s="61" ph="1"/>
    </row>
    <row r="5063" spans="19:19" ht="26.25">
      <c r="S5063" s="61" ph="1"/>
    </row>
    <row r="5064" spans="19:19" ht="26.25">
      <c r="S5064" s="61" ph="1"/>
    </row>
    <row r="5065" spans="19:19" ht="26.25">
      <c r="S5065" s="61" ph="1"/>
    </row>
    <row r="5066" spans="19:19" ht="26.25">
      <c r="S5066" s="61" ph="1"/>
    </row>
    <row r="5067" spans="19:19" ht="26.25">
      <c r="S5067" s="61" ph="1"/>
    </row>
    <row r="5068" spans="19:19" ht="26.25">
      <c r="S5068" s="61" ph="1"/>
    </row>
    <row r="5069" spans="19:19" ht="26.25">
      <c r="S5069" s="61" ph="1"/>
    </row>
    <row r="5070" spans="19:19" ht="26.25">
      <c r="S5070" s="61" ph="1"/>
    </row>
    <row r="5071" spans="19:19" ht="26.25">
      <c r="S5071" s="61" ph="1"/>
    </row>
    <row r="5072" spans="19:19" ht="26.25">
      <c r="S5072" s="61" ph="1"/>
    </row>
    <row r="5073" spans="19:19" ht="26.25">
      <c r="S5073" s="61" ph="1"/>
    </row>
    <row r="5074" spans="19:19" ht="26.25">
      <c r="S5074" s="61" ph="1"/>
    </row>
    <row r="5075" spans="19:19" ht="26.25">
      <c r="S5075" s="61" ph="1"/>
    </row>
    <row r="5076" spans="19:19" ht="26.25">
      <c r="S5076" s="61" ph="1"/>
    </row>
    <row r="5077" spans="19:19" ht="26.25">
      <c r="S5077" s="61" ph="1"/>
    </row>
    <row r="5078" spans="19:19" ht="26.25">
      <c r="S5078" s="61" ph="1"/>
    </row>
    <row r="5079" spans="19:19" ht="26.25">
      <c r="S5079" s="61" ph="1"/>
    </row>
    <row r="5080" spans="19:19" ht="26.25">
      <c r="S5080" s="61" ph="1"/>
    </row>
    <row r="5081" spans="19:19" ht="26.25">
      <c r="S5081" s="61" ph="1"/>
    </row>
    <row r="5082" spans="19:19" ht="26.25">
      <c r="S5082" s="61" ph="1"/>
    </row>
    <row r="5083" spans="19:19" ht="26.25">
      <c r="S5083" s="61" ph="1"/>
    </row>
    <row r="5084" spans="19:19" ht="26.25">
      <c r="S5084" s="61" ph="1"/>
    </row>
    <row r="5085" spans="19:19" ht="26.25">
      <c r="S5085" s="61" ph="1"/>
    </row>
    <row r="5086" spans="19:19" ht="26.25">
      <c r="S5086" s="61" ph="1"/>
    </row>
    <row r="5087" spans="19:19" ht="26.25">
      <c r="S5087" s="61" ph="1"/>
    </row>
    <row r="5088" spans="19:19" ht="26.25">
      <c r="S5088" s="61" ph="1"/>
    </row>
    <row r="5089" spans="19:19" ht="26.25">
      <c r="S5089" s="61" ph="1"/>
    </row>
    <row r="5090" spans="19:19" ht="26.25">
      <c r="S5090" s="61" ph="1"/>
    </row>
    <row r="5091" spans="19:19" ht="26.25">
      <c r="S5091" s="61" ph="1"/>
    </row>
    <row r="5092" spans="19:19" ht="26.25">
      <c r="S5092" s="61" ph="1"/>
    </row>
    <row r="5093" spans="19:19" ht="26.25">
      <c r="S5093" s="61" ph="1"/>
    </row>
    <row r="5094" spans="19:19" ht="26.25">
      <c r="S5094" s="61" ph="1"/>
    </row>
    <row r="5095" spans="19:19" ht="26.25">
      <c r="S5095" s="61" ph="1"/>
    </row>
    <row r="5096" spans="19:19" ht="26.25">
      <c r="S5096" s="61" ph="1"/>
    </row>
    <row r="5097" spans="19:19" ht="26.25">
      <c r="S5097" s="61" ph="1"/>
    </row>
    <row r="5098" spans="19:19" ht="26.25">
      <c r="S5098" s="61" ph="1"/>
    </row>
    <row r="5099" spans="19:19" ht="26.25">
      <c r="S5099" s="61" ph="1"/>
    </row>
    <row r="5100" spans="19:19" ht="26.25">
      <c r="S5100" s="61" ph="1"/>
    </row>
    <row r="5101" spans="19:19" ht="26.25">
      <c r="S5101" s="61" ph="1"/>
    </row>
    <row r="5102" spans="19:19" ht="26.25">
      <c r="S5102" s="61" ph="1"/>
    </row>
    <row r="5103" spans="19:19" ht="26.25">
      <c r="S5103" s="61" ph="1"/>
    </row>
    <row r="5104" spans="19:19" ht="26.25">
      <c r="S5104" s="61" ph="1"/>
    </row>
    <row r="5105" spans="19:19" ht="26.25">
      <c r="S5105" s="61" ph="1"/>
    </row>
    <row r="5106" spans="19:19" ht="26.25">
      <c r="S5106" s="61" ph="1"/>
    </row>
    <row r="5107" spans="19:19" ht="26.25">
      <c r="S5107" s="61" ph="1"/>
    </row>
    <row r="5108" spans="19:19" ht="26.25">
      <c r="S5108" s="61" ph="1"/>
    </row>
    <row r="5109" spans="19:19" ht="26.25">
      <c r="S5109" s="61" ph="1"/>
    </row>
    <row r="5110" spans="19:19" ht="26.25">
      <c r="S5110" s="61" ph="1"/>
    </row>
    <row r="5111" spans="19:19" ht="26.25">
      <c r="S5111" s="61" ph="1"/>
    </row>
    <row r="5112" spans="19:19" ht="26.25">
      <c r="S5112" s="61" ph="1"/>
    </row>
    <row r="5113" spans="19:19" ht="26.25">
      <c r="S5113" s="61" ph="1"/>
    </row>
    <row r="5114" spans="19:19" ht="26.25">
      <c r="S5114" s="61" ph="1"/>
    </row>
    <row r="5115" spans="19:19" ht="26.25">
      <c r="S5115" s="61" ph="1"/>
    </row>
    <row r="5116" spans="19:19" ht="26.25">
      <c r="S5116" s="61" ph="1"/>
    </row>
    <row r="5117" spans="19:19" ht="26.25">
      <c r="S5117" s="61" ph="1"/>
    </row>
    <row r="5118" spans="19:19" ht="26.25">
      <c r="S5118" s="61" ph="1"/>
    </row>
    <row r="5119" spans="19:19" ht="26.25">
      <c r="S5119" s="61" ph="1"/>
    </row>
    <row r="5120" spans="19:19" ht="26.25">
      <c r="S5120" s="61" ph="1"/>
    </row>
    <row r="5121" spans="19:19" ht="26.25">
      <c r="S5121" s="61" ph="1"/>
    </row>
    <row r="5122" spans="19:19" ht="26.25">
      <c r="S5122" s="61" ph="1"/>
    </row>
    <row r="5123" spans="19:19" ht="26.25">
      <c r="S5123" s="61" ph="1"/>
    </row>
    <row r="5124" spans="19:19" ht="26.25">
      <c r="S5124" s="61" ph="1"/>
    </row>
    <row r="5125" spans="19:19" ht="26.25">
      <c r="S5125" s="61" ph="1"/>
    </row>
    <row r="5126" spans="19:19" ht="26.25">
      <c r="S5126" s="61" ph="1"/>
    </row>
    <row r="5127" spans="19:19" ht="26.25">
      <c r="S5127" s="61" ph="1"/>
    </row>
    <row r="5128" spans="19:19" ht="26.25">
      <c r="S5128" s="61" ph="1"/>
    </row>
    <row r="5129" spans="19:19" ht="26.25">
      <c r="S5129" s="61" ph="1"/>
    </row>
    <row r="5130" spans="19:19" ht="26.25">
      <c r="S5130" s="61" ph="1"/>
    </row>
    <row r="5131" spans="19:19" ht="26.25">
      <c r="S5131" s="61" ph="1"/>
    </row>
    <row r="5132" spans="19:19" ht="26.25">
      <c r="S5132" s="61" ph="1"/>
    </row>
    <row r="5133" spans="19:19" ht="26.25">
      <c r="S5133" s="61" ph="1"/>
    </row>
    <row r="5134" spans="19:19" ht="26.25">
      <c r="S5134" s="61" ph="1"/>
    </row>
    <row r="5135" spans="19:19" ht="26.25">
      <c r="S5135" s="61" ph="1"/>
    </row>
    <row r="5136" spans="19:19" ht="26.25">
      <c r="S5136" s="61" ph="1"/>
    </row>
    <row r="5137" spans="19:19" ht="26.25">
      <c r="S5137" s="61" ph="1"/>
    </row>
    <row r="5138" spans="19:19" ht="26.25">
      <c r="S5138" s="61" ph="1"/>
    </row>
    <row r="5139" spans="19:19" ht="26.25">
      <c r="S5139" s="61" ph="1"/>
    </row>
    <row r="5140" spans="19:19" ht="26.25">
      <c r="S5140" s="61" ph="1"/>
    </row>
    <row r="5141" spans="19:19" ht="26.25">
      <c r="S5141" s="61" ph="1"/>
    </row>
    <row r="5142" spans="19:19" ht="26.25">
      <c r="S5142" s="61" ph="1"/>
    </row>
    <row r="5143" spans="19:19" ht="26.25">
      <c r="S5143" s="61" ph="1"/>
    </row>
    <row r="5144" spans="19:19" ht="26.25">
      <c r="S5144" s="61" ph="1"/>
    </row>
    <row r="5145" spans="19:19" ht="26.25">
      <c r="S5145" s="61" ph="1"/>
    </row>
    <row r="5146" spans="19:19" ht="26.25">
      <c r="S5146" s="61" ph="1"/>
    </row>
    <row r="5147" spans="19:19" ht="26.25">
      <c r="S5147" s="61" ph="1"/>
    </row>
    <row r="5148" spans="19:19" ht="26.25">
      <c r="S5148" s="61" ph="1"/>
    </row>
    <row r="5149" spans="19:19" ht="26.25">
      <c r="S5149" s="61" ph="1"/>
    </row>
    <row r="5150" spans="19:19" ht="26.25">
      <c r="S5150" s="61" ph="1"/>
    </row>
    <row r="5151" spans="19:19" ht="26.25">
      <c r="S5151" s="61" ph="1"/>
    </row>
    <row r="5152" spans="19:19" ht="26.25">
      <c r="S5152" s="61" ph="1"/>
    </row>
    <row r="5153" spans="19:19" ht="26.25">
      <c r="S5153" s="61" ph="1"/>
    </row>
    <row r="5154" spans="19:19" ht="26.25">
      <c r="S5154" s="61" ph="1"/>
    </row>
    <row r="5155" spans="19:19" ht="26.25">
      <c r="S5155" s="61" ph="1"/>
    </row>
    <row r="5156" spans="19:19" ht="26.25">
      <c r="S5156" s="61" ph="1"/>
    </row>
    <row r="5157" spans="19:19" ht="26.25">
      <c r="S5157" s="61" ph="1"/>
    </row>
    <row r="5158" spans="19:19" ht="26.25">
      <c r="S5158" s="61" ph="1"/>
    </row>
    <row r="5159" spans="19:19" ht="26.25">
      <c r="S5159" s="61" ph="1"/>
    </row>
    <row r="5160" spans="19:19" ht="26.25">
      <c r="S5160" s="61" ph="1"/>
    </row>
    <row r="5161" spans="19:19" ht="26.25">
      <c r="S5161" s="61" ph="1"/>
    </row>
    <row r="5162" spans="19:19" ht="26.25">
      <c r="S5162" s="61" ph="1"/>
    </row>
    <row r="5163" spans="19:19" ht="26.25">
      <c r="S5163" s="61" ph="1"/>
    </row>
    <row r="5164" spans="19:19" ht="26.25">
      <c r="S5164" s="61" ph="1"/>
    </row>
    <row r="5165" spans="19:19" ht="26.25">
      <c r="S5165" s="61" ph="1"/>
    </row>
    <row r="5166" spans="19:19" ht="26.25">
      <c r="S5166" s="61" ph="1"/>
    </row>
    <row r="5167" spans="19:19" ht="26.25">
      <c r="S5167" s="61" ph="1"/>
    </row>
    <row r="5168" spans="19:19" ht="26.25">
      <c r="S5168" s="61" ph="1"/>
    </row>
    <row r="5169" spans="19:19" ht="26.25">
      <c r="S5169" s="61" ph="1"/>
    </row>
    <row r="5170" spans="19:19" ht="26.25">
      <c r="S5170" s="61" ph="1"/>
    </row>
    <row r="5171" spans="19:19" ht="26.25">
      <c r="S5171" s="61" ph="1"/>
    </row>
    <row r="5172" spans="19:19" ht="26.25">
      <c r="S5172" s="61" ph="1"/>
    </row>
    <row r="5173" spans="19:19" ht="26.25">
      <c r="S5173" s="61" ph="1"/>
    </row>
    <row r="5174" spans="19:19" ht="26.25">
      <c r="S5174" s="61" ph="1"/>
    </row>
    <row r="5175" spans="19:19" ht="26.25">
      <c r="S5175" s="61" ph="1"/>
    </row>
    <row r="5176" spans="19:19" ht="26.25">
      <c r="S5176" s="61" ph="1"/>
    </row>
    <row r="5177" spans="19:19" ht="26.25">
      <c r="S5177" s="61" ph="1"/>
    </row>
    <row r="5178" spans="19:19" ht="26.25">
      <c r="S5178" s="61" ph="1"/>
    </row>
    <row r="5179" spans="19:19" ht="26.25">
      <c r="S5179" s="61" ph="1"/>
    </row>
    <row r="5180" spans="19:19" ht="26.25">
      <c r="S5180" s="61" ph="1"/>
    </row>
    <row r="5181" spans="19:19" ht="26.25">
      <c r="S5181" s="61" ph="1"/>
    </row>
    <row r="5182" spans="19:19" ht="26.25">
      <c r="S5182" s="61" ph="1"/>
    </row>
    <row r="5183" spans="19:19" ht="26.25">
      <c r="S5183" s="61" ph="1"/>
    </row>
    <row r="5184" spans="19:19" ht="26.25">
      <c r="S5184" s="61" ph="1"/>
    </row>
    <row r="5185" spans="19:19" ht="26.25">
      <c r="S5185" s="61" ph="1"/>
    </row>
    <row r="5186" spans="19:19" ht="26.25">
      <c r="S5186" s="61" ph="1"/>
    </row>
    <row r="5187" spans="19:19" ht="26.25">
      <c r="S5187" s="61" ph="1"/>
    </row>
    <row r="5188" spans="19:19" ht="26.25">
      <c r="S5188" s="61" ph="1"/>
    </row>
    <row r="5189" spans="19:19" ht="26.25">
      <c r="S5189" s="61" ph="1"/>
    </row>
    <row r="5190" spans="19:19" ht="26.25">
      <c r="S5190" s="61" ph="1"/>
    </row>
    <row r="5191" spans="19:19" ht="26.25">
      <c r="S5191" s="61" ph="1"/>
    </row>
    <row r="5192" spans="19:19" ht="26.25">
      <c r="S5192" s="61" ph="1"/>
    </row>
    <row r="5193" spans="19:19" ht="26.25">
      <c r="S5193" s="61" ph="1"/>
    </row>
    <row r="5194" spans="19:19" ht="26.25">
      <c r="S5194" s="61" ph="1"/>
    </row>
    <row r="5195" spans="19:19" ht="26.25">
      <c r="S5195" s="61" ph="1"/>
    </row>
    <row r="5196" spans="19:19" ht="26.25">
      <c r="S5196" s="61" ph="1"/>
    </row>
    <row r="5197" spans="19:19" ht="26.25">
      <c r="S5197" s="61" ph="1"/>
    </row>
    <row r="5198" spans="19:19" ht="26.25">
      <c r="S5198" s="61" ph="1"/>
    </row>
    <row r="5199" spans="19:19" ht="26.25">
      <c r="S5199" s="61" ph="1"/>
    </row>
    <row r="5200" spans="19:19" ht="26.25">
      <c r="S5200" s="61" ph="1"/>
    </row>
    <row r="5201" spans="19:19" ht="26.25">
      <c r="S5201" s="61" ph="1"/>
    </row>
    <row r="5202" spans="19:19" ht="26.25">
      <c r="S5202" s="61" ph="1"/>
    </row>
    <row r="5203" spans="19:19" ht="26.25">
      <c r="S5203" s="61" ph="1"/>
    </row>
    <row r="5204" spans="19:19" ht="26.25">
      <c r="S5204" s="61" ph="1"/>
    </row>
    <row r="5205" spans="19:19" ht="26.25">
      <c r="S5205" s="61" ph="1"/>
    </row>
    <row r="5206" spans="19:19" ht="26.25">
      <c r="S5206" s="61" ph="1"/>
    </row>
    <row r="5207" spans="19:19" ht="26.25">
      <c r="S5207" s="61" ph="1"/>
    </row>
    <row r="5208" spans="19:19" ht="26.25">
      <c r="S5208" s="61" ph="1"/>
    </row>
    <row r="5209" spans="19:19" ht="26.25">
      <c r="S5209" s="61" ph="1"/>
    </row>
    <row r="5210" spans="19:19" ht="26.25">
      <c r="S5210" s="61" ph="1"/>
    </row>
    <row r="5211" spans="19:19" ht="26.25">
      <c r="S5211" s="61" ph="1"/>
    </row>
    <row r="5212" spans="19:19" ht="26.25">
      <c r="S5212" s="61" ph="1"/>
    </row>
    <row r="5213" spans="19:19" ht="26.25">
      <c r="S5213" s="61" ph="1"/>
    </row>
    <row r="5214" spans="19:19" ht="26.25">
      <c r="S5214" s="61" ph="1"/>
    </row>
    <row r="5215" spans="19:19" ht="26.25">
      <c r="S5215" s="61" ph="1"/>
    </row>
    <row r="5216" spans="19:19" ht="26.25">
      <c r="S5216" s="61" ph="1"/>
    </row>
    <row r="5217" spans="19:19" ht="26.25">
      <c r="S5217" s="61" ph="1"/>
    </row>
    <row r="5218" spans="19:19" ht="26.25">
      <c r="S5218" s="61" ph="1"/>
    </row>
    <row r="5219" spans="19:19" ht="26.25">
      <c r="S5219" s="61" ph="1"/>
    </row>
    <row r="5220" spans="19:19" ht="26.25">
      <c r="S5220" s="61" ph="1"/>
    </row>
    <row r="5221" spans="19:19" ht="26.25">
      <c r="S5221" s="61" ph="1"/>
    </row>
    <row r="5222" spans="19:19" ht="26.25">
      <c r="S5222" s="61" ph="1"/>
    </row>
    <row r="5223" spans="19:19" ht="26.25">
      <c r="S5223" s="61" ph="1"/>
    </row>
    <row r="5224" spans="19:19" ht="26.25">
      <c r="S5224" s="61" ph="1"/>
    </row>
    <row r="5225" spans="19:19" ht="26.25">
      <c r="S5225" s="61" ph="1"/>
    </row>
    <row r="5226" spans="19:19" ht="26.25">
      <c r="S5226" s="61" ph="1"/>
    </row>
    <row r="5227" spans="19:19" ht="26.25">
      <c r="S5227" s="61" ph="1"/>
    </row>
    <row r="5228" spans="19:19" ht="26.25">
      <c r="S5228" s="61" ph="1"/>
    </row>
    <row r="5229" spans="19:19" ht="26.25">
      <c r="S5229" s="61" ph="1"/>
    </row>
    <row r="5230" spans="19:19" ht="26.25">
      <c r="S5230" s="61" ph="1"/>
    </row>
    <row r="5231" spans="19:19" ht="26.25">
      <c r="S5231" s="61" ph="1"/>
    </row>
    <row r="5232" spans="19:19" ht="26.25">
      <c r="S5232" s="61" ph="1"/>
    </row>
    <row r="5233" spans="19:19" ht="26.25">
      <c r="S5233" s="61" ph="1"/>
    </row>
    <row r="5234" spans="19:19" ht="26.25">
      <c r="S5234" s="61" ph="1"/>
    </row>
    <row r="5235" spans="19:19" ht="26.25">
      <c r="S5235" s="61" ph="1"/>
    </row>
    <row r="5236" spans="19:19" ht="26.25">
      <c r="S5236" s="61" ph="1"/>
    </row>
    <row r="5237" spans="19:19" ht="26.25">
      <c r="S5237" s="61" ph="1"/>
    </row>
    <row r="5238" spans="19:19" ht="26.25">
      <c r="S5238" s="61" ph="1"/>
    </row>
    <row r="5239" spans="19:19" ht="26.25">
      <c r="S5239" s="61" ph="1"/>
    </row>
    <row r="5240" spans="19:19" ht="26.25">
      <c r="S5240" s="61" ph="1"/>
    </row>
    <row r="5241" spans="19:19" ht="26.25">
      <c r="S5241" s="61" ph="1"/>
    </row>
    <row r="5242" spans="19:19" ht="26.25">
      <c r="S5242" s="61" ph="1"/>
    </row>
    <row r="5243" spans="19:19" ht="26.25">
      <c r="S5243" s="61" ph="1"/>
    </row>
    <row r="5244" spans="19:19" ht="26.25">
      <c r="S5244" s="61" ph="1"/>
    </row>
    <row r="5245" spans="19:19" ht="26.25">
      <c r="S5245" s="61" ph="1"/>
    </row>
    <row r="5246" spans="19:19" ht="26.25">
      <c r="S5246" s="61" ph="1"/>
    </row>
    <row r="5247" spans="19:19" ht="26.25">
      <c r="S5247" s="61" ph="1"/>
    </row>
    <row r="5248" spans="19:19" ht="26.25">
      <c r="S5248" s="61" ph="1"/>
    </row>
    <row r="5249" spans="19:19" ht="26.25">
      <c r="S5249" s="61" ph="1"/>
    </row>
    <row r="5250" spans="19:19" ht="26.25">
      <c r="S5250" s="61" ph="1"/>
    </row>
    <row r="5251" spans="19:19" ht="26.25">
      <c r="S5251" s="61" ph="1"/>
    </row>
    <row r="5252" spans="19:19" ht="26.25">
      <c r="S5252" s="61" ph="1"/>
    </row>
    <row r="5253" spans="19:19" ht="26.25">
      <c r="S5253" s="61" ph="1"/>
    </row>
    <row r="5254" spans="19:19" ht="26.25">
      <c r="S5254" s="61" ph="1"/>
    </row>
    <row r="5255" spans="19:19" ht="26.25">
      <c r="S5255" s="61" ph="1"/>
    </row>
    <row r="5256" spans="19:19" ht="26.25">
      <c r="S5256" s="61" ph="1"/>
    </row>
    <row r="5257" spans="19:19" ht="26.25">
      <c r="S5257" s="61" ph="1"/>
    </row>
    <row r="5258" spans="19:19" ht="26.25">
      <c r="S5258" s="61" ph="1"/>
    </row>
    <row r="5259" spans="19:19" ht="26.25">
      <c r="S5259" s="61" ph="1"/>
    </row>
    <row r="5260" spans="19:19" ht="26.25">
      <c r="S5260" s="61" ph="1"/>
    </row>
    <row r="5261" spans="19:19" ht="26.25">
      <c r="S5261" s="61" ph="1"/>
    </row>
    <row r="5262" spans="19:19" ht="26.25">
      <c r="S5262" s="61" ph="1"/>
    </row>
    <row r="5263" spans="19:19" ht="26.25">
      <c r="S5263" s="61" ph="1"/>
    </row>
    <row r="5264" spans="19:19" ht="26.25">
      <c r="S5264" s="61" ph="1"/>
    </row>
    <row r="5265" spans="19:19" ht="26.25">
      <c r="S5265" s="61" ph="1"/>
    </row>
    <row r="5266" spans="19:19" ht="26.25">
      <c r="S5266" s="61" ph="1"/>
    </row>
    <row r="5267" spans="19:19" ht="26.25">
      <c r="S5267" s="61" ph="1"/>
    </row>
    <row r="5268" spans="19:19" ht="26.25">
      <c r="S5268" s="61" ph="1"/>
    </row>
    <row r="5269" spans="19:19" ht="26.25">
      <c r="S5269" s="61" ph="1"/>
    </row>
    <row r="5270" spans="19:19" ht="26.25">
      <c r="S5270" s="61" ph="1"/>
    </row>
    <row r="5271" spans="19:19" ht="26.25">
      <c r="S5271" s="61" ph="1"/>
    </row>
    <row r="5272" spans="19:19" ht="26.25">
      <c r="S5272" s="61" ph="1"/>
    </row>
    <row r="5273" spans="19:19" ht="26.25">
      <c r="S5273" s="61" ph="1"/>
    </row>
    <row r="5274" spans="19:19" ht="26.25">
      <c r="S5274" s="61" ph="1"/>
    </row>
    <row r="5275" spans="19:19" ht="26.25">
      <c r="S5275" s="61" ph="1"/>
    </row>
    <row r="5276" spans="19:19" ht="26.25">
      <c r="S5276" s="61" ph="1"/>
    </row>
    <row r="5277" spans="19:19" ht="26.25">
      <c r="S5277" s="61" ph="1"/>
    </row>
    <row r="5278" spans="19:19" ht="26.25">
      <c r="S5278" s="61" ph="1"/>
    </row>
    <row r="5279" spans="19:19" ht="26.25">
      <c r="S5279" s="61" ph="1"/>
    </row>
    <row r="5280" spans="19:19" ht="26.25">
      <c r="S5280" s="61" ph="1"/>
    </row>
    <row r="5281" spans="19:19" ht="26.25">
      <c r="S5281" s="61" ph="1"/>
    </row>
    <row r="5282" spans="19:19" ht="26.25">
      <c r="S5282" s="61" ph="1"/>
    </row>
    <row r="5283" spans="19:19" ht="26.25">
      <c r="S5283" s="61" ph="1"/>
    </row>
    <row r="5284" spans="19:19" ht="26.25">
      <c r="S5284" s="61" ph="1"/>
    </row>
    <row r="5285" spans="19:19" ht="26.25">
      <c r="S5285" s="61" ph="1"/>
    </row>
    <row r="5286" spans="19:19" ht="26.25">
      <c r="S5286" s="61" ph="1"/>
    </row>
    <row r="5287" spans="19:19" ht="26.25">
      <c r="S5287" s="61" ph="1"/>
    </row>
    <row r="5288" spans="19:19" ht="26.25">
      <c r="S5288" s="61" ph="1"/>
    </row>
    <row r="5289" spans="19:19" ht="26.25">
      <c r="S5289" s="61" ph="1"/>
    </row>
    <row r="5290" spans="19:19" ht="26.25">
      <c r="S5290" s="61" ph="1"/>
    </row>
    <row r="5291" spans="19:19" ht="26.25">
      <c r="S5291" s="61" ph="1"/>
    </row>
    <row r="5292" spans="19:19" ht="26.25">
      <c r="S5292" s="61" ph="1"/>
    </row>
    <row r="5293" spans="19:19" ht="26.25">
      <c r="S5293" s="61" ph="1"/>
    </row>
    <row r="5294" spans="19:19" ht="26.25">
      <c r="S5294" s="61" ph="1"/>
    </row>
    <row r="5295" spans="19:19" ht="26.25">
      <c r="S5295" s="61" ph="1"/>
    </row>
    <row r="5296" spans="19:19" ht="26.25">
      <c r="S5296" s="61" ph="1"/>
    </row>
    <row r="5297" spans="19:19" ht="26.25">
      <c r="S5297" s="61" ph="1"/>
    </row>
    <row r="5298" spans="19:19" ht="26.25">
      <c r="S5298" s="61" ph="1"/>
    </row>
    <row r="5299" spans="19:19" ht="26.25">
      <c r="S5299" s="61" ph="1"/>
    </row>
    <row r="5300" spans="19:19" ht="26.25">
      <c r="S5300" s="61" ph="1"/>
    </row>
    <row r="5301" spans="19:19" ht="26.25">
      <c r="S5301" s="61" ph="1"/>
    </row>
    <row r="5302" spans="19:19" ht="26.25">
      <c r="S5302" s="61" ph="1"/>
    </row>
    <row r="5303" spans="19:19" ht="26.25">
      <c r="S5303" s="61" ph="1"/>
    </row>
    <row r="5304" spans="19:19" ht="26.25">
      <c r="S5304" s="61" ph="1"/>
    </row>
    <row r="5305" spans="19:19" ht="26.25">
      <c r="S5305" s="61" ph="1"/>
    </row>
    <row r="5306" spans="19:19" ht="26.25">
      <c r="S5306" s="61" ph="1"/>
    </row>
    <row r="5307" spans="19:19" ht="26.25">
      <c r="S5307" s="61" ph="1"/>
    </row>
    <row r="5308" spans="19:19" ht="26.25">
      <c r="S5308" s="61" ph="1"/>
    </row>
    <row r="5309" spans="19:19" ht="26.25">
      <c r="S5309" s="61" ph="1"/>
    </row>
    <row r="5310" spans="19:19" ht="26.25">
      <c r="S5310" s="61" ph="1"/>
    </row>
    <row r="5311" spans="19:19" ht="26.25">
      <c r="S5311" s="61" ph="1"/>
    </row>
    <row r="5312" spans="19:19" ht="26.25">
      <c r="S5312" s="61" ph="1"/>
    </row>
    <row r="5313" spans="19:19" ht="26.25">
      <c r="S5313" s="61" ph="1"/>
    </row>
    <row r="5314" spans="19:19" ht="26.25">
      <c r="S5314" s="61" ph="1"/>
    </row>
    <row r="5315" spans="19:19" ht="26.25">
      <c r="S5315" s="61" ph="1"/>
    </row>
    <row r="5316" spans="19:19" ht="26.25">
      <c r="S5316" s="61" ph="1"/>
    </row>
    <row r="5317" spans="19:19" ht="26.25">
      <c r="S5317" s="61" ph="1"/>
    </row>
    <row r="5318" spans="19:19" ht="26.25">
      <c r="S5318" s="61" ph="1"/>
    </row>
    <row r="5319" spans="19:19" ht="26.25">
      <c r="S5319" s="61" ph="1"/>
    </row>
    <row r="5320" spans="19:19" ht="26.25">
      <c r="S5320" s="61" ph="1"/>
    </row>
    <row r="5321" spans="19:19" ht="26.25">
      <c r="S5321" s="61" ph="1"/>
    </row>
    <row r="5322" spans="19:19" ht="26.25">
      <c r="S5322" s="61" ph="1"/>
    </row>
    <row r="5323" spans="19:19" ht="26.25">
      <c r="S5323" s="61" ph="1"/>
    </row>
    <row r="5324" spans="19:19" ht="26.25">
      <c r="S5324" s="61" ph="1"/>
    </row>
    <row r="5325" spans="19:19" ht="26.25">
      <c r="S5325" s="61" ph="1"/>
    </row>
    <row r="5326" spans="19:19" ht="26.25">
      <c r="S5326" s="61" ph="1"/>
    </row>
    <row r="5327" spans="19:19" ht="26.25">
      <c r="S5327" s="61" ph="1"/>
    </row>
    <row r="5328" spans="19:19" ht="26.25">
      <c r="S5328" s="61" ph="1"/>
    </row>
    <row r="5329" spans="19:19" ht="26.25">
      <c r="S5329" s="61" ph="1"/>
    </row>
    <row r="5330" spans="19:19" ht="26.25">
      <c r="S5330" s="61" ph="1"/>
    </row>
    <row r="5331" spans="19:19" ht="26.25">
      <c r="S5331" s="61" ph="1"/>
    </row>
    <row r="5332" spans="19:19" ht="26.25">
      <c r="S5332" s="61" ph="1"/>
    </row>
    <row r="5333" spans="19:19" ht="26.25">
      <c r="S5333" s="61" ph="1"/>
    </row>
    <row r="5334" spans="19:19" ht="26.25">
      <c r="S5334" s="61" ph="1"/>
    </row>
    <row r="5335" spans="19:19" ht="26.25">
      <c r="S5335" s="61" ph="1"/>
    </row>
    <row r="5336" spans="19:19" ht="26.25">
      <c r="S5336" s="61" ph="1"/>
    </row>
    <row r="5337" spans="19:19" ht="26.25">
      <c r="S5337" s="61" ph="1"/>
    </row>
    <row r="5338" spans="19:19" ht="26.25">
      <c r="S5338" s="61" ph="1"/>
    </row>
    <row r="5339" spans="19:19" ht="26.25">
      <c r="S5339" s="61" ph="1"/>
    </row>
    <row r="5340" spans="19:19" ht="26.25">
      <c r="S5340" s="61" ph="1"/>
    </row>
    <row r="5341" spans="19:19" ht="26.25">
      <c r="S5341" s="61" ph="1"/>
    </row>
    <row r="5342" spans="19:19" ht="26.25">
      <c r="S5342" s="61" ph="1"/>
    </row>
    <row r="5343" spans="19:19" ht="26.25">
      <c r="S5343" s="61" ph="1"/>
    </row>
    <row r="5344" spans="19:19" ht="26.25">
      <c r="S5344" s="61" ph="1"/>
    </row>
    <row r="5345" spans="19:19" ht="26.25">
      <c r="S5345" s="61" ph="1"/>
    </row>
    <row r="5346" spans="19:19" ht="26.25">
      <c r="S5346" s="61" ph="1"/>
    </row>
    <row r="5347" spans="19:19" ht="26.25">
      <c r="S5347" s="61" ph="1"/>
    </row>
    <row r="5348" spans="19:19" ht="26.25">
      <c r="S5348" s="61" ph="1"/>
    </row>
    <row r="5349" spans="19:19" ht="26.25">
      <c r="S5349" s="61" ph="1"/>
    </row>
    <row r="5350" spans="19:19" ht="26.25">
      <c r="S5350" s="61" ph="1"/>
    </row>
    <row r="5351" spans="19:19" ht="26.25">
      <c r="S5351" s="61" ph="1"/>
    </row>
    <row r="5352" spans="19:19" ht="26.25">
      <c r="S5352" s="61" ph="1"/>
    </row>
    <row r="5353" spans="19:19" ht="26.25">
      <c r="S5353" s="61" ph="1"/>
    </row>
    <row r="5354" spans="19:19" ht="26.25">
      <c r="S5354" s="61" ph="1"/>
    </row>
    <row r="5355" spans="19:19" ht="26.25">
      <c r="S5355" s="61" ph="1"/>
    </row>
    <row r="5356" spans="19:19" ht="26.25">
      <c r="S5356" s="61" ph="1"/>
    </row>
    <row r="5357" spans="19:19" ht="26.25">
      <c r="S5357" s="61" ph="1"/>
    </row>
    <row r="5358" spans="19:19" ht="26.25">
      <c r="S5358" s="61" ph="1"/>
    </row>
    <row r="5359" spans="19:19" ht="26.25">
      <c r="S5359" s="61" ph="1"/>
    </row>
    <row r="5360" spans="19:19" ht="26.25">
      <c r="S5360" s="61" ph="1"/>
    </row>
    <row r="5361" spans="19:19" ht="26.25">
      <c r="S5361" s="61" ph="1"/>
    </row>
    <row r="5362" spans="19:19" ht="26.25">
      <c r="S5362" s="61" ph="1"/>
    </row>
    <row r="5363" spans="19:19" ht="26.25">
      <c r="S5363" s="61" ph="1"/>
    </row>
    <row r="5364" spans="19:19" ht="26.25">
      <c r="S5364" s="61" ph="1"/>
    </row>
    <row r="5365" spans="19:19" ht="26.25">
      <c r="S5365" s="61" ph="1"/>
    </row>
    <row r="5366" spans="19:19" ht="26.25">
      <c r="S5366" s="61" ph="1"/>
    </row>
    <row r="5367" spans="19:19" ht="26.25">
      <c r="S5367" s="61" ph="1"/>
    </row>
    <row r="5368" spans="19:19" ht="26.25">
      <c r="S5368" s="61" ph="1"/>
    </row>
    <row r="5369" spans="19:19" ht="26.25">
      <c r="S5369" s="61" ph="1"/>
    </row>
    <row r="5370" spans="19:19" ht="26.25">
      <c r="S5370" s="61" ph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AQ5946"/>
  <sheetViews>
    <sheetView workbookViewId="0">
      <selection activeCell="O1" sqref="O1"/>
    </sheetView>
  </sheetViews>
  <sheetFormatPr defaultColWidth="9.140625" defaultRowHeight="16.5"/>
  <cols>
    <col min="1" max="1" width="5.7109375" style="130" customWidth="1"/>
    <col min="2" max="5" width="5.7109375" style="92" customWidth="1"/>
    <col min="6" max="6" width="8.7109375" style="63" customWidth="1"/>
    <col min="7" max="7" width="7.7109375" style="19" customWidth="1"/>
    <col min="8" max="8" width="5.7109375" style="12" customWidth="1"/>
    <col min="9" max="9" width="8.7109375" style="9" customWidth="1"/>
    <col min="10" max="10" width="6.7109375" style="31" customWidth="1"/>
    <col min="11" max="11" width="6.7109375" style="320" customWidth="1"/>
    <col min="12" max="12" width="6.7109375" style="73" customWidth="1"/>
    <col min="13" max="13" width="6.7109375" style="318" customWidth="1"/>
    <col min="14" max="14" width="7.7109375" style="320" customWidth="1"/>
    <col min="15" max="15" width="5.7109375" style="26" customWidth="1"/>
    <col min="16" max="16" width="6.28515625" style="374" customWidth="1"/>
    <col min="17" max="17" width="2.7109375" style="389" customWidth="1"/>
    <col min="18" max="18" width="7.140625" style="151" customWidth="1"/>
    <col min="19" max="19" width="7.7109375" style="61" customWidth="1"/>
    <col min="20" max="20" width="6.7109375" style="354" customWidth="1"/>
    <col min="21" max="21" width="7.7109375" style="228" customWidth="1"/>
    <col min="22" max="22" width="9.7109375" style="265" customWidth="1"/>
    <col min="23" max="23" width="9.7109375" style="69" customWidth="1"/>
    <col min="24" max="24" width="9.7109375" style="58" customWidth="1"/>
    <col min="25" max="25" width="8.7109375" style="11" customWidth="1"/>
    <col min="26" max="26" width="6.7109375" style="101" customWidth="1"/>
    <col min="27" max="27" width="3.7109375" style="124" customWidth="1"/>
    <col min="28" max="28" width="3.7109375" style="251" customWidth="1"/>
    <col min="29" max="29" width="4.7109375" style="251" customWidth="1"/>
    <col min="30" max="30" width="8.7109375" style="9" customWidth="1"/>
    <col min="31" max="31" width="11.7109375" style="84" customWidth="1"/>
    <col min="32" max="32" width="11.7109375" style="83" customWidth="1"/>
    <col min="33" max="33" width="4.7109375" style="78" customWidth="1"/>
    <col min="34" max="34" width="8.7109375" style="264" customWidth="1"/>
    <col min="35" max="35" width="7.7109375" style="240" customWidth="1"/>
    <col min="36" max="36" width="7.7109375" style="264" customWidth="1"/>
    <col min="37" max="37" width="7.7109375" style="339" customWidth="1"/>
    <col min="38" max="38" width="2.7109375" style="302" customWidth="1"/>
    <col min="39" max="16384" width="9.140625" style="264"/>
  </cols>
  <sheetData>
    <row r="1" spans="1:37">
      <c r="A1" s="130" t="s">
        <v>1732</v>
      </c>
      <c r="B1" s="91" t="s">
        <v>1588</v>
      </c>
      <c r="C1" s="91" t="s">
        <v>1589</v>
      </c>
      <c r="D1" s="91" t="s">
        <v>1590</v>
      </c>
      <c r="E1" s="91" t="s">
        <v>1591</v>
      </c>
      <c r="F1" s="8" t="s">
        <v>1066</v>
      </c>
      <c r="G1" s="26" t="s">
        <v>3691</v>
      </c>
      <c r="H1" s="55" t="s">
        <v>322</v>
      </c>
      <c r="I1" s="50" t="s">
        <v>5108</v>
      </c>
      <c r="J1" s="317" t="s">
        <v>1467</v>
      </c>
      <c r="K1" s="317" t="s">
        <v>1157</v>
      </c>
      <c r="L1" s="317" t="s">
        <v>284</v>
      </c>
      <c r="M1" s="317" t="s">
        <v>1059</v>
      </c>
      <c r="N1" s="317" t="s">
        <v>5048</v>
      </c>
      <c r="O1" s="26" t="s">
        <v>8670</v>
      </c>
      <c r="P1" s="373" t="s">
        <v>5059</v>
      </c>
      <c r="Q1" s="245" t="s">
        <v>5087</v>
      </c>
      <c r="R1" s="345" t="s">
        <v>5059</v>
      </c>
      <c r="S1" s="10" t="s">
        <v>66</v>
      </c>
      <c r="T1" s="351" t="s">
        <v>5076</v>
      </c>
      <c r="U1" s="68" t="s">
        <v>3844</v>
      </c>
      <c r="V1" s="28" t="s">
        <v>3860</v>
      </c>
      <c r="W1" s="17" t="s">
        <v>1405</v>
      </c>
      <c r="X1" s="14" t="s">
        <v>2430</v>
      </c>
      <c r="Y1" s="21" t="s">
        <v>1477</v>
      </c>
      <c r="Z1" s="51" t="s">
        <v>6627</v>
      </c>
      <c r="AA1" s="406" t="s">
        <v>8647</v>
      </c>
      <c r="AB1" s="407" t="s">
        <v>8648</v>
      </c>
      <c r="AC1" s="408" t="s">
        <v>8649</v>
      </c>
      <c r="AD1" s="50" t="s">
        <v>5108</v>
      </c>
      <c r="AE1" s="71" t="s">
        <v>1406</v>
      </c>
      <c r="AF1" s="72" t="s">
        <v>1163</v>
      </c>
      <c r="AG1" s="32" t="s">
        <v>1164</v>
      </c>
      <c r="AH1" s="250" t="s">
        <v>5086</v>
      </c>
      <c r="AI1" s="8" t="s">
        <v>3852</v>
      </c>
      <c r="AJ1" s="50" t="s">
        <v>3586</v>
      </c>
      <c r="AK1" s="339" t="s">
        <v>5038</v>
      </c>
    </row>
    <row r="2" spans="1:37">
      <c r="B2" s="91"/>
      <c r="C2" s="91"/>
      <c r="D2" s="91"/>
      <c r="E2" s="91"/>
      <c r="F2" s="8"/>
      <c r="G2" s="26"/>
      <c r="H2" s="55"/>
      <c r="I2" s="50"/>
      <c r="J2" s="317"/>
      <c r="K2" s="317"/>
      <c r="L2" s="317"/>
      <c r="M2" s="317"/>
      <c r="N2" s="317"/>
      <c r="P2" s="373"/>
      <c r="Q2" s="245"/>
      <c r="R2" s="345"/>
      <c r="S2" s="10"/>
      <c r="T2" s="351"/>
      <c r="U2" s="68"/>
      <c r="V2" s="28"/>
      <c r="W2" s="17"/>
      <c r="X2" s="14"/>
      <c r="Y2" s="21"/>
      <c r="Z2" s="51"/>
      <c r="AA2" s="406"/>
      <c r="AB2" s="407"/>
      <c r="AC2" s="408"/>
      <c r="AD2" s="50"/>
      <c r="AE2" s="71"/>
      <c r="AF2" s="72"/>
      <c r="AG2" s="32"/>
      <c r="AH2" s="250"/>
      <c r="AI2" s="8"/>
      <c r="AJ2" s="50"/>
    </row>
    <row r="3" spans="1:37">
      <c r="A3" s="146" t="s">
        <v>3872</v>
      </c>
      <c r="B3" s="79">
        <v>35</v>
      </c>
      <c r="C3" s="80">
        <v>-16</v>
      </c>
      <c r="D3" s="79">
        <v>61</v>
      </c>
      <c r="E3" s="79">
        <v>35</v>
      </c>
      <c r="F3" s="6">
        <v>5.23</v>
      </c>
      <c r="G3" s="79">
        <v>3483</v>
      </c>
      <c r="H3" s="195" t="s">
        <v>1152</v>
      </c>
      <c r="I3" s="16" t="s">
        <v>474</v>
      </c>
      <c r="J3" s="323">
        <v>8.36</v>
      </c>
      <c r="K3" s="73">
        <v>3.3</v>
      </c>
      <c r="L3" s="323">
        <v>58.83</v>
      </c>
      <c r="M3" s="323">
        <v>5.68</v>
      </c>
      <c r="N3" s="318">
        <f t="shared" ref="N3" si="0">J3+K3+L3+M3</f>
        <v>76.169999999999987</v>
      </c>
      <c r="O3" s="81">
        <f>IFERROR(VLOOKUP($G3,'321買'!A:E,3,0),"'沒有資料'")</f>
        <v>35</v>
      </c>
      <c r="P3" s="380">
        <f>IFERROR(VLOOKUP($G3,'321買'!$A:$G,7,0),"'沒有資料'")</f>
        <v>100</v>
      </c>
      <c r="Q3" s="245" t="s">
        <v>8656</v>
      </c>
      <c r="R3" s="297">
        <f>IFERROR(RANK(VLOOKUP($G3,連買!$A:$D,4,0),連買!$D:$D,0),"'沒有資料'")</f>
        <v>96</v>
      </c>
      <c r="S3" s="45">
        <v>3</v>
      </c>
      <c r="T3" s="353">
        <f t="shared" ref="T3" si="1">S3/V3</f>
        <v>3.6585365853658534E-2</v>
      </c>
      <c r="U3" s="95">
        <v>5.51</v>
      </c>
      <c r="V3" s="36">
        <f>RTD("money.excel",,"3483","Price")</f>
        <v>82</v>
      </c>
      <c r="W3" s="66">
        <v>83.7</v>
      </c>
      <c r="X3" s="15">
        <f t="shared" ref="X3" si="2">V3-W3</f>
        <v>-1.7000000000000028</v>
      </c>
      <c r="Y3" s="3">
        <f t="shared" ref="Y3" si="3">X3/W3</f>
        <v>-2.0310633213859054E-2</v>
      </c>
      <c r="Z3" s="413">
        <v>-27.16</v>
      </c>
      <c r="AA3" s="161">
        <v>2</v>
      </c>
      <c r="AB3" s="409">
        <v>1</v>
      </c>
      <c r="AC3" s="259">
        <f t="shared" ref="AC3" si="4">AA3-AB3</f>
        <v>1</v>
      </c>
      <c r="AD3" s="16" t="s">
        <v>474</v>
      </c>
      <c r="AE3" s="84">
        <v>44664</v>
      </c>
      <c r="AG3" s="33">
        <f t="shared" ref="AG3" si="5">AF3-AE3</f>
        <v>-44664</v>
      </c>
      <c r="AH3" s="43" t="s">
        <v>3112</v>
      </c>
      <c r="AI3" s="63">
        <f t="shared" ref="AI3" si="6">AJ3/(A3*10000)</f>
        <v>7.3170731707317077E-3</v>
      </c>
      <c r="AJ3" s="307">
        <f>RTD("money.excel",,$G3,"PredictVolume")</f>
        <v>570</v>
      </c>
      <c r="AK3" s="339">
        <v>36.36</v>
      </c>
    </row>
    <row r="4" spans="1:37">
      <c r="A4" s="130" t="s">
        <v>1742</v>
      </c>
      <c r="B4" s="79">
        <v>60</v>
      </c>
      <c r="C4" s="79">
        <v>61</v>
      </c>
      <c r="D4" s="79">
        <v>44</v>
      </c>
      <c r="E4" s="79">
        <v>28</v>
      </c>
      <c r="F4" s="57">
        <v>26.95</v>
      </c>
      <c r="G4" s="79">
        <v>3556</v>
      </c>
      <c r="H4" s="149" t="s">
        <v>3254</v>
      </c>
      <c r="I4" s="16" t="s">
        <v>365</v>
      </c>
      <c r="J4" s="323">
        <v>13.67</v>
      </c>
      <c r="K4" s="73">
        <v>8.89</v>
      </c>
      <c r="L4" s="323">
        <v>26.21</v>
      </c>
      <c r="M4" s="73">
        <v>11.22</v>
      </c>
      <c r="N4" s="318">
        <f t="shared" ref="N4" si="7">J4+K4+L4+M4</f>
        <v>59.99</v>
      </c>
      <c r="O4" s="81">
        <f>IFERROR(VLOOKUP($G4,'321買'!A:E,3,0),"'沒有資料'")</f>
        <v>43</v>
      </c>
      <c r="P4" s="380">
        <f>IFERROR(VLOOKUP($G4,'321買'!$A:$G,7,0),"'沒有資料'")</f>
        <v>89</v>
      </c>
      <c r="Q4" s="245" t="s">
        <v>3816</v>
      </c>
      <c r="R4" s="297">
        <f>IFERROR(RANK(VLOOKUP($G4,連買!$A:$D,4,0),連買!$D:$D,0),"'沒有資料'")</f>
        <v>242</v>
      </c>
      <c r="S4" s="45">
        <v>5.4</v>
      </c>
      <c r="T4" s="353">
        <f t="shared" ref="T4" si="8">S4/V4</f>
        <v>6.8181818181818191E-2</v>
      </c>
      <c r="U4" s="95">
        <v>6.17</v>
      </c>
      <c r="V4" s="36">
        <f>RTD("money.excel",,"3556","Price")</f>
        <v>79.2</v>
      </c>
      <c r="W4" s="66">
        <v>82.1</v>
      </c>
      <c r="X4" s="15">
        <f t="shared" ref="X4" si="9">V4-W4</f>
        <v>-2.8999999999999915</v>
      </c>
      <c r="Y4" s="3">
        <f t="shared" ref="Y4" si="10">X4/W4</f>
        <v>-3.5322777101096124E-2</v>
      </c>
      <c r="Z4" s="413">
        <v>-31.58</v>
      </c>
      <c r="AA4" s="161">
        <v>0</v>
      </c>
      <c r="AB4" s="409">
        <v>1</v>
      </c>
      <c r="AC4" s="259">
        <f t="shared" ref="AC4:AC49" si="11">AA4-AB4</f>
        <v>-1</v>
      </c>
      <c r="AD4" s="16" t="s">
        <v>365</v>
      </c>
      <c r="AE4" s="84">
        <v>44662</v>
      </c>
      <c r="AG4" s="33">
        <f t="shared" ref="AG4" si="12">AF4-AE4</f>
        <v>-44662</v>
      </c>
      <c r="AH4" s="43" t="s">
        <v>2540</v>
      </c>
      <c r="AI4" s="161"/>
      <c r="AJ4" s="409"/>
      <c r="AK4" s="259"/>
    </row>
    <row r="5" spans="1:37" ht="16.5" customHeight="1">
      <c r="A5" s="146" t="s">
        <v>1905</v>
      </c>
      <c r="B5" s="79">
        <v>219</v>
      </c>
      <c r="C5" s="80">
        <v>-36</v>
      </c>
      <c r="D5" s="79">
        <v>21</v>
      </c>
      <c r="E5" s="80">
        <v>-11</v>
      </c>
      <c r="F5" s="6">
        <v>4.08</v>
      </c>
      <c r="G5" s="79">
        <v>3211</v>
      </c>
      <c r="H5" s="149" t="s">
        <v>1152</v>
      </c>
      <c r="I5" s="16" t="s">
        <v>4411</v>
      </c>
      <c r="J5" s="323">
        <v>23.23</v>
      </c>
      <c r="K5" s="73">
        <v>10.76</v>
      </c>
      <c r="L5" s="323">
        <v>5.12</v>
      </c>
      <c r="M5" s="323">
        <v>9.56</v>
      </c>
      <c r="N5" s="318">
        <f t="shared" ref="N5" si="13">J5+K5+L5+M5</f>
        <v>48.67</v>
      </c>
      <c r="O5" s="81">
        <f>IFERROR(VLOOKUP($G5,'321買'!A:E,3,0),"'沒有資料'")</f>
        <v>6</v>
      </c>
      <c r="P5" s="380">
        <f>IFERROR(VLOOKUP($G5,'321買'!$A:$G,7,0),"'沒有資料'")</f>
        <v>521</v>
      </c>
      <c r="Q5" s="245" t="s">
        <v>3816</v>
      </c>
      <c r="R5" s="297">
        <f>IFERROR(RANK(VLOOKUP($G5,連買!$A:$D,4,0),連買!$D:$D,0),"'沒有資料'")</f>
        <v>120</v>
      </c>
      <c r="S5" s="45">
        <v>15.03</v>
      </c>
      <c r="T5" s="355">
        <f t="shared" ref="T5" si="14">S5/V5</f>
        <v>0.17079545454545453</v>
      </c>
      <c r="U5" s="95">
        <v>22.43</v>
      </c>
      <c r="V5" s="36">
        <f>RTD("money.excel",,"3211","Price")</f>
        <v>88</v>
      </c>
      <c r="W5" s="66">
        <v>96.3</v>
      </c>
      <c r="X5" s="15">
        <f t="shared" ref="X5" si="15">V5-W5</f>
        <v>-8.2999999999999972</v>
      </c>
      <c r="Y5" s="3">
        <f t="shared" ref="Y5" si="16">X5/W5</f>
        <v>-8.6188992731048783E-2</v>
      </c>
      <c r="Z5" s="413">
        <v>-21.47</v>
      </c>
      <c r="AA5" s="161">
        <v>1</v>
      </c>
      <c r="AB5" s="409">
        <v>0</v>
      </c>
      <c r="AC5" s="259">
        <f t="shared" si="11"/>
        <v>1</v>
      </c>
      <c r="AD5" s="16" t="s">
        <v>4411</v>
      </c>
      <c r="AE5" s="84">
        <v>44658</v>
      </c>
      <c r="AG5" s="33">
        <f t="shared" ref="AG5" si="17">AF5-AE5</f>
        <v>-44658</v>
      </c>
      <c r="AH5" s="43" t="s">
        <v>2389</v>
      </c>
      <c r="AI5" s="161"/>
      <c r="AJ5" s="409"/>
      <c r="AK5" s="259"/>
    </row>
    <row r="6" spans="1:37">
      <c r="A6" s="130" t="s">
        <v>3172</v>
      </c>
      <c r="B6" s="80">
        <v>-24</v>
      </c>
      <c r="C6" s="80">
        <v>-33</v>
      </c>
      <c r="D6" s="80">
        <v>-35</v>
      </c>
      <c r="E6" s="79">
        <v>36</v>
      </c>
      <c r="F6" s="57">
        <v>18.02</v>
      </c>
      <c r="G6" s="80">
        <v>3406</v>
      </c>
      <c r="H6" s="8" t="s">
        <v>1985</v>
      </c>
      <c r="I6" s="22" t="s">
        <v>4504</v>
      </c>
      <c r="J6" s="323">
        <v>40.21</v>
      </c>
      <c r="K6" s="73">
        <v>39.17</v>
      </c>
      <c r="L6" s="323">
        <v>17.46</v>
      </c>
      <c r="M6" s="73">
        <v>10.5</v>
      </c>
      <c r="N6" s="318">
        <f t="shared" ref="N6:N8" si="18">J6+K6+L6+M6</f>
        <v>107.34</v>
      </c>
      <c r="O6" s="81">
        <f>IFERROR(VLOOKUP($G6,'321買'!A:E,3,0),"'沒有資料'")</f>
        <v>39</v>
      </c>
      <c r="P6" s="380">
        <f>IFERROR(VLOOKUP($G6,'321買'!$A:$G,7,0),"'沒有資料'")</f>
        <v>94</v>
      </c>
      <c r="Q6" s="247" t="s">
        <v>5101</v>
      </c>
      <c r="R6" s="297">
        <f>IFERROR(RANK(VLOOKUP($G6,連買!$A:$D,4,0),連買!$D:$D,0),"'沒有資料'")</f>
        <v>134</v>
      </c>
      <c r="S6" s="45">
        <v>8</v>
      </c>
      <c r="T6" s="353">
        <f t="shared" ref="T6:T19" si="19">S6/V6</f>
        <v>1.7817371937639197E-2</v>
      </c>
      <c r="U6" s="95">
        <v>20.53</v>
      </c>
      <c r="V6" s="36">
        <f>RTD("money.excel",,"3406","Price")</f>
        <v>449</v>
      </c>
      <c r="W6" s="66">
        <v>454.5</v>
      </c>
      <c r="X6" s="15">
        <f t="shared" ref="X6:X19" si="20">V6-W6</f>
        <v>-5.5</v>
      </c>
      <c r="Y6" s="3">
        <f t="shared" ref="Y6:Y19" si="21">X6/W6</f>
        <v>-1.2101210121012101E-2</v>
      </c>
      <c r="Z6" s="413">
        <v>-26.63</v>
      </c>
      <c r="AA6" s="161">
        <v>1</v>
      </c>
      <c r="AB6" s="409">
        <v>0</v>
      </c>
      <c r="AC6" s="259">
        <f t="shared" si="11"/>
        <v>1</v>
      </c>
      <c r="AD6" s="22" t="s">
        <v>4504</v>
      </c>
      <c r="AE6" s="84">
        <v>44651</v>
      </c>
      <c r="AG6" s="33">
        <f t="shared" ref="AG6:AG19" si="22">AF6-AE6</f>
        <v>-44651</v>
      </c>
      <c r="AH6" s="120" t="s">
        <v>4505</v>
      </c>
      <c r="AI6" s="161"/>
      <c r="AJ6" s="409"/>
      <c r="AK6" s="259"/>
    </row>
    <row r="7" spans="1:37">
      <c r="A7" s="130" t="s">
        <v>1662</v>
      </c>
      <c r="B7" s="79">
        <v>54</v>
      </c>
      <c r="C7" s="79">
        <v>54</v>
      </c>
      <c r="D7" s="80">
        <v>-45</v>
      </c>
      <c r="E7" s="79">
        <v>89</v>
      </c>
      <c r="F7" s="57">
        <v>53.68</v>
      </c>
      <c r="G7" s="79">
        <v>3529</v>
      </c>
      <c r="H7" s="149" t="s">
        <v>3254</v>
      </c>
      <c r="I7" s="16" t="s">
        <v>36</v>
      </c>
      <c r="J7" s="323">
        <v>35.26</v>
      </c>
      <c r="K7" s="73">
        <v>74.17</v>
      </c>
      <c r="L7" s="323">
        <v>3.74</v>
      </c>
      <c r="M7" s="73">
        <v>8.83</v>
      </c>
      <c r="N7" s="318">
        <f t="shared" si="18"/>
        <v>122</v>
      </c>
      <c r="O7" s="81">
        <f>IFERROR(VLOOKUP($G7,'321買'!A:E,3,0),"'沒有資料'")</f>
        <v>5</v>
      </c>
      <c r="P7" s="380">
        <f>IFERROR(VLOOKUP($G7,'321買'!$A:$G,7,0),"'沒有資料'")</f>
        <v>558</v>
      </c>
      <c r="Q7" s="388" t="s">
        <v>3817</v>
      </c>
      <c r="R7" s="297">
        <f>IFERROR(RANK(VLOOKUP($G7,連買!$A:$D,4,0),連買!$D:$D,0),"'沒有資料'")</f>
        <v>5</v>
      </c>
      <c r="S7" s="45">
        <v>14</v>
      </c>
      <c r="T7" s="353">
        <f t="shared" si="19"/>
        <v>9.5890410958904115E-3</v>
      </c>
      <c r="U7" s="95">
        <v>14.78</v>
      </c>
      <c r="V7" s="155">
        <f>RTD("money.excel",,"3529","Price")</f>
        <v>1460</v>
      </c>
      <c r="W7" s="66">
        <v>1845</v>
      </c>
      <c r="X7" s="141">
        <f t="shared" si="20"/>
        <v>-385</v>
      </c>
      <c r="Y7" s="3">
        <f t="shared" si="21"/>
        <v>-0.20867208672086721</v>
      </c>
      <c r="Z7" s="413">
        <v>-27.38</v>
      </c>
      <c r="AA7" s="161">
        <v>1</v>
      </c>
      <c r="AB7" s="409">
        <v>0</v>
      </c>
      <c r="AC7" s="259">
        <f t="shared" si="11"/>
        <v>1</v>
      </c>
      <c r="AD7" s="16" t="s">
        <v>36</v>
      </c>
      <c r="AE7" s="84">
        <v>44651</v>
      </c>
      <c r="AG7" s="33">
        <f t="shared" si="22"/>
        <v>-44651</v>
      </c>
      <c r="AH7" s="120" t="s">
        <v>3110</v>
      </c>
      <c r="AI7" s="161"/>
      <c r="AJ7" s="409"/>
      <c r="AK7" s="259"/>
    </row>
    <row r="8" spans="1:37">
      <c r="A8" s="130" t="s">
        <v>1695</v>
      </c>
      <c r="B8" s="79">
        <v>57</v>
      </c>
      <c r="C8" s="79">
        <v>34</v>
      </c>
      <c r="D8" s="80">
        <v>-16</v>
      </c>
      <c r="E8" s="79">
        <v>0</v>
      </c>
      <c r="F8" s="57">
        <v>30.91</v>
      </c>
      <c r="G8" s="79">
        <v>2458</v>
      </c>
      <c r="H8" s="8" t="s">
        <v>3254</v>
      </c>
      <c r="I8" s="22" t="s">
        <v>57</v>
      </c>
      <c r="J8" s="73">
        <v>46.56</v>
      </c>
      <c r="K8" s="73">
        <v>34.08</v>
      </c>
      <c r="L8" s="323">
        <v>6.86</v>
      </c>
      <c r="M8" s="73">
        <v>5.97</v>
      </c>
      <c r="N8" s="318">
        <f t="shared" si="18"/>
        <v>93.47</v>
      </c>
      <c r="O8" s="81">
        <f>IFERROR(VLOOKUP($G8,'321買'!A:E,3,0),"'沒有資料'")</f>
        <v>8</v>
      </c>
      <c r="P8" s="380">
        <f>IFERROR(VLOOKUP($G8,'321買'!$A:$G,7,0),"'沒有資料'")</f>
        <v>475</v>
      </c>
      <c r="Q8" s="388" t="s">
        <v>6637</v>
      </c>
      <c r="R8" s="297">
        <f>IFERROR(RANK(VLOOKUP($G8,連買!$A:$D,4,0),連買!$D:$D,0),"'沒有資料'")</f>
        <v>50</v>
      </c>
      <c r="S8" s="45">
        <v>13.5</v>
      </c>
      <c r="T8" s="353">
        <f t="shared" si="19"/>
        <v>8.3591331269349839E-2</v>
      </c>
      <c r="U8" s="95">
        <v>17.57</v>
      </c>
      <c r="V8" s="36">
        <f>RTD("money.excel",,"2458","Price")</f>
        <v>161.5</v>
      </c>
      <c r="W8" s="66">
        <v>171</v>
      </c>
      <c r="X8" s="15">
        <f t="shared" si="20"/>
        <v>-9.5</v>
      </c>
      <c r="Y8" s="3">
        <f t="shared" si="21"/>
        <v>-5.5555555555555552E-2</v>
      </c>
      <c r="Z8" s="413">
        <v>-21.2</v>
      </c>
      <c r="AA8" s="161">
        <v>1</v>
      </c>
      <c r="AB8" s="409">
        <v>0</v>
      </c>
      <c r="AC8" s="259">
        <f t="shared" si="11"/>
        <v>1</v>
      </c>
      <c r="AD8" s="22" t="s">
        <v>57</v>
      </c>
      <c r="AE8" s="84">
        <v>44651</v>
      </c>
      <c r="AG8" s="33">
        <f t="shared" si="22"/>
        <v>-44651</v>
      </c>
      <c r="AH8" s="120" t="s">
        <v>2527</v>
      </c>
      <c r="AI8" s="161"/>
      <c r="AJ8" s="409"/>
      <c r="AK8" s="259"/>
    </row>
    <row r="9" spans="1:37">
      <c r="A9" s="130" t="s">
        <v>1737</v>
      </c>
      <c r="B9" s="79">
        <v>93</v>
      </c>
      <c r="C9" s="79">
        <v>88</v>
      </c>
      <c r="D9" s="80">
        <v>-16</v>
      </c>
      <c r="E9" s="79">
        <v>3</v>
      </c>
      <c r="F9" s="57">
        <v>29.18</v>
      </c>
      <c r="G9" s="79">
        <v>3014</v>
      </c>
      <c r="H9" s="8" t="s">
        <v>3254</v>
      </c>
      <c r="I9" s="22" t="s">
        <v>97</v>
      </c>
      <c r="J9" s="73">
        <v>19.399999999999999</v>
      </c>
      <c r="K9" s="73">
        <v>11.35</v>
      </c>
      <c r="L9" s="323">
        <v>14.02</v>
      </c>
      <c r="M9" s="323">
        <v>12.5</v>
      </c>
      <c r="N9" s="318">
        <f t="shared" ref="N9:N19" si="23">J9+K9+L9+M9</f>
        <v>57.269999999999996</v>
      </c>
      <c r="O9" s="81">
        <f>IFERROR(VLOOKUP($G9,'321買'!A:E,3,0),"'沒有資料'")</f>
        <v>32</v>
      </c>
      <c r="P9" s="380">
        <f>IFERROR(VLOOKUP($G9,'321買'!$A:$G,7,0),"'沒有資料'")</f>
        <v>110</v>
      </c>
      <c r="Q9" s="388" t="s">
        <v>3818</v>
      </c>
      <c r="R9" s="297">
        <f>IFERROR(RANK(VLOOKUP($G9,連買!$A:$D,4,0),連買!$D:$D,0),"'沒有資料'")</f>
        <v>136</v>
      </c>
      <c r="S9" s="45">
        <v>9</v>
      </c>
      <c r="T9" s="353">
        <f t="shared" si="19"/>
        <v>8.8235294117647065E-2</v>
      </c>
      <c r="U9" s="95">
        <v>11.21</v>
      </c>
      <c r="V9" s="36">
        <f>RTD("money.excel",,"3014","Price")</f>
        <v>102</v>
      </c>
      <c r="W9" s="66">
        <v>113</v>
      </c>
      <c r="X9" s="15">
        <f t="shared" si="20"/>
        <v>-11</v>
      </c>
      <c r="Y9" s="3">
        <f t="shared" si="21"/>
        <v>-9.7345132743362831E-2</v>
      </c>
      <c r="Z9" s="413">
        <v>-21.25</v>
      </c>
      <c r="AA9" s="161">
        <v>0</v>
      </c>
      <c r="AB9" s="409">
        <v>1</v>
      </c>
      <c r="AC9" s="259">
        <f t="shared" si="11"/>
        <v>-1</v>
      </c>
      <c r="AD9" s="22" t="s">
        <v>97</v>
      </c>
      <c r="AE9" s="84">
        <v>44651</v>
      </c>
      <c r="AG9" s="33">
        <f t="shared" si="22"/>
        <v>-44651</v>
      </c>
      <c r="AH9" s="120" t="s">
        <v>1444</v>
      </c>
      <c r="AI9" s="161"/>
      <c r="AJ9" s="409"/>
      <c r="AK9" s="259"/>
    </row>
    <row r="10" spans="1:37">
      <c r="A10" s="130" t="s">
        <v>2200</v>
      </c>
      <c r="B10" s="79">
        <v>74</v>
      </c>
      <c r="C10" s="79">
        <v>70</v>
      </c>
      <c r="D10" s="79">
        <v>2</v>
      </c>
      <c r="E10" s="79">
        <v>58</v>
      </c>
      <c r="F10" s="57">
        <v>26.09</v>
      </c>
      <c r="G10" s="79">
        <v>6491</v>
      </c>
      <c r="H10" s="204" t="s">
        <v>311</v>
      </c>
      <c r="I10" s="22" t="s">
        <v>4140</v>
      </c>
      <c r="J10" s="323">
        <v>59.28</v>
      </c>
      <c r="K10" s="73">
        <v>18.78</v>
      </c>
      <c r="L10" s="323">
        <v>3.45</v>
      </c>
      <c r="M10" s="323">
        <v>43</v>
      </c>
      <c r="N10" s="318">
        <f t="shared" si="23"/>
        <v>124.51</v>
      </c>
      <c r="O10" s="81">
        <f>IFERROR(VLOOKUP($G10,'321買'!A:E,3,0),"'沒有資料'")</f>
        <v>28</v>
      </c>
      <c r="P10" s="380">
        <f>IFERROR(VLOOKUP($G10,'321買'!$A:$G,7,0),"'沒有資料'")</f>
        <v>196</v>
      </c>
      <c r="Q10" s="388" t="s">
        <v>3816</v>
      </c>
      <c r="R10" s="297">
        <f>IFERROR(RANK(VLOOKUP($G10,連買!$A:$D,4,0),連買!$D:$D,0),"'沒有資料'")</f>
        <v>16</v>
      </c>
      <c r="S10" s="45">
        <v>8.5</v>
      </c>
      <c r="T10" s="353">
        <f t="shared" si="19"/>
        <v>1.8805309734513276E-2</v>
      </c>
      <c r="U10" s="57">
        <v>17.84</v>
      </c>
      <c r="V10" s="36">
        <f>RTD("money.excel",,"6491","Price")</f>
        <v>452</v>
      </c>
      <c r="W10" s="66">
        <v>514</v>
      </c>
      <c r="X10" s="15">
        <f t="shared" si="20"/>
        <v>-62</v>
      </c>
      <c r="Y10" s="3">
        <f t="shared" si="21"/>
        <v>-0.12062256809338522</v>
      </c>
      <c r="Z10" s="413">
        <v>-23.75</v>
      </c>
      <c r="AA10" s="161">
        <v>0</v>
      </c>
      <c r="AB10" s="409">
        <v>0</v>
      </c>
      <c r="AC10" s="259">
        <f t="shared" si="11"/>
        <v>0</v>
      </c>
      <c r="AD10" s="22" t="s">
        <v>4140</v>
      </c>
      <c r="AE10" s="84">
        <v>44651</v>
      </c>
      <c r="AG10" s="33">
        <f t="shared" si="22"/>
        <v>-44651</v>
      </c>
      <c r="AH10" s="120" t="s">
        <v>4141</v>
      </c>
      <c r="AI10" s="161"/>
      <c r="AJ10" s="409"/>
      <c r="AK10" s="259"/>
    </row>
    <row r="11" spans="1:37">
      <c r="A11" s="130" t="s">
        <v>1716</v>
      </c>
      <c r="B11" s="79">
        <v>97</v>
      </c>
      <c r="C11" s="79">
        <v>57</v>
      </c>
      <c r="D11" s="79">
        <v>9</v>
      </c>
      <c r="E11" s="79">
        <v>81</v>
      </c>
      <c r="F11" s="57">
        <v>24.89</v>
      </c>
      <c r="G11" s="79">
        <v>6202</v>
      </c>
      <c r="H11" s="8" t="s">
        <v>3254</v>
      </c>
      <c r="I11" s="22" t="s">
        <v>119</v>
      </c>
      <c r="J11" s="323">
        <v>48.26</v>
      </c>
      <c r="K11" s="323">
        <v>21.08</v>
      </c>
      <c r="L11" s="323">
        <v>13.18</v>
      </c>
      <c r="M11" s="323">
        <v>7.86</v>
      </c>
      <c r="N11" s="318">
        <f t="shared" si="23"/>
        <v>90.38000000000001</v>
      </c>
      <c r="O11" s="81">
        <f>IFERROR(VLOOKUP($G11,'321買'!A:E,3,0),"'沒有資料'")</f>
        <v>15</v>
      </c>
      <c r="P11" s="380">
        <f>IFERROR(VLOOKUP($G11,'321買'!$A:$G,7,0),"'沒有資料'")</f>
        <v>321</v>
      </c>
      <c r="Q11" s="388" t="s">
        <v>3818</v>
      </c>
      <c r="R11" s="297">
        <f>IFERROR(RANK(VLOOKUP($G11,連買!$A:$D,4,0),連買!$D:$D,0),"'沒有資料'")</f>
        <v>147</v>
      </c>
      <c r="S11" s="45">
        <v>8.1199999999999992</v>
      </c>
      <c r="T11" s="353">
        <f t="shared" si="19"/>
        <v>7.9999999999999988E-2</v>
      </c>
      <c r="U11" s="95">
        <v>9.0399999999999991</v>
      </c>
      <c r="V11" s="36">
        <f>RTD("money.excel",,"6202","Price")</f>
        <v>101.5</v>
      </c>
      <c r="W11" s="66">
        <v>121</v>
      </c>
      <c r="X11" s="15">
        <f t="shared" si="20"/>
        <v>-19.5</v>
      </c>
      <c r="Y11" s="3">
        <f t="shared" si="21"/>
        <v>-0.16115702479338842</v>
      </c>
      <c r="Z11" s="413">
        <v>-20.46</v>
      </c>
      <c r="AA11" s="161">
        <v>0</v>
      </c>
      <c r="AB11" s="409">
        <v>3</v>
      </c>
      <c r="AC11" s="259">
        <f t="shared" si="11"/>
        <v>-3</v>
      </c>
      <c r="AD11" s="22" t="s">
        <v>119</v>
      </c>
      <c r="AE11" s="84">
        <v>44651</v>
      </c>
      <c r="AG11" s="33">
        <f t="shared" si="22"/>
        <v>-44651</v>
      </c>
      <c r="AH11" s="120" t="s">
        <v>3237</v>
      </c>
      <c r="AI11" s="161"/>
      <c r="AJ11" s="409"/>
      <c r="AK11" s="259"/>
    </row>
    <row r="12" spans="1:37">
      <c r="A12" s="130" t="s">
        <v>1687</v>
      </c>
      <c r="B12" s="79">
        <v>118</v>
      </c>
      <c r="C12" s="79">
        <v>114</v>
      </c>
      <c r="D12" s="80">
        <v>-16</v>
      </c>
      <c r="E12" s="80">
        <v>-2</v>
      </c>
      <c r="F12" s="57">
        <v>22.79</v>
      </c>
      <c r="G12" s="79">
        <v>3042</v>
      </c>
      <c r="H12" s="8" t="s">
        <v>310</v>
      </c>
      <c r="I12" s="22" t="s">
        <v>4869</v>
      </c>
      <c r="J12" s="73">
        <v>32.729999999999997</v>
      </c>
      <c r="K12" s="73">
        <v>13.74</v>
      </c>
      <c r="L12" s="323">
        <v>21.47</v>
      </c>
      <c r="M12" s="323">
        <v>6.72</v>
      </c>
      <c r="N12" s="318">
        <f t="shared" si="23"/>
        <v>74.66</v>
      </c>
      <c r="O12" s="81">
        <f>IFERROR(VLOOKUP($G12,'321買'!A:E,3,0),"'沒有資料'")</f>
        <v>34</v>
      </c>
      <c r="P12" s="380">
        <f>IFERROR(VLOOKUP($G12,'321買'!$A:$G,7,0),"'沒有資料'")</f>
        <v>104</v>
      </c>
      <c r="Q12" s="388" t="s">
        <v>3818</v>
      </c>
      <c r="R12" s="297">
        <f>IFERROR(RANK(VLOOKUP($G12,連買!$A:$D,4,0),連買!$D:$D,0),"'沒有資料'")</f>
        <v>193</v>
      </c>
      <c r="S12" s="45">
        <v>7.5</v>
      </c>
      <c r="T12" s="353">
        <f t="shared" si="19"/>
        <v>7.716049382716049E-2</v>
      </c>
      <c r="U12" s="95">
        <v>10.06</v>
      </c>
      <c r="V12" s="36">
        <f>RTD("money.excel",,"3042","Price")</f>
        <v>97.2</v>
      </c>
      <c r="W12" s="66">
        <v>103</v>
      </c>
      <c r="X12" s="15">
        <f t="shared" si="20"/>
        <v>-5.7999999999999972</v>
      </c>
      <c r="Y12" s="3">
        <f t="shared" si="21"/>
        <v>-5.6310679611650455E-2</v>
      </c>
      <c r="Z12" s="413">
        <v>-28.72</v>
      </c>
      <c r="AA12" s="161">
        <v>0</v>
      </c>
      <c r="AB12" s="409">
        <v>2</v>
      </c>
      <c r="AC12" s="259">
        <f t="shared" si="11"/>
        <v>-2</v>
      </c>
      <c r="AD12" s="22" t="s">
        <v>4869</v>
      </c>
      <c r="AE12" s="84">
        <v>44651</v>
      </c>
      <c r="AG12" s="33">
        <f t="shared" si="22"/>
        <v>-44651</v>
      </c>
      <c r="AH12" s="120" t="s">
        <v>1808</v>
      </c>
      <c r="AI12" s="161"/>
      <c r="AJ12" s="409"/>
      <c r="AK12" s="259"/>
    </row>
    <row r="13" spans="1:37">
      <c r="A13" s="130" t="s">
        <v>1698</v>
      </c>
      <c r="B13" s="79">
        <v>71</v>
      </c>
      <c r="C13" s="79">
        <v>73</v>
      </c>
      <c r="D13" s="80">
        <v>-17</v>
      </c>
      <c r="E13" s="79">
        <v>53</v>
      </c>
      <c r="F13" s="57">
        <v>11.08</v>
      </c>
      <c r="G13" s="79">
        <v>3443</v>
      </c>
      <c r="H13" s="204" t="s">
        <v>3254</v>
      </c>
      <c r="I13" s="22" t="s">
        <v>49</v>
      </c>
      <c r="J13" s="323">
        <v>59.11</v>
      </c>
      <c r="K13" s="73">
        <v>45.81</v>
      </c>
      <c r="L13" s="73">
        <v>6</v>
      </c>
      <c r="M13" s="323">
        <v>34.840000000000003</v>
      </c>
      <c r="N13" s="73">
        <f t="shared" si="23"/>
        <v>145.76</v>
      </c>
      <c r="O13" s="81">
        <f>IFERROR(VLOOKUP($G13,'321買'!A:E,3,0),"'沒有資料'")</f>
        <v>43</v>
      </c>
      <c r="P13" s="380">
        <f>IFERROR(VLOOKUP($G13,'321買'!$A:$G,7,0),"'沒有資料'")</f>
        <v>98</v>
      </c>
      <c r="Q13" s="388" t="s">
        <v>3818</v>
      </c>
      <c r="R13" s="297">
        <f>IFERROR(RANK(VLOOKUP($G13,連買!$A:$D,4,0),連買!$D:$D,0),"'沒有資料'")</f>
        <v>1604</v>
      </c>
      <c r="S13" s="45">
        <v>7</v>
      </c>
      <c r="T13" s="353">
        <f t="shared" si="19"/>
        <v>1.4644351464435146E-2</v>
      </c>
      <c r="U13" s="57">
        <v>10.9</v>
      </c>
      <c r="V13" s="13">
        <f>RTD("money.excel",,"3443","Price")</f>
        <v>478</v>
      </c>
      <c r="W13" s="66">
        <v>524</v>
      </c>
      <c r="X13" s="15">
        <f t="shared" si="20"/>
        <v>-46</v>
      </c>
      <c r="Y13" s="3">
        <f t="shared" si="21"/>
        <v>-8.7786259541984726E-2</v>
      </c>
      <c r="Z13" s="413">
        <v>-21.33</v>
      </c>
      <c r="AA13" s="161">
        <v>1</v>
      </c>
      <c r="AB13" s="409">
        <v>1</v>
      </c>
      <c r="AC13" s="259">
        <f t="shared" si="11"/>
        <v>0</v>
      </c>
      <c r="AD13" s="22" t="s">
        <v>49</v>
      </c>
      <c r="AE13" s="84">
        <v>44651</v>
      </c>
      <c r="AG13" s="33">
        <f t="shared" si="22"/>
        <v>-44651</v>
      </c>
      <c r="AH13" s="120" t="s">
        <v>3537</v>
      </c>
      <c r="AI13" s="161"/>
      <c r="AJ13" s="409"/>
      <c r="AK13" s="259"/>
    </row>
    <row r="14" spans="1:37">
      <c r="A14" s="146" t="s">
        <v>1785</v>
      </c>
      <c r="B14" s="79">
        <v>7</v>
      </c>
      <c r="C14" s="80">
        <v>-2</v>
      </c>
      <c r="D14" s="80">
        <v>-14</v>
      </c>
      <c r="E14" s="79">
        <v>15</v>
      </c>
      <c r="F14" s="6">
        <v>3.65</v>
      </c>
      <c r="G14" s="80">
        <v>6414</v>
      </c>
      <c r="H14" s="204" t="s">
        <v>1152</v>
      </c>
      <c r="I14" s="22" t="s">
        <v>213</v>
      </c>
      <c r="J14" s="73">
        <v>44.13</v>
      </c>
      <c r="K14" s="73">
        <v>10.66</v>
      </c>
      <c r="L14" s="323">
        <v>16.309999999999999</v>
      </c>
      <c r="M14" s="323">
        <v>32.32</v>
      </c>
      <c r="N14" s="318">
        <f t="shared" si="23"/>
        <v>103.42000000000002</v>
      </c>
      <c r="O14" s="81">
        <f>IFERROR(VLOOKUP($G14,'321買'!A:E,3,0),"'沒有資料'")</f>
        <v>15</v>
      </c>
      <c r="P14" s="380">
        <f>IFERROR(VLOOKUP($G14,'321買'!$A:$G,7,0),"'沒有資料'")</f>
        <v>321</v>
      </c>
      <c r="Q14" s="388" t="s">
        <v>3816</v>
      </c>
      <c r="R14" s="297">
        <f>IFERROR(RANK(VLOOKUP($G14,連買!$A:$D,4,0),連買!$D:$D,0),"'沒有資料'")</f>
        <v>273</v>
      </c>
      <c r="S14" s="45">
        <v>7</v>
      </c>
      <c r="T14" s="353">
        <f t="shared" si="19"/>
        <v>3.4567901234567898E-2</v>
      </c>
      <c r="U14" s="95">
        <v>12.77</v>
      </c>
      <c r="V14" s="36">
        <f>RTD("money.excel",,"6414","Price")</f>
        <v>202.5</v>
      </c>
      <c r="W14" s="66">
        <v>202.5</v>
      </c>
      <c r="X14" s="15">
        <f t="shared" si="20"/>
        <v>0</v>
      </c>
      <c r="Y14" s="3">
        <f t="shared" si="21"/>
        <v>0</v>
      </c>
      <c r="Z14" s="413">
        <v>-26.63</v>
      </c>
      <c r="AA14" s="161">
        <v>1</v>
      </c>
      <c r="AB14" s="409">
        <v>0</v>
      </c>
      <c r="AC14" s="259">
        <f t="shared" si="11"/>
        <v>1</v>
      </c>
      <c r="AD14" s="22" t="s">
        <v>213</v>
      </c>
      <c r="AE14" s="84">
        <v>44651</v>
      </c>
      <c r="AG14" s="33">
        <f t="shared" si="22"/>
        <v>-44651</v>
      </c>
      <c r="AH14" s="120" t="s">
        <v>1518</v>
      </c>
      <c r="AI14" s="161"/>
      <c r="AJ14" s="409"/>
      <c r="AK14" s="259"/>
    </row>
    <row r="15" spans="1:37">
      <c r="A15" s="130" t="s">
        <v>1760</v>
      </c>
      <c r="B15" s="79">
        <v>2</v>
      </c>
      <c r="C15" s="79">
        <v>0</v>
      </c>
      <c r="D15" s="80">
        <v>-31</v>
      </c>
      <c r="E15" s="80">
        <v>-13</v>
      </c>
      <c r="F15" s="57">
        <v>23.59</v>
      </c>
      <c r="G15" s="80">
        <v>1707</v>
      </c>
      <c r="H15" s="204" t="s">
        <v>311</v>
      </c>
      <c r="I15" s="22" t="s">
        <v>3984</v>
      </c>
      <c r="J15" s="323">
        <v>56.23</v>
      </c>
      <c r="K15" s="73">
        <v>10.91</v>
      </c>
      <c r="L15" s="323">
        <v>1.74</v>
      </c>
      <c r="M15" s="73">
        <v>18.48</v>
      </c>
      <c r="N15" s="318">
        <f t="shared" si="23"/>
        <v>87.36</v>
      </c>
      <c r="O15" s="81">
        <f>IFERROR(VLOOKUP($G15,'321買'!A:E,3,0),"'沒有資料'")</f>
        <v>0</v>
      </c>
      <c r="P15" s="380">
        <f>IFERROR(VLOOKUP($G15,'321買'!$A:$G,7,0),"'沒有資料'")</f>
        <v>911</v>
      </c>
      <c r="Q15" s="388" t="s">
        <v>3816</v>
      </c>
      <c r="R15" s="297">
        <f>IFERROR(RANK(VLOOKUP($G15,連買!$A:$D,4,0),連買!$D:$D,0),"'沒有資料'")</f>
        <v>1739</v>
      </c>
      <c r="S15" s="45">
        <v>6.1</v>
      </c>
      <c r="T15" s="353">
        <f t="shared" si="19"/>
        <v>4.1496598639455783E-2</v>
      </c>
      <c r="U15" s="57">
        <v>8.82</v>
      </c>
      <c r="V15" s="36">
        <f>RTD("money.excel",,"1707","Price")</f>
        <v>147</v>
      </c>
      <c r="W15" s="66">
        <v>147.5</v>
      </c>
      <c r="X15" s="15">
        <f t="shared" si="20"/>
        <v>-0.5</v>
      </c>
      <c r="Y15" s="3">
        <f t="shared" si="21"/>
        <v>-3.3898305084745762E-3</v>
      </c>
      <c r="Z15" s="413">
        <v>-16.670000000000002</v>
      </c>
      <c r="AA15" s="161">
        <v>0</v>
      </c>
      <c r="AB15" s="409">
        <v>1</v>
      </c>
      <c r="AC15" s="259">
        <f t="shared" si="11"/>
        <v>-1</v>
      </c>
      <c r="AD15" s="22" t="s">
        <v>3984</v>
      </c>
      <c r="AE15" s="84">
        <v>44651</v>
      </c>
      <c r="AG15" s="33">
        <f t="shared" si="22"/>
        <v>-44651</v>
      </c>
      <c r="AH15" s="120" t="s">
        <v>3985</v>
      </c>
      <c r="AI15" s="161"/>
      <c r="AJ15" s="409"/>
      <c r="AK15" s="259"/>
    </row>
    <row r="16" spans="1:37">
      <c r="A16" s="146" t="s">
        <v>1809</v>
      </c>
      <c r="B16" s="79">
        <v>263</v>
      </c>
      <c r="C16" s="79">
        <v>173</v>
      </c>
      <c r="D16" s="80">
        <v>-7</v>
      </c>
      <c r="E16" s="79">
        <v>17</v>
      </c>
      <c r="F16" s="6">
        <v>9.73</v>
      </c>
      <c r="G16" s="79">
        <v>5285</v>
      </c>
      <c r="H16" s="8" t="s">
        <v>3254</v>
      </c>
      <c r="I16" s="22" t="s">
        <v>353</v>
      </c>
      <c r="J16" s="73">
        <v>54.66</v>
      </c>
      <c r="K16" s="73">
        <v>3.03</v>
      </c>
      <c r="L16" s="73">
        <v>23.89</v>
      </c>
      <c r="M16" s="323">
        <v>18.53</v>
      </c>
      <c r="N16" s="318">
        <f t="shared" si="23"/>
        <v>100.11</v>
      </c>
      <c r="O16" s="81">
        <f>IFERROR(VLOOKUP($G16,'321買'!A:E,3,0),"'沒有資料'")</f>
        <v>47</v>
      </c>
      <c r="P16" s="380">
        <f>IFERROR(VLOOKUP($G16,'321買'!$A:$G,7,0),"'沒有資料'")</f>
        <v>83</v>
      </c>
      <c r="Q16" s="388" t="s">
        <v>5063</v>
      </c>
      <c r="R16" s="297">
        <f>IFERROR(RANK(VLOOKUP($G16,連買!$A:$D,4,0),連買!$D:$D,0),"'沒有資料'")</f>
        <v>166</v>
      </c>
      <c r="S16" s="45">
        <v>4</v>
      </c>
      <c r="T16" s="353">
        <f t="shared" si="19"/>
        <v>4.0858018386108273E-2</v>
      </c>
      <c r="U16" s="95">
        <v>4.92</v>
      </c>
      <c r="V16" s="36">
        <f>RTD("money.excel",,"5285","Price")</f>
        <v>97.9</v>
      </c>
      <c r="W16" s="66">
        <v>106</v>
      </c>
      <c r="X16" s="15">
        <f t="shared" si="20"/>
        <v>-8.0999999999999943</v>
      </c>
      <c r="Y16" s="3">
        <f t="shared" si="21"/>
        <v>-7.6415094339622583E-2</v>
      </c>
      <c r="Z16" s="413">
        <v>-26.83</v>
      </c>
      <c r="AA16" s="161">
        <v>0</v>
      </c>
      <c r="AB16" s="409">
        <v>0</v>
      </c>
      <c r="AC16" s="259">
        <f t="shared" si="11"/>
        <v>0</v>
      </c>
      <c r="AD16" s="22" t="s">
        <v>353</v>
      </c>
      <c r="AE16" s="84">
        <v>44651</v>
      </c>
      <c r="AG16" s="33">
        <f t="shared" si="22"/>
        <v>-44651</v>
      </c>
      <c r="AH16" s="43" t="s">
        <v>3234</v>
      </c>
      <c r="AI16" s="161"/>
      <c r="AJ16" s="409"/>
      <c r="AK16" s="259"/>
    </row>
    <row r="17" spans="1:37">
      <c r="A17" s="130" t="s">
        <v>3212</v>
      </c>
      <c r="B17" s="79">
        <v>38</v>
      </c>
      <c r="C17" s="79">
        <v>29</v>
      </c>
      <c r="D17" s="80">
        <v>-6</v>
      </c>
      <c r="E17" s="79">
        <v>2</v>
      </c>
      <c r="F17" s="57">
        <v>14.93</v>
      </c>
      <c r="G17" s="80">
        <v>5439</v>
      </c>
      <c r="H17" s="8" t="s">
        <v>310</v>
      </c>
      <c r="I17" s="171" t="s">
        <v>80</v>
      </c>
      <c r="J17" s="323">
        <v>29.67</v>
      </c>
      <c r="K17" s="73">
        <v>5.1100000000000003</v>
      </c>
      <c r="L17" s="323">
        <v>12.52</v>
      </c>
      <c r="M17" s="323">
        <v>10.4</v>
      </c>
      <c r="N17" s="318">
        <f t="shared" si="23"/>
        <v>57.699999999999996</v>
      </c>
      <c r="O17" s="81">
        <f>IFERROR(VLOOKUP($G17,'321買'!A:E,3,0),"'沒有資料'")</f>
        <v>22</v>
      </c>
      <c r="P17" s="380">
        <f>IFERROR(VLOOKUP($G17,'321買'!$A:$G,7,0),"'沒有資料'")</f>
        <v>215</v>
      </c>
      <c r="Q17" s="388" t="s">
        <v>3816</v>
      </c>
      <c r="R17" s="297">
        <f>IFERROR(RANK(VLOOKUP($G17,連買!$A:$D,4,0),連買!$D:$D,0),"'沒有資料'")</f>
        <v>1608</v>
      </c>
      <c r="S17" s="160">
        <v>3.6</v>
      </c>
      <c r="T17" s="353">
        <f t="shared" si="19"/>
        <v>6.8311195445920306E-2</v>
      </c>
      <c r="U17" s="95">
        <v>4.67</v>
      </c>
      <c r="V17" s="36">
        <f>RTD("money.excel",,"5439","Price")</f>
        <v>52.7</v>
      </c>
      <c r="W17" s="66">
        <v>55.7</v>
      </c>
      <c r="X17" s="15">
        <f t="shared" si="20"/>
        <v>-3</v>
      </c>
      <c r="Y17" s="3">
        <f t="shared" si="21"/>
        <v>-5.385996409335727E-2</v>
      </c>
      <c r="Z17" s="413">
        <v>-27.17</v>
      </c>
      <c r="AA17" s="161">
        <v>0</v>
      </c>
      <c r="AB17" s="409">
        <v>0</v>
      </c>
      <c r="AC17" s="259">
        <f t="shared" si="11"/>
        <v>0</v>
      </c>
      <c r="AD17" s="16" t="s">
        <v>80</v>
      </c>
      <c r="AE17" s="84">
        <v>44651</v>
      </c>
      <c r="AG17" s="33">
        <f t="shared" si="22"/>
        <v>-44651</v>
      </c>
      <c r="AH17" s="120" t="s">
        <v>1049</v>
      </c>
      <c r="AI17" s="161"/>
      <c r="AJ17" s="409"/>
      <c r="AK17" s="259"/>
    </row>
    <row r="18" spans="1:37">
      <c r="A18" s="130" t="s">
        <v>3220</v>
      </c>
      <c r="B18" s="79">
        <v>13</v>
      </c>
      <c r="C18" s="80">
        <v>-14</v>
      </c>
      <c r="D18" s="80">
        <v>-23</v>
      </c>
      <c r="E18" s="80">
        <v>-1</v>
      </c>
      <c r="F18" s="57">
        <v>12</v>
      </c>
      <c r="G18" s="79">
        <v>4190</v>
      </c>
      <c r="H18" s="8" t="s">
        <v>311</v>
      </c>
      <c r="I18" s="22" t="s">
        <v>4107</v>
      </c>
      <c r="J18" s="323">
        <v>65.510000000000005</v>
      </c>
      <c r="K18" s="73">
        <v>63.82</v>
      </c>
      <c r="L18" s="73">
        <v>7.9</v>
      </c>
      <c r="M18" s="73">
        <v>43.19</v>
      </c>
      <c r="N18" s="73">
        <f t="shared" si="23"/>
        <v>180.42000000000002</v>
      </c>
      <c r="O18" s="81">
        <f>IFERROR(VLOOKUP($G18,'321買'!A:E,3,0),"'沒有資料'")</f>
        <v>0</v>
      </c>
      <c r="P18" s="380">
        <f>IFERROR(VLOOKUP($G18,'321買'!$A:$G,7,0),"'沒有資料'")</f>
        <v>911</v>
      </c>
      <c r="Q18" s="388" t="s">
        <v>5063</v>
      </c>
      <c r="R18" s="297">
        <f>IFERROR(RANK(VLOOKUP($G18,連買!$A:$D,4,0),連買!$D:$D,0),"'沒有資料'")</f>
        <v>950</v>
      </c>
      <c r="S18" s="45">
        <v>3.5</v>
      </c>
      <c r="T18" s="353">
        <f t="shared" si="19"/>
        <v>4.9226441631504927E-2</v>
      </c>
      <c r="U18" s="57">
        <v>4.99</v>
      </c>
      <c r="V18" s="13">
        <f>RTD("money.excel",,"4190","Price")</f>
        <v>71.099999999999994</v>
      </c>
      <c r="W18" s="66">
        <v>71.5</v>
      </c>
      <c r="X18" s="15">
        <f t="shared" si="20"/>
        <v>-0.40000000000000568</v>
      </c>
      <c r="Y18" s="3">
        <f t="shared" si="21"/>
        <v>-5.5944055944056742E-3</v>
      </c>
      <c r="Z18" s="413">
        <v>-25.11</v>
      </c>
      <c r="AA18" s="161">
        <v>1</v>
      </c>
      <c r="AB18" s="409">
        <v>0</v>
      </c>
      <c r="AC18" s="259">
        <f t="shared" si="11"/>
        <v>1</v>
      </c>
      <c r="AD18" s="22" t="s">
        <v>4107</v>
      </c>
      <c r="AE18" s="84">
        <v>44651</v>
      </c>
      <c r="AG18" s="33">
        <f t="shared" si="22"/>
        <v>-44651</v>
      </c>
      <c r="AH18" s="43" t="s">
        <v>4108</v>
      </c>
      <c r="AI18" s="161"/>
      <c r="AJ18" s="409"/>
      <c r="AK18" s="259"/>
    </row>
    <row r="19" spans="1:37">
      <c r="A19" s="130" t="s">
        <v>1775</v>
      </c>
      <c r="B19" s="79">
        <v>155</v>
      </c>
      <c r="C19" s="79">
        <v>55</v>
      </c>
      <c r="D19" s="80">
        <v>-16</v>
      </c>
      <c r="E19" s="79">
        <v>44</v>
      </c>
      <c r="F19" s="57">
        <v>10.83</v>
      </c>
      <c r="G19" s="80">
        <v>3138</v>
      </c>
      <c r="H19" s="8" t="s">
        <v>313</v>
      </c>
      <c r="I19" s="22" t="s">
        <v>2267</v>
      </c>
      <c r="J19" s="323">
        <v>21.09</v>
      </c>
      <c r="K19" s="73">
        <v>0.95</v>
      </c>
      <c r="L19" s="323">
        <v>14.67</v>
      </c>
      <c r="M19" s="73">
        <v>22.41</v>
      </c>
      <c r="N19" s="318">
        <f t="shared" si="23"/>
        <v>59.120000000000005</v>
      </c>
      <c r="O19" s="81">
        <f>IFERROR(VLOOKUP($G19,'321買'!A:E,3,0),"'沒有資料'")</f>
        <v>13</v>
      </c>
      <c r="P19" s="380">
        <f>IFERROR(VLOOKUP($G19,'321買'!$A:$G,7,0),"'沒有資料'")</f>
        <v>348</v>
      </c>
      <c r="Q19" s="388" t="s">
        <v>3817</v>
      </c>
      <c r="R19" s="297">
        <f>IFERROR(RANK(VLOOKUP($G19,連買!$A:$D,4,0),連買!$D:$D,0),"'沒有資料'")</f>
        <v>230</v>
      </c>
      <c r="S19" s="45">
        <v>3</v>
      </c>
      <c r="T19" s="353">
        <f t="shared" si="19"/>
        <v>1.7647058823529412E-2</v>
      </c>
      <c r="U19" s="95">
        <v>5.96</v>
      </c>
      <c r="V19" s="36">
        <f>RTD("money.excel",,"3138","Price")</f>
        <v>170</v>
      </c>
      <c r="W19" s="66">
        <v>188.5</v>
      </c>
      <c r="X19" s="15">
        <f t="shared" si="20"/>
        <v>-18.5</v>
      </c>
      <c r="Y19" s="3">
        <f t="shared" si="21"/>
        <v>-9.8143236074270557E-2</v>
      </c>
      <c r="Z19" s="413">
        <v>-34.1</v>
      </c>
      <c r="AA19" s="161">
        <v>0</v>
      </c>
      <c r="AB19" s="409">
        <v>0</v>
      </c>
      <c r="AC19" s="259">
        <f t="shared" si="11"/>
        <v>0</v>
      </c>
      <c r="AD19" s="22" t="s">
        <v>2267</v>
      </c>
      <c r="AE19" s="84">
        <v>44651</v>
      </c>
      <c r="AG19" s="33">
        <f t="shared" si="22"/>
        <v>-44651</v>
      </c>
      <c r="AH19" s="120" t="s">
        <v>4681</v>
      </c>
      <c r="AI19" s="161"/>
      <c r="AJ19" s="409"/>
      <c r="AK19" s="259"/>
    </row>
    <row r="20" spans="1:37">
      <c r="A20" s="130" t="s">
        <v>1724</v>
      </c>
      <c r="B20" s="79">
        <v>8</v>
      </c>
      <c r="C20" s="79">
        <v>25</v>
      </c>
      <c r="D20" s="80">
        <v>-1</v>
      </c>
      <c r="E20" s="80">
        <v>-23</v>
      </c>
      <c r="F20" s="57">
        <v>28.8</v>
      </c>
      <c r="G20" s="79">
        <v>3374</v>
      </c>
      <c r="H20" s="149" t="s">
        <v>3254</v>
      </c>
      <c r="I20" s="16" t="s">
        <v>167</v>
      </c>
      <c r="J20" s="73">
        <v>48.21</v>
      </c>
      <c r="K20" s="73">
        <v>6.48</v>
      </c>
      <c r="L20" s="73">
        <v>17.239999999999998</v>
      </c>
      <c r="M20" s="73">
        <v>41.22</v>
      </c>
      <c r="N20" s="318">
        <f t="shared" ref="N20:N22" si="24">J20+K20+L20+M20</f>
        <v>113.14999999999999</v>
      </c>
      <c r="O20" s="81">
        <f>IFERROR(VLOOKUP($G20,'321買'!A:E,3,0),"'沒有資料'")</f>
        <v>20</v>
      </c>
      <c r="P20" s="380">
        <f>IFERROR(VLOOKUP($G20,'321買'!$A:$G,7,0),"'沒有資料'")</f>
        <v>222</v>
      </c>
      <c r="Q20" s="388" t="s">
        <v>5063</v>
      </c>
      <c r="R20" s="297">
        <f>IFERROR(RANK(VLOOKUP($G20,連買!$A:$D,4,0),連買!$D:$D,0),"'沒有資料'")</f>
        <v>174</v>
      </c>
      <c r="S20" s="45">
        <v>3</v>
      </c>
      <c r="T20" s="353">
        <f t="shared" ref="T20:T22" si="25">S20/V20</f>
        <v>2.4590163934426229E-2</v>
      </c>
      <c r="U20" s="95">
        <v>6.92</v>
      </c>
      <c r="V20" s="36">
        <f>RTD("money.excel",,"3374","Price")</f>
        <v>122</v>
      </c>
      <c r="W20" s="66">
        <v>133</v>
      </c>
      <c r="X20" s="15">
        <f t="shared" ref="X20:X22" si="26">V20-W20</f>
        <v>-11</v>
      </c>
      <c r="Y20" s="3">
        <f t="shared" ref="Y20:Y22" si="27">X20/W20</f>
        <v>-8.2706766917293228E-2</v>
      </c>
      <c r="Z20" s="413">
        <v>-32.21</v>
      </c>
      <c r="AA20" s="161">
        <v>3</v>
      </c>
      <c r="AB20" s="409">
        <v>1</v>
      </c>
      <c r="AC20" s="259">
        <f t="shared" si="11"/>
        <v>2</v>
      </c>
      <c r="AD20" s="16" t="s">
        <v>167</v>
      </c>
      <c r="AE20" s="84">
        <v>44651</v>
      </c>
      <c r="AG20" s="33">
        <f t="shared" ref="AG20:AG22" si="28">AF20-AE20</f>
        <v>-44651</v>
      </c>
      <c r="AH20" s="120" t="s">
        <v>2505</v>
      </c>
      <c r="AI20" s="161"/>
      <c r="AJ20" s="409"/>
      <c r="AK20" s="259"/>
    </row>
    <row r="21" spans="1:37">
      <c r="A21" s="130" t="s">
        <v>2381</v>
      </c>
      <c r="B21" s="80">
        <v>-19</v>
      </c>
      <c r="C21" s="80">
        <v>-19</v>
      </c>
      <c r="D21" s="80">
        <v>-47</v>
      </c>
      <c r="E21" s="79">
        <v>5</v>
      </c>
      <c r="F21" s="57">
        <v>11.85</v>
      </c>
      <c r="G21" s="79">
        <v>3557</v>
      </c>
      <c r="H21" s="8" t="s">
        <v>235</v>
      </c>
      <c r="I21" s="22" t="s">
        <v>447</v>
      </c>
      <c r="J21" s="323">
        <v>52.1</v>
      </c>
      <c r="K21" s="73">
        <v>18.66</v>
      </c>
      <c r="L21" s="323">
        <v>19.829999999999998</v>
      </c>
      <c r="M21" s="73">
        <v>21.05</v>
      </c>
      <c r="N21" s="318">
        <f t="shared" si="24"/>
        <v>111.64</v>
      </c>
      <c r="O21" s="81">
        <f>IFERROR(VLOOKUP($G21,'321買'!A:E,3,0),"'沒有資料'")</f>
        <v>0</v>
      </c>
      <c r="P21" s="380">
        <f>IFERROR(VLOOKUP($G21,'321買'!$A:$G,7,0),"'沒有資料'")</f>
        <v>911</v>
      </c>
      <c r="Q21" s="388" t="s">
        <v>3816</v>
      </c>
      <c r="R21" s="297">
        <f>IFERROR(RANK(VLOOKUP($G21,連買!$A:$D,4,0),連買!$D:$D,0),"'沒有資料'")</f>
        <v>192</v>
      </c>
      <c r="S21" s="45">
        <v>3</v>
      </c>
      <c r="T21" s="353">
        <f t="shared" si="25"/>
        <v>4.1436464088397788E-2</v>
      </c>
      <c r="U21" s="57">
        <v>7.88</v>
      </c>
      <c r="V21" s="36">
        <f>RTD("money.excel",,"3557","Price")</f>
        <v>72.400000000000006</v>
      </c>
      <c r="W21" s="66">
        <v>74.2</v>
      </c>
      <c r="X21" s="15">
        <f t="shared" si="26"/>
        <v>-1.7999999999999972</v>
      </c>
      <c r="Y21" s="3">
        <f t="shared" si="27"/>
        <v>-2.4258760107816673E-2</v>
      </c>
      <c r="Z21" s="413">
        <v>-16.940000000000001</v>
      </c>
      <c r="AA21" s="161">
        <v>0</v>
      </c>
      <c r="AB21" s="409">
        <v>0</v>
      </c>
      <c r="AC21" s="259">
        <f t="shared" si="11"/>
        <v>0</v>
      </c>
      <c r="AD21" s="22" t="s">
        <v>447</v>
      </c>
      <c r="AE21" s="84">
        <v>44651</v>
      </c>
      <c r="AG21" s="33">
        <f t="shared" si="28"/>
        <v>-44651</v>
      </c>
      <c r="AH21" s="43" t="s">
        <v>3637</v>
      </c>
      <c r="AI21" s="161"/>
      <c r="AJ21" s="409"/>
      <c r="AK21" s="259"/>
    </row>
    <row r="22" spans="1:37">
      <c r="A22" s="130" t="s">
        <v>1810</v>
      </c>
      <c r="B22" s="79">
        <v>128</v>
      </c>
      <c r="C22" s="79">
        <v>104</v>
      </c>
      <c r="D22" s="80">
        <v>-25</v>
      </c>
      <c r="E22" s="79">
        <v>1</v>
      </c>
      <c r="F22" s="57">
        <v>18.23</v>
      </c>
      <c r="G22" s="80">
        <v>8182</v>
      </c>
      <c r="H22" s="8" t="s">
        <v>310</v>
      </c>
      <c r="I22" s="16" t="s">
        <v>445</v>
      </c>
      <c r="J22" s="73">
        <v>65.14</v>
      </c>
      <c r="K22" s="73">
        <v>52.23</v>
      </c>
      <c r="L22" s="323">
        <v>15.1</v>
      </c>
      <c r="M22" s="73">
        <v>55.7</v>
      </c>
      <c r="N22" s="318">
        <f t="shared" si="24"/>
        <v>188.17000000000002</v>
      </c>
      <c r="O22" s="81">
        <f>IFERROR(VLOOKUP($G22,'321買'!A:E,3,0),"'沒有資料'")</f>
        <v>19</v>
      </c>
      <c r="P22" s="380">
        <f>IFERROR(VLOOKUP($G22,'321買'!$A:$G,7,0),"'沒有資料'")</f>
        <v>250</v>
      </c>
      <c r="Q22" s="388" t="s">
        <v>3816</v>
      </c>
      <c r="R22" s="297">
        <f>IFERROR(RANK(VLOOKUP($G22,連買!$A:$D,4,0),連買!$D:$D,0),"'沒有資料'")</f>
        <v>621</v>
      </c>
      <c r="S22" s="45">
        <v>3</v>
      </c>
      <c r="T22" s="353">
        <f t="shared" si="25"/>
        <v>6.4864864864864868E-2</v>
      </c>
      <c r="U22" s="57">
        <v>4.76</v>
      </c>
      <c r="V22" s="13">
        <f>RTD("money.excel",,"8182","Price")</f>
        <v>46.25</v>
      </c>
      <c r="W22" s="66">
        <v>50</v>
      </c>
      <c r="X22" s="15">
        <f t="shared" si="26"/>
        <v>-3.75</v>
      </c>
      <c r="Y22" s="3">
        <f t="shared" si="27"/>
        <v>-7.4999999999999997E-2</v>
      </c>
      <c r="Z22" s="413">
        <v>-22.33</v>
      </c>
      <c r="AA22" s="161">
        <v>0</v>
      </c>
      <c r="AB22" s="409">
        <v>1</v>
      </c>
      <c r="AC22" s="259">
        <f t="shared" si="11"/>
        <v>-1</v>
      </c>
      <c r="AD22" s="16" t="s">
        <v>445</v>
      </c>
      <c r="AE22" s="84">
        <v>44651</v>
      </c>
      <c r="AG22" s="33">
        <f t="shared" si="28"/>
        <v>-44651</v>
      </c>
      <c r="AH22" s="43" t="s">
        <v>1413</v>
      </c>
      <c r="AI22" s="161"/>
      <c r="AJ22" s="409"/>
      <c r="AK22" s="259"/>
    </row>
    <row r="23" spans="1:37">
      <c r="A23" s="146" t="s">
        <v>1704</v>
      </c>
      <c r="B23" s="79">
        <v>39</v>
      </c>
      <c r="C23" s="79">
        <v>39</v>
      </c>
      <c r="D23" s="79">
        <v>2</v>
      </c>
      <c r="E23" s="79">
        <v>8</v>
      </c>
      <c r="F23" s="6">
        <v>9.7200000000000006</v>
      </c>
      <c r="G23" s="80">
        <v>6121</v>
      </c>
      <c r="H23" s="149" t="s">
        <v>1152</v>
      </c>
      <c r="I23" s="16" t="s">
        <v>4417</v>
      </c>
      <c r="J23" s="323">
        <v>53.66</v>
      </c>
      <c r="K23" s="323">
        <v>52.51</v>
      </c>
      <c r="L23" s="73">
        <v>3.31</v>
      </c>
      <c r="M23" s="73">
        <v>5.42</v>
      </c>
      <c r="N23" s="318">
        <f t="shared" ref="N23:N25" si="29">J23+K23+L23+M23</f>
        <v>114.89999999999999</v>
      </c>
      <c r="O23" s="81">
        <f>IFERROR(VLOOKUP($G23,'321買'!A:E,3,0),"'沒有資料'")</f>
        <v>3</v>
      </c>
      <c r="P23" s="380">
        <f>IFERROR(VLOOKUP($G23,'321買'!$A:$G,7,0),"'沒有資料'")</f>
        <v>636</v>
      </c>
      <c r="Q23" s="388" t="s">
        <v>6632</v>
      </c>
      <c r="R23" s="297">
        <f>IFERROR(RANK(VLOOKUP($G23,連買!$A:$D,4,0),連買!$D:$D,0),"'沒有資料'")</f>
        <v>22</v>
      </c>
      <c r="S23" s="45">
        <v>26</v>
      </c>
      <c r="T23" s="353">
        <f t="shared" ref="T23:T25" si="30">S23/V23</f>
        <v>8.5526315789473686E-2</v>
      </c>
      <c r="U23" s="57">
        <v>34.5</v>
      </c>
      <c r="V23" s="13">
        <f>RTD("money.excel",,"6121","Price")</f>
        <v>304</v>
      </c>
      <c r="W23" s="66">
        <v>310</v>
      </c>
      <c r="X23" s="15">
        <f t="shared" ref="X23:X25" si="31">V23-W23</f>
        <v>-6</v>
      </c>
      <c r="Y23" s="3">
        <f t="shared" ref="Y23:Y25" si="32">X23/W23</f>
        <v>-1.935483870967742E-2</v>
      </c>
      <c r="Z23" s="413">
        <v>-18.29</v>
      </c>
      <c r="AA23" s="161">
        <v>0</v>
      </c>
      <c r="AB23" s="409">
        <v>1</v>
      </c>
      <c r="AC23" s="259">
        <f t="shared" si="11"/>
        <v>-1</v>
      </c>
      <c r="AD23" s="16" t="s">
        <v>4417</v>
      </c>
      <c r="AE23" s="84">
        <v>44650</v>
      </c>
      <c r="AG23" s="33">
        <f t="shared" ref="AG23:AG25" si="33">AF23-AE23</f>
        <v>-44650</v>
      </c>
      <c r="AH23" s="120" t="s">
        <v>2739</v>
      </c>
      <c r="AI23" s="161"/>
      <c r="AJ23" s="409"/>
      <c r="AK23" s="259"/>
    </row>
    <row r="24" spans="1:37">
      <c r="A24" s="130" t="s">
        <v>1662</v>
      </c>
      <c r="B24" s="79">
        <v>54</v>
      </c>
      <c r="C24" s="79">
        <v>54</v>
      </c>
      <c r="D24" s="80">
        <v>-45</v>
      </c>
      <c r="E24" s="79">
        <v>89</v>
      </c>
      <c r="F24" s="57">
        <v>53.68</v>
      </c>
      <c r="G24" s="80">
        <v>3529</v>
      </c>
      <c r="H24" s="149" t="s">
        <v>3254</v>
      </c>
      <c r="I24" s="16" t="s">
        <v>36</v>
      </c>
      <c r="J24" s="323">
        <v>35.299999999999997</v>
      </c>
      <c r="K24" s="73">
        <v>74.11</v>
      </c>
      <c r="L24" s="323">
        <v>3.79</v>
      </c>
      <c r="M24" s="73">
        <v>8.83</v>
      </c>
      <c r="N24" s="318">
        <f t="shared" si="29"/>
        <v>122.03</v>
      </c>
      <c r="O24" s="81">
        <f>IFERROR(VLOOKUP($G24,'321買'!A:E,3,0),"'沒有資料'")</f>
        <v>5</v>
      </c>
      <c r="P24" s="380">
        <f>IFERROR(VLOOKUP($G24,'321買'!$A:$G,7,0),"'沒有資料'")</f>
        <v>558</v>
      </c>
      <c r="Q24" s="388" t="s">
        <v>6633</v>
      </c>
      <c r="R24" s="297">
        <f>IFERROR(RANK(VLOOKUP($G24,連買!$A:$D,4,0),連買!$D:$D,0),"'沒有資料'")</f>
        <v>5</v>
      </c>
      <c r="S24" s="45">
        <v>14</v>
      </c>
      <c r="T24" s="353">
        <f t="shared" si="30"/>
        <v>9.5890410958904115E-3</v>
      </c>
      <c r="U24" s="95">
        <v>14.78</v>
      </c>
      <c r="V24" s="155">
        <f>RTD("money.excel",,"3529","Price")</f>
        <v>1460</v>
      </c>
      <c r="W24" s="66">
        <v>1870</v>
      </c>
      <c r="X24" s="141">
        <f t="shared" si="31"/>
        <v>-410</v>
      </c>
      <c r="Y24" s="3">
        <f t="shared" si="32"/>
        <v>-0.21925133689839571</v>
      </c>
      <c r="Z24" s="413">
        <v>-28.57</v>
      </c>
      <c r="AA24" s="161">
        <v>1</v>
      </c>
      <c r="AB24" s="409">
        <v>0</v>
      </c>
      <c r="AC24" s="259">
        <f t="shared" si="11"/>
        <v>1</v>
      </c>
      <c r="AD24" s="16" t="s">
        <v>36</v>
      </c>
      <c r="AE24" s="84">
        <v>44650</v>
      </c>
      <c r="AG24" s="33">
        <f t="shared" si="33"/>
        <v>-44650</v>
      </c>
      <c r="AH24" s="120" t="s">
        <v>3110</v>
      </c>
      <c r="AI24" s="161"/>
      <c r="AJ24" s="409"/>
      <c r="AK24" s="259"/>
    </row>
    <row r="25" spans="1:37">
      <c r="A25" s="130" t="s">
        <v>1695</v>
      </c>
      <c r="B25" s="79">
        <v>57</v>
      </c>
      <c r="C25" s="79">
        <v>34</v>
      </c>
      <c r="D25" s="80">
        <v>-16</v>
      </c>
      <c r="E25" s="79">
        <v>0</v>
      </c>
      <c r="F25" s="57">
        <v>30.91</v>
      </c>
      <c r="G25" s="79">
        <v>2458</v>
      </c>
      <c r="H25" s="8" t="s">
        <v>3254</v>
      </c>
      <c r="I25" s="22" t="s">
        <v>57</v>
      </c>
      <c r="J25" s="73">
        <v>46.56</v>
      </c>
      <c r="K25" s="323">
        <v>33.83</v>
      </c>
      <c r="L25" s="73">
        <v>6.94</v>
      </c>
      <c r="M25" s="73">
        <v>5.97</v>
      </c>
      <c r="N25" s="318">
        <f t="shared" si="29"/>
        <v>93.3</v>
      </c>
      <c r="O25" s="81">
        <f>IFERROR(VLOOKUP($G25,'321買'!A:E,3,0),"'沒有資料'")</f>
        <v>8</v>
      </c>
      <c r="P25" s="380">
        <f>IFERROR(VLOOKUP($G25,'321買'!$A:$G,7,0),"'沒有資料'")</f>
        <v>475</v>
      </c>
      <c r="Q25" s="388" t="s">
        <v>6637</v>
      </c>
      <c r="R25" s="297">
        <f>IFERROR(RANK(VLOOKUP($G25,連買!$A:$D,4,0),連買!$D:$D,0),"'沒有資料'")</f>
        <v>50</v>
      </c>
      <c r="S25" s="45">
        <v>13.5</v>
      </c>
      <c r="T25" s="353">
        <f t="shared" si="30"/>
        <v>8.3591331269349839E-2</v>
      </c>
      <c r="U25" s="95">
        <v>17.57</v>
      </c>
      <c r="V25" s="36">
        <f>RTD("money.excel",,"2458","Price")</f>
        <v>161.5</v>
      </c>
      <c r="W25" s="66">
        <v>172.5</v>
      </c>
      <c r="X25" s="15">
        <f t="shared" si="31"/>
        <v>-11</v>
      </c>
      <c r="Y25" s="3">
        <f t="shared" si="32"/>
        <v>-6.3768115942028983E-2</v>
      </c>
      <c r="Z25" s="413">
        <v>-23.49</v>
      </c>
      <c r="AA25" s="161">
        <v>1</v>
      </c>
      <c r="AB25" s="409">
        <v>0</v>
      </c>
      <c r="AC25" s="259">
        <f t="shared" si="11"/>
        <v>1</v>
      </c>
      <c r="AD25" s="22" t="s">
        <v>57</v>
      </c>
      <c r="AE25" s="84">
        <v>44650</v>
      </c>
      <c r="AG25" s="33">
        <f t="shared" si="33"/>
        <v>-44650</v>
      </c>
      <c r="AH25" s="120" t="s">
        <v>2527</v>
      </c>
      <c r="AI25" s="161"/>
      <c r="AJ25" s="409"/>
      <c r="AK25" s="259"/>
    </row>
    <row r="26" spans="1:37">
      <c r="A26" s="130" t="s">
        <v>1737</v>
      </c>
      <c r="B26" s="79">
        <v>93</v>
      </c>
      <c r="C26" s="79">
        <v>88</v>
      </c>
      <c r="D26" s="80">
        <v>-16</v>
      </c>
      <c r="E26" s="79">
        <v>3</v>
      </c>
      <c r="F26" s="57">
        <v>29.18</v>
      </c>
      <c r="G26" s="79">
        <v>3014</v>
      </c>
      <c r="H26" s="8" t="s">
        <v>3254</v>
      </c>
      <c r="I26" s="22" t="s">
        <v>97</v>
      </c>
      <c r="J26" s="73">
        <v>19.399999999999999</v>
      </c>
      <c r="K26" s="323">
        <v>11.19</v>
      </c>
      <c r="L26" s="73">
        <v>14.29</v>
      </c>
      <c r="M26" s="323">
        <v>12.5</v>
      </c>
      <c r="N26" s="318">
        <f t="shared" ref="N26:N29" si="34">J26+K26+L26+M26</f>
        <v>57.379999999999995</v>
      </c>
      <c r="O26" s="81">
        <f>IFERROR(VLOOKUP($G26,'321買'!A:E,3,0),"'沒有資料'")</f>
        <v>32</v>
      </c>
      <c r="P26" s="380">
        <f>IFERROR(VLOOKUP($G26,'321買'!$A:$G,7,0),"'沒有資料'")</f>
        <v>110</v>
      </c>
      <c r="Q26" s="388" t="s">
        <v>6635</v>
      </c>
      <c r="R26" s="297">
        <f>IFERROR(RANK(VLOOKUP($G26,連買!$A:$D,4,0),連買!$D:$D,0),"'沒有資料'")</f>
        <v>136</v>
      </c>
      <c r="S26" s="45">
        <v>9</v>
      </c>
      <c r="T26" s="353">
        <f t="shared" ref="T26:T29" si="35">S26/V26</f>
        <v>8.8235294117647065E-2</v>
      </c>
      <c r="U26" s="95">
        <v>11.21</v>
      </c>
      <c r="V26" s="36">
        <f>RTD("money.excel",,"3014","Price")</f>
        <v>102</v>
      </c>
      <c r="W26" s="66">
        <v>113.5</v>
      </c>
      <c r="X26" s="15">
        <f t="shared" ref="X26:X29" si="36">V26-W26</f>
        <v>-11.5</v>
      </c>
      <c r="Y26" s="3">
        <f t="shared" ref="Y26:Y29" si="37">X26/W26</f>
        <v>-0.1013215859030837</v>
      </c>
      <c r="Z26" s="413">
        <v>-22.3</v>
      </c>
      <c r="AA26" s="161">
        <v>0</v>
      </c>
      <c r="AB26" s="409">
        <v>1</v>
      </c>
      <c r="AC26" s="259">
        <f t="shared" si="11"/>
        <v>-1</v>
      </c>
      <c r="AD26" s="22" t="s">
        <v>97</v>
      </c>
      <c r="AE26" s="84">
        <v>44650</v>
      </c>
      <c r="AG26" s="33">
        <f t="shared" ref="AG26:AG29" si="38">AF26-AE26</f>
        <v>-44650</v>
      </c>
      <c r="AH26" s="120" t="s">
        <v>1444</v>
      </c>
      <c r="AI26" s="161"/>
      <c r="AJ26" s="409"/>
      <c r="AK26" s="259"/>
    </row>
    <row r="27" spans="1:37">
      <c r="A27" s="130" t="s">
        <v>2200</v>
      </c>
      <c r="B27" s="79">
        <v>74</v>
      </c>
      <c r="C27" s="79">
        <v>70</v>
      </c>
      <c r="D27" s="79">
        <v>2</v>
      </c>
      <c r="E27" s="79">
        <v>58</v>
      </c>
      <c r="F27" s="57">
        <v>26.09</v>
      </c>
      <c r="G27" s="79">
        <v>6491</v>
      </c>
      <c r="H27" s="204" t="s">
        <v>311</v>
      </c>
      <c r="I27" s="22" t="s">
        <v>4140</v>
      </c>
      <c r="J27" s="323">
        <v>59.28</v>
      </c>
      <c r="K27" s="73">
        <v>18.34</v>
      </c>
      <c r="L27" s="323">
        <v>3.63</v>
      </c>
      <c r="M27" s="323">
        <v>43</v>
      </c>
      <c r="N27" s="318">
        <f t="shared" si="34"/>
        <v>124.25</v>
      </c>
      <c r="O27" s="81">
        <f>IFERROR(VLOOKUP($G27,'321買'!A:E,3,0),"'沒有資料'")</f>
        <v>28</v>
      </c>
      <c r="P27" s="380">
        <f>IFERROR(VLOOKUP($G27,'321買'!$A:$G,7,0),"'沒有資料'")</f>
        <v>196</v>
      </c>
      <c r="Q27" s="388" t="s">
        <v>6634</v>
      </c>
      <c r="R27" s="297">
        <f>IFERROR(RANK(VLOOKUP($G27,連買!$A:$D,4,0),連買!$D:$D,0),"'沒有資料'")</f>
        <v>16</v>
      </c>
      <c r="S27" s="45">
        <v>8.5</v>
      </c>
      <c r="T27" s="353">
        <f t="shared" si="35"/>
        <v>1.8805309734513276E-2</v>
      </c>
      <c r="U27" s="57">
        <v>17.84</v>
      </c>
      <c r="V27" s="36">
        <f>RTD("money.excel",,"6491","Price")</f>
        <v>452</v>
      </c>
      <c r="W27" s="66">
        <v>509</v>
      </c>
      <c r="X27" s="15">
        <f t="shared" si="36"/>
        <v>-57</v>
      </c>
      <c r="Y27" s="3">
        <f t="shared" si="37"/>
        <v>-0.11198428290766209</v>
      </c>
      <c r="Z27" s="413">
        <v>-25.96</v>
      </c>
      <c r="AA27" s="161">
        <v>0</v>
      </c>
      <c r="AB27" s="409">
        <v>0</v>
      </c>
      <c r="AC27" s="259">
        <f t="shared" si="11"/>
        <v>0</v>
      </c>
      <c r="AD27" s="22" t="s">
        <v>4140</v>
      </c>
      <c r="AE27" s="84">
        <v>44650</v>
      </c>
      <c r="AG27" s="33">
        <f t="shared" si="38"/>
        <v>-44650</v>
      </c>
      <c r="AH27" s="120" t="s">
        <v>4141</v>
      </c>
      <c r="AI27" s="161"/>
      <c r="AJ27" s="409"/>
      <c r="AK27" s="259"/>
    </row>
    <row r="28" spans="1:37">
      <c r="A28" s="130" t="s">
        <v>1716</v>
      </c>
      <c r="B28" s="79">
        <v>97</v>
      </c>
      <c r="C28" s="79">
        <v>57</v>
      </c>
      <c r="D28" s="79">
        <v>9</v>
      </c>
      <c r="E28" s="79">
        <v>81</v>
      </c>
      <c r="F28" s="57">
        <v>24.89</v>
      </c>
      <c r="G28" s="79">
        <v>6202</v>
      </c>
      <c r="H28" s="8" t="s">
        <v>3254</v>
      </c>
      <c r="I28" s="22" t="s">
        <v>119</v>
      </c>
      <c r="J28" s="323">
        <v>48.26</v>
      </c>
      <c r="K28" s="73">
        <v>21.48</v>
      </c>
      <c r="L28" s="323">
        <v>13.26</v>
      </c>
      <c r="M28" s="323">
        <v>7.86</v>
      </c>
      <c r="N28" s="318">
        <f t="shared" si="34"/>
        <v>90.86</v>
      </c>
      <c r="O28" s="81">
        <f>IFERROR(VLOOKUP($G28,'321買'!A:E,3,0),"'沒有資料'")</f>
        <v>15</v>
      </c>
      <c r="P28" s="380">
        <f>IFERROR(VLOOKUP($G28,'321買'!$A:$G,7,0),"'沒有資料'")</f>
        <v>321</v>
      </c>
      <c r="Q28" s="388" t="s">
        <v>6635</v>
      </c>
      <c r="R28" s="297">
        <f>IFERROR(RANK(VLOOKUP($G28,連買!$A:$D,4,0),連買!$D:$D,0),"'沒有資料'")</f>
        <v>147</v>
      </c>
      <c r="S28" s="45">
        <v>8.1199999999999992</v>
      </c>
      <c r="T28" s="353">
        <f t="shared" si="35"/>
        <v>7.9999999999999988E-2</v>
      </c>
      <c r="U28" s="95">
        <v>9.0399999999999991</v>
      </c>
      <c r="V28" s="36">
        <f>RTD("money.excel",,"6202","Price")</f>
        <v>101.5</v>
      </c>
      <c r="W28" s="66">
        <v>124</v>
      </c>
      <c r="X28" s="15">
        <f t="shared" si="36"/>
        <v>-22.5</v>
      </c>
      <c r="Y28" s="3">
        <f t="shared" si="37"/>
        <v>-0.18145161290322581</v>
      </c>
      <c r="Z28" s="413">
        <v>-19.47</v>
      </c>
      <c r="AA28" s="161">
        <v>0</v>
      </c>
      <c r="AB28" s="409">
        <v>3</v>
      </c>
      <c r="AC28" s="259">
        <f t="shared" si="11"/>
        <v>-3</v>
      </c>
      <c r="AD28" s="22" t="s">
        <v>119</v>
      </c>
      <c r="AE28" s="84">
        <v>44650</v>
      </c>
      <c r="AG28" s="33">
        <f t="shared" si="38"/>
        <v>-44650</v>
      </c>
      <c r="AH28" s="120" t="s">
        <v>3237</v>
      </c>
      <c r="AI28" s="161"/>
      <c r="AJ28" s="409"/>
      <c r="AK28" s="259"/>
    </row>
    <row r="29" spans="1:37">
      <c r="A29" s="130" t="s">
        <v>1687</v>
      </c>
      <c r="B29" s="79">
        <v>118</v>
      </c>
      <c r="C29" s="79">
        <v>114</v>
      </c>
      <c r="D29" s="80">
        <v>-16</v>
      </c>
      <c r="E29" s="80">
        <v>-2</v>
      </c>
      <c r="F29" s="57">
        <v>22.79</v>
      </c>
      <c r="G29" s="79">
        <v>3042</v>
      </c>
      <c r="H29" s="8" t="s">
        <v>310</v>
      </c>
      <c r="I29" s="22" t="s">
        <v>4869</v>
      </c>
      <c r="J29" s="73">
        <v>32.729999999999997</v>
      </c>
      <c r="K29" s="73">
        <v>13.62</v>
      </c>
      <c r="L29" s="73">
        <v>21.58</v>
      </c>
      <c r="M29" s="323">
        <v>6.72</v>
      </c>
      <c r="N29" s="318">
        <f t="shared" si="34"/>
        <v>74.649999999999991</v>
      </c>
      <c r="O29" s="81">
        <f>IFERROR(VLOOKUP($G29,'321買'!A:E,3,0),"'沒有資料'")</f>
        <v>34</v>
      </c>
      <c r="P29" s="380">
        <f>IFERROR(VLOOKUP($G29,'321買'!$A:$G,7,0),"'沒有資料'")</f>
        <v>104</v>
      </c>
      <c r="Q29" s="388" t="s">
        <v>6635</v>
      </c>
      <c r="R29" s="297">
        <f>IFERROR(RANK(VLOOKUP($G29,連買!$A:$D,4,0),連買!$D:$D,0),"'沒有資料'")</f>
        <v>193</v>
      </c>
      <c r="S29" s="45">
        <v>7.5</v>
      </c>
      <c r="T29" s="353">
        <f t="shared" si="35"/>
        <v>7.716049382716049E-2</v>
      </c>
      <c r="U29" s="95">
        <v>10.06</v>
      </c>
      <c r="V29" s="36">
        <f>RTD("money.excel",,"3042","Price")</f>
        <v>97.2</v>
      </c>
      <c r="W29" s="66">
        <v>103</v>
      </c>
      <c r="X29" s="15">
        <f t="shared" si="36"/>
        <v>-5.7999999999999972</v>
      </c>
      <c r="Y29" s="3">
        <f t="shared" si="37"/>
        <v>-5.6310679611650455E-2</v>
      </c>
      <c r="Z29" s="413">
        <v>-29.76</v>
      </c>
      <c r="AA29" s="161">
        <v>0</v>
      </c>
      <c r="AB29" s="409">
        <v>2</v>
      </c>
      <c r="AC29" s="259">
        <f t="shared" si="11"/>
        <v>-2</v>
      </c>
      <c r="AD29" s="22" t="s">
        <v>4869</v>
      </c>
      <c r="AE29" s="84">
        <v>44650</v>
      </c>
      <c r="AG29" s="33">
        <f t="shared" si="38"/>
        <v>-44650</v>
      </c>
      <c r="AH29" s="120" t="s">
        <v>1808</v>
      </c>
      <c r="AI29" s="161"/>
      <c r="AJ29" s="409"/>
      <c r="AK29" s="259"/>
    </row>
    <row r="30" spans="1:37">
      <c r="A30" s="130" t="s">
        <v>1698</v>
      </c>
      <c r="B30" s="79">
        <v>71</v>
      </c>
      <c r="C30" s="79">
        <v>73</v>
      </c>
      <c r="D30" s="80">
        <v>-17</v>
      </c>
      <c r="E30" s="79">
        <v>53</v>
      </c>
      <c r="F30" s="57">
        <v>11.08</v>
      </c>
      <c r="G30" s="79">
        <v>3443</v>
      </c>
      <c r="H30" s="204" t="s">
        <v>3254</v>
      </c>
      <c r="I30" s="22" t="s">
        <v>49</v>
      </c>
      <c r="J30" s="323">
        <v>59.11</v>
      </c>
      <c r="K30" s="73">
        <v>45.68</v>
      </c>
      <c r="L30" s="323">
        <v>5.93</v>
      </c>
      <c r="M30" s="323">
        <v>34.840000000000003</v>
      </c>
      <c r="N30" s="73">
        <f t="shared" ref="N30:N37" si="39">J30+K30+L30+M30</f>
        <v>145.56</v>
      </c>
      <c r="O30" s="81">
        <f>IFERROR(VLOOKUP($G30,'321買'!A:E,3,0),"'沒有資料'")</f>
        <v>43</v>
      </c>
      <c r="P30" s="380">
        <f>IFERROR(VLOOKUP($G30,'321買'!$A:$G,7,0),"'沒有資料'")</f>
        <v>98</v>
      </c>
      <c r="Q30" s="388" t="s">
        <v>6635</v>
      </c>
      <c r="R30" s="297">
        <f>IFERROR(RANK(VLOOKUP($G30,連買!$A:$D,4,0),連買!$D:$D,0),"'沒有資料'")</f>
        <v>1604</v>
      </c>
      <c r="S30" s="45">
        <v>7</v>
      </c>
      <c r="T30" s="353">
        <f t="shared" ref="T30:T37" si="40">S30/V30</f>
        <v>1.4644351464435146E-2</v>
      </c>
      <c r="U30" s="57">
        <v>10.9</v>
      </c>
      <c r="V30" s="13">
        <f>RTD("money.excel",,"3443","Price")</f>
        <v>478</v>
      </c>
      <c r="W30" s="66">
        <v>533</v>
      </c>
      <c r="X30" s="15">
        <f t="shared" ref="X30:X37" si="41">V30-W30</f>
        <v>-55</v>
      </c>
      <c r="Y30" s="3">
        <f t="shared" ref="Y30:Y37" si="42">X30/W30</f>
        <v>-0.10318949343339587</v>
      </c>
      <c r="Z30" s="413">
        <v>-21.63</v>
      </c>
      <c r="AA30" s="161">
        <v>1</v>
      </c>
      <c r="AB30" s="409">
        <v>1</v>
      </c>
      <c r="AC30" s="259">
        <f t="shared" si="11"/>
        <v>0</v>
      </c>
      <c r="AD30" s="22" t="s">
        <v>49</v>
      </c>
      <c r="AE30" s="84">
        <v>44650</v>
      </c>
      <c r="AG30" s="33">
        <f t="shared" ref="AG30:AG37" si="43">AF30-AE30</f>
        <v>-44650</v>
      </c>
      <c r="AH30" s="120" t="s">
        <v>3537</v>
      </c>
      <c r="AI30" s="161"/>
      <c r="AJ30" s="409"/>
      <c r="AK30" s="259"/>
    </row>
    <row r="31" spans="1:37">
      <c r="A31" s="146" t="s">
        <v>1785</v>
      </c>
      <c r="B31" s="79">
        <v>7</v>
      </c>
      <c r="C31" s="80">
        <v>-2</v>
      </c>
      <c r="D31" s="80">
        <v>-14</v>
      </c>
      <c r="E31" s="79">
        <v>15</v>
      </c>
      <c r="F31" s="6">
        <v>3.65</v>
      </c>
      <c r="G31" s="80">
        <v>6414</v>
      </c>
      <c r="H31" s="204" t="s">
        <v>1152</v>
      </c>
      <c r="I31" s="22" t="s">
        <v>213</v>
      </c>
      <c r="J31" s="73">
        <v>44.13</v>
      </c>
      <c r="K31" s="323">
        <v>10.58</v>
      </c>
      <c r="L31" s="73">
        <v>16.579999999999998</v>
      </c>
      <c r="M31" s="323">
        <v>32.32</v>
      </c>
      <c r="N31" s="318">
        <f t="shared" si="39"/>
        <v>103.60999999999999</v>
      </c>
      <c r="O31" s="81">
        <f>IFERROR(VLOOKUP($G31,'321買'!A:E,3,0),"'沒有資料'")</f>
        <v>15</v>
      </c>
      <c r="P31" s="380">
        <f>IFERROR(VLOOKUP($G31,'321買'!$A:$G,7,0),"'沒有資料'")</f>
        <v>321</v>
      </c>
      <c r="Q31" s="388" t="s">
        <v>6634</v>
      </c>
      <c r="R31" s="297">
        <f>IFERROR(RANK(VLOOKUP($G31,連買!$A:$D,4,0),連買!$D:$D,0),"'沒有資料'")</f>
        <v>273</v>
      </c>
      <c r="S31" s="45">
        <v>7</v>
      </c>
      <c r="T31" s="353">
        <f t="shared" si="40"/>
        <v>3.4567901234567898E-2</v>
      </c>
      <c r="U31" s="95">
        <v>12.77</v>
      </c>
      <c r="V31" s="36">
        <f>RTD("money.excel",,"6414","Price")</f>
        <v>202.5</v>
      </c>
      <c r="W31" s="66">
        <v>202</v>
      </c>
      <c r="X31" s="15">
        <f t="shared" si="41"/>
        <v>0.5</v>
      </c>
      <c r="Y31" s="3">
        <f t="shared" si="42"/>
        <v>2.4752475247524753E-3</v>
      </c>
      <c r="Z31" s="413">
        <v>-27.72</v>
      </c>
      <c r="AA31" s="161">
        <v>1</v>
      </c>
      <c r="AB31" s="409">
        <v>0</v>
      </c>
      <c r="AC31" s="259">
        <f t="shared" si="11"/>
        <v>1</v>
      </c>
      <c r="AD31" s="22" t="s">
        <v>213</v>
      </c>
      <c r="AE31" s="84">
        <v>44650</v>
      </c>
      <c r="AG31" s="33">
        <f t="shared" si="43"/>
        <v>-44650</v>
      </c>
      <c r="AH31" s="120" t="s">
        <v>1518</v>
      </c>
      <c r="AI31" s="161"/>
      <c r="AJ31" s="409"/>
      <c r="AK31" s="259"/>
    </row>
    <row r="32" spans="1:37">
      <c r="A32" s="130" t="s">
        <v>1760</v>
      </c>
      <c r="B32" s="79">
        <v>2</v>
      </c>
      <c r="C32" s="79">
        <v>0</v>
      </c>
      <c r="D32" s="80">
        <v>-31</v>
      </c>
      <c r="E32" s="80">
        <v>-13</v>
      </c>
      <c r="F32" s="57">
        <v>23.59</v>
      </c>
      <c r="G32" s="80">
        <v>1707</v>
      </c>
      <c r="H32" s="204" t="s">
        <v>311</v>
      </c>
      <c r="I32" s="22" t="s">
        <v>3984</v>
      </c>
      <c r="J32" s="323">
        <v>56.23</v>
      </c>
      <c r="K32" s="73">
        <v>10.88</v>
      </c>
      <c r="L32" s="323">
        <v>1.75</v>
      </c>
      <c r="M32" s="73">
        <v>18.48</v>
      </c>
      <c r="N32" s="318">
        <f t="shared" si="39"/>
        <v>87.34</v>
      </c>
      <c r="O32" s="81">
        <f>IFERROR(VLOOKUP($G32,'321買'!A:E,3,0),"'沒有資料'")</f>
        <v>0</v>
      </c>
      <c r="P32" s="380">
        <f>IFERROR(VLOOKUP($G32,'321買'!$A:$G,7,0),"'沒有資料'")</f>
        <v>911</v>
      </c>
      <c r="Q32" s="388" t="s">
        <v>6634</v>
      </c>
      <c r="R32" s="297">
        <f>IFERROR(RANK(VLOOKUP($G32,連買!$A:$D,4,0),連買!$D:$D,0),"'沒有資料'")</f>
        <v>1739</v>
      </c>
      <c r="S32" s="45">
        <v>6.1</v>
      </c>
      <c r="T32" s="353">
        <f t="shared" si="40"/>
        <v>4.1496598639455783E-2</v>
      </c>
      <c r="U32" s="57">
        <v>8.82</v>
      </c>
      <c r="V32" s="36">
        <f>RTD("money.excel",,"1707","Price")</f>
        <v>147</v>
      </c>
      <c r="W32" s="66">
        <v>148.5</v>
      </c>
      <c r="X32" s="15">
        <f t="shared" si="41"/>
        <v>-1.5</v>
      </c>
      <c r="Y32" s="3">
        <f t="shared" si="42"/>
        <v>-1.0101010101010102E-2</v>
      </c>
      <c r="Z32" s="413">
        <v>-16.899999999999999</v>
      </c>
      <c r="AA32" s="161">
        <v>0</v>
      </c>
      <c r="AB32" s="409">
        <v>1</v>
      </c>
      <c r="AC32" s="259">
        <f t="shared" si="11"/>
        <v>-1</v>
      </c>
      <c r="AD32" s="22" t="s">
        <v>3984</v>
      </c>
      <c r="AE32" s="84">
        <v>44650</v>
      </c>
      <c r="AG32" s="33">
        <f t="shared" si="43"/>
        <v>-44650</v>
      </c>
      <c r="AH32" s="120" t="s">
        <v>3985</v>
      </c>
      <c r="AI32" s="161"/>
      <c r="AJ32" s="409"/>
      <c r="AK32" s="259"/>
    </row>
    <row r="33" spans="1:37">
      <c r="A33" s="146" t="s">
        <v>4609</v>
      </c>
      <c r="B33" s="79">
        <v>69</v>
      </c>
      <c r="C33" s="79">
        <v>88</v>
      </c>
      <c r="D33" s="80">
        <v>-7</v>
      </c>
      <c r="E33" s="79">
        <v>73</v>
      </c>
      <c r="F33" s="6">
        <v>7.15</v>
      </c>
      <c r="G33" s="80">
        <v>6278</v>
      </c>
      <c r="H33" s="8" t="s">
        <v>308</v>
      </c>
      <c r="I33" s="22" t="s">
        <v>4610</v>
      </c>
      <c r="J33" s="323">
        <v>54.03</v>
      </c>
      <c r="K33" s="73">
        <v>18.78</v>
      </c>
      <c r="L33" s="323">
        <v>15.12</v>
      </c>
      <c r="M33" s="73">
        <v>8.68</v>
      </c>
      <c r="N33" s="318">
        <f t="shared" si="39"/>
        <v>96.610000000000014</v>
      </c>
      <c r="O33" s="81">
        <f>IFERROR(VLOOKUP($G33,'321買'!A:E,3,0),"'沒有資料'")</f>
        <v>41</v>
      </c>
      <c r="P33" s="380">
        <f>IFERROR(VLOOKUP($G33,'321買'!$A:$G,7,0),"'沒有資料'")</f>
        <v>83</v>
      </c>
      <c r="Q33" s="388" t="s">
        <v>6633</v>
      </c>
      <c r="R33" s="297">
        <f>IFERROR(RANK(VLOOKUP($G33,連買!$A:$D,4,0),連買!$D:$D,0),"'沒有資料'")</f>
        <v>188</v>
      </c>
      <c r="S33" s="45">
        <v>6</v>
      </c>
      <c r="T33" s="353">
        <f t="shared" si="40"/>
        <v>5.3097345132743362E-2</v>
      </c>
      <c r="U33" s="57">
        <v>12.7</v>
      </c>
      <c r="V33" s="36">
        <f>RTD("money.excel",,"6278","Price")</f>
        <v>113</v>
      </c>
      <c r="W33" s="66">
        <v>121.5</v>
      </c>
      <c r="X33" s="15">
        <f t="shared" si="41"/>
        <v>-8.5</v>
      </c>
      <c r="Y33" s="3">
        <f t="shared" si="42"/>
        <v>-6.9958847736625515E-2</v>
      </c>
      <c r="Z33" s="413">
        <v>-16.670000000000002</v>
      </c>
      <c r="AA33" s="161">
        <v>0</v>
      </c>
      <c r="AB33" s="409">
        <v>3</v>
      </c>
      <c r="AC33" s="259">
        <f t="shared" si="11"/>
        <v>-3</v>
      </c>
      <c r="AD33" s="22" t="s">
        <v>4610</v>
      </c>
      <c r="AE33" s="84">
        <v>44650</v>
      </c>
      <c r="AG33" s="33">
        <f t="shared" si="43"/>
        <v>-44650</v>
      </c>
      <c r="AH33" s="43" t="s">
        <v>4611</v>
      </c>
      <c r="AI33" s="161"/>
      <c r="AJ33" s="409"/>
      <c r="AK33" s="259"/>
    </row>
    <row r="34" spans="1:37">
      <c r="A34" s="130" t="s">
        <v>3212</v>
      </c>
      <c r="B34" s="79">
        <v>38</v>
      </c>
      <c r="C34" s="79">
        <v>29</v>
      </c>
      <c r="D34" s="80">
        <v>-6</v>
      </c>
      <c r="E34" s="79">
        <v>2</v>
      </c>
      <c r="F34" s="57">
        <v>14.93</v>
      </c>
      <c r="G34" s="80">
        <v>5439</v>
      </c>
      <c r="H34" s="8" t="s">
        <v>310</v>
      </c>
      <c r="I34" s="171" t="s">
        <v>80</v>
      </c>
      <c r="J34" s="323">
        <v>29.67</v>
      </c>
      <c r="K34" s="73">
        <v>5.0999999999999996</v>
      </c>
      <c r="L34" s="323">
        <v>12.57</v>
      </c>
      <c r="M34" s="323">
        <v>10.4</v>
      </c>
      <c r="N34" s="318">
        <f t="shared" si="39"/>
        <v>57.74</v>
      </c>
      <c r="O34" s="81">
        <f>IFERROR(VLOOKUP($G34,'321買'!A:E,3,0),"'沒有資料'")</f>
        <v>22</v>
      </c>
      <c r="P34" s="380">
        <f>IFERROR(VLOOKUP($G34,'321買'!$A:$G,7,0),"'沒有資料'")</f>
        <v>215</v>
      </c>
      <c r="Q34" s="388" t="s">
        <v>6634</v>
      </c>
      <c r="R34" s="297">
        <f>IFERROR(RANK(VLOOKUP($G34,連買!$A:$D,4,0),連買!$D:$D,0),"'沒有資料'")</f>
        <v>1608</v>
      </c>
      <c r="S34" s="160">
        <v>3.6</v>
      </c>
      <c r="T34" s="353">
        <f t="shared" si="40"/>
        <v>6.8311195445920306E-2</v>
      </c>
      <c r="U34" s="95">
        <v>4.67</v>
      </c>
      <c r="V34" s="36">
        <f>RTD("money.excel",,"5439","Price")</f>
        <v>52.7</v>
      </c>
      <c r="W34" s="66">
        <v>55.8</v>
      </c>
      <c r="X34" s="15">
        <f t="shared" si="41"/>
        <v>-3.0999999999999943</v>
      </c>
      <c r="Y34" s="3">
        <f t="shared" si="42"/>
        <v>-5.5555555555555455E-2</v>
      </c>
      <c r="Z34" s="413">
        <v>-27.3</v>
      </c>
      <c r="AA34" s="161">
        <v>0</v>
      </c>
      <c r="AB34" s="409">
        <v>0</v>
      </c>
      <c r="AC34" s="259">
        <f t="shared" si="11"/>
        <v>0</v>
      </c>
      <c r="AD34" s="16" t="s">
        <v>80</v>
      </c>
      <c r="AE34" s="84">
        <v>44650</v>
      </c>
      <c r="AG34" s="33">
        <f t="shared" si="43"/>
        <v>-44650</v>
      </c>
      <c r="AH34" s="120" t="s">
        <v>1049</v>
      </c>
      <c r="AI34" s="161"/>
      <c r="AJ34" s="409"/>
      <c r="AK34" s="259"/>
    </row>
    <row r="35" spans="1:37">
      <c r="A35" s="130" t="s">
        <v>3220</v>
      </c>
      <c r="B35" s="79">
        <v>13</v>
      </c>
      <c r="C35" s="80">
        <v>-14</v>
      </c>
      <c r="D35" s="80">
        <v>-23</v>
      </c>
      <c r="E35" s="80">
        <v>-1</v>
      </c>
      <c r="F35" s="57">
        <v>12</v>
      </c>
      <c r="G35" s="79">
        <v>4190</v>
      </c>
      <c r="H35" s="8" t="s">
        <v>311</v>
      </c>
      <c r="I35" s="22" t="s">
        <v>4107</v>
      </c>
      <c r="J35" s="323">
        <v>65.510000000000005</v>
      </c>
      <c r="K35" s="73">
        <v>63.8</v>
      </c>
      <c r="L35" s="73">
        <v>7.86</v>
      </c>
      <c r="M35" s="73">
        <v>43.19</v>
      </c>
      <c r="N35" s="73">
        <f t="shared" si="39"/>
        <v>180.36</v>
      </c>
      <c r="O35" s="81">
        <f>IFERROR(VLOOKUP($G35,'321買'!A:E,3,0),"'沒有資料'")</f>
        <v>0</v>
      </c>
      <c r="P35" s="380">
        <f>IFERROR(VLOOKUP($G35,'321買'!$A:$G,7,0),"'沒有資料'")</f>
        <v>911</v>
      </c>
      <c r="Q35" s="388" t="s">
        <v>6632</v>
      </c>
      <c r="R35" s="297">
        <f>IFERROR(RANK(VLOOKUP($G35,連買!$A:$D,4,0),連買!$D:$D,0),"'沒有資料'")</f>
        <v>950</v>
      </c>
      <c r="S35" s="45">
        <v>3.5</v>
      </c>
      <c r="T35" s="353">
        <f t="shared" si="40"/>
        <v>4.9226441631504927E-2</v>
      </c>
      <c r="U35" s="57">
        <v>4.99</v>
      </c>
      <c r="V35" s="13">
        <f>RTD("money.excel",,"4190","Price")</f>
        <v>71.099999999999994</v>
      </c>
      <c r="W35" s="66">
        <v>70.7</v>
      </c>
      <c r="X35" s="15">
        <f t="shared" si="41"/>
        <v>0.39999999999999147</v>
      </c>
      <c r="Y35" s="3">
        <f t="shared" si="42"/>
        <v>5.6577086280055365E-3</v>
      </c>
      <c r="Z35" s="413">
        <v>-26.05</v>
      </c>
      <c r="AA35" s="161">
        <v>1</v>
      </c>
      <c r="AB35" s="409">
        <v>0</v>
      </c>
      <c r="AC35" s="259">
        <f t="shared" si="11"/>
        <v>1</v>
      </c>
      <c r="AD35" s="22" t="s">
        <v>4107</v>
      </c>
      <c r="AE35" s="84">
        <v>44650</v>
      </c>
      <c r="AG35" s="33">
        <f t="shared" si="43"/>
        <v>-44650</v>
      </c>
      <c r="AH35" s="43" t="s">
        <v>4108</v>
      </c>
      <c r="AI35" s="161"/>
      <c r="AJ35" s="409"/>
      <c r="AK35" s="259"/>
    </row>
    <row r="36" spans="1:37">
      <c r="A36" s="130" t="s">
        <v>1775</v>
      </c>
      <c r="B36" s="79">
        <v>89</v>
      </c>
      <c r="C36" s="80">
        <v>-1</v>
      </c>
      <c r="D36" s="80">
        <v>-16</v>
      </c>
      <c r="E36" s="79">
        <v>44</v>
      </c>
      <c r="F36" s="57">
        <v>10.130000000000001</v>
      </c>
      <c r="G36" s="80">
        <v>3138</v>
      </c>
      <c r="H36" s="8" t="s">
        <v>313</v>
      </c>
      <c r="I36" s="22" t="s">
        <v>2267</v>
      </c>
      <c r="J36" s="323">
        <v>21.09</v>
      </c>
      <c r="K36" s="323">
        <v>0.89</v>
      </c>
      <c r="L36" s="73">
        <v>14.92</v>
      </c>
      <c r="M36" s="73">
        <v>22.41</v>
      </c>
      <c r="N36" s="318">
        <f t="shared" si="39"/>
        <v>59.31</v>
      </c>
      <c r="O36" s="81">
        <f>IFERROR(VLOOKUP($G36,'321買'!A:E,3,0),"'沒有資料'")</f>
        <v>13</v>
      </c>
      <c r="P36" s="380">
        <f>IFERROR(VLOOKUP($G36,'321買'!$A:$G,7,0),"'沒有資料'")</f>
        <v>348</v>
      </c>
      <c r="Q36" s="388" t="s">
        <v>6632</v>
      </c>
      <c r="R36" s="297">
        <f>IFERROR(RANK(VLOOKUP($G36,連買!$A:$D,4,0),連買!$D:$D,0),"'沒有資料'")</f>
        <v>230</v>
      </c>
      <c r="S36" s="45">
        <v>3</v>
      </c>
      <c r="T36" s="353">
        <f t="shared" si="40"/>
        <v>1.7647058823529412E-2</v>
      </c>
      <c r="U36" s="95">
        <v>5.96</v>
      </c>
      <c r="V36" s="36">
        <f>RTD("money.excel",,"3138","Price")</f>
        <v>170</v>
      </c>
      <c r="W36" s="66">
        <v>190</v>
      </c>
      <c r="X36" s="15">
        <f t="shared" si="41"/>
        <v>-20</v>
      </c>
      <c r="Y36" s="3">
        <f t="shared" si="42"/>
        <v>-0.10526315789473684</v>
      </c>
      <c r="Z36" s="413">
        <v>-33.92</v>
      </c>
      <c r="AA36" s="161">
        <v>0</v>
      </c>
      <c r="AB36" s="409">
        <v>0</v>
      </c>
      <c r="AC36" s="259">
        <f t="shared" si="11"/>
        <v>0</v>
      </c>
      <c r="AD36" s="22" t="s">
        <v>2267</v>
      </c>
      <c r="AE36" s="84">
        <v>44650</v>
      </c>
      <c r="AG36" s="33">
        <f t="shared" si="43"/>
        <v>-44650</v>
      </c>
      <c r="AH36" s="120" t="s">
        <v>4681</v>
      </c>
      <c r="AI36" s="161"/>
      <c r="AJ36" s="409"/>
      <c r="AK36" s="259"/>
    </row>
    <row r="37" spans="1:37">
      <c r="A37" s="130" t="s">
        <v>2381</v>
      </c>
      <c r="B37" s="80">
        <v>-19</v>
      </c>
      <c r="C37" s="80">
        <v>-19</v>
      </c>
      <c r="D37" s="80">
        <v>-47</v>
      </c>
      <c r="E37" s="79">
        <v>5</v>
      </c>
      <c r="F37" s="57">
        <v>11.85</v>
      </c>
      <c r="G37" s="79">
        <v>3557</v>
      </c>
      <c r="H37" s="8" t="s">
        <v>235</v>
      </c>
      <c r="I37" s="22" t="s">
        <v>447</v>
      </c>
      <c r="J37" s="323">
        <v>52.1</v>
      </c>
      <c r="K37" s="73">
        <v>18.66</v>
      </c>
      <c r="L37" s="323">
        <v>19.829999999999998</v>
      </c>
      <c r="M37" s="73">
        <v>21.05</v>
      </c>
      <c r="N37" s="318">
        <f t="shared" si="39"/>
        <v>111.64</v>
      </c>
      <c r="O37" s="81">
        <f>IFERROR(VLOOKUP($G37,'321買'!A:E,3,0),"'沒有資料'")</f>
        <v>0</v>
      </c>
      <c r="P37" s="380">
        <f>IFERROR(VLOOKUP($G37,'321買'!$A:$G,7,0),"'沒有資料'")</f>
        <v>911</v>
      </c>
      <c r="Q37" s="388" t="s">
        <v>6634</v>
      </c>
      <c r="R37" s="297">
        <f>IFERROR(RANK(VLOOKUP($G37,連買!$A:$D,4,0),連買!$D:$D,0),"'沒有資料'")</f>
        <v>192</v>
      </c>
      <c r="S37" s="45">
        <v>3</v>
      </c>
      <c r="T37" s="353">
        <f t="shared" si="40"/>
        <v>4.1436464088397788E-2</v>
      </c>
      <c r="U37" s="57">
        <v>7.88</v>
      </c>
      <c r="V37" s="36">
        <f>RTD("money.excel",,"3557","Price")</f>
        <v>72.400000000000006</v>
      </c>
      <c r="W37" s="66">
        <v>78.400000000000006</v>
      </c>
      <c r="X37" s="15">
        <f t="shared" si="41"/>
        <v>-6</v>
      </c>
      <c r="Y37" s="3">
        <f t="shared" si="42"/>
        <v>-7.6530612244897947E-2</v>
      </c>
      <c r="Z37" s="413">
        <v>-17.37</v>
      </c>
      <c r="AA37" s="161">
        <v>0</v>
      </c>
      <c r="AB37" s="409">
        <v>0</v>
      </c>
      <c r="AC37" s="259">
        <f t="shared" si="11"/>
        <v>0</v>
      </c>
      <c r="AD37" s="22" t="s">
        <v>447</v>
      </c>
      <c r="AE37" s="84">
        <v>44650</v>
      </c>
      <c r="AG37" s="33">
        <f t="shared" si="43"/>
        <v>-44650</v>
      </c>
      <c r="AH37" s="43" t="s">
        <v>3637</v>
      </c>
      <c r="AI37" s="161"/>
      <c r="AJ37" s="409"/>
      <c r="AK37" s="259"/>
    </row>
    <row r="38" spans="1:37">
      <c r="A38" s="146" t="s">
        <v>1825</v>
      </c>
      <c r="B38" s="93">
        <v>1653</v>
      </c>
      <c r="C38" s="79">
        <v>972</v>
      </c>
      <c r="D38" s="80">
        <v>-43</v>
      </c>
      <c r="E38" s="79">
        <v>13</v>
      </c>
      <c r="F38" s="6">
        <v>6.27</v>
      </c>
      <c r="G38" s="80">
        <v>2465</v>
      </c>
      <c r="H38" s="204" t="s">
        <v>1152</v>
      </c>
      <c r="I38" s="22" t="s">
        <v>4407</v>
      </c>
      <c r="J38" s="323">
        <v>2.56</v>
      </c>
      <c r="K38" s="73">
        <v>3.44</v>
      </c>
      <c r="L38" s="73">
        <v>34.08</v>
      </c>
      <c r="M38" s="323">
        <v>1.53</v>
      </c>
      <c r="N38" s="318">
        <f t="shared" ref="N38" si="44">J38+K38+L38+M38</f>
        <v>41.61</v>
      </c>
      <c r="O38" s="81">
        <f>IFERROR(VLOOKUP($G38,'321買'!A:E,3,0),"'沒有資料'")</f>
        <v>36</v>
      </c>
      <c r="P38" s="380">
        <f>IFERROR(VLOOKUP($G38,'321買'!$A:$G,7,0),"'沒有資料'")</f>
        <v>122</v>
      </c>
      <c r="Q38" s="245" t="s">
        <v>3816</v>
      </c>
      <c r="R38" s="297">
        <f>IFERROR(RANK(VLOOKUP($G38,連買!$A:$D,4,0),連買!$D:$D,0),"'沒有資料'")</f>
        <v>299</v>
      </c>
      <c r="S38" s="34">
        <v>2</v>
      </c>
      <c r="T38" s="353">
        <f t="shared" ref="T38" si="45">S38/V38</f>
        <v>3.5460992907801421E-2</v>
      </c>
      <c r="U38" s="95">
        <v>5.46</v>
      </c>
      <c r="V38" s="36">
        <f>RTD("money.excel",,"2465","Price")</f>
        <v>56.4</v>
      </c>
      <c r="W38" s="66">
        <v>70.7</v>
      </c>
      <c r="X38" s="15">
        <f t="shared" ref="X38" si="46">V38-W38</f>
        <v>-14.300000000000004</v>
      </c>
      <c r="Y38" s="3">
        <f t="shared" ref="Y38" si="47">X38/W38</f>
        <v>-0.20226308345120231</v>
      </c>
      <c r="Z38" s="413">
        <v>-28.88</v>
      </c>
      <c r="AA38" s="161">
        <v>0</v>
      </c>
      <c r="AB38" s="409">
        <v>2</v>
      </c>
      <c r="AC38" s="259">
        <f t="shared" si="11"/>
        <v>-2</v>
      </c>
      <c r="AD38" s="22" t="s">
        <v>4407</v>
      </c>
      <c r="AE38" s="84">
        <v>44649</v>
      </c>
      <c r="AG38" s="33">
        <f t="shared" ref="AG38" si="48">AF38-AE38</f>
        <v>-44649</v>
      </c>
      <c r="AH38" s="43" t="s">
        <v>2903</v>
      </c>
      <c r="AI38" s="161"/>
      <c r="AJ38" s="409"/>
      <c r="AK38" s="259"/>
    </row>
    <row r="39" spans="1:37">
      <c r="A39" s="130" t="s">
        <v>6575</v>
      </c>
      <c r="B39" s="79">
        <v>37</v>
      </c>
      <c r="C39" s="79">
        <v>19</v>
      </c>
      <c r="D39" s="79">
        <v>2</v>
      </c>
      <c r="E39" s="79">
        <v>77</v>
      </c>
      <c r="F39" s="57">
        <v>11.85</v>
      </c>
      <c r="G39" s="79">
        <v>3583</v>
      </c>
      <c r="H39" s="8" t="s">
        <v>3254</v>
      </c>
      <c r="I39" s="22" t="s">
        <v>7</v>
      </c>
      <c r="J39" s="323">
        <v>51.22</v>
      </c>
      <c r="K39" s="323">
        <v>7.79</v>
      </c>
      <c r="L39" s="73">
        <v>23.99</v>
      </c>
      <c r="M39" s="323">
        <v>14.77</v>
      </c>
      <c r="N39" s="318">
        <f t="shared" ref="N39" si="49">J39+K39+L39+M39</f>
        <v>97.77</v>
      </c>
      <c r="O39" s="81">
        <f>IFERROR(VLOOKUP($G39,'321買'!A:E,3,0),"'沒有資料'")</f>
        <v>23</v>
      </c>
      <c r="P39" s="380">
        <f>IFERROR(VLOOKUP($G39,'321買'!$A:$G,7,0),"'沒有資料'")</f>
        <v>207</v>
      </c>
      <c r="Q39" s="245" t="s">
        <v>5063</v>
      </c>
      <c r="R39" s="297">
        <f>IFERROR(RANK(VLOOKUP($G39,連買!$A:$D,4,0),連買!$D:$D,0),"'沒有資料'")</f>
        <v>607</v>
      </c>
      <c r="S39" s="34">
        <v>2.5</v>
      </c>
      <c r="T39" s="353">
        <f t="shared" ref="T39" si="50">S39/V39</f>
        <v>2.9002320185614848E-2</v>
      </c>
      <c r="U39" s="57">
        <v>5.23</v>
      </c>
      <c r="V39" s="36">
        <f>RTD("money.excel",,"3583","Price")</f>
        <v>86.2</v>
      </c>
      <c r="W39" s="66">
        <v>92.9</v>
      </c>
      <c r="X39" s="15">
        <f t="shared" ref="X39" si="51">V39-W39</f>
        <v>-6.7000000000000028</v>
      </c>
      <c r="Y39" s="3">
        <f t="shared" ref="Y39" si="52">X39/W39</f>
        <v>-7.2120559741657722E-2</v>
      </c>
      <c r="Z39" s="413">
        <v>-18.52</v>
      </c>
      <c r="AA39" s="161">
        <v>0</v>
      </c>
      <c r="AB39" s="409">
        <v>0</v>
      </c>
      <c r="AC39" s="259">
        <f t="shared" si="11"/>
        <v>0</v>
      </c>
      <c r="AD39" s="22" t="s">
        <v>7</v>
      </c>
      <c r="AE39" s="84">
        <v>44644</v>
      </c>
      <c r="AG39" s="33">
        <f t="shared" ref="AG39" si="53">AF39-AE39</f>
        <v>-44644</v>
      </c>
      <c r="AH39" s="120" t="s">
        <v>2322</v>
      </c>
      <c r="AI39" s="161"/>
      <c r="AJ39" s="409"/>
      <c r="AK39" s="259"/>
    </row>
    <row r="40" spans="1:37">
      <c r="A40" s="130" t="s">
        <v>3641</v>
      </c>
      <c r="B40" s="79">
        <v>364</v>
      </c>
      <c r="C40" s="79">
        <v>408</v>
      </c>
      <c r="D40" s="80">
        <v>-7</v>
      </c>
      <c r="E40" s="79">
        <v>9</v>
      </c>
      <c r="F40" s="57">
        <v>24.64</v>
      </c>
      <c r="G40" s="79">
        <v>3006</v>
      </c>
      <c r="H40" s="8" t="s">
        <v>3254</v>
      </c>
      <c r="I40" s="22" t="s">
        <v>95</v>
      </c>
      <c r="J40" s="73">
        <v>44.45</v>
      </c>
      <c r="K40" s="73">
        <v>28.39</v>
      </c>
      <c r="L40" s="323">
        <v>53.78</v>
      </c>
      <c r="M40" s="323">
        <v>5.75</v>
      </c>
      <c r="N40" s="73">
        <f t="shared" ref="N40" si="54">J40+K40+L40+M40</f>
        <v>132.37</v>
      </c>
      <c r="O40" s="81">
        <f>IFERROR(VLOOKUP($G40,'321買'!A:E,3,0),"'沒有資料'")</f>
        <v>78</v>
      </c>
      <c r="P40" s="380">
        <f>IFERROR(VLOOKUP($G40,'321買'!$A:$G,7,0),"'沒有資料'")</f>
        <v>13</v>
      </c>
      <c r="Q40" s="247" t="s">
        <v>5101</v>
      </c>
      <c r="R40" s="297">
        <f>IFERROR(RANK(VLOOKUP($G40,連買!$A:$D,4,0),連買!$D:$D,0),"'沒有資料'")</f>
        <v>74</v>
      </c>
      <c r="S40" s="45">
        <v>8</v>
      </c>
      <c r="T40" s="353">
        <f t="shared" ref="T40" si="55">S40/V40</f>
        <v>5.9925093632958802E-2</v>
      </c>
      <c r="U40" s="95">
        <v>17.760000000000002</v>
      </c>
      <c r="V40" s="36">
        <f>RTD("money.excel",,"3006","Price")</f>
        <v>133.5</v>
      </c>
      <c r="W40" s="66">
        <v>181</v>
      </c>
      <c r="X40" s="15">
        <f t="shared" ref="X40" si="56">V40-W40</f>
        <v>-47.5</v>
      </c>
      <c r="Y40" s="3">
        <f t="shared" ref="Y40" si="57">X40/W40</f>
        <v>-0.26243093922651933</v>
      </c>
      <c r="Z40" s="413">
        <v>-17.14</v>
      </c>
      <c r="AA40" s="161">
        <v>1</v>
      </c>
      <c r="AB40" s="409">
        <v>3</v>
      </c>
      <c r="AC40" s="259">
        <f t="shared" si="11"/>
        <v>-2</v>
      </c>
      <c r="AD40" s="22" t="s">
        <v>95</v>
      </c>
      <c r="AE40" s="84">
        <v>44641</v>
      </c>
      <c r="AG40" s="33">
        <f t="shared" ref="AG40" si="58">AF40-AE40</f>
        <v>-44641</v>
      </c>
      <c r="AH40" s="120" t="s">
        <v>2289</v>
      </c>
      <c r="AI40" s="161"/>
      <c r="AJ40" s="409"/>
      <c r="AK40" s="259"/>
    </row>
    <row r="41" spans="1:37">
      <c r="A41" s="146" t="s">
        <v>1725</v>
      </c>
      <c r="B41" s="79">
        <v>213</v>
      </c>
      <c r="C41" s="79">
        <v>106</v>
      </c>
      <c r="D41" s="80">
        <v>-11</v>
      </c>
      <c r="E41" s="79">
        <v>26</v>
      </c>
      <c r="F41" s="6">
        <v>9.9600000000000009</v>
      </c>
      <c r="G41" s="79">
        <v>2612</v>
      </c>
      <c r="H41" s="8" t="s">
        <v>304</v>
      </c>
      <c r="I41" s="22" t="s">
        <v>873</v>
      </c>
      <c r="J41" s="73">
        <v>64.7</v>
      </c>
      <c r="K41" s="73">
        <v>3.38</v>
      </c>
      <c r="L41" s="73">
        <v>13.2</v>
      </c>
      <c r="M41" s="73">
        <v>22.74</v>
      </c>
      <c r="N41" s="318">
        <f t="shared" ref="N41:N49" si="59">J41+K41+L41+M41</f>
        <v>104.02</v>
      </c>
      <c r="O41" s="81">
        <f>IFERROR(VLOOKUP($G41,'321買'!A:E,3,0),"'沒有資料'")</f>
        <v>21</v>
      </c>
      <c r="P41" s="380">
        <f>IFERROR(VLOOKUP($G41,'321買'!$A:$G,7,0),"'沒有資料'")</f>
        <v>241</v>
      </c>
      <c r="Q41" s="245" t="s">
        <v>5063</v>
      </c>
      <c r="R41" s="297">
        <f>IFERROR(RANK(VLOOKUP($G41,連買!$A:$D,4,0),連買!$D:$D,0),"'沒有資料'")</f>
        <v>281</v>
      </c>
      <c r="S41" s="34">
        <v>2.68</v>
      </c>
      <c r="T41" s="353">
        <f t="shared" ref="T41:T49" si="60">S41/V41</f>
        <v>5.1637764932562627E-2</v>
      </c>
      <c r="U41" s="57">
        <v>5.27</v>
      </c>
      <c r="V41" s="36">
        <f>RTD("money.excel",,"2612","Price")</f>
        <v>51.9</v>
      </c>
      <c r="W41" s="66">
        <v>58.6</v>
      </c>
      <c r="X41" s="15">
        <f t="shared" ref="X41:X50" si="61">V41-W41</f>
        <v>-6.7000000000000028</v>
      </c>
      <c r="Y41" s="3">
        <f t="shared" ref="Y41:Y50" si="62">X41/W41</f>
        <v>-0.11433447098976114</v>
      </c>
      <c r="Z41" s="413">
        <v>-38.299999999999997</v>
      </c>
      <c r="AA41" s="161">
        <v>0</v>
      </c>
      <c r="AB41" s="409">
        <v>0</v>
      </c>
      <c r="AC41" s="259">
        <f t="shared" si="11"/>
        <v>0</v>
      </c>
      <c r="AD41" s="22" t="s">
        <v>873</v>
      </c>
      <c r="AE41" s="84">
        <v>44631</v>
      </c>
      <c r="AG41" s="33">
        <f t="shared" ref="AG41:AG49" si="63">AF41-AE41</f>
        <v>-44631</v>
      </c>
      <c r="AH41" s="43" t="s">
        <v>2262</v>
      </c>
      <c r="AI41" s="161"/>
      <c r="AJ41" s="409"/>
      <c r="AK41" s="259"/>
    </row>
    <row r="42" spans="1:37">
      <c r="A42" s="130" t="s">
        <v>2069</v>
      </c>
      <c r="B42" s="79">
        <v>146</v>
      </c>
      <c r="C42" s="79">
        <v>356</v>
      </c>
      <c r="D42" s="80">
        <v>-6</v>
      </c>
      <c r="E42" s="79">
        <v>47</v>
      </c>
      <c r="F42" s="57">
        <v>35.82</v>
      </c>
      <c r="G42" s="80">
        <v>6531</v>
      </c>
      <c r="H42" s="8" t="s">
        <v>3254</v>
      </c>
      <c r="I42" s="22" t="s">
        <v>356</v>
      </c>
      <c r="J42" s="323">
        <v>49.15</v>
      </c>
      <c r="K42" s="73">
        <v>17.8</v>
      </c>
      <c r="L42" s="323">
        <v>36.11</v>
      </c>
      <c r="M42" s="323">
        <v>18.329999999999998</v>
      </c>
      <c r="N42" s="318">
        <f t="shared" si="59"/>
        <v>121.39</v>
      </c>
      <c r="O42" s="81">
        <f>IFERROR(VLOOKUP($G42,'321買'!A:E,3,0),"'沒有資料'")</f>
        <v>54</v>
      </c>
      <c r="P42" s="380">
        <f>IFERROR(VLOOKUP($G42,'321買'!$A:$G,7,0),"'沒有資料'")</f>
        <v>58</v>
      </c>
      <c r="Q42" s="245" t="s">
        <v>3816</v>
      </c>
      <c r="R42" s="297">
        <f>IFERROR(RANK(VLOOKUP($G42,連買!$A:$D,4,0),連買!$D:$D,0),"'沒有資料'")</f>
        <v>23</v>
      </c>
      <c r="S42" s="45">
        <v>6</v>
      </c>
      <c r="T42" s="353">
        <f t="shared" si="60"/>
        <v>2.1314387211367674E-2</v>
      </c>
      <c r="U42" s="95">
        <v>10.94</v>
      </c>
      <c r="V42" s="36">
        <f>RTD("money.excel",,"6531","Price")</f>
        <v>281.5</v>
      </c>
      <c r="W42" s="66">
        <v>367.5</v>
      </c>
      <c r="X42" s="15">
        <f t="shared" si="61"/>
        <v>-86</v>
      </c>
      <c r="Y42" s="3">
        <f t="shared" si="62"/>
        <v>-0.23401360544217686</v>
      </c>
      <c r="Z42" s="413">
        <v>-60.25</v>
      </c>
      <c r="AA42" s="161">
        <v>2</v>
      </c>
      <c r="AB42" s="409">
        <v>2</v>
      </c>
      <c r="AC42" s="259">
        <f t="shared" si="11"/>
        <v>0</v>
      </c>
      <c r="AD42" s="22" t="s">
        <v>356</v>
      </c>
      <c r="AE42" s="84">
        <v>44627</v>
      </c>
      <c r="AG42" s="33">
        <f t="shared" si="63"/>
        <v>-44627</v>
      </c>
      <c r="AH42" s="43" t="s">
        <v>2289</v>
      </c>
      <c r="AI42" s="161"/>
      <c r="AJ42" s="409"/>
      <c r="AK42" s="259"/>
    </row>
    <row r="43" spans="1:37">
      <c r="A43" s="130" t="s">
        <v>2469</v>
      </c>
      <c r="B43" s="79">
        <v>141</v>
      </c>
      <c r="C43" s="79">
        <v>145</v>
      </c>
      <c r="D43" s="79">
        <v>3</v>
      </c>
      <c r="E43" s="79">
        <v>59</v>
      </c>
      <c r="F43" s="57">
        <v>34.74</v>
      </c>
      <c r="G43" s="80">
        <v>3169</v>
      </c>
      <c r="H43" s="149" t="s">
        <v>3254</v>
      </c>
      <c r="I43" s="16" t="s">
        <v>361</v>
      </c>
      <c r="J43" s="73">
        <v>28.47</v>
      </c>
      <c r="K43" s="73">
        <v>10.57</v>
      </c>
      <c r="L43" s="323">
        <v>52.61</v>
      </c>
      <c r="M43" s="323">
        <v>24.21</v>
      </c>
      <c r="N43" s="318">
        <f t="shared" si="59"/>
        <v>115.86000000000001</v>
      </c>
      <c r="O43" s="81">
        <f>IFERROR(VLOOKUP($G43,'321買'!A:E,3,0),"'沒有資料'")</f>
        <v>85</v>
      </c>
      <c r="P43" s="380">
        <f>IFERROR(VLOOKUP($G43,'321買'!$A:$G,7,0),"'沒有資料'")</f>
        <v>12</v>
      </c>
      <c r="Q43" s="247" t="s">
        <v>5101</v>
      </c>
      <c r="R43" s="297">
        <f>IFERROR(RANK(VLOOKUP($G43,連買!$A:$D,4,0),連買!$D:$D,0),"'沒有資料'")</f>
        <v>1620</v>
      </c>
      <c r="S43" s="45">
        <v>5</v>
      </c>
      <c r="T43" s="353">
        <f t="shared" si="60"/>
        <v>2.7472527472527472E-2</v>
      </c>
      <c r="U43" s="95">
        <v>5.5</v>
      </c>
      <c r="V43" s="36">
        <f>RTD("money.excel",,"3169","Price")</f>
        <v>182</v>
      </c>
      <c r="W43" s="66">
        <v>230</v>
      </c>
      <c r="X43" s="15">
        <f t="shared" si="61"/>
        <v>-48</v>
      </c>
      <c r="Y43" s="3">
        <f t="shared" si="62"/>
        <v>-0.20869565217391303</v>
      </c>
      <c r="Z43" s="413">
        <v>-21.7</v>
      </c>
      <c r="AA43" s="161">
        <v>0</v>
      </c>
      <c r="AB43" s="409">
        <v>1</v>
      </c>
      <c r="AC43" s="259">
        <f t="shared" si="11"/>
        <v>-1</v>
      </c>
      <c r="AD43" s="16" t="s">
        <v>361</v>
      </c>
      <c r="AE43" s="84">
        <v>44627</v>
      </c>
      <c r="AG43" s="33">
        <f t="shared" si="63"/>
        <v>-44627</v>
      </c>
      <c r="AH43" s="43" t="s">
        <v>3078</v>
      </c>
      <c r="AI43" s="161"/>
      <c r="AJ43" s="409"/>
      <c r="AK43" s="259"/>
    </row>
    <row r="44" spans="1:37">
      <c r="A44" s="130" t="s">
        <v>2412</v>
      </c>
      <c r="B44" s="79">
        <v>691</v>
      </c>
      <c r="C44" s="79">
        <v>515</v>
      </c>
      <c r="D44" s="79">
        <v>16</v>
      </c>
      <c r="E44" s="79">
        <v>81</v>
      </c>
      <c r="F44" s="57">
        <v>11.81</v>
      </c>
      <c r="G44" s="79">
        <v>2636</v>
      </c>
      <c r="H44" s="8" t="s">
        <v>304</v>
      </c>
      <c r="I44" s="22" t="s">
        <v>2038</v>
      </c>
      <c r="J44" s="73">
        <v>36.18</v>
      </c>
      <c r="K44" s="73">
        <v>13.51</v>
      </c>
      <c r="L44" s="73">
        <v>31.72</v>
      </c>
      <c r="M44" s="323">
        <v>19.309999999999999</v>
      </c>
      <c r="N44" s="318">
        <f t="shared" si="59"/>
        <v>100.72</v>
      </c>
      <c r="O44" s="81">
        <f>IFERROR(VLOOKUP($G44,'321買'!A:E,3,0),"'沒有資料'")</f>
        <v>66</v>
      </c>
      <c r="P44" s="380">
        <f>IFERROR(VLOOKUP($G44,'321買'!$A:$G,7,0),"'沒有資料'")</f>
        <v>42</v>
      </c>
      <c r="Q44" s="245" t="s">
        <v>3817</v>
      </c>
      <c r="R44" s="297">
        <f>IFERROR(RANK(VLOOKUP($G44,連買!$A:$D,4,0),連買!$D:$D,0),"'沒有資料'")</f>
        <v>76</v>
      </c>
      <c r="S44" s="45">
        <v>3.02</v>
      </c>
      <c r="T44" s="353">
        <f t="shared" si="60"/>
        <v>2.4754098360655737E-2</v>
      </c>
      <c r="U44" s="95">
        <v>24.5</v>
      </c>
      <c r="V44" s="36">
        <f>RTD("money.excel",,"2636","Price")</f>
        <v>122</v>
      </c>
      <c r="W44" s="66">
        <v>152</v>
      </c>
      <c r="X44" s="15">
        <f t="shared" si="61"/>
        <v>-30</v>
      </c>
      <c r="Y44" s="3">
        <f t="shared" si="62"/>
        <v>-0.19736842105263158</v>
      </c>
      <c r="Z44" s="413">
        <v>-53.27</v>
      </c>
      <c r="AA44" s="161">
        <v>0</v>
      </c>
      <c r="AB44" s="409">
        <v>0</v>
      </c>
      <c r="AC44" s="259">
        <f t="shared" si="11"/>
        <v>0</v>
      </c>
      <c r="AD44" s="22" t="s">
        <v>2038</v>
      </c>
      <c r="AE44" s="84">
        <v>44624</v>
      </c>
      <c r="AG44" s="33">
        <f t="shared" si="63"/>
        <v>-44624</v>
      </c>
      <c r="AH44" s="43" t="s">
        <v>2152</v>
      </c>
      <c r="AI44" s="161"/>
      <c r="AJ44" s="409"/>
      <c r="AK44" s="259"/>
    </row>
    <row r="45" spans="1:37">
      <c r="A45" s="146" t="s">
        <v>1694</v>
      </c>
      <c r="B45" s="79">
        <v>116</v>
      </c>
      <c r="C45" s="79">
        <v>35</v>
      </c>
      <c r="D45" s="79">
        <v>1</v>
      </c>
      <c r="E45" s="79">
        <v>13</v>
      </c>
      <c r="F45" s="6">
        <v>7.23</v>
      </c>
      <c r="G45" s="79">
        <v>3260</v>
      </c>
      <c r="H45" s="195" t="s">
        <v>3254</v>
      </c>
      <c r="I45" s="16" t="s">
        <v>215</v>
      </c>
      <c r="J45" s="73">
        <v>20.6</v>
      </c>
      <c r="K45" s="73">
        <v>9.59</v>
      </c>
      <c r="L45" s="73">
        <v>29.86</v>
      </c>
      <c r="M45" s="73">
        <v>5.58</v>
      </c>
      <c r="N45" s="318">
        <f t="shared" si="59"/>
        <v>65.63</v>
      </c>
      <c r="O45" s="81">
        <f>IFERROR(VLOOKUP($G45,'321買'!A:E,3,0),"'沒有資料'")</f>
        <v>42</v>
      </c>
      <c r="P45" s="380">
        <f>IFERROR(VLOOKUP($G45,'321買'!$A:$G,7,0),"'沒有資料'")</f>
        <v>63</v>
      </c>
      <c r="Q45" s="247" t="s">
        <v>5101</v>
      </c>
      <c r="R45" s="297">
        <f>IFERROR(RANK(VLOOKUP($G45,連買!$A:$D,4,0),連買!$D:$D,0),"'沒有資料'")</f>
        <v>175</v>
      </c>
      <c r="S45" s="45">
        <v>3.18</v>
      </c>
      <c r="T45" s="353">
        <f t="shared" si="60"/>
        <v>4.2684563758389263E-2</v>
      </c>
      <c r="U45" s="95">
        <v>10.55</v>
      </c>
      <c r="V45" s="36">
        <f>RTD("money.excel",,"3260","Price")</f>
        <v>74.5</v>
      </c>
      <c r="W45" s="66">
        <v>99.4</v>
      </c>
      <c r="X45" s="15">
        <f t="shared" si="61"/>
        <v>-24.900000000000006</v>
      </c>
      <c r="Y45" s="3">
        <f t="shared" si="62"/>
        <v>-0.25050301810865194</v>
      </c>
      <c r="Z45" s="413">
        <v>-26.21</v>
      </c>
      <c r="AA45" s="161">
        <v>0</v>
      </c>
      <c r="AB45" s="409">
        <v>3</v>
      </c>
      <c r="AC45" s="259">
        <f t="shared" si="11"/>
        <v>-3</v>
      </c>
      <c r="AD45" s="16" t="s">
        <v>215</v>
      </c>
      <c r="AE45" s="84">
        <v>44623</v>
      </c>
      <c r="AG45" s="33">
        <f t="shared" si="63"/>
        <v>-44623</v>
      </c>
      <c r="AH45" s="120" t="s">
        <v>1420</v>
      </c>
      <c r="AI45" s="161"/>
      <c r="AJ45" s="409"/>
      <c r="AK45" s="259"/>
    </row>
    <row r="46" spans="1:37">
      <c r="A46" s="146" t="s">
        <v>1694</v>
      </c>
      <c r="B46" s="79">
        <v>116</v>
      </c>
      <c r="C46" s="79">
        <v>35</v>
      </c>
      <c r="D46" s="79">
        <v>1</v>
      </c>
      <c r="E46" s="79">
        <v>13</v>
      </c>
      <c r="F46" s="6">
        <v>7.23</v>
      </c>
      <c r="G46" s="79">
        <v>3260</v>
      </c>
      <c r="H46" s="149" t="s">
        <v>3254</v>
      </c>
      <c r="I46" s="16" t="s">
        <v>215</v>
      </c>
      <c r="J46" s="73">
        <v>16.920000000000002</v>
      </c>
      <c r="K46" s="73">
        <v>9.1999999999999993</v>
      </c>
      <c r="L46" s="73">
        <v>30.38</v>
      </c>
      <c r="M46" s="73">
        <v>5.58</v>
      </c>
      <c r="N46" s="318">
        <f t="shared" si="59"/>
        <v>62.08</v>
      </c>
      <c r="O46" s="81">
        <f>IFERROR(VLOOKUP($G46,'321買'!A:E,3,0),"'沒有資料'")</f>
        <v>42</v>
      </c>
      <c r="P46" s="380">
        <f>IFERROR(VLOOKUP($G46,'321買'!$A:$G,7,0),"'沒有資料'")</f>
        <v>63</v>
      </c>
      <c r="Q46" s="247" t="s">
        <v>5101</v>
      </c>
      <c r="R46" s="297">
        <f>IFERROR(RANK(VLOOKUP($G46,連買!$A:$D,4,0),連買!$D:$D,0),"'沒有資料'")</f>
        <v>175</v>
      </c>
      <c r="S46" s="45">
        <v>3.18</v>
      </c>
      <c r="T46" s="353">
        <f t="shared" si="60"/>
        <v>4.2684563758389263E-2</v>
      </c>
      <c r="U46" s="95">
        <v>10.55</v>
      </c>
      <c r="V46" s="36">
        <f>RTD("money.excel",,"3260","Price")</f>
        <v>74.5</v>
      </c>
      <c r="W46" s="66">
        <v>100.5</v>
      </c>
      <c r="X46" s="15">
        <f t="shared" si="61"/>
        <v>-26</v>
      </c>
      <c r="Y46" s="3">
        <f t="shared" si="62"/>
        <v>-0.25870646766169153</v>
      </c>
      <c r="Z46" s="413">
        <v>-25</v>
      </c>
      <c r="AA46" s="161">
        <v>0</v>
      </c>
      <c r="AB46" s="409">
        <v>3</v>
      </c>
      <c r="AC46" s="259">
        <f t="shared" si="11"/>
        <v>-3</v>
      </c>
      <c r="AD46" s="16" t="s">
        <v>215</v>
      </c>
      <c r="AE46" s="84">
        <v>44613</v>
      </c>
      <c r="AG46" s="33">
        <f t="shared" si="63"/>
        <v>-44613</v>
      </c>
      <c r="AH46" s="120" t="s">
        <v>1420</v>
      </c>
      <c r="AI46" s="161"/>
      <c r="AJ46" s="409"/>
      <c r="AK46" s="259"/>
    </row>
    <row r="47" spans="1:37">
      <c r="A47" s="130" t="s">
        <v>1507</v>
      </c>
      <c r="B47" s="79">
        <v>75</v>
      </c>
      <c r="C47" s="79">
        <v>77</v>
      </c>
      <c r="D47" s="79">
        <v>3</v>
      </c>
      <c r="E47" s="79">
        <v>24</v>
      </c>
      <c r="F47" s="57">
        <v>24.43</v>
      </c>
      <c r="G47" s="80">
        <v>6411</v>
      </c>
      <c r="H47" s="149" t="s">
        <v>3254</v>
      </c>
      <c r="I47" s="16" t="s">
        <v>253</v>
      </c>
      <c r="J47" s="73">
        <v>26.05</v>
      </c>
      <c r="K47" s="323">
        <v>17.43</v>
      </c>
      <c r="L47" s="73">
        <v>35.590000000000003</v>
      </c>
      <c r="M47" s="323">
        <v>13.98</v>
      </c>
      <c r="N47" s="318">
        <f t="shared" si="59"/>
        <v>93.050000000000011</v>
      </c>
      <c r="O47" s="81">
        <f>IFERROR(VLOOKUP($G47,'321買'!A:E,3,0),"'沒有資料'")</f>
        <v>102</v>
      </c>
      <c r="P47" s="380">
        <f>IFERROR(VLOOKUP($G47,'321買'!$A:$G,7,0),"'沒有資料'")</f>
        <v>6</v>
      </c>
      <c r="Q47" s="247" t="s">
        <v>5101</v>
      </c>
      <c r="R47" s="297">
        <f>IFERROR(RANK(VLOOKUP($G47,連買!$A:$D,4,0),連買!$D:$D,0),"'沒有資料'")</f>
        <v>1695</v>
      </c>
      <c r="S47" s="45">
        <v>5.03</v>
      </c>
      <c r="T47" s="353">
        <f t="shared" si="60"/>
        <v>3.505226480836237E-2</v>
      </c>
      <c r="U47" s="95">
        <v>8.82</v>
      </c>
      <c r="V47" s="36">
        <f>RTD("money.excel",,"6411","Price")</f>
        <v>143.5</v>
      </c>
      <c r="W47" s="66">
        <v>217</v>
      </c>
      <c r="X47" s="15">
        <f t="shared" si="61"/>
        <v>-73.5</v>
      </c>
      <c r="Y47" s="3">
        <f t="shared" si="62"/>
        <v>-0.33870967741935482</v>
      </c>
      <c r="Z47" s="413">
        <v>-28.97</v>
      </c>
      <c r="AA47" s="161">
        <v>1</v>
      </c>
      <c r="AB47" s="409">
        <v>2</v>
      </c>
      <c r="AC47" s="259">
        <f t="shared" si="11"/>
        <v>-1</v>
      </c>
      <c r="AD47" s="16" t="s">
        <v>253</v>
      </c>
      <c r="AE47" s="84">
        <v>44602</v>
      </c>
      <c r="AG47" s="33">
        <f t="shared" si="63"/>
        <v>-44602</v>
      </c>
      <c r="AH47" s="43" t="s">
        <v>2312</v>
      </c>
      <c r="AI47" s="161"/>
      <c r="AJ47" s="409"/>
      <c r="AK47" s="259"/>
    </row>
    <row r="48" spans="1:37">
      <c r="A48" s="146">
        <v>29.4</v>
      </c>
      <c r="B48" s="79">
        <v>32</v>
      </c>
      <c r="C48" s="79">
        <v>18</v>
      </c>
      <c r="D48" s="79">
        <v>24</v>
      </c>
      <c r="E48" s="79">
        <v>9</v>
      </c>
      <c r="F48" s="6">
        <v>9.16</v>
      </c>
      <c r="G48" s="79">
        <v>1702</v>
      </c>
      <c r="H48" s="17" t="s">
        <v>294</v>
      </c>
      <c r="I48" s="158" t="s">
        <v>6</v>
      </c>
      <c r="J48" s="323">
        <v>62.97</v>
      </c>
      <c r="K48" s="73">
        <v>15.33</v>
      </c>
      <c r="L48" s="323">
        <v>1.07</v>
      </c>
      <c r="M48" s="323">
        <v>35.76</v>
      </c>
      <c r="N48" s="318">
        <f t="shared" si="59"/>
        <v>115.13</v>
      </c>
      <c r="O48" s="81">
        <f>IFERROR(VLOOKUP($G48,'321買'!A:E,3,0),"'沒有資料'")</f>
        <v>0</v>
      </c>
      <c r="P48" s="380">
        <f>IFERROR(VLOOKUP($G48,'321買'!$A:$G,7,0),"'沒有資料'")</f>
        <v>911</v>
      </c>
      <c r="Q48" s="245" t="s">
        <v>5098</v>
      </c>
      <c r="R48" s="297">
        <f>IFERROR(RANK(VLOOKUP($G48,連買!$A:$D,4,0),連買!$D:$D,0),"'沒有資料'")</f>
        <v>538</v>
      </c>
      <c r="S48" s="197">
        <v>2</v>
      </c>
      <c r="T48" s="353">
        <f t="shared" si="60"/>
        <v>4.145077720207254E-2</v>
      </c>
      <c r="U48" s="57">
        <v>4.45</v>
      </c>
      <c r="V48" s="36">
        <f>RTD("money.excel",,"1702","Price")</f>
        <v>48.25</v>
      </c>
      <c r="W48" s="66">
        <v>49.9</v>
      </c>
      <c r="X48" s="15">
        <f t="shared" si="61"/>
        <v>-1.6499999999999986</v>
      </c>
      <c r="Y48" s="3">
        <f t="shared" si="62"/>
        <v>-3.3066132264529029E-2</v>
      </c>
      <c r="Z48" s="413">
        <v>-17.14</v>
      </c>
      <c r="AA48" s="161">
        <v>0</v>
      </c>
      <c r="AB48" s="409">
        <v>1</v>
      </c>
      <c r="AC48" s="259">
        <f t="shared" si="11"/>
        <v>-1</v>
      </c>
      <c r="AD48" s="22" t="s">
        <v>6</v>
      </c>
      <c r="AE48" s="84">
        <v>44600</v>
      </c>
      <c r="AG48" s="33">
        <f t="shared" si="63"/>
        <v>-44600</v>
      </c>
      <c r="AH48" s="43" t="s">
        <v>2803</v>
      </c>
      <c r="AI48" s="161"/>
      <c r="AJ48" s="409"/>
      <c r="AK48" s="259"/>
    </row>
    <row r="49" spans="1:43">
      <c r="A49" s="146" t="s">
        <v>1661</v>
      </c>
      <c r="B49" s="80">
        <v>-16</v>
      </c>
      <c r="C49" s="80">
        <v>-5</v>
      </c>
      <c r="D49" s="79">
        <v>0</v>
      </c>
      <c r="E49" s="79">
        <v>41</v>
      </c>
      <c r="F49" s="6">
        <v>8.8800000000000008</v>
      </c>
      <c r="G49" s="79">
        <v>4927</v>
      </c>
      <c r="H49" s="18" t="s">
        <v>3620</v>
      </c>
      <c r="I49" s="22" t="s">
        <v>449</v>
      </c>
      <c r="J49" s="73">
        <v>64.66</v>
      </c>
      <c r="K49" s="323">
        <v>38.61</v>
      </c>
      <c r="L49" s="73">
        <v>13.02</v>
      </c>
      <c r="M49" s="73">
        <v>1.57</v>
      </c>
      <c r="N49" s="318">
        <f t="shared" si="59"/>
        <v>117.85999999999999</v>
      </c>
      <c r="O49" s="81">
        <f>IFERROR(VLOOKUP($G49,'321買'!A:E,3,0),"'沒有資料'")</f>
        <v>65</v>
      </c>
      <c r="P49" s="380">
        <f>IFERROR(VLOOKUP($G49,'321買'!$A:$G,7,0),"'沒有資料'")</f>
        <v>38</v>
      </c>
      <c r="Q49" s="245" t="s">
        <v>3817</v>
      </c>
      <c r="R49" s="297">
        <f>IFERROR(RANK(VLOOKUP($G49,連買!$A:$D,4,0),連買!$D:$D,0),"'沒有資料'")</f>
        <v>815</v>
      </c>
      <c r="S49" s="45">
        <v>3</v>
      </c>
      <c r="T49" s="353">
        <f t="shared" si="60"/>
        <v>2.8985507246376812E-2</v>
      </c>
      <c r="U49" s="57">
        <v>5.45</v>
      </c>
      <c r="V49" s="36">
        <f>RTD("money.excel",,"4927","Price")</f>
        <v>103.5</v>
      </c>
      <c r="W49" s="66">
        <v>116.5</v>
      </c>
      <c r="X49" s="15">
        <f t="shared" si="61"/>
        <v>-13</v>
      </c>
      <c r="Y49" s="3">
        <f t="shared" si="62"/>
        <v>-0.11158798283261803</v>
      </c>
      <c r="Z49" s="413">
        <v>-15.22</v>
      </c>
      <c r="AA49" s="161">
        <v>1</v>
      </c>
      <c r="AB49" s="409">
        <v>0</v>
      </c>
      <c r="AC49" s="259">
        <f t="shared" si="11"/>
        <v>1</v>
      </c>
      <c r="AD49" s="22" t="s">
        <v>449</v>
      </c>
      <c r="AE49" s="84">
        <v>44600</v>
      </c>
      <c r="AG49" s="33">
        <f t="shared" si="63"/>
        <v>-44600</v>
      </c>
      <c r="AH49" s="43" t="s">
        <v>1049</v>
      </c>
      <c r="AI49" s="161"/>
      <c r="AJ49" s="409"/>
      <c r="AK49" s="259"/>
      <c r="AM49" s="258"/>
    </row>
    <row r="50" spans="1:43" s="268" customFormat="1">
      <c r="A50" s="145"/>
      <c r="B50" s="79"/>
      <c r="C50" s="79"/>
      <c r="D50" s="79"/>
      <c r="E50" s="79"/>
      <c r="F50" s="6"/>
      <c r="G50" s="41"/>
      <c r="H50" s="8"/>
      <c r="I50" s="158"/>
      <c r="J50" s="323"/>
      <c r="K50" s="323"/>
      <c r="L50" s="323"/>
      <c r="M50" s="318"/>
      <c r="N50" s="318"/>
      <c r="O50" s="306"/>
      <c r="P50" s="374"/>
      <c r="Q50" s="389"/>
      <c r="R50" s="151"/>
      <c r="S50" s="197"/>
      <c r="T50" s="351"/>
      <c r="U50" s="95"/>
      <c r="V50" s="259">
        <f>SUM(V3:V49)</f>
        <v>9874.9</v>
      </c>
      <c r="W50" s="399">
        <f>SUM(W3:W49)</f>
        <v>11474.4</v>
      </c>
      <c r="X50" s="400">
        <f t="shared" si="61"/>
        <v>-1599.5</v>
      </c>
      <c r="Y50" s="163">
        <f t="shared" si="62"/>
        <v>-0.13939726695949245</v>
      </c>
      <c r="Z50" s="101"/>
      <c r="AA50" s="168"/>
      <c r="AD50" s="244">
        <f>V50*(0.001425*0.5)+V50*0.003+W50*(0.001425*0.5)</f>
        <v>44.836076250000005</v>
      </c>
      <c r="AE50" s="6">
        <f>X50-AD50</f>
        <v>-1644.3360762499999</v>
      </c>
      <c r="AF50" s="83"/>
      <c r="AG50" s="33"/>
      <c r="AH50" s="46" t="s">
        <v>8575</v>
      </c>
      <c r="AI50" s="406"/>
      <c r="AJ50" s="407"/>
      <c r="AK50" s="408"/>
    </row>
    <row r="51" spans="1:43">
      <c r="B51" s="91"/>
      <c r="C51" s="91"/>
      <c r="D51" s="91"/>
      <c r="E51" s="91"/>
      <c r="F51" s="8"/>
      <c r="G51" s="26"/>
      <c r="H51" s="55"/>
      <c r="I51" s="8"/>
      <c r="J51" s="317"/>
      <c r="K51" s="317"/>
      <c r="L51" s="317"/>
      <c r="M51" s="317"/>
      <c r="N51" s="317"/>
      <c r="P51" s="373"/>
      <c r="Q51" s="245"/>
      <c r="R51" s="345"/>
      <c r="S51" s="10"/>
      <c r="T51" s="352"/>
      <c r="U51" s="68"/>
      <c r="V51" s="28"/>
      <c r="W51" s="17"/>
      <c r="X51" s="14"/>
      <c r="Y51" s="21"/>
      <c r="AA51" s="264"/>
      <c r="AD51" s="8"/>
      <c r="AE51" s="71"/>
      <c r="AF51" s="72"/>
      <c r="AG51" s="32"/>
      <c r="AH51" s="316"/>
      <c r="AI51" s="161"/>
      <c r="AJ51" s="409"/>
      <c r="AK51" s="259"/>
    </row>
    <row r="52" spans="1:43">
      <c r="C52" s="177"/>
      <c r="E52" s="177"/>
      <c r="F52" s="178"/>
      <c r="G52" s="179"/>
      <c r="H52" s="181"/>
      <c r="I52" s="368" t="s">
        <v>5100</v>
      </c>
      <c r="J52" s="319"/>
      <c r="K52" s="319"/>
      <c r="L52" s="324"/>
      <c r="M52" s="325"/>
      <c r="N52" s="319"/>
      <c r="P52" s="405" t="s">
        <v>8645</v>
      </c>
      <c r="Q52" s="245"/>
      <c r="R52" s="216" t="s">
        <v>8646</v>
      </c>
      <c r="S52" s="10"/>
      <c r="T52" s="352"/>
      <c r="U52" s="4" t="s">
        <v>1467</v>
      </c>
      <c r="V52" s="4" t="s">
        <v>1157</v>
      </c>
      <c r="W52" s="10" t="s">
        <v>284</v>
      </c>
      <c r="X52" s="182"/>
      <c r="Y52" s="250"/>
      <c r="AA52" s="264"/>
      <c r="AD52" s="250" t="s">
        <v>5053</v>
      </c>
      <c r="AF52" s="338" t="s">
        <v>5045</v>
      </c>
      <c r="AG52" s="249" t="s">
        <v>8436</v>
      </c>
      <c r="AJ52" s="250" t="s">
        <v>5052</v>
      </c>
      <c r="AK52" s="341"/>
      <c r="AN52" s="267"/>
      <c r="AO52" s="267"/>
      <c r="AP52" s="267"/>
      <c r="AQ52" s="267"/>
    </row>
    <row r="53" spans="1:43">
      <c r="A53" s="130" t="s">
        <v>1732</v>
      </c>
      <c r="B53" s="91" t="s">
        <v>1588</v>
      </c>
      <c r="C53" s="91" t="s">
        <v>1589</v>
      </c>
      <c r="D53" s="91" t="s">
        <v>1590</v>
      </c>
      <c r="E53" s="91" t="s">
        <v>1591</v>
      </c>
      <c r="F53" s="8" t="s">
        <v>1066</v>
      </c>
      <c r="G53" s="26" t="s">
        <v>3691</v>
      </c>
      <c r="H53" s="55" t="s">
        <v>322</v>
      </c>
      <c r="I53" s="50" t="s">
        <v>5108</v>
      </c>
      <c r="J53" s="317" t="s">
        <v>1467</v>
      </c>
      <c r="K53" s="317" t="s">
        <v>1157</v>
      </c>
      <c r="L53" s="317" t="s">
        <v>284</v>
      </c>
      <c r="M53" s="317" t="s">
        <v>1059</v>
      </c>
      <c r="N53" s="317" t="s">
        <v>5048</v>
      </c>
      <c r="O53" s="26" t="s">
        <v>5107</v>
      </c>
      <c r="P53" s="373" t="s">
        <v>5059</v>
      </c>
      <c r="Q53" s="245" t="s">
        <v>5087</v>
      </c>
      <c r="R53" s="345" t="s">
        <v>5059</v>
      </c>
      <c r="S53" s="10" t="s">
        <v>66</v>
      </c>
      <c r="T53" s="351" t="s">
        <v>5076</v>
      </c>
      <c r="U53" s="68" t="s">
        <v>3844</v>
      </c>
      <c r="V53" s="28" t="s">
        <v>3860</v>
      </c>
      <c r="W53" s="17" t="s">
        <v>1405</v>
      </c>
      <c r="X53" s="14" t="s">
        <v>2430</v>
      </c>
      <c r="Y53" s="21" t="s">
        <v>1477</v>
      </c>
      <c r="Z53" s="420" t="s">
        <v>6627</v>
      </c>
      <c r="AA53" s="406" t="s">
        <v>8647</v>
      </c>
      <c r="AB53" s="407" t="s">
        <v>8648</v>
      </c>
      <c r="AC53" s="408" t="s">
        <v>8649</v>
      </c>
      <c r="AD53" s="50" t="s">
        <v>5108</v>
      </c>
      <c r="AE53" s="71" t="s">
        <v>1406</v>
      </c>
      <c r="AF53" s="72" t="s">
        <v>1163</v>
      </c>
      <c r="AG53" s="32" t="s">
        <v>1164</v>
      </c>
      <c r="AH53" s="250" t="s">
        <v>5086</v>
      </c>
      <c r="AI53" s="8" t="s">
        <v>3852</v>
      </c>
      <c r="AJ53" s="50" t="s">
        <v>3586</v>
      </c>
      <c r="AK53" s="339" t="s">
        <v>5038</v>
      </c>
    </row>
    <row r="54" spans="1:43">
      <c r="B54" s="91"/>
      <c r="C54" s="91"/>
      <c r="D54" s="91"/>
      <c r="E54" s="91"/>
      <c r="F54" s="8"/>
      <c r="G54" s="26"/>
      <c r="H54" s="55"/>
      <c r="I54" s="50"/>
      <c r="J54" s="317"/>
      <c r="K54" s="317"/>
      <c r="L54" s="317"/>
      <c r="M54" s="317"/>
      <c r="N54" s="317"/>
      <c r="P54" s="373"/>
      <c r="Q54" s="245"/>
      <c r="R54" s="345"/>
      <c r="S54" s="10"/>
      <c r="T54" s="351"/>
      <c r="U54" s="68"/>
      <c r="V54" s="28"/>
      <c r="W54" s="17"/>
      <c r="X54" s="14"/>
      <c r="Y54" s="21"/>
      <c r="Z54" s="420"/>
      <c r="AA54" s="406"/>
      <c r="AB54" s="407"/>
      <c r="AC54" s="408"/>
      <c r="AD54" s="50"/>
      <c r="AE54" s="71"/>
      <c r="AF54" s="72"/>
      <c r="AG54" s="32"/>
      <c r="AH54" s="250"/>
      <c r="AI54" s="8"/>
      <c r="AJ54" s="50"/>
    </row>
    <row r="55" spans="1:43">
      <c r="A55" s="130" t="s">
        <v>1756</v>
      </c>
      <c r="B55" s="79">
        <v>120</v>
      </c>
      <c r="C55" s="79">
        <v>264</v>
      </c>
      <c r="D55" s="79">
        <v>14</v>
      </c>
      <c r="E55" s="79">
        <v>8</v>
      </c>
      <c r="F55" s="57">
        <v>12.77</v>
      </c>
      <c r="G55" s="80">
        <v>2436</v>
      </c>
      <c r="H55" s="18" t="s">
        <v>3254</v>
      </c>
      <c r="I55" s="22" t="s">
        <v>112</v>
      </c>
      <c r="J55" s="323">
        <v>16.260000000000002</v>
      </c>
      <c r="K55" s="73">
        <v>5.93</v>
      </c>
      <c r="L55" s="73">
        <v>38.200000000000003</v>
      </c>
      <c r="M55" s="323">
        <v>8.25</v>
      </c>
      <c r="N55" s="318">
        <f>J55+K55+L55+M55</f>
        <v>68.64</v>
      </c>
      <c r="O55" s="81">
        <f>IFERROR(VLOOKUP($G55,'321買'!A:E,3,0),"'沒有資料'")</f>
        <v>72</v>
      </c>
      <c r="P55" s="380">
        <f>IFERROR(VLOOKUP($G55,'321買'!$A:$G,7,0),"'沒有資料'")</f>
        <v>14</v>
      </c>
      <c r="Q55" s="245" t="s">
        <v>3816</v>
      </c>
      <c r="R55" s="297">
        <f>IFERROR(RANK(VLOOKUP($G55,連買!$A:$D,4,0),連買!$D:$D,0),"'沒有資料'")</f>
        <v>219</v>
      </c>
      <c r="S55" s="45">
        <v>3</v>
      </c>
      <c r="T55" s="353">
        <f>S55/V55</f>
        <v>3.7267080745341616E-2</v>
      </c>
      <c r="U55" s="95">
        <v>4.25</v>
      </c>
      <c r="V55" s="36">
        <v>80.5</v>
      </c>
      <c r="W55" s="66">
        <v>78.8</v>
      </c>
      <c r="X55" s="15">
        <f>V55-W55</f>
        <v>1.7000000000000028</v>
      </c>
      <c r="Y55" s="63">
        <f>X55/W55</f>
        <v>2.1573604060913742E-2</v>
      </c>
      <c r="Z55" s="413">
        <v>-32.64</v>
      </c>
      <c r="AA55" s="161">
        <v>1</v>
      </c>
      <c r="AB55" s="409">
        <v>0</v>
      </c>
      <c r="AC55" s="259">
        <f>AA55-AB55</f>
        <v>1</v>
      </c>
      <c r="AD55" s="22" t="s">
        <v>112</v>
      </c>
      <c r="AE55" s="84">
        <v>44664</v>
      </c>
      <c r="AF55" s="83">
        <v>44665</v>
      </c>
      <c r="AG55" s="33">
        <f>AF55-AE55</f>
        <v>1</v>
      </c>
      <c r="AH55" s="43" t="s">
        <v>2366</v>
      </c>
      <c r="AI55" s="63"/>
      <c r="AJ55" s="307"/>
    </row>
    <row r="56" spans="1:43">
      <c r="A56" s="130" t="s">
        <v>1699</v>
      </c>
      <c r="B56" s="79">
        <v>77</v>
      </c>
      <c r="C56" s="79">
        <v>55</v>
      </c>
      <c r="D56" s="80">
        <v>-23</v>
      </c>
      <c r="E56" s="79">
        <v>2</v>
      </c>
      <c r="F56" s="57">
        <v>17.600000000000001</v>
      </c>
      <c r="G56" s="79">
        <v>9958</v>
      </c>
      <c r="H56" s="8" t="s">
        <v>301</v>
      </c>
      <c r="I56" s="22" t="s">
        <v>4312</v>
      </c>
      <c r="J56" s="73">
        <v>51.55</v>
      </c>
      <c r="K56" s="73">
        <v>10.91</v>
      </c>
      <c r="L56" s="323">
        <v>23.91</v>
      </c>
      <c r="M56" s="323">
        <v>29.52</v>
      </c>
      <c r="N56" s="318">
        <f>J56+K56+L56+M56</f>
        <v>115.88999999999999</v>
      </c>
      <c r="O56" s="81">
        <f>IFERROR(VLOOKUP($G56,'321買'!A:E,3,0),"'沒有資料'")</f>
        <v>30</v>
      </c>
      <c r="P56" s="380">
        <f>IFERROR(VLOOKUP($G56,'321買'!$A:$G,7,0),"'沒有資料'")</f>
        <v>135</v>
      </c>
      <c r="Q56" s="245" t="s">
        <v>8655</v>
      </c>
      <c r="R56" s="297">
        <f>IFERROR(RANK(VLOOKUP($G56,連買!$A:$D,4,0),連買!$D:$D,0),"'沒有資料'")</f>
        <v>167</v>
      </c>
      <c r="S56" s="45">
        <v>3</v>
      </c>
      <c r="T56" s="353">
        <f>S56/V56</f>
        <v>2.5000000000000001E-2</v>
      </c>
      <c r="U56" s="57">
        <v>5.46</v>
      </c>
      <c r="V56" s="36">
        <v>120</v>
      </c>
      <c r="W56" s="66">
        <v>117.5</v>
      </c>
      <c r="X56" s="15">
        <f>V56-W56</f>
        <v>2.5</v>
      </c>
      <c r="Y56" s="63">
        <f>X56/W56</f>
        <v>2.1276595744680851E-2</v>
      </c>
      <c r="Z56" s="413">
        <v>-17.71</v>
      </c>
      <c r="AA56" s="161">
        <v>2</v>
      </c>
      <c r="AB56" s="409">
        <v>0</v>
      </c>
      <c r="AC56" s="259">
        <f>AA56-AB56</f>
        <v>2</v>
      </c>
      <c r="AD56" s="22" t="s">
        <v>4312</v>
      </c>
      <c r="AE56" s="84">
        <v>44664</v>
      </c>
      <c r="AF56" s="83">
        <v>44665</v>
      </c>
      <c r="AG56" s="33">
        <f>AF56-AE56</f>
        <v>1</v>
      </c>
      <c r="AH56" s="43" t="s">
        <v>4313</v>
      </c>
      <c r="AI56" s="63"/>
      <c r="AJ56" s="307"/>
    </row>
    <row r="57" spans="1:43">
      <c r="A57" s="130" t="s">
        <v>8663</v>
      </c>
      <c r="B57" s="79">
        <v>78</v>
      </c>
      <c r="C57" s="79">
        <v>85</v>
      </c>
      <c r="D57" s="80">
        <v>-3</v>
      </c>
      <c r="E57" s="80">
        <v>-17</v>
      </c>
      <c r="F57" s="57">
        <v>17.53</v>
      </c>
      <c r="G57" s="80">
        <v>3661</v>
      </c>
      <c r="H57" s="5" t="s">
        <v>3254</v>
      </c>
      <c r="I57" s="22" t="s">
        <v>4377</v>
      </c>
      <c r="J57" s="73">
        <v>24.2</v>
      </c>
      <c r="K57" s="73">
        <v>77.5</v>
      </c>
      <c r="L57" s="73">
        <v>10.78</v>
      </c>
      <c r="M57" s="73">
        <v>3.93</v>
      </c>
      <c r="N57" s="318">
        <f>J57+K57+L57+M57</f>
        <v>116.41000000000001</v>
      </c>
      <c r="O57" s="81">
        <f>IFERROR(VLOOKUP($G57,'321買'!A:E,3,0),"'沒有資料'")</f>
        <v>69</v>
      </c>
      <c r="P57" s="380">
        <f>IFERROR(VLOOKUP($G57,'321買'!$A:$G,7,0),"'沒有資料'")</f>
        <v>42</v>
      </c>
      <c r="Q57" s="245" t="s">
        <v>3817</v>
      </c>
      <c r="R57" s="297">
        <f>IFERROR(RANK(VLOOKUP($G57,連買!$A:$D,4,0),連買!$D:$D,0),"'沒有資料'")</f>
        <v>8</v>
      </c>
      <c r="S57" s="45">
        <v>10.59</v>
      </c>
      <c r="T57" s="353">
        <f t="shared" ref="T57" si="64">S57/V57</f>
        <v>1.0433497536945812E-2</v>
      </c>
      <c r="U57" s="95">
        <v>21.4</v>
      </c>
      <c r="V57" s="155">
        <v>1015</v>
      </c>
      <c r="W57" s="66">
        <v>991</v>
      </c>
      <c r="X57" s="141">
        <f t="shared" ref="X57" si="65">V57-W57</f>
        <v>24</v>
      </c>
      <c r="Y57" s="63">
        <f t="shared" ref="Y57" si="66">X57/W57</f>
        <v>2.4217961654894045E-2</v>
      </c>
      <c r="Z57" s="413">
        <v>-25.74</v>
      </c>
      <c r="AA57" s="161">
        <v>1</v>
      </c>
      <c r="AB57" s="409">
        <v>1</v>
      </c>
      <c r="AC57" s="259">
        <f t="shared" ref="AC57" si="67">AA57-AB57</f>
        <v>0</v>
      </c>
      <c r="AD57" s="22" t="s">
        <v>4377</v>
      </c>
      <c r="AE57" s="84">
        <v>44665</v>
      </c>
      <c r="AF57" s="86">
        <v>44665</v>
      </c>
      <c r="AG57" s="33">
        <f t="shared" ref="AG57" si="68">AF57-AE57</f>
        <v>0</v>
      </c>
      <c r="AH57" s="43" t="s">
        <v>3256</v>
      </c>
      <c r="AI57" s="63"/>
      <c r="AJ57" s="307"/>
    </row>
    <row r="58" spans="1:43">
      <c r="A58" s="130" t="s">
        <v>3729</v>
      </c>
      <c r="B58" s="80">
        <v>-46</v>
      </c>
      <c r="C58" s="80">
        <v>-47</v>
      </c>
      <c r="D58" s="79">
        <v>32</v>
      </c>
      <c r="E58" s="80">
        <v>-44</v>
      </c>
      <c r="F58" s="57">
        <v>10.039999999999999</v>
      </c>
      <c r="G58" s="80">
        <v>4968</v>
      </c>
      <c r="H58" s="8" t="s">
        <v>3254</v>
      </c>
      <c r="I58" s="22" t="s">
        <v>352</v>
      </c>
      <c r="J58" s="323">
        <v>15.81</v>
      </c>
      <c r="K58" s="73">
        <v>38.03</v>
      </c>
      <c r="L58" s="323">
        <v>24.45</v>
      </c>
      <c r="M58" s="323">
        <v>9.5</v>
      </c>
      <c r="N58" s="318">
        <f>J58+K58+L58+M58</f>
        <v>87.79</v>
      </c>
      <c r="O58" s="81">
        <f>IFERROR(VLOOKUP($G58,'321買'!A:E,3,0),"'沒有資料'")</f>
        <v>33</v>
      </c>
      <c r="P58" s="380">
        <f>IFERROR(VLOOKUP($G58,'321買'!$A:$G,7,0),"'沒有資料'")</f>
        <v>151</v>
      </c>
      <c r="Q58" s="245" t="s">
        <v>3816</v>
      </c>
      <c r="R58" s="297">
        <f>IFERROR(RANK(VLOOKUP($G58,連買!$A:$D,4,0),連買!$D:$D,0),"'沒有資料'")</f>
        <v>1756</v>
      </c>
      <c r="S58" s="45">
        <v>3.5</v>
      </c>
      <c r="T58" s="353">
        <f>S58/V58</f>
        <v>1.7156862745098041E-2</v>
      </c>
      <c r="U58" s="95">
        <v>6.14</v>
      </c>
      <c r="V58" s="36">
        <v>204</v>
      </c>
      <c r="W58" s="66">
        <v>200</v>
      </c>
      <c r="X58" s="15">
        <f>V58-W58</f>
        <v>4</v>
      </c>
      <c r="Y58" s="63">
        <f>X58/W58</f>
        <v>0.02</v>
      </c>
      <c r="Z58" s="413">
        <v>-63.98</v>
      </c>
      <c r="AA58" s="161">
        <v>1</v>
      </c>
      <c r="AB58" s="409">
        <v>0</v>
      </c>
      <c r="AC58" s="259">
        <f>AA58-AB58</f>
        <v>1</v>
      </c>
      <c r="AD58" s="22" t="s">
        <v>352</v>
      </c>
      <c r="AE58" s="84">
        <v>44664</v>
      </c>
      <c r="AF58" s="86">
        <v>44664</v>
      </c>
      <c r="AG58" s="33">
        <f>AF58-AE58</f>
        <v>0</v>
      </c>
      <c r="AH58" s="43" t="s">
        <v>2143</v>
      </c>
      <c r="AI58" s="63"/>
      <c r="AJ58" s="307"/>
      <c r="AK58" s="81"/>
    </row>
    <row r="59" spans="1:43">
      <c r="A59" s="130" t="s">
        <v>2469</v>
      </c>
      <c r="B59" s="79">
        <v>80</v>
      </c>
      <c r="C59" s="79">
        <v>24</v>
      </c>
      <c r="D59" s="79">
        <v>60</v>
      </c>
      <c r="E59" s="79">
        <v>29</v>
      </c>
      <c r="F59" s="57">
        <v>12.59</v>
      </c>
      <c r="G59" s="79">
        <v>3491</v>
      </c>
      <c r="H59" s="8" t="s">
        <v>313</v>
      </c>
      <c r="I59" s="16" t="s">
        <v>4700</v>
      </c>
      <c r="J59" s="73">
        <v>21.96</v>
      </c>
      <c r="K59" s="323">
        <v>16.63</v>
      </c>
      <c r="L59" s="73">
        <v>38.07</v>
      </c>
      <c r="M59" s="323">
        <v>10.39</v>
      </c>
      <c r="N59" s="318">
        <f t="shared" ref="N59" si="69">J59+K59+L59+M59</f>
        <v>87.05</v>
      </c>
      <c r="O59" s="81">
        <f>IFERROR(VLOOKUP($G59,'321買'!A:E,3,0),"'沒有資料'")</f>
        <v>60</v>
      </c>
      <c r="P59" s="380">
        <f>IFERROR(VLOOKUP($G59,'321買'!$A:$G,7,0),"'沒有資料'")</f>
        <v>38</v>
      </c>
      <c r="Q59" s="245" t="s">
        <v>5063</v>
      </c>
      <c r="R59" s="297">
        <f>IFERROR(RANK(VLOOKUP($G59,連買!$A:$D,4,0),連買!$D:$D,0),"'沒有資料'")</f>
        <v>77</v>
      </c>
      <c r="S59" s="45">
        <v>4</v>
      </c>
      <c r="T59" s="353">
        <f t="shared" ref="T59" si="70">S59/V59</f>
        <v>2.1333333333333333E-2</v>
      </c>
      <c r="U59" s="95">
        <v>3.81</v>
      </c>
      <c r="V59" s="36">
        <v>187.5</v>
      </c>
      <c r="W59" s="66">
        <v>183</v>
      </c>
      <c r="X59" s="15">
        <f t="shared" ref="X59" si="71">V59-W59</f>
        <v>4.5</v>
      </c>
      <c r="Y59" s="63">
        <f t="shared" ref="Y59" si="72">X59/W59</f>
        <v>2.4590163934426229E-2</v>
      </c>
      <c r="Z59" s="413">
        <v>-19.43</v>
      </c>
      <c r="AA59" s="161">
        <v>1</v>
      </c>
      <c r="AB59" s="409">
        <v>0</v>
      </c>
      <c r="AC59" s="259">
        <f t="shared" ref="AC59" si="73">AA59-AB59</f>
        <v>1</v>
      </c>
      <c r="AD59" s="16" t="s">
        <v>4700</v>
      </c>
      <c r="AE59" s="84">
        <v>44663</v>
      </c>
      <c r="AF59" s="83">
        <v>44664</v>
      </c>
      <c r="AG59" s="33">
        <f t="shared" ref="AG59" si="74">AF59-AE59</f>
        <v>1</v>
      </c>
      <c r="AH59" s="120" t="s">
        <v>4701</v>
      </c>
      <c r="AI59" s="161"/>
      <c r="AJ59" s="409"/>
      <c r="AK59" s="259"/>
    </row>
    <row r="60" spans="1:43">
      <c r="A60" s="130" t="s">
        <v>3729</v>
      </c>
      <c r="B60" s="80">
        <v>-46</v>
      </c>
      <c r="C60" s="80">
        <v>-47</v>
      </c>
      <c r="D60" s="79">
        <v>32</v>
      </c>
      <c r="E60" s="80">
        <v>-44</v>
      </c>
      <c r="F60" s="57">
        <v>10.039999999999999</v>
      </c>
      <c r="G60" s="80">
        <v>4968</v>
      </c>
      <c r="H60" s="5" t="s">
        <v>3254</v>
      </c>
      <c r="I60" s="22" t="s">
        <v>352</v>
      </c>
      <c r="J60" s="323">
        <v>33.81</v>
      </c>
      <c r="K60" s="73">
        <v>37.520000000000003</v>
      </c>
      <c r="L60" s="73">
        <v>24.42</v>
      </c>
      <c r="M60" s="323">
        <v>9.5</v>
      </c>
      <c r="N60" s="318">
        <f t="shared" ref="N60:N66" si="75">J60+K60+L60+M60</f>
        <v>105.25000000000001</v>
      </c>
      <c r="O60" s="81">
        <f>IFERROR(VLOOKUP($G60,'321買'!A:E,3,0),"'沒有資料'")</f>
        <v>33</v>
      </c>
      <c r="P60" s="380">
        <f>IFERROR(VLOOKUP($G60,'321買'!$A:$G,7,0),"'沒有資料'")</f>
        <v>151</v>
      </c>
      <c r="Q60" s="245" t="s">
        <v>3816</v>
      </c>
      <c r="R60" s="297">
        <f>IFERROR(RANK(VLOOKUP($G60,連買!$A:$D,4,0),連買!$D:$D,0),"'沒有資料'")</f>
        <v>1756</v>
      </c>
      <c r="S60" s="45">
        <v>3.5</v>
      </c>
      <c r="T60" s="353">
        <f t="shared" ref="T60:T66" si="76">S60/V60</f>
        <v>1.7587939698492462E-2</v>
      </c>
      <c r="U60" s="95">
        <v>6.14</v>
      </c>
      <c r="V60" s="36">
        <v>199</v>
      </c>
      <c r="W60" s="66">
        <v>195</v>
      </c>
      <c r="X60" s="15">
        <f t="shared" ref="X60:X66" si="77">V60-W60</f>
        <v>4</v>
      </c>
      <c r="Y60" s="63">
        <f t="shared" ref="Y60:Y66" si="78">X60/W60</f>
        <v>2.0512820512820513E-2</v>
      </c>
      <c r="Z60" s="413">
        <v>-65.5</v>
      </c>
      <c r="AA60" s="161">
        <v>2</v>
      </c>
      <c r="AB60" s="409">
        <v>0</v>
      </c>
      <c r="AC60" s="259">
        <f>AA60-AB60</f>
        <v>2</v>
      </c>
      <c r="AD60" s="22" t="s">
        <v>352</v>
      </c>
      <c r="AE60" s="84">
        <v>44662</v>
      </c>
      <c r="AF60" s="83">
        <v>44663</v>
      </c>
      <c r="AG60" s="33">
        <f t="shared" ref="AG60:AG66" si="79">AF60-AE60</f>
        <v>1</v>
      </c>
      <c r="AH60" s="43" t="s">
        <v>2143</v>
      </c>
      <c r="AI60" s="161"/>
      <c r="AJ60" s="409"/>
      <c r="AK60" s="259"/>
    </row>
    <row r="61" spans="1:43">
      <c r="A61" s="130" t="s">
        <v>1739</v>
      </c>
      <c r="B61" s="79">
        <v>108</v>
      </c>
      <c r="C61" s="79">
        <v>91</v>
      </c>
      <c r="D61" s="80">
        <v>-38</v>
      </c>
      <c r="E61" s="79">
        <v>29</v>
      </c>
      <c r="F61" s="57">
        <v>13.53</v>
      </c>
      <c r="G61" s="79">
        <v>6670</v>
      </c>
      <c r="H61" s="8" t="s">
        <v>235</v>
      </c>
      <c r="I61" s="22" t="s">
        <v>1097</v>
      </c>
      <c r="J61" s="323">
        <v>73.209999999999994</v>
      </c>
      <c r="K61" s="73">
        <v>21.37</v>
      </c>
      <c r="L61" s="73">
        <v>1.48</v>
      </c>
      <c r="M61" s="323">
        <v>8.18</v>
      </c>
      <c r="N61" s="318">
        <f t="shared" si="75"/>
        <v>104.24000000000001</v>
      </c>
      <c r="O61" s="81">
        <f>IFERROR(VLOOKUP($G61,'321買'!A:E,3,0),"'沒有資料'")</f>
        <v>0</v>
      </c>
      <c r="P61" s="380">
        <f>IFERROR(VLOOKUP($G61,'321買'!$A:$G,7,0),"'沒有資料'")</f>
        <v>911</v>
      </c>
      <c r="Q61" s="388" t="s">
        <v>6636</v>
      </c>
      <c r="R61" s="297">
        <f>IFERROR(RANK(VLOOKUP($G61,連買!$A:$D,4,0),連買!$D:$D,0),"'沒有資料'")</f>
        <v>78</v>
      </c>
      <c r="S61" s="45">
        <v>12</v>
      </c>
      <c r="T61" s="353">
        <f t="shared" si="76"/>
        <v>5.7831325301204821E-2</v>
      </c>
      <c r="U61" s="57">
        <v>18.03</v>
      </c>
      <c r="V61" s="36">
        <v>207.5</v>
      </c>
      <c r="W61" s="66">
        <v>202.5</v>
      </c>
      <c r="X61" s="15">
        <f t="shared" si="77"/>
        <v>5</v>
      </c>
      <c r="Y61" s="63">
        <f t="shared" si="78"/>
        <v>2.4691358024691357E-2</v>
      </c>
      <c r="Z61" s="413">
        <v>-15.97</v>
      </c>
      <c r="AA61" s="161">
        <v>1</v>
      </c>
      <c r="AB61" s="409">
        <v>0</v>
      </c>
      <c r="AC61" s="259">
        <f>AA61-AB61</f>
        <v>1</v>
      </c>
      <c r="AD61" s="22" t="s">
        <v>1097</v>
      </c>
      <c r="AE61" s="84">
        <v>44650</v>
      </c>
      <c r="AF61" s="83">
        <v>44663</v>
      </c>
      <c r="AG61" s="33">
        <f t="shared" si="79"/>
        <v>13</v>
      </c>
      <c r="AH61" s="43" t="s">
        <v>3275</v>
      </c>
      <c r="AI61" s="161"/>
      <c r="AJ61" s="409"/>
      <c r="AK61" s="259"/>
    </row>
    <row r="62" spans="1:43">
      <c r="A62" s="130" t="s">
        <v>3183</v>
      </c>
      <c r="B62" s="79">
        <v>804</v>
      </c>
      <c r="C62" s="79">
        <v>317</v>
      </c>
      <c r="D62" s="79">
        <v>7</v>
      </c>
      <c r="E62" s="79">
        <v>81</v>
      </c>
      <c r="F62" s="57">
        <v>20.85</v>
      </c>
      <c r="G62" s="79">
        <v>8478</v>
      </c>
      <c r="H62" s="5" t="s">
        <v>235</v>
      </c>
      <c r="I62" s="22" t="s">
        <v>1101</v>
      </c>
      <c r="J62" s="323">
        <v>82.46</v>
      </c>
      <c r="K62" s="73">
        <v>42.91</v>
      </c>
      <c r="L62" s="73">
        <v>6.91</v>
      </c>
      <c r="M62" s="323">
        <v>20.079999999999998</v>
      </c>
      <c r="N62" s="73">
        <f t="shared" si="75"/>
        <v>152.36000000000001</v>
      </c>
      <c r="O62" s="81">
        <f>IFERROR(VLOOKUP($G62,'321買'!A:E,3,0),"'沒有資料'")</f>
        <v>5</v>
      </c>
      <c r="P62" s="380">
        <f>IFERROR(VLOOKUP($G62,'321買'!$A:$G,7,0),"'沒有資料'")</f>
        <v>558</v>
      </c>
      <c r="Q62" s="388" t="s">
        <v>5063</v>
      </c>
      <c r="R62" s="297">
        <f>IFERROR(RANK(VLOOKUP($G62,連買!$A:$D,4,0),連買!$D:$D,0),"'沒有資料'")</f>
        <v>145</v>
      </c>
      <c r="S62" s="45">
        <v>5</v>
      </c>
      <c r="T62" s="353">
        <f t="shared" si="76"/>
        <v>3.3222591362126248E-2</v>
      </c>
      <c r="U62" s="57">
        <v>9.5500000000000007</v>
      </c>
      <c r="V62" s="13">
        <v>150.5</v>
      </c>
      <c r="W62" s="66">
        <v>147.5</v>
      </c>
      <c r="X62" s="15">
        <f t="shared" si="77"/>
        <v>3</v>
      </c>
      <c r="Y62" s="63">
        <f t="shared" si="78"/>
        <v>2.0338983050847456E-2</v>
      </c>
      <c r="Z62" s="413">
        <v>-19.510000000000002</v>
      </c>
      <c r="AA62" s="266"/>
      <c r="AD62" s="22" t="s">
        <v>1101</v>
      </c>
      <c r="AE62" s="84">
        <v>44651</v>
      </c>
      <c r="AF62" s="83">
        <v>44662</v>
      </c>
      <c r="AG62" s="33">
        <f t="shared" si="79"/>
        <v>11</v>
      </c>
      <c r="AH62" s="43" t="s">
        <v>3019</v>
      </c>
      <c r="AI62" s="406"/>
      <c r="AJ62" s="407"/>
      <c r="AK62" s="408"/>
    </row>
    <row r="63" spans="1:43">
      <c r="A63" s="130" t="s">
        <v>3183</v>
      </c>
      <c r="B63" s="79">
        <v>804</v>
      </c>
      <c r="C63" s="79">
        <v>317</v>
      </c>
      <c r="D63" s="79">
        <v>7</v>
      </c>
      <c r="E63" s="79">
        <v>81</v>
      </c>
      <c r="F63" s="57">
        <v>20.85</v>
      </c>
      <c r="G63" s="79">
        <v>8478</v>
      </c>
      <c r="H63" s="5" t="s">
        <v>235</v>
      </c>
      <c r="I63" s="22" t="s">
        <v>1101</v>
      </c>
      <c r="J63" s="323">
        <v>82.46</v>
      </c>
      <c r="K63" s="323">
        <v>42.68</v>
      </c>
      <c r="L63" s="73">
        <v>6.87</v>
      </c>
      <c r="M63" s="323">
        <v>20.079999999999998</v>
      </c>
      <c r="N63" s="73">
        <f t="shared" si="75"/>
        <v>152.08999999999997</v>
      </c>
      <c r="O63" s="81">
        <f>IFERROR(VLOOKUP($G63,'321買'!A:E,3,0),"'沒有資料'")</f>
        <v>5</v>
      </c>
      <c r="P63" s="380">
        <f>IFERROR(VLOOKUP($G63,'321買'!$A:$G,7,0),"'沒有資料'")</f>
        <v>558</v>
      </c>
      <c r="Q63" s="388" t="s">
        <v>6632</v>
      </c>
      <c r="R63" s="297">
        <f>IFERROR(RANK(VLOOKUP($G63,連買!$A:$D,4,0),連買!$D:$D,0),"'沒有資料'")</f>
        <v>145</v>
      </c>
      <c r="S63" s="45">
        <v>5</v>
      </c>
      <c r="T63" s="353">
        <f t="shared" si="76"/>
        <v>3.3222591362126248E-2</v>
      </c>
      <c r="U63" s="57">
        <v>9.5500000000000007</v>
      </c>
      <c r="V63" s="13">
        <v>150.5</v>
      </c>
      <c r="W63" s="66">
        <v>146.5</v>
      </c>
      <c r="X63" s="15">
        <f t="shared" si="77"/>
        <v>4</v>
      </c>
      <c r="Y63" s="63">
        <f t="shared" si="78"/>
        <v>2.7303754266211604E-2</v>
      </c>
      <c r="Z63" s="413">
        <v>-21.95</v>
      </c>
      <c r="AA63" s="266"/>
      <c r="AD63" s="22" t="s">
        <v>1101</v>
      </c>
      <c r="AE63" s="84">
        <v>44650</v>
      </c>
      <c r="AF63" s="83">
        <v>44662</v>
      </c>
      <c r="AG63" s="33">
        <f t="shared" si="79"/>
        <v>12</v>
      </c>
      <c r="AH63" s="43" t="s">
        <v>3019</v>
      </c>
      <c r="AI63" s="63"/>
      <c r="AJ63" s="307"/>
    </row>
    <row r="64" spans="1:43">
      <c r="A64" s="130" t="s">
        <v>4566</v>
      </c>
      <c r="B64" s="79">
        <v>40</v>
      </c>
      <c r="C64" s="79">
        <v>35</v>
      </c>
      <c r="D64" s="80">
        <v>-72</v>
      </c>
      <c r="E64" s="80">
        <v>-52</v>
      </c>
      <c r="F64" s="57">
        <v>47.66</v>
      </c>
      <c r="G64" s="79">
        <v>4171</v>
      </c>
      <c r="H64" s="8" t="s">
        <v>1043</v>
      </c>
      <c r="I64" s="16" t="s">
        <v>1044</v>
      </c>
      <c r="J64" s="323">
        <v>26.41</v>
      </c>
      <c r="K64" s="323">
        <v>18.21</v>
      </c>
      <c r="L64" s="73">
        <v>23.08</v>
      </c>
      <c r="M64" s="323">
        <v>14.58</v>
      </c>
      <c r="N64" s="318">
        <f t="shared" si="75"/>
        <v>82.28</v>
      </c>
      <c r="O64" s="81">
        <f>IFERROR(VLOOKUP($G64,'321買'!A:E,3,0),"'沒有資料'")</f>
        <v>10</v>
      </c>
      <c r="P64" s="380">
        <f>IFERROR(VLOOKUP($G64,'321買'!$A:$G,7,0),"'沒有資料'")</f>
        <v>336</v>
      </c>
      <c r="Q64" s="245" t="s">
        <v>6636</v>
      </c>
      <c r="R64" s="297">
        <f>IFERROR(RANK(VLOOKUP($G64,連買!$A:$D,4,0),連買!$D:$D,0),"'沒有資料'")</f>
        <v>41</v>
      </c>
      <c r="S64" s="45">
        <v>6</v>
      </c>
      <c r="T64" s="353">
        <f t="shared" si="76"/>
        <v>5.0632911392405063E-2</v>
      </c>
      <c r="U64" s="95">
        <v>9.14</v>
      </c>
      <c r="V64" s="36">
        <v>118.5</v>
      </c>
      <c r="W64" s="66">
        <v>116</v>
      </c>
      <c r="X64" s="15">
        <f t="shared" si="77"/>
        <v>2.5</v>
      </c>
      <c r="Y64" s="63">
        <f t="shared" si="78"/>
        <v>2.1551724137931036E-2</v>
      </c>
      <c r="Z64" s="413">
        <v>-34.92</v>
      </c>
      <c r="AA64" s="126"/>
      <c r="AD64" s="16" t="s">
        <v>1044</v>
      </c>
      <c r="AE64" s="84">
        <v>44659</v>
      </c>
      <c r="AF64" s="86">
        <v>44659</v>
      </c>
      <c r="AG64" s="33">
        <f t="shared" si="79"/>
        <v>0</v>
      </c>
      <c r="AH64" s="43" t="s">
        <v>2888</v>
      </c>
      <c r="AI64" s="63"/>
      <c r="AJ64" s="307"/>
    </row>
    <row r="65" spans="1:36">
      <c r="A65" s="130" t="s">
        <v>3221</v>
      </c>
      <c r="B65" s="80">
        <v>-17</v>
      </c>
      <c r="C65" s="80">
        <v>-14</v>
      </c>
      <c r="D65" s="80">
        <v>-14</v>
      </c>
      <c r="E65" s="79">
        <v>11</v>
      </c>
      <c r="F65" s="57">
        <v>10.97</v>
      </c>
      <c r="G65" s="79">
        <v>2753</v>
      </c>
      <c r="H65" s="8" t="s">
        <v>305</v>
      </c>
      <c r="I65" s="22" t="s">
        <v>3660</v>
      </c>
      <c r="J65" s="323">
        <v>55.01</v>
      </c>
      <c r="K65" s="73">
        <v>1.63</v>
      </c>
      <c r="L65" s="73">
        <v>5.16</v>
      </c>
      <c r="M65" s="323">
        <v>30.28</v>
      </c>
      <c r="N65" s="318">
        <f t="shared" si="75"/>
        <v>92.08</v>
      </c>
      <c r="O65" s="81">
        <f>IFERROR(VLOOKUP($G65,'321買'!A:E,3,0),"'沒有資料'")</f>
        <v>1</v>
      </c>
      <c r="P65" s="380">
        <f>IFERROR(VLOOKUP($G65,'321買'!$A:$G,7,0),"'沒有資料'")</f>
        <v>783</v>
      </c>
      <c r="Q65" s="388" t="s">
        <v>5063</v>
      </c>
      <c r="R65" s="297">
        <f>IFERROR(RANK(VLOOKUP($G65,連買!$A:$D,4,0),連買!$D:$D,0),"'沒有資料'")</f>
        <v>1672</v>
      </c>
      <c r="S65" s="45">
        <v>4.2300000000000004</v>
      </c>
      <c r="T65" s="353">
        <f t="shared" si="76"/>
        <v>3.1449814126394054E-2</v>
      </c>
      <c r="U65" s="57">
        <v>8.89</v>
      </c>
      <c r="V65" s="36">
        <v>134.5</v>
      </c>
      <c r="W65" s="66">
        <v>131</v>
      </c>
      <c r="X65" s="15">
        <f t="shared" si="77"/>
        <v>3.5</v>
      </c>
      <c r="Y65" s="63">
        <f t="shared" si="78"/>
        <v>2.6717557251908396E-2</v>
      </c>
      <c r="Z65" s="413">
        <v>-35.71</v>
      </c>
      <c r="AA65" s="126"/>
      <c r="AD65" s="22" t="s">
        <v>3660</v>
      </c>
      <c r="AE65" s="84">
        <v>44651</v>
      </c>
      <c r="AF65" s="83">
        <v>44657</v>
      </c>
      <c r="AG65" s="33">
        <f t="shared" si="79"/>
        <v>6</v>
      </c>
      <c r="AH65" s="43" t="s">
        <v>3205</v>
      </c>
      <c r="AI65" s="63"/>
      <c r="AJ65" s="307"/>
    </row>
    <row r="66" spans="1:36">
      <c r="A66" s="130" t="s">
        <v>4331</v>
      </c>
      <c r="B66" s="79">
        <v>78</v>
      </c>
      <c r="C66" s="79">
        <v>85</v>
      </c>
      <c r="D66" s="79">
        <v>1</v>
      </c>
      <c r="E66" s="79">
        <v>1</v>
      </c>
      <c r="F66" s="57">
        <v>17.53</v>
      </c>
      <c r="G66" s="79">
        <v>3661</v>
      </c>
      <c r="H66" s="8" t="s">
        <v>3254</v>
      </c>
      <c r="I66" s="22" t="s">
        <v>4377</v>
      </c>
      <c r="J66" s="323">
        <v>24.68</v>
      </c>
      <c r="K66" s="323">
        <v>77.03</v>
      </c>
      <c r="L66" s="323">
        <v>11.83</v>
      </c>
      <c r="M66" s="323">
        <v>3.91</v>
      </c>
      <c r="N66" s="318">
        <f t="shared" si="75"/>
        <v>117.45</v>
      </c>
      <c r="O66" s="81">
        <f>IFERROR(VLOOKUP($G66,'321買'!A:E,3,0),"'沒有資料'")</f>
        <v>69</v>
      </c>
      <c r="P66" s="380">
        <f>IFERROR(VLOOKUP($G66,'321買'!$A:$G,7,0),"'沒有資料'")</f>
        <v>42</v>
      </c>
      <c r="Q66" s="388" t="s">
        <v>3818</v>
      </c>
      <c r="R66" s="297">
        <f>IFERROR(RANK(VLOOKUP($G66,連買!$A:$D,4,0),連買!$D:$D,0),"'沒有資料'")</f>
        <v>8</v>
      </c>
      <c r="S66" s="45">
        <v>10.59</v>
      </c>
      <c r="T66" s="353">
        <f t="shared" si="76"/>
        <v>9.371681415929204E-3</v>
      </c>
      <c r="U66" s="95">
        <v>21.4</v>
      </c>
      <c r="V66" s="155">
        <v>1130</v>
      </c>
      <c r="W66" s="66">
        <v>1090</v>
      </c>
      <c r="X66" s="141">
        <f t="shared" si="77"/>
        <v>40</v>
      </c>
      <c r="Y66" s="63">
        <f t="shared" si="78"/>
        <v>3.669724770642202E-2</v>
      </c>
      <c r="Z66" s="413">
        <v>-17.739999999999998</v>
      </c>
      <c r="AA66" s="126"/>
      <c r="AD66" s="22" t="s">
        <v>4377</v>
      </c>
      <c r="AE66" s="84">
        <v>44651</v>
      </c>
      <c r="AF66" s="83">
        <v>44652</v>
      </c>
      <c r="AG66" s="33">
        <f t="shared" si="79"/>
        <v>1</v>
      </c>
      <c r="AH66" s="43" t="s">
        <v>3256</v>
      </c>
      <c r="AI66" s="63"/>
      <c r="AJ66" s="307"/>
    </row>
    <row r="67" spans="1:36">
      <c r="A67" s="130" t="s">
        <v>4331</v>
      </c>
      <c r="B67" s="79">
        <v>78</v>
      </c>
      <c r="C67" s="79">
        <v>85</v>
      </c>
      <c r="D67" s="79">
        <v>1</v>
      </c>
      <c r="E67" s="79">
        <v>1</v>
      </c>
      <c r="F67" s="57">
        <v>17.53</v>
      </c>
      <c r="G67" s="79">
        <v>3661</v>
      </c>
      <c r="H67" s="8" t="s">
        <v>3254</v>
      </c>
      <c r="I67" s="22" t="s">
        <v>4377</v>
      </c>
      <c r="J67" s="323">
        <v>24.68</v>
      </c>
      <c r="K67" s="323">
        <v>77.03</v>
      </c>
      <c r="L67" s="323">
        <v>11.83</v>
      </c>
      <c r="M67" s="323">
        <v>3.91</v>
      </c>
      <c r="N67" s="318">
        <f t="shared" ref="N67" si="80">J67+K67+L67+M67</f>
        <v>117.45</v>
      </c>
      <c r="O67" s="81">
        <f>IFERROR(VLOOKUP($G67,'321買'!A:E,3,0),"'沒有資料'")</f>
        <v>69</v>
      </c>
      <c r="P67" s="380">
        <f>IFERROR(VLOOKUP($G67,'321買'!$A:$G,7,0),"'沒有資料'")</f>
        <v>42</v>
      </c>
      <c r="Q67" s="388" t="s">
        <v>3818</v>
      </c>
      <c r="R67" s="297">
        <f>IFERROR(RANK(VLOOKUP($G67,連買!$A:$D,4,0),連買!$D:$D,0),"'沒有資料'")</f>
        <v>8</v>
      </c>
      <c r="S67" s="45">
        <v>10.59</v>
      </c>
      <c r="T67" s="353">
        <f t="shared" ref="T67" si="81">S67/V67</f>
        <v>9.371681415929204E-3</v>
      </c>
      <c r="U67" s="95">
        <v>21.4</v>
      </c>
      <c r="V67" s="155">
        <v>1130</v>
      </c>
      <c r="W67" s="66">
        <v>1090</v>
      </c>
      <c r="X67" s="141">
        <f t="shared" ref="X67" si="82">V67-W67</f>
        <v>40</v>
      </c>
      <c r="Y67" s="63">
        <f t="shared" ref="Y67" si="83">X67/W67</f>
        <v>3.669724770642202E-2</v>
      </c>
      <c r="Z67" s="413">
        <v>-17.739999999999998</v>
      </c>
      <c r="AA67" s="126"/>
      <c r="AD67" s="22" t="s">
        <v>4377</v>
      </c>
      <c r="AE67" s="84">
        <v>44651</v>
      </c>
      <c r="AF67" s="83">
        <v>44652</v>
      </c>
      <c r="AG67" s="33">
        <f t="shared" ref="AG67" si="84">AF67-AE67</f>
        <v>1</v>
      </c>
      <c r="AH67" s="43" t="s">
        <v>3256</v>
      </c>
      <c r="AI67" s="63"/>
      <c r="AJ67" s="307"/>
    </row>
    <row r="68" spans="1:36">
      <c r="A68" s="130" t="s">
        <v>4331</v>
      </c>
      <c r="B68" s="79">
        <v>78</v>
      </c>
      <c r="C68" s="79">
        <v>85</v>
      </c>
      <c r="D68" s="79">
        <v>1</v>
      </c>
      <c r="E68" s="79">
        <v>1</v>
      </c>
      <c r="F68" s="57">
        <v>17.53</v>
      </c>
      <c r="G68" s="79">
        <v>3661</v>
      </c>
      <c r="H68" s="8" t="s">
        <v>3254</v>
      </c>
      <c r="I68" s="22" t="s">
        <v>4377</v>
      </c>
      <c r="J68" s="323">
        <v>24.68</v>
      </c>
      <c r="K68" s="323">
        <v>77.03</v>
      </c>
      <c r="L68" s="73">
        <v>12.05</v>
      </c>
      <c r="M68" s="323">
        <v>3.91</v>
      </c>
      <c r="N68" s="318">
        <f>J68+K68+L68+M68</f>
        <v>117.67</v>
      </c>
      <c r="O68" s="81">
        <f>IFERROR(VLOOKUP($G68,'321買'!A:E,3,0),"'沒有資料'")</f>
        <v>69</v>
      </c>
      <c r="P68" s="380">
        <f>IFERROR(VLOOKUP($G68,'321買'!$A:$G,7,0),"'沒有資料'")</f>
        <v>42</v>
      </c>
      <c r="Q68" s="388" t="s">
        <v>6635</v>
      </c>
      <c r="R68" s="297">
        <f>IFERROR(RANK(VLOOKUP($G68,連買!$A:$D,4,0),連買!$D:$D,0),"'沒有資料'")</f>
        <v>8</v>
      </c>
      <c r="S68" s="45">
        <v>10.59</v>
      </c>
      <c r="T68" s="353">
        <f>S68/V68</f>
        <v>9.4133333333333326E-3</v>
      </c>
      <c r="U68" s="95">
        <v>21.4</v>
      </c>
      <c r="V68" s="155">
        <v>1125</v>
      </c>
      <c r="W68" s="66">
        <v>1130</v>
      </c>
      <c r="X68" s="141">
        <f>V68-W68</f>
        <v>-5</v>
      </c>
      <c r="Y68" s="63">
        <f>X68/W68</f>
        <v>-4.4247787610619468E-3</v>
      </c>
      <c r="Z68" s="413">
        <v>-17.36</v>
      </c>
      <c r="AA68" s="126"/>
      <c r="AD68" s="22" t="s">
        <v>4377</v>
      </c>
      <c r="AE68" s="84">
        <v>44650</v>
      </c>
      <c r="AF68" s="83">
        <v>44652</v>
      </c>
      <c r="AG68" s="33">
        <f>AF68-AE68</f>
        <v>2</v>
      </c>
      <c r="AH68" s="43" t="s">
        <v>3256</v>
      </c>
      <c r="AI68" s="63"/>
      <c r="AJ68" s="307"/>
    </row>
    <row r="69" spans="1:36">
      <c r="A69" s="130" t="s">
        <v>2469</v>
      </c>
      <c r="B69" s="79">
        <v>80</v>
      </c>
      <c r="C69" s="79">
        <v>24</v>
      </c>
      <c r="D69" s="80">
        <v>-23</v>
      </c>
      <c r="E69" s="79">
        <v>26</v>
      </c>
      <c r="F69" s="57">
        <v>12.59</v>
      </c>
      <c r="G69" s="79">
        <v>3491</v>
      </c>
      <c r="H69" s="8" t="s">
        <v>313</v>
      </c>
      <c r="I69" s="16" t="s">
        <v>4700</v>
      </c>
      <c r="J69" s="73">
        <v>20.18</v>
      </c>
      <c r="K69" s="73">
        <v>17.43</v>
      </c>
      <c r="L69" s="323">
        <v>34.340000000000003</v>
      </c>
      <c r="M69" s="323">
        <v>10.39</v>
      </c>
      <c r="N69" s="318">
        <f>J69+K69+L69+M69</f>
        <v>82.34</v>
      </c>
      <c r="O69" s="81">
        <f>IFERROR(VLOOKUP($G69,'321買'!A:E,3,0),"'沒有資料'")</f>
        <v>60</v>
      </c>
      <c r="P69" s="380">
        <f>IFERROR(VLOOKUP($G69,'321買'!$A:$G,7,0),"'沒有資料'")</f>
        <v>38</v>
      </c>
      <c r="Q69" s="388" t="s">
        <v>3816</v>
      </c>
      <c r="R69" s="297">
        <f>IFERROR(RANK(VLOOKUP($G69,連買!$A:$D,4,0),連買!$D:$D,0),"'沒有資料'")</f>
        <v>77</v>
      </c>
      <c r="S69" s="45">
        <v>4</v>
      </c>
      <c r="T69" s="353">
        <f>S69/V69</f>
        <v>2.0671834625322998E-2</v>
      </c>
      <c r="U69" s="95">
        <v>3.81</v>
      </c>
      <c r="V69" s="36">
        <v>193.5</v>
      </c>
      <c r="W69" s="66">
        <v>189.5</v>
      </c>
      <c r="X69" s="15">
        <f>V69-W69</f>
        <v>4</v>
      </c>
      <c r="Y69" s="63">
        <f>X69/W69</f>
        <v>2.1108179419525065E-2</v>
      </c>
      <c r="Z69" s="413">
        <v>-16.38</v>
      </c>
      <c r="AA69" s="126"/>
      <c r="AD69" s="16" t="s">
        <v>4700</v>
      </c>
      <c r="AE69" s="84">
        <v>44651</v>
      </c>
      <c r="AF69" s="83">
        <v>44652</v>
      </c>
      <c r="AG69" s="33">
        <f>AF69-AE69</f>
        <v>1</v>
      </c>
      <c r="AH69" s="120" t="s">
        <v>4701</v>
      </c>
      <c r="AI69" s="63"/>
      <c r="AJ69" s="307"/>
    </row>
    <row r="70" spans="1:36" s="268" customFormat="1">
      <c r="A70" s="145"/>
      <c r="B70" s="79"/>
      <c r="C70" s="79"/>
      <c r="D70" s="79"/>
      <c r="E70" s="79"/>
      <c r="F70" s="6"/>
      <c r="G70" s="41"/>
      <c r="H70" s="8"/>
      <c r="I70" s="158"/>
      <c r="J70" s="323"/>
      <c r="K70" s="323"/>
      <c r="L70" s="323"/>
      <c r="M70" s="318"/>
      <c r="N70" s="318"/>
      <c r="O70" s="306"/>
      <c r="P70" s="374"/>
      <c r="Q70" s="389"/>
      <c r="R70" s="151"/>
      <c r="S70" s="197"/>
      <c r="T70" s="351"/>
      <c r="U70" s="95"/>
      <c r="V70" s="349">
        <f>SUM(V55:V69)</f>
        <v>6146</v>
      </c>
      <c r="W70" s="331">
        <f>SUM(W55:W69)</f>
        <v>6008.3</v>
      </c>
      <c r="X70" s="167">
        <f t="shared" ref="X70" si="85">V70-W70</f>
        <v>137.69999999999982</v>
      </c>
      <c r="Y70" s="163">
        <f t="shared" ref="Y70" si="86">X70/W70</f>
        <v>2.2918296356706527E-2</v>
      </c>
      <c r="Z70" s="101"/>
      <c r="AA70" s="168"/>
      <c r="AD70" s="244">
        <f>V70*(0.001425*0.5)+V70*0.003+W70*(0.001425*0.5)</f>
        <v>27.097938750000001</v>
      </c>
      <c r="AE70" s="6">
        <f>X70-AD70</f>
        <v>110.60206124999982</v>
      </c>
      <c r="AF70" s="83"/>
      <c r="AG70" s="33"/>
      <c r="AH70" s="46" t="s">
        <v>8438</v>
      </c>
    </row>
    <row r="71" spans="1:36">
      <c r="B71" s="79"/>
      <c r="C71" s="79"/>
      <c r="D71" s="80"/>
      <c r="E71" s="79"/>
      <c r="F71" s="57"/>
      <c r="G71" s="79"/>
      <c r="H71" s="8"/>
      <c r="I71" s="16"/>
      <c r="J71" s="73"/>
      <c r="K71" s="73"/>
      <c r="L71" s="323"/>
      <c r="M71" s="323"/>
      <c r="N71" s="318"/>
      <c r="O71" s="81"/>
      <c r="P71" s="380"/>
      <c r="Q71" s="388"/>
      <c r="R71" s="297"/>
      <c r="S71" s="45"/>
      <c r="T71" s="353"/>
      <c r="U71" s="95"/>
      <c r="V71" s="36"/>
      <c r="W71" s="66"/>
      <c r="X71" s="15"/>
      <c r="Y71" s="63"/>
      <c r="AA71" s="126"/>
      <c r="AD71" s="16"/>
      <c r="AG71" s="33"/>
      <c r="AH71" s="120"/>
      <c r="AI71" s="63"/>
      <c r="AJ71" s="307"/>
    </row>
    <row r="72" spans="1:36">
      <c r="A72" s="130" t="s">
        <v>1726</v>
      </c>
      <c r="B72" s="79">
        <v>11</v>
      </c>
      <c r="C72" s="79">
        <v>11</v>
      </c>
      <c r="D72" s="80">
        <v>-10</v>
      </c>
      <c r="E72" s="79">
        <v>9</v>
      </c>
      <c r="F72" s="57">
        <v>26.71</v>
      </c>
      <c r="G72" s="80">
        <v>8464</v>
      </c>
      <c r="H72" s="204" t="s">
        <v>235</v>
      </c>
      <c r="I72" s="22" t="s">
        <v>259</v>
      </c>
      <c r="J72" s="73">
        <v>76.37</v>
      </c>
      <c r="K72" s="323">
        <v>46.44</v>
      </c>
      <c r="L72" s="73">
        <v>7.32</v>
      </c>
      <c r="M72" s="323">
        <v>36.950000000000003</v>
      </c>
      <c r="N72" s="73">
        <f t="shared" ref="N72:N77" si="87">J72+K72+L72+M72</f>
        <v>167.07999999999998</v>
      </c>
      <c r="O72" s="81">
        <f>IFERROR(VLOOKUP($G72,'321買'!A:E,3,0),"'沒有資料'")</f>
        <v>0</v>
      </c>
      <c r="P72" s="380">
        <f>IFERROR(VLOOKUP($G72,'321買'!$A:$G,7,0),"'沒有資料'")</f>
        <v>911</v>
      </c>
      <c r="Q72" s="388" t="s">
        <v>6632</v>
      </c>
      <c r="R72" s="297">
        <f>IFERROR(RANK(VLOOKUP($G72,連買!$A:$D,4,0),連買!$D:$D,0),"'沒有資料'")</f>
        <v>1697</v>
      </c>
      <c r="S72" s="45">
        <v>11</v>
      </c>
      <c r="T72" s="353">
        <f>S72/V72</f>
        <v>3.2448377581120944E-2</v>
      </c>
      <c r="U72" s="57">
        <v>18.16</v>
      </c>
      <c r="V72" s="13">
        <v>339</v>
      </c>
      <c r="W72" s="66">
        <v>334.5</v>
      </c>
      <c r="X72" s="15">
        <f t="shared" ref="X72:X77" si="88">V72-W72</f>
        <v>4.5</v>
      </c>
      <c r="Y72" s="63">
        <f t="shared" ref="Y72:Y77" si="89">X72/W72</f>
        <v>1.3452914798206279E-2</v>
      </c>
      <c r="Z72" s="413">
        <v>-34.33</v>
      </c>
      <c r="AA72" s="264"/>
      <c r="AD72" s="22" t="s">
        <v>259</v>
      </c>
      <c r="AE72" s="84">
        <v>44650</v>
      </c>
      <c r="AF72" s="83">
        <v>44651</v>
      </c>
      <c r="AG72" s="33">
        <f t="shared" ref="AG72:AG77" si="90">AF72-AE72</f>
        <v>1</v>
      </c>
      <c r="AH72" s="120" t="s">
        <v>1424</v>
      </c>
      <c r="AI72" s="63"/>
      <c r="AJ72" s="307"/>
    </row>
    <row r="73" spans="1:36">
      <c r="A73" s="130" t="s">
        <v>1988</v>
      </c>
      <c r="B73" s="79">
        <v>61</v>
      </c>
      <c r="C73" s="79">
        <v>56</v>
      </c>
      <c r="D73" s="80">
        <v>-16</v>
      </c>
      <c r="E73" s="79">
        <v>25</v>
      </c>
      <c r="F73" s="57">
        <v>23.18</v>
      </c>
      <c r="G73" s="80">
        <v>9938</v>
      </c>
      <c r="H73" s="8" t="s">
        <v>235</v>
      </c>
      <c r="I73" s="22" t="s">
        <v>136</v>
      </c>
      <c r="J73" s="323">
        <v>68.069999999999993</v>
      </c>
      <c r="K73" s="323">
        <v>32.17</v>
      </c>
      <c r="L73" s="73">
        <v>2.5299999999999998</v>
      </c>
      <c r="M73" s="73">
        <v>11.39</v>
      </c>
      <c r="N73" s="318">
        <f t="shared" si="87"/>
        <v>114.16</v>
      </c>
      <c r="O73" s="81">
        <f>IFERROR(VLOOKUP($G73,'321買'!A:E,3,0),"'沒有資料'")</f>
        <v>3</v>
      </c>
      <c r="P73" s="380">
        <f>IFERROR(VLOOKUP($G73,'321買'!$A:$G,7,0),"'沒有資料'")</f>
        <v>636</v>
      </c>
      <c r="Q73" s="388" t="s">
        <v>6632</v>
      </c>
      <c r="R73" s="297">
        <f>IFERROR(RANK(VLOOKUP($G73,連買!$A:$D,4,0),連買!$D:$D,0),"'沒有資料'")</f>
        <v>1720</v>
      </c>
      <c r="S73" s="45">
        <v>3.5</v>
      </c>
      <c r="T73" s="353">
        <f>S73/V73</f>
        <v>4.8814504881450484E-2</v>
      </c>
      <c r="U73" s="57">
        <v>6.8</v>
      </c>
      <c r="V73" s="36">
        <v>71.7</v>
      </c>
      <c r="W73" s="66">
        <v>70.099999999999994</v>
      </c>
      <c r="X73" s="15">
        <f t="shared" si="88"/>
        <v>1.6000000000000085</v>
      </c>
      <c r="Y73" s="63">
        <f t="shared" si="89"/>
        <v>2.2824536376604972E-2</v>
      </c>
      <c r="Z73" s="413">
        <v>-36.42</v>
      </c>
      <c r="AA73" s="126"/>
      <c r="AD73" s="22" t="s">
        <v>136</v>
      </c>
      <c r="AE73" s="84">
        <v>44650</v>
      </c>
      <c r="AF73" s="83">
        <v>44651</v>
      </c>
      <c r="AG73" s="33">
        <f t="shared" si="90"/>
        <v>1</v>
      </c>
      <c r="AH73" s="120" t="s">
        <v>3034</v>
      </c>
      <c r="AI73" s="63"/>
      <c r="AJ73" s="307"/>
    </row>
    <row r="74" spans="1:36">
      <c r="A74" s="130" t="s">
        <v>3221</v>
      </c>
      <c r="B74" s="80">
        <v>-17</v>
      </c>
      <c r="C74" s="80">
        <v>-14</v>
      </c>
      <c r="D74" s="80">
        <v>-14</v>
      </c>
      <c r="E74" s="79">
        <v>11</v>
      </c>
      <c r="F74" s="57">
        <v>10.97</v>
      </c>
      <c r="G74" s="79">
        <v>2753</v>
      </c>
      <c r="H74" s="8" t="s">
        <v>305</v>
      </c>
      <c r="I74" s="22" t="s">
        <v>3660</v>
      </c>
      <c r="J74" s="323">
        <v>55.01</v>
      </c>
      <c r="K74" s="73">
        <v>1.59</v>
      </c>
      <c r="L74" s="73">
        <v>4.58</v>
      </c>
      <c r="M74" s="323">
        <v>30.28</v>
      </c>
      <c r="N74" s="318">
        <f t="shared" si="87"/>
        <v>91.460000000000008</v>
      </c>
      <c r="O74" s="81">
        <f>IFERROR(VLOOKUP($G74,'321買'!A:E,3,0),"'沒有資料'")</f>
        <v>1</v>
      </c>
      <c r="P74" s="380">
        <f>IFERROR(VLOOKUP($G74,'321買'!$A:$G,7,0),"'沒有資料'")</f>
        <v>783</v>
      </c>
      <c r="Q74" s="388" t="s">
        <v>6632</v>
      </c>
      <c r="R74" s="297">
        <f>IFERROR(RANK(VLOOKUP($G74,連買!$A:$D,4,0),連買!$D:$D,0),"'沒有資料'")</f>
        <v>1672</v>
      </c>
      <c r="S74" s="45">
        <v>4.2300000000000004</v>
      </c>
      <c r="T74" s="353">
        <f>S74/V74</f>
        <v>3.1804511278195495E-2</v>
      </c>
      <c r="U74" s="57">
        <v>8.89</v>
      </c>
      <c r="V74" s="36">
        <v>133</v>
      </c>
      <c r="W74" s="66">
        <v>130</v>
      </c>
      <c r="X74" s="15">
        <f t="shared" si="88"/>
        <v>3</v>
      </c>
      <c r="Y74" s="63">
        <f t="shared" si="89"/>
        <v>2.3076923076923078E-2</v>
      </c>
      <c r="Z74" s="413">
        <v>-36.450000000000003</v>
      </c>
      <c r="AA74" s="126"/>
      <c r="AD74" s="22" t="s">
        <v>3660</v>
      </c>
      <c r="AE74" s="84">
        <v>44650</v>
      </c>
      <c r="AF74" s="83">
        <v>44651</v>
      </c>
      <c r="AG74" s="33">
        <f t="shared" si="90"/>
        <v>1</v>
      </c>
      <c r="AH74" s="43" t="s">
        <v>3205</v>
      </c>
      <c r="AI74" s="63"/>
      <c r="AJ74" s="307"/>
    </row>
    <row r="75" spans="1:36">
      <c r="A75" s="130" t="s">
        <v>1743</v>
      </c>
      <c r="B75" s="79">
        <v>231</v>
      </c>
      <c r="C75" s="79">
        <v>245</v>
      </c>
      <c r="D75" s="80">
        <v>-6</v>
      </c>
      <c r="E75" s="79">
        <v>28</v>
      </c>
      <c r="F75" s="57">
        <v>19.72</v>
      </c>
      <c r="G75" s="79">
        <v>8261</v>
      </c>
      <c r="H75" s="5" t="s">
        <v>3254</v>
      </c>
      <c r="I75" s="22" t="s">
        <v>324</v>
      </c>
      <c r="J75" s="323">
        <v>18.05</v>
      </c>
      <c r="K75" s="73">
        <v>14.46</v>
      </c>
      <c r="L75" s="323">
        <v>46.32</v>
      </c>
      <c r="M75" s="323">
        <v>13.85</v>
      </c>
      <c r="N75" s="318">
        <f t="shared" si="87"/>
        <v>92.68</v>
      </c>
      <c r="O75" s="81">
        <f>IFERROR(VLOOKUP($G75,'321買'!A:E,3,0),"'沒有資料'")</f>
        <v>73</v>
      </c>
      <c r="P75" s="380">
        <f>IFERROR(VLOOKUP($G75,'321買'!$A:$G,7,0),"'沒有資料'")</f>
        <v>28</v>
      </c>
      <c r="Q75" s="245" t="s">
        <v>3816</v>
      </c>
      <c r="R75" s="297">
        <f>IFERROR(RANK(VLOOKUP($G75,連買!$A:$D,4,0),連買!$D:$D,0),"'沒有資料'")</f>
        <v>180</v>
      </c>
      <c r="S75" s="45">
        <v>6</v>
      </c>
      <c r="T75" s="353">
        <f>S75/V75</f>
        <v>5.2173913043478258E-2</v>
      </c>
      <c r="U75" s="95">
        <v>8.0299999999999994</v>
      </c>
      <c r="V75" s="36">
        <v>115</v>
      </c>
      <c r="W75" s="66">
        <v>112.5</v>
      </c>
      <c r="X75" s="15">
        <f t="shared" si="88"/>
        <v>2.5</v>
      </c>
      <c r="Y75" s="63">
        <f t="shared" si="89"/>
        <v>2.2222222222222223E-2</v>
      </c>
      <c r="Z75" s="413">
        <v>-19.34</v>
      </c>
      <c r="AA75" s="126"/>
      <c r="AD75" s="22" t="s">
        <v>324</v>
      </c>
      <c r="AE75" s="84">
        <v>44649</v>
      </c>
      <c r="AF75" s="83">
        <v>44650</v>
      </c>
      <c r="AG75" s="33">
        <f t="shared" si="90"/>
        <v>1</v>
      </c>
      <c r="AH75" s="43" t="s">
        <v>2345</v>
      </c>
      <c r="AI75" s="63"/>
      <c r="AJ75" s="307"/>
    </row>
    <row r="76" spans="1:36">
      <c r="A76" s="130" t="s">
        <v>1725</v>
      </c>
      <c r="B76" s="80">
        <v>-6</v>
      </c>
      <c r="C76" s="79">
        <v>133</v>
      </c>
      <c r="D76" s="80">
        <v>-2</v>
      </c>
      <c r="E76" s="79">
        <v>45</v>
      </c>
      <c r="F76" s="57">
        <v>14.52</v>
      </c>
      <c r="G76" s="79">
        <v>8299</v>
      </c>
      <c r="H76" s="205" t="s">
        <v>3254</v>
      </c>
      <c r="I76" s="16" t="s">
        <v>4398</v>
      </c>
      <c r="J76" s="323">
        <v>42.18</v>
      </c>
      <c r="K76" s="73">
        <v>46.23</v>
      </c>
      <c r="L76" s="323">
        <v>12.78</v>
      </c>
      <c r="M76" s="323">
        <v>18.940000000000001</v>
      </c>
      <c r="N76" s="318">
        <f t="shared" si="87"/>
        <v>120.13</v>
      </c>
      <c r="O76" s="81">
        <f>IFERROR(VLOOKUP($G76,'321買'!A:E,3,0),"'沒有資料'")</f>
        <v>21</v>
      </c>
      <c r="P76" s="380">
        <f>IFERROR(VLOOKUP($G76,'321買'!$A:$G,7,0),"'沒有資料'")</f>
        <v>250</v>
      </c>
      <c r="Q76" s="245" t="s">
        <v>3818</v>
      </c>
      <c r="R76" s="297">
        <f>IFERROR(RANK(VLOOKUP($G76,連買!$A:$D,4,0),連買!$D:$D,0),"'沒有資料'")</f>
        <v>19</v>
      </c>
      <c r="S76" s="45">
        <v>13</v>
      </c>
      <c r="T76" s="353">
        <f t="shared" ref="T76" si="91">S76/V76</f>
        <v>2.6262626262626262E-2</v>
      </c>
      <c r="U76" s="95">
        <v>51.35</v>
      </c>
      <c r="V76" s="13">
        <v>495</v>
      </c>
      <c r="W76" s="66">
        <v>483.5</v>
      </c>
      <c r="X76" s="15">
        <f t="shared" si="88"/>
        <v>11.5</v>
      </c>
      <c r="Y76" s="63">
        <f t="shared" si="89"/>
        <v>2.3784901758014478E-2</v>
      </c>
      <c r="Z76" s="413">
        <v>-21.61</v>
      </c>
      <c r="AA76" s="126"/>
      <c r="AD76" s="16" t="s">
        <v>4398</v>
      </c>
      <c r="AE76" s="84">
        <v>44638</v>
      </c>
      <c r="AF76" s="83">
        <v>44650</v>
      </c>
      <c r="AG76" s="33">
        <f t="shared" si="90"/>
        <v>12</v>
      </c>
      <c r="AH76" s="120" t="s">
        <v>2289</v>
      </c>
      <c r="AI76" s="63"/>
      <c r="AJ76" s="307"/>
    </row>
    <row r="77" spans="1:36">
      <c r="A77" s="130" t="s">
        <v>2086</v>
      </c>
      <c r="B77" s="79">
        <v>8</v>
      </c>
      <c r="C77" s="79">
        <v>1</v>
      </c>
      <c r="D77" s="79">
        <v>0</v>
      </c>
      <c r="E77" s="79">
        <v>50</v>
      </c>
      <c r="F77" s="57">
        <v>25.71</v>
      </c>
      <c r="G77" s="80">
        <v>3217</v>
      </c>
      <c r="H77" s="8" t="s">
        <v>310</v>
      </c>
      <c r="I77" s="16" t="s">
        <v>404</v>
      </c>
      <c r="J77" s="323">
        <v>42.4</v>
      </c>
      <c r="K77" s="73">
        <v>11.11</v>
      </c>
      <c r="L77" s="73">
        <v>17.66</v>
      </c>
      <c r="M77" s="73">
        <v>13.03</v>
      </c>
      <c r="N77" s="318">
        <f t="shared" si="87"/>
        <v>84.2</v>
      </c>
      <c r="O77" s="81">
        <f>IFERROR(VLOOKUP($G77,'321買'!A:E,3,0),"'沒有資料'")</f>
        <v>29</v>
      </c>
      <c r="P77" s="380">
        <f>IFERROR(VLOOKUP($G77,'321買'!$A:$G,7,0),"'沒有資料'")</f>
        <v>117</v>
      </c>
      <c r="Q77" s="247" t="s">
        <v>5101</v>
      </c>
      <c r="R77" s="297">
        <f>IFERROR(RANK(VLOOKUP($G77,連買!$A:$D,4,0),連買!$D:$D,0),"'沒有資料'")</f>
        <v>249</v>
      </c>
      <c r="S77" s="45">
        <v>5.6</v>
      </c>
      <c r="T77" s="353">
        <f>S77/V77</f>
        <v>4.8695652173913043E-2</v>
      </c>
      <c r="U77" s="95">
        <v>7.11</v>
      </c>
      <c r="V77" s="36">
        <v>115</v>
      </c>
      <c r="W77" s="66">
        <v>110.5</v>
      </c>
      <c r="X77" s="15">
        <f t="shared" si="88"/>
        <v>4.5</v>
      </c>
      <c r="Y77" s="63">
        <f t="shared" si="89"/>
        <v>4.072398190045249E-2</v>
      </c>
      <c r="Z77" s="413">
        <v>-24.33</v>
      </c>
      <c r="AA77" s="126"/>
      <c r="AD77" s="16" t="s">
        <v>404</v>
      </c>
      <c r="AE77" s="84">
        <v>44648</v>
      </c>
      <c r="AF77" s="83">
        <v>44649</v>
      </c>
      <c r="AG77" s="33">
        <f t="shared" si="90"/>
        <v>1</v>
      </c>
      <c r="AH77" s="43" t="s">
        <v>4889</v>
      </c>
      <c r="AI77" s="63"/>
      <c r="AJ77" s="307"/>
    </row>
    <row r="78" spans="1:36">
      <c r="A78" s="130" t="s">
        <v>2175</v>
      </c>
      <c r="B78" s="79">
        <v>192</v>
      </c>
      <c r="C78" s="79">
        <v>175</v>
      </c>
      <c r="D78" s="80">
        <v>-11</v>
      </c>
      <c r="E78" s="79">
        <v>117</v>
      </c>
      <c r="F78" s="57">
        <v>10.11</v>
      </c>
      <c r="G78" s="79">
        <v>4721</v>
      </c>
      <c r="H78" s="8" t="s">
        <v>3879</v>
      </c>
      <c r="I78" s="16" t="s">
        <v>3932</v>
      </c>
      <c r="J78" s="323">
        <v>28.35</v>
      </c>
      <c r="K78" s="73">
        <v>4.78</v>
      </c>
      <c r="L78" s="73">
        <v>32.79</v>
      </c>
      <c r="M78" s="323">
        <v>9.5299999999999994</v>
      </c>
      <c r="N78" s="318">
        <f t="shared" ref="N78" si="92">J78+K78+L78+M78</f>
        <v>75.45</v>
      </c>
      <c r="O78" s="81">
        <f>IFERROR(VLOOKUP($G78,'321買'!A:E,3,0),"'沒有資料'")</f>
        <v>66</v>
      </c>
      <c r="P78" s="380">
        <f>IFERROR(VLOOKUP($G78,'321買'!$A:$G,7,0),"'沒有資料'")</f>
        <v>21</v>
      </c>
      <c r="Q78" s="247" t="s">
        <v>5101</v>
      </c>
      <c r="R78" s="297">
        <f>IFERROR(RANK(VLOOKUP($G78,連買!$A:$D,4,0),連買!$D:$D,0),"'沒有資料'")</f>
        <v>254</v>
      </c>
      <c r="S78" s="45">
        <v>3.8</v>
      </c>
      <c r="T78" s="353">
        <f t="shared" ref="T78" si="93">S78/V78</f>
        <v>2.4050632911392405E-2</v>
      </c>
      <c r="U78" s="95">
        <v>4.8099999999999996</v>
      </c>
      <c r="V78" s="36">
        <v>158</v>
      </c>
      <c r="W78" s="66">
        <v>155</v>
      </c>
      <c r="X78" s="15">
        <f t="shared" ref="X78" si="94">V78-W78</f>
        <v>3</v>
      </c>
      <c r="Y78" s="63">
        <f t="shared" ref="Y78" si="95">X78/W78</f>
        <v>1.935483870967742E-2</v>
      </c>
      <c r="Z78" s="413">
        <v>-15.99</v>
      </c>
      <c r="AA78" s="126"/>
      <c r="AD78" s="16" t="s">
        <v>3932</v>
      </c>
      <c r="AE78" s="84">
        <v>44645</v>
      </c>
      <c r="AF78" s="83">
        <v>44649</v>
      </c>
      <c r="AG78" s="33">
        <f t="shared" ref="AG78" si="96">AF78-AE78</f>
        <v>4</v>
      </c>
      <c r="AH78" s="120" t="s">
        <v>2473</v>
      </c>
      <c r="AI78" s="63"/>
      <c r="AJ78" s="307"/>
    </row>
    <row r="79" spans="1:36">
      <c r="A79" s="130" t="s">
        <v>1753</v>
      </c>
      <c r="B79" s="79">
        <v>133</v>
      </c>
      <c r="C79" s="79">
        <v>144</v>
      </c>
      <c r="D79" s="79">
        <v>10</v>
      </c>
      <c r="E79" s="79">
        <v>58</v>
      </c>
      <c r="F79" s="57">
        <v>22.08</v>
      </c>
      <c r="G79" s="79">
        <v>4952</v>
      </c>
      <c r="H79" s="8" t="s">
        <v>3254</v>
      </c>
      <c r="I79" s="22" t="s">
        <v>176</v>
      </c>
      <c r="J79" s="323">
        <v>49.17</v>
      </c>
      <c r="K79" s="73">
        <v>8.2899999999999991</v>
      </c>
      <c r="L79" s="323">
        <v>18.37</v>
      </c>
      <c r="M79" s="323">
        <v>36.18</v>
      </c>
      <c r="N79" s="318">
        <f t="shared" ref="N79" si="97">J79+K79+L79+M79</f>
        <v>112.00999999999999</v>
      </c>
      <c r="O79" s="81">
        <f>IFERROR(VLOOKUP($G79,'321買'!A:E,3,0),"'沒有資料'")</f>
        <v>22</v>
      </c>
      <c r="P79" s="380">
        <f>IFERROR(VLOOKUP($G79,'321買'!$A:$G,7,0),"'沒有資料'")</f>
        <v>233</v>
      </c>
      <c r="Q79" s="245" t="s">
        <v>3816</v>
      </c>
      <c r="R79" s="297">
        <f>IFERROR(RANK(VLOOKUP($G79,連買!$A:$D,4,0),連買!$D:$D,0),"'沒有資料'")</f>
        <v>216</v>
      </c>
      <c r="S79" s="45">
        <v>5.4</v>
      </c>
      <c r="T79" s="353">
        <f t="shared" ref="T79" si="98">S79/V79</f>
        <v>6.4593301435406703E-2</v>
      </c>
      <c r="U79" s="95">
        <v>2.59</v>
      </c>
      <c r="V79" s="36">
        <v>83.6</v>
      </c>
      <c r="W79" s="66">
        <v>82</v>
      </c>
      <c r="X79" s="15">
        <f t="shared" ref="X79" si="99">V79-W79</f>
        <v>1.5999999999999943</v>
      </c>
      <c r="Y79" s="63">
        <f t="shared" ref="Y79" si="100">X79/W79</f>
        <v>1.951219512195115E-2</v>
      </c>
      <c r="Z79" s="413">
        <v>-16.2</v>
      </c>
      <c r="AA79" s="126"/>
      <c r="AD79" s="22" t="s">
        <v>176</v>
      </c>
      <c r="AE79" s="84">
        <v>44648</v>
      </c>
      <c r="AF79" s="83">
        <v>44649</v>
      </c>
      <c r="AG79" s="33">
        <f t="shared" ref="AG79" si="101">AF79-AE79</f>
        <v>1</v>
      </c>
      <c r="AH79" s="120" t="s">
        <v>2261</v>
      </c>
      <c r="AI79" s="63"/>
      <c r="AJ79" s="307"/>
    </row>
    <row r="80" spans="1:36">
      <c r="A80" s="130" t="s">
        <v>1756</v>
      </c>
      <c r="B80" s="79">
        <v>120</v>
      </c>
      <c r="C80" s="79">
        <v>264</v>
      </c>
      <c r="D80" s="80">
        <v>-16</v>
      </c>
      <c r="E80" s="79">
        <v>46</v>
      </c>
      <c r="F80" s="57">
        <v>12.77</v>
      </c>
      <c r="G80" s="80">
        <v>2436</v>
      </c>
      <c r="H80" s="17" t="s">
        <v>3254</v>
      </c>
      <c r="I80" s="22" t="s">
        <v>112</v>
      </c>
      <c r="J80" s="323">
        <v>17.16</v>
      </c>
      <c r="K80" s="73">
        <v>7.05</v>
      </c>
      <c r="L80" s="73">
        <v>40.24</v>
      </c>
      <c r="M80" s="323">
        <v>8.25</v>
      </c>
      <c r="N80" s="318">
        <f>J80+K80+L80+M80</f>
        <v>72.7</v>
      </c>
      <c r="O80" s="81">
        <f>IFERROR(VLOOKUP($G80,'321買'!A:E,3,0),"'沒有資料'")</f>
        <v>72</v>
      </c>
      <c r="P80" s="380">
        <f>IFERROR(VLOOKUP($G80,'321買'!$A:$G,7,0),"'沒有資料'")</f>
        <v>14</v>
      </c>
      <c r="Q80" s="247" t="s">
        <v>5101</v>
      </c>
      <c r="R80" s="297">
        <f>IFERROR(RANK(VLOOKUP($G80,連買!$A:$D,4,0),連買!$D:$D,0),"'沒有資料'")</f>
        <v>219</v>
      </c>
      <c r="S80" s="45">
        <v>3</v>
      </c>
      <c r="T80" s="353">
        <f>S80/V80</f>
        <v>3.2967032967032968E-2</v>
      </c>
      <c r="U80" s="95">
        <v>4.25</v>
      </c>
      <c r="V80" s="36">
        <v>91</v>
      </c>
      <c r="W80" s="66">
        <v>89.4</v>
      </c>
      <c r="X80" s="15">
        <f>V80-W80</f>
        <v>1.5999999999999943</v>
      </c>
      <c r="Y80" s="63">
        <f>X80/W80</f>
        <v>1.7897091722595012E-2</v>
      </c>
      <c r="Z80" s="413">
        <v>-20.079999999999998</v>
      </c>
      <c r="AA80" s="126"/>
      <c r="AD80" s="22" t="s">
        <v>112</v>
      </c>
      <c r="AE80" s="84">
        <v>44644</v>
      </c>
      <c r="AF80" s="83">
        <v>44645</v>
      </c>
      <c r="AG80" s="33">
        <f>AF80-AE80</f>
        <v>1</v>
      </c>
      <c r="AH80" s="43" t="s">
        <v>2366</v>
      </c>
      <c r="AI80" s="63"/>
      <c r="AJ80" s="307"/>
    </row>
    <row r="81" spans="1:36">
      <c r="A81" s="146" t="s">
        <v>4609</v>
      </c>
      <c r="B81" s="79">
        <v>64</v>
      </c>
      <c r="C81" s="79">
        <v>64</v>
      </c>
      <c r="D81" s="80">
        <v>-6</v>
      </c>
      <c r="E81" s="79">
        <v>68</v>
      </c>
      <c r="F81" s="6">
        <v>6.45</v>
      </c>
      <c r="G81" s="79">
        <v>6278</v>
      </c>
      <c r="H81" s="5" t="s">
        <v>308</v>
      </c>
      <c r="I81" s="22" t="s">
        <v>4610</v>
      </c>
      <c r="J81" s="323">
        <v>58.95</v>
      </c>
      <c r="K81" s="73">
        <v>22.13</v>
      </c>
      <c r="L81" s="73">
        <v>14.91</v>
      </c>
      <c r="M81" s="73">
        <v>8.68</v>
      </c>
      <c r="N81" s="318">
        <f t="shared" ref="N81" si="102">J81+K81+L81+M81</f>
        <v>104.66999999999999</v>
      </c>
      <c r="O81" s="81">
        <f>IFERROR(VLOOKUP($G81,'321買'!A:E,3,0),"'沒有資料'")</f>
        <v>41</v>
      </c>
      <c r="P81" s="380">
        <f>IFERROR(VLOOKUP($G81,'321買'!$A:$G,7,0),"'沒有資料'")</f>
        <v>83</v>
      </c>
      <c r="Q81" s="245" t="s">
        <v>5088</v>
      </c>
      <c r="R81" s="297">
        <f>IFERROR(RANK(VLOOKUP($G81,連買!$A:$D,4,0),連買!$D:$D,0),"'沒有資料'")</f>
        <v>188</v>
      </c>
      <c r="S81" s="45">
        <v>3.3</v>
      </c>
      <c r="T81" s="353">
        <f t="shared" ref="T81" si="103">S81/V81</f>
        <v>2.7848101265822784E-2</v>
      </c>
      <c r="U81" s="57">
        <v>10.73</v>
      </c>
      <c r="V81" s="36">
        <v>118.5</v>
      </c>
      <c r="W81" s="66">
        <v>116.5</v>
      </c>
      <c r="X81" s="15">
        <f t="shared" ref="X81" si="104">V81-W81</f>
        <v>2</v>
      </c>
      <c r="Y81" s="63">
        <f t="shared" ref="Y81" si="105">X81/W81</f>
        <v>1.7167381974248927E-2</v>
      </c>
      <c r="Z81" s="413">
        <v>-3.47</v>
      </c>
      <c r="AA81" s="126"/>
      <c r="AD81" s="22" t="s">
        <v>4610</v>
      </c>
      <c r="AE81" s="84">
        <v>44602</v>
      </c>
      <c r="AF81" s="83">
        <v>44645</v>
      </c>
      <c r="AG81" s="33">
        <f t="shared" ref="AG81" si="106">AF81-AE81</f>
        <v>43</v>
      </c>
      <c r="AH81" s="43" t="s">
        <v>4611</v>
      </c>
      <c r="AI81" s="63"/>
      <c r="AJ81" s="307"/>
    </row>
    <row r="82" spans="1:36">
      <c r="A82" s="130" t="s">
        <v>2063</v>
      </c>
      <c r="B82" s="79">
        <v>33</v>
      </c>
      <c r="C82" s="79">
        <v>11</v>
      </c>
      <c r="D82" s="79">
        <v>1</v>
      </c>
      <c r="E82" s="79">
        <v>85</v>
      </c>
      <c r="F82" s="57">
        <v>18.12</v>
      </c>
      <c r="G82" s="79">
        <v>6591</v>
      </c>
      <c r="H82" s="46" t="s">
        <v>1152</v>
      </c>
      <c r="I82" s="22" t="s">
        <v>472</v>
      </c>
      <c r="J82" s="73">
        <v>23.12</v>
      </c>
      <c r="K82" s="73">
        <v>25.8</v>
      </c>
      <c r="L82" s="323">
        <v>26.88</v>
      </c>
      <c r="M82" s="323">
        <v>25.07</v>
      </c>
      <c r="N82" s="318">
        <f t="shared" ref="N82" si="107">J82+K82+L82+M82</f>
        <v>100.87</v>
      </c>
      <c r="O82" s="81">
        <f>IFERROR(VLOOKUP($G82,'321買'!A:E,3,0),"'沒有資料'")</f>
        <v>8</v>
      </c>
      <c r="P82" s="380">
        <f>IFERROR(VLOOKUP($G82,'321買'!$A:$G,7,0),"'沒有資料'")</f>
        <v>475</v>
      </c>
      <c r="Q82" s="245" t="s">
        <v>3816</v>
      </c>
      <c r="R82" s="297">
        <f>IFERROR(RANK(VLOOKUP($G82,連買!$A:$D,4,0),連買!$D:$D,0),"'沒有資料'")</f>
        <v>322</v>
      </c>
      <c r="S82" s="45">
        <v>4</v>
      </c>
      <c r="T82" s="353">
        <f t="shared" ref="T82" si="108">S82/V82</f>
        <v>6.4516129032258063E-2</v>
      </c>
      <c r="U82" s="95">
        <v>6.84</v>
      </c>
      <c r="V82" s="36">
        <v>62</v>
      </c>
      <c r="W82" s="66">
        <v>60.9</v>
      </c>
      <c r="X82" s="15">
        <f t="shared" ref="X82" si="109">V82-W82</f>
        <v>1.1000000000000014</v>
      </c>
      <c r="Y82" s="63">
        <f t="shared" ref="Y82" si="110">X82/W82</f>
        <v>1.8062397372742223E-2</v>
      </c>
      <c r="Z82" s="413">
        <v>-24.36</v>
      </c>
      <c r="AA82" s="126"/>
      <c r="AD82" s="22" t="s">
        <v>472</v>
      </c>
      <c r="AE82" s="84">
        <v>44637</v>
      </c>
      <c r="AF82" s="83">
        <v>44645</v>
      </c>
      <c r="AG82" s="33">
        <f t="shared" ref="AG82" si="111">AF82-AE82</f>
        <v>8</v>
      </c>
      <c r="AH82" s="43" t="s">
        <v>2499</v>
      </c>
      <c r="AI82" s="63"/>
      <c r="AJ82" s="307"/>
    </row>
    <row r="83" spans="1:36">
      <c r="A83" s="130" t="s">
        <v>3167</v>
      </c>
      <c r="B83" s="93">
        <v>1610</v>
      </c>
      <c r="C83" s="93">
        <v>2987</v>
      </c>
      <c r="D83" s="80">
        <v>-2</v>
      </c>
      <c r="E83" s="79">
        <v>51</v>
      </c>
      <c r="F83" s="57">
        <v>31.91</v>
      </c>
      <c r="G83" s="79">
        <v>6485</v>
      </c>
      <c r="H83" s="17" t="s">
        <v>3254</v>
      </c>
      <c r="I83" s="16" t="s">
        <v>232</v>
      </c>
      <c r="J83" s="323">
        <v>10.130000000000001</v>
      </c>
      <c r="K83" s="73">
        <v>8.31</v>
      </c>
      <c r="L83" s="323">
        <v>62.83</v>
      </c>
      <c r="M83" s="323">
        <v>10.25</v>
      </c>
      <c r="N83" s="318">
        <f>J83+K83+L83+M83</f>
        <v>91.52</v>
      </c>
      <c r="O83" s="81">
        <f>IFERROR(VLOOKUP($G83,'321買'!A:E,3,0),"'沒有資料'")</f>
        <v>82</v>
      </c>
      <c r="P83" s="380">
        <f>IFERROR(VLOOKUP($G83,'321買'!$A:$G,7,0),"'沒有資料'")</f>
        <v>14</v>
      </c>
      <c r="Q83" s="247" t="s">
        <v>5101</v>
      </c>
      <c r="R83" s="297">
        <f>IFERROR(RANK(VLOOKUP($G83,連買!$A:$D,4,0),連買!$D:$D,0),"'沒有資料'")</f>
        <v>98</v>
      </c>
      <c r="S83" s="45">
        <v>5</v>
      </c>
      <c r="T83" s="353">
        <f>S83/V83</f>
        <v>3.2786885245901641E-2</v>
      </c>
      <c r="U83" s="95">
        <v>12.29</v>
      </c>
      <c r="V83" s="36">
        <v>152.5</v>
      </c>
      <c r="W83" s="66">
        <v>150</v>
      </c>
      <c r="X83" s="15">
        <f>V83-W83</f>
        <v>2.5</v>
      </c>
      <c r="Y83" s="63">
        <f>X83/W83</f>
        <v>1.6666666666666666E-2</v>
      </c>
      <c r="Z83" s="413">
        <v>-20.94</v>
      </c>
      <c r="AA83" s="126"/>
      <c r="AD83" s="16" t="s">
        <v>232</v>
      </c>
      <c r="AE83" s="84">
        <v>44644</v>
      </c>
      <c r="AF83" s="86">
        <v>44644</v>
      </c>
      <c r="AG83" s="33">
        <f>AF83-AE83</f>
        <v>0</v>
      </c>
      <c r="AH83" s="43" t="s">
        <v>2548</v>
      </c>
      <c r="AI83" s="63"/>
      <c r="AJ83" s="307"/>
    </row>
    <row r="84" spans="1:36">
      <c r="A84" s="130" t="s">
        <v>2175</v>
      </c>
      <c r="B84" s="79">
        <v>148</v>
      </c>
      <c r="C84" s="79">
        <v>148</v>
      </c>
      <c r="D84" s="80">
        <v>-11</v>
      </c>
      <c r="E84" s="79">
        <v>117</v>
      </c>
      <c r="F84" s="57">
        <v>10.91</v>
      </c>
      <c r="G84" s="79">
        <v>4721</v>
      </c>
      <c r="H84" s="8" t="s">
        <v>3879</v>
      </c>
      <c r="I84" s="16" t="s">
        <v>3932</v>
      </c>
      <c r="J84" s="323">
        <v>28.35</v>
      </c>
      <c r="K84" s="73">
        <v>3.85</v>
      </c>
      <c r="L84" s="73">
        <v>31.59</v>
      </c>
      <c r="M84" s="323">
        <v>9.5299999999999994</v>
      </c>
      <c r="N84" s="318">
        <f t="shared" ref="N84" si="112">J84+K84+L84+M84</f>
        <v>73.320000000000007</v>
      </c>
      <c r="O84" s="81">
        <f>IFERROR(VLOOKUP($G84,'321買'!A:E,3,0),"'沒有資料'")</f>
        <v>66</v>
      </c>
      <c r="P84" s="380">
        <f>IFERROR(VLOOKUP($G84,'321買'!$A:$G,7,0),"'沒有資料'")</f>
        <v>21</v>
      </c>
      <c r="Q84" s="245" t="s">
        <v>3816</v>
      </c>
      <c r="R84" s="297">
        <f>IFERROR(RANK(VLOOKUP($G84,連買!$A:$D,4,0),連買!$D:$D,0),"'沒有資料'")</f>
        <v>254</v>
      </c>
      <c r="S84" s="45">
        <v>3.8</v>
      </c>
      <c r="T84" s="353">
        <f t="shared" ref="T84" si="113">S84/V84</f>
        <v>2.4203821656050954E-2</v>
      </c>
      <c r="U84" s="95">
        <v>4.8099999999999996</v>
      </c>
      <c r="V84" s="36">
        <v>157</v>
      </c>
      <c r="W84" s="66">
        <v>154</v>
      </c>
      <c r="X84" s="15">
        <f t="shared" ref="X84" si="114">V84-W84</f>
        <v>3</v>
      </c>
      <c r="Y84" s="63">
        <f t="shared" ref="Y84" si="115">X84/W84</f>
        <v>1.948051948051948E-2</v>
      </c>
      <c r="Z84" s="413">
        <v>-17.34</v>
      </c>
      <c r="AA84" s="126"/>
      <c r="AD84" s="16" t="s">
        <v>3932</v>
      </c>
      <c r="AE84" s="84">
        <v>44643</v>
      </c>
      <c r="AF84" s="83">
        <v>44644</v>
      </c>
      <c r="AG84" s="33">
        <f t="shared" ref="AG84" si="116">AF84-AE84</f>
        <v>1</v>
      </c>
      <c r="AH84" s="120" t="s">
        <v>2473</v>
      </c>
      <c r="AI84" s="63"/>
      <c r="AJ84" s="307"/>
    </row>
    <row r="85" spans="1:36">
      <c r="A85" s="130" t="s">
        <v>1753</v>
      </c>
      <c r="B85" s="79">
        <v>133</v>
      </c>
      <c r="C85" s="79">
        <v>144</v>
      </c>
      <c r="D85" s="79">
        <v>10</v>
      </c>
      <c r="E85" s="79">
        <v>58</v>
      </c>
      <c r="F85" s="57">
        <v>22.08</v>
      </c>
      <c r="G85" s="79">
        <v>4952</v>
      </c>
      <c r="H85" s="8" t="s">
        <v>3254</v>
      </c>
      <c r="I85" s="22" t="s">
        <v>176</v>
      </c>
      <c r="J85" s="323">
        <v>49.17</v>
      </c>
      <c r="K85" s="73">
        <v>7.9</v>
      </c>
      <c r="L85" s="323">
        <v>15.11</v>
      </c>
      <c r="M85" s="323">
        <v>36.18</v>
      </c>
      <c r="N85" s="318">
        <f t="shared" ref="N85" si="117">J85+K85+L85+M85</f>
        <v>108.36000000000001</v>
      </c>
      <c r="O85" s="81">
        <f>IFERROR(VLOOKUP($G85,'321買'!A:E,3,0),"'沒有資料'")</f>
        <v>22</v>
      </c>
      <c r="P85" s="380">
        <f>IFERROR(VLOOKUP($G85,'321買'!$A:$G,7,0),"'沒有資料'")</f>
        <v>233</v>
      </c>
      <c r="Q85" s="245" t="s">
        <v>3816</v>
      </c>
      <c r="R85" s="297">
        <f>IFERROR(RANK(VLOOKUP($G85,連買!$A:$D,4,0),連買!$D:$D,0),"'沒有資料'")</f>
        <v>216</v>
      </c>
      <c r="S85" s="45">
        <v>5.4</v>
      </c>
      <c r="T85" s="353">
        <f>S85/V85</f>
        <v>7.2972972972972977E-2</v>
      </c>
      <c r="U85" s="95">
        <v>2.59</v>
      </c>
      <c r="V85" s="36">
        <v>74</v>
      </c>
      <c r="W85" s="66">
        <v>72.7</v>
      </c>
      <c r="X85" s="15">
        <f t="shared" ref="X85" si="118">V85-W85</f>
        <v>1.2999999999999972</v>
      </c>
      <c r="Y85" s="63">
        <f t="shared" ref="Y85" si="119">X85/W85</f>
        <v>1.7881705639614817E-2</v>
      </c>
      <c r="Z85" s="413">
        <v>-25.9</v>
      </c>
      <c r="AA85" s="126"/>
      <c r="AD85" s="22" t="s">
        <v>176</v>
      </c>
      <c r="AE85" s="84">
        <v>44638</v>
      </c>
      <c r="AF85" s="83">
        <v>44643</v>
      </c>
      <c r="AG85" s="33">
        <f t="shared" ref="AG85" si="120">AF85-AE85</f>
        <v>5</v>
      </c>
      <c r="AH85" s="120" t="s">
        <v>2261</v>
      </c>
      <c r="AI85" s="63"/>
      <c r="AJ85" s="307"/>
    </row>
    <row r="86" spans="1:36">
      <c r="A86" s="130" t="s">
        <v>2034</v>
      </c>
      <c r="B86" s="93">
        <v>1262</v>
      </c>
      <c r="C86" s="93">
        <v>1058</v>
      </c>
      <c r="D86" s="80">
        <v>-45</v>
      </c>
      <c r="E86" s="79">
        <v>32</v>
      </c>
      <c r="F86" s="57">
        <v>17.05</v>
      </c>
      <c r="G86" s="79">
        <v>3122</v>
      </c>
      <c r="H86" s="195" t="s">
        <v>3254</v>
      </c>
      <c r="I86" s="16" t="s">
        <v>360</v>
      </c>
      <c r="J86" s="323">
        <v>16.170000000000002</v>
      </c>
      <c r="K86" s="73">
        <v>6.3</v>
      </c>
      <c r="L86" s="73">
        <v>38.47</v>
      </c>
      <c r="M86" s="323">
        <v>15.47</v>
      </c>
      <c r="N86" s="318">
        <f>J86+K86+L86+M86</f>
        <v>76.41</v>
      </c>
      <c r="O86" s="81">
        <f>IFERROR(VLOOKUP($G86,'321買'!A:E,3,0),"'沒有資料'")</f>
        <v>80</v>
      </c>
      <c r="P86" s="380">
        <f>IFERROR(VLOOKUP($G86,'321買'!$A:$G,7,0),"'沒有資料'")</f>
        <v>23</v>
      </c>
      <c r="Q86" s="245" t="s">
        <v>3816</v>
      </c>
      <c r="R86" s="297">
        <f>IFERROR(RANK(VLOOKUP($G86,連買!$A:$D,4,0),連買!$D:$D,0),"'沒有資料'")</f>
        <v>395</v>
      </c>
      <c r="S86" s="34">
        <v>2.2000000000000002</v>
      </c>
      <c r="T86" s="353">
        <f>S86/V86</f>
        <v>3.7735849056603779E-2</v>
      </c>
      <c r="U86" s="95">
        <v>3.38</v>
      </c>
      <c r="V86" s="36">
        <v>58.3</v>
      </c>
      <c r="W86" s="66">
        <v>57.1</v>
      </c>
      <c r="X86" s="15">
        <f>V86-W86</f>
        <v>1.1999999999999957</v>
      </c>
      <c r="Y86" s="63">
        <f>X86/W86</f>
        <v>2.1015761821365948E-2</v>
      </c>
      <c r="Z86" s="413">
        <v>-22.94</v>
      </c>
      <c r="AA86" s="126"/>
      <c r="AD86" s="16" t="s">
        <v>360</v>
      </c>
      <c r="AE86" s="84">
        <v>44643</v>
      </c>
      <c r="AF86" s="86">
        <v>44643</v>
      </c>
      <c r="AG86" s="33">
        <f>AF86-AE86</f>
        <v>0</v>
      </c>
      <c r="AH86" s="43" t="s">
        <v>2535</v>
      </c>
      <c r="AI86" s="63"/>
      <c r="AJ86" s="307"/>
    </row>
    <row r="87" spans="1:36">
      <c r="A87" s="130" t="s">
        <v>1743</v>
      </c>
      <c r="B87" s="79">
        <v>231</v>
      </c>
      <c r="C87" s="79">
        <v>245</v>
      </c>
      <c r="D87" s="80">
        <v>-6</v>
      </c>
      <c r="E87" s="79">
        <v>28</v>
      </c>
      <c r="F87" s="57">
        <v>19.72</v>
      </c>
      <c r="G87" s="79">
        <v>8261</v>
      </c>
      <c r="H87" s="8" t="s">
        <v>3254</v>
      </c>
      <c r="I87" s="22" t="s">
        <v>324</v>
      </c>
      <c r="J87" s="73">
        <v>21.26</v>
      </c>
      <c r="K87" s="73">
        <v>16.27</v>
      </c>
      <c r="L87" s="323">
        <v>48.58</v>
      </c>
      <c r="M87" s="323">
        <v>13.85</v>
      </c>
      <c r="N87" s="318">
        <f>J87+K87+L87+M87</f>
        <v>99.96</v>
      </c>
      <c r="O87" s="81">
        <f>IFERROR(VLOOKUP($G87,'321買'!A:E,3,0),"'沒有資料'")</f>
        <v>73</v>
      </c>
      <c r="P87" s="380">
        <f>IFERROR(VLOOKUP($G87,'321買'!$A:$G,7,0),"'沒有資料'")</f>
        <v>28</v>
      </c>
      <c r="Q87" s="245" t="s">
        <v>3816</v>
      </c>
      <c r="R87" s="297">
        <f>IFERROR(RANK(VLOOKUP($G87,連買!$A:$D,4,0),連買!$D:$D,0),"'沒有資料'")</f>
        <v>180</v>
      </c>
      <c r="S87" s="45">
        <v>6</v>
      </c>
      <c r="T87" s="353">
        <f>S87/V87</f>
        <v>5.0847457627118647E-2</v>
      </c>
      <c r="U87" s="95">
        <v>8.0299999999999994</v>
      </c>
      <c r="V87" s="36">
        <v>118</v>
      </c>
      <c r="W87" s="66">
        <v>115.5</v>
      </c>
      <c r="X87" s="15">
        <f>V87-W87</f>
        <v>2.5</v>
      </c>
      <c r="Y87" s="63">
        <f>X87/W87</f>
        <v>2.1645021645021644E-2</v>
      </c>
      <c r="Z87" s="413">
        <v>-16.420000000000002</v>
      </c>
      <c r="AA87" s="126"/>
      <c r="AD87" s="22" t="s">
        <v>324</v>
      </c>
      <c r="AE87" s="84">
        <v>44643</v>
      </c>
      <c r="AF87" s="86">
        <v>44643</v>
      </c>
      <c r="AG87" s="33">
        <f>AF87-AE87</f>
        <v>0</v>
      </c>
      <c r="AH87" s="43" t="s">
        <v>2345</v>
      </c>
      <c r="AI87" s="63"/>
      <c r="AJ87" s="307"/>
    </row>
    <row r="88" spans="1:36">
      <c r="A88" s="130" t="s">
        <v>2107</v>
      </c>
      <c r="B88" s="79">
        <v>64</v>
      </c>
      <c r="C88" s="79">
        <v>168</v>
      </c>
      <c r="D88" s="80">
        <v>-26</v>
      </c>
      <c r="E88" s="80">
        <v>-32</v>
      </c>
      <c r="F88" s="57">
        <v>17.600000000000001</v>
      </c>
      <c r="G88" s="79">
        <v>3580</v>
      </c>
      <c r="H88" s="8" t="s">
        <v>316</v>
      </c>
      <c r="I88" s="16" t="s">
        <v>5016</v>
      </c>
      <c r="J88" s="323">
        <v>16.82</v>
      </c>
      <c r="K88" s="73">
        <v>4.29</v>
      </c>
      <c r="L88" s="73">
        <v>39.159999999999997</v>
      </c>
      <c r="M88" s="323">
        <v>10.74</v>
      </c>
      <c r="N88" s="318">
        <f>J88+K88+L88+M88</f>
        <v>71.009999999999991</v>
      </c>
      <c r="O88" s="81">
        <f>IFERROR(VLOOKUP($G88,'321買'!A:E,3,0),"'沒有資料'")</f>
        <v>13</v>
      </c>
      <c r="P88" s="380">
        <f>IFERROR(VLOOKUP($G88,'321買'!$A:$G,7,0),"'沒有資料'")</f>
        <v>368</v>
      </c>
      <c r="Q88" s="245" t="s">
        <v>3816</v>
      </c>
      <c r="R88" s="297">
        <f>IFERROR(RANK(VLOOKUP($G88,連買!$A:$D,4,0),連買!$D:$D,0),"'沒有資料'")</f>
        <v>289</v>
      </c>
      <c r="S88" s="34">
        <v>2.1</v>
      </c>
      <c r="T88" s="353">
        <f>S88/V88</f>
        <v>3.0346820809248554E-2</v>
      </c>
      <c r="U88" s="95">
        <v>3.02</v>
      </c>
      <c r="V88" s="36">
        <v>69.2</v>
      </c>
      <c r="W88" s="66">
        <v>67.7</v>
      </c>
      <c r="X88" s="15">
        <f>V88-W88</f>
        <v>1.5</v>
      </c>
      <c r="Y88" s="63">
        <f>X88/W88</f>
        <v>2.2156573116691284E-2</v>
      </c>
      <c r="Z88" s="413">
        <v>-16.21</v>
      </c>
      <c r="AA88" s="126"/>
      <c r="AD88" s="16" t="s">
        <v>5016</v>
      </c>
      <c r="AE88" s="84">
        <v>44641</v>
      </c>
      <c r="AF88" s="83">
        <v>44643</v>
      </c>
      <c r="AG88" s="33">
        <f>AF88-AE88</f>
        <v>2</v>
      </c>
      <c r="AH88" s="120" t="s">
        <v>2506</v>
      </c>
      <c r="AI88" s="63"/>
      <c r="AJ88" s="307"/>
    </row>
    <row r="89" spans="1:36">
      <c r="A89" s="130" t="s">
        <v>1507</v>
      </c>
      <c r="B89" s="79">
        <v>164</v>
      </c>
      <c r="C89" s="79">
        <v>92</v>
      </c>
      <c r="D89" s="80">
        <v>-9</v>
      </c>
      <c r="E89" s="79">
        <v>14</v>
      </c>
      <c r="F89" s="57">
        <v>11.14</v>
      </c>
      <c r="G89" s="79">
        <v>8255</v>
      </c>
      <c r="H89" s="8" t="s">
        <v>297</v>
      </c>
      <c r="I89" s="16" t="s">
        <v>3899</v>
      </c>
      <c r="J89" s="73">
        <v>46.26</v>
      </c>
      <c r="K89" s="73">
        <v>15.63</v>
      </c>
      <c r="L89" s="323">
        <v>15.89</v>
      </c>
      <c r="M89" s="323">
        <v>38.869999999999997</v>
      </c>
      <c r="N89" s="318">
        <f t="shared" ref="N89:N96" si="121">J89+K89+L89+M89</f>
        <v>116.65</v>
      </c>
      <c r="O89" s="81">
        <f>IFERROR(VLOOKUP($G89,'321買'!A:E,3,0),"'沒有資料'")</f>
        <v>76</v>
      </c>
      <c r="P89" s="380">
        <f>IFERROR(VLOOKUP($G89,'321買'!$A:$G,7,0),"'沒有資料'")</f>
        <v>25</v>
      </c>
      <c r="Q89" s="247" t="s">
        <v>5101</v>
      </c>
      <c r="R89" s="297">
        <f>IFERROR(RANK(VLOOKUP($G89,連買!$A:$D,4,0),連買!$D:$D,0),"'沒有資料'")</f>
        <v>58</v>
      </c>
      <c r="S89" s="45">
        <v>4</v>
      </c>
      <c r="T89" s="353">
        <f t="shared" ref="T89:T96" si="122">S89/V89</f>
        <v>1.6129032258064516E-2</v>
      </c>
      <c r="U89" s="95">
        <v>5.25</v>
      </c>
      <c r="V89" s="36">
        <v>248</v>
      </c>
      <c r="W89" s="66">
        <v>244</v>
      </c>
      <c r="X89" s="15">
        <f t="shared" ref="X89:X96" si="123">V89-W89</f>
        <v>4</v>
      </c>
      <c r="Y89" s="63">
        <f t="shared" ref="Y89:Y96" si="124">X89/W89</f>
        <v>1.6393442622950821E-2</v>
      </c>
      <c r="Z89" s="413">
        <v>-18.86</v>
      </c>
      <c r="AA89" s="126"/>
      <c r="AD89" s="16" t="s">
        <v>3899</v>
      </c>
      <c r="AE89" s="84">
        <v>44641</v>
      </c>
      <c r="AF89" s="83">
        <v>44642</v>
      </c>
      <c r="AG89" s="33">
        <f t="shared" ref="AG89:AG96" si="125">AF89-AE89</f>
        <v>1</v>
      </c>
      <c r="AH89" s="120" t="s">
        <v>2524</v>
      </c>
      <c r="AI89" s="63"/>
      <c r="AJ89" s="307"/>
    </row>
    <row r="90" spans="1:36">
      <c r="A90" s="130" t="s">
        <v>2200</v>
      </c>
      <c r="B90" s="79">
        <v>74</v>
      </c>
      <c r="C90" s="79">
        <v>70</v>
      </c>
      <c r="D90" s="79">
        <v>2</v>
      </c>
      <c r="E90" s="79">
        <v>58</v>
      </c>
      <c r="F90" s="57">
        <v>26.09</v>
      </c>
      <c r="G90" s="79">
        <v>6491</v>
      </c>
      <c r="H90" s="204" t="s">
        <v>311</v>
      </c>
      <c r="I90" s="22" t="s">
        <v>4140</v>
      </c>
      <c r="J90" s="73">
        <v>89.33</v>
      </c>
      <c r="K90" s="73">
        <v>16.989999999999998</v>
      </c>
      <c r="L90" s="73">
        <v>4.18</v>
      </c>
      <c r="M90" s="323">
        <v>43</v>
      </c>
      <c r="N90" s="73">
        <f t="shared" si="121"/>
        <v>153.5</v>
      </c>
      <c r="O90" s="81">
        <f>IFERROR(VLOOKUP($G90,'321買'!A:E,3,0),"'沒有資料'")</f>
        <v>28</v>
      </c>
      <c r="P90" s="380">
        <f>IFERROR(VLOOKUP($G90,'321買'!$A:$G,7,0),"'沒有資料'")</f>
        <v>196</v>
      </c>
      <c r="Q90" s="245" t="s">
        <v>3817</v>
      </c>
      <c r="R90" s="297">
        <f>IFERROR(RANK(VLOOKUP($G90,連買!$A:$D,4,0),連買!$D:$D,0),"'沒有資料'")</f>
        <v>16</v>
      </c>
      <c r="S90" s="45">
        <v>8.5</v>
      </c>
      <c r="T90" s="353">
        <f t="shared" si="122"/>
        <v>1.7241379310344827E-2</v>
      </c>
      <c r="U90" s="57">
        <v>17.84</v>
      </c>
      <c r="V90" s="36">
        <v>493</v>
      </c>
      <c r="W90" s="66">
        <v>483.5</v>
      </c>
      <c r="X90" s="15">
        <f t="shared" si="123"/>
        <v>9.5</v>
      </c>
      <c r="Y90" s="63">
        <f t="shared" si="124"/>
        <v>1.9648397104446741E-2</v>
      </c>
      <c r="Z90" s="413">
        <v>-28.54</v>
      </c>
      <c r="AA90" s="126"/>
      <c r="AD90" s="22" t="s">
        <v>4140</v>
      </c>
      <c r="AE90" s="84">
        <v>44642</v>
      </c>
      <c r="AF90" s="86">
        <v>44642</v>
      </c>
      <c r="AG90" s="33">
        <f t="shared" si="125"/>
        <v>0</v>
      </c>
      <c r="AH90" s="120" t="s">
        <v>4141</v>
      </c>
      <c r="AI90" s="63"/>
      <c r="AJ90" s="307"/>
    </row>
    <row r="91" spans="1:36">
      <c r="A91" s="130" t="s">
        <v>6565</v>
      </c>
      <c r="B91" s="93">
        <v>1262</v>
      </c>
      <c r="C91" s="93">
        <v>1058</v>
      </c>
      <c r="D91" s="80">
        <v>-45</v>
      </c>
      <c r="E91" s="79">
        <v>32</v>
      </c>
      <c r="F91" s="57">
        <v>17.05</v>
      </c>
      <c r="G91" s="79">
        <v>3122</v>
      </c>
      <c r="H91" s="195" t="s">
        <v>3254</v>
      </c>
      <c r="I91" s="16" t="s">
        <v>360</v>
      </c>
      <c r="J91" s="323">
        <v>16.190000000000001</v>
      </c>
      <c r="K91" s="73">
        <v>5.57</v>
      </c>
      <c r="L91" s="73">
        <v>37.020000000000003</v>
      </c>
      <c r="M91" s="323">
        <v>15.47</v>
      </c>
      <c r="N91" s="318">
        <f t="shared" si="121"/>
        <v>74.25</v>
      </c>
      <c r="O91" s="81">
        <f>IFERROR(VLOOKUP($G91,'321買'!A:E,3,0),"'沒有資料'")</f>
        <v>80</v>
      </c>
      <c r="P91" s="380">
        <f>IFERROR(VLOOKUP($G91,'321買'!$A:$G,7,0),"'沒有資料'")</f>
        <v>23</v>
      </c>
      <c r="Q91" s="245" t="s">
        <v>3816</v>
      </c>
      <c r="R91" s="297">
        <f>IFERROR(RANK(VLOOKUP($G91,連買!$A:$D,4,0),連買!$D:$D,0),"'沒有資料'")</f>
        <v>395</v>
      </c>
      <c r="S91" s="34">
        <v>2.2000000000000002</v>
      </c>
      <c r="T91" s="353">
        <f t="shared" si="122"/>
        <v>3.9007092198581561E-2</v>
      </c>
      <c r="U91" s="95">
        <v>3.38</v>
      </c>
      <c r="V91" s="36">
        <v>56.4</v>
      </c>
      <c r="W91" s="66">
        <v>55.4</v>
      </c>
      <c r="X91" s="15">
        <f t="shared" si="123"/>
        <v>1</v>
      </c>
      <c r="Y91" s="63">
        <f t="shared" si="124"/>
        <v>1.8050541516245487E-2</v>
      </c>
      <c r="Z91" s="413">
        <v>-24.73</v>
      </c>
      <c r="AA91" s="126"/>
      <c r="AD91" s="16" t="s">
        <v>360</v>
      </c>
      <c r="AE91" s="84">
        <v>44638</v>
      </c>
      <c r="AF91" s="83">
        <v>44642</v>
      </c>
      <c r="AG91" s="33">
        <f t="shared" si="125"/>
        <v>4</v>
      </c>
      <c r="AH91" s="43" t="s">
        <v>2535</v>
      </c>
      <c r="AI91" s="63"/>
      <c r="AJ91" s="307"/>
    </row>
    <row r="92" spans="1:36">
      <c r="A92" s="130" t="s">
        <v>3641</v>
      </c>
      <c r="B92" s="79">
        <v>364</v>
      </c>
      <c r="C92" s="79">
        <v>408</v>
      </c>
      <c r="D92" s="80">
        <v>-7</v>
      </c>
      <c r="E92" s="79">
        <v>9</v>
      </c>
      <c r="F92" s="57">
        <v>24.64</v>
      </c>
      <c r="G92" s="79">
        <v>3006</v>
      </c>
      <c r="H92" s="8" t="s">
        <v>3254</v>
      </c>
      <c r="I92" s="22" t="s">
        <v>95</v>
      </c>
      <c r="J92" s="323">
        <v>39.65</v>
      </c>
      <c r="K92" s="73">
        <v>26.74</v>
      </c>
      <c r="L92" s="323">
        <v>54.67</v>
      </c>
      <c r="M92" s="323">
        <v>5.75</v>
      </c>
      <c r="N92" s="318">
        <f t="shared" si="121"/>
        <v>126.81</v>
      </c>
      <c r="O92" s="81">
        <f>IFERROR(VLOOKUP($G92,'321買'!A:E,3,0),"'沒有資料'")</f>
        <v>78</v>
      </c>
      <c r="P92" s="380">
        <f>IFERROR(VLOOKUP($G92,'321買'!$A:$G,7,0),"'沒有資料'")</f>
        <v>13</v>
      </c>
      <c r="Q92" s="247" t="s">
        <v>5101</v>
      </c>
      <c r="R92" s="297">
        <f>IFERROR(RANK(VLOOKUP($G92,連買!$A:$D,4,0),連買!$D:$D,0),"'沒有資料'")</f>
        <v>74</v>
      </c>
      <c r="S92" s="45">
        <v>8</v>
      </c>
      <c r="T92" s="353">
        <f t="shared" si="122"/>
        <v>4.4444444444444446E-2</v>
      </c>
      <c r="U92" s="95">
        <v>17.760000000000002</v>
      </c>
      <c r="V92" s="36">
        <v>180</v>
      </c>
      <c r="W92" s="66">
        <v>175.5</v>
      </c>
      <c r="X92" s="15">
        <f t="shared" si="123"/>
        <v>4.5</v>
      </c>
      <c r="Y92" s="63">
        <f t="shared" si="124"/>
        <v>2.564102564102564E-2</v>
      </c>
      <c r="Z92" s="413">
        <v>-18.309999999999999</v>
      </c>
      <c r="AA92" s="126"/>
      <c r="AD92" s="22" t="s">
        <v>95</v>
      </c>
      <c r="AE92" s="84">
        <v>44638</v>
      </c>
      <c r="AF92" s="83">
        <v>44641</v>
      </c>
      <c r="AG92" s="33">
        <f t="shared" si="125"/>
        <v>3</v>
      </c>
      <c r="AH92" s="120" t="s">
        <v>2289</v>
      </c>
      <c r="AI92" s="63"/>
      <c r="AJ92" s="307"/>
    </row>
    <row r="93" spans="1:36">
      <c r="A93" s="146" t="s">
        <v>6564</v>
      </c>
      <c r="B93" s="79">
        <v>451</v>
      </c>
      <c r="C93" s="79">
        <v>932</v>
      </c>
      <c r="D93" s="79">
        <v>1</v>
      </c>
      <c r="E93" s="79">
        <v>17</v>
      </c>
      <c r="F93" s="6">
        <v>8.0299999999999994</v>
      </c>
      <c r="G93" s="79">
        <v>4919</v>
      </c>
      <c r="H93" s="8" t="s">
        <v>3254</v>
      </c>
      <c r="I93" s="22" t="s">
        <v>118</v>
      </c>
      <c r="J93" s="73">
        <v>66.56</v>
      </c>
      <c r="K93" s="73">
        <v>15.32</v>
      </c>
      <c r="L93" s="323">
        <v>17.940000000000001</v>
      </c>
      <c r="M93" s="323">
        <v>52.65</v>
      </c>
      <c r="N93" s="318">
        <f t="shared" si="121"/>
        <v>152.47</v>
      </c>
      <c r="O93" s="81">
        <f>IFERROR(VLOOKUP($G93,'321買'!A:E,3,0),"'沒有資料'")</f>
        <v>76</v>
      </c>
      <c r="P93" s="380">
        <f>IFERROR(VLOOKUP($G93,'321買'!$A:$G,7,0),"'沒有資料'")</f>
        <v>25</v>
      </c>
      <c r="Q93" s="245" t="s">
        <v>3816</v>
      </c>
      <c r="R93" s="297">
        <f>IFERROR(RANK(VLOOKUP($G93,連買!$A:$D,4,0),連買!$D:$D,0),"'沒有資料'")</f>
        <v>132</v>
      </c>
      <c r="S93" s="45">
        <v>5</v>
      </c>
      <c r="T93" s="353">
        <f t="shared" si="122"/>
        <v>3.3003300330033E-2</v>
      </c>
      <c r="U93" s="57">
        <v>2.52</v>
      </c>
      <c r="V93" s="36">
        <v>151.5</v>
      </c>
      <c r="W93" s="66">
        <v>149</v>
      </c>
      <c r="X93" s="15">
        <f t="shared" si="123"/>
        <v>2.5</v>
      </c>
      <c r="Y93" s="63">
        <f t="shared" si="124"/>
        <v>1.6778523489932886E-2</v>
      </c>
      <c r="Z93" s="413">
        <v>-15.14</v>
      </c>
      <c r="AA93" s="126"/>
      <c r="AD93" s="22" t="s">
        <v>118</v>
      </c>
      <c r="AE93" s="84">
        <v>44638</v>
      </c>
      <c r="AF93" s="83">
        <v>44641</v>
      </c>
      <c r="AG93" s="33">
        <f t="shared" si="125"/>
        <v>3</v>
      </c>
      <c r="AH93" s="120" t="s">
        <v>3236</v>
      </c>
      <c r="AI93" s="63"/>
      <c r="AJ93" s="307"/>
    </row>
    <row r="94" spans="1:36">
      <c r="A94" s="130" t="s">
        <v>1663</v>
      </c>
      <c r="B94" s="79">
        <v>30</v>
      </c>
      <c r="C94" s="79">
        <v>30</v>
      </c>
      <c r="D94" s="80">
        <v>-13</v>
      </c>
      <c r="E94" s="79">
        <v>32</v>
      </c>
      <c r="F94" s="57">
        <v>45.42</v>
      </c>
      <c r="G94" s="80">
        <v>5274</v>
      </c>
      <c r="H94" s="149" t="s">
        <v>3254</v>
      </c>
      <c r="I94" s="16" t="s">
        <v>217</v>
      </c>
      <c r="J94" s="73">
        <v>21.57</v>
      </c>
      <c r="K94" s="73">
        <v>68.739999999999995</v>
      </c>
      <c r="L94" s="323">
        <v>1.51</v>
      </c>
      <c r="M94" s="73">
        <v>21.8</v>
      </c>
      <c r="N94" s="318">
        <f t="shared" si="121"/>
        <v>113.62</v>
      </c>
      <c r="O94" s="81">
        <f>IFERROR(VLOOKUP($G94,'321買'!A:E,3,0),"'沒有資料'")</f>
        <v>12</v>
      </c>
      <c r="P94" s="380">
        <f>IFERROR(VLOOKUP($G94,'321買'!$A:$G,7,0),"'沒有資料'")</f>
        <v>387</v>
      </c>
      <c r="Q94" s="245" t="s">
        <v>3818</v>
      </c>
      <c r="R94" s="297">
        <f>IFERROR(RANK(VLOOKUP($G94,連買!$A:$D,4,0),連買!$D:$D,0),"'沒有資料'")</f>
        <v>1</v>
      </c>
      <c r="S94" s="45">
        <v>36</v>
      </c>
      <c r="T94" s="353">
        <f t="shared" si="122"/>
        <v>1.2182741116751269E-2</v>
      </c>
      <c r="U94" s="95">
        <v>38.32</v>
      </c>
      <c r="V94" s="155">
        <v>2955</v>
      </c>
      <c r="W94" s="66">
        <v>2935</v>
      </c>
      <c r="X94" s="141">
        <f t="shared" si="123"/>
        <v>20</v>
      </c>
      <c r="Y94" s="63">
        <f t="shared" si="124"/>
        <v>6.8143100511073255E-3</v>
      </c>
      <c r="Z94" s="413">
        <v>-19.59</v>
      </c>
      <c r="AA94" s="126"/>
      <c r="AD94" s="16" t="s">
        <v>217</v>
      </c>
      <c r="AE94" s="84">
        <v>44631</v>
      </c>
      <c r="AF94" s="83">
        <v>44641</v>
      </c>
      <c r="AG94" s="33">
        <f t="shared" si="125"/>
        <v>10</v>
      </c>
      <c r="AH94" s="120" t="s">
        <v>2541</v>
      </c>
      <c r="AI94" s="63"/>
      <c r="AJ94" s="307"/>
    </row>
    <row r="95" spans="1:36">
      <c r="A95" s="130" t="s">
        <v>1743</v>
      </c>
      <c r="B95" s="79">
        <v>231</v>
      </c>
      <c r="C95" s="79">
        <v>245</v>
      </c>
      <c r="D95" s="80">
        <v>-6</v>
      </c>
      <c r="E95" s="79">
        <v>28</v>
      </c>
      <c r="F95" s="57">
        <v>19.72</v>
      </c>
      <c r="G95" s="79">
        <v>8261</v>
      </c>
      <c r="H95" s="8" t="s">
        <v>3254</v>
      </c>
      <c r="I95" s="22" t="s">
        <v>324</v>
      </c>
      <c r="J95" s="323">
        <v>20.010000000000002</v>
      </c>
      <c r="K95" s="73">
        <v>15.97</v>
      </c>
      <c r="L95" s="73">
        <v>47.56</v>
      </c>
      <c r="M95" s="323">
        <v>13.85</v>
      </c>
      <c r="N95" s="318">
        <f t="shared" si="121"/>
        <v>97.39</v>
      </c>
      <c r="O95" s="81">
        <f>IFERROR(VLOOKUP($G95,'321買'!A:E,3,0),"'沒有資料'")</f>
        <v>73</v>
      </c>
      <c r="P95" s="380">
        <f>IFERROR(VLOOKUP($G95,'321買'!$A:$G,7,0),"'沒有資料'")</f>
        <v>28</v>
      </c>
      <c r="Q95" s="247" t="s">
        <v>5101</v>
      </c>
      <c r="R95" s="297">
        <f>IFERROR(RANK(VLOOKUP($G95,連買!$A:$D,4,0),連買!$D:$D,0),"'沒有資料'")</f>
        <v>180</v>
      </c>
      <c r="S95" s="45">
        <v>6</v>
      </c>
      <c r="T95" s="353">
        <f t="shared" si="122"/>
        <v>5.2173913043478258E-2</v>
      </c>
      <c r="U95" s="95">
        <v>8.0299999999999994</v>
      </c>
      <c r="V95" s="36">
        <v>115</v>
      </c>
      <c r="W95" s="66">
        <v>111.5</v>
      </c>
      <c r="X95" s="15">
        <f t="shared" si="123"/>
        <v>3.5</v>
      </c>
      <c r="Y95" s="63">
        <f t="shared" si="124"/>
        <v>3.1390134529147982E-2</v>
      </c>
      <c r="Z95" s="413">
        <v>-18.25</v>
      </c>
      <c r="AA95" s="126"/>
      <c r="AD95" s="22" t="s">
        <v>324</v>
      </c>
      <c r="AE95" s="84">
        <v>44638</v>
      </c>
      <c r="AF95" s="83">
        <v>44641</v>
      </c>
      <c r="AG95" s="33">
        <f t="shared" si="125"/>
        <v>3</v>
      </c>
      <c r="AH95" s="43" t="s">
        <v>2345</v>
      </c>
      <c r="AI95" s="63"/>
      <c r="AJ95" s="307"/>
    </row>
    <row r="96" spans="1:36">
      <c r="A96" s="130" t="s">
        <v>1802</v>
      </c>
      <c r="B96" s="79">
        <v>166</v>
      </c>
      <c r="C96" s="79">
        <v>154</v>
      </c>
      <c r="D96" s="80">
        <v>-8</v>
      </c>
      <c r="E96" s="79">
        <v>12</v>
      </c>
      <c r="F96" s="57">
        <v>11.56</v>
      </c>
      <c r="G96" s="80">
        <v>2351</v>
      </c>
      <c r="H96" s="204" t="s">
        <v>3254</v>
      </c>
      <c r="I96" s="22" t="s">
        <v>61</v>
      </c>
      <c r="J96" s="323">
        <v>68.27</v>
      </c>
      <c r="K96" s="73">
        <v>24.92</v>
      </c>
      <c r="L96" s="73">
        <v>7.66</v>
      </c>
      <c r="M96" s="323">
        <v>11.24</v>
      </c>
      <c r="N96" s="318">
        <f t="shared" si="121"/>
        <v>112.08999999999999</v>
      </c>
      <c r="O96" s="81">
        <f>IFERROR(VLOOKUP($G96,'321買'!A:E,3,0),"'沒有資料'")</f>
        <v>62</v>
      </c>
      <c r="P96" s="380">
        <f>IFERROR(VLOOKUP($G96,'321買'!$A:$G,7,0),"'沒有資料'")</f>
        <v>48</v>
      </c>
      <c r="Q96" s="245" t="s">
        <v>3817</v>
      </c>
      <c r="R96" s="297">
        <f>IFERROR(RANK(VLOOKUP($G96,連買!$A:$D,4,0),連買!$D:$D,0),"'沒有資料'")</f>
        <v>91</v>
      </c>
      <c r="S96" s="45">
        <v>3</v>
      </c>
      <c r="T96" s="353">
        <f t="shared" si="122"/>
        <v>2.097902097902098E-2</v>
      </c>
      <c r="U96" s="57">
        <v>4.3099999999999996</v>
      </c>
      <c r="V96" s="36">
        <v>143</v>
      </c>
      <c r="W96" s="66">
        <v>141</v>
      </c>
      <c r="X96" s="15">
        <f t="shared" si="123"/>
        <v>2</v>
      </c>
      <c r="Y96" s="63">
        <f t="shared" si="124"/>
        <v>1.4184397163120567E-2</v>
      </c>
      <c r="Z96" s="413">
        <v>-29.25</v>
      </c>
      <c r="AA96" s="264"/>
      <c r="AD96" s="22" t="s">
        <v>61</v>
      </c>
      <c r="AE96" s="84">
        <v>44624</v>
      </c>
      <c r="AF96" s="83">
        <v>44641</v>
      </c>
      <c r="AG96" s="33">
        <f t="shared" si="125"/>
        <v>17</v>
      </c>
      <c r="AH96" s="120" t="s">
        <v>3594</v>
      </c>
      <c r="AI96" s="63"/>
      <c r="AJ96" s="307"/>
    </row>
    <row r="97" spans="1:37">
      <c r="A97" s="130" t="s">
        <v>1700</v>
      </c>
      <c r="B97" s="79">
        <v>403</v>
      </c>
      <c r="C97" s="79">
        <v>840</v>
      </c>
      <c r="D97" s="80">
        <v>-1</v>
      </c>
      <c r="E97" s="79">
        <v>122</v>
      </c>
      <c r="F97" s="57">
        <v>17.34</v>
      </c>
      <c r="G97" s="79">
        <v>3035</v>
      </c>
      <c r="H97" s="5" t="s">
        <v>3254</v>
      </c>
      <c r="I97" s="22" t="s">
        <v>1926</v>
      </c>
      <c r="J97" s="323">
        <v>48.65</v>
      </c>
      <c r="K97" s="73">
        <v>49.71</v>
      </c>
      <c r="L97" s="323">
        <v>14.55</v>
      </c>
      <c r="M97" s="323">
        <v>14.35</v>
      </c>
      <c r="N97" s="318">
        <f t="shared" ref="N97" si="126">J97+K97+L97+M97</f>
        <v>127.25999999999999</v>
      </c>
      <c r="O97" s="81">
        <f>IFERROR(VLOOKUP($G97,'321買'!A:E,3,0),"'沒有資料'")</f>
        <v>125</v>
      </c>
      <c r="P97" s="380">
        <f>IFERROR(VLOOKUP($G97,'321買'!$A:$G,7,0),"'沒有資料'")</f>
        <v>5</v>
      </c>
      <c r="Q97" s="247" t="s">
        <v>5101</v>
      </c>
      <c r="R97" s="297">
        <f>IFERROR(RANK(VLOOKUP($G97,連買!$A:$D,4,0),連買!$D:$D,0),"'沒有資料'")</f>
        <v>117</v>
      </c>
      <c r="S97" s="45">
        <v>3.3</v>
      </c>
      <c r="T97" s="353">
        <f t="shared" ref="T97" si="127">S97/V97</f>
        <v>1.1764705882352941E-2</v>
      </c>
      <c r="U97" s="95">
        <v>2.82</v>
      </c>
      <c r="V97" s="13">
        <v>280.5</v>
      </c>
      <c r="W97" s="66">
        <v>275.5</v>
      </c>
      <c r="X97" s="15">
        <f t="shared" ref="X97" si="128">V97-W97</f>
        <v>5</v>
      </c>
      <c r="Y97" s="63">
        <f t="shared" ref="Y97" si="129">X97/W97</f>
        <v>1.8148820326678767E-2</v>
      </c>
      <c r="Z97" s="413">
        <v>-16.16</v>
      </c>
      <c r="AA97" s="126"/>
      <c r="AD97" s="22" t="s">
        <v>1926</v>
      </c>
      <c r="AE97" s="84">
        <v>44638</v>
      </c>
      <c r="AF97" s="83">
        <v>44641</v>
      </c>
      <c r="AG97" s="33">
        <f t="shared" ref="AG97" si="130">AF97-AE97</f>
        <v>3</v>
      </c>
      <c r="AH97" s="120" t="s">
        <v>2498</v>
      </c>
      <c r="AI97" s="63"/>
      <c r="AJ97" s="307"/>
    </row>
    <row r="98" spans="1:37">
      <c r="A98" s="130" t="s">
        <v>3641</v>
      </c>
      <c r="B98" s="79">
        <v>364</v>
      </c>
      <c r="C98" s="79">
        <v>408</v>
      </c>
      <c r="D98" s="80">
        <v>-7</v>
      </c>
      <c r="E98" s="79">
        <v>9</v>
      </c>
      <c r="F98" s="57">
        <v>24.64</v>
      </c>
      <c r="G98" s="79">
        <v>3006</v>
      </c>
      <c r="H98" s="8" t="s">
        <v>3254</v>
      </c>
      <c r="I98" s="22" t="s">
        <v>95</v>
      </c>
      <c r="J98" s="323">
        <v>39.65</v>
      </c>
      <c r="K98" s="73">
        <v>22.02</v>
      </c>
      <c r="L98" s="73">
        <v>55.67</v>
      </c>
      <c r="M98" s="323">
        <v>5.75</v>
      </c>
      <c r="N98" s="318">
        <f t="shared" ref="N98:N99" si="131">J98+K98+L98+M98</f>
        <v>123.09</v>
      </c>
      <c r="O98" s="81">
        <f>IFERROR(VLOOKUP($G98,'321買'!A:E,3,0),"'沒有資料'")</f>
        <v>78</v>
      </c>
      <c r="P98" s="380">
        <f>IFERROR(VLOOKUP($G98,'321買'!$A:$G,7,0),"'沒有資料'")</f>
        <v>13</v>
      </c>
      <c r="Q98" s="247" t="s">
        <v>5101</v>
      </c>
      <c r="R98" s="297">
        <f>IFERROR(RANK(VLOOKUP($G98,連買!$A:$D,4,0),連買!$D:$D,0),"'沒有資料'")</f>
        <v>74</v>
      </c>
      <c r="S98" s="45">
        <v>8</v>
      </c>
      <c r="T98" s="353">
        <f t="shared" ref="T98:T99" si="132">S98/V98</f>
        <v>4.8192771084337352E-2</v>
      </c>
      <c r="U98" s="95">
        <v>17.760000000000002</v>
      </c>
      <c r="V98" s="36">
        <v>166</v>
      </c>
      <c r="W98" s="66">
        <v>162.5</v>
      </c>
      <c r="X98" s="15">
        <f t="shared" ref="X98:X99" si="133">V98-W98</f>
        <v>3.5</v>
      </c>
      <c r="Y98" s="63">
        <f t="shared" ref="Y98:Y99" si="134">X98/W98</f>
        <v>2.1538461538461538E-2</v>
      </c>
      <c r="Z98" s="413">
        <v>-23</v>
      </c>
      <c r="AA98" s="126"/>
      <c r="AD98" s="22" t="s">
        <v>95</v>
      </c>
      <c r="AE98" s="84">
        <v>44635</v>
      </c>
      <c r="AF98" s="83">
        <v>44637</v>
      </c>
      <c r="AG98" s="33">
        <f t="shared" ref="AG98:AG99" si="135">AF98-AE98</f>
        <v>2</v>
      </c>
      <c r="AH98" s="120" t="s">
        <v>2289</v>
      </c>
      <c r="AI98" s="63"/>
      <c r="AJ98" s="307"/>
    </row>
    <row r="99" spans="1:37">
      <c r="A99" s="146" t="s">
        <v>1750</v>
      </c>
      <c r="B99" s="79">
        <v>2</v>
      </c>
      <c r="C99" s="80">
        <v>-11</v>
      </c>
      <c r="D99" s="80">
        <v>-34</v>
      </c>
      <c r="E99" s="79">
        <v>11</v>
      </c>
      <c r="F99" s="6">
        <v>9.67</v>
      </c>
      <c r="G99" s="79">
        <v>3324</v>
      </c>
      <c r="H99" s="5" t="s">
        <v>3579</v>
      </c>
      <c r="I99" s="16" t="s">
        <v>228</v>
      </c>
      <c r="J99" s="73">
        <v>33.619999999999997</v>
      </c>
      <c r="K99" s="73">
        <v>24.84</v>
      </c>
      <c r="L99" s="323">
        <v>38.18</v>
      </c>
      <c r="M99" s="323">
        <v>19.899999999999999</v>
      </c>
      <c r="N99" s="318">
        <f t="shared" si="131"/>
        <v>116.53999999999999</v>
      </c>
      <c r="O99" s="81">
        <f>IFERROR(VLOOKUP($G99,'321買'!A:E,3,0),"'沒有資料'")</f>
        <v>76</v>
      </c>
      <c r="P99" s="380">
        <f>IFERROR(VLOOKUP($G99,'321買'!$A:$G,7,0),"'沒有資料'")</f>
        <v>24</v>
      </c>
      <c r="Q99" s="245" t="s">
        <v>3818</v>
      </c>
      <c r="R99" s="297">
        <f>IFERROR(RANK(VLOOKUP($G99,連買!$A:$D,4,0),連買!$D:$D,0),"'沒有資料'")</f>
        <v>60</v>
      </c>
      <c r="S99" s="45">
        <v>6</v>
      </c>
      <c r="T99" s="353">
        <f t="shared" si="132"/>
        <v>2.6966292134831461E-2</v>
      </c>
      <c r="U99" s="95">
        <v>13.12</v>
      </c>
      <c r="V99" s="36">
        <v>222.5</v>
      </c>
      <c r="W99" s="66">
        <v>219.5</v>
      </c>
      <c r="X99" s="15">
        <f t="shared" si="133"/>
        <v>3</v>
      </c>
      <c r="Y99" s="63">
        <f t="shared" si="134"/>
        <v>1.366742596810934E-2</v>
      </c>
      <c r="Z99" s="413">
        <v>-16.23</v>
      </c>
      <c r="AA99" s="126"/>
      <c r="AD99" s="16" t="s">
        <v>228</v>
      </c>
      <c r="AE99" s="84">
        <v>44635</v>
      </c>
      <c r="AF99" s="83">
        <v>44637</v>
      </c>
      <c r="AG99" s="33">
        <f t="shared" si="135"/>
        <v>2</v>
      </c>
      <c r="AH99" s="43" t="s">
        <v>3111</v>
      </c>
      <c r="AI99" s="63"/>
      <c r="AJ99" s="307"/>
    </row>
    <row r="100" spans="1:37">
      <c r="A100" s="130" t="s">
        <v>1500</v>
      </c>
      <c r="B100" s="79">
        <v>119</v>
      </c>
      <c r="C100" s="79">
        <v>111</v>
      </c>
      <c r="D100" s="79">
        <v>30</v>
      </c>
      <c r="E100" s="79">
        <v>43</v>
      </c>
      <c r="F100" s="57">
        <v>24.41</v>
      </c>
      <c r="G100" s="79">
        <v>6187</v>
      </c>
      <c r="H100" s="5" t="s">
        <v>316</v>
      </c>
      <c r="I100" s="16" t="s">
        <v>5023</v>
      </c>
      <c r="J100" s="73">
        <v>35.28</v>
      </c>
      <c r="K100" s="73">
        <v>25.37</v>
      </c>
      <c r="L100" s="323">
        <v>32.89</v>
      </c>
      <c r="M100" s="73">
        <v>20.57</v>
      </c>
      <c r="N100" s="318">
        <f t="shared" ref="N100" si="136">J100+K100+L100+M100</f>
        <v>114.11000000000001</v>
      </c>
      <c r="O100" s="81">
        <f>IFERROR(VLOOKUP($G100,'321買'!A:E,3,0),"'沒有資料'")</f>
        <v>57</v>
      </c>
      <c r="P100" s="380">
        <f>IFERROR(VLOOKUP($G100,'321買'!$A:$G,7,0),"'沒有資料'")</f>
        <v>45</v>
      </c>
      <c r="Q100" s="247" t="s">
        <v>5101</v>
      </c>
      <c r="R100" s="297">
        <f>IFERROR(RANK(VLOOKUP($G100,連買!$A:$D,4,0),連買!$D:$D,0),"'沒有資料'")</f>
        <v>64</v>
      </c>
      <c r="S100" s="45">
        <v>4.5</v>
      </c>
      <c r="T100" s="353">
        <f t="shared" ref="T100" si="137">S100/V100</f>
        <v>3.0716723549488054E-2</v>
      </c>
      <c r="U100" s="95">
        <v>6.65</v>
      </c>
      <c r="V100" s="36">
        <v>146.5</v>
      </c>
      <c r="W100" s="66">
        <v>144</v>
      </c>
      <c r="X100" s="15">
        <f t="shared" ref="X100" si="138">V100-W100</f>
        <v>2.5</v>
      </c>
      <c r="Y100" s="63">
        <f t="shared" ref="Y100" si="139">X100/W100</f>
        <v>1.7361111111111112E-2</v>
      </c>
      <c r="Z100" s="413">
        <v>-17.75</v>
      </c>
      <c r="AA100" s="126"/>
      <c r="AD100" s="16" t="s">
        <v>5023</v>
      </c>
      <c r="AE100" s="84">
        <v>44634</v>
      </c>
      <c r="AF100" s="83">
        <v>44637</v>
      </c>
      <c r="AG100" s="33">
        <f t="shared" ref="AG100" si="140">AF100-AE100</f>
        <v>3</v>
      </c>
      <c r="AH100" s="43" t="s">
        <v>2492</v>
      </c>
      <c r="AI100" s="63"/>
      <c r="AJ100" s="307"/>
    </row>
    <row r="101" spans="1:37">
      <c r="A101" s="130" t="s">
        <v>1774</v>
      </c>
      <c r="B101" s="79">
        <v>109</v>
      </c>
      <c r="C101" s="79">
        <v>89</v>
      </c>
      <c r="D101" s="80">
        <v>-9</v>
      </c>
      <c r="E101" s="80">
        <v>-4</v>
      </c>
      <c r="F101" s="57">
        <v>32.36</v>
      </c>
      <c r="G101" s="80">
        <v>6457</v>
      </c>
      <c r="H101" s="149" t="s">
        <v>3254</v>
      </c>
      <c r="I101" s="16" t="s">
        <v>381</v>
      </c>
      <c r="J101" s="73">
        <v>17.48</v>
      </c>
      <c r="K101" s="73">
        <v>8.32</v>
      </c>
      <c r="L101" s="73">
        <v>15.69</v>
      </c>
      <c r="M101" s="323">
        <v>12.86</v>
      </c>
      <c r="N101" s="318">
        <f t="shared" ref="N101:N115" si="141">J101+K101+L101+M101</f>
        <v>54.35</v>
      </c>
      <c r="O101" s="81">
        <f>IFERROR(VLOOKUP($G101,'321買'!A:E,3,0),"'沒有資料'")</f>
        <v>56</v>
      </c>
      <c r="P101" s="380">
        <f>IFERROR(VLOOKUP($G101,'321買'!$A:$G,7,0),"'沒有資料'")</f>
        <v>35</v>
      </c>
      <c r="Q101" s="245" t="s">
        <v>5149</v>
      </c>
      <c r="R101" s="297">
        <f>IFERROR(RANK(VLOOKUP($G101,連買!$A:$D,4,0),連買!$D:$D,0),"'沒有資料'")</f>
        <v>111</v>
      </c>
      <c r="S101" s="45">
        <v>6.32</v>
      </c>
      <c r="T101" s="353">
        <f t="shared" ref="T101:T108" si="142">S101/V101</f>
        <v>4.1442622950819671E-2</v>
      </c>
      <c r="U101" s="95">
        <v>12.2</v>
      </c>
      <c r="V101" s="36">
        <v>152.5</v>
      </c>
      <c r="W101" s="66">
        <v>150</v>
      </c>
      <c r="X101" s="15">
        <f t="shared" ref="X101:X116" si="143">V101-W101</f>
        <v>2.5</v>
      </c>
      <c r="Y101" s="63">
        <f t="shared" ref="Y101:Y116" si="144">X101/W101</f>
        <v>1.6666666666666666E-2</v>
      </c>
      <c r="Z101" s="413">
        <v>-36.53</v>
      </c>
      <c r="AA101" s="126"/>
      <c r="AD101" s="16" t="s">
        <v>381</v>
      </c>
      <c r="AE101" s="84">
        <v>44624</v>
      </c>
      <c r="AF101" s="83">
        <v>44631</v>
      </c>
      <c r="AG101" s="33">
        <f t="shared" ref="AG101:AG115" si="145">AF101-AE101</f>
        <v>7</v>
      </c>
      <c r="AH101" s="43" t="s">
        <v>2547</v>
      </c>
      <c r="AI101" s="63"/>
      <c r="AJ101" s="307"/>
    </row>
    <row r="102" spans="1:37">
      <c r="A102" s="130" t="s">
        <v>2156</v>
      </c>
      <c r="B102" s="80">
        <v>-37</v>
      </c>
      <c r="C102" s="80">
        <v>-40</v>
      </c>
      <c r="D102" s="80">
        <v>-24</v>
      </c>
      <c r="E102" s="79">
        <v>17</v>
      </c>
      <c r="F102" s="57">
        <v>12.63</v>
      </c>
      <c r="G102" s="79">
        <v>2404</v>
      </c>
      <c r="H102" s="8" t="s">
        <v>316</v>
      </c>
      <c r="I102" s="22" t="s">
        <v>496</v>
      </c>
      <c r="J102" s="323">
        <v>32.520000000000003</v>
      </c>
      <c r="K102" s="323">
        <v>27.52</v>
      </c>
      <c r="L102" s="323">
        <v>6.13</v>
      </c>
      <c r="M102" s="323">
        <v>9.1</v>
      </c>
      <c r="N102" s="318">
        <f>J102+K102+L102+M102</f>
        <v>75.27</v>
      </c>
      <c r="O102" s="81">
        <f>IFERROR(VLOOKUP($G102,'321買'!A:E,3,0),"'沒有資料'")</f>
        <v>6</v>
      </c>
      <c r="P102" s="380">
        <f>IFERROR(VLOOKUP($G102,'321買'!$A:$G,7,0),"'沒有資料'")</f>
        <v>521</v>
      </c>
      <c r="Q102" s="245" t="s">
        <v>5079</v>
      </c>
      <c r="R102" s="297">
        <f>IFERROR(RANK(VLOOKUP($G102,連買!$A:$D,4,0),連買!$D:$D,0),"'沒有資料'")</f>
        <v>143</v>
      </c>
      <c r="S102" s="45">
        <v>17</v>
      </c>
      <c r="T102" s="353">
        <f>S102/V102</f>
        <v>8.9947089947089942E-2</v>
      </c>
      <c r="U102" s="95">
        <v>14.98</v>
      </c>
      <c r="V102" s="36">
        <v>189</v>
      </c>
      <c r="W102" s="66">
        <v>185</v>
      </c>
      <c r="X102" s="15">
        <f>V102-W102</f>
        <v>4</v>
      </c>
      <c r="Y102" s="63">
        <f>X102/W102</f>
        <v>2.1621621621621623E-2</v>
      </c>
      <c r="Z102" s="413">
        <v>-32.49</v>
      </c>
      <c r="AA102" s="126"/>
      <c r="AD102" s="22" t="s">
        <v>496</v>
      </c>
      <c r="AE102" s="84">
        <v>44571</v>
      </c>
      <c r="AF102" s="83">
        <v>44631</v>
      </c>
      <c r="AG102" s="33">
        <f>AF102-AE102</f>
        <v>60</v>
      </c>
      <c r="AH102" s="43" t="s">
        <v>1451</v>
      </c>
      <c r="AI102" s="63"/>
      <c r="AJ102" s="307"/>
    </row>
    <row r="103" spans="1:37">
      <c r="A103" s="146" t="s">
        <v>1810</v>
      </c>
      <c r="B103" s="79">
        <v>170</v>
      </c>
      <c r="C103" s="79">
        <v>170</v>
      </c>
      <c r="D103" s="79">
        <v>1</v>
      </c>
      <c r="E103" s="79">
        <v>41</v>
      </c>
      <c r="F103" s="6">
        <v>7.96</v>
      </c>
      <c r="G103" s="79">
        <v>4739</v>
      </c>
      <c r="H103" s="5" t="s">
        <v>3879</v>
      </c>
      <c r="I103" s="22" t="s">
        <v>3935</v>
      </c>
      <c r="J103" s="73">
        <v>32.81</v>
      </c>
      <c r="K103" s="73">
        <v>5.77</v>
      </c>
      <c r="L103" s="323">
        <v>31.72</v>
      </c>
      <c r="M103" s="323">
        <v>26.68</v>
      </c>
      <c r="N103" s="318">
        <f t="shared" si="141"/>
        <v>96.97999999999999</v>
      </c>
      <c r="O103" s="81">
        <f>IFERROR(VLOOKUP($G103,'321買'!A:E,3,0),"'沒有資料'")</f>
        <v>80</v>
      </c>
      <c r="P103" s="380">
        <f>IFERROR(VLOOKUP($G103,'321買'!$A:$G,7,0),"'沒有資料'")</f>
        <v>18</v>
      </c>
      <c r="Q103" s="245" t="s">
        <v>3817</v>
      </c>
      <c r="R103" s="297">
        <f>IFERROR(RANK(VLOOKUP($G103,連買!$A:$D,4,0),連買!$D:$D,0),"'沒有資料'")</f>
        <v>127</v>
      </c>
      <c r="S103" s="45">
        <v>3</v>
      </c>
      <c r="T103" s="353">
        <f t="shared" si="142"/>
        <v>1.9108280254777069E-2</v>
      </c>
      <c r="U103" s="95">
        <v>4.7</v>
      </c>
      <c r="V103" s="36">
        <v>157</v>
      </c>
      <c r="W103" s="66">
        <v>148</v>
      </c>
      <c r="X103" s="15">
        <f t="shared" si="143"/>
        <v>9</v>
      </c>
      <c r="Y103" s="63">
        <f t="shared" si="144"/>
        <v>6.0810810810810814E-2</v>
      </c>
      <c r="Z103" s="413">
        <v>-18.98</v>
      </c>
      <c r="AA103" s="126"/>
      <c r="AD103" s="22" t="s">
        <v>3935</v>
      </c>
      <c r="AE103" s="84">
        <v>44629</v>
      </c>
      <c r="AF103" s="83">
        <v>44630</v>
      </c>
      <c r="AG103" s="33">
        <f t="shared" si="145"/>
        <v>1</v>
      </c>
      <c r="AH103" s="120" t="s">
        <v>2473</v>
      </c>
      <c r="AI103" s="63"/>
      <c r="AJ103" s="307"/>
    </row>
    <row r="104" spans="1:37">
      <c r="A104" s="130" t="s">
        <v>2328</v>
      </c>
      <c r="B104" s="79">
        <v>46</v>
      </c>
      <c r="C104" s="79">
        <v>43</v>
      </c>
      <c r="D104" s="80">
        <v>-15</v>
      </c>
      <c r="E104" s="79">
        <v>29</v>
      </c>
      <c r="F104" s="57">
        <v>22.68</v>
      </c>
      <c r="G104" s="79">
        <v>6231</v>
      </c>
      <c r="H104" s="5" t="s">
        <v>3679</v>
      </c>
      <c r="I104" s="16" t="s">
        <v>1014</v>
      </c>
      <c r="J104" s="73">
        <v>24</v>
      </c>
      <c r="K104" s="73">
        <v>15.95</v>
      </c>
      <c r="L104" s="73">
        <v>23.62</v>
      </c>
      <c r="M104" s="73">
        <v>27.03</v>
      </c>
      <c r="N104" s="318">
        <f t="shared" si="141"/>
        <v>90.600000000000009</v>
      </c>
      <c r="O104" s="81">
        <f>IFERROR(VLOOKUP($G104,'321買'!A:E,3,0),"'沒有資料'")</f>
        <v>17</v>
      </c>
      <c r="P104" s="380">
        <f>IFERROR(VLOOKUP($G104,'321買'!$A:$G,7,0),"'沒有資料'")</f>
        <v>258</v>
      </c>
      <c r="Q104" s="245" t="s">
        <v>3816</v>
      </c>
      <c r="R104" s="297">
        <f>IFERROR(RANK(VLOOKUP($G104,連買!$A:$D,4,0),連買!$D:$D,0),"'沒有資料'")</f>
        <v>190</v>
      </c>
      <c r="S104" s="45">
        <v>5.2</v>
      </c>
      <c r="T104" s="353">
        <f t="shared" si="142"/>
        <v>5.2000000000000005E-2</v>
      </c>
      <c r="U104" s="95">
        <v>5.94</v>
      </c>
      <c r="V104" s="36">
        <v>100</v>
      </c>
      <c r="W104" s="66">
        <v>98.6</v>
      </c>
      <c r="X104" s="15">
        <f t="shared" si="143"/>
        <v>1.4000000000000057</v>
      </c>
      <c r="Y104" s="63">
        <f t="shared" si="144"/>
        <v>1.4198782961460505E-2</v>
      </c>
      <c r="Z104" s="413">
        <v>-16.43</v>
      </c>
      <c r="AA104" s="126"/>
      <c r="AD104" s="16" t="s">
        <v>1014</v>
      </c>
      <c r="AE104" s="84">
        <v>44629</v>
      </c>
      <c r="AF104" s="86">
        <v>44629</v>
      </c>
      <c r="AG104" s="33">
        <f t="shared" si="145"/>
        <v>0</v>
      </c>
      <c r="AH104" s="43" t="s">
        <v>2329</v>
      </c>
      <c r="AI104" s="63"/>
      <c r="AJ104" s="307"/>
    </row>
    <row r="105" spans="1:37">
      <c r="A105" s="130" t="s">
        <v>1567</v>
      </c>
      <c r="B105" s="79">
        <v>295</v>
      </c>
      <c r="C105" s="80">
        <v>-50</v>
      </c>
      <c r="D105" s="80">
        <v>-3</v>
      </c>
      <c r="E105" s="80">
        <v>-1</v>
      </c>
      <c r="F105" s="6">
        <v>-0.41</v>
      </c>
      <c r="G105" s="79">
        <v>2707</v>
      </c>
      <c r="H105" s="5" t="s">
        <v>305</v>
      </c>
      <c r="I105" s="22" t="s">
        <v>978</v>
      </c>
      <c r="J105" s="323">
        <v>57.16</v>
      </c>
      <c r="K105" s="73">
        <v>15.13</v>
      </c>
      <c r="L105" s="323">
        <v>4.92</v>
      </c>
      <c r="M105" s="323">
        <v>10.81</v>
      </c>
      <c r="N105" s="318">
        <f t="shared" si="141"/>
        <v>88.02</v>
      </c>
      <c r="O105" s="81">
        <f>IFERROR(VLOOKUP($G105,'321買'!A:E,3,0),"'沒有資料'")</f>
        <v>1</v>
      </c>
      <c r="P105" s="380">
        <f>IFERROR(VLOOKUP($G105,'321買'!$A:$G,7,0),"'沒有資料'")</f>
        <v>783</v>
      </c>
      <c r="Q105" s="245" t="s">
        <v>3816</v>
      </c>
      <c r="R105" s="297">
        <f>IFERROR(RANK(VLOOKUP($G105,連買!$A:$D,4,0),連買!$D:$D,0),"'沒有資料'")</f>
        <v>89</v>
      </c>
      <c r="S105" s="45">
        <v>4.3899999999999997</v>
      </c>
      <c r="T105" s="353">
        <f t="shared" si="142"/>
        <v>2.6445783132530119E-2</v>
      </c>
      <c r="U105" s="95">
        <v>16.52</v>
      </c>
      <c r="V105" s="36">
        <v>166</v>
      </c>
      <c r="W105" s="66">
        <v>160</v>
      </c>
      <c r="X105" s="15">
        <f t="shared" si="143"/>
        <v>6</v>
      </c>
      <c r="Y105" s="63">
        <f t="shared" si="144"/>
        <v>3.7499999999999999E-2</v>
      </c>
      <c r="Z105" s="413">
        <v>-15.9</v>
      </c>
      <c r="AA105" s="264"/>
      <c r="AD105" s="22" t="s">
        <v>978</v>
      </c>
      <c r="AE105" s="84">
        <v>44628</v>
      </c>
      <c r="AF105" s="83">
        <v>44629</v>
      </c>
      <c r="AG105" s="33">
        <f t="shared" si="145"/>
        <v>1</v>
      </c>
      <c r="AH105" s="43" t="s">
        <v>2866</v>
      </c>
      <c r="AI105" s="63"/>
      <c r="AJ105" s="307"/>
    </row>
    <row r="106" spans="1:37">
      <c r="A106" s="130" t="s">
        <v>3873</v>
      </c>
      <c r="B106" s="79">
        <v>135</v>
      </c>
      <c r="C106" s="79">
        <v>168</v>
      </c>
      <c r="D106" s="80">
        <v>-52</v>
      </c>
      <c r="E106" s="79">
        <v>14</v>
      </c>
      <c r="F106" s="57">
        <v>14.8</v>
      </c>
      <c r="G106" s="79">
        <v>3455</v>
      </c>
      <c r="H106" s="5" t="s">
        <v>308</v>
      </c>
      <c r="I106" s="16" t="s">
        <v>4513</v>
      </c>
      <c r="J106" s="323">
        <v>13.31</v>
      </c>
      <c r="K106" s="73">
        <v>7.92</v>
      </c>
      <c r="L106" s="323">
        <v>42.84</v>
      </c>
      <c r="M106" s="323">
        <v>9.02</v>
      </c>
      <c r="N106" s="318">
        <f t="shared" si="141"/>
        <v>73.09</v>
      </c>
      <c r="O106" s="81">
        <f>IFERROR(VLOOKUP($G106,'321買'!A:E,3,0),"'沒有資料'")</f>
        <v>39</v>
      </c>
      <c r="P106" s="380">
        <f>IFERROR(VLOOKUP($G106,'321買'!$A:$G,7,0),"'沒有資料'")</f>
        <v>77</v>
      </c>
      <c r="Q106" s="245" t="s">
        <v>3816</v>
      </c>
      <c r="R106" s="297">
        <f>IFERROR(RANK(VLOOKUP($G106,連買!$A:$D,4,0),連買!$D:$D,0),"'沒有資料'")</f>
        <v>301</v>
      </c>
      <c r="S106" s="45">
        <v>4</v>
      </c>
      <c r="T106" s="353">
        <f t="shared" si="142"/>
        <v>4.1623309053069719E-2</v>
      </c>
      <c r="U106" s="95">
        <v>6.76</v>
      </c>
      <c r="V106" s="36">
        <v>96.1</v>
      </c>
      <c r="W106" s="66">
        <v>94.5</v>
      </c>
      <c r="X106" s="15">
        <f t="shared" si="143"/>
        <v>1.5999999999999943</v>
      </c>
      <c r="Y106" s="63">
        <f t="shared" si="144"/>
        <v>1.693121693121687E-2</v>
      </c>
      <c r="Z106" s="413">
        <v>-19.059999999999999</v>
      </c>
      <c r="AA106" s="126"/>
      <c r="AD106" s="16" t="s">
        <v>4513</v>
      </c>
      <c r="AE106" s="84">
        <v>44628</v>
      </c>
      <c r="AF106" s="86">
        <v>44628</v>
      </c>
      <c r="AG106" s="33">
        <f t="shared" si="145"/>
        <v>0</v>
      </c>
      <c r="AH106" s="43" t="s">
        <v>2617</v>
      </c>
      <c r="AI106" s="63"/>
      <c r="AJ106" s="307"/>
      <c r="AK106" s="22"/>
    </row>
    <row r="107" spans="1:37">
      <c r="A107" s="130" t="s">
        <v>3641</v>
      </c>
      <c r="B107" s="79">
        <v>364</v>
      </c>
      <c r="C107" s="79">
        <v>408</v>
      </c>
      <c r="D107" s="80">
        <v>-12</v>
      </c>
      <c r="E107" s="79">
        <v>3</v>
      </c>
      <c r="F107" s="57">
        <v>24.64</v>
      </c>
      <c r="G107" s="79">
        <v>3006</v>
      </c>
      <c r="H107" s="5" t="s">
        <v>3254</v>
      </c>
      <c r="I107" s="22" t="s">
        <v>95</v>
      </c>
      <c r="J107" s="323">
        <v>36.35</v>
      </c>
      <c r="K107" s="73">
        <v>20.57</v>
      </c>
      <c r="L107" s="73">
        <v>54</v>
      </c>
      <c r="M107" s="323">
        <v>5.75</v>
      </c>
      <c r="N107" s="318">
        <f t="shared" si="141"/>
        <v>116.67</v>
      </c>
      <c r="O107" s="81">
        <f>IFERROR(VLOOKUP($G107,'321買'!A:E,3,0),"'沒有資料'")</f>
        <v>78</v>
      </c>
      <c r="P107" s="380">
        <f>IFERROR(VLOOKUP($G107,'321買'!$A:$G,7,0),"'沒有資料'")</f>
        <v>13</v>
      </c>
      <c r="Q107" s="247" t="s">
        <v>5101</v>
      </c>
      <c r="R107" s="297">
        <f>IFERROR(RANK(VLOOKUP($G107,連買!$A:$D,4,0),連買!$D:$D,0),"'沒有資料'")</f>
        <v>74</v>
      </c>
      <c r="S107" s="45">
        <v>8</v>
      </c>
      <c r="T107" s="353">
        <f t="shared" si="142"/>
        <v>4.6647230320699708E-2</v>
      </c>
      <c r="U107" s="95">
        <v>17.760000000000002</v>
      </c>
      <c r="V107" s="36">
        <v>171.5</v>
      </c>
      <c r="W107" s="66">
        <v>165</v>
      </c>
      <c r="X107" s="15">
        <f t="shared" si="143"/>
        <v>6.5</v>
      </c>
      <c r="Y107" s="63">
        <f t="shared" si="144"/>
        <v>3.9393939393939391E-2</v>
      </c>
      <c r="Z107" s="413">
        <v>-24.88</v>
      </c>
      <c r="AA107" s="126"/>
      <c r="AD107" s="22" t="s">
        <v>95</v>
      </c>
      <c r="AE107" s="84">
        <v>44623</v>
      </c>
      <c r="AF107" s="83">
        <v>44624</v>
      </c>
      <c r="AG107" s="33">
        <f t="shared" si="145"/>
        <v>1</v>
      </c>
      <c r="AH107" s="120" t="s">
        <v>2289</v>
      </c>
      <c r="AI107" s="63"/>
      <c r="AJ107" s="307"/>
    </row>
    <row r="108" spans="1:37">
      <c r="A108" s="130" t="s">
        <v>2469</v>
      </c>
      <c r="B108" s="79">
        <v>159</v>
      </c>
      <c r="C108" s="79">
        <v>141</v>
      </c>
      <c r="D108" s="79">
        <v>3</v>
      </c>
      <c r="E108" s="79">
        <v>59</v>
      </c>
      <c r="F108" s="57">
        <v>32.9</v>
      </c>
      <c r="G108" s="80">
        <v>3169</v>
      </c>
      <c r="H108" s="149" t="s">
        <v>3254</v>
      </c>
      <c r="I108" s="16" t="s">
        <v>361</v>
      </c>
      <c r="J108" s="323">
        <v>28.32</v>
      </c>
      <c r="K108" s="73">
        <v>10.24</v>
      </c>
      <c r="L108" s="323">
        <v>51.36</v>
      </c>
      <c r="M108" s="323">
        <v>24.22</v>
      </c>
      <c r="N108" s="318">
        <f t="shared" si="141"/>
        <v>114.14</v>
      </c>
      <c r="O108" s="81">
        <f>IFERROR(VLOOKUP($G108,'321買'!A:E,3,0),"'沒有資料'")</f>
        <v>85</v>
      </c>
      <c r="P108" s="380">
        <f>IFERROR(VLOOKUP($G108,'321買'!$A:$G,7,0),"'沒有資料'")</f>
        <v>12</v>
      </c>
      <c r="Q108" s="247" t="s">
        <v>5101</v>
      </c>
      <c r="R108" s="297">
        <f>IFERROR(RANK(VLOOKUP($G108,連買!$A:$D,4,0),連買!$D:$D,0),"'沒有資料'")</f>
        <v>1620</v>
      </c>
      <c r="S108" s="34">
        <v>2.5</v>
      </c>
      <c r="T108" s="353">
        <f t="shared" si="142"/>
        <v>1.1061946902654867E-2</v>
      </c>
      <c r="U108" s="95">
        <v>5.5</v>
      </c>
      <c r="V108" s="36">
        <v>226</v>
      </c>
      <c r="W108" s="66">
        <v>222</v>
      </c>
      <c r="X108" s="15">
        <f t="shared" si="143"/>
        <v>4</v>
      </c>
      <c r="Y108" s="63">
        <f t="shared" si="144"/>
        <v>1.8018018018018018E-2</v>
      </c>
      <c r="Z108" s="413">
        <v>-26.54</v>
      </c>
      <c r="AA108" s="126"/>
      <c r="AD108" s="16" t="s">
        <v>361</v>
      </c>
      <c r="AE108" s="84">
        <v>44602</v>
      </c>
      <c r="AF108" s="83">
        <v>44624</v>
      </c>
      <c r="AG108" s="33">
        <f t="shared" si="145"/>
        <v>22</v>
      </c>
      <c r="AH108" s="43" t="s">
        <v>3078</v>
      </c>
      <c r="AI108" s="63"/>
      <c r="AJ108" s="307"/>
    </row>
    <row r="109" spans="1:37">
      <c r="A109" s="130" t="s">
        <v>4767</v>
      </c>
      <c r="B109" s="93">
        <v>1262</v>
      </c>
      <c r="C109" s="93">
        <v>1058</v>
      </c>
      <c r="D109" s="79">
        <v>0</v>
      </c>
      <c r="E109" s="79">
        <v>47</v>
      </c>
      <c r="F109" s="57">
        <v>17.05</v>
      </c>
      <c r="G109" s="80">
        <v>3122</v>
      </c>
      <c r="H109" s="149" t="s">
        <v>3254</v>
      </c>
      <c r="I109" s="16" t="s">
        <v>360</v>
      </c>
      <c r="J109" s="323">
        <v>16.22</v>
      </c>
      <c r="K109" s="73">
        <v>4.53</v>
      </c>
      <c r="L109" s="323">
        <v>36.85</v>
      </c>
      <c r="M109" s="73">
        <v>15.55</v>
      </c>
      <c r="N109" s="318">
        <f t="shared" si="141"/>
        <v>73.150000000000006</v>
      </c>
      <c r="O109" s="81">
        <f>IFERROR(VLOOKUP($G109,'321買'!A:E,3,0),"'沒有資料'")</f>
        <v>80</v>
      </c>
      <c r="P109" s="380">
        <f>IFERROR(VLOOKUP($G109,'321買'!$A:$G,7,0),"'沒有資料'")</f>
        <v>23</v>
      </c>
      <c r="Q109" s="245" t="s">
        <v>3816</v>
      </c>
      <c r="R109" s="297">
        <f>IFERROR(RANK(VLOOKUP($G109,連買!$A:$D,4,0),連買!$D:$D,0),"'沒有資料'")</f>
        <v>395</v>
      </c>
      <c r="S109" s="34">
        <v>2.2000000000000002</v>
      </c>
      <c r="T109" s="353">
        <f t="shared" ref="T109:T115" si="146">S109/V109</f>
        <v>3.8938053097345139E-2</v>
      </c>
      <c r="U109" s="95">
        <v>3.38</v>
      </c>
      <c r="V109" s="36">
        <v>56.5</v>
      </c>
      <c r="W109" s="66">
        <v>54.8</v>
      </c>
      <c r="X109" s="15">
        <f t="shared" si="143"/>
        <v>1.7000000000000028</v>
      </c>
      <c r="Y109" s="63">
        <f t="shared" si="144"/>
        <v>3.102189781021903E-2</v>
      </c>
      <c r="Z109" s="413">
        <v>-24.04</v>
      </c>
      <c r="AA109" s="126"/>
      <c r="AD109" s="16" t="s">
        <v>360</v>
      </c>
      <c r="AE109" s="84">
        <v>44613</v>
      </c>
      <c r="AF109" s="83">
        <v>44623</v>
      </c>
      <c r="AG109" s="33">
        <f t="shared" si="145"/>
        <v>10</v>
      </c>
      <c r="AH109" s="43" t="s">
        <v>2535</v>
      </c>
      <c r="AI109" s="63"/>
      <c r="AJ109" s="307"/>
    </row>
    <row r="110" spans="1:37">
      <c r="A110" s="130" t="s">
        <v>1665</v>
      </c>
      <c r="B110" s="79">
        <v>299</v>
      </c>
      <c r="C110" s="79">
        <v>207</v>
      </c>
      <c r="D110" s="80">
        <v>-18</v>
      </c>
      <c r="E110" s="79">
        <v>8</v>
      </c>
      <c r="F110" s="57">
        <v>25.92</v>
      </c>
      <c r="G110" s="79">
        <v>8924</v>
      </c>
      <c r="H110" s="5" t="s">
        <v>2084</v>
      </c>
      <c r="I110" s="16" t="s">
        <v>664</v>
      </c>
      <c r="J110" s="323">
        <v>31.25</v>
      </c>
      <c r="K110" s="73">
        <v>6.34</v>
      </c>
      <c r="L110" s="73">
        <v>16.989999999999998</v>
      </c>
      <c r="M110" s="323">
        <v>21.81</v>
      </c>
      <c r="N110" s="318">
        <f t="shared" si="141"/>
        <v>76.39</v>
      </c>
      <c r="O110" s="81">
        <f>IFERROR(VLOOKUP($G110,'321買'!A:E,3,0),"'沒有資料'")</f>
        <v>50</v>
      </c>
      <c r="P110" s="380">
        <f>IFERROR(VLOOKUP($G110,'321買'!$A:$G,7,0),"'沒有資料'")</f>
        <v>67</v>
      </c>
      <c r="Q110" s="245" t="s">
        <v>3816</v>
      </c>
      <c r="R110" s="297">
        <f>IFERROR(RANK(VLOOKUP($G110,連買!$A:$D,4,0),連買!$D:$D,0),"'沒有資料'")</f>
        <v>97</v>
      </c>
      <c r="S110" s="45">
        <v>5</v>
      </c>
      <c r="T110" s="353">
        <f t="shared" si="146"/>
        <v>3.2258064516129031E-2</v>
      </c>
      <c r="U110" s="95">
        <v>17.37</v>
      </c>
      <c r="V110" s="36">
        <v>155</v>
      </c>
      <c r="W110" s="66">
        <v>149.5</v>
      </c>
      <c r="X110" s="15">
        <f t="shared" si="143"/>
        <v>5.5</v>
      </c>
      <c r="Y110" s="63">
        <f t="shared" si="144"/>
        <v>3.678929765886288E-2</v>
      </c>
      <c r="Z110" s="413">
        <v>-19.03</v>
      </c>
      <c r="AA110" s="126"/>
      <c r="AD110" s="16" t="s">
        <v>664</v>
      </c>
      <c r="AE110" s="84">
        <v>44622</v>
      </c>
      <c r="AF110" s="83">
        <v>44623</v>
      </c>
      <c r="AG110" s="33">
        <f t="shared" si="145"/>
        <v>1</v>
      </c>
      <c r="AH110" s="43" t="s">
        <v>3275</v>
      </c>
      <c r="AI110" s="63"/>
      <c r="AJ110" s="307"/>
    </row>
    <row r="111" spans="1:37">
      <c r="A111" s="130" t="s">
        <v>2134</v>
      </c>
      <c r="B111" s="79">
        <v>193</v>
      </c>
      <c r="C111" s="79">
        <v>122</v>
      </c>
      <c r="D111" s="79">
        <v>0</v>
      </c>
      <c r="E111" s="79">
        <v>18</v>
      </c>
      <c r="F111" s="57">
        <v>15.78</v>
      </c>
      <c r="G111" s="79">
        <v>3675</v>
      </c>
      <c r="H111" s="149" t="s">
        <v>3254</v>
      </c>
      <c r="I111" s="16" t="s">
        <v>367</v>
      </c>
      <c r="J111" s="323">
        <v>54.72</v>
      </c>
      <c r="K111" s="73">
        <v>65.7</v>
      </c>
      <c r="L111" s="73">
        <v>15.85</v>
      </c>
      <c r="M111" s="323">
        <v>54.85</v>
      </c>
      <c r="N111" s="73">
        <f t="shared" si="141"/>
        <v>191.12</v>
      </c>
      <c r="O111" s="81">
        <f>IFERROR(VLOOKUP($G111,'321買'!A:E,3,0),"'沒有資料'")</f>
        <v>60</v>
      </c>
      <c r="P111" s="380">
        <f>IFERROR(VLOOKUP($G111,'321買'!$A:$G,7,0),"'沒有資料'")</f>
        <v>49</v>
      </c>
      <c r="Q111" s="245" t="s">
        <v>3816</v>
      </c>
      <c r="R111" s="297">
        <f>IFERROR(RANK(VLOOKUP($G111,連買!$A:$D,4,0),連買!$D:$D,0),"'沒有資料'")</f>
        <v>62</v>
      </c>
      <c r="S111" s="45">
        <v>5</v>
      </c>
      <c r="T111" s="353">
        <f t="shared" si="146"/>
        <v>1.7182130584192441E-2</v>
      </c>
      <c r="U111" s="57">
        <v>7.36</v>
      </c>
      <c r="V111" s="13">
        <v>291</v>
      </c>
      <c r="W111" s="66">
        <v>271.5</v>
      </c>
      <c r="X111" s="15">
        <f t="shared" si="143"/>
        <v>19.5</v>
      </c>
      <c r="Y111" s="63">
        <f t="shared" si="144"/>
        <v>7.18232044198895E-2</v>
      </c>
      <c r="Z111" s="413">
        <v>-16.41</v>
      </c>
      <c r="AA111" s="126"/>
      <c r="AD111" s="16" t="s">
        <v>367</v>
      </c>
      <c r="AE111" s="84">
        <v>44621</v>
      </c>
      <c r="AF111" s="83">
        <v>44623</v>
      </c>
      <c r="AG111" s="33">
        <f t="shared" si="145"/>
        <v>2</v>
      </c>
      <c r="AH111" s="43" t="s">
        <v>3129</v>
      </c>
      <c r="AI111" s="63"/>
      <c r="AJ111" s="307"/>
    </row>
    <row r="112" spans="1:37">
      <c r="A112" s="130" t="s">
        <v>2412</v>
      </c>
      <c r="B112" s="79">
        <v>691</v>
      </c>
      <c r="C112" s="79">
        <v>515</v>
      </c>
      <c r="D112" s="79">
        <v>16</v>
      </c>
      <c r="E112" s="79">
        <v>81</v>
      </c>
      <c r="F112" s="57">
        <v>11.81</v>
      </c>
      <c r="G112" s="79">
        <v>2636</v>
      </c>
      <c r="H112" s="5" t="s">
        <v>304</v>
      </c>
      <c r="I112" s="22" t="s">
        <v>2038</v>
      </c>
      <c r="J112" s="73">
        <v>36.18</v>
      </c>
      <c r="K112" s="73">
        <v>14.08</v>
      </c>
      <c r="L112" s="323">
        <v>31.29</v>
      </c>
      <c r="M112" s="323">
        <v>19.309999999999999</v>
      </c>
      <c r="N112" s="318">
        <f t="shared" si="141"/>
        <v>100.86</v>
      </c>
      <c r="O112" s="81">
        <f>IFERROR(VLOOKUP($G112,'321買'!A:E,3,0),"'沒有資料'")</f>
        <v>66</v>
      </c>
      <c r="P112" s="380">
        <f>IFERROR(VLOOKUP($G112,'321買'!$A:$G,7,0),"'沒有資料'")</f>
        <v>42</v>
      </c>
      <c r="Q112" s="245" t="s">
        <v>3816</v>
      </c>
      <c r="R112" s="297">
        <f>IFERROR(RANK(VLOOKUP($G112,連買!$A:$D,4,0),連買!$D:$D,0),"'沒有資料'")</f>
        <v>76</v>
      </c>
      <c r="S112" s="45">
        <v>3.02</v>
      </c>
      <c r="T112" s="353">
        <f t="shared" si="146"/>
        <v>2.1884057971014493E-2</v>
      </c>
      <c r="U112" s="95">
        <v>24.5</v>
      </c>
      <c r="V112" s="36">
        <v>138</v>
      </c>
      <c r="W112" s="66">
        <v>135.5</v>
      </c>
      <c r="X112" s="15">
        <f t="shared" si="143"/>
        <v>2.5</v>
      </c>
      <c r="Y112" s="63">
        <f t="shared" si="144"/>
        <v>1.8450184501845018E-2</v>
      </c>
      <c r="Z112" s="413">
        <v>-58.57</v>
      </c>
      <c r="AA112" s="126"/>
      <c r="AD112" s="22" t="s">
        <v>2038</v>
      </c>
      <c r="AE112" s="84">
        <v>44621</v>
      </c>
      <c r="AF112" s="83">
        <v>44623</v>
      </c>
      <c r="AG112" s="33">
        <f t="shared" si="145"/>
        <v>2</v>
      </c>
      <c r="AH112" s="43" t="s">
        <v>2152</v>
      </c>
      <c r="AI112" s="63"/>
      <c r="AJ112" s="307"/>
    </row>
    <row r="113" spans="1:37">
      <c r="A113" s="130" t="s">
        <v>3641</v>
      </c>
      <c r="B113" s="79">
        <v>364</v>
      </c>
      <c r="C113" s="79">
        <v>371</v>
      </c>
      <c r="D113" s="80">
        <v>-12</v>
      </c>
      <c r="E113" s="79">
        <v>3</v>
      </c>
      <c r="F113" s="57">
        <v>24.55</v>
      </c>
      <c r="G113" s="79">
        <v>3006</v>
      </c>
      <c r="H113" s="8" t="s">
        <v>3254</v>
      </c>
      <c r="I113" s="22" t="s">
        <v>95</v>
      </c>
      <c r="J113" s="73">
        <v>38.85</v>
      </c>
      <c r="K113" s="73">
        <v>22.5</v>
      </c>
      <c r="L113" s="73">
        <v>54</v>
      </c>
      <c r="M113" s="323">
        <v>5.75</v>
      </c>
      <c r="N113" s="318">
        <f t="shared" si="141"/>
        <v>121.1</v>
      </c>
      <c r="O113" s="81">
        <f>IFERROR(VLOOKUP($G113,'321買'!A:E,3,0),"'沒有資料'")</f>
        <v>78</v>
      </c>
      <c r="P113" s="380">
        <f>IFERROR(VLOOKUP($G113,'321買'!$A:$G,7,0),"'沒有資料'")</f>
        <v>13</v>
      </c>
      <c r="Q113" s="247" t="s">
        <v>5101</v>
      </c>
      <c r="R113" s="297">
        <f>IFERROR(RANK(VLOOKUP($G113,連買!$A:$D,4,0),連買!$D:$D,0),"'沒有資料'")</f>
        <v>74</v>
      </c>
      <c r="S113" s="34">
        <v>2</v>
      </c>
      <c r="T113" s="353">
        <f t="shared" si="146"/>
        <v>1.2121212121212121E-2</v>
      </c>
      <c r="U113" s="95">
        <v>14.61</v>
      </c>
      <c r="V113" s="36">
        <v>165</v>
      </c>
      <c r="W113" s="66">
        <v>162.5</v>
      </c>
      <c r="X113" s="15">
        <f t="shared" si="143"/>
        <v>2.5</v>
      </c>
      <c r="Y113" s="63">
        <f t="shared" si="144"/>
        <v>1.5384615384615385E-2</v>
      </c>
      <c r="Z113" s="413">
        <v>-23.71</v>
      </c>
      <c r="AA113" s="126"/>
      <c r="AD113" s="22" t="s">
        <v>95</v>
      </c>
      <c r="AE113" s="84">
        <v>44613</v>
      </c>
      <c r="AF113" s="83">
        <v>44623</v>
      </c>
      <c r="AG113" s="33">
        <f t="shared" si="145"/>
        <v>10</v>
      </c>
      <c r="AH113" s="120" t="s">
        <v>2289</v>
      </c>
      <c r="AI113" s="63"/>
      <c r="AJ113" s="307"/>
    </row>
    <row r="114" spans="1:37">
      <c r="A114" s="130" t="s">
        <v>1500</v>
      </c>
      <c r="B114" s="79">
        <v>119</v>
      </c>
      <c r="C114" s="79">
        <v>111</v>
      </c>
      <c r="D114" s="79">
        <v>31</v>
      </c>
      <c r="E114" s="79">
        <v>-5</v>
      </c>
      <c r="F114" s="57">
        <v>24.41</v>
      </c>
      <c r="G114" s="79">
        <v>6187</v>
      </c>
      <c r="H114" s="8" t="s">
        <v>316</v>
      </c>
      <c r="I114" s="16" t="s">
        <v>5023</v>
      </c>
      <c r="J114" s="73">
        <v>38.64</v>
      </c>
      <c r="K114" s="73">
        <v>25.28</v>
      </c>
      <c r="L114" s="73">
        <v>27.79</v>
      </c>
      <c r="M114" s="73">
        <v>20.57</v>
      </c>
      <c r="N114" s="318">
        <f t="shared" si="141"/>
        <v>112.28</v>
      </c>
      <c r="O114" s="81">
        <f>IFERROR(VLOOKUP($G114,'321買'!A:E,3,0),"'沒有資料'")</f>
        <v>57</v>
      </c>
      <c r="P114" s="380">
        <f>IFERROR(VLOOKUP($G114,'321買'!$A:$G,7,0),"'沒有資料'")</f>
        <v>45</v>
      </c>
      <c r="Q114" s="247" t="s">
        <v>5101</v>
      </c>
      <c r="R114" s="297">
        <f>IFERROR(RANK(VLOOKUP($G114,連買!$A:$D,4,0),連買!$D:$D,0),"'沒有資料'")</f>
        <v>64</v>
      </c>
      <c r="S114" s="45">
        <v>4.5</v>
      </c>
      <c r="T114" s="353">
        <f t="shared" si="146"/>
        <v>3.2258064516129031E-2</v>
      </c>
      <c r="U114" s="95">
        <v>6.37</v>
      </c>
      <c r="V114" s="36">
        <v>139.5</v>
      </c>
      <c r="W114" s="66">
        <v>137</v>
      </c>
      <c r="X114" s="15">
        <f t="shared" si="143"/>
        <v>2.5</v>
      </c>
      <c r="Y114" s="63">
        <f t="shared" si="144"/>
        <v>1.824817518248175E-2</v>
      </c>
      <c r="Z114" s="413">
        <v>-18.34</v>
      </c>
      <c r="AA114" s="126"/>
      <c r="AD114" s="16" t="s">
        <v>5023</v>
      </c>
      <c r="AE114" s="84">
        <v>44616</v>
      </c>
      <c r="AF114" s="83">
        <v>44621</v>
      </c>
      <c r="AG114" s="33">
        <f t="shared" si="145"/>
        <v>5</v>
      </c>
      <c r="AH114" s="43" t="s">
        <v>2492</v>
      </c>
      <c r="AI114" s="63"/>
      <c r="AJ114" s="307"/>
    </row>
    <row r="115" spans="1:37">
      <c r="A115" s="130" t="s">
        <v>4083</v>
      </c>
      <c r="B115" s="79">
        <v>433</v>
      </c>
      <c r="C115" s="79">
        <v>605</v>
      </c>
      <c r="D115" s="234">
        <v>11693</v>
      </c>
      <c r="E115" s="80">
        <v>-65</v>
      </c>
      <c r="F115" s="57">
        <v>78.790000000000006</v>
      </c>
      <c r="G115" s="79">
        <v>4157</v>
      </c>
      <c r="H115" s="8" t="s">
        <v>311</v>
      </c>
      <c r="I115" s="16" t="s">
        <v>4084</v>
      </c>
      <c r="J115" s="323">
        <v>56.46</v>
      </c>
      <c r="K115" s="73">
        <v>3.75</v>
      </c>
      <c r="L115" s="73">
        <v>2.17</v>
      </c>
      <c r="M115" s="73">
        <v>36.619999999999997</v>
      </c>
      <c r="N115" s="318">
        <f t="shared" si="141"/>
        <v>99</v>
      </c>
      <c r="O115" s="81">
        <f>IFERROR(VLOOKUP($G115,'321買'!A:E,3,0),"'沒有資料'")</f>
        <v>169</v>
      </c>
      <c r="P115" s="380">
        <f>IFERROR(VLOOKUP($G115,'321買'!$A:$G,7,0),"'沒有資料'")</f>
        <v>1</v>
      </c>
      <c r="Q115" s="247" t="s">
        <v>5101</v>
      </c>
      <c r="R115" s="297">
        <f>IFERROR(RANK(VLOOKUP($G115,連買!$A:$D,4,0),連買!$D:$D,0),"'沒有資料'")</f>
        <v>749</v>
      </c>
      <c r="S115" s="34">
        <v>0</v>
      </c>
      <c r="T115" s="353">
        <f t="shared" si="146"/>
        <v>0</v>
      </c>
      <c r="U115" s="57">
        <v>1.1000000000000001</v>
      </c>
      <c r="V115" s="36">
        <v>17.55</v>
      </c>
      <c r="W115" s="66">
        <v>17.25</v>
      </c>
      <c r="X115" s="15">
        <f t="shared" si="143"/>
        <v>0.30000000000000071</v>
      </c>
      <c r="Y115" s="63">
        <f t="shared" si="144"/>
        <v>1.7391304347826129E-2</v>
      </c>
      <c r="Z115" s="413">
        <v>-31.33</v>
      </c>
      <c r="AA115" s="126"/>
      <c r="AD115" s="16" t="s">
        <v>4084</v>
      </c>
      <c r="AE115" s="84">
        <v>44614</v>
      </c>
      <c r="AF115" s="83">
        <v>44621</v>
      </c>
      <c r="AG115" s="33">
        <f t="shared" si="145"/>
        <v>7</v>
      </c>
      <c r="AH115" s="43" t="s">
        <v>4085</v>
      </c>
      <c r="AI115" s="361"/>
      <c r="AJ115" s="307"/>
      <c r="AK115" s="362"/>
    </row>
    <row r="116" spans="1:37" s="268" customFormat="1">
      <c r="A116" s="145"/>
      <c r="B116" s="79"/>
      <c r="C116" s="79"/>
      <c r="D116" s="79"/>
      <c r="E116" s="79"/>
      <c r="F116" s="6"/>
      <c r="G116" s="41"/>
      <c r="H116" s="8"/>
      <c r="I116" s="158"/>
      <c r="J116" s="323"/>
      <c r="K116" s="323"/>
      <c r="L116" s="323"/>
      <c r="M116" s="318"/>
      <c r="N116" s="318"/>
      <c r="O116" s="306"/>
      <c r="P116" s="374"/>
      <c r="Q116" s="389"/>
      <c r="R116" s="151"/>
      <c r="S116" s="197"/>
      <c r="T116" s="351"/>
      <c r="U116" s="95"/>
      <c r="V116" s="349">
        <f>SUM(V72:V115)</f>
        <v>9788.85</v>
      </c>
      <c r="W116" s="331">
        <f>SUM(W72:W115)</f>
        <v>9609.4499999999989</v>
      </c>
      <c r="X116" s="167">
        <f t="shared" si="143"/>
        <v>179.40000000000146</v>
      </c>
      <c r="Y116" s="163">
        <f t="shared" si="144"/>
        <v>1.8669122582458047E-2</v>
      </c>
      <c r="Z116" s="101"/>
      <c r="AA116" s="168"/>
      <c r="AD116" s="244">
        <f>V116*(0.001425*0.5)+V116*0.003+W116*(0.001425*0.5)</f>
        <v>43.187838749999997</v>
      </c>
      <c r="AE116" s="6">
        <f>X116-AD116</f>
        <v>136.21216125000146</v>
      </c>
      <c r="AF116" s="83"/>
      <c r="AG116" s="33"/>
      <c r="AH116" s="46" t="s">
        <v>5144</v>
      </c>
    </row>
    <row r="117" spans="1:37" s="268" customFormat="1">
      <c r="A117" s="145"/>
      <c r="B117" s="79"/>
      <c r="C117" s="79"/>
      <c r="D117" s="79"/>
      <c r="E117" s="79"/>
      <c r="F117" s="6"/>
      <c r="G117" s="41"/>
      <c r="H117" s="8"/>
      <c r="I117" s="158"/>
      <c r="J117" s="323"/>
      <c r="K117" s="323"/>
      <c r="L117" s="323"/>
      <c r="M117" s="318"/>
      <c r="N117" s="318"/>
      <c r="O117" s="306"/>
      <c r="P117" s="374"/>
      <c r="Q117" s="389"/>
      <c r="R117" s="151"/>
      <c r="S117" s="197"/>
      <c r="T117" s="351"/>
      <c r="U117" s="95"/>
      <c r="V117" s="349"/>
      <c r="W117" s="331"/>
      <c r="X117" s="167"/>
      <c r="Y117" s="163"/>
      <c r="Z117" s="101"/>
      <c r="AA117" s="168"/>
      <c r="AD117" s="244"/>
      <c r="AE117" s="6"/>
      <c r="AF117" s="83"/>
      <c r="AG117" s="33"/>
      <c r="AH117" s="46"/>
    </row>
    <row r="118" spans="1:37">
      <c r="A118" s="146" t="s">
        <v>1604</v>
      </c>
      <c r="B118" s="80">
        <v>-60</v>
      </c>
      <c r="C118" s="80">
        <v>-58</v>
      </c>
      <c r="D118" s="80">
        <v>-9</v>
      </c>
      <c r="E118" s="79">
        <v>72</v>
      </c>
      <c r="F118" s="6">
        <v>1.66</v>
      </c>
      <c r="G118" s="79">
        <v>3548</v>
      </c>
      <c r="H118" s="5" t="s">
        <v>3620</v>
      </c>
      <c r="I118" s="16" t="s">
        <v>141</v>
      </c>
      <c r="J118" s="73">
        <v>27.39</v>
      </c>
      <c r="K118" s="73">
        <v>6.4</v>
      </c>
      <c r="L118" s="323">
        <v>42.56</v>
      </c>
      <c r="M118" s="73">
        <v>21.73</v>
      </c>
      <c r="N118" s="318">
        <f t="shared" ref="N118:N143" si="147">J118+K118+L118+M118</f>
        <v>98.08</v>
      </c>
      <c r="O118" s="81">
        <f>IFERROR(VLOOKUP($G118,'321買'!A:E,3,0),"'沒有資料'")</f>
        <v>16</v>
      </c>
      <c r="P118" s="380">
        <f>IFERROR(VLOOKUP($G118,'321買'!$A:$G,7,0),"'沒有資料'")</f>
        <v>290</v>
      </c>
      <c r="Q118" s="245" t="s">
        <v>3816</v>
      </c>
      <c r="R118" s="297">
        <f>IFERROR(RANK(VLOOKUP($G118,連買!$A:$D,4,0),連買!$D:$D,0),"'沒有資料'")</f>
        <v>316</v>
      </c>
      <c r="S118" s="34">
        <v>2.5</v>
      </c>
      <c r="T118" s="353">
        <f t="shared" ref="T118:T143" si="148">S118/V118</f>
        <v>3.3783783783783786E-2</v>
      </c>
      <c r="U118" s="95">
        <v>2.6</v>
      </c>
      <c r="V118" s="36">
        <v>74</v>
      </c>
      <c r="W118" s="66">
        <v>72.599999999999994</v>
      </c>
      <c r="X118" s="15">
        <f t="shared" ref="X118:X144" si="149">V118-W118</f>
        <v>1.4000000000000057</v>
      </c>
      <c r="Y118" s="63">
        <f t="shared" ref="Y118:Y144" si="150">X118/W118</f>
        <v>1.928374655647391E-2</v>
      </c>
      <c r="Z118" s="413">
        <v>-23.78</v>
      </c>
      <c r="AA118" s="126"/>
      <c r="AD118" s="16" t="s">
        <v>141</v>
      </c>
      <c r="AE118" s="84">
        <v>44617</v>
      </c>
      <c r="AF118" s="86">
        <v>44617</v>
      </c>
      <c r="AG118" s="33">
        <f t="shared" ref="AG118:AG143" si="151">AF118-AE118</f>
        <v>0</v>
      </c>
      <c r="AH118" s="120" t="s">
        <v>3075</v>
      </c>
      <c r="AI118" s="63"/>
      <c r="AJ118" s="307"/>
    </row>
    <row r="119" spans="1:37">
      <c r="A119" s="130" t="s">
        <v>1705</v>
      </c>
      <c r="B119" s="79">
        <v>181</v>
      </c>
      <c r="C119" s="79">
        <v>158</v>
      </c>
      <c r="D119" s="80">
        <v>-7</v>
      </c>
      <c r="E119" s="79">
        <v>27</v>
      </c>
      <c r="F119" s="57">
        <v>21.4</v>
      </c>
      <c r="G119" s="79">
        <v>8358</v>
      </c>
      <c r="H119" s="8" t="s">
        <v>310</v>
      </c>
      <c r="I119" s="16" t="s">
        <v>222</v>
      </c>
      <c r="J119" s="73">
        <v>37.840000000000003</v>
      </c>
      <c r="K119" s="73">
        <v>15.7</v>
      </c>
      <c r="L119" s="73">
        <v>20.5</v>
      </c>
      <c r="M119" s="73">
        <v>17.29</v>
      </c>
      <c r="N119" s="318">
        <f t="shared" si="147"/>
        <v>91.330000000000013</v>
      </c>
      <c r="O119" s="81">
        <f>IFERROR(VLOOKUP($G119,'321買'!A:E,3,0),"'沒有資料'")</f>
        <v>43</v>
      </c>
      <c r="P119" s="380">
        <f>IFERROR(VLOOKUP($G119,'321買'!$A:$G,7,0),"'沒有資料'")</f>
        <v>62</v>
      </c>
      <c r="Q119" s="247" t="s">
        <v>5101</v>
      </c>
      <c r="R119" s="297">
        <f>IFERROR(RANK(VLOOKUP($G119,連買!$A:$D,4,0),連買!$D:$D,0),"'沒有資料'")</f>
        <v>236</v>
      </c>
      <c r="S119" s="45">
        <v>4.2</v>
      </c>
      <c r="T119" s="353">
        <f t="shared" si="148"/>
        <v>5.5702917771883284E-2</v>
      </c>
      <c r="U119" s="95">
        <v>2.14</v>
      </c>
      <c r="V119" s="36">
        <v>75.400000000000006</v>
      </c>
      <c r="W119" s="66">
        <v>74.099999999999994</v>
      </c>
      <c r="X119" s="15">
        <f t="shared" si="149"/>
        <v>1.3000000000000114</v>
      </c>
      <c r="Y119" s="63">
        <f t="shared" si="150"/>
        <v>1.7543859649122962E-2</v>
      </c>
      <c r="Z119" s="413">
        <v>-20.13</v>
      </c>
      <c r="AA119" s="126"/>
      <c r="AD119" s="16" t="s">
        <v>222</v>
      </c>
      <c r="AE119" s="84">
        <v>44616</v>
      </c>
      <c r="AF119" s="83">
        <v>44617</v>
      </c>
      <c r="AG119" s="33">
        <f t="shared" si="151"/>
        <v>1</v>
      </c>
      <c r="AH119" s="120" t="s">
        <v>2614</v>
      </c>
      <c r="AI119" s="63"/>
      <c r="AJ119" s="307"/>
    </row>
    <row r="120" spans="1:37">
      <c r="A120" s="130" t="s">
        <v>2138</v>
      </c>
      <c r="B120" s="79">
        <v>21</v>
      </c>
      <c r="C120" s="79">
        <v>4</v>
      </c>
      <c r="D120" s="79">
        <v>14</v>
      </c>
      <c r="E120" s="79">
        <v>79</v>
      </c>
      <c r="F120" s="57">
        <v>11.75</v>
      </c>
      <c r="G120" s="79">
        <v>4755</v>
      </c>
      <c r="H120" s="8" t="s">
        <v>757</v>
      </c>
      <c r="I120" s="22" t="s">
        <v>770</v>
      </c>
      <c r="J120" s="323">
        <v>69.63</v>
      </c>
      <c r="K120" s="73">
        <v>30.78</v>
      </c>
      <c r="L120" s="323">
        <v>8.74</v>
      </c>
      <c r="M120" s="323">
        <v>30.06</v>
      </c>
      <c r="N120" s="73">
        <f t="shared" si="147"/>
        <v>139.20999999999998</v>
      </c>
      <c r="O120" s="81">
        <f>IFERROR(VLOOKUP($G120,'321買'!A:E,3,0),"'沒有資料'")</f>
        <v>13</v>
      </c>
      <c r="P120" s="380">
        <f>IFERROR(VLOOKUP($G120,'321買'!$A:$G,7,0),"'沒有資料'")</f>
        <v>368</v>
      </c>
      <c r="Q120" s="245" t="s">
        <v>3816</v>
      </c>
      <c r="R120" s="297">
        <f>IFERROR(RANK(VLOOKUP($G120,連買!$A:$D,4,0),連買!$D:$D,0),"'沒有資料'")</f>
        <v>210</v>
      </c>
      <c r="S120" s="45">
        <v>3</v>
      </c>
      <c r="T120" s="353">
        <f t="shared" si="148"/>
        <v>1.9867549668874173E-2</v>
      </c>
      <c r="U120" s="57">
        <v>4.74</v>
      </c>
      <c r="V120" s="36">
        <v>151</v>
      </c>
      <c r="W120" s="66">
        <v>148.5</v>
      </c>
      <c r="X120" s="15">
        <f t="shared" si="149"/>
        <v>2.5</v>
      </c>
      <c r="Y120" s="63">
        <f t="shared" si="150"/>
        <v>1.6835016835016835E-2</v>
      </c>
      <c r="Z120" s="413">
        <v>-22.13</v>
      </c>
      <c r="AA120" s="126"/>
      <c r="AD120" s="22" t="s">
        <v>770</v>
      </c>
      <c r="AE120" s="84">
        <v>44615</v>
      </c>
      <c r="AF120" s="86">
        <v>44615</v>
      </c>
      <c r="AG120" s="33">
        <f t="shared" si="151"/>
        <v>0</v>
      </c>
      <c r="AH120" s="43" t="s">
        <v>3940</v>
      </c>
      <c r="AI120" s="63"/>
      <c r="AJ120" s="307"/>
    </row>
    <row r="121" spans="1:37">
      <c r="A121" s="130" t="s">
        <v>4083</v>
      </c>
      <c r="B121" s="79">
        <v>433</v>
      </c>
      <c r="C121" s="79">
        <v>605</v>
      </c>
      <c r="D121" s="234">
        <v>11693</v>
      </c>
      <c r="E121" s="80">
        <v>-65</v>
      </c>
      <c r="F121" s="57">
        <v>78.790000000000006</v>
      </c>
      <c r="G121" s="79">
        <v>4157</v>
      </c>
      <c r="H121" s="8" t="s">
        <v>311</v>
      </c>
      <c r="I121" s="16" t="s">
        <v>4084</v>
      </c>
      <c r="J121" s="323">
        <v>56.46</v>
      </c>
      <c r="K121" s="73">
        <v>3.65</v>
      </c>
      <c r="L121" s="73">
        <v>1.92</v>
      </c>
      <c r="M121" s="73">
        <v>36.619999999999997</v>
      </c>
      <c r="N121" s="318">
        <f t="shared" si="147"/>
        <v>98.65</v>
      </c>
      <c r="O121" s="81">
        <f>IFERROR(VLOOKUP($G121,'321買'!A:E,3,0),"'沒有資料'")</f>
        <v>169</v>
      </c>
      <c r="P121" s="380">
        <f>IFERROR(VLOOKUP($G121,'321買'!$A:$G,7,0),"'沒有資料'")</f>
        <v>1</v>
      </c>
      <c r="Q121" s="247" t="s">
        <v>5101</v>
      </c>
      <c r="R121" s="297">
        <f>IFERROR(RANK(VLOOKUP($G121,連買!$A:$D,4,0),連買!$D:$D,0),"'沒有資料'")</f>
        <v>749</v>
      </c>
      <c r="S121" s="34">
        <v>0</v>
      </c>
      <c r="T121" s="353">
        <f t="shared" si="148"/>
        <v>0</v>
      </c>
      <c r="U121" s="57">
        <v>1.1000000000000001</v>
      </c>
      <c r="V121" s="36">
        <v>17.25</v>
      </c>
      <c r="W121" s="66">
        <v>15.95</v>
      </c>
      <c r="X121" s="15">
        <f t="shared" si="149"/>
        <v>1.3000000000000007</v>
      </c>
      <c r="Y121" s="63">
        <f t="shared" si="150"/>
        <v>8.1504702194357417E-2</v>
      </c>
      <c r="Z121" s="413">
        <v>-37.549999999999997</v>
      </c>
      <c r="AA121" s="126"/>
      <c r="AD121" s="16" t="s">
        <v>4084</v>
      </c>
      <c r="AE121" s="84">
        <v>44613</v>
      </c>
      <c r="AF121" s="83">
        <v>44614</v>
      </c>
      <c r="AG121" s="33">
        <f t="shared" si="151"/>
        <v>1</v>
      </c>
      <c r="AH121" s="43" t="s">
        <v>4085</v>
      </c>
      <c r="AI121" s="361"/>
      <c r="AJ121" s="307"/>
      <c r="AK121" s="362"/>
    </row>
    <row r="122" spans="1:37">
      <c r="A122" s="130" t="s">
        <v>2328</v>
      </c>
      <c r="B122" s="80">
        <v>-3</v>
      </c>
      <c r="C122" s="79">
        <v>6</v>
      </c>
      <c r="D122" s="80">
        <v>-15</v>
      </c>
      <c r="E122" s="79">
        <v>29</v>
      </c>
      <c r="F122" s="57">
        <v>19.690000000000001</v>
      </c>
      <c r="G122" s="79">
        <v>6231</v>
      </c>
      <c r="H122" s="8" t="s">
        <v>315</v>
      </c>
      <c r="I122" s="16" t="s">
        <v>1014</v>
      </c>
      <c r="J122" s="73">
        <v>24</v>
      </c>
      <c r="K122" s="73">
        <v>12.7</v>
      </c>
      <c r="L122" s="323">
        <v>18.850000000000001</v>
      </c>
      <c r="M122" s="73">
        <v>27.03</v>
      </c>
      <c r="N122" s="318">
        <f t="shared" si="147"/>
        <v>82.580000000000013</v>
      </c>
      <c r="O122" s="81">
        <f>IFERROR(VLOOKUP($G122,'321買'!A:E,3,0),"'沒有資料'")</f>
        <v>17</v>
      </c>
      <c r="P122" s="380">
        <f>IFERROR(VLOOKUP($G122,'321買'!$A:$G,7,0),"'沒有資料'")</f>
        <v>258</v>
      </c>
      <c r="Q122" s="245" t="s">
        <v>3816</v>
      </c>
      <c r="R122" s="297">
        <f>IFERROR(RANK(VLOOKUP($G122,連買!$A:$D,4,0),連買!$D:$D,0),"'沒有資料'")</f>
        <v>190</v>
      </c>
      <c r="S122" s="45">
        <v>3.5</v>
      </c>
      <c r="T122" s="353">
        <f t="shared" si="148"/>
        <v>3.7353255069370331E-2</v>
      </c>
      <c r="U122" s="95">
        <v>3.92</v>
      </c>
      <c r="V122" s="36">
        <v>93.7</v>
      </c>
      <c r="W122" s="66">
        <v>92.6</v>
      </c>
      <c r="X122" s="15">
        <f t="shared" si="149"/>
        <v>1.1000000000000085</v>
      </c>
      <c r="Y122" s="63">
        <f t="shared" si="150"/>
        <v>1.187904967602601E-2</v>
      </c>
      <c r="Z122" s="413">
        <v>-16.13</v>
      </c>
      <c r="AA122" s="126"/>
      <c r="AD122" s="16" t="s">
        <v>1014</v>
      </c>
      <c r="AE122" s="84">
        <v>44609</v>
      </c>
      <c r="AF122" s="83">
        <v>44614</v>
      </c>
      <c r="AG122" s="33">
        <f t="shared" si="151"/>
        <v>5</v>
      </c>
      <c r="AH122" s="43" t="s">
        <v>2329</v>
      </c>
      <c r="AI122" s="63"/>
      <c r="AJ122" s="307"/>
    </row>
    <row r="123" spans="1:37">
      <c r="A123" s="130" t="s">
        <v>2200</v>
      </c>
      <c r="B123" s="79">
        <v>102</v>
      </c>
      <c r="C123" s="79">
        <v>102</v>
      </c>
      <c r="D123" s="79">
        <v>5</v>
      </c>
      <c r="E123" s="79">
        <v>16</v>
      </c>
      <c r="F123" s="57">
        <v>25.41</v>
      </c>
      <c r="G123" s="79">
        <v>6491</v>
      </c>
      <c r="H123" s="204" t="s">
        <v>311</v>
      </c>
      <c r="I123" s="22" t="s">
        <v>4140</v>
      </c>
      <c r="J123" s="73">
        <v>57.24</v>
      </c>
      <c r="K123" s="73">
        <v>15.23</v>
      </c>
      <c r="L123" s="323">
        <v>4.1100000000000003</v>
      </c>
      <c r="M123" s="323">
        <v>43.22</v>
      </c>
      <c r="N123" s="318">
        <f t="shared" si="147"/>
        <v>119.8</v>
      </c>
      <c r="O123" s="81">
        <f>IFERROR(VLOOKUP($G123,'321買'!A:E,3,0),"'沒有資料'")</f>
        <v>28</v>
      </c>
      <c r="P123" s="380">
        <f>IFERROR(VLOOKUP($G123,'321買'!$A:$G,7,0),"'沒有資料'")</f>
        <v>196</v>
      </c>
      <c r="Q123" s="245" t="s">
        <v>3817</v>
      </c>
      <c r="R123" s="297">
        <f>IFERROR(RANK(VLOOKUP($G123,連買!$A:$D,4,0),連買!$D:$D,0),"'沒有資料'")</f>
        <v>16</v>
      </c>
      <c r="S123" s="45">
        <v>8.5</v>
      </c>
      <c r="T123" s="353">
        <f t="shared" si="148"/>
        <v>1.8279569892473119E-2</v>
      </c>
      <c r="U123" s="57">
        <v>16.61</v>
      </c>
      <c r="V123" s="36">
        <v>465</v>
      </c>
      <c r="W123" s="66">
        <v>445</v>
      </c>
      <c r="X123" s="15">
        <f t="shared" si="149"/>
        <v>20</v>
      </c>
      <c r="Y123" s="63">
        <f t="shared" si="150"/>
        <v>4.49438202247191E-2</v>
      </c>
      <c r="Z123" s="413">
        <v>-33.33</v>
      </c>
      <c r="AA123" s="126"/>
      <c r="AD123" s="22" t="s">
        <v>4140</v>
      </c>
      <c r="AE123" s="84">
        <v>44610</v>
      </c>
      <c r="AF123" s="83">
        <v>44613</v>
      </c>
      <c r="AG123" s="33">
        <f t="shared" si="151"/>
        <v>3</v>
      </c>
      <c r="AH123" s="120" t="s">
        <v>4141</v>
      </c>
      <c r="AI123" s="63"/>
      <c r="AJ123" s="307"/>
    </row>
    <row r="124" spans="1:37">
      <c r="A124" s="130" t="s">
        <v>2134</v>
      </c>
      <c r="B124" s="93">
        <v>1166</v>
      </c>
      <c r="C124" s="234">
        <v>25679</v>
      </c>
      <c r="D124" s="79">
        <v>5</v>
      </c>
      <c r="E124" s="79">
        <v>26</v>
      </c>
      <c r="F124" s="57">
        <v>18.239999999999998</v>
      </c>
      <c r="G124" s="79">
        <v>3527</v>
      </c>
      <c r="H124" s="8" t="s">
        <v>3254</v>
      </c>
      <c r="I124" s="16" t="s">
        <v>328</v>
      </c>
      <c r="J124" s="73">
        <v>23.18</v>
      </c>
      <c r="K124" s="73">
        <v>13.16</v>
      </c>
      <c r="L124" s="73">
        <v>30.96</v>
      </c>
      <c r="M124" s="73">
        <v>16.39</v>
      </c>
      <c r="N124" s="318">
        <f t="shared" si="147"/>
        <v>83.690000000000012</v>
      </c>
      <c r="O124" s="81">
        <f>IFERROR(VLOOKUP($G124,'321買'!A:E,3,0),"'沒有資料'")</f>
        <v>58</v>
      </c>
      <c r="P124" s="380">
        <f>IFERROR(VLOOKUP($G124,'321買'!$A:$G,7,0),"'沒有資料'")</f>
        <v>41</v>
      </c>
      <c r="Q124" s="247" t="s">
        <v>5101</v>
      </c>
      <c r="R124" s="297">
        <f>IFERROR(RANK(VLOOKUP($G124,連買!$A:$D,4,0),連買!$D:$D,0),"'沒有資料'")</f>
        <v>83</v>
      </c>
      <c r="S124" s="34">
        <v>2</v>
      </c>
      <c r="T124" s="353">
        <f t="shared" si="148"/>
        <v>1.0335917312661499E-2</v>
      </c>
      <c r="U124" s="95">
        <v>10.47</v>
      </c>
      <c r="V124" s="36">
        <v>193.5</v>
      </c>
      <c r="W124" s="66">
        <v>190</v>
      </c>
      <c r="X124" s="15">
        <f t="shared" si="149"/>
        <v>3.5</v>
      </c>
      <c r="Y124" s="63">
        <f t="shared" si="150"/>
        <v>1.8421052631578946E-2</v>
      </c>
      <c r="Z124" s="413">
        <v>-31.18</v>
      </c>
      <c r="AA124" s="126"/>
      <c r="AD124" s="16" t="s">
        <v>328</v>
      </c>
      <c r="AE124" s="84">
        <v>44609</v>
      </c>
      <c r="AF124" s="83">
        <v>44613</v>
      </c>
      <c r="AG124" s="33">
        <f t="shared" si="151"/>
        <v>4</v>
      </c>
      <c r="AH124" s="43" t="s">
        <v>2539</v>
      </c>
      <c r="AI124" s="63"/>
      <c r="AJ124" s="307"/>
    </row>
    <row r="125" spans="1:37">
      <c r="A125" s="130" t="s">
        <v>3210</v>
      </c>
      <c r="B125" s="79">
        <v>691</v>
      </c>
      <c r="C125" s="79">
        <v>515</v>
      </c>
      <c r="D125" s="80">
        <v>-6</v>
      </c>
      <c r="E125" s="79">
        <v>89</v>
      </c>
      <c r="F125" s="57">
        <v>11.81</v>
      </c>
      <c r="G125" s="80">
        <v>2636</v>
      </c>
      <c r="H125" s="8" t="s">
        <v>304</v>
      </c>
      <c r="I125" s="22" t="s">
        <v>2038</v>
      </c>
      <c r="J125" s="73">
        <v>34.479999999999997</v>
      </c>
      <c r="K125" s="73">
        <v>13.31</v>
      </c>
      <c r="L125" s="73">
        <v>31.97</v>
      </c>
      <c r="M125" s="73">
        <v>19.34</v>
      </c>
      <c r="N125" s="318">
        <f t="shared" si="147"/>
        <v>99.1</v>
      </c>
      <c r="O125" s="81">
        <f>IFERROR(VLOOKUP($G125,'321買'!A:E,3,0),"'沒有資料'")</f>
        <v>66</v>
      </c>
      <c r="P125" s="380">
        <f>IFERROR(VLOOKUP($G125,'321買'!$A:$G,7,0),"'沒有資料'")</f>
        <v>42</v>
      </c>
      <c r="Q125" s="245" t="s">
        <v>3816</v>
      </c>
      <c r="R125" s="297">
        <f>IFERROR(RANK(VLOOKUP($G125,連買!$A:$D,4,0),連買!$D:$D,0),"'沒有資料'")</f>
        <v>76</v>
      </c>
      <c r="S125" s="45">
        <v>3.02</v>
      </c>
      <c r="T125" s="353">
        <f t="shared" si="148"/>
        <v>2.3053435114503817E-2</v>
      </c>
      <c r="U125" s="95">
        <v>24.5</v>
      </c>
      <c r="V125" s="36">
        <v>131</v>
      </c>
      <c r="W125" s="66">
        <v>128.5</v>
      </c>
      <c r="X125" s="15">
        <f t="shared" si="149"/>
        <v>2.5</v>
      </c>
      <c r="Y125" s="63">
        <f t="shared" si="150"/>
        <v>1.9455252918287938E-2</v>
      </c>
      <c r="Z125" s="413">
        <v>-60.9</v>
      </c>
      <c r="AA125" s="126"/>
      <c r="AD125" s="22" t="s">
        <v>2038</v>
      </c>
      <c r="AE125" s="84">
        <v>44602</v>
      </c>
      <c r="AF125" s="83">
        <v>44610</v>
      </c>
      <c r="AG125" s="33">
        <f t="shared" si="151"/>
        <v>8</v>
      </c>
      <c r="AH125" s="43" t="s">
        <v>2152</v>
      </c>
      <c r="AI125" s="63"/>
      <c r="AJ125" s="307"/>
    </row>
    <row r="126" spans="1:37">
      <c r="A126" s="130" t="s">
        <v>4588</v>
      </c>
      <c r="B126" s="79">
        <v>169</v>
      </c>
      <c r="C126" s="79">
        <v>171</v>
      </c>
      <c r="D126" s="79">
        <v>16</v>
      </c>
      <c r="E126" s="79">
        <v>29</v>
      </c>
      <c r="F126" s="57">
        <v>30.9</v>
      </c>
      <c r="G126" s="79">
        <v>6756</v>
      </c>
      <c r="H126" s="8" t="s">
        <v>3254</v>
      </c>
      <c r="I126" s="22" t="s">
        <v>2294</v>
      </c>
      <c r="J126" s="323">
        <v>59</v>
      </c>
      <c r="K126" s="73">
        <v>6.86</v>
      </c>
      <c r="L126" s="323">
        <v>12.84</v>
      </c>
      <c r="M126" s="323">
        <v>60.91</v>
      </c>
      <c r="N126" s="73">
        <f t="shared" si="147"/>
        <v>139.61000000000001</v>
      </c>
      <c r="O126" s="81">
        <f>IFERROR(VLOOKUP($G126,'321買'!A:E,3,0),"'沒有資料'")</f>
        <v>35</v>
      </c>
      <c r="P126" s="380">
        <f>IFERROR(VLOOKUP($G126,'321買'!$A:$G,7,0),"'沒有資料'")</f>
        <v>104</v>
      </c>
      <c r="Q126" s="245" t="s">
        <v>5099</v>
      </c>
      <c r="R126" s="297">
        <f>IFERROR(RANK(VLOOKUP($G126,連買!$A:$D,4,0),連買!$D:$D,0),"'沒有資料'")</f>
        <v>11</v>
      </c>
      <c r="S126" s="45">
        <v>4.5</v>
      </c>
      <c r="T126" s="353">
        <f t="shared" si="148"/>
        <v>9.1093117408906875E-3</v>
      </c>
      <c r="U126" s="57">
        <v>10.91</v>
      </c>
      <c r="V126" s="36">
        <v>494</v>
      </c>
      <c r="W126" s="66">
        <v>481.5</v>
      </c>
      <c r="X126" s="15">
        <f t="shared" si="149"/>
        <v>12.5</v>
      </c>
      <c r="Y126" s="63">
        <f t="shared" si="150"/>
        <v>2.5960539979231569E-2</v>
      </c>
      <c r="Z126" s="413">
        <v>-23.84</v>
      </c>
      <c r="AA126" s="126"/>
      <c r="AD126" s="22" t="s">
        <v>2294</v>
      </c>
      <c r="AE126" s="84">
        <v>44601</v>
      </c>
      <c r="AF126" s="83">
        <v>44609</v>
      </c>
      <c r="AG126" s="33">
        <f t="shared" si="151"/>
        <v>8</v>
      </c>
      <c r="AH126" s="43" t="s">
        <v>2295</v>
      </c>
      <c r="AI126" s="63"/>
      <c r="AJ126" s="307"/>
    </row>
    <row r="127" spans="1:37">
      <c r="A127" s="130" t="s">
        <v>5102</v>
      </c>
      <c r="B127" s="93">
        <v>7630</v>
      </c>
      <c r="C127" s="93">
        <v>2113</v>
      </c>
      <c r="D127" s="80">
        <v>-9</v>
      </c>
      <c r="E127" s="79">
        <v>58</v>
      </c>
      <c r="F127" s="57">
        <v>29.19</v>
      </c>
      <c r="G127" s="80">
        <v>6485</v>
      </c>
      <c r="H127" s="17" t="s">
        <v>3254</v>
      </c>
      <c r="I127" s="16" t="s">
        <v>232</v>
      </c>
      <c r="J127" s="73">
        <v>10.3</v>
      </c>
      <c r="K127" s="73">
        <v>8.51</v>
      </c>
      <c r="L127" s="323">
        <v>61.79</v>
      </c>
      <c r="M127" s="323">
        <v>10.81</v>
      </c>
      <c r="N127" s="318">
        <f t="shared" si="147"/>
        <v>91.41</v>
      </c>
      <c r="O127" s="81">
        <f>IFERROR(VLOOKUP($G127,'321買'!A:E,3,0),"'沒有資料'")</f>
        <v>82</v>
      </c>
      <c r="P127" s="380">
        <f>IFERROR(VLOOKUP($G127,'321買'!$A:$G,7,0),"'沒有資料'")</f>
        <v>14</v>
      </c>
      <c r="Q127" s="247" t="s">
        <v>5101</v>
      </c>
      <c r="R127" s="297">
        <f>IFERROR(RANK(VLOOKUP($G127,連買!$A:$D,4,0),連買!$D:$D,0),"'沒有資料'")</f>
        <v>98</v>
      </c>
      <c r="S127" s="34">
        <v>0.49</v>
      </c>
      <c r="T127" s="353">
        <f t="shared" si="148"/>
        <v>3.3793103448275861E-3</v>
      </c>
      <c r="U127" s="95">
        <v>8.48</v>
      </c>
      <c r="V127" s="36">
        <v>145</v>
      </c>
      <c r="W127" s="66">
        <v>141.5</v>
      </c>
      <c r="X127" s="15">
        <f t="shared" si="149"/>
        <v>3.5</v>
      </c>
      <c r="Y127" s="63">
        <f t="shared" si="150"/>
        <v>2.4734982332155476E-2</v>
      </c>
      <c r="Z127" s="413">
        <v>-28.01</v>
      </c>
      <c r="AA127" s="126"/>
      <c r="AD127" s="16" t="s">
        <v>232</v>
      </c>
      <c r="AE127" s="84">
        <v>44608</v>
      </c>
      <c r="AF127" s="86">
        <v>44608</v>
      </c>
      <c r="AG127" s="33">
        <f t="shared" si="151"/>
        <v>0</v>
      </c>
      <c r="AH127" s="43" t="s">
        <v>2548</v>
      </c>
      <c r="AI127" s="63"/>
      <c r="AJ127" s="307"/>
    </row>
    <row r="128" spans="1:37">
      <c r="A128" s="146" t="s">
        <v>1694</v>
      </c>
      <c r="B128" s="79">
        <v>116</v>
      </c>
      <c r="C128" s="79">
        <v>35</v>
      </c>
      <c r="D128" s="79">
        <v>1</v>
      </c>
      <c r="E128" s="79">
        <v>13</v>
      </c>
      <c r="F128" s="6">
        <v>7.23</v>
      </c>
      <c r="G128" s="79">
        <v>3260</v>
      </c>
      <c r="H128" s="149" t="s">
        <v>3254</v>
      </c>
      <c r="I128" s="16" t="s">
        <v>215</v>
      </c>
      <c r="J128" s="73">
        <v>14.82</v>
      </c>
      <c r="K128" s="73">
        <v>5.14</v>
      </c>
      <c r="L128" s="73">
        <v>27.73</v>
      </c>
      <c r="M128" s="73">
        <v>5.58</v>
      </c>
      <c r="N128" s="318">
        <f t="shared" si="147"/>
        <v>53.269999999999996</v>
      </c>
      <c r="O128" s="81">
        <f>IFERROR(VLOOKUP($G128,'321買'!A:E,3,0),"'沒有資料'")</f>
        <v>42</v>
      </c>
      <c r="P128" s="380">
        <f>IFERROR(VLOOKUP($G128,'321買'!$A:$G,7,0),"'沒有資料'")</f>
        <v>63</v>
      </c>
      <c r="Q128" s="247" t="s">
        <v>5101</v>
      </c>
      <c r="R128" s="297">
        <f>IFERROR(RANK(VLOOKUP($G128,連買!$A:$D,4,0),連買!$D:$D,0),"'沒有資料'")</f>
        <v>175</v>
      </c>
      <c r="S128" s="45">
        <v>3.18</v>
      </c>
      <c r="T128" s="353">
        <f t="shared" si="148"/>
        <v>3.4678298800436207E-2</v>
      </c>
      <c r="U128" s="95">
        <v>10.55</v>
      </c>
      <c r="V128" s="36">
        <v>91.7</v>
      </c>
      <c r="W128" s="66">
        <v>90</v>
      </c>
      <c r="X128" s="15">
        <f t="shared" si="149"/>
        <v>1.7000000000000028</v>
      </c>
      <c r="Y128" s="63">
        <f t="shared" si="150"/>
        <v>1.888888888888892E-2</v>
      </c>
      <c r="Z128" s="413">
        <v>-30.98</v>
      </c>
      <c r="AA128" s="126"/>
      <c r="AD128" s="16" t="s">
        <v>215</v>
      </c>
      <c r="AE128" s="84">
        <v>44603</v>
      </c>
      <c r="AF128" s="83">
        <v>44608</v>
      </c>
      <c r="AG128" s="33">
        <f t="shared" si="151"/>
        <v>5</v>
      </c>
      <c r="AH128" s="120" t="s">
        <v>1420</v>
      </c>
      <c r="AI128" s="63"/>
      <c r="AJ128" s="307"/>
    </row>
    <row r="129" spans="1:37">
      <c r="A129" s="130" t="s">
        <v>2134</v>
      </c>
      <c r="B129" s="93">
        <v>1166</v>
      </c>
      <c r="C129" s="234">
        <v>25679</v>
      </c>
      <c r="D129" s="80">
        <v>-1</v>
      </c>
      <c r="E129" s="79">
        <v>11</v>
      </c>
      <c r="F129" s="57">
        <v>18.239999999999998</v>
      </c>
      <c r="G129" s="80">
        <v>3527</v>
      </c>
      <c r="H129" s="8" t="s">
        <v>3254</v>
      </c>
      <c r="I129" s="16" t="s">
        <v>328</v>
      </c>
      <c r="J129" s="73">
        <v>23.03</v>
      </c>
      <c r="K129" s="73">
        <v>11.51</v>
      </c>
      <c r="L129" s="323">
        <v>31.44</v>
      </c>
      <c r="M129" s="73">
        <v>16.39</v>
      </c>
      <c r="N129" s="318">
        <f t="shared" si="147"/>
        <v>82.37</v>
      </c>
      <c r="O129" s="81">
        <f>IFERROR(VLOOKUP($G129,'321買'!A:E,3,0),"'沒有資料'")</f>
        <v>58</v>
      </c>
      <c r="P129" s="380">
        <f>IFERROR(VLOOKUP($G129,'321買'!$A:$G,7,0),"'沒有資料'")</f>
        <v>41</v>
      </c>
      <c r="Q129" s="247" t="s">
        <v>5101</v>
      </c>
      <c r="R129" s="297">
        <f>IFERROR(RANK(VLOOKUP($G129,連買!$A:$D,4,0),連買!$D:$D,0),"'沒有資料'")</f>
        <v>83</v>
      </c>
      <c r="S129" s="34">
        <v>2</v>
      </c>
      <c r="T129" s="353">
        <f t="shared" si="148"/>
        <v>1.06951871657754E-2</v>
      </c>
      <c r="U129" s="95">
        <v>10.47</v>
      </c>
      <c r="V129" s="36">
        <v>187</v>
      </c>
      <c r="W129" s="66">
        <v>183.5</v>
      </c>
      <c r="X129" s="15">
        <f t="shared" si="149"/>
        <v>3.5</v>
      </c>
      <c r="Y129" s="63">
        <f t="shared" si="150"/>
        <v>1.9073569482288829E-2</v>
      </c>
      <c r="Z129" s="413">
        <v>-34.950000000000003</v>
      </c>
      <c r="AA129" s="126"/>
      <c r="AD129" s="16" t="s">
        <v>328</v>
      </c>
      <c r="AE129" s="84">
        <v>44602</v>
      </c>
      <c r="AF129" s="83">
        <v>44608</v>
      </c>
      <c r="AG129" s="33">
        <f t="shared" si="151"/>
        <v>6</v>
      </c>
      <c r="AH129" s="43" t="s">
        <v>2539</v>
      </c>
      <c r="AI129" s="63"/>
      <c r="AJ129" s="307"/>
    </row>
    <row r="130" spans="1:37">
      <c r="A130" s="130" t="s">
        <v>1737</v>
      </c>
      <c r="B130" s="79">
        <v>101</v>
      </c>
      <c r="C130" s="79">
        <v>100</v>
      </c>
      <c r="D130" s="79">
        <v>8</v>
      </c>
      <c r="E130" s="79">
        <v>12</v>
      </c>
      <c r="F130" s="57">
        <v>29.73</v>
      </c>
      <c r="G130" s="79">
        <v>3014</v>
      </c>
      <c r="H130" s="8" t="s">
        <v>3254</v>
      </c>
      <c r="I130" s="22" t="s">
        <v>97</v>
      </c>
      <c r="J130" s="73">
        <v>19.690000000000001</v>
      </c>
      <c r="K130" s="73">
        <v>14.17</v>
      </c>
      <c r="L130" s="73">
        <v>15.89</v>
      </c>
      <c r="M130" s="323">
        <v>12.51</v>
      </c>
      <c r="N130" s="318">
        <f t="shared" si="147"/>
        <v>62.26</v>
      </c>
      <c r="O130" s="81">
        <f>IFERROR(VLOOKUP($G130,'321買'!A:E,3,0),"'沒有資料'")</f>
        <v>32</v>
      </c>
      <c r="P130" s="380">
        <f>IFERROR(VLOOKUP($G130,'321買'!$A:$G,7,0),"'沒有資料'")</f>
        <v>110</v>
      </c>
      <c r="Q130" s="247" t="s">
        <v>5101</v>
      </c>
      <c r="R130" s="297">
        <f>IFERROR(RANK(VLOOKUP($G130,連買!$A:$D,4,0),連買!$D:$D,0),"'沒有資料'")</f>
        <v>136</v>
      </c>
      <c r="S130" s="45">
        <v>6</v>
      </c>
      <c r="T130" s="353">
        <f t="shared" si="148"/>
        <v>5.2863436123348019E-2</v>
      </c>
      <c r="U130" s="95">
        <v>10.19</v>
      </c>
      <c r="V130" s="36">
        <v>113.5</v>
      </c>
      <c r="W130" s="66">
        <v>111.5</v>
      </c>
      <c r="X130" s="15">
        <f t="shared" si="149"/>
        <v>2</v>
      </c>
      <c r="Y130" s="63">
        <f t="shared" si="150"/>
        <v>1.7937219730941704E-2</v>
      </c>
      <c r="Z130" s="413">
        <v>-21.6</v>
      </c>
      <c r="AA130" s="126"/>
      <c r="AD130" s="22" t="s">
        <v>97</v>
      </c>
      <c r="AE130" s="84">
        <v>44606</v>
      </c>
      <c r="AF130" s="86">
        <v>44606</v>
      </c>
      <c r="AG130" s="33">
        <f t="shared" si="151"/>
        <v>0</v>
      </c>
      <c r="AH130" s="120" t="s">
        <v>1444</v>
      </c>
      <c r="AI130" s="63"/>
      <c r="AJ130" s="307"/>
    </row>
    <row r="131" spans="1:37">
      <c r="A131" s="130" t="s">
        <v>1742</v>
      </c>
      <c r="B131" s="79">
        <v>56</v>
      </c>
      <c r="C131" s="79">
        <v>58</v>
      </c>
      <c r="D131" s="79">
        <v>25</v>
      </c>
      <c r="E131" s="79">
        <v>47</v>
      </c>
      <c r="F131" s="57">
        <v>28.75</v>
      </c>
      <c r="G131" s="79">
        <v>3556</v>
      </c>
      <c r="H131" s="195" t="s">
        <v>3254</v>
      </c>
      <c r="I131" s="16" t="s">
        <v>365</v>
      </c>
      <c r="J131" s="73">
        <v>13.67</v>
      </c>
      <c r="K131" s="73">
        <v>9.11</v>
      </c>
      <c r="L131" s="73">
        <v>23.42</v>
      </c>
      <c r="M131" s="73">
        <v>11.21</v>
      </c>
      <c r="N131" s="318">
        <f t="shared" si="147"/>
        <v>57.410000000000004</v>
      </c>
      <c r="O131" s="81">
        <f>IFERROR(VLOOKUP($G131,'321買'!A:E,3,0),"'沒有資料'")</f>
        <v>43</v>
      </c>
      <c r="P131" s="380">
        <f>IFERROR(VLOOKUP($G131,'321買'!$A:$G,7,0),"'沒有資料'")</f>
        <v>89</v>
      </c>
      <c r="Q131" s="245" t="s">
        <v>3816</v>
      </c>
      <c r="R131" s="297">
        <f>IFERROR(RANK(VLOOKUP($G131,連買!$A:$D,4,0),連買!$D:$D,0),"'沒有資料'")</f>
        <v>242</v>
      </c>
      <c r="S131" s="45">
        <v>3.45</v>
      </c>
      <c r="T131" s="353">
        <f t="shared" si="148"/>
        <v>4.0445486518171161E-2</v>
      </c>
      <c r="U131" s="95">
        <v>5.72</v>
      </c>
      <c r="V131" s="36">
        <v>85.3</v>
      </c>
      <c r="W131" s="66">
        <v>83.9</v>
      </c>
      <c r="X131" s="15">
        <f t="shared" si="149"/>
        <v>1.3999999999999915</v>
      </c>
      <c r="Y131" s="63">
        <f t="shared" si="150"/>
        <v>1.6686531585220397E-2</v>
      </c>
      <c r="Z131" s="413">
        <v>-35.75</v>
      </c>
      <c r="AA131" s="126"/>
      <c r="AD131" s="16" t="s">
        <v>365</v>
      </c>
      <c r="AE131" s="84">
        <v>44602</v>
      </c>
      <c r="AF131" s="83">
        <v>44603</v>
      </c>
      <c r="AG131" s="33">
        <f t="shared" si="151"/>
        <v>1</v>
      </c>
      <c r="AH131" s="43" t="s">
        <v>2540</v>
      </c>
      <c r="AI131" s="63"/>
      <c r="AJ131" s="307"/>
    </row>
    <row r="132" spans="1:37">
      <c r="A132" s="130" t="s">
        <v>1725</v>
      </c>
      <c r="B132" s="79">
        <v>28</v>
      </c>
      <c r="C132" s="79">
        <v>80</v>
      </c>
      <c r="D132" s="80">
        <v>-13</v>
      </c>
      <c r="E132" s="79">
        <v>19</v>
      </c>
      <c r="F132" s="57">
        <v>15.8</v>
      </c>
      <c r="G132" s="79">
        <v>8299</v>
      </c>
      <c r="H132" s="204" t="s">
        <v>3254</v>
      </c>
      <c r="I132" s="16" t="s">
        <v>4398</v>
      </c>
      <c r="J132" s="73">
        <v>36.25</v>
      </c>
      <c r="K132" s="73">
        <v>40.58</v>
      </c>
      <c r="L132" s="323">
        <v>16.21</v>
      </c>
      <c r="M132" s="73">
        <v>18.95</v>
      </c>
      <c r="N132" s="318">
        <f t="shared" si="147"/>
        <v>111.99</v>
      </c>
      <c r="O132" s="81">
        <f>IFERROR(VLOOKUP($G132,'321買'!A:E,3,0),"'沒有資料'")</f>
        <v>21</v>
      </c>
      <c r="P132" s="380">
        <f>IFERROR(VLOOKUP($G132,'321買'!$A:$G,7,0),"'沒有資料'")</f>
        <v>250</v>
      </c>
      <c r="Q132" s="245" t="s">
        <v>5079</v>
      </c>
      <c r="R132" s="297">
        <f>IFERROR(RANK(VLOOKUP($G132,連買!$A:$D,4,0),連買!$D:$D,0),"'沒有資料'")</f>
        <v>19</v>
      </c>
      <c r="S132" s="45">
        <v>10</v>
      </c>
      <c r="T132" s="353">
        <f t="shared" si="148"/>
        <v>2.100840336134454E-2</v>
      </c>
      <c r="U132" s="95">
        <v>51.35</v>
      </c>
      <c r="V132" s="13">
        <v>476</v>
      </c>
      <c r="W132" s="66">
        <v>456</v>
      </c>
      <c r="X132" s="15">
        <f t="shared" si="149"/>
        <v>20</v>
      </c>
      <c r="Y132" s="63">
        <f t="shared" si="150"/>
        <v>4.3859649122807015E-2</v>
      </c>
      <c r="Z132" s="413">
        <v>-27.66</v>
      </c>
      <c r="AA132" s="126"/>
      <c r="AD132" s="16" t="s">
        <v>4398</v>
      </c>
      <c r="AE132" s="84">
        <v>44599</v>
      </c>
      <c r="AF132" s="83">
        <v>44601</v>
      </c>
      <c r="AG132" s="33">
        <f t="shared" si="151"/>
        <v>2</v>
      </c>
      <c r="AH132" s="120" t="s">
        <v>2289</v>
      </c>
      <c r="AI132" s="63"/>
      <c r="AJ132" s="307"/>
    </row>
    <row r="133" spans="1:37">
      <c r="A133" s="146" t="s">
        <v>3918</v>
      </c>
      <c r="B133" s="80">
        <v>-82</v>
      </c>
      <c r="C133" s="80">
        <v>-86</v>
      </c>
      <c r="D133" s="79">
        <v>21</v>
      </c>
      <c r="E133" s="79">
        <v>2</v>
      </c>
      <c r="F133" s="6">
        <v>1.01</v>
      </c>
      <c r="G133" s="79">
        <v>3708</v>
      </c>
      <c r="H133" s="5" t="s">
        <v>757</v>
      </c>
      <c r="I133" s="22" t="s">
        <v>3919</v>
      </c>
      <c r="J133" s="323">
        <v>37.04</v>
      </c>
      <c r="K133" s="73">
        <v>9.2200000000000006</v>
      </c>
      <c r="L133" s="323">
        <v>27.34</v>
      </c>
      <c r="M133" s="73">
        <v>10.130000000000001</v>
      </c>
      <c r="N133" s="318">
        <f t="shared" si="147"/>
        <v>83.72999999999999</v>
      </c>
      <c r="O133" s="81">
        <f>IFERROR(VLOOKUP($G133,'321買'!A:E,3,0),"'沒有資料'")</f>
        <v>17</v>
      </c>
      <c r="P133" s="380">
        <f>IFERROR(VLOOKUP($G133,'321買'!$A:$G,7,0),"'沒有資料'")</f>
        <v>273</v>
      </c>
      <c r="Q133" s="245" t="s">
        <v>3816</v>
      </c>
      <c r="R133" s="297">
        <f>IFERROR(RANK(VLOOKUP($G133,連買!$A:$D,4,0),連買!$D:$D,0),"'沒有資料'")</f>
        <v>99</v>
      </c>
      <c r="S133" s="45">
        <v>3.5</v>
      </c>
      <c r="T133" s="353">
        <f t="shared" si="148"/>
        <v>3.668763102725367E-2</v>
      </c>
      <c r="U133" s="95">
        <v>2.09</v>
      </c>
      <c r="V133" s="36">
        <v>95.4</v>
      </c>
      <c r="W133" s="66">
        <v>93.9</v>
      </c>
      <c r="X133" s="15">
        <f t="shared" si="149"/>
        <v>1.5</v>
      </c>
      <c r="Y133" s="63">
        <f t="shared" si="150"/>
        <v>1.5974440894568689E-2</v>
      </c>
      <c r="Z133" s="413">
        <v>-36.549999999999997</v>
      </c>
      <c r="AA133" s="126"/>
      <c r="AD133" s="22" t="s">
        <v>3919</v>
      </c>
      <c r="AE133" s="84">
        <v>44600</v>
      </c>
      <c r="AF133" s="83">
        <v>44601</v>
      </c>
      <c r="AG133" s="33">
        <f t="shared" si="151"/>
        <v>1</v>
      </c>
      <c r="AH133" s="43" t="s">
        <v>3920</v>
      </c>
      <c r="AI133" s="63"/>
      <c r="AJ133" s="307"/>
    </row>
    <row r="134" spans="1:37">
      <c r="A134" s="130" t="s">
        <v>1963</v>
      </c>
      <c r="B134" s="79">
        <v>15</v>
      </c>
      <c r="C134" s="79">
        <v>25</v>
      </c>
      <c r="D134" s="79">
        <v>0</v>
      </c>
      <c r="E134" s="79">
        <v>12</v>
      </c>
      <c r="F134" s="57">
        <v>14.68</v>
      </c>
      <c r="G134" s="79">
        <v>1560</v>
      </c>
      <c r="H134" s="5" t="s">
        <v>297</v>
      </c>
      <c r="I134" s="22" t="s">
        <v>172</v>
      </c>
      <c r="J134" s="323">
        <v>41.22</v>
      </c>
      <c r="K134" s="73">
        <v>15.17</v>
      </c>
      <c r="L134" s="323">
        <v>19.68</v>
      </c>
      <c r="M134" s="73">
        <v>16.920000000000002</v>
      </c>
      <c r="N134" s="318">
        <f t="shared" si="147"/>
        <v>92.99</v>
      </c>
      <c r="O134" s="81">
        <f>IFERROR(VLOOKUP($G134,'321買'!A:E,3,0),"'沒有資料'")</f>
        <v>44</v>
      </c>
      <c r="P134" s="380">
        <f>IFERROR(VLOOKUP($G134,'321買'!$A:$G,7,0),"'沒有資料'")</f>
        <v>83</v>
      </c>
      <c r="Q134" s="245" t="s">
        <v>3816</v>
      </c>
      <c r="R134" s="297">
        <f>IFERROR(RANK(VLOOKUP($G134,連買!$A:$D,4,0),連買!$D:$D,0),"'沒有資料'")</f>
        <v>209</v>
      </c>
      <c r="S134" s="34">
        <v>2.8</v>
      </c>
      <c r="T134" s="353">
        <f t="shared" si="148"/>
        <v>2.6923076923076921E-2</v>
      </c>
      <c r="U134" s="95">
        <v>4.0199999999999996</v>
      </c>
      <c r="V134" s="36">
        <v>104</v>
      </c>
      <c r="W134" s="66">
        <v>99.9</v>
      </c>
      <c r="X134" s="15">
        <f t="shared" si="149"/>
        <v>4.0999999999999943</v>
      </c>
      <c r="Y134" s="63">
        <f t="shared" si="150"/>
        <v>4.1041041041040983E-2</v>
      </c>
      <c r="Z134" s="413">
        <v>-20.55</v>
      </c>
      <c r="AA134" s="126"/>
      <c r="AD134" s="22" t="s">
        <v>172</v>
      </c>
      <c r="AE134" s="84">
        <v>44585</v>
      </c>
      <c r="AF134" s="83">
        <v>44601</v>
      </c>
      <c r="AG134" s="33">
        <f t="shared" si="151"/>
        <v>16</v>
      </c>
      <c r="AH134" s="120" t="s">
        <v>2140</v>
      </c>
      <c r="AI134" s="63"/>
      <c r="AJ134" s="307"/>
    </row>
    <row r="135" spans="1:37">
      <c r="A135" s="130" t="s">
        <v>1507</v>
      </c>
      <c r="B135" s="79">
        <v>75</v>
      </c>
      <c r="C135" s="79">
        <v>77</v>
      </c>
      <c r="D135" s="79">
        <v>3</v>
      </c>
      <c r="E135" s="79">
        <v>24</v>
      </c>
      <c r="F135" s="57">
        <v>24.43</v>
      </c>
      <c r="G135" s="80">
        <v>6411</v>
      </c>
      <c r="H135" s="149" t="s">
        <v>3254</v>
      </c>
      <c r="I135" s="16" t="s">
        <v>253</v>
      </c>
      <c r="J135" s="73">
        <v>27.6</v>
      </c>
      <c r="K135" s="73">
        <v>17.670000000000002</v>
      </c>
      <c r="L135" s="323">
        <v>36.81</v>
      </c>
      <c r="M135" s="323">
        <v>13.98</v>
      </c>
      <c r="N135" s="318">
        <f t="shared" si="147"/>
        <v>96.060000000000016</v>
      </c>
      <c r="O135" s="81">
        <f>IFERROR(VLOOKUP($G135,'321買'!A:E,3,0),"'沒有資料'")</f>
        <v>102</v>
      </c>
      <c r="P135" s="380">
        <f>IFERROR(VLOOKUP($G135,'321買'!$A:$G,7,0),"'沒有資料'")</f>
        <v>6</v>
      </c>
      <c r="Q135" s="245" t="s">
        <v>3816</v>
      </c>
      <c r="R135" s="297">
        <f>IFERROR(RANK(VLOOKUP($G135,連買!$A:$D,4,0),連買!$D:$D,0),"'沒有資料'")</f>
        <v>1695</v>
      </c>
      <c r="S135" s="45">
        <v>5.03</v>
      </c>
      <c r="T135" s="353">
        <f t="shared" si="148"/>
        <v>2.3449883449883451E-2</v>
      </c>
      <c r="U135" s="95">
        <v>8.82</v>
      </c>
      <c r="V135" s="36">
        <v>214.5</v>
      </c>
      <c r="W135" s="66">
        <v>210</v>
      </c>
      <c r="X135" s="15">
        <f t="shared" si="149"/>
        <v>4.5</v>
      </c>
      <c r="Y135" s="63">
        <f t="shared" si="150"/>
        <v>2.1428571428571429E-2</v>
      </c>
      <c r="Z135" s="413">
        <v>-29.97</v>
      </c>
      <c r="AA135" s="126"/>
      <c r="AD135" s="16" t="s">
        <v>253</v>
      </c>
      <c r="AE135" s="84">
        <v>44581</v>
      </c>
      <c r="AF135" s="83">
        <v>44601</v>
      </c>
      <c r="AG135" s="33">
        <f t="shared" si="151"/>
        <v>20</v>
      </c>
      <c r="AH135" s="43" t="s">
        <v>2312</v>
      </c>
      <c r="AI135" s="63"/>
      <c r="AJ135" s="307"/>
    </row>
    <row r="136" spans="1:37">
      <c r="A136" s="130" t="s">
        <v>1725</v>
      </c>
      <c r="B136" s="79">
        <v>28</v>
      </c>
      <c r="C136" s="79">
        <v>80</v>
      </c>
      <c r="D136" s="80">
        <v>-13</v>
      </c>
      <c r="E136" s="79">
        <v>19</v>
      </c>
      <c r="F136" s="57">
        <v>15.8</v>
      </c>
      <c r="G136" s="79">
        <v>8299</v>
      </c>
      <c r="H136" s="205" t="s">
        <v>3254</v>
      </c>
      <c r="I136" s="16" t="s">
        <v>4398</v>
      </c>
      <c r="J136" s="323">
        <v>35</v>
      </c>
      <c r="K136" s="323">
        <v>41.01</v>
      </c>
      <c r="L136" s="323">
        <v>16.690000000000001</v>
      </c>
      <c r="M136" s="73">
        <v>18.95</v>
      </c>
      <c r="N136" s="318">
        <f t="shared" si="147"/>
        <v>111.64999999999999</v>
      </c>
      <c r="O136" s="81">
        <f>IFERROR(VLOOKUP($G136,'321買'!A:E,3,0),"'沒有資料'")</f>
        <v>21</v>
      </c>
      <c r="P136" s="380">
        <f>IFERROR(VLOOKUP($G136,'321買'!$A:$G,7,0),"'沒有資料'")</f>
        <v>250</v>
      </c>
      <c r="Q136" s="245" t="s">
        <v>5079</v>
      </c>
      <c r="R136" s="297">
        <f>IFERROR(RANK(VLOOKUP($G136,連買!$A:$D,4,0),連買!$D:$D,0),"'沒有資料'")</f>
        <v>19</v>
      </c>
      <c r="S136" s="45">
        <v>10</v>
      </c>
      <c r="T136" s="353">
        <f t="shared" si="148"/>
        <v>2.0920502092050208E-2</v>
      </c>
      <c r="U136" s="95">
        <v>51.35</v>
      </c>
      <c r="V136" s="13">
        <v>478</v>
      </c>
      <c r="W136" s="66">
        <v>451</v>
      </c>
      <c r="X136" s="15">
        <f t="shared" si="149"/>
        <v>27</v>
      </c>
      <c r="Y136" s="63">
        <f t="shared" si="150"/>
        <v>5.9866962305986697E-2</v>
      </c>
      <c r="Z136" s="413">
        <v>-27.1</v>
      </c>
      <c r="AA136" s="126"/>
      <c r="AD136" s="16" t="s">
        <v>4398</v>
      </c>
      <c r="AE136" s="84">
        <v>44586</v>
      </c>
      <c r="AF136" s="83">
        <v>44601</v>
      </c>
      <c r="AG136" s="33">
        <f t="shared" si="151"/>
        <v>15</v>
      </c>
      <c r="AH136" s="120" t="s">
        <v>2289</v>
      </c>
      <c r="AI136" s="63"/>
      <c r="AJ136" s="307"/>
    </row>
    <row r="137" spans="1:37">
      <c r="A137" s="146" t="s">
        <v>1904</v>
      </c>
      <c r="B137" s="80">
        <v>-32</v>
      </c>
      <c r="C137" s="80">
        <v>-28</v>
      </c>
      <c r="D137" s="79">
        <v>17</v>
      </c>
      <c r="E137" s="79">
        <v>35</v>
      </c>
      <c r="F137" s="6">
        <v>4.46</v>
      </c>
      <c r="G137" s="79">
        <v>3479</v>
      </c>
      <c r="H137" s="149" t="s">
        <v>1152</v>
      </c>
      <c r="I137" s="16" t="s">
        <v>2383</v>
      </c>
      <c r="J137" s="73">
        <v>38.17</v>
      </c>
      <c r="K137" s="323">
        <v>2.89</v>
      </c>
      <c r="L137" s="323">
        <v>10.4</v>
      </c>
      <c r="M137" s="323">
        <v>27.27</v>
      </c>
      <c r="N137" s="318">
        <f t="shared" si="147"/>
        <v>78.73</v>
      </c>
      <c r="O137" s="81">
        <f>IFERROR(VLOOKUP($G137,'321買'!A:E,3,0),"'沒有資料'")</f>
        <v>2</v>
      </c>
      <c r="P137" s="380">
        <f>IFERROR(VLOOKUP($G137,'321買'!$A:$G,7,0),"'沒有資料'")</f>
        <v>706</v>
      </c>
      <c r="Q137" s="245" t="s">
        <v>5084</v>
      </c>
      <c r="R137" s="297">
        <f>IFERROR(RANK(VLOOKUP($G137,連買!$A:$D,4,0),連買!$D:$D,0),"'沒有資料'")</f>
        <v>347</v>
      </c>
      <c r="S137" s="34">
        <v>2.58</v>
      </c>
      <c r="T137" s="353">
        <f t="shared" si="148"/>
        <v>4.518388791593695E-2</v>
      </c>
      <c r="U137" s="95">
        <v>2.23</v>
      </c>
      <c r="V137" s="36">
        <v>57.1</v>
      </c>
      <c r="W137" s="66">
        <v>55.7</v>
      </c>
      <c r="X137" s="15">
        <f t="shared" si="149"/>
        <v>1.3999999999999986</v>
      </c>
      <c r="Y137" s="63">
        <f t="shared" si="150"/>
        <v>2.5134649910233366E-2</v>
      </c>
      <c r="Z137" s="413">
        <v>-15.86</v>
      </c>
      <c r="AA137" s="126"/>
      <c r="AD137" s="16" t="s">
        <v>2383</v>
      </c>
      <c r="AE137" s="84">
        <v>44582</v>
      </c>
      <c r="AF137" s="83">
        <v>44601</v>
      </c>
      <c r="AG137" s="33">
        <f t="shared" si="151"/>
        <v>19</v>
      </c>
      <c r="AH137" s="120" t="s">
        <v>2470</v>
      </c>
      <c r="AI137" s="63"/>
      <c r="AJ137" s="307"/>
    </row>
    <row r="138" spans="1:37">
      <c r="A138" s="130" t="s">
        <v>3873</v>
      </c>
      <c r="B138" s="79">
        <v>135</v>
      </c>
      <c r="C138" s="79">
        <v>168</v>
      </c>
      <c r="D138" s="79">
        <v>0</v>
      </c>
      <c r="E138" s="79">
        <v>29</v>
      </c>
      <c r="F138" s="57">
        <v>18.399999999999999</v>
      </c>
      <c r="G138" s="79">
        <v>3455</v>
      </c>
      <c r="H138" s="8" t="s">
        <v>308</v>
      </c>
      <c r="I138" s="16" t="s">
        <v>4513</v>
      </c>
      <c r="J138" s="323">
        <v>16.239999999999998</v>
      </c>
      <c r="K138" s="73">
        <v>9.51</v>
      </c>
      <c r="L138" s="323">
        <v>59.22</v>
      </c>
      <c r="M138" s="323">
        <v>9.02</v>
      </c>
      <c r="N138" s="318">
        <f t="shared" si="147"/>
        <v>93.99</v>
      </c>
      <c r="O138" s="81">
        <f>IFERROR(VLOOKUP($G138,'321買'!A:E,3,0),"'沒有資料'")</f>
        <v>39</v>
      </c>
      <c r="P138" s="380">
        <f>IFERROR(VLOOKUP($G138,'321買'!$A:$G,7,0),"'沒有資料'")</f>
        <v>77</v>
      </c>
      <c r="Q138" s="245" t="s">
        <v>3816</v>
      </c>
      <c r="R138" s="297">
        <f>IFERROR(RANK(VLOOKUP($G138,連買!$A:$D,4,0),連買!$D:$D,0),"'沒有資料'")</f>
        <v>301</v>
      </c>
      <c r="S138" s="45">
        <v>4</v>
      </c>
      <c r="T138" s="353">
        <f t="shared" si="148"/>
        <v>3.8461538461538464E-2</v>
      </c>
      <c r="U138" s="95">
        <v>6.76</v>
      </c>
      <c r="V138" s="36">
        <v>104</v>
      </c>
      <c r="W138" s="66">
        <v>100</v>
      </c>
      <c r="X138" s="15">
        <f t="shared" si="149"/>
        <v>4</v>
      </c>
      <c r="Y138" s="63">
        <f t="shared" si="150"/>
        <v>0.04</v>
      </c>
      <c r="Z138" s="413">
        <v>-9.33</v>
      </c>
      <c r="AA138" s="126"/>
      <c r="AD138" s="16" t="s">
        <v>4513</v>
      </c>
      <c r="AE138" s="84">
        <v>44586</v>
      </c>
      <c r="AF138" s="83">
        <v>44600</v>
      </c>
      <c r="AG138" s="33">
        <f t="shared" si="151"/>
        <v>14</v>
      </c>
      <c r="AH138" s="43" t="s">
        <v>2617</v>
      </c>
      <c r="AI138" s="63"/>
      <c r="AJ138" s="307"/>
      <c r="AK138" s="22"/>
    </row>
    <row r="139" spans="1:37">
      <c r="A139" s="146" t="s">
        <v>1604</v>
      </c>
      <c r="B139" s="80">
        <v>-60</v>
      </c>
      <c r="C139" s="80">
        <v>-58</v>
      </c>
      <c r="D139" s="79">
        <v>15</v>
      </c>
      <c r="E139" s="79">
        <v>70</v>
      </c>
      <c r="F139" s="6">
        <v>1.66</v>
      </c>
      <c r="G139" s="79">
        <v>3548</v>
      </c>
      <c r="H139" s="5" t="s">
        <v>3620</v>
      </c>
      <c r="I139" s="16" t="s">
        <v>141</v>
      </c>
      <c r="J139" s="73">
        <v>29.11</v>
      </c>
      <c r="K139" s="323">
        <v>3.69</v>
      </c>
      <c r="L139" s="73">
        <v>46.43</v>
      </c>
      <c r="M139" s="73">
        <v>21.73</v>
      </c>
      <c r="N139" s="318">
        <f t="shared" si="147"/>
        <v>100.96</v>
      </c>
      <c r="O139" s="81">
        <f>IFERROR(VLOOKUP($G139,'321買'!A:E,3,0),"'沒有資料'")</f>
        <v>16</v>
      </c>
      <c r="P139" s="380">
        <f>IFERROR(VLOOKUP($G139,'321買'!$A:$G,7,0),"'沒有資料'")</f>
        <v>290</v>
      </c>
      <c r="Q139" s="245" t="s">
        <v>5079</v>
      </c>
      <c r="R139" s="297">
        <f>IFERROR(RANK(VLOOKUP($G139,連買!$A:$D,4,0),連買!$D:$D,0),"'沒有資料'")</f>
        <v>316</v>
      </c>
      <c r="S139" s="34">
        <v>2.5</v>
      </c>
      <c r="T139" s="353">
        <f t="shared" si="148"/>
        <v>3.7537537537537538E-2</v>
      </c>
      <c r="U139" s="95">
        <v>2.6</v>
      </c>
      <c r="V139" s="36">
        <v>66.599999999999994</v>
      </c>
      <c r="W139" s="66">
        <v>64.900000000000006</v>
      </c>
      <c r="X139" s="15">
        <f t="shared" si="149"/>
        <v>1.6999999999999886</v>
      </c>
      <c r="Y139" s="63">
        <f t="shared" si="150"/>
        <v>2.6194144838212457E-2</v>
      </c>
      <c r="Z139" s="413">
        <v>-25.41</v>
      </c>
      <c r="AA139" s="126"/>
      <c r="AD139" s="16" t="s">
        <v>141</v>
      </c>
      <c r="AE139" s="84">
        <v>44599</v>
      </c>
      <c r="AF139" s="86">
        <v>44599</v>
      </c>
      <c r="AG139" s="33">
        <f t="shared" si="151"/>
        <v>0</v>
      </c>
      <c r="AH139" s="120" t="s">
        <v>3075</v>
      </c>
      <c r="AI139" s="63"/>
      <c r="AJ139" s="307"/>
    </row>
    <row r="140" spans="1:37">
      <c r="A140" s="146" t="s">
        <v>4833</v>
      </c>
      <c r="B140" s="80">
        <v>-63</v>
      </c>
      <c r="C140" s="80">
        <v>-72</v>
      </c>
      <c r="D140" s="80">
        <v>-1</v>
      </c>
      <c r="E140" s="79">
        <v>7</v>
      </c>
      <c r="F140" s="6">
        <v>2.48</v>
      </c>
      <c r="G140" s="79">
        <v>2421</v>
      </c>
      <c r="H140" s="5" t="s">
        <v>3620</v>
      </c>
      <c r="I140" s="22" t="s">
        <v>4834</v>
      </c>
      <c r="J140" s="323">
        <v>46.47</v>
      </c>
      <c r="K140" s="323">
        <v>18.66</v>
      </c>
      <c r="L140" s="323">
        <v>8.83</v>
      </c>
      <c r="M140" s="323">
        <v>14.8</v>
      </c>
      <c r="N140" s="318">
        <f t="shared" si="147"/>
        <v>88.759999999999991</v>
      </c>
      <c r="O140" s="81">
        <f>IFERROR(VLOOKUP($G140,'321買'!A:E,3,0),"'沒有資料'")</f>
        <v>7</v>
      </c>
      <c r="P140" s="380">
        <f>IFERROR(VLOOKUP($G140,'321買'!$A:$G,7,0),"'沒有資料'")</f>
        <v>475</v>
      </c>
      <c r="Q140" s="245" t="s">
        <v>5079</v>
      </c>
      <c r="R140" s="297">
        <f>IFERROR(RANK(VLOOKUP($G140,連買!$A:$D,4,0),連買!$D:$D,0),"'沒有資料'")</f>
        <v>185</v>
      </c>
      <c r="S140" s="34">
        <v>2.4</v>
      </c>
      <c r="T140" s="353">
        <f t="shared" si="148"/>
        <v>5.5109070034443174E-2</v>
      </c>
      <c r="U140" s="95">
        <v>1.63</v>
      </c>
      <c r="V140" s="36">
        <v>43.55</v>
      </c>
      <c r="W140" s="66">
        <v>42.6</v>
      </c>
      <c r="X140" s="15">
        <f t="shared" si="149"/>
        <v>0.94999999999999574</v>
      </c>
      <c r="Y140" s="63">
        <f t="shared" si="150"/>
        <v>2.2300469483567974E-2</v>
      </c>
      <c r="Z140" s="413">
        <v>-21.67</v>
      </c>
      <c r="AA140" s="126"/>
      <c r="AD140" s="22" t="s">
        <v>4834</v>
      </c>
      <c r="AE140" s="84">
        <v>44599</v>
      </c>
      <c r="AF140" s="86">
        <v>44599</v>
      </c>
      <c r="AG140" s="33">
        <f t="shared" si="151"/>
        <v>0</v>
      </c>
      <c r="AH140" s="120" t="s">
        <v>2458</v>
      </c>
      <c r="AI140" s="63"/>
      <c r="AJ140" s="307"/>
    </row>
    <row r="141" spans="1:37">
      <c r="A141" s="130" t="s">
        <v>2270</v>
      </c>
      <c r="B141" s="79">
        <v>18</v>
      </c>
      <c r="C141" s="79">
        <v>10</v>
      </c>
      <c r="D141" s="80">
        <v>-3</v>
      </c>
      <c r="E141" s="79">
        <v>10</v>
      </c>
      <c r="F141" s="57">
        <v>26.73</v>
      </c>
      <c r="G141" s="79">
        <v>3526</v>
      </c>
      <c r="H141" s="8" t="s">
        <v>310</v>
      </c>
      <c r="I141" s="16" t="s">
        <v>156</v>
      </c>
      <c r="J141" s="73">
        <v>35.17</v>
      </c>
      <c r="K141" s="73">
        <v>13.78</v>
      </c>
      <c r="L141" s="323">
        <v>14.45</v>
      </c>
      <c r="M141" s="323">
        <v>28.98</v>
      </c>
      <c r="N141" s="318">
        <f t="shared" si="147"/>
        <v>92.38000000000001</v>
      </c>
      <c r="O141" s="81">
        <f>IFERROR(VLOOKUP($G141,'321買'!A:E,3,0),"'沒有資料'")</f>
        <v>53</v>
      </c>
      <c r="P141" s="380">
        <f>IFERROR(VLOOKUP($G141,'321買'!$A:$G,7,0),"'沒有資料'")</f>
        <v>52</v>
      </c>
      <c r="Q141" s="247" t="s">
        <v>5101</v>
      </c>
      <c r="R141" s="297">
        <f>IFERROR(RANK(VLOOKUP($G141,連買!$A:$D,4,0),連買!$D:$D,0),"'沒有資料'")</f>
        <v>65</v>
      </c>
      <c r="S141" s="45">
        <v>9.1300000000000008</v>
      </c>
      <c r="T141" s="353">
        <f t="shared" si="148"/>
        <v>4.5310173697270473E-2</v>
      </c>
      <c r="U141" s="95">
        <v>9.74</v>
      </c>
      <c r="V141" s="36">
        <v>201.5</v>
      </c>
      <c r="W141" s="66">
        <v>197</v>
      </c>
      <c r="X141" s="15">
        <f t="shared" si="149"/>
        <v>4.5</v>
      </c>
      <c r="Y141" s="63">
        <f t="shared" si="150"/>
        <v>2.2842639593908629E-2</v>
      </c>
      <c r="Z141" s="413">
        <v>-16.52</v>
      </c>
      <c r="AD141" s="16" t="s">
        <v>156</v>
      </c>
      <c r="AE141" s="84">
        <v>44599</v>
      </c>
      <c r="AF141" s="86">
        <v>44599</v>
      </c>
      <c r="AG141" s="33">
        <f t="shared" si="151"/>
        <v>0</v>
      </c>
      <c r="AH141" s="120" t="s">
        <v>2016</v>
      </c>
      <c r="AI141" s="63"/>
      <c r="AJ141" s="307"/>
      <c r="AK141" s="344"/>
    </row>
    <row r="142" spans="1:37">
      <c r="A142" s="130" t="s">
        <v>2086</v>
      </c>
      <c r="B142" s="79">
        <v>8</v>
      </c>
      <c r="C142" s="79">
        <v>1</v>
      </c>
      <c r="D142" s="80">
        <v>-12</v>
      </c>
      <c r="E142" s="79">
        <v>12</v>
      </c>
      <c r="F142" s="57">
        <v>25.71</v>
      </c>
      <c r="G142" s="79">
        <v>3217</v>
      </c>
      <c r="H142" s="8" t="s">
        <v>310</v>
      </c>
      <c r="I142" s="16" t="s">
        <v>4888</v>
      </c>
      <c r="J142" s="73">
        <v>45.44</v>
      </c>
      <c r="K142" s="73">
        <v>15.54</v>
      </c>
      <c r="L142" s="73">
        <v>17.63</v>
      </c>
      <c r="M142" s="323">
        <v>12.99</v>
      </c>
      <c r="N142" s="318">
        <f t="shared" si="147"/>
        <v>91.6</v>
      </c>
      <c r="O142" s="81">
        <f>IFERROR(VLOOKUP($G142,'321買'!A:E,3,0),"'沒有資料'")</f>
        <v>29</v>
      </c>
      <c r="P142" s="380">
        <f>IFERROR(VLOOKUP($G142,'321買'!$A:$G,7,0),"'沒有資料'")</f>
        <v>117</v>
      </c>
      <c r="Q142" s="245" t="s">
        <v>3818</v>
      </c>
      <c r="R142" s="297">
        <f>IFERROR(RANK(VLOOKUP($G142,連買!$A:$D,4,0),連買!$D:$D,0),"'沒有資料'")</f>
        <v>249</v>
      </c>
      <c r="S142" s="45">
        <v>5.6</v>
      </c>
      <c r="T142" s="353">
        <f t="shared" si="148"/>
        <v>4.2264150943396223E-2</v>
      </c>
      <c r="U142" s="95">
        <v>7.33</v>
      </c>
      <c r="V142" s="36">
        <v>132.5</v>
      </c>
      <c r="W142" s="66">
        <v>130</v>
      </c>
      <c r="X142" s="15">
        <f t="shared" si="149"/>
        <v>2.5</v>
      </c>
      <c r="Y142" s="63">
        <f t="shared" si="150"/>
        <v>1.9230769230769232E-2</v>
      </c>
      <c r="Z142" s="413">
        <v>-16.670000000000002</v>
      </c>
      <c r="AA142" s="126"/>
      <c r="AD142" s="16" t="s">
        <v>4888</v>
      </c>
      <c r="AE142" s="84">
        <v>44599</v>
      </c>
      <c r="AF142" s="86">
        <v>44599</v>
      </c>
      <c r="AG142" s="33">
        <f t="shared" si="151"/>
        <v>0</v>
      </c>
      <c r="AH142" s="43" t="s">
        <v>4889</v>
      </c>
      <c r="AI142" s="63"/>
      <c r="AJ142" s="307"/>
    </row>
    <row r="143" spans="1:37">
      <c r="A143" s="146" t="s">
        <v>2116</v>
      </c>
      <c r="B143" s="80">
        <v>-31</v>
      </c>
      <c r="C143" s="79">
        <v>78</v>
      </c>
      <c r="D143" s="79">
        <v>34</v>
      </c>
      <c r="E143" s="79">
        <v>59</v>
      </c>
      <c r="F143" s="6">
        <v>2.06</v>
      </c>
      <c r="G143" s="79">
        <v>2013</v>
      </c>
      <c r="H143" s="5" t="s">
        <v>301</v>
      </c>
      <c r="I143" s="22" t="s">
        <v>4250</v>
      </c>
      <c r="J143" s="73">
        <v>67.599999999999994</v>
      </c>
      <c r="K143" s="323">
        <v>8.5</v>
      </c>
      <c r="L143" s="323">
        <v>25.77</v>
      </c>
      <c r="M143" s="73">
        <v>43.1</v>
      </c>
      <c r="N143" s="73">
        <f t="shared" si="147"/>
        <v>144.97</v>
      </c>
      <c r="O143" s="81">
        <f>IFERROR(VLOOKUP($G143,'321買'!A:E,3,0),"'沒有資料'")</f>
        <v>19</v>
      </c>
      <c r="P143" s="380">
        <f>IFERROR(VLOOKUP($G143,'321買'!$A:$G,7,0),"'沒有資料'")</f>
        <v>250</v>
      </c>
      <c r="Q143" s="245" t="s">
        <v>5079</v>
      </c>
      <c r="R143" s="297">
        <f>IFERROR(RANK(VLOOKUP($G143,連買!$A:$D,4,0),連買!$D:$D,0),"'沒有資料'")</f>
        <v>338</v>
      </c>
      <c r="S143" s="34">
        <v>2.8</v>
      </c>
      <c r="T143" s="353">
        <f t="shared" si="148"/>
        <v>4.6589018302828612E-2</v>
      </c>
      <c r="U143" s="57">
        <v>2.52</v>
      </c>
      <c r="V143" s="36">
        <v>60.1</v>
      </c>
      <c r="W143" s="66">
        <v>58.3</v>
      </c>
      <c r="X143" s="15">
        <f t="shared" si="149"/>
        <v>1.8000000000000043</v>
      </c>
      <c r="Y143" s="63">
        <f t="shared" si="150"/>
        <v>3.0874785591766797E-2</v>
      </c>
      <c r="Z143" s="413">
        <v>-29.01</v>
      </c>
      <c r="AA143" s="126"/>
      <c r="AD143" s="22" t="s">
        <v>4250</v>
      </c>
      <c r="AE143" s="84">
        <v>44587</v>
      </c>
      <c r="AF143" s="83">
        <v>44599</v>
      </c>
      <c r="AG143" s="33">
        <f t="shared" si="151"/>
        <v>12</v>
      </c>
      <c r="AH143" s="120" t="s">
        <v>4251</v>
      </c>
      <c r="AI143" s="63"/>
      <c r="AJ143" s="307"/>
    </row>
    <row r="144" spans="1:37" s="268" customFormat="1">
      <c r="A144" s="145"/>
      <c r="B144" s="79"/>
      <c r="C144" s="79"/>
      <c r="D144" s="79"/>
      <c r="E144" s="79"/>
      <c r="F144" s="6"/>
      <c r="G144" s="41"/>
      <c r="H144" s="8"/>
      <c r="I144" s="158"/>
      <c r="J144" s="323"/>
      <c r="K144" s="323"/>
      <c r="L144" s="323"/>
      <c r="M144" s="318"/>
      <c r="N144" s="318"/>
      <c r="O144" s="306"/>
      <c r="P144" s="374"/>
      <c r="Q144" s="389"/>
      <c r="R144" s="151"/>
      <c r="S144" s="197"/>
      <c r="T144" s="351"/>
      <c r="U144" s="95"/>
      <c r="V144" s="349">
        <f>SUM(V118:V143)</f>
        <v>4350.6000000000004</v>
      </c>
      <c r="W144" s="331">
        <f>SUM(W118:W143)</f>
        <v>4218.45</v>
      </c>
      <c r="X144" s="167">
        <f t="shared" si="149"/>
        <v>132.15000000000055</v>
      </c>
      <c r="Y144" s="163">
        <f t="shared" si="150"/>
        <v>3.1326672118906364E-2</v>
      </c>
      <c r="Z144" s="101"/>
      <c r="AA144" s="168"/>
      <c r="AD144" s="244">
        <f>V144*(0.001425*0.5)+V144*0.003+W144*(0.001425*0.5)</f>
        <v>19.157248125000002</v>
      </c>
      <c r="AE144" s="6">
        <f>X144-AD144</f>
        <v>112.99275187500055</v>
      </c>
      <c r="AF144" s="83"/>
      <c r="AG144" s="33"/>
      <c r="AH144" s="46" t="s">
        <v>5096</v>
      </c>
    </row>
    <row r="145" spans="1:38" s="268" customFormat="1">
      <c r="A145" s="145"/>
      <c r="B145" s="79"/>
      <c r="C145" s="79"/>
      <c r="D145" s="79"/>
      <c r="E145" s="79"/>
      <c r="F145" s="6"/>
      <c r="G145" s="41"/>
      <c r="H145" s="8"/>
      <c r="I145" s="158"/>
      <c r="J145" s="323"/>
      <c r="K145" s="323"/>
      <c r="L145" s="323"/>
      <c r="M145" s="318"/>
      <c r="N145" s="318"/>
      <c r="O145" s="306"/>
      <c r="P145" s="374"/>
      <c r="Q145" s="389"/>
      <c r="R145" s="151"/>
      <c r="S145" s="197"/>
      <c r="T145" s="351"/>
      <c r="U145" s="95"/>
      <c r="V145" s="349"/>
      <c r="W145" s="331"/>
      <c r="X145" s="167"/>
      <c r="Y145" s="163"/>
      <c r="Z145" s="101"/>
      <c r="AA145" s="168"/>
      <c r="AD145" s="244"/>
      <c r="AE145" s="6"/>
      <c r="AF145" s="83"/>
      <c r="AG145" s="33"/>
      <c r="AH145" s="46"/>
    </row>
    <row r="146" spans="1:38">
      <c r="A146" s="130" t="s">
        <v>2086</v>
      </c>
      <c r="B146" s="79">
        <v>8</v>
      </c>
      <c r="C146" s="79">
        <v>1</v>
      </c>
      <c r="D146" s="80">
        <v>-12</v>
      </c>
      <c r="E146" s="79">
        <v>12</v>
      </c>
      <c r="F146" s="57">
        <v>25.71</v>
      </c>
      <c r="G146" s="79">
        <v>3217</v>
      </c>
      <c r="H146" s="5" t="s">
        <v>3620</v>
      </c>
      <c r="I146" s="16" t="s">
        <v>4888</v>
      </c>
      <c r="J146" s="323">
        <v>45.1</v>
      </c>
      <c r="K146" s="323">
        <v>15.59</v>
      </c>
      <c r="L146" s="323">
        <v>17.3</v>
      </c>
      <c r="M146" s="323">
        <v>12.99</v>
      </c>
      <c r="N146" s="318">
        <f t="shared" ref="N146:N159" si="152">J146+K146+L146+M146</f>
        <v>90.97999999999999</v>
      </c>
      <c r="O146" s="81">
        <f>IFERROR(VLOOKUP($G146,'321買'!A:E,3,0),"'沒有資料'")</f>
        <v>29</v>
      </c>
      <c r="P146" s="380">
        <f>IFERROR(VLOOKUP($G146,'321買'!$A:$G,7,0),"'沒有資料'")</f>
        <v>117</v>
      </c>
      <c r="Q146" s="245" t="s">
        <v>3818</v>
      </c>
      <c r="R146" s="297">
        <f>IFERROR(RANK(VLOOKUP($G146,連買!$A:$D,4,0),連買!$D:$D,0),"'沒有資料'")</f>
        <v>249</v>
      </c>
      <c r="S146" s="45">
        <v>5.6</v>
      </c>
      <c r="T146" s="353">
        <f t="shared" ref="T146:T159" si="153">S146/V146</f>
        <v>4.5344129554655867E-2</v>
      </c>
      <c r="U146" s="95">
        <v>7.33</v>
      </c>
      <c r="V146" s="36">
        <v>123.5</v>
      </c>
      <c r="W146" s="66">
        <v>120.5</v>
      </c>
      <c r="X146" s="15">
        <f t="shared" ref="X146:X160" si="154">V146-W146</f>
        <v>3</v>
      </c>
      <c r="Y146" s="63">
        <f t="shared" ref="Y146:Y160" si="155">X146/W146</f>
        <v>2.4896265560165973E-2</v>
      </c>
      <c r="Z146" s="413">
        <v>-19.329999999999998</v>
      </c>
      <c r="AA146" s="126"/>
      <c r="AD146" s="16" t="s">
        <v>4888</v>
      </c>
      <c r="AE146" s="84">
        <v>44587</v>
      </c>
      <c r="AF146" s="86">
        <v>44587</v>
      </c>
      <c r="AG146" s="33">
        <f t="shared" ref="AG146:AG159" si="156">AF146-AE146</f>
        <v>0</v>
      </c>
      <c r="AH146" s="43" t="s">
        <v>4889</v>
      </c>
      <c r="AI146" s="63"/>
      <c r="AJ146" s="307"/>
    </row>
    <row r="147" spans="1:38">
      <c r="A147" s="146" t="s">
        <v>1750</v>
      </c>
      <c r="B147" s="80">
        <v>-8</v>
      </c>
      <c r="C147" s="80">
        <v>-16</v>
      </c>
      <c r="D147" s="79">
        <v>1</v>
      </c>
      <c r="E147" s="79">
        <v>19</v>
      </c>
      <c r="F147" s="6">
        <v>9.17</v>
      </c>
      <c r="G147" s="79">
        <v>3324</v>
      </c>
      <c r="H147" s="8" t="s">
        <v>316</v>
      </c>
      <c r="I147" s="16" t="s">
        <v>228</v>
      </c>
      <c r="J147" s="323">
        <v>29.14</v>
      </c>
      <c r="K147" s="73">
        <v>19.21</v>
      </c>
      <c r="L147" s="73">
        <v>45.47</v>
      </c>
      <c r="M147" s="73">
        <v>19.989999999999998</v>
      </c>
      <c r="N147" s="318">
        <f t="shared" si="152"/>
        <v>113.80999999999999</v>
      </c>
      <c r="O147" s="81">
        <f>IFERROR(VLOOKUP($G147,'321買'!A:E,3,0),"'沒有資料'")</f>
        <v>76</v>
      </c>
      <c r="P147" s="380">
        <f>IFERROR(VLOOKUP($G147,'321買'!$A:$G,7,0),"'沒有資料'")</f>
        <v>24</v>
      </c>
      <c r="Q147" s="245" t="s">
        <v>3816</v>
      </c>
      <c r="R147" s="297">
        <f>IFERROR(RANK(VLOOKUP($G147,連買!$A:$D,4,0),連買!$D:$D,0),"'沒有資料'")</f>
        <v>60</v>
      </c>
      <c r="S147" s="45">
        <v>5.6</v>
      </c>
      <c r="T147" s="353">
        <f t="shared" si="153"/>
        <v>2.557077625570776E-2</v>
      </c>
      <c r="U147" s="95">
        <v>12.05</v>
      </c>
      <c r="V147" s="36">
        <v>219</v>
      </c>
      <c r="W147" s="66">
        <v>215</v>
      </c>
      <c r="X147" s="15">
        <f t="shared" si="154"/>
        <v>4</v>
      </c>
      <c r="Y147" s="63">
        <f t="shared" si="155"/>
        <v>1.8604651162790697E-2</v>
      </c>
      <c r="Z147" s="413">
        <v>-3.28</v>
      </c>
      <c r="AA147" s="126"/>
      <c r="AD147" s="16" t="s">
        <v>228</v>
      </c>
      <c r="AE147" s="84">
        <v>44582</v>
      </c>
      <c r="AF147" s="83">
        <v>44587</v>
      </c>
      <c r="AG147" s="33">
        <f t="shared" si="156"/>
        <v>5</v>
      </c>
      <c r="AH147" s="43" t="s">
        <v>3111</v>
      </c>
      <c r="AI147" s="63"/>
      <c r="AJ147" s="307"/>
    </row>
    <row r="148" spans="1:38">
      <c r="A148" s="130" t="s">
        <v>2364</v>
      </c>
      <c r="B148" s="79">
        <v>23</v>
      </c>
      <c r="C148" s="79">
        <v>31</v>
      </c>
      <c r="D148" s="79">
        <v>12</v>
      </c>
      <c r="E148" s="79">
        <v>90</v>
      </c>
      <c r="F148" s="57">
        <v>18.86</v>
      </c>
      <c r="G148" s="79">
        <v>6104</v>
      </c>
      <c r="H148" s="149" t="s">
        <v>3254</v>
      </c>
      <c r="I148" s="16" t="s">
        <v>374</v>
      </c>
      <c r="J148" s="73">
        <v>25.53</v>
      </c>
      <c r="K148" s="73">
        <v>23.88</v>
      </c>
      <c r="L148" s="323">
        <v>53.41</v>
      </c>
      <c r="M148" s="323">
        <v>8.57</v>
      </c>
      <c r="N148" s="318">
        <f t="shared" si="152"/>
        <v>111.38999999999999</v>
      </c>
      <c r="O148" s="81">
        <f>IFERROR(VLOOKUP($G148,'321買'!A:E,3,0),"'沒有資料'")</f>
        <v>116</v>
      </c>
      <c r="P148" s="380">
        <f>IFERROR(VLOOKUP($G148,'321買'!$A:$G,7,0),"'沒有資料'")</f>
        <v>2</v>
      </c>
      <c r="Q148" s="245" t="s">
        <v>3816</v>
      </c>
      <c r="R148" s="297">
        <f>IFERROR(RANK(VLOOKUP($G148,連買!$A:$D,4,0),連買!$D:$D,0),"'沒有資料'")</f>
        <v>90</v>
      </c>
      <c r="S148" s="45">
        <v>3</v>
      </c>
      <c r="T148" s="353">
        <f t="shared" si="153"/>
        <v>1.4492753623188406E-2</v>
      </c>
      <c r="U148" s="95">
        <v>4.42</v>
      </c>
      <c r="V148" s="36">
        <v>207</v>
      </c>
      <c r="W148" s="66">
        <v>202.5</v>
      </c>
      <c r="X148" s="15">
        <f t="shared" si="154"/>
        <v>4.5</v>
      </c>
      <c r="Y148" s="63">
        <f t="shared" si="155"/>
        <v>2.2222222222222223E-2</v>
      </c>
      <c r="Z148" s="413">
        <v>-7.88</v>
      </c>
      <c r="AA148" s="126"/>
      <c r="AD148" s="16" t="s">
        <v>374</v>
      </c>
      <c r="AE148" s="84">
        <v>44586</v>
      </c>
      <c r="AF148" s="86">
        <v>44586</v>
      </c>
      <c r="AG148" s="33">
        <f t="shared" si="156"/>
        <v>0</v>
      </c>
      <c r="AH148" s="43" t="s">
        <v>3261</v>
      </c>
      <c r="AI148" s="63"/>
      <c r="AJ148" s="307"/>
      <c r="AK148" s="221"/>
    </row>
    <row r="149" spans="1:38">
      <c r="A149" s="130" t="s">
        <v>2469</v>
      </c>
      <c r="B149" s="79">
        <v>159</v>
      </c>
      <c r="C149" s="79">
        <v>141</v>
      </c>
      <c r="D149" s="80">
        <v>-20</v>
      </c>
      <c r="E149" s="79">
        <v>61</v>
      </c>
      <c r="F149" s="57">
        <v>32.9</v>
      </c>
      <c r="G149" s="80">
        <v>3169</v>
      </c>
      <c r="H149" s="195" t="s">
        <v>3254</v>
      </c>
      <c r="I149" s="16" t="s">
        <v>361</v>
      </c>
      <c r="J149" s="323">
        <v>30.37</v>
      </c>
      <c r="K149" s="73">
        <v>10.3</v>
      </c>
      <c r="L149" s="323">
        <v>56.02</v>
      </c>
      <c r="M149" s="323">
        <v>24.22</v>
      </c>
      <c r="N149" s="318">
        <f t="shared" si="152"/>
        <v>120.91</v>
      </c>
      <c r="O149" s="81">
        <f>IFERROR(VLOOKUP($G149,'321買'!A:E,3,0),"'沒有資料'")</f>
        <v>85</v>
      </c>
      <c r="P149" s="380">
        <f>IFERROR(VLOOKUP($G149,'321買'!$A:$G,7,0),"'沒有資料'")</f>
        <v>12</v>
      </c>
      <c r="Q149" s="245" t="s">
        <v>3816</v>
      </c>
      <c r="R149" s="297">
        <f>IFERROR(RANK(VLOOKUP($G149,連買!$A:$D,4,0),連買!$D:$D,0),"'沒有資料'")</f>
        <v>1620</v>
      </c>
      <c r="S149" s="34">
        <v>2.5</v>
      </c>
      <c r="T149" s="353">
        <f t="shared" si="153"/>
        <v>1.201923076923077E-2</v>
      </c>
      <c r="U149" s="95">
        <v>5.5</v>
      </c>
      <c r="V149" s="36">
        <v>208</v>
      </c>
      <c r="W149" s="66">
        <v>204</v>
      </c>
      <c r="X149" s="15">
        <f t="shared" si="154"/>
        <v>4</v>
      </c>
      <c r="Y149" s="63">
        <f t="shared" si="155"/>
        <v>1.9607843137254902E-2</v>
      </c>
      <c r="Z149" s="413">
        <v>-31.05</v>
      </c>
      <c r="AA149" s="126"/>
      <c r="AD149" s="16" t="s">
        <v>361</v>
      </c>
      <c r="AE149" s="84">
        <v>44585</v>
      </c>
      <c r="AF149" s="83">
        <v>44586</v>
      </c>
      <c r="AG149" s="33">
        <f t="shared" si="156"/>
        <v>1</v>
      </c>
      <c r="AH149" s="43" t="s">
        <v>3078</v>
      </c>
      <c r="AI149" s="63"/>
      <c r="AJ149" s="307"/>
    </row>
    <row r="150" spans="1:38">
      <c r="A150" s="130" t="s">
        <v>1702</v>
      </c>
      <c r="B150" s="79">
        <v>102</v>
      </c>
      <c r="C150" s="79">
        <v>118</v>
      </c>
      <c r="D150" s="80">
        <v>-3</v>
      </c>
      <c r="E150" s="79">
        <v>26</v>
      </c>
      <c r="F150" s="57">
        <v>19.43</v>
      </c>
      <c r="G150" s="79">
        <v>6138</v>
      </c>
      <c r="H150" s="149" t="s">
        <v>3254</v>
      </c>
      <c r="I150" s="16" t="s">
        <v>159</v>
      </c>
      <c r="J150" s="73">
        <v>18.809999999999999</v>
      </c>
      <c r="K150" s="73">
        <v>30.08</v>
      </c>
      <c r="L150" s="73">
        <v>29.74</v>
      </c>
      <c r="M150" s="323">
        <v>7.86</v>
      </c>
      <c r="N150" s="318">
        <f t="shared" si="152"/>
        <v>86.49</v>
      </c>
      <c r="O150" s="81">
        <f>IFERROR(VLOOKUP($G150,'321買'!A:E,3,0),"'沒有資料'")</f>
        <v>101</v>
      </c>
      <c r="P150" s="380">
        <f>IFERROR(VLOOKUP($G150,'321買'!$A:$G,7,0),"'沒有資料'")</f>
        <v>7</v>
      </c>
      <c r="Q150" s="245" t="s">
        <v>3817</v>
      </c>
      <c r="R150" s="297">
        <f>IFERROR(RANK(VLOOKUP($G150,連買!$A:$D,4,0),連買!$D:$D,0),"'沒有資料'")</f>
        <v>82</v>
      </c>
      <c r="S150" s="45">
        <v>5.2</v>
      </c>
      <c r="T150" s="353">
        <f t="shared" si="153"/>
        <v>2.1095334685598377E-2</v>
      </c>
      <c r="U150" s="95">
        <v>11.03</v>
      </c>
      <c r="V150" s="36">
        <v>246.5</v>
      </c>
      <c r="W150" s="66">
        <v>241.5</v>
      </c>
      <c r="X150" s="15">
        <f t="shared" si="154"/>
        <v>5</v>
      </c>
      <c r="Y150" s="63">
        <f t="shared" si="155"/>
        <v>2.0703933747412008E-2</v>
      </c>
      <c r="Z150" s="413">
        <v>-13.29</v>
      </c>
      <c r="AA150" s="264"/>
      <c r="AD150" s="16" t="s">
        <v>159</v>
      </c>
      <c r="AE150" s="84">
        <v>44582</v>
      </c>
      <c r="AF150" s="86">
        <v>44582</v>
      </c>
      <c r="AG150" s="33">
        <f t="shared" si="156"/>
        <v>0</v>
      </c>
      <c r="AH150" s="120" t="s">
        <v>3856</v>
      </c>
      <c r="AI150" s="63"/>
      <c r="AJ150" s="307"/>
    </row>
    <row r="151" spans="1:38">
      <c r="A151" s="130" t="s">
        <v>1763</v>
      </c>
      <c r="B151" s="79">
        <v>67</v>
      </c>
      <c r="C151" s="79">
        <v>108</v>
      </c>
      <c r="D151" s="80">
        <v>-2</v>
      </c>
      <c r="E151" s="80">
        <v>-15</v>
      </c>
      <c r="F151" s="57">
        <v>21.5</v>
      </c>
      <c r="G151" s="79">
        <v>2233</v>
      </c>
      <c r="H151" s="8" t="s">
        <v>303</v>
      </c>
      <c r="I151" s="22" t="s">
        <v>154</v>
      </c>
      <c r="J151" s="323">
        <v>26.77</v>
      </c>
      <c r="K151" s="323">
        <v>20.329999999999998</v>
      </c>
      <c r="L151" s="323">
        <v>9.8800000000000008</v>
      </c>
      <c r="M151" s="323">
        <v>9.84</v>
      </c>
      <c r="N151" s="318">
        <f t="shared" si="152"/>
        <v>66.819999999999993</v>
      </c>
      <c r="O151" s="81">
        <f>IFERROR(VLOOKUP($G151,'321買'!A:E,3,0),"'沒有資料'")</f>
        <v>48</v>
      </c>
      <c r="P151" s="380">
        <f>IFERROR(VLOOKUP($G151,'321買'!$A:$G,7,0),"'沒有資料'")</f>
        <v>74</v>
      </c>
      <c r="Q151" s="245" t="s">
        <v>3818</v>
      </c>
      <c r="R151" s="297">
        <f>IFERROR(RANK(VLOOKUP($G151,連買!$A:$D,4,0),連買!$D:$D,0),"'沒有資料'")</f>
        <v>162</v>
      </c>
      <c r="S151" s="45">
        <v>3.74</v>
      </c>
      <c r="T151" s="353">
        <f t="shared" si="153"/>
        <v>3.3392857142857148E-2</v>
      </c>
      <c r="U151" s="95">
        <v>9.02</v>
      </c>
      <c r="V151" s="36">
        <v>112</v>
      </c>
      <c r="W151" s="66">
        <v>109.5</v>
      </c>
      <c r="X151" s="15">
        <f t="shared" si="154"/>
        <v>2.5</v>
      </c>
      <c r="Y151" s="63">
        <f t="shared" si="155"/>
        <v>2.2831050228310501E-2</v>
      </c>
      <c r="Z151" s="413">
        <v>-24.48</v>
      </c>
      <c r="AA151" s="126"/>
      <c r="AD151" s="22" t="s">
        <v>154</v>
      </c>
      <c r="AE151" s="84">
        <v>44581</v>
      </c>
      <c r="AF151" s="86">
        <v>44581</v>
      </c>
      <c r="AG151" s="33">
        <f t="shared" si="156"/>
        <v>0</v>
      </c>
      <c r="AH151" s="120" t="s">
        <v>2976</v>
      </c>
      <c r="AI151" s="63"/>
      <c r="AJ151" s="307"/>
    </row>
    <row r="152" spans="1:38">
      <c r="A152" s="146" t="s">
        <v>4833</v>
      </c>
      <c r="B152" s="80">
        <v>-63</v>
      </c>
      <c r="C152" s="80">
        <v>-72</v>
      </c>
      <c r="D152" s="80">
        <v>-1</v>
      </c>
      <c r="E152" s="79">
        <v>7</v>
      </c>
      <c r="F152" s="6">
        <v>2.48</v>
      </c>
      <c r="G152" s="79">
        <v>2421</v>
      </c>
      <c r="H152" s="5" t="s">
        <v>3620</v>
      </c>
      <c r="I152" s="22" t="s">
        <v>4834</v>
      </c>
      <c r="J152" s="323">
        <v>46.59</v>
      </c>
      <c r="K152" s="73">
        <v>19.14</v>
      </c>
      <c r="L152" s="73">
        <v>8.67</v>
      </c>
      <c r="M152" s="323">
        <v>14.8</v>
      </c>
      <c r="N152" s="318">
        <f t="shared" si="152"/>
        <v>89.2</v>
      </c>
      <c r="O152" s="81">
        <f>IFERROR(VLOOKUP($G152,'321買'!A:E,3,0),"'沒有資料'")</f>
        <v>7</v>
      </c>
      <c r="P152" s="380">
        <f>IFERROR(VLOOKUP($G152,'321買'!$A:$G,7,0),"'沒有資料'")</f>
        <v>475</v>
      </c>
      <c r="Q152" s="245" t="s">
        <v>3816</v>
      </c>
      <c r="R152" s="297">
        <f>IFERROR(RANK(VLOOKUP($G152,連買!$A:$D,4,0),連買!$D:$D,0),"'沒有資料'")</f>
        <v>185</v>
      </c>
      <c r="S152" s="34">
        <v>2.4</v>
      </c>
      <c r="T152" s="353">
        <f t="shared" si="153"/>
        <v>5.106382978723404E-2</v>
      </c>
      <c r="U152" s="95">
        <v>1.63</v>
      </c>
      <c r="V152" s="36">
        <v>47</v>
      </c>
      <c r="W152" s="66">
        <v>45.85</v>
      </c>
      <c r="X152" s="15">
        <f t="shared" si="154"/>
        <v>1.1499999999999986</v>
      </c>
      <c r="Y152" s="63">
        <f t="shared" si="155"/>
        <v>2.5081788440567035E-2</v>
      </c>
      <c r="Z152" s="413">
        <v>-15.28</v>
      </c>
      <c r="AA152" s="126"/>
      <c r="AD152" s="22" t="s">
        <v>4834</v>
      </c>
      <c r="AE152" s="84">
        <v>44580</v>
      </c>
      <c r="AF152" s="86">
        <v>44580</v>
      </c>
      <c r="AG152" s="33">
        <f t="shared" si="156"/>
        <v>0</v>
      </c>
      <c r="AH152" s="120" t="s">
        <v>2458</v>
      </c>
      <c r="AI152" s="63"/>
      <c r="AJ152" s="307"/>
    </row>
    <row r="153" spans="1:38">
      <c r="A153" s="130" t="s">
        <v>2346</v>
      </c>
      <c r="B153" s="79">
        <v>150</v>
      </c>
      <c r="C153" s="79">
        <v>123</v>
      </c>
      <c r="D153" s="79">
        <v>16</v>
      </c>
      <c r="E153" s="79">
        <v>43</v>
      </c>
      <c r="F153" s="57">
        <v>20.53</v>
      </c>
      <c r="G153" s="79">
        <v>6651</v>
      </c>
      <c r="H153" s="204" t="s">
        <v>3254</v>
      </c>
      <c r="I153" s="16" t="s">
        <v>2520</v>
      </c>
      <c r="J153" s="73">
        <v>27.77</v>
      </c>
      <c r="K153" s="73">
        <v>0.45</v>
      </c>
      <c r="L153" s="73">
        <v>13.92</v>
      </c>
      <c r="M153" s="323">
        <v>15.89</v>
      </c>
      <c r="N153" s="318">
        <f t="shared" si="152"/>
        <v>58.03</v>
      </c>
      <c r="O153" s="81">
        <f>IFERROR(VLOOKUP($G153,'321買'!A:E,3,0),"'沒有資料'")</f>
        <v>9</v>
      </c>
      <c r="P153" s="380">
        <f>IFERROR(VLOOKUP($G153,'321買'!$A:$G,7,0),"'沒有資料'")</f>
        <v>448</v>
      </c>
      <c r="Q153" s="245" t="s">
        <v>5063</v>
      </c>
      <c r="R153" s="297">
        <f>IFERROR(RANK(VLOOKUP($G153,連買!$A:$D,4,0),連買!$D:$D,0),"'沒有資料'")</f>
        <v>308</v>
      </c>
      <c r="S153" s="45">
        <v>3</v>
      </c>
      <c r="T153" s="353">
        <f t="shared" si="153"/>
        <v>2.5974025974025976E-2</v>
      </c>
      <c r="U153" s="95">
        <v>7.46</v>
      </c>
      <c r="V153" s="36">
        <v>115.5</v>
      </c>
      <c r="W153" s="66">
        <v>113.5</v>
      </c>
      <c r="X153" s="15">
        <f t="shared" si="154"/>
        <v>2</v>
      </c>
      <c r="Y153" s="63">
        <f t="shared" si="155"/>
        <v>1.7621145374449341E-2</v>
      </c>
      <c r="Z153" s="413">
        <v>-25.82</v>
      </c>
      <c r="AA153" s="126"/>
      <c r="AD153" s="16" t="s">
        <v>2520</v>
      </c>
      <c r="AE153" s="84">
        <v>44575</v>
      </c>
      <c r="AF153" s="83">
        <v>44578</v>
      </c>
      <c r="AG153" s="33">
        <f t="shared" si="156"/>
        <v>3</v>
      </c>
      <c r="AH153" s="43" t="s">
        <v>2345</v>
      </c>
      <c r="AI153" s="63"/>
      <c r="AJ153" s="307"/>
    </row>
    <row r="154" spans="1:38">
      <c r="A154" s="130" t="s">
        <v>2110</v>
      </c>
      <c r="B154" s="80">
        <v>-66</v>
      </c>
      <c r="C154" s="80">
        <v>-67</v>
      </c>
      <c r="D154" s="80">
        <v>-7</v>
      </c>
      <c r="E154" s="80">
        <v>-16</v>
      </c>
      <c r="F154" s="57">
        <v>16.88</v>
      </c>
      <c r="G154" s="79">
        <v>6538</v>
      </c>
      <c r="H154" s="8" t="s">
        <v>310</v>
      </c>
      <c r="I154" s="16" t="s">
        <v>441</v>
      </c>
      <c r="J154" s="73">
        <v>12.82</v>
      </c>
      <c r="K154" s="73">
        <v>4.8899999999999997</v>
      </c>
      <c r="L154" s="73">
        <v>37.14</v>
      </c>
      <c r="M154" s="73">
        <v>13.47</v>
      </c>
      <c r="N154" s="318">
        <f t="shared" si="152"/>
        <v>68.320000000000007</v>
      </c>
      <c r="O154" s="81">
        <f>IFERROR(VLOOKUP($G154,'321買'!A:E,3,0),"'沒有資料'")</f>
        <v>8</v>
      </c>
      <c r="P154" s="380">
        <f>IFERROR(VLOOKUP($G154,'321買'!$A:$G,7,0),"'沒有資料'")</f>
        <v>475</v>
      </c>
      <c r="Q154" s="245" t="s">
        <v>5063</v>
      </c>
      <c r="R154" s="297">
        <f>IFERROR(RANK(VLOOKUP($G154,連買!$A:$D,4,0),連買!$D:$D,0),"'沒有資料'")</f>
        <v>129</v>
      </c>
      <c r="S154" s="45">
        <v>7</v>
      </c>
      <c r="T154" s="353">
        <f t="shared" si="153"/>
        <v>6.6037735849056603E-2</v>
      </c>
      <c r="U154" s="95">
        <v>5.16</v>
      </c>
      <c r="V154" s="36">
        <v>106</v>
      </c>
      <c r="W154" s="66">
        <v>104</v>
      </c>
      <c r="X154" s="15">
        <f t="shared" si="154"/>
        <v>2</v>
      </c>
      <c r="Y154" s="63">
        <f t="shared" si="155"/>
        <v>1.9230769230769232E-2</v>
      </c>
      <c r="Z154" s="413">
        <v>-40.72</v>
      </c>
      <c r="AA154" s="126"/>
      <c r="AD154" s="16" t="s">
        <v>441</v>
      </c>
      <c r="AE154" s="84">
        <v>44578</v>
      </c>
      <c r="AF154" s="86">
        <v>44578</v>
      </c>
      <c r="AG154" s="33">
        <f t="shared" si="156"/>
        <v>0</v>
      </c>
      <c r="AH154" s="43" t="s">
        <v>1793</v>
      </c>
      <c r="AI154" s="63"/>
      <c r="AJ154" s="307"/>
    </row>
    <row r="155" spans="1:38">
      <c r="A155" s="130" t="s">
        <v>3717</v>
      </c>
      <c r="B155" s="80">
        <v>-19</v>
      </c>
      <c r="C155" s="80">
        <v>-18</v>
      </c>
      <c r="D155" s="79">
        <v>15</v>
      </c>
      <c r="E155" s="79">
        <v>17</v>
      </c>
      <c r="F155" s="57">
        <v>12.25</v>
      </c>
      <c r="G155" s="79">
        <v>6223</v>
      </c>
      <c r="H155" s="208" t="s">
        <v>3254</v>
      </c>
      <c r="I155" s="16" t="s">
        <v>4386</v>
      </c>
      <c r="J155" s="323">
        <v>20.85</v>
      </c>
      <c r="K155" s="73">
        <v>14.76</v>
      </c>
      <c r="L155" s="73">
        <v>40.369999999999997</v>
      </c>
      <c r="M155" s="323">
        <v>12.43</v>
      </c>
      <c r="N155" s="318">
        <f t="shared" si="152"/>
        <v>88.41</v>
      </c>
      <c r="O155" s="81">
        <f>IFERROR(VLOOKUP($G155,'321買'!A:E,3,0),"'沒有資料'")</f>
        <v>74</v>
      </c>
      <c r="P155" s="380">
        <f>IFERROR(VLOOKUP($G155,'321買'!$A:$G,7,0),"'沒有資料'")</f>
        <v>20</v>
      </c>
      <c r="Q155" s="245" t="s">
        <v>3816</v>
      </c>
      <c r="R155" s="297">
        <f>IFERROR(RANK(VLOOKUP($G155,連買!$A:$D,4,0),連買!$D:$D,0),"'沒有資料'")</f>
        <v>161</v>
      </c>
      <c r="S155" s="45">
        <v>4.47</v>
      </c>
      <c r="T155" s="353">
        <f t="shared" si="153"/>
        <v>3.6489795918367346E-2</v>
      </c>
      <c r="U155" s="95">
        <v>6.6</v>
      </c>
      <c r="V155" s="36">
        <v>122.5</v>
      </c>
      <c r="W155" s="66">
        <v>120.5</v>
      </c>
      <c r="X155" s="15">
        <f t="shared" si="154"/>
        <v>2</v>
      </c>
      <c r="Y155" s="63">
        <f t="shared" si="155"/>
        <v>1.6597510373443983E-2</v>
      </c>
      <c r="Z155" s="413">
        <v>-30.92</v>
      </c>
      <c r="AA155" s="126"/>
      <c r="AD155" s="16" t="s">
        <v>4386</v>
      </c>
      <c r="AE155" s="84">
        <v>44575</v>
      </c>
      <c r="AF155" s="83">
        <v>44578</v>
      </c>
      <c r="AG155" s="33">
        <f t="shared" si="156"/>
        <v>3</v>
      </c>
      <c r="AH155" s="120" t="s">
        <v>2533</v>
      </c>
      <c r="AI155" s="63"/>
      <c r="AJ155" s="307"/>
    </row>
    <row r="156" spans="1:38">
      <c r="A156" s="130" t="s">
        <v>3717</v>
      </c>
      <c r="B156" s="80">
        <v>-19</v>
      </c>
      <c r="C156" s="80">
        <v>-18</v>
      </c>
      <c r="D156" s="79">
        <v>15</v>
      </c>
      <c r="E156" s="79">
        <v>17</v>
      </c>
      <c r="F156" s="57">
        <v>12.25</v>
      </c>
      <c r="G156" s="79">
        <v>6223</v>
      </c>
      <c r="H156" s="208" t="s">
        <v>3254</v>
      </c>
      <c r="I156" s="16" t="s">
        <v>4386</v>
      </c>
      <c r="J156" s="323">
        <v>20.85</v>
      </c>
      <c r="K156" s="73">
        <v>14.76</v>
      </c>
      <c r="L156" s="73">
        <v>40.369999999999997</v>
      </c>
      <c r="M156" s="323">
        <v>12.43</v>
      </c>
      <c r="N156" s="318">
        <f t="shared" si="152"/>
        <v>88.41</v>
      </c>
      <c r="O156" s="81">
        <f>IFERROR(VLOOKUP($G156,'321買'!A:E,3,0),"'沒有資料'")</f>
        <v>74</v>
      </c>
      <c r="P156" s="380">
        <f>IFERROR(VLOOKUP($G156,'321買'!$A:$G,7,0),"'沒有資料'")</f>
        <v>20</v>
      </c>
      <c r="Q156" s="245" t="s">
        <v>3817</v>
      </c>
      <c r="R156" s="297">
        <f>IFERROR(RANK(VLOOKUP($G156,連買!$A:$D,4,0),連買!$D:$D,0),"'沒有資料'")</f>
        <v>161</v>
      </c>
      <c r="S156" s="45">
        <v>4.47</v>
      </c>
      <c r="T156" s="353">
        <f t="shared" si="153"/>
        <v>3.6489795918367346E-2</v>
      </c>
      <c r="U156" s="95">
        <v>6.6</v>
      </c>
      <c r="V156" s="36">
        <v>122.5</v>
      </c>
      <c r="W156" s="66">
        <v>120.5</v>
      </c>
      <c r="X156" s="15">
        <f t="shared" si="154"/>
        <v>2</v>
      </c>
      <c r="Y156" s="63">
        <f t="shared" si="155"/>
        <v>1.6597510373443983E-2</v>
      </c>
      <c r="Z156" s="413">
        <v>-30.92</v>
      </c>
      <c r="AA156" s="126"/>
      <c r="AD156" s="16" t="s">
        <v>4386</v>
      </c>
      <c r="AE156" s="84">
        <v>44575</v>
      </c>
      <c r="AF156" s="83">
        <v>44578</v>
      </c>
      <c r="AG156" s="33">
        <f t="shared" si="156"/>
        <v>3</v>
      </c>
      <c r="AH156" s="120" t="s">
        <v>2533</v>
      </c>
      <c r="AI156" s="63"/>
      <c r="AJ156" s="307"/>
    </row>
    <row r="157" spans="1:38">
      <c r="A157" s="130" t="s">
        <v>4566</v>
      </c>
      <c r="B157" s="79">
        <v>70</v>
      </c>
      <c r="C157" s="79">
        <v>70</v>
      </c>
      <c r="D157" s="79">
        <v>67</v>
      </c>
      <c r="E157" s="80">
        <v>-3</v>
      </c>
      <c r="F157" s="57">
        <v>50.14</v>
      </c>
      <c r="G157" s="79">
        <v>4171</v>
      </c>
      <c r="H157" s="8" t="s">
        <v>1043</v>
      </c>
      <c r="I157" s="16" t="s">
        <v>1044</v>
      </c>
      <c r="J157" s="323">
        <v>29.09</v>
      </c>
      <c r="K157" s="73">
        <v>18.68</v>
      </c>
      <c r="L157" s="73">
        <v>17.11</v>
      </c>
      <c r="M157" s="323">
        <v>14.79</v>
      </c>
      <c r="N157" s="318">
        <f t="shared" si="152"/>
        <v>79.669999999999987</v>
      </c>
      <c r="O157" s="81">
        <f>IFERROR(VLOOKUP($G157,'321買'!A:E,3,0),"'沒有資料'")</f>
        <v>10</v>
      </c>
      <c r="P157" s="380">
        <f>IFERROR(VLOOKUP($G157,'321買'!$A:$G,7,0),"'沒有資料'")</f>
        <v>336</v>
      </c>
      <c r="Q157" s="245" t="s">
        <v>3816</v>
      </c>
      <c r="R157" s="297">
        <f>IFERROR(RANK(VLOOKUP($G157,連買!$A:$D,4,0),連買!$D:$D,0),"'沒有資料'")</f>
        <v>41</v>
      </c>
      <c r="S157" s="45">
        <v>3.83</v>
      </c>
      <c r="T157" s="353">
        <f t="shared" si="153"/>
        <v>3.4196428571428572E-2</v>
      </c>
      <c r="U157" s="95">
        <v>9.8800000000000008</v>
      </c>
      <c r="V157" s="36">
        <v>112</v>
      </c>
      <c r="W157" s="66">
        <v>110</v>
      </c>
      <c r="X157" s="15">
        <f t="shared" si="154"/>
        <v>2</v>
      </c>
      <c r="Y157" s="63">
        <f t="shared" si="155"/>
        <v>1.8181818181818181E-2</v>
      </c>
      <c r="Z157" s="413">
        <v>-37.71</v>
      </c>
      <c r="AA157" s="126"/>
      <c r="AD157" s="16" t="s">
        <v>1044</v>
      </c>
      <c r="AE157" s="84">
        <v>44575</v>
      </c>
      <c r="AF157" s="86">
        <v>44575</v>
      </c>
      <c r="AG157" s="33">
        <f t="shared" si="156"/>
        <v>0</v>
      </c>
      <c r="AH157" s="43" t="s">
        <v>2888</v>
      </c>
      <c r="AI157" s="63"/>
      <c r="AJ157" s="307"/>
    </row>
    <row r="158" spans="1:38">
      <c r="A158" s="130" t="s">
        <v>1998</v>
      </c>
      <c r="B158" s="80">
        <v>-81</v>
      </c>
      <c r="C158" s="80">
        <v>-79</v>
      </c>
      <c r="D158" s="79">
        <v>11</v>
      </c>
      <c r="E158" s="80">
        <v>-81</v>
      </c>
      <c r="F158" s="57">
        <v>35.44</v>
      </c>
      <c r="G158" s="79">
        <v>1325</v>
      </c>
      <c r="H158" s="8" t="s">
        <v>295</v>
      </c>
      <c r="I158" s="22" t="s">
        <v>604</v>
      </c>
      <c r="J158" s="323">
        <v>41.08</v>
      </c>
      <c r="K158" s="73">
        <v>8.82</v>
      </c>
      <c r="L158" s="323">
        <v>21.62</v>
      </c>
      <c r="M158" s="323">
        <v>32.61</v>
      </c>
      <c r="N158" s="318">
        <f t="shared" si="152"/>
        <v>104.13</v>
      </c>
      <c r="O158" s="81">
        <f>IFERROR(VLOOKUP($G158,'321買'!A:E,3,0),"'沒有資料'")</f>
        <v>16</v>
      </c>
      <c r="P158" s="380">
        <f>IFERROR(VLOOKUP($G158,'321買'!$A:$G,7,0),"'沒有資料'")</f>
        <v>273</v>
      </c>
      <c r="Q158" s="245" t="s">
        <v>3817</v>
      </c>
      <c r="R158" s="297">
        <f>IFERROR(RANK(VLOOKUP($G158,連買!$A:$D,4,0),連買!$D:$D,0),"'沒有資料'")</f>
        <v>169</v>
      </c>
      <c r="S158" s="45">
        <v>12</v>
      </c>
      <c r="T158" s="355">
        <f t="shared" si="153"/>
        <v>0.21818181818181817</v>
      </c>
      <c r="U158" s="95">
        <v>9.64</v>
      </c>
      <c r="V158" s="36">
        <v>55</v>
      </c>
      <c r="W158" s="66">
        <v>53.8</v>
      </c>
      <c r="X158" s="15">
        <f t="shared" si="154"/>
        <v>1.2000000000000028</v>
      </c>
      <c r="Y158" s="63">
        <f t="shared" si="155"/>
        <v>2.2304832713754701E-2</v>
      </c>
      <c r="Z158" s="413">
        <v>-55.65</v>
      </c>
      <c r="AA158" s="126"/>
      <c r="AD158" s="22" t="s">
        <v>604</v>
      </c>
      <c r="AE158" s="84">
        <v>44574</v>
      </c>
      <c r="AF158" s="86">
        <v>44574</v>
      </c>
      <c r="AG158" s="33">
        <f t="shared" si="156"/>
        <v>0</v>
      </c>
      <c r="AH158" s="43" t="s">
        <v>2718</v>
      </c>
      <c r="AI158" s="63"/>
      <c r="AJ158" s="307"/>
      <c r="AL158" s="264"/>
    </row>
    <row r="159" spans="1:38">
      <c r="A159" s="130" t="s">
        <v>1763</v>
      </c>
      <c r="B159" s="79">
        <v>67</v>
      </c>
      <c r="C159" s="79">
        <v>108</v>
      </c>
      <c r="D159" s="80">
        <v>-2</v>
      </c>
      <c r="E159" s="80">
        <v>-15</v>
      </c>
      <c r="F159" s="57">
        <v>21.5</v>
      </c>
      <c r="G159" s="79">
        <v>2233</v>
      </c>
      <c r="H159" s="5" t="s">
        <v>303</v>
      </c>
      <c r="I159" s="22" t="s">
        <v>154</v>
      </c>
      <c r="J159" s="323">
        <v>26.77</v>
      </c>
      <c r="K159" s="73">
        <v>20.43</v>
      </c>
      <c r="L159" s="73">
        <v>10.15</v>
      </c>
      <c r="M159" s="323">
        <v>9.84</v>
      </c>
      <c r="N159" s="318">
        <f t="shared" si="152"/>
        <v>67.19</v>
      </c>
      <c r="O159" s="81">
        <f>IFERROR(VLOOKUP($G159,'321買'!A:E,3,0),"'沒有資料'")</f>
        <v>48</v>
      </c>
      <c r="P159" s="380">
        <f>IFERROR(VLOOKUP($G159,'321買'!$A:$G,7,0),"'沒有資料'")</f>
        <v>74</v>
      </c>
      <c r="Q159" s="245" t="s">
        <v>5079</v>
      </c>
      <c r="R159" s="297">
        <f>IFERROR(RANK(VLOOKUP($G159,連買!$A:$D,4,0),連買!$D:$D,0),"'沒有資料'")</f>
        <v>162</v>
      </c>
      <c r="S159" s="45">
        <v>3.3</v>
      </c>
      <c r="T159" s="353">
        <f t="shared" si="153"/>
        <v>0.03</v>
      </c>
      <c r="U159" s="95">
        <v>6.23</v>
      </c>
      <c r="V159" s="36">
        <v>110</v>
      </c>
      <c r="W159" s="66">
        <v>108</v>
      </c>
      <c r="X159" s="15">
        <f t="shared" si="154"/>
        <v>2</v>
      </c>
      <c r="Y159" s="63">
        <f t="shared" si="155"/>
        <v>1.8518518518518517E-2</v>
      </c>
      <c r="Z159" s="413">
        <v>-23.43</v>
      </c>
      <c r="AA159" s="126"/>
      <c r="AD159" s="22" t="s">
        <v>154</v>
      </c>
      <c r="AE159" s="84">
        <v>44580</v>
      </c>
      <c r="AF159" s="86">
        <v>44581</v>
      </c>
      <c r="AG159" s="33">
        <f t="shared" si="156"/>
        <v>1</v>
      </c>
      <c r="AH159" s="120" t="s">
        <v>2976</v>
      </c>
      <c r="AI159" s="63"/>
      <c r="AJ159" s="307"/>
    </row>
    <row r="160" spans="1:38" s="268" customFormat="1">
      <c r="A160" s="145"/>
      <c r="B160" s="79"/>
      <c r="C160" s="79"/>
      <c r="D160" s="79"/>
      <c r="E160" s="79"/>
      <c r="F160" s="6"/>
      <c r="G160" s="41"/>
      <c r="H160" s="8"/>
      <c r="I160" s="158"/>
      <c r="J160" s="323"/>
      <c r="K160" s="323"/>
      <c r="L160" s="323"/>
      <c r="M160" s="318"/>
      <c r="N160" s="318"/>
      <c r="O160" s="306"/>
      <c r="P160" s="374"/>
      <c r="Q160" s="389"/>
      <c r="R160" s="151"/>
      <c r="S160" s="197"/>
      <c r="T160" s="351"/>
      <c r="U160" s="95"/>
      <c r="V160" s="349">
        <f>SUM(V146:V159)</f>
        <v>1906.5</v>
      </c>
      <c r="W160" s="331">
        <f>SUM(W146:W159)</f>
        <v>1869.1499999999999</v>
      </c>
      <c r="X160" s="167">
        <f t="shared" si="154"/>
        <v>37.350000000000136</v>
      </c>
      <c r="Y160" s="163">
        <f t="shared" si="155"/>
        <v>1.9982344916138425E-2</v>
      </c>
      <c r="Z160" s="101"/>
      <c r="AA160" s="168"/>
      <c r="AD160" s="244">
        <f>V160*(0.001425*0.5)+V160*0.003+W160*(0.001425*0.5)</f>
        <v>8.4096506249999994</v>
      </c>
      <c r="AE160" s="6">
        <f>X160-AD160</f>
        <v>28.940349375000139</v>
      </c>
      <c r="AF160" s="83"/>
      <c r="AG160" s="33"/>
      <c r="AH160" s="46" t="s">
        <v>5095</v>
      </c>
    </row>
    <row r="161" spans="2:36">
      <c r="B161" s="91"/>
      <c r="C161" s="91"/>
      <c r="D161" s="91"/>
      <c r="E161" s="91"/>
      <c r="F161" s="8"/>
      <c r="G161" s="26"/>
      <c r="H161" s="55"/>
      <c r="I161" s="8"/>
      <c r="J161" s="317"/>
      <c r="K161" s="317"/>
      <c r="L161" s="317"/>
      <c r="M161" s="317"/>
      <c r="P161" s="373"/>
      <c r="Q161" s="245"/>
      <c r="R161" s="345"/>
      <c r="S161" s="10"/>
      <c r="T161" s="353"/>
      <c r="U161" s="68"/>
      <c r="V161" s="28"/>
      <c r="W161" s="17"/>
      <c r="X161" s="14"/>
      <c r="Y161" s="21"/>
      <c r="Z161" s="384"/>
      <c r="AD161" s="8"/>
      <c r="AE161" s="71"/>
      <c r="AF161" s="72"/>
      <c r="AG161" s="32"/>
      <c r="AH161" s="316"/>
      <c r="AI161" s="8"/>
      <c r="AJ161" s="50"/>
    </row>
    <row r="162" spans="2:36">
      <c r="T162" s="353"/>
      <c r="AA162" s="126"/>
    </row>
    <row r="163" spans="2:36">
      <c r="T163" s="353"/>
      <c r="AA163" s="126"/>
    </row>
    <row r="164" spans="2:36">
      <c r="T164" s="353"/>
      <c r="AA164" s="126"/>
    </row>
    <row r="165" spans="2:36">
      <c r="T165" s="353"/>
      <c r="AA165" s="126"/>
    </row>
    <row r="166" spans="2:36">
      <c r="T166" s="353"/>
      <c r="AA166" s="126"/>
    </row>
    <row r="167" spans="2:36">
      <c r="T167" s="353"/>
      <c r="AA167" s="126"/>
    </row>
    <row r="168" spans="2:36">
      <c r="T168" s="353"/>
      <c r="AA168" s="126"/>
    </row>
    <row r="169" spans="2:36">
      <c r="T169" s="353"/>
      <c r="AA169" s="126"/>
    </row>
    <row r="170" spans="2:36">
      <c r="T170" s="353"/>
      <c r="AA170" s="126"/>
    </row>
    <row r="171" spans="2:36">
      <c r="T171" s="353"/>
      <c r="AA171" s="126"/>
    </row>
    <row r="172" spans="2:36">
      <c r="T172" s="353"/>
      <c r="AA172" s="126"/>
    </row>
    <row r="173" spans="2:36">
      <c r="T173" s="353"/>
      <c r="AA173" s="126"/>
    </row>
    <row r="174" spans="2:36">
      <c r="T174" s="353"/>
      <c r="AA174" s="126"/>
    </row>
    <row r="175" spans="2:36">
      <c r="T175" s="353"/>
      <c r="AA175" s="126"/>
    </row>
    <row r="176" spans="2:36">
      <c r="T176" s="353"/>
      <c r="AA176" s="126"/>
    </row>
    <row r="177" spans="20:38">
      <c r="T177" s="353"/>
      <c r="AA177" s="126"/>
    </row>
    <row r="178" spans="20:38">
      <c r="T178" s="353"/>
      <c r="AA178" s="126"/>
    </row>
    <row r="179" spans="20:38">
      <c r="T179" s="353"/>
      <c r="AA179" s="126"/>
    </row>
    <row r="180" spans="20:38">
      <c r="T180" s="355"/>
      <c r="AA180" s="126"/>
    </row>
    <row r="181" spans="20:38">
      <c r="T181" s="355"/>
      <c r="AA181" s="126"/>
    </row>
    <row r="182" spans="20:38">
      <c r="T182" s="351"/>
      <c r="AA182" s="126"/>
    </row>
    <row r="183" spans="20:38">
      <c r="T183" s="351"/>
      <c r="AA183" s="126"/>
    </row>
    <row r="184" spans="20:38">
      <c r="T184" s="351"/>
      <c r="AA184" s="126"/>
    </row>
    <row r="185" spans="20:38">
      <c r="T185" s="351"/>
      <c r="AA185" s="126"/>
    </row>
    <row r="186" spans="20:38">
      <c r="T186" s="353"/>
      <c r="AA186" s="126"/>
      <c r="AL186" s="303"/>
    </row>
    <row r="187" spans="20:38">
      <c r="T187" s="353"/>
      <c r="AA187" s="126"/>
      <c r="AL187" s="264"/>
    </row>
    <row r="188" spans="20:38">
      <c r="T188" s="353"/>
      <c r="AA188" s="126"/>
      <c r="AL188" s="264"/>
    </row>
    <row r="189" spans="20:38">
      <c r="T189" s="353"/>
      <c r="AA189" s="126"/>
      <c r="AL189" s="264"/>
    </row>
    <row r="190" spans="20:38">
      <c r="T190" s="353"/>
      <c r="AA190" s="126"/>
      <c r="AL190" s="264"/>
    </row>
    <row r="191" spans="20:38">
      <c r="T191" s="353"/>
      <c r="AA191" s="126"/>
      <c r="AL191" s="264"/>
    </row>
    <row r="192" spans="20:38">
      <c r="T192" s="353"/>
      <c r="AA192" s="126"/>
      <c r="AL192" s="264"/>
    </row>
    <row r="193" spans="20:38">
      <c r="T193" s="353"/>
      <c r="AA193" s="33"/>
      <c r="AL193" s="264"/>
    </row>
    <row r="194" spans="20:38">
      <c r="T194" s="353"/>
      <c r="AA194" s="126"/>
      <c r="AL194" s="264"/>
    </row>
    <row r="195" spans="20:38">
      <c r="T195" s="353"/>
      <c r="AA195" s="126"/>
      <c r="AL195" s="264"/>
    </row>
    <row r="196" spans="20:38">
      <c r="T196" s="353"/>
      <c r="AA196" s="264"/>
      <c r="AL196" s="264"/>
    </row>
    <row r="197" spans="20:38">
      <c r="T197" s="353"/>
      <c r="AA197" s="126"/>
      <c r="AL197" s="264"/>
    </row>
    <row r="198" spans="20:38">
      <c r="T198" s="353"/>
      <c r="AA198" s="126"/>
      <c r="AL198" s="264"/>
    </row>
    <row r="199" spans="20:38">
      <c r="T199" s="353"/>
      <c r="AA199" s="126"/>
      <c r="AL199" s="264"/>
    </row>
    <row r="200" spans="20:38">
      <c r="T200" s="353"/>
      <c r="AA200" s="126"/>
      <c r="AL200" s="264"/>
    </row>
    <row r="201" spans="20:38">
      <c r="AA201" s="126"/>
      <c r="AL201" s="264"/>
    </row>
    <row r="202" spans="20:38">
      <c r="AA202" s="264"/>
      <c r="AL202" s="264"/>
    </row>
    <row r="203" spans="20:38">
      <c r="AA203" s="126"/>
      <c r="AL203" s="264"/>
    </row>
    <row r="204" spans="20:38">
      <c r="AA204" s="126"/>
    </row>
    <row r="205" spans="20:38">
      <c r="AA205" s="126"/>
    </row>
    <row r="206" spans="20:38">
      <c r="AA206" s="126"/>
    </row>
    <row r="207" spans="20:38">
      <c r="AA207" s="126"/>
    </row>
    <row r="208" spans="20:38">
      <c r="AA208" s="126"/>
    </row>
    <row r="209" spans="20:38">
      <c r="T209" s="351"/>
      <c r="AA209" s="126"/>
    </row>
    <row r="210" spans="20:38">
      <c r="T210" s="353"/>
      <c r="AA210" s="126"/>
    </row>
    <row r="211" spans="20:38">
      <c r="T211" s="353"/>
      <c r="AA211" s="126"/>
    </row>
    <row r="212" spans="20:38">
      <c r="T212" s="353"/>
      <c r="AA212" s="126"/>
      <c r="AL212" s="303"/>
    </row>
    <row r="213" spans="20:38">
      <c r="T213" s="353"/>
      <c r="AA213" s="264"/>
      <c r="AL213" s="264"/>
    </row>
    <row r="214" spans="20:38">
      <c r="T214" s="353"/>
      <c r="AA214" s="126"/>
      <c r="AL214" s="264"/>
    </row>
    <row r="215" spans="20:38">
      <c r="T215" s="353"/>
      <c r="AA215" s="126"/>
      <c r="AL215" s="264"/>
    </row>
    <row r="216" spans="20:38">
      <c r="T216" s="353"/>
      <c r="AA216" s="126"/>
      <c r="AL216" s="264"/>
    </row>
    <row r="217" spans="20:38">
      <c r="T217" s="353"/>
      <c r="AA217" s="126"/>
      <c r="AL217" s="264"/>
    </row>
    <row r="218" spans="20:38">
      <c r="T218" s="353"/>
      <c r="AA218" s="126"/>
      <c r="AL218" s="264"/>
    </row>
    <row r="219" spans="20:38">
      <c r="AA219" s="126"/>
    </row>
    <row r="220" spans="20:38">
      <c r="AA220" s="126"/>
    </row>
    <row r="221" spans="20:38">
      <c r="T221" s="351"/>
      <c r="AA221" s="126"/>
    </row>
    <row r="222" spans="20:38">
      <c r="T222" s="353"/>
      <c r="AA222" s="126"/>
      <c r="AL222" s="303"/>
    </row>
    <row r="223" spans="20:38">
      <c r="T223" s="353"/>
      <c r="AA223" s="264"/>
    </row>
    <row r="224" spans="20:38">
      <c r="T224" s="353"/>
      <c r="AA224" s="126"/>
    </row>
    <row r="225" spans="20:38">
      <c r="T225" s="353"/>
      <c r="AA225" s="126"/>
    </row>
    <row r="226" spans="20:38">
      <c r="T226" s="353"/>
      <c r="AA226" s="126"/>
    </row>
    <row r="227" spans="20:38">
      <c r="T227" s="353"/>
      <c r="AA227" s="126"/>
    </row>
    <row r="228" spans="20:38">
      <c r="AA228" s="126"/>
      <c r="AL228" s="303"/>
    </row>
    <row r="229" spans="20:38">
      <c r="AA229" s="126"/>
    </row>
    <row r="230" spans="20:38">
      <c r="AA230" s="126"/>
    </row>
    <row r="231" spans="20:38">
      <c r="AA231" s="264"/>
    </row>
    <row r="232" spans="20:38">
      <c r="AA232" s="126"/>
    </row>
    <row r="233" spans="20:38">
      <c r="AA233" s="126"/>
    </row>
    <row r="234" spans="20:38">
      <c r="AA234" s="126"/>
    </row>
    <row r="235" spans="20:38">
      <c r="AA235" s="126"/>
    </row>
    <row r="236" spans="20:38">
      <c r="AA236" s="126"/>
    </row>
    <row r="237" spans="20:38">
      <c r="AA237" s="126"/>
    </row>
    <row r="238" spans="20:38">
      <c r="AA238" s="126"/>
    </row>
    <row r="239" spans="20:38">
      <c r="AA239" s="126"/>
    </row>
    <row r="240" spans="20:38">
      <c r="AA240" s="126"/>
    </row>
    <row r="241" spans="27:27">
      <c r="AA241" s="264"/>
    </row>
    <row r="242" spans="27:27">
      <c r="AA242" s="126"/>
    </row>
    <row r="243" spans="27:27">
      <c r="AA243" s="126"/>
    </row>
    <row r="244" spans="27:27">
      <c r="AA244" s="126"/>
    </row>
    <row r="245" spans="27:27">
      <c r="AA245" s="126"/>
    </row>
    <row r="246" spans="27:27">
      <c r="AA246" s="126"/>
    </row>
    <row r="247" spans="27:27">
      <c r="AA247" s="126"/>
    </row>
    <row r="248" spans="27:27">
      <c r="AA248" s="126"/>
    </row>
    <row r="249" spans="27:27">
      <c r="AA249" s="126"/>
    </row>
    <row r="250" spans="27:27">
      <c r="AA250" s="126"/>
    </row>
    <row r="251" spans="27:27">
      <c r="AA251" s="126"/>
    </row>
    <row r="252" spans="27:27">
      <c r="AA252" s="126"/>
    </row>
    <row r="253" spans="27:27">
      <c r="AA253" s="126"/>
    </row>
    <row r="254" spans="27:27">
      <c r="AA254" s="126"/>
    </row>
    <row r="255" spans="27:27">
      <c r="AA255" s="126"/>
    </row>
    <row r="256" spans="27:27">
      <c r="AA256" s="126"/>
    </row>
    <row r="257" spans="27:27">
      <c r="AA257" s="126"/>
    </row>
    <row r="258" spans="27:27">
      <c r="AA258" s="126"/>
    </row>
    <row r="259" spans="27:27">
      <c r="AA259" s="126"/>
    </row>
    <row r="260" spans="27:27">
      <c r="AA260" s="126"/>
    </row>
    <row r="261" spans="27:27">
      <c r="AA261" s="126"/>
    </row>
    <row r="262" spans="27:27">
      <c r="AA262" s="264"/>
    </row>
    <row r="263" spans="27:27">
      <c r="AA263" s="126"/>
    </row>
    <row r="264" spans="27:27">
      <c r="AA264" s="126"/>
    </row>
    <row r="265" spans="27:27">
      <c r="AA265" s="126"/>
    </row>
    <row r="267" spans="27:27">
      <c r="AA267" s="126"/>
    </row>
    <row r="268" spans="27:27">
      <c r="AA268" s="126"/>
    </row>
    <row r="269" spans="27:27">
      <c r="AA269" s="126"/>
    </row>
    <row r="270" spans="27:27">
      <c r="AA270" s="126"/>
    </row>
    <row r="271" spans="27:27">
      <c r="AA271" s="126"/>
    </row>
    <row r="272" spans="27:27">
      <c r="AA272" s="126"/>
    </row>
    <row r="273" spans="27:27">
      <c r="AA273" s="126"/>
    </row>
    <row r="274" spans="27:27">
      <c r="AA274" s="126"/>
    </row>
    <row r="275" spans="27:27">
      <c r="AA275" s="264"/>
    </row>
    <row r="276" spans="27:27">
      <c r="AA276" s="126"/>
    </row>
    <row r="277" spans="27:27">
      <c r="AA277" s="126"/>
    </row>
    <row r="278" spans="27:27">
      <c r="AA278" s="126"/>
    </row>
    <row r="279" spans="27:27">
      <c r="AA279" s="264"/>
    </row>
    <row r="280" spans="27:27">
      <c r="AA280" s="126"/>
    </row>
    <row r="281" spans="27:27">
      <c r="AA281" s="126"/>
    </row>
    <row r="282" spans="27:27">
      <c r="AA282" s="126"/>
    </row>
    <row r="283" spans="27:27">
      <c r="AA283" s="126"/>
    </row>
    <row r="284" spans="27:27">
      <c r="AA284" s="126"/>
    </row>
    <row r="285" spans="27:27">
      <c r="AA285" s="126"/>
    </row>
    <row r="286" spans="27:27">
      <c r="AA286" s="126"/>
    </row>
    <row r="287" spans="27:27">
      <c r="AA287" s="126"/>
    </row>
    <row r="288" spans="27:27">
      <c r="AA288" s="126"/>
    </row>
    <row r="289" spans="27:27">
      <c r="AA289" s="126"/>
    </row>
    <row r="290" spans="27:27">
      <c r="AA290" s="126"/>
    </row>
    <row r="291" spans="27:27">
      <c r="AA291" s="126"/>
    </row>
    <row r="292" spans="27:27">
      <c r="AA292" s="126"/>
    </row>
    <row r="293" spans="27:27">
      <c r="AA293" s="126"/>
    </row>
    <row r="294" spans="27:27">
      <c r="AA294" s="126"/>
    </row>
    <row r="295" spans="27:27">
      <c r="AA295" s="126"/>
    </row>
    <row r="296" spans="27:27">
      <c r="AA296" s="126"/>
    </row>
    <row r="297" spans="27:27">
      <c r="AA297" s="126"/>
    </row>
    <row r="298" spans="27:27">
      <c r="AA298" s="126"/>
    </row>
    <row r="299" spans="27:27">
      <c r="AA299" s="126"/>
    </row>
    <row r="300" spans="27:27">
      <c r="AA300" s="126"/>
    </row>
    <row r="301" spans="27:27">
      <c r="AA301" s="126"/>
    </row>
    <row r="302" spans="27:27">
      <c r="AA302" s="126"/>
    </row>
    <row r="303" spans="27:27">
      <c r="AA303" s="126"/>
    </row>
    <row r="304" spans="27:27">
      <c r="AA304" s="126"/>
    </row>
    <row r="305" spans="27:27">
      <c r="AA305" s="126"/>
    </row>
    <row r="306" spans="27:27">
      <c r="AA306" s="126"/>
    </row>
    <row r="307" spans="27:27">
      <c r="AA307" s="126"/>
    </row>
    <row r="308" spans="27:27">
      <c r="AA308" s="126"/>
    </row>
    <row r="309" spans="27:27">
      <c r="AA309" s="126"/>
    </row>
    <row r="310" spans="27:27">
      <c r="AA310" s="126"/>
    </row>
    <row r="311" spans="27:27">
      <c r="AA311" s="126"/>
    </row>
    <row r="312" spans="27:27">
      <c r="AA312" s="126"/>
    </row>
    <row r="313" spans="27:27">
      <c r="AA313" s="126"/>
    </row>
    <row r="314" spans="27:27">
      <c r="AA314" s="126"/>
    </row>
    <row r="315" spans="27:27">
      <c r="AA315" s="126"/>
    </row>
    <row r="316" spans="27:27">
      <c r="AA316" s="126"/>
    </row>
    <row r="317" spans="27:27">
      <c r="AA317" s="126"/>
    </row>
    <row r="318" spans="27:27">
      <c r="AA318" s="126"/>
    </row>
    <row r="319" spans="27:27">
      <c r="AA319" s="126"/>
    </row>
    <row r="320" spans="27:27">
      <c r="AA320" s="126"/>
    </row>
    <row r="321" spans="27:27">
      <c r="AA321" s="126"/>
    </row>
    <row r="322" spans="27:27">
      <c r="AA322" s="126"/>
    </row>
    <row r="323" spans="27:27">
      <c r="AA323" s="126"/>
    </row>
    <row r="324" spans="27:27">
      <c r="AA324" s="27"/>
    </row>
    <row r="325" spans="27:27">
      <c r="AA325" s="126"/>
    </row>
    <row r="326" spans="27:27">
      <c r="AA326" s="126"/>
    </row>
    <row r="327" spans="27:27">
      <c r="AA327" s="126"/>
    </row>
    <row r="328" spans="27:27">
      <c r="AA328" s="126"/>
    </row>
    <row r="329" spans="27:27">
      <c r="AA329" s="126"/>
    </row>
    <row r="330" spans="27:27">
      <c r="AA330" s="126"/>
    </row>
    <row r="331" spans="27:27">
      <c r="AA331" s="126"/>
    </row>
    <row r="332" spans="27:27">
      <c r="AA332" s="126"/>
    </row>
    <row r="333" spans="27:27">
      <c r="AA333" s="126"/>
    </row>
    <row r="334" spans="27:27">
      <c r="AA334" s="126"/>
    </row>
    <row r="335" spans="27:27">
      <c r="AA335" s="126"/>
    </row>
    <row r="336" spans="27:27">
      <c r="AA336" s="126"/>
    </row>
    <row r="337" spans="27:27">
      <c r="AA337" s="126"/>
    </row>
    <row r="338" spans="27:27">
      <c r="AA338" s="126"/>
    </row>
    <row r="339" spans="27:27">
      <c r="AA339" s="126"/>
    </row>
    <row r="340" spans="27:27">
      <c r="AA340" s="126"/>
    </row>
    <row r="341" spans="27:27">
      <c r="AA341" s="126"/>
    </row>
    <row r="342" spans="27:27">
      <c r="AA342" s="126"/>
    </row>
    <row r="343" spans="27:27">
      <c r="AA343" s="126"/>
    </row>
    <row r="344" spans="27:27">
      <c r="AA344" s="126"/>
    </row>
    <row r="345" spans="27:27">
      <c r="AA345" s="126"/>
    </row>
    <row r="346" spans="27:27">
      <c r="AA346" s="126"/>
    </row>
    <row r="347" spans="27:27">
      <c r="AA347" s="126"/>
    </row>
    <row r="348" spans="27:27">
      <c r="AA348" s="126"/>
    </row>
    <row r="349" spans="27:27">
      <c r="AA349" s="126"/>
    </row>
    <row r="350" spans="27:27">
      <c r="AA350" s="126"/>
    </row>
    <row r="351" spans="27:27">
      <c r="AA351" s="126"/>
    </row>
    <row r="352" spans="27:27">
      <c r="AA352" s="126"/>
    </row>
    <row r="353" spans="27:27">
      <c r="AA353" s="126"/>
    </row>
    <row r="354" spans="27:27">
      <c r="AA354" s="126"/>
    </row>
    <row r="355" spans="27:27">
      <c r="AA355" s="126"/>
    </row>
    <row r="356" spans="27:27">
      <c r="AA356" s="126"/>
    </row>
    <row r="357" spans="27:27">
      <c r="AA357" s="264"/>
    </row>
    <row r="358" spans="27:27">
      <c r="AA358" s="264"/>
    </row>
    <row r="359" spans="27:27">
      <c r="AA359" s="126"/>
    </row>
    <row r="360" spans="27:27">
      <c r="AA360" s="126"/>
    </row>
    <row r="361" spans="27:27">
      <c r="AA361" s="126"/>
    </row>
    <row r="362" spans="27:27">
      <c r="AA362" s="126"/>
    </row>
    <row r="363" spans="27:27">
      <c r="AA363" s="126"/>
    </row>
    <row r="364" spans="27:27">
      <c r="AA364" s="126"/>
    </row>
    <row r="365" spans="27:27">
      <c r="AA365" s="126"/>
    </row>
    <row r="366" spans="27:27">
      <c r="AA366" s="126"/>
    </row>
    <row r="367" spans="27:27">
      <c r="AA367" s="126"/>
    </row>
    <row r="368" spans="27:27">
      <c r="AA368" s="126"/>
    </row>
    <row r="369" spans="27:27">
      <c r="AA369" s="126"/>
    </row>
    <row r="370" spans="27:27">
      <c r="AA370" s="126"/>
    </row>
    <row r="371" spans="27:27">
      <c r="AA371" s="126"/>
    </row>
    <row r="372" spans="27:27">
      <c r="AA372" s="126"/>
    </row>
    <row r="373" spans="27:27">
      <c r="AA373" s="126"/>
    </row>
    <row r="374" spans="27:27">
      <c r="AA374" s="126"/>
    </row>
    <row r="375" spans="27:27">
      <c r="AA375" s="126"/>
    </row>
    <row r="376" spans="27:27">
      <c r="AA376" s="126"/>
    </row>
    <row r="377" spans="27:27">
      <c r="AA377" s="126"/>
    </row>
    <row r="378" spans="27:27">
      <c r="AA378" s="126"/>
    </row>
    <row r="379" spans="27:27">
      <c r="AA379" s="126"/>
    </row>
    <row r="380" spans="27:27">
      <c r="AA380" s="126"/>
    </row>
    <row r="381" spans="27:27">
      <c r="AA381" s="126"/>
    </row>
    <row r="382" spans="27:27">
      <c r="AA382" s="126"/>
    </row>
    <row r="383" spans="27:27">
      <c r="AA383" s="126"/>
    </row>
    <row r="384" spans="27:27">
      <c r="AA384" s="126"/>
    </row>
    <row r="385" spans="27:27">
      <c r="AA385" s="126"/>
    </row>
    <row r="386" spans="27:27">
      <c r="AA386" s="126"/>
    </row>
    <row r="387" spans="27:27">
      <c r="AA387" s="126"/>
    </row>
    <row r="388" spans="27:27">
      <c r="AA388" s="126"/>
    </row>
    <row r="389" spans="27:27">
      <c r="AA389" s="126"/>
    </row>
    <row r="390" spans="27:27">
      <c r="AA390" s="126"/>
    </row>
    <row r="391" spans="27:27">
      <c r="AA391" s="126"/>
    </row>
    <row r="392" spans="27:27">
      <c r="AA392" s="126"/>
    </row>
    <row r="393" spans="27:27">
      <c r="AA393" s="126"/>
    </row>
    <row r="394" spans="27:27">
      <c r="AA394" s="126"/>
    </row>
    <row r="395" spans="27:27">
      <c r="AA395" s="126"/>
    </row>
    <row r="396" spans="27:27">
      <c r="AA396" s="126"/>
    </row>
    <row r="397" spans="27:27">
      <c r="AA397" s="264"/>
    </row>
    <row r="398" spans="27:27">
      <c r="AA398" s="126"/>
    </row>
    <row r="399" spans="27:27">
      <c r="AA399" s="126"/>
    </row>
    <row r="400" spans="27:27">
      <c r="AA400" s="126"/>
    </row>
    <row r="401" spans="27:27">
      <c r="AA401" s="126"/>
    </row>
    <row r="402" spans="27:27">
      <c r="AA402" s="126"/>
    </row>
    <row r="403" spans="27:27">
      <c r="AA403" s="126"/>
    </row>
    <row r="404" spans="27:27">
      <c r="AA404" s="126"/>
    </row>
    <row r="405" spans="27:27">
      <c r="AA405" s="126"/>
    </row>
    <row r="406" spans="27:27">
      <c r="AA406" s="126"/>
    </row>
    <row r="407" spans="27:27">
      <c r="AA407" s="126"/>
    </row>
    <row r="408" spans="27:27">
      <c r="AA408" s="126"/>
    </row>
    <row r="409" spans="27:27">
      <c r="AA409" s="126"/>
    </row>
    <row r="410" spans="27:27">
      <c r="AA410" s="126"/>
    </row>
    <row r="411" spans="27:27">
      <c r="AA411" s="126"/>
    </row>
    <row r="412" spans="27:27">
      <c r="AA412" s="126"/>
    </row>
    <row r="413" spans="27:27">
      <c r="AA413" s="126"/>
    </row>
    <row r="414" spans="27:27">
      <c r="AA414" s="126"/>
    </row>
    <row r="415" spans="27:27">
      <c r="AA415" s="126"/>
    </row>
    <row r="416" spans="27:27">
      <c r="AA416" s="126"/>
    </row>
    <row r="417" spans="27:27">
      <c r="AA417" s="126"/>
    </row>
    <row r="418" spans="27:27">
      <c r="AA418" s="126"/>
    </row>
    <row r="419" spans="27:27">
      <c r="AA419" s="126"/>
    </row>
    <row r="420" spans="27:27">
      <c r="AA420" s="126"/>
    </row>
    <row r="421" spans="27:27">
      <c r="AA421" s="126"/>
    </row>
    <row r="422" spans="27:27">
      <c r="AA422" s="126"/>
    </row>
    <row r="423" spans="27:27">
      <c r="AA423" s="126"/>
    </row>
    <row r="424" spans="27:27">
      <c r="AA424" s="126"/>
    </row>
    <row r="425" spans="27:27">
      <c r="AA425" s="126"/>
    </row>
    <row r="426" spans="27:27">
      <c r="AA426" s="126"/>
    </row>
    <row r="427" spans="27:27">
      <c r="AA427" s="126"/>
    </row>
    <row r="428" spans="27:27">
      <c r="AA428" s="126"/>
    </row>
    <row r="429" spans="27:27">
      <c r="AA429" s="126"/>
    </row>
    <row r="430" spans="27:27">
      <c r="AA430" s="126"/>
    </row>
    <row r="431" spans="27:27">
      <c r="AA431" s="126"/>
    </row>
    <row r="432" spans="27:27">
      <c r="AA432" s="126"/>
    </row>
    <row r="433" spans="27:27">
      <c r="AA433" s="126"/>
    </row>
    <row r="434" spans="27:27">
      <c r="AA434" s="126"/>
    </row>
    <row r="435" spans="27:27">
      <c r="AA435" s="126"/>
    </row>
    <row r="436" spans="27:27">
      <c r="AA436" s="126"/>
    </row>
    <row r="437" spans="27:27">
      <c r="AA437" s="126"/>
    </row>
    <row r="438" spans="27:27">
      <c r="AA438" s="126"/>
    </row>
    <row r="439" spans="27:27">
      <c r="AA439" s="126"/>
    </row>
    <row r="440" spans="27:27">
      <c r="AA440" s="126"/>
    </row>
    <row r="441" spans="27:27">
      <c r="AA441" s="126"/>
    </row>
    <row r="442" spans="27:27">
      <c r="AA442" s="126"/>
    </row>
    <row r="443" spans="27:27">
      <c r="AA443" s="126"/>
    </row>
    <row r="444" spans="27:27">
      <c r="AA444" s="126"/>
    </row>
    <row r="445" spans="27:27">
      <c r="AA445" s="126"/>
    </row>
    <row r="446" spans="27:27">
      <c r="AA446" s="126"/>
    </row>
    <row r="447" spans="27:27">
      <c r="AA447" s="126"/>
    </row>
    <row r="448" spans="27:27">
      <c r="AA448" s="126"/>
    </row>
    <row r="449" spans="27:27">
      <c r="AA449" s="126"/>
    </row>
    <row r="450" spans="27:27">
      <c r="AA450" s="126"/>
    </row>
    <row r="451" spans="27:27">
      <c r="AA451" s="126"/>
    </row>
    <row r="452" spans="27:27">
      <c r="AA452" s="126"/>
    </row>
    <row r="453" spans="27:27">
      <c r="AA453" s="126"/>
    </row>
    <row r="454" spans="27:27">
      <c r="AA454" s="126"/>
    </row>
    <row r="455" spans="27:27">
      <c r="AA455" s="264"/>
    </row>
    <row r="456" spans="27:27">
      <c r="AA456" s="126"/>
    </row>
    <row r="457" spans="27:27">
      <c r="AA457" s="126"/>
    </row>
    <row r="458" spans="27:27">
      <c r="AA458" s="126"/>
    </row>
    <row r="459" spans="27:27">
      <c r="AA459" s="126"/>
    </row>
    <row r="460" spans="27:27">
      <c r="AA460" s="126"/>
    </row>
    <row r="461" spans="27:27">
      <c r="AA461" s="126"/>
    </row>
    <row r="462" spans="27:27">
      <c r="AA462" s="126"/>
    </row>
    <row r="463" spans="27:27">
      <c r="AA463" s="126"/>
    </row>
    <row r="464" spans="27:27">
      <c r="AA464" s="126"/>
    </row>
    <row r="465" spans="27:27">
      <c r="AA465" s="126"/>
    </row>
    <row r="466" spans="27:27">
      <c r="AA466" s="126"/>
    </row>
    <row r="467" spans="27:27">
      <c r="AA467" s="126"/>
    </row>
    <row r="468" spans="27:27">
      <c r="AA468" s="126"/>
    </row>
    <row r="469" spans="27:27">
      <c r="AA469" s="126"/>
    </row>
    <row r="470" spans="27:27">
      <c r="AA470" s="126"/>
    </row>
    <row r="471" spans="27:27">
      <c r="AA471" s="126"/>
    </row>
    <row r="472" spans="27:27">
      <c r="AA472" s="126"/>
    </row>
    <row r="473" spans="27:27">
      <c r="AA473" s="126"/>
    </row>
    <row r="474" spans="27:27">
      <c r="AA474" s="126"/>
    </row>
    <row r="475" spans="27:27">
      <c r="AA475" s="126"/>
    </row>
    <row r="476" spans="27:27">
      <c r="AA476" s="126"/>
    </row>
    <row r="477" spans="27:27">
      <c r="AA477" s="126"/>
    </row>
    <row r="478" spans="27:27">
      <c r="AA478" s="126"/>
    </row>
    <row r="479" spans="27:27">
      <c r="AA479" s="126"/>
    </row>
    <row r="480" spans="27:27">
      <c r="AA480" s="126"/>
    </row>
    <row r="481" spans="27:27">
      <c r="AA481" s="126"/>
    </row>
    <row r="482" spans="27:27">
      <c r="AA482" s="126"/>
    </row>
    <row r="483" spans="27:27">
      <c r="AA483" s="126"/>
    </row>
    <row r="484" spans="27:27">
      <c r="AA484" s="126"/>
    </row>
    <row r="485" spans="27:27">
      <c r="AA485" s="126"/>
    </row>
    <row r="486" spans="27:27">
      <c r="AA486" s="126"/>
    </row>
    <row r="487" spans="27:27">
      <c r="AA487" s="126"/>
    </row>
    <row r="488" spans="27:27">
      <c r="AA488" s="126"/>
    </row>
    <row r="489" spans="27:27">
      <c r="AA489" s="126"/>
    </row>
    <row r="490" spans="27:27">
      <c r="AA490" s="126"/>
    </row>
    <row r="491" spans="27:27">
      <c r="AA491" s="126"/>
    </row>
    <row r="492" spans="27:27">
      <c r="AA492" s="126"/>
    </row>
    <row r="493" spans="27:27">
      <c r="AA493" s="126"/>
    </row>
    <row r="494" spans="27:27">
      <c r="AA494" s="126"/>
    </row>
    <row r="495" spans="27:27">
      <c r="AA495" s="126"/>
    </row>
    <row r="496" spans="27:27">
      <c r="AA496" s="126"/>
    </row>
    <row r="497" spans="27:27">
      <c r="AA497" s="126"/>
    </row>
    <row r="498" spans="27:27">
      <c r="AA498" s="126"/>
    </row>
    <row r="499" spans="27:27">
      <c r="AA499" s="126"/>
    </row>
    <row r="500" spans="27:27">
      <c r="AA500" s="126"/>
    </row>
    <row r="501" spans="27:27">
      <c r="AA501" s="126"/>
    </row>
    <row r="502" spans="27:27">
      <c r="AA502" s="126"/>
    </row>
    <row r="503" spans="27:27">
      <c r="AA503" s="126"/>
    </row>
    <row r="504" spans="27:27">
      <c r="AA504" s="126"/>
    </row>
    <row r="505" spans="27:27">
      <c r="AA505" s="126"/>
    </row>
    <row r="506" spans="27:27">
      <c r="AA506" s="126"/>
    </row>
    <row r="507" spans="27:27">
      <c r="AA507" s="126"/>
    </row>
    <row r="508" spans="27:27">
      <c r="AA508" s="126"/>
    </row>
    <row r="509" spans="27:27">
      <c r="AA509" s="126"/>
    </row>
    <row r="510" spans="27:27">
      <c r="AA510" s="126"/>
    </row>
    <row r="511" spans="27:27">
      <c r="AA511" s="126"/>
    </row>
    <row r="512" spans="27:27">
      <c r="AA512" s="264"/>
    </row>
    <row r="513" spans="27:27">
      <c r="AA513" s="126"/>
    </row>
    <row r="514" spans="27:27">
      <c r="AA514" s="126"/>
    </row>
    <row r="515" spans="27:27">
      <c r="AA515" s="126"/>
    </row>
    <row r="516" spans="27:27">
      <c r="AA516" s="126"/>
    </row>
    <row r="517" spans="27:27">
      <c r="AA517" s="126"/>
    </row>
    <row r="518" spans="27:27">
      <c r="AA518" s="126"/>
    </row>
    <row r="519" spans="27:27">
      <c r="AA519" s="126"/>
    </row>
    <row r="520" spans="27:27">
      <c r="AA520" s="126"/>
    </row>
    <row r="521" spans="27:27">
      <c r="AA521" s="126"/>
    </row>
    <row r="522" spans="27:27">
      <c r="AA522" s="126"/>
    </row>
    <row r="523" spans="27:27">
      <c r="AA523" s="126"/>
    </row>
    <row r="524" spans="27:27">
      <c r="AA524" s="126"/>
    </row>
    <row r="525" spans="27:27">
      <c r="AA525" s="126"/>
    </row>
    <row r="526" spans="27:27">
      <c r="AA526" s="126"/>
    </row>
    <row r="527" spans="27:27">
      <c r="AA527" s="126"/>
    </row>
    <row r="528" spans="27:27">
      <c r="AA528" s="126"/>
    </row>
    <row r="529" spans="27:27">
      <c r="AA529" s="126"/>
    </row>
    <row r="530" spans="27:27">
      <c r="AA530" s="126"/>
    </row>
    <row r="531" spans="27:27">
      <c r="AA531" s="126"/>
    </row>
    <row r="532" spans="27:27">
      <c r="AA532" s="126"/>
    </row>
    <row r="533" spans="27:27">
      <c r="AA533" s="126"/>
    </row>
    <row r="534" spans="27:27">
      <c r="AA534" s="126"/>
    </row>
    <row r="535" spans="27:27">
      <c r="AA535" s="126"/>
    </row>
    <row r="536" spans="27:27">
      <c r="AA536" s="126"/>
    </row>
    <row r="537" spans="27:27">
      <c r="AA537" s="126"/>
    </row>
    <row r="538" spans="27:27">
      <c r="AA538" s="126"/>
    </row>
    <row r="539" spans="27:27">
      <c r="AA539" s="126"/>
    </row>
    <row r="540" spans="27:27">
      <c r="AA540" s="241"/>
    </row>
    <row r="541" spans="27:27">
      <c r="AA541" s="126"/>
    </row>
    <row r="542" spans="27:27">
      <c r="AA542" s="126"/>
    </row>
    <row r="543" spans="27:27">
      <c r="AA543" s="126"/>
    </row>
    <row r="544" spans="27:27">
      <c r="AA544" s="126"/>
    </row>
    <row r="545" spans="27:27">
      <c r="AA545" s="126"/>
    </row>
    <row r="546" spans="27:27">
      <c r="AA546" s="126"/>
    </row>
    <row r="547" spans="27:27">
      <c r="AA547" s="126"/>
    </row>
    <row r="548" spans="27:27">
      <c r="AA548" s="126"/>
    </row>
    <row r="549" spans="27:27">
      <c r="AA549" s="126"/>
    </row>
    <row r="550" spans="27:27">
      <c r="AA550" s="126"/>
    </row>
    <row r="551" spans="27:27">
      <c r="AA551" s="126"/>
    </row>
    <row r="552" spans="27:27">
      <c r="AA552" s="126"/>
    </row>
    <row r="553" spans="27:27">
      <c r="AA553" s="126"/>
    </row>
    <row r="554" spans="27:27">
      <c r="AA554" s="264"/>
    </row>
    <row r="555" spans="27:27">
      <c r="AA555" s="126"/>
    </row>
    <row r="556" spans="27:27">
      <c r="AA556" s="126"/>
    </row>
    <row r="557" spans="27:27">
      <c r="AA557" s="126"/>
    </row>
    <row r="558" spans="27:27">
      <c r="AA558" s="126"/>
    </row>
    <row r="559" spans="27:27">
      <c r="AA559" s="126"/>
    </row>
    <row r="560" spans="27:27">
      <c r="AA560" s="126"/>
    </row>
    <row r="561" spans="27:27">
      <c r="AA561" s="126"/>
    </row>
    <row r="562" spans="27:27">
      <c r="AA562" s="126"/>
    </row>
    <row r="564" spans="27:27">
      <c r="AA564" s="126"/>
    </row>
    <row r="565" spans="27:27">
      <c r="AA565" s="126"/>
    </row>
    <row r="566" spans="27:27">
      <c r="AA566" s="264"/>
    </row>
    <row r="567" spans="27:27">
      <c r="AA567" s="126"/>
    </row>
    <row r="568" spans="27:27">
      <c r="AA568" s="264"/>
    </row>
    <row r="569" spans="27:27">
      <c r="AA569" s="126"/>
    </row>
    <row r="570" spans="27:27">
      <c r="AA570" s="126"/>
    </row>
    <row r="571" spans="27:27">
      <c r="AA571" s="126"/>
    </row>
    <row r="572" spans="27:27">
      <c r="AA572" s="264"/>
    </row>
    <row r="573" spans="27:27">
      <c r="AA573" s="123"/>
    </row>
    <row r="575" spans="27:27">
      <c r="AA575" s="126"/>
    </row>
    <row r="576" spans="27:27">
      <c r="AA576" s="264"/>
    </row>
    <row r="577" spans="27:27">
      <c r="AA577" s="126"/>
    </row>
    <row r="578" spans="27:27">
      <c r="AA578" s="126"/>
    </row>
    <row r="579" spans="27:27">
      <c r="AA579" s="264"/>
    </row>
    <row r="580" spans="27:27">
      <c r="AA580" s="126"/>
    </row>
    <row r="581" spans="27:27">
      <c r="AA581" s="126"/>
    </row>
    <row r="582" spans="27:27">
      <c r="AA582" s="126"/>
    </row>
    <row r="583" spans="27:27">
      <c r="AA583" s="126"/>
    </row>
    <row r="584" spans="27:27">
      <c r="AA584" s="126"/>
    </row>
    <row r="585" spans="27:27">
      <c r="AA585" s="264"/>
    </row>
    <row r="586" spans="27:27">
      <c r="AA586" s="126"/>
    </row>
    <row r="587" spans="27:27">
      <c r="AA587" s="126"/>
    </row>
    <row r="588" spans="27:27">
      <c r="AA588" s="126"/>
    </row>
    <row r="589" spans="27:27">
      <c r="AA589" s="126"/>
    </row>
    <row r="591" spans="27:27">
      <c r="AA591" s="264"/>
    </row>
    <row r="592" spans="27:27">
      <c r="AA592" s="126"/>
    </row>
    <row r="593" spans="27:27">
      <c r="AA593" s="126"/>
    </row>
    <row r="594" spans="27:27">
      <c r="AA594" s="126"/>
    </row>
    <row r="595" spans="27:27">
      <c r="AA595" s="126"/>
    </row>
    <row r="596" spans="27:27">
      <c r="AA596" s="126"/>
    </row>
    <row r="597" spans="27:27">
      <c r="AA597" s="126"/>
    </row>
    <row r="598" spans="27:27">
      <c r="AA598" s="126"/>
    </row>
    <row r="599" spans="27:27">
      <c r="AA599" s="126"/>
    </row>
    <row r="600" spans="27:27">
      <c r="AA600" s="26"/>
    </row>
    <row r="601" spans="27:27">
      <c r="AA601" s="126"/>
    </row>
    <row r="602" spans="27:27">
      <c r="AA602" s="126"/>
    </row>
    <row r="603" spans="27:27">
      <c r="AA603" s="126"/>
    </row>
    <row r="604" spans="27:27">
      <c r="AA604" s="126"/>
    </row>
    <row r="605" spans="27:27">
      <c r="AA605" s="126"/>
    </row>
    <row r="606" spans="27:27">
      <c r="AA606" s="126"/>
    </row>
    <row r="607" spans="27:27">
      <c r="AA607" s="126"/>
    </row>
    <row r="608" spans="27:27">
      <c r="AA608" s="264"/>
    </row>
    <row r="609" spans="27:27">
      <c r="AA609" s="126"/>
    </row>
    <row r="610" spans="27:27">
      <c r="AA610" s="126"/>
    </row>
    <row r="611" spans="27:27">
      <c r="AA611" s="126"/>
    </row>
    <row r="612" spans="27:27">
      <c r="AA612" s="126"/>
    </row>
    <row r="613" spans="27:27">
      <c r="AA613" s="126"/>
    </row>
    <row r="614" spans="27:27">
      <c r="AA614" s="126"/>
    </row>
    <row r="615" spans="27:27">
      <c r="AA615" s="264"/>
    </row>
    <row r="616" spans="27:27">
      <c r="AA616" s="126"/>
    </row>
    <row r="617" spans="27:27">
      <c r="AA617" s="126"/>
    </row>
    <row r="618" spans="27:27">
      <c r="AA618" s="126"/>
    </row>
    <row r="619" spans="27:27">
      <c r="AA619" s="126"/>
    </row>
    <row r="620" spans="27:27">
      <c r="AA620" s="126"/>
    </row>
    <row r="621" spans="27:27">
      <c r="AA621" s="126"/>
    </row>
    <row r="622" spans="27:27">
      <c r="AA622" s="126"/>
    </row>
    <row r="623" spans="27:27">
      <c r="AA623" s="264"/>
    </row>
    <row r="624" spans="27:27">
      <c r="AA624" s="126"/>
    </row>
    <row r="625" spans="27:27">
      <c r="AA625" s="126"/>
    </row>
    <row r="626" spans="27:27">
      <c r="AA626" s="126"/>
    </row>
    <row r="627" spans="27:27">
      <c r="AA627" s="126"/>
    </row>
    <row r="628" spans="27:27">
      <c r="AA628" s="126"/>
    </row>
    <row r="629" spans="27:27">
      <c r="AA629" s="126"/>
    </row>
    <row r="630" spans="27:27">
      <c r="AA630" s="126"/>
    </row>
    <row r="631" spans="27:27">
      <c r="AA631" s="126"/>
    </row>
    <row r="632" spans="27:27">
      <c r="AA632" s="126"/>
    </row>
    <row r="633" spans="27:27">
      <c r="AA633" s="123"/>
    </row>
    <row r="634" spans="27:27">
      <c r="AA634" s="123"/>
    </row>
    <row r="635" spans="27:27">
      <c r="AA635" s="126"/>
    </row>
    <row r="636" spans="27:27">
      <c r="AA636" s="126"/>
    </row>
    <row r="637" spans="27:27">
      <c r="AA637" s="126"/>
    </row>
    <row r="638" spans="27:27">
      <c r="AA638" s="126"/>
    </row>
    <row r="639" spans="27:27">
      <c r="AA639" s="126"/>
    </row>
    <row r="640" spans="27:27">
      <c r="AA640" s="126"/>
    </row>
    <row r="641" spans="27:27">
      <c r="AA641" s="126"/>
    </row>
    <row r="642" spans="27:27">
      <c r="AA642" s="126"/>
    </row>
    <row r="643" spans="27:27">
      <c r="AA643" s="126"/>
    </row>
    <row r="644" spans="27:27">
      <c r="AA644" s="126"/>
    </row>
    <row r="645" spans="27:27">
      <c r="AA645" s="126"/>
    </row>
    <row r="646" spans="27:27">
      <c r="AA646" s="264"/>
    </row>
    <row r="647" spans="27:27">
      <c r="AA647" s="126"/>
    </row>
    <row r="648" spans="27:27">
      <c r="AA648" s="126"/>
    </row>
    <row r="649" spans="27:27">
      <c r="AA649" s="264"/>
    </row>
    <row r="650" spans="27:27">
      <c r="AA650" s="126"/>
    </row>
    <row r="651" spans="27:27">
      <c r="AA651" s="126"/>
    </row>
    <row r="652" spans="27:27">
      <c r="AA652" s="126"/>
    </row>
    <row r="653" spans="27:27">
      <c r="AA653" s="43"/>
    </row>
    <row r="655" spans="27:27">
      <c r="AA655" s="126"/>
    </row>
    <row r="656" spans="27:27">
      <c r="AA656" s="126"/>
    </row>
    <row r="657" spans="27:27">
      <c r="AA657" s="126"/>
    </row>
    <row r="658" spans="27:27">
      <c r="AA658" s="126"/>
    </row>
    <row r="659" spans="27:27">
      <c r="AA659" s="126"/>
    </row>
    <row r="660" spans="27:27">
      <c r="AA660" s="126"/>
    </row>
    <row r="661" spans="27:27">
      <c r="AA661" s="126"/>
    </row>
    <row r="662" spans="27:27">
      <c r="AA662" s="126"/>
    </row>
    <row r="663" spans="27:27">
      <c r="AA663" s="123"/>
    </row>
    <row r="664" spans="27:27">
      <c r="AA664" s="126"/>
    </row>
    <row r="665" spans="27:27">
      <c r="AA665" s="126"/>
    </row>
    <row r="666" spans="27:27">
      <c r="AA666" s="126"/>
    </row>
    <row r="667" spans="27:27">
      <c r="AA667" s="126"/>
    </row>
    <row r="668" spans="27:27">
      <c r="AA668" s="126"/>
    </row>
    <row r="669" spans="27:27">
      <c r="AA669" s="126"/>
    </row>
    <row r="670" spans="27:27">
      <c r="AA670" s="126"/>
    </row>
    <row r="671" spans="27:27">
      <c r="AA671" s="126"/>
    </row>
    <row r="673" spans="27:27">
      <c r="AA673" s="126"/>
    </row>
    <row r="674" spans="27:27">
      <c r="AA674" s="126"/>
    </row>
    <row r="675" spans="27:27">
      <c r="AA675" s="126"/>
    </row>
    <row r="676" spans="27:27">
      <c r="AA676" s="126"/>
    </row>
    <row r="677" spans="27:27">
      <c r="AA677" s="264"/>
    </row>
    <row r="678" spans="27:27">
      <c r="AA678" s="126"/>
    </row>
    <row r="679" spans="27:27">
      <c r="AA679" s="126"/>
    </row>
    <row r="680" spans="27:27">
      <c r="AA680" s="126"/>
    </row>
    <row r="681" spans="27:27">
      <c r="AA681" s="126"/>
    </row>
    <row r="682" spans="27:27">
      <c r="AA682" s="126"/>
    </row>
    <row r="683" spans="27:27">
      <c r="AA683" s="126"/>
    </row>
    <row r="684" spans="27:27">
      <c r="AA684" s="123"/>
    </row>
    <row r="685" spans="27:27">
      <c r="AA685" s="126"/>
    </row>
    <row r="686" spans="27:27">
      <c r="AA686" s="264"/>
    </row>
    <row r="687" spans="27:27">
      <c r="AA687" s="126"/>
    </row>
    <row r="688" spans="27:27">
      <c r="AA688" s="126"/>
    </row>
    <row r="689" spans="27:27">
      <c r="AA689" s="126"/>
    </row>
    <row r="690" spans="27:27">
      <c r="AA690" s="126"/>
    </row>
    <row r="691" spans="27:27">
      <c r="AA691" s="126"/>
    </row>
    <row r="692" spans="27:27">
      <c r="AA692" s="126"/>
    </row>
    <row r="693" spans="27:27">
      <c r="AA693" s="126"/>
    </row>
    <row r="694" spans="27:27">
      <c r="AA694" s="126"/>
    </row>
    <row r="695" spans="27:27">
      <c r="AA695" s="126"/>
    </row>
    <row r="696" spans="27:27">
      <c r="AA696" s="126"/>
    </row>
    <row r="697" spans="27:27">
      <c r="AA697" s="126"/>
    </row>
    <row r="698" spans="27:27">
      <c r="AA698" s="126"/>
    </row>
    <row r="699" spans="27:27">
      <c r="AA699" s="126"/>
    </row>
    <row r="700" spans="27:27">
      <c r="AA700" s="126"/>
    </row>
    <row r="701" spans="27:27">
      <c r="AA701" s="126"/>
    </row>
    <row r="702" spans="27:27">
      <c r="AA702" s="126"/>
    </row>
    <row r="703" spans="27:27">
      <c r="AA703" s="126"/>
    </row>
    <row r="704" spans="27:27">
      <c r="AA704" s="126"/>
    </row>
    <row r="705" spans="27:27">
      <c r="AA705" s="123"/>
    </row>
    <row r="706" spans="27:27">
      <c r="AA706" s="126"/>
    </row>
    <row r="707" spans="27:27">
      <c r="AA707" s="126"/>
    </row>
    <row r="708" spans="27:27">
      <c r="AA708" s="126"/>
    </row>
    <row r="709" spans="27:27">
      <c r="AA709" s="126"/>
    </row>
    <row r="710" spans="27:27">
      <c r="AA710" s="126"/>
    </row>
    <row r="711" spans="27:27">
      <c r="AA711" s="27"/>
    </row>
    <row r="712" spans="27:27">
      <c r="AA712" s="123"/>
    </row>
    <row r="713" spans="27:27">
      <c r="AA713" s="264"/>
    </row>
    <row r="714" spans="27:27">
      <c r="AA714" s="264"/>
    </row>
    <row r="715" spans="27:27">
      <c r="AA715" s="126"/>
    </row>
    <row r="716" spans="27:27">
      <c r="AA716" s="123"/>
    </row>
    <row r="717" spans="27:27">
      <c r="AA717" s="126"/>
    </row>
    <row r="718" spans="27:27">
      <c r="AA718" s="126"/>
    </row>
    <row r="719" spans="27:27">
      <c r="AA719" s="126"/>
    </row>
    <row r="720" spans="27:27">
      <c r="AA720" s="43"/>
    </row>
    <row r="721" spans="27:27">
      <c r="AA721" s="126"/>
    </row>
    <row r="723" spans="27:27">
      <c r="AA723" s="126"/>
    </row>
    <row r="724" spans="27:27">
      <c r="AA724" s="123"/>
    </row>
    <row r="725" spans="27:27">
      <c r="AA725" s="126"/>
    </row>
    <row r="726" spans="27:27">
      <c r="AA726" s="126"/>
    </row>
    <row r="727" spans="27:27">
      <c r="AA727" s="123"/>
    </row>
    <row r="728" spans="27:27">
      <c r="AA728" s="126"/>
    </row>
    <row r="729" spans="27:27">
      <c r="AA729" s="126"/>
    </row>
    <row r="730" spans="27:27">
      <c r="AA730" s="126"/>
    </row>
    <row r="731" spans="27:27">
      <c r="AA731" s="126"/>
    </row>
    <row r="732" spans="27:27">
      <c r="AA732" s="126"/>
    </row>
    <row r="733" spans="27:27">
      <c r="AA733" s="126"/>
    </row>
    <row r="734" spans="27:27">
      <c r="AA734" s="126"/>
    </row>
    <row r="735" spans="27:27">
      <c r="AA735" s="126"/>
    </row>
    <row r="736" spans="27:27">
      <c r="AA736" s="126"/>
    </row>
    <row r="737" spans="27:29">
      <c r="AA737" s="126"/>
    </row>
    <row r="738" spans="27:29">
      <c r="AA738" s="264"/>
    </row>
    <row r="739" spans="27:29">
      <c r="AA739" s="126"/>
    </row>
    <row r="740" spans="27:29">
      <c r="AA740" s="126"/>
    </row>
    <row r="741" spans="27:29">
      <c r="AA741" s="126"/>
    </row>
    <row r="742" spans="27:29">
      <c r="AA742" s="126"/>
    </row>
    <row r="743" spans="27:29">
      <c r="AA743" s="126"/>
      <c r="AB743" s="251" t="s">
        <v>3545</v>
      </c>
      <c r="AC743" s="251" t="s">
        <v>3545</v>
      </c>
    </row>
    <row r="744" spans="27:29">
      <c r="AA744" s="126"/>
    </row>
    <row r="745" spans="27:29">
      <c r="AA745" s="123"/>
    </row>
    <row r="746" spans="27:29">
      <c r="AA746" s="126"/>
    </row>
    <row r="747" spans="27:29">
      <c r="AA747" s="126"/>
    </row>
    <row r="748" spans="27:29">
      <c r="AA748" s="126"/>
    </row>
    <row r="749" spans="27:29">
      <c r="AA749" s="126"/>
    </row>
    <row r="750" spans="27:29">
      <c r="AA750" s="264"/>
    </row>
    <row r="752" spans="27:29">
      <c r="AA752" s="126"/>
    </row>
    <row r="753" spans="27:27">
      <c r="AA753" s="126"/>
    </row>
    <row r="754" spans="27:27">
      <c r="AA754" s="126"/>
    </row>
    <row r="755" spans="27:27">
      <c r="AA755" s="27"/>
    </row>
    <row r="756" spans="27:27">
      <c r="AA756" s="126"/>
    </row>
    <row r="757" spans="27:27">
      <c r="AA757" s="264"/>
    </row>
    <row r="758" spans="27:27">
      <c r="AA758" s="123"/>
    </row>
    <row r="759" spans="27:27">
      <c r="AA759" s="126"/>
    </row>
    <row r="760" spans="27:27">
      <c r="AA760" s="126"/>
    </row>
    <row r="761" spans="27:27">
      <c r="AA761" s="126"/>
    </row>
    <row r="762" spans="27:27">
      <c r="AA762" s="126"/>
    </row>
    <row r="763" spans="27:27">
      <c r="AA763" s="126"/>
    </row>
    <row r="764" spans="27:27">
      <c r="AA764" s="126"/>
    </row>
    <row r="765" spans="27:27">
      <c r="AA765" s="126"/>
    </row>
    <row r="766" spans="27:27">
      <c r="AA766" s="126"/>
    </row>
    <row r="767" spans="27:27">
      <c r="AA767" s="126"/>
    </row>
    <row r="768" spans="27:27">
      <c r="AA768" s="126"/>
    </row>
    <row r="769" spans="27:27">
      <c r="AA769" s="126"/>
    </row>
    <row r="770" spans="27:27">
      <c r="AA770" s="126"/>
    </row>
    <row r="771" spans="27:27">
      <c r="AA771" s="126"/>
    </row>
    <row r="772" spans="27:27">
      <c r="AA772" s="264"/>
    </row>
    <row r="774" spans="27:27">
      <c r="AA774" s="126"/>
    </row>
    <row r="775" spans="27:27">
      <c r="AA775" s="126"/>
    </row>
    <row r="776" spans="27:27">
      <c r="AA776" s="126"/>
    </row>
    <row r="777" spans="27:27">
      <c r="AA777" s="126"/>
    </row>
    <row r="778" spans="27:27">
      <c r="AA778" s="126"/>
    </row>
    <row r="779" spans="27:27">
      <c r="AA779" s="126"/>
    </row>
    <row r="780" spans="27:27">
      <c r="AA780" s="126"/>
    </row>
    <row r="781" spans="27:27">
      <c r="AA781" s="126"/>
    </row>
    <row r="782" spans="27:27">
      <c r="AA782" s="126"/>
    </row>
    <row r="783" spans="27:27">
      <c r="AA783" s="126"/>
    </row>
    <row r="784" spans="27:27">
      <c r="AA784" s="126"/>
    </row>
    <row r="785" spans="27:27">
      <c r="AA785" s="126"/>
    </row>
    <row r="786" spans="27:27">
      <c r="AA786" s="126"/>
    </row>
    <row r="787" spans="27:27">
      <c r="AA787" s="126"/>
    </row>
    <row r="789" spans="27:27">
      <c r="AA789" s="126"/>
    </row>
    <row r="790" spans="27:27">
      <c r="AA790" s="123"/>
    </row>
    <row r="791" spans="27:27">
      <c r="AA791" s="126"/>
    </row>
    <row r="792" spans="27:27">
      <c r="AA792" s="126"/>
    </row>
    <row r="793" spans="27:27">
      <c r="AA793" s="126"/>
    </row>
    <row r="794" spans="27:27">
      <c r="AA794" s="126"/>
    </row>
    <row r="795" spans="27:27">
      <c r="AA795" s="126"/>
    </row>
    <row r="796" spans="27:27">
      <c r="AA796" s="126"/>
    </row>
    <row r="798" spans="27:27">
      <c r="AA798" s="126"/>
    </row>
    <row r="799" spans="27:27">
      <c r="AA799" s="126"/>
    </row>
    <row r="800" spans="27:27">
      <c r="AA800" s="126"/>
    </row>
    <row r="801" spans="27:27">
      <c r="AA801" s="126"/>
    </row>
    <row r="802" spans="27:27">
      <c r="AA802" s="126"/>
    </row>
    <row r="803" spans="27:27">
      <c r="AA803" s="126"/>
    </row>
    <row r="804" spans="27:27">
      <c r="AA804" s="126"/>
    </row>
    <row r="805" spans="27:27">
      <c r="AA805" s="126"/>
    </row>
    <row r="806" spans="27:27">
      <c r="AA806" s="126"/>
    </row>
    <row r="807" spans="27:27">
      <c r="AA807" s="123"/>
    </row>
    <row r="808" spans="27:27">
      <c r="AA808" s="126"/>
    </row>
    <row r="809" spans="27:27">
      <c r="AA809" s="126"/>
    </row>
    <row r="810" spans="27:27">
      <c r="AA810" s="126"/>
    </row>
    <row r="812" spans="27:27">
      <c r="AA812" s="126"/>
    </row>
    <row r="813" spans="27:27">
      <c r="AA813" s="126"/>
    </row>
    <row r="814" spans="27:27">
      <c r="AA814" s="264"/>
    </row>
    <row r="815" spans="27:27">
      <c r="AA815" s="126"/>
    </row>
    <row r="816" spans="27:27">
      <c r="AA816" s="264"/>
    </row>
    <row r="817" spans="27:27">
      <c r="AA817" s="126"/>
    </row>
    <row r="818" spans="27:27">
      <c r="AA818" s="126"/>
    </row>
    <row r="819" spans="27:27">
      <c r="AA819" s="126"/>
    </row>
    <row r="820" spans="27:27">
      <c r="AA820" s="264"/>
    </row>
    <row r="821" spans="27:27">
      <c r="AA821" s="264"/>
    </row>
    <row r="822" spans="27:27">
      <c r="AA822" s="126"/>
    </row>
    <row r="823" spans="27:27">
      <c r="AA823" s="126"/>
    </row>
    <row r="824" spans="27:27">
      <c r="AA824" s="126"/>
    </row>
    <row r="825" spans="27:27">
      <c r="AA825" s="126"/>
    </row>
    <row r="826" spans="27:27">
      <c r="AA826" s="264"/>
    </row>
    <row r="827" spans="27:27">
      <c r="AA827" s="126"/>
    </row>
    <row r="828" spans="27:27">
      <c r="AA828" s="264"/>
    </row>
    <row r="829" spans="27:27">
      <c r="AA829" s="126"/>
    </row>
    <row r="830" spans="27:27">
      <c r="AA830" s="264"/>
    </row>
    <row r="831" spans="27:27">
      <c r="AA831" s="126"/>
    </row>
    <row r="832" spans="27:27">
      <c r="AA832" s="126"/>
    </row>
    <row r="833" spans="27:27">
      <c r="AA833" s="126"/>
    </row>
    <row r="834" spans="27:27">
      <c r="AA834" s="126"/>
    </row>
    <row r="835" spans="27:27">
      <c r="AA835" s="126"/>
    </row>
    <row r="836" spans="27:27">
      <c r="AA836" s="126"/>
    </row>
    <row r="837" spans="27:27">
      <c r="AA837" s="126"/>
    </row>
    <row r="838" spans="27:27">
      <c r="AA838" s="126"/>
    </row>
    <row r="839" spans="27:27">
      <c r="AA839" s="126"/>
    </row>
    <row r="840" spans="27:27">
      <c r="AA840" s="126"/>
    </row>
    <row r="841" spans="27:27">
      <c r="AA841" s="126"/>
    </row>
    <row r="842" spans="27:27">
      <c r="AA842" s="126"/>
    </row>
    <row r="843" spans="27:27">
      <c r="AA843" s="126"/>
    </row>
    <row r="844" spans="27:27">
      <c r="AA844" s="126"/>
    </row>
    <row r="845" spans="27:27">
      <c r="AA845" s="126"/>
    </row>
    <row r="846" spans="27:27">
      <c r="AA846" s="126"/>
    </row>
    <row r="847" spans="27:27">
      <c r="AA847" s="264"/>
    </row>
    <row r="848" spans="27:27">
      <c r="AA848" s="126"/>
    </row>
    <row r="849" spans="27:27">
      <c r="AA849" s="126"/>
    </row>
    <row r="850" spans="27:27">
      <c r="AA850" s="126"/>
    </row>
    <row r="851" spans="27:27">
      <c r="AA851" s="126"/>
    </row>
    <row r="852" spans="27:27">
      <c r="AA852" s="126"/>
    </row>
    <row r="853" spans="27:27">
      <c r="AA853" s="126"/>
    </row>
    <row r="854" spans="27:27">
      <c r="AA854" s="126"/>
    </row>
    <row r="855" spans="27:27">
      <c r="AA855" s="264"/>
    </row>
    <row r="856" spans="27:27">
      <c r="AA856" s="126"/>
    </row>
    <row r="857" spans="27:27">
      <c r="AA857" s="126"/>
    </row>
    <row r="858" spans="27:27">
      <c r="AA858" s="126"/>
    </row>
    <row r="859" spans="27:27">
      <c r="AA859" s="126"/>
    </row>
    <row r="860" spans="27:27">
      <c r="AA860" s="126"/>
    </row>
    <row r="861" spans="27:27">
      <c r="AA861" s="126"/>
    </row>
    <row r="862" spans="27:27">
      <c r="AA862" s="126"/>
    </row>
    <row r="863" spans="27:27">
      <c r="AA863" s="126"/>
    </row>
    <row r="864" spans="27:27">
      <c r="AA864" s="126"/>
    </row>
    <row r="865" spans="27:27">
      <c r="AA865" s="126"/>
    </row>
    <row r="866" spans="27:27">
      <c r="AA866" s="123"/>
    </row>
    <row r="867" spans="27:27">
      <c r="AA867" s="126"/>
    </row>
    <row r="868" spans="27:27">
      <c r="AA868" s="126"/>
    </row>
    <row r="869" spans="27:27">
      <c r="AA869" s="264"/>
    </row>
    <row r="870" spans="27:27">
      <c r="AA870" s="126"/>
    </row>
    <row r="871" spans="27:27">
      <c r="AA871" s="126"/>
    </row>
    <row r="872" spans="27:27">
      <c r="AA872" s="126"/>
    </row>
    <row r="873" spans="27:27">
      <c r="AA873" s="126"/>
    </row>
    <row r="874" spans="27:27">
      <c r="AA874" s="126"/>
    </row>
    <row r="875" spans="27:27">
      <c r="AA875" s="126"/>
    </row>
    <row r="876" spans="27:27">
      <c r="AA876" s="126"/>
    </row>
    <row r="877" spans="27:27">
      <c r="AA877" s="264"/>
    </row>
    <row r="878" spans="27:27">
      <c r="AA878" s="264"/>
    </row>
    <row r="879" spans="27:27">
      <c r="AA879" s="126"/>
    </row>
    <row r="880" spans="27:27">
      <c r="AA880" s="264"/>
    </row>
    <row r="881" spans="27:27">
      <c r="AA881" s="126"/>
    </row>
    <row r="882" spans="27:27">
      <c r="AA882" s="126"/>
    </row>
    <row r="883" spans="27:27">
      <c r="AA883" s="126"/>
    </row>
    <row r="884" spans="27:27">
      <c r="AA884" s="126"/>
    </row>
    <row r="885" spans="27:27">
      <c r="AA885" s="126"/>
    </row>
    <row r="886" spans="27:27">
      <c r="AA886" s="126"/>
    </row>
    <row r="887" spans="27:27">
      <c r="AA887" s="126"/>
    </row>
    <row r="888" spans="27:27">
      <c r="AA888" s="264"/>
    </row>
    <row r="889" spans="27:27">
      <c r="AA889" s="126"/>
    </row>
    <row r="890" spans="27:27">
      <c r="AA890" s="126"/>
    </row>
    <row r="891" spans="27:27">
      <c r="AA891" s="126"/>
    </row>
    <row r="892" spans="27:27">
      <c r="AA892" s="126"/>
    </row>
    <row r="893" spans="27:27">
      <c r="AA893" s="126"/>
    </row>
    <row r="894" spans="27:27">
      <c r="AA894" s="126"/>
    </row>
    <row r="895" spans="27:27">
      <c r="AA895" s="126"/>
    </row>
    <row r="896" spans="27:27">
      <c r="AA896" s="126"/>
    </row>
    <row r="897" spans="27:27">
      <c r="AA897" s="126"/>
    </row>
    <row r="898" spans="27:27">
      <c r="AA898" s="126"/>
    </row>
    <row r="899" spans="27:27">
      <c r="AA899" s="126"/>
    </row>
    <row r="900" spans="27:27">
      <c r="AA900" s="127"/>
    </row>
    <row r="901" spans="27:27">
      <c r="AA901" s="126"/>
    </row>
    <row r="902" spans="27:27">
      <c r="AA902" s="126"/>
    </row>
    <row r="903" spans="27:27">
      <c r="AA903" s="126"/>
    </row>
    <row r="904" spans="27:27">
      <c r="AA904" s="126"/>
    </row>
    <row r="905" spans="27:27">
      <c r="AA905" s="126"/>
    </row>
    <row r="906" spans="27:27">
      <c r="AA906" s="126"/>
    </row>
    <row r="907" spans="27:27">
      <c r="AA907" s="126"/>
    </row>
    <row r="908" spans="27:27">
      <c r="AA908" s="264"/>
    </row>
    <row r="909" spans="27:27">
      <c r="AA909" s="126"/>
    </row>
    <row r="910" spans="27:27">
      <c r="AA910" s="126"/>
    </row>
    <row r="911" spans="27:27">
      <c r="AA911" s="126"/>
    </row>
    <row r="912" spans="27:27">
      <c r="AA912" s="126"/>
    </row>
    <row r="913" spans="27:27">
      <c r="AA913" s="126"/>
    </row>
    <row r="914" spans="27:27">
      <c r="AA914" s="126"/>
    </row>
    <row r="915" spans="27:27">
      <c r="AA915" s="126"/>
    </row>
    <row r="916" spans="27:27">
      <c r="AA916" s="126"/>
    </row>
    <row r="917" spans="27:27">
      <c r="AA917" s="126"/>
    </row>
    <row r="918" spans="27:27">
      <c r="AA918" s="126"/>
    </row>
    <row r="919" spans="27:27">
      <c r="AA919" s="126"/>
    </row>
    <row r="920" spans="27:27">
      <c r="AA920" s="126"/>
    </row>
    <row r="921" spans="27:27">
      <c r="AA921" s="126"/>
    </row>
    <row r="922" spans="27:27">
      <c r="AA922" s="126"/>
    </row>
    <row r="923" spans="27:27">
      <c r="AA923" s="264"/>
    </row>
    <row r="924" spans="27:27">
      <c r="AA924" s="264"/>
    </row>
    <row r="925" spans="27:27">
      <c r="AA925" s="126"/>
    </row>
    <row r="926" spans="27:27">
      <c r="AA926" s="126"/>
    </row>
    <row r="927" spans="27:27">
      <c r="AA927" s="126"/>
    </row>
    <row r="928" spans="27:27">
      <c r="AA928" s="126"/>
    </row>
    <row r="929" spans="27:27">
      <c r="AA929" s="126"/>
    </row>
    <row r="930" spans="27:27">
      <c r="AA930" s="126"/>
    </row>
    <row r="931" spans="27:27">
      <c r="AA931" s="126"/>
    </row>
    <row r="932" spans="27:27">
      <c r="AA932" s="126"/>
    </row>
    <row r="933" spans="27:27">
      <c r="AA933" s="126"/>
    </row>
    <row r="934" spans="27:27">
      <c r="AA934" s="264"/>
    </row>
    <row r="935" spans="27:27">
      <c r="AA935" s="126"/>
    </row>
    <row r="936" spans="27:27">
      <c r="AA936" s="126"/>
    </row>
    <row r="937" spans="27:27">
      <c r="AA937" s="126"/>
    </row>
    <row r="938" spans="27:27">
      <c r="AA938" s="126"/>
    </row>
    <row r="939" spans="27:27">
      <c r="AA939" s="126"/>
    </row>
    <row r="940" spans="27:27">
      <c r="AA940" s="126"/>
    </row>
    <row r="941" spans="27:27">
      <c r="AA941" s="123"/>
    </row>
    <row r="942" spans="27:27">
      <c r="AA942" s="126"/>
    </row>
    <row r="944" spans="27:27">
      <c r="AA944" s="126"/>
    </row>
    <row r="945" spans="27:27">
      <c r="AA945" s="264"/>
    </row>
    <row r="946" spans="27:27">
      <c r="AA946" s="126"/>
    </row>
    <row r="947" spans="27:27">
      <c r="AA947" s="126"/>
    </row>
    <row r="948" spans="27:27">
      <c r="AA948" s="126"/>
    </row>
    <row r="949" spans="27:27">
      <c r="AA949" s="126"/>
    </row>
    <row r="950" spans="27:27">
      <c r="AA950" s="126"/>
    </row>
    <row r="951" spans="27:27">
      <c r="AA951" s="126"/>
    </row>
    <row r="952" spans="27:27">
      <c r="AA952" s="126"/>
    </row>
    <row r="953" spans="27:27">
      <c r="AA953" s="126"/>
    </row>
    <row r="954" spans="27:27">
      <c r="AA954" s="126"/>
    </row>
    <row r="955" spans="27:27">
      <c r="AA955" s="126"/>
    </row>
    <row r="956" spans="27:27">
      <c r="AA956" s="126"/>
    </row>
    <row r="957" spans="27:27">
      <c r="AA957" s="126"/>
    </row>
    <row r="958" spans="27:27">
      <c r="AA958" s="126"/>
    </row>
    <row r="959" spans="27:27">
      <c r="AA959" s="126"/>
    </row>
    <row r="960" spans="27:27">
      <c r="AA960" s="126"/>
    </row>
    <row r="961" spans="27:27">
      <c r="AA961" s="126"/>
    </row>
    <row r="962" spans="27:27">
      <c r="AA962" s="126"/>
    </row>
    <row r="963" spans="27:27">
      <c r="AA963" s="126"/>
    </row>
    <row r="964" spans="27:27">
      <c r="AA964" s="126"/>
    </row>
    <row r="965" spans="27:27">
      <c r="AA965" s="126"/>
    </row>
    <row r="966" spans="27:27">
      <c r="AA966" s="126"/>
    </row>
    <row r="967" spans="27:27">
      <c r="AA967" s="126"/>
    </row>
    <row r="968" spans="27:27">
      <c r="AA968" s="126"/>
    </row>
    <row r="970" spans="27:27">
      <c r="AA970" s="126"/>
    </row>
    <row r="971" spans="27:27">
      <c r="AA971" s="126"/>
    </row>
    <row r="972" spans="27:27">
      <c r="AA972" s="126"/>
    </row>
    <row r="973" spans="27:27">
      <c r="AA973" s="126"/>
    </row>
    <row r="974" spans="27:27">
      <c r="AA974" s="126"/>
    </row>
    <row r="975" spans="27:27">
      <c r="AA975" s="126"/>
    </row>
    <row r="976" spans="27:27">
      <c r="AA976" s="126"/>
    </row>
    <row r="977" spans="27:27">
      <c r="AA977" s="126"/>
    </row>
    <row r="978" spans="27:27">
      <c r="AA978" s="51"/>
    </row>
    <row r="979" spans="27:27">
      <c r="AA979" s="126"/>
    </row>
    <row r="980" spans="27:27">
      <c r="AA980" s="126"/>
    </row>
    <row r="981" spans="27:27">
      <c r="AA981" s="126"/>
    </row>
    <row r="982" spans="27:27">
      <c r="AA982" s="126"/>
    </row>
    <row r="983" spans="27:27">
      <c r="AA983" s="126"/>
    </row>
    <row r="984" spans="27:27">
      <c r="AA984" s="126"/>
    </row>
    <row r="985" spans="27:27">
      <c r="AA985" s="126"/>
    </row>
    <row r="986" spans="27:27">
      <c r="AA986" s="126"/>
    </row>
    <row r="987" spans="27:27">
      <c r="AA987" s="126"/>
    </row>
    <row r="988" spans="27:27">
      <c r="AA988" s="126"/>
    </row>
    <row r="989" spans="27:27">
      <c r="AA989" s="264"/>
    </row>
    <row r="990" spans="27:27">
      <c r="AA990" s="26"/>
    </row>
    <row r="991" spans="27:27">
      <c r="AA991" s="264"/>
    </row>
    <row r="992" spans="27:27">
      <c r="AA992" s="126"/>
    </row>
    <row r="993" spans="27:27">
      <c r="AA993" s="126"/>
    </row>
    <row r="994" spans="27:27">
      <c r="AA994" s="126"/>
    </row>
    <row r="995" spans="27:27">
      <c r="AA995" s="126"/>
    </row>
    <row r="996" spans="27:27">
      <c r="AA996" s="126"/>
    </row>
    <row r="997" spans="27:27">
      <c r="AA997" s="126"/>
    </row>
    <row r="998" spans="27:27">
      <c r="AA998" s="126"/>
    </row>
    <row r="999" spans="27:27">
      <c r="AA999" s="126"/>
    </row>
    <row r="1000" spans="27:27">
      <c r="AA1000" s="126"/>
    </row>
    <row r="1001" spans="27:27">
      <c r="AA1001" s="126"/>
    </row>
    <row r="1002" spans="27:27">
      <c r="AA1002" s="126"/>
    </row>
    <row r="1003" spans="27:27">
      <c r="AA1003" s="126"/>
    </row>
    <row r="1004" spans="27:27">
      <c r="AA1004" s="126"/>
    </row>
    <row r="1005" spans="27:27">
      <c r="AA1005" s="126"/>
    </row>
    <row r="1006" spans="27:27">
      <c r="AA1006" s="126"/>
    </row>
    <row r="1007" spans="27:27">
      <c r="AA1007" s="126"/>
    </row>
    <row r="1008" spans="27:27">
      <c r="AA1008" s="126"/>
    </row>
    <row r="1009" spans="15:27">
      <c r="AA1009" s="126"/>
    </row>
    <row r="1010" spans="15:27">
      <c r="AA1010" s="126"/>
    </row>
    <row r="1011" spans="15:27">
      <c r="AA1011" s="126"/>
    </row>
    <row r="1012" spans="15:27">
      <c r="AA1012" s="126"/>
    </row>
    <row r="1013" spans="15:27">
      <c r="AA1013" s="264"/>
    </row>
    <row r="1014" spans="15:27">
      <c r="AA1014" s="264"/>
    </row>
    <row r="1015" spans="15:27">
      <c r="AA1015" s="27"/>
    </row>
    <row r="1016" spans="15:27">
      <c r="O1016" s="364"/>
      <c r="AA1016" s="126"/>
    </row>
    <row r="1017" spans="15:27">
      <c r="AA1017" s="126"/>
    </row>
    <row r="1018" spans="15:27">
      <c r="AA1018" s="126"/>
    </row>
    <row r="1019" spans="15:27">
      <c r="AA1019" s="126"/>
    </row>
    <row r="1020" spans="15:27">
      <c r="AA1020" s="126"/>
    </row>
    <row r="1021" spans="15:27">
      <c r="AA1021" s="126"/>
    </row>
    <row r="1022" spans="15:27">
      <c r="AA1022" s="126"/>
    </row>
    <row r="1023" spans="15:27">
      <c r="AA1023" s="126"/>
    </row>
    <row r="1024" spans="15:27">
      <c r="AA1024" s="126"/>
    </row>
    <row r="1025" spans="15:27">
      <c r="AA1025" s="126"/>
    </row>
    <row r="1026" spans="15:27">
      <c r="O1026" s="364"/>
      <c r="AA1026" s="126"/>
    </row>
    <row r="1027" spans="15:27">
      <c r="AA1027" s="126"/>
    </row>
    <row r="1028" spans="15:27">
      <c r="AA1028" s="126"/>
    </row>
    <row r="1029" spans="15:27">
      <c r="AA1029" s="264"/>
    </row>
    <row r="1030" spans="15:27">
      <c r="O1030" s="364"/>
      <c r="AA1030" s="126"/>
    </row>
    <row r="1031" spans="15:27">
      <c r="AA1031" s="126"/>
    </row>
    <row r="1032" spans="15:27">
      <c r="AA1032" s="126"/>
    </row>
    <row r="1033" spans="15:27">
      <c r="AA1033" s="126"/>
    </row>
    <row r="1034" spans="15:27">
      <c r="AA1034" s="126"/>
    </row>
    <row r="1035" spans="15:27">
      <c r="O1035" s="364"/>
      <c r="AA1035" s="126"/>
    </row>
    <row r="1036" spans="15:27">
      <c r="O1036" s="364"/>
      <c r="AA1036" s="126"/>
    </row>
    <row r="1037" spans="15:27">
      <c r="O1037" s="364"/>
      <c r="AA1037" s="126"/>
    </row>
    <row r="1038" spans="15:27">
      <c r="AA1038" s="126"/>
    </row>
    <row r="1039" spans="15:27">
      <c r="O1039" s="364"/>
      <c r="AA1039" s="126"/>
    </row>
    <row r="1040" spans="15:27">
      <c r="O1040" s="364"/>
      <c r="AA1040" s="126"/>
    </row>
    <row r="1041" spans="15:27">
      <c r="AA1041" s="27"/>
    </row>
    <row r="1042" spans="15:27">
      <c r="O1042" s="364"/>
      <c r="AA1042" s="126"/>
    </row>
    <row r="1043" spans="15:27">
      <c r="AA1043" s="126"/>
    </row>
    <row r="1044" spans="15:27">
      <c r="O1044" s="364"/>
      <c r="AA1044" s="126"/>
    </row>
    <row r="1045" spans="15:27">
      <c r="O1045" s="364"/>
      <c r="AA1045" s="126"/>
    </row>
    <row r="1046" spans="15:27">
      <c r="O1046" s="364"/>
      <c r="AA1046" s="126"/>
    </row>
    <row r="1047" spans="15:27">
      <c r="O1047" s="364"/>
      <c r="AA1047" s="126"/>
    </row>
    <row r="1048" spans="15:27">
      <c r="O1048" s="364"/>
      <c r="AA1048" s="123"/>
    </row>
    <row r="1049" spans="15:27">
      <c r="O1049" s="364"/>
      <c r="AA1049" s="126"/>
    </row>
    <row r="1050" spans="15:27">
      <c r="O1050" s="364"/>
      <c r="AA1050" s="126"/>
    </row>
    <row r="1051" spans="15:27">
      <c r="O1051" s="364"/>
      <c r="AA1051" s="126"/>
    </row>
    <row r="1052" spans="15:27">
      <c r="AA1052" s="126"/>
    </row>
    <row r="1053" spans="15:27">
      <c r="AA1053" s="126"/>
    </row>
    <row r="1054" spans="15:27">
      <c r="AA1054" s="126"/>
    </row>
    <row r="1055" spans="15:27">
      <c r="AA1055" s="126"/>
    </row>
    <row r="1056" spans="15:27">
      <c r="AA1056" s="126"/>
    </row>
    <row r="1057" spans="15:27">
      <c r="AA1057" s="126"/>
    </row>
    <row r="1058" spans="15:27">
      <c r="AA1058" s="126"/>
    </row>
    <row r="1059" spans="15:27">
      <c r="AA1059" s="126"/>
    </row>
    <row r="1060" spans="15:27">
      <c r="O1060" s="364"/>
      <c r="AA1060" s="126"/>
    </row>
    <row r="1061" spans="15:27">
      <c r="O1061" s="364"/>
      <c r="AA1061" s="126"/>
    </row>
    <row r="1062" spans="15:27">
      <c r="O1062" s="364"/>
      <c r="AA1062" s="126"/>
    </row>
    <row r="1063" spans="15:27">
      <c r="AA1063" s="126"/>
    </row>
    <row r="1064" spans="15:27">
      <c r="O1064" s="364"/>
      <c r="AA1064" s="126"/>
    </row>
    <row r="1065" spans="15:27">
      <c r="O1065" s="364"/>
      <c r="AA1065" s="126"/>
    </row>
    <row r="1066" spans="15:27">
      <c r="O1066" s="364"/>
      <c r="AA1066" s="126"/>
    </row>
    <row r="1067" spans="15:27">
      <c r="O1067" s="364"/>
      <c r="AA1067" s="126"/>
    </row>
    <row r="1068" spans="15:27">
      <c r="AA1068" s="126"/>
    </row>
    <row r="1069" spans="15:27">
      <c r="AA1069" s="126"/>
    </row>
    <row r="1070" spans="15:27">
      <c r="AA1070" s="126"/>
    </row>
    <row r="1071" spans="15:27">
      <c r="AA1071" s="126"/>
    </row>
    <row r="1072" spans="15:27">
      <c r="AA1072" s="126"/>
    </row>
    <row r="1073" spans="27:27">
      <c r="AA1073" s="126"/>
    </row>
    <row r="1074" spans="27:27">
      <c r="AA1074" s="126"/>
    </row>
    <row r="1075" spans="27:27">
      <c r="AA1075" s="126"/>
    </row>
    <row r="1076" spans="27:27">
      <c r="AA1076" s="126"/>
    </row>
    <row r="1077" spans="27:27">
      <c r="AA1077" s="126"/>
    </row>
    <row r="1078" spans="27:27">
      <c r="AA1078" s="126"/>
    </row>
    <row r="1079" spans="27:27">
      <c r="AA1079" s="126"/>
    </row>
    <row r="1080" spans="27:27">
      <c r="AA1080" s="126"/>
    </row>
    <row r="1081" spans="27:27">
      <c r="AA1081" s="126"/>
    </row>
    <row r="1082" spans="27:27">
      <c r="AA1082" s="126"/>
    </row>
    <row r="1083" spans="27:27">
      <c r="AA1083" s="126"/>
    </row>
    <row r="1084" spans="27:27">
      <c r="AA1084" s="126"/>
    </row>
    <row r="1085" spans="27:27">
      <c r="AA1085" s="126"/>
    </row>
    <row r="1086" spans="27:27">
      <c r="AA1086" s="126"/>
    </row>
    <row r="1087" spans="27:27">
      <c r="AA1087" s="126"/>
    </row>
    <row r="1088" spans="27:27">
      <c r="AA1088" s="264"/>
    </row>
    <row r="1089" spans="27:27">
      <c r="AA1089" s="126"/>
    </row>
    <row r="1090" spans="27:27">
      <c r="AA1090" s="126"/>
    </row>
    <row r="1091" spans="27:27">
      <c r="AA1091" s="126"/>
    </row>
    <row r="1092" spans="27:27">
      <c r="AA1092" s="126"/>
    </row>
    <row r="1093" spans="27:27">
      <c r="AA1093" s="266"/>
    </row>
    <row r="1094" spans="27:27">
      <c r="AA1094" s="126"/>
    </row>
    <row r="1095" spans="27:27">
      <c r="AA1095" s="126"/>
    </row>
    <row r="1096" spans="27:27">
      <c r="AA1096" s="126"/>
    </row>
    <row r="1097" spans="27:27">
      <c r="AA1097" s="126"/>
    </row>
    <row r="1098" spans="27:27">
      <c r="AA1098" s="126"/>
    </row>
    <row r="1099" spans="27:27">
      <c r="AA1099" s="126"/>
    </row>
    <row r="1100" spans="27:27">
      <c r="AA1100" s="224"/>
    </row>
    <row r="1101" spans="27:27">
      <c r="AA1101" s="126"/>
    </row>
    <row r="1102" spans="27:27">
      <c r="AA1102" s="126"/>
    </row>
    <row r="1103" spans="27:27">
      <c r="AA1103" s="126"/>
    </row>
    <row r="1104" spans="27:27">
      <c r="AA1104" s="126"/>
    </row>
    <row r="1105" spans="27:27">
      <c r="AA1105" s="126"/>
    </row>
    <row r="1106" spans="27:27">
      <c r="AA1106" s="126"/>
    </row>
    <row r="1107" spans="27:27">
      <c r="AA1107" s="126"/>
    </row>
    <row r="1108" spans="27:27">
      <c r="AA1108" s="126"/>
    </row>
    <row r="1109" spans="27:27">
      <c r="AA1109" s="126"/>
    </row>
    <row r="1110" spans="27:27">
      <c r="AA1110" s="126"/>
    </row>
    <row r="1111" spans="27:27">
      <c r="AA1111" s="264"/>
    </row>
    <row r="1112" spans="27:27">
      <c r="AA1112" s="126"/>
    </row>
    <row r="1113" spans="27:27">
      <c r="AA1113" s="126"/>
    </row>
    <row r="1114" spans="27:27">
      <c r="AA1114" s="126"/>
    </row>
    <row r="1115" spans="27:27">
      <c r="AA1115" s="126"/>
    </row>
    <row r="1116" spans="27:27">
      <c r="AA1116" s="126"/>
    </row>
    <row r="1117" spans="27:27">
      <c r="AA1117" s="126"/>
    </row>
    <row r="1118" spans="27:27">
      <c r="AA1118" s="126"/>
    </row>
    <row r="1119" spans="27:27">
      <c r="AA1119" s="126"/>
    </row>
    <row r="1120" spans="27:27">
      <c r="AA1120" s="126"/>
    </row>
    <row r="1121" spans="27:27">
      <c r="AA1121" s="126"/>
    </row>
    <row r="1122" spans="27:27">
      <c r="AA1122" s="126"/>
    </row>
    <row r="1123" spans="27:27">
      <c r="AA1123" s="264"/>
    </row>
    <row r="1124" spans="27:27">
      <c r="AA1124" s="126"/>
    </row>
    <row r="1125" spans="27:27">
      <c r="AA1125" s="27"/>
    </row>
    <row r="1126" spans="27:27">
      <c r="AA1126" s="264"/>
    </row>
    <row r="1127" spans="27:27">
      <c r="AA1127" s="126"/>
    </row>
    <row r="1128" spans="27:27">
      <c r="AA1128" s="126"/>
    </row>
    <row r="1129" spans="27:27">
      <c r="AA1129" s="126"/>
    </row>
    <row r="1130" spans="27:27">
      <c r="AA1130" s="126"/>
    </row>
    <row r="1131" spans="27:27">
      <c r="AA1131" s="264"/>
    </row>
    <row r="1132" spans="27:27">
      <c r="AA1132" s="126"/>
    </row>
    <row r="1133" spans="27:27">
      <c r="AA1133" s="126"/>
    </row>
    <row r="1134" spans="27:27">
      <c r="AA1134" s="126"/>
    </row>
    <row r="1135" spans="27:27">
      <c r="AA1135" s="126"/>
    </row>
    <row r="1136" spans="27:27">
      <c r="AA1136" s="126"/>
    </row>
    <row r="1137" spans="27:27">
      <c r="AA1137" s="126"/>
    </row>
    <row r="1138" spans="27:27">
      <c r="AA1138" s="126"/>
    </row>
    <row r="1139" spans="27:27">
      <c r="AA1139" s="126"/>
    </row>
    <row r="1140" spans="27:27">
      <c r="AA1140" s="126"/>
    </row>
    <row r="1141" spans="27:27">
      <c r="AA1141" s="126"/>
    </row>
    <row r="1142" spans="27:27">
      <c r="AA1142" s="126"/>
    </row>
    <row r="1143" spans="27:27">
      <c r="AA1143" s="126"/>
    </row>
    <row r="1144" spans="27:27">
      <c r="AA1144" s="126"/>
    </row>
    <row r="1145" spans="27:27">
      <c r="AA1145" s="126"/>
    </row>
    <row r="1146" spans="27:27">
      <c r="AA1146" s="126"/>
    </row>
    <row r="1147" spans="27:27">
      <c r="AA1147" s="126"/>
    </row>
    <row r="1148" spans="27:27">
      <c r="AA1148" s="126"/>
    </row>
    <row r="1149" spans="27:27">
      <c r="AA1149" s="126"/>
    </row>
    <row r="1150" spans="27:27">
      <c r="AA1150" s="126"/>
    </row>
    <row r="1151" spans="27:27">
      <c r="AA1151" s="264"/>
    </row>
    <row r="1152" spans="27:27">
      <c r="AA1152" s="126"/>
    </row>
    <row r="1153" spans="27:27">
      <c r="AA1153" s="126"/>
    </row>
    <row r="1154" spans="27:27">
      <c r="AA1154" s="126"/>
    </row>
    <row r="1155" spans="27:27">
      <c r="AA1155" s="126"/>
    </row>
    <row r="1156" spans="27:27">
      <c r="AA1156" s="126"/>
    </row>
    <row r="1157" spans="27:27">
      <c r="AA1157" s="126"/>
    </row>
    <row r="1158" spans="27:27">
      <c r="AA1158" s="126"/>
    </row>
    <row r="1159" spans="27:27">
      <c r="AA1159" s="126"/>
    </row>
    <row r="1160" spans="27:27">
      <c r="AA1160" s="126"/>
    </row>
    <row r="1161" spans="27:27">
      <c r="AA1161" s="126"/>
    </row>
    <row r="1162" spans="27:27">
      <c r="AA1162" s="126"/>
    </row>
    <row r="1163" spans="27:27">
      <c r="AA1163" s="126"/>
    </row>
    <row r="1164" spans="27:27">
      <c r="AA1164" s="126"/>
    </row>
    <row r="1165" spans="27:27">
      <c r="AA1165" s="126"/>
    </row>
    <row r="1166" spans="27:27">
      <c r="AA1166" s="126"/>
    </row>
    <row r="1167" spans="27:27">
      <c r="AA1167" s="126"/>
    </row>
    <row r="1168" spans="27:27">
      <c r="AA1168" s="126"/>
    </row>
    <row r="1169" spans="27:27">
      <c r="AA1169" s="126"/>
    </row>
    <row r="1170" spans="27:27">
      <c r="AA1170" s="126"/>
    </row>
    <row r="1171" spans="27:27">
      <c r="AA1171" s="126"/>
    </row>
    <row r="1172" spans="27:27">
      <c r="AA1172" s="126"/>
    </row>
    <row r="1173" spans="27:27">
      <c r="AA1173" s="126"/>
    </row>
    <row r="1174" spans="27:27">
      <c r="AA1174" s="126"/>
    </row>
    <row r="1175" spans="27:27">
      <c r="AA1175" s="126"/>
    </row>
    <row r="1176" spans="27:27">
      <c r="AA1176" s="126"/>
    </row>
    <row r="1177" spans="27:27">
      <c r="AA1177" s="126"/>
    </row>
    <row r="1178" spans="27:27">
      <c r="AA1178" s="126"/>
    </row>
    <row r="1179" spans="27:27">
      <c r="AA1179" s="126"/>
    </row>
    <row r="1180" spans="27:27">
      <c r="AA1180" s="126"/>
    </row>
    <row r="1181" spans="27:27">
      <c r="AA1181" s="126"/>
    </row>
    <row r="1182" spans="27:27">
      <c r="AA1182" s="126"/>
    </row>
    <row r="1183" spans="27:27">
      <c r="AA1183" s="126"/>
    </row>
    <row r="1184" spans="27:27">
      <c r="AA1184" s="126"/>
    </row>
    <row r="1185" spans="15:27">
      <c r="AA1185" s="126"/>
    </row>
    <row r="1186" spans="15:27">
      <c r="AA1186" s="126"/>
    </row>
    <row r="1187" spans="15:27">
      <c r="AA1187" s="126"/>
    </row>
    <row r="1188" spans="15:27">
      <c r="AA1188" s="126"/>
    </row>
    <row r="1189" spans="15:27">
      <c r="AA1189" s="126"/>
    </row>
    <row r="1190" spans="15:27">
      <c r="AA1190" s="264"/>
    </row>
    <row r="1191" spans="15:27">
      <c r="AA1191" s="126"/>
    </row>
    <row r="1192" spans="15:27">
      <c r="AA1192" s="126"/>
    </row>
    <row r="1193" spans="15:27">
      <c r="O1193" s="364"/>
      <c r="AA1193" s="126"/>
    </row>
    <row r="1194" spans="15:27">
      <c r="AA1194" s="126"/>
    </row>
    <row r="1195" spans="15:27">
      <c r="AA1195" s="126"/>
    </row>
    <row r="1196" spans="15:27">
      <c r="AA1196" s="126"/>
    </row>
    <row r="1197" spans="15:27">
      <c r="AA1197" s="126"/>
    </row>
    <row r="1198" spans="15:27">
      <c r="AA1198" s="126"/>
    </row>
    <row r="1199" spans="15:27">
      <c r="AA1199" s="126"/>
    </row>
    <row r="1200" spans="15:27">
      <c r="AA1200" s="126"/>
    </row>
    <row r="1201" spans="15:27">
      <c r="AA1201" s="126"/>
    </row>
    <row r="1202" spans="15:27">
      <c r="AA1202" s="126"/>
    </row>
    <row r="1203" spans="15:27">
      <c r="O1203" s="364"/>
      <c r="AA1203" s="126"/>
    </row>
    <row r="1204" spans="15:27">
      <c r="AA1204" s="126"/>
    </row>
    <row r="1205" spans="15:27">
      <c r="AA1205" s="126"/>
    </row>
    <row r="1206" spans="15:27">
      <c r="AA1206" s="126"/>
    </row>
    <row r="1207" spans="15:27">
      <c r="O1207" s="364"/>
      <c r="AA1207" s="126"/>
    </row>
    <row r="1208" spans="15:27">
      <c r="AA1208" s="126"/>
    </row>
    <row r="1209" spans="15:27">
      <c r="AA1209" s="126"/>
    </row>
    <row r="1210" spans="15:27">
      <c r="AA1210" s="126"/>
    </row>
    <row r="1211" spans="15:27">
      <c r="AA1211" s="126"/>
    </row>
    <row r="1212" spans="15:27">
      <c r="O1212" s="364"/>
      <c r="AA1212" s="126"/>
    </row>
    <row r="1213" spans="15:27">
      <c r="O1213" s="364"/>
      <c r="AA1213" s="126"/>
    </row>
    <row r="1214" spans="15:27">
      <c r="O1214" s="364"/>
      <c r="AA1214" s="126"/>
    </row>
    <row r="1215" spans="15:27">
      <c r="AA1215" s="126"/>
    </row>
    <row r="1216" spans="15:27">
      <c r="O1216" s="364"/>
      <c r="AA1216" s="126"/>
    </row>
    <row r="1217" spans="15:27">
      <c r="O1217" s="364"/>
      <c r="AA1217" s="126"/>
    </row>
    <row r="1218" spans="15:27">
      <c r="AA1218" s="126"/>
    </row>
    <row r="1219" spans="15:27">
      <c r="O1219" s="364"/>
      <c r="AA1219" s="126"/>
    </row>
    <row r="1220" spans="15:27">
      <c r="AA1220" s="126"/>
    </row>
    <row r="1221" spans="15:27">
      <c r="O1221" s="364"/>
      <c r="AA1221" s="126"/>
    </row>
    <row r="1222" spans="15:27">
      <c r="O1222" s="364"/>
      <c r="AA1222" s="126"/>
    </row>
    <row r="1223" spans="15:27">
      <c r="O1223" s="364"/>
      <c r="AA1223" s="123"/>
    </row>
    <row r="1224" spans="15:27">
      <c r="O1224" s="364"/>
      <c r="AA1224" s="126"/>
    </row>
    <row r="1225" spans="15:27">
      <c r="O1225" s="364"/>
      <c r="AA1225" s="126"/>
    </row>
    <row r="1226" spans="15:27">
      <c r="O1226" s="364"/>
      <c r="AA1226" s="126"/>
    </row>
    <row r="1227" spans="15:27">
      <c r="O1227" s="364"/>
      <c r="AA1227" s="126"/>
    </row>
    <row r="1228" spans="15:27">
      <c r="O1228" s="364"/>
      <c r="AA1228" s="126"/>
    </row>
    <row r="1229" spans="15:27">
      <c r="O1229" s="364"/>
      <c r="AA1229" s="126"/>
    </row>
    <row r="1230" spans="15:27">
      <c r="O1230" s="364"/>
      <c r="AA1230" s="126"/>
    </row>
    <row r="1231" spans="15:27">
      <c r="AA1231" s="126"/>
    </row>
    <row r="1232" spans="15:27">
      <c r="O1232" s="364"/>
      <c r="AA1232" s="126"/>
    </row>
    <row r="1233" spans="15:27">
      <c r="O1233" s="364"/>
      <c r="AA1233" s="126"/>
    </row>
    <row r="1234" spans="15:27">
      <c r="O1234" s="364"/>
      <c r="AA1234" s="126"/>
    </row>
    <row r="1235" spans="15:27">
      <c r="O1235" s="364"/>
      <c r="AA1235" s="126"/>
    </row>
    <row r="1236" spans="15:27">
      <c r="O1236" s="364"/>
      <c r="AA1236" s="126"/>
    </row>
    <row r="1237" spans="15:27">
      <c r="O1237" s="364"/>
      <c r="AA1237" s="264"/>
    </row>
    <row r="1238" spans="15:27">
      <c r="O1238" s="364"/>
      <c r="AA1238" s="126"/>
    </row>
    <row r="1239" spans="15:27">
      <c r="O1239" s="364"/>
      <c r="AA1239" s="126"/>
    </row>
    <row r="1240" spans="15:27">
      <c r="AA1240" s="126"/>
    </row>
    <row r="1241" spans="15:27">
      <c r="O1241" s="364"/>
      <c r="AA1241" s="126"/>
    </row>
    <row r="1242" spans="15:27">
      <c r="O1242" s="364"/>
      <c r="AA1242" s="126"/>
    </row>
    <row r="1243" spans="15:27">
      <c r="O1243" s="364"/>
      <c r="AA1243" s="126"/>
    </row>
    <row r="1244" spans="15:27">
      <c r="O1244" s="364"/>
      <c r="AA1244" s="126"/>
    </row>
    <row r="1245" spans="15:27">
      <c r="O1245" s="364"/>
      <c r="AA1245" s="126"/>
    </row>
    <row r="1246" spans="15:27">
      <c r="O1246" s="364"/>
      <c r="AA1246" s="126"/>
    </row>
    <row r="1247" spans="15:27">
      <c r="O1247" s="364"/>
      <c r="AA1247" s="126"/>
    </row>
    <row r="1248" spans="15:27">
      <c r="O1248" s="364"/>
      <c r="AA1248" s="126"/>
    </row>
    <row r="1249" spans="15:27">
      <c r="O1249" s="364"/>
      <c r="AA1249" s="126"/>
    </row>
    <row r="1250" spans="15:27">
      <c r="O1250" s="364"/>
      <c r="AA1250" s="126"/>
    </row>
    <row r="1251" spans="15:27">
      <c r="O1251" s="364"/>
      <c r="AA1251" s="126"/>
    </row>
    <row r="1252" spans="15:27">
      <c r="AA1252" s="27"/>
    </row>
    <row r="1253" spans="15:27">
      <c r="O1253" s="364"/>
      <c r="AA1253" s="126"/>
    </row>
    <row r="1254" spans="15:27">
      <c r="O1254" s="364"/>
      <c r="AA1254" s="126"/>
    </row>
    <row r="1255" spans="15:27">
      <c r="O1255" s="364"/>
      <c r="AA1255" s="126"/>
    </row>
    <row r="1256" spans="15:27">
      <c r="O1256" s="364"/>
      <c r="AA1256" s="126"/>
    </row>
    <row r="1257" spans="15:27">
      <c r="O1257" s="364"/>
      <c r="AA1257" s="126"/>
    </row>
    <row r="1258" spans="15:27">
      <c r="O1258" s="364"/>
      <c r="AA1258" s="126"/>
    </row>
    <row r="1259" spans="15:27">
      <c r="O1259" s="364"/>
      <c r="AA1259" s="126"/>
    </row>
    <row r="1260" spans="15:27">
      <c r="O1260" s="364"/>
      <c r="AA1260" s="126"/>
    </row>
    <row r="1261" spans="15:27">
      <c r="AA1261" s="126"/>
    </row>
    <row r="1262" spans="15:27">
      <c r="O1262" s="364"/>
      <c r="AA1262" s="126"/>
    </row>
    <row r="1263" spans="15:27">
      <c r="O1263" s="364"/>
      <c r="AA1263" s="126"/>
    </row>
    <row r="1264" spans="15:27">
      <c r="O1264" s="364"/>
      <c r="AA1264" s="126"/>
    </row>
    <row r="1265" spans="15:27">
      <c r="O1265" s="364"/>
      <c r="AA1265" s="126"/>
    </row>
    <row r="1266" spans="15:27">
      <c r="O1266" s="364"/>
      <c r="AA1266" s="264"/>
    </row>
    <row r="1267" spans="15:27">
      <c r="O1267" s="364"/>
      <c r="AA1267" s="126"/>
    </row>
    <row r="1268" spans="15:27">
      <c r="O1268" s="364"/>
      <c r="AA1268" s="126"/>
    </row>
    <row r="1269" spans="15:27">
      <c r="O1269" s="364"/>
      <c r="AA1269" s="126"/>
    </row>
    <row r="1270" spans="15:27">
      <c r="O1270" s="364"/>
      <c r="AA1270" s="126"/>
    </row>
    <row r="1271" spans="15:27">
      <c r="O1271" s="364"/>
      <c r="AA1271" s="126"/>
    </row>
    <row r="1272" spans="15:27">
      <c r="O1272" s="364"/>
      <c r="AA1272" s="126"/>
    </row>
    <row r="1273" spans="15:27">
      <c r="O1273" s="364"/>
      <c r="AA1273" s="126"/>
    </row>
    <row r="1274" spans="15:27">
      <c r="O1274" s="364"/>
      <c r="AA1274" s="126"/>
    </row>
    <row r="1275" spans="15:27">
      <c r="O1275" s="364"/>
      <c r="AA1275" s="126"/>
    </row>
    <row r="1276" spans="15:27">
      <c r="O1276" s="364"/>
      <c r="AA1276" s="126"/>
    </row>
    <row r="1277" spans="15:27">
      <c r="O1277" s="364"/>
      <c r="AA1277" s="264"/>
    </row>
    <row r="1278" spans="15:27">
      <c r="O1278" s="364"/>
      <c r="AA1278" s="126"/>
    </row>
    <row r="1279" spans="15:27">
      <c r="O1279" s="364"/>
      <c r="AA1279" s="126"/>
    </row>
    <row r="1280" spans="15:27">
      <c r="O1280" s="364"/>
      <c r="AA1280" s="264"/>
    </row>
    <row r="1281" spans="1:33">
      <c r="O1281" s="364"/>
      <c r="AA1281" s="126"/>
    </row>
    <row r="1282" spans="1:33">
      <c r="O1282" s="364"/>
      <c r="AA1282" s="126"/>
    </row>
    <row r="1283" spans="1:33">
      <c r="O1283" s="364"/>
      <c r="AA1283" s="126"/>
    </row>
    <row r="1284" spans="1:33">
      <c r="O1284" s="364"/>
      <c r="AA1284" s="126"/>
    </row>
    <row r="1285" spans="1:33">
      <c r="O1285" s="364"/>
      <c r="AA1285" s="126"/>
    </row>
    <row r="1286" spans="1:33">
      <c r="O1286" s="364"/>
      <c r="AA1286" s="126"/>
    </row>
    <row r="1287" spans="1:33">
      <c r="O1287" s="364"/>
      <c r="AA1287" s="126"/>
    </row>
    <row r="1288" spans="1:33">
      <c r="O1288" s="364"/>
      <c r="AA1288" s="126"/>
    </row>
    <row r="1289" spans="1:33">
      <c r="O1289" s="364"/>
      <c r="AA1289" s="126"/>
    </row>
    <row r="1290" spans="1:33">
      <c r="O1290" s="364"/>
      <c r="AA1290" s="126"/>
    </row>
    <row r="1291" spans="1:33" ht="26.25">
      <c r="A1291" s="264"/>
      <c r="B1291" s="264"/>
      <c r="C1291" s="264"/>
      <c r="D1291" s="264"/>
      <c r="E1291" s="264"/>
      <c r="F1291" s="264"/>
      <c r="H1291" s="264"/>
      <c r="I1291" s="264"/>
      <c r="J1291" s="327"/>
      <c r="K1291" s="327"/>
      <c r="L1291" s="327"/>
      <c r="M1291" s="321"/>
      <c r="N1291" s="321"/>
      <c r="O1291" s="364"/>
      <c r="P1291" s="376"/>
      <c r="R1291" s="393"/>
      <c r="S1291" s="61" ph="1"/>
      <c r="U1291" s="229"/>
      <c r="X1291" s="264"/>
      <c r="Y1291" s="264"/>
      <c r="Z1291" s="386"/>
      <c r="AA1291" s="126"/>
      <c r="AD1291" s="264"/>
      <c r="AE1291" s="264"/>
      <c r="AF1291" s="264"/>
      <c r="AG1291" s="7"/>
    </row>
    <row r="1292" spans="1:33">
      <c r="A1292" s="264"/>
      <c r="O1292" s="364"/>
      <c r="V1292" s="264"/>
      <c r="W1292" s="199"/>
      <c r="AA1292" s="126"/>
    </row>
    <row r="1293" spans="1:33">
      <c r="O1293" s="364"/>
      <c r="AA1293" s="126"/>
    </row>
    <row r="1294" spans="1:33">
      <c r="O1294" s="364"/>
      <c r="AA1294" s="126"/>
    </row>
    <row r="1295" spans="1:33">
      <c r="O1295" s="364"/>
      <c r="AA1295" s="126"/>
    </row>
    <row r="1296" spans="1:33">
      <c r="O1296" s="364"/>
      <c r="AA1296" s="126"/>
    </row>
    <row r="1297" spans="1:33">
      <c r="O1297" s="364"/>
      <c r="AA1297" s="126"/>
    </row>
    <row r="1298" spans="1:33">
      <c r="A1298" s="264"/>
      <c r="G1298" s="264"/>
      <c r="O1298" s="364"/>
      <c r="AA1298" s="126"/>
    </row>
    <row r="1299" spans="1:33">
      <c r="O1299" s="364"/>
      <c r="AA1299" s="126"/>
    </row>
    <row r="1300" spans="1:33">
      <c r="O1300" s="364"/>
      <c r="AA1300" s="126"/>
    </row>
    <row r="1301" spans="1:33" ht="26.25">
      <c r="A1301" s="264"/>
      <c r="B1301" s="264"/>
      <c r="C1301" s="264"/>
      <c r="D1301" s="264"/>
      <c r="E1301" s="264"/>
      <c r="F1301" s="264"/>
      <c r="H1301" s="264"/>
      <c r="I1301" s="264"/>
      <c r="J1301" s="327"/>
      <c r="K1301" s="327"/>
      <c r="L1301" s="327"/>
      <c r="M1301" s="321"/>
      <c r="N1301" s="321"/>
      <c r="O1301" s="364"/>
      <c r="P1301" s="376"/>
      <c r="R1301" s="393"/>
      <c r="S1301" s="61" ph="1"/>
      <c r="U1301" s="229"/>
      <c r="X1301" s="264"/>
      <c r="Y1301" s="264"/>
      <c r="Z1301" s="386"/>
      <c r="AA1301" s="126"/>
      <c r="AD1301" s="264"/>
      <c r="AE1301" s="264"/>
      <c r="AF1301" s="264"/>
      <c r="AG1301" s="7"/>
    </row>
    <row r="1302" spans="1:33">
      <c r="A1302" s="264"/>
      <c r="O1302" s="364"/>
      <c r="V1302" s="264"/>
      <c r="W1302" s="199"/>
      <c r="AA1302" s="126"/>
    </row>
    <row r="1303" spans="1:33">
      <c r="O1303" s="364"/>
      <c r="AA1303" s="264"/>
    </row>
    <row r="1304" spans="1:33">
      <c r="O1304" s="364"/>
      <c r="AA1304" s="126"/>
    </row>
    <row r="1305" spans="1:33" ht="26.25">
      <c r="A1305" s="264"/>
      <c r="B1305" s="264"/>
      <c r="C1305" s="264"/>
      <c r="D1305" s="264"/>
      <c r="E1305" s="264"/>
      <c r="F1305" s="264"/>
      <c r="H1305" s="264"/>
      <c r="I1305" s="264"/>
      <c r="J1305" s="327"/>
      <c r="K1305" s="327"/>
      <c r="L1305" s="327"/>
      <c r="M1305" s="321"/>
      <c r="N1305" s="321"/>
      <c r="O1305" s="364"/>
      <c r="P1305" s="376"/>
      <c r="R1305" s="393"/>
      <c r="S1305" s="61" ph="1"/>
      <c r="U1305" s="229"/>
      <c r="X1305" s="264"/>
      <c r="Y1305" s="264"/>
      <c r="Z1305" s="386"/>
      <c r="AA1305" s="126"/>
      <c r="AD1305" s="264"/>
      <c r="AE1305" s="264"/>
      <c r="AF1305" s="264"/>
      <c r="AG1305" s="7"/>
    </row>
    <row r="1306" spans="1:33">
      <c r="A1306" s="264"/>
      <c r="O1306" s="364"/>
      <c r="V1306" s="264"/>
      <c r="W1306" s="199"/>
      <c r="AA1306" s="126"/>
    </row>
    <row r="1307" spans="1:33">
      <c r="O1307" s="364"/>
      <c r="AA1307" s="126"/>
    </row>
    <row r="1308" spans="1:33">
      <c r="A1308" s="264"/>
      <c r="G1308" s="264"/>
      <c r="O1308" s="364"/>
      <c r="AA1308" s="126"/>
    </row>
    <row r="1309" spans="1:33">
      <c r="O1309" s="364"/>
      <c r="AA1309" s="126"/>
    </row>
    <row r="1310" spans="1:33" ht="26.25">
      <c r="A1310" s="264"/>
      <c r="B1310" s="264"/>
      <c r="C1310" s="264"/>
      <c r="D1310" s="264"/>
      <c r="E1310" s="264"/>
      <c r="F1310" s="264"/>
      <c r="H1310" s="264"/>
      <c r="I1310" s="264"/>
      <c r="J1310" s="327"/>
      <c r="K1310" s="327"/>
      <c r="L1310" s="327"/>
      <c r="M1310" s="321"/>
      <c r="N1310" s="321"/>
      <c r="O1310" s="364"/>
      <c r="P1310" s="376"/>
      <c r="R1310" s="393"/>
      <c r="S1310" s="61" ph="1"/>
      <c r="U1310" s="229"/>
      <c r="X1310" s="264"/>
      <c r="Y1310" s="264"/>
      <c r="Z1310" s="386"/>
      <c r="AA1310" s="126"/>
      <c r="AD1310" s="264"/>
      <c r="AE1310" s="264"/>
      <c r="AF1310" s="264"/>
      <c r="AG1310" s="7"/>
    </row>
    <row r="1311" spans="1:33" ht="26.25">
      <c r="A1311" s="264"/>
      <c r="B1311" s="264"/>
      <c r="C1311" s="264"/>
      <c r="D1311" s="264"/>
      <c r="E1311" s="264"/>
      <c r="F1311" s="264"/>
      <c r="H1311" s="264"/>
      <c r="I1311" s="264"/>
      <c r="J1311" s="327"/>
      <c r="K1311" s="327"/>
      <c r="L1311" s="327"/>
      <c r="M1311" s="321"/>
      <c r="N1311" s="321"/>
      <c r="O1311" s="364"/>
      <c r="P1311" s="376"/>
      <c r="R1311" s="393"/>
      <c r="S1311" s="61" ph="1"/>
      <c r="U1311" s="229"/>
      <c r="V1311" s="264"/>
      <c r="W1311" s="199"/>
      <c r="X1311" s="264"/>
      <c r="Y1311" s="264"/>
      <c r="Z1311" s="386"/>
      <c r="AA1311" s="126"/>
      <c r="AD1311" s="264"/>
      <c r="AE1311" s="264"/>
      <c r="AF1311" s="264"/>
      <c r="AG1311" s="7"/>
    </row>
    <row r="1312" spans="1:33" ht="26.25">
      <c r="A1312" s="264"/>
      <c r="B1312" s="264"/>
      <c r="C1312" s="264"/>
      <c r="D1312" s="264"/>
      <c r="E1312" s="264"/>
      <c r="F1312" s="264"/>
      <c r="G1312" s="264"/>
      <c r="H1312" s="264"/>
      <c r="I1312" s="264"/>
      <c r="J1312" s="327"/>
      <c r="K1312" s="327"/>
      <c r="L1312" s="327"/>
      <c r="M1312" s="321"/>
      <c r="N1312" s="321"/>
      <c r="O1312" s="364"/>
      <c r="P1312" s="376"/>
      <c r="R1312" s="393"/>
      <c r="S1312" s="61" ph="1"/>
      <c r="U1312" s="229"/>
      <c r="V1312" s="264"/>
      <c r="W1312" s="199"/>
      <c r="X1312" s="264"/>
      <c r="Y1312" s="264"/>
      <c r="Z1312" s="386"/>
      <c r="AA1312" s="126"/>
      <c r="AD1312" s="264"/>
      <c r="AE1312" s="264"/>
      <c r="AF1312" s="264"/>
      <c r="AG1312" s="7"/>
    </row>
    <row r="1313" spans="1:33">
      <c r="A1313" s="264"/>
      <c r="O1313" s="364"/>
      <c r="V1313" s="264"/>
      <c r="W1313" s="199"/>
      <c r="AA1313" s="126"/>
    </row>
    <row r="1314" spans="1:33" ht="26.25">
      <c r="A1314" s="264"/>
      <c r="B1314" s="264"/>
      <c r="C1314" s="264"/>
      <c r="D1314" s="264"/>
      <c r="E1314" s="264"/>
      <c r="F1314" s="264"/>
      <c r="H1314" s="264"/>
      <c r="I1314" s="264"/>
      <c r="J1314" s="327"/>
      <c r="K1314" s="327"/>
      <c r="L1314" s="327"/>
      <c r="M1314" s="321"/>
      <c r="N1314" s="321"/>
      <c r="O1314" s="364"/>
      <c r="P1314" s="376"/>
      <c r="R1314" s="393"/>
      <c r="S1314" s="61" ph="1"/>
      <c r="U1314" s="229"/>
      <c r="X1314" s="264"/>
      <c r="Y1314" s="264"/>
      <c r="Z1314" s="386"/>
      <c r="AA1314" s="126"/>
      <c r="AD1314" s="264"/>
      <c r="AE1314" s="264"/>
      <c r="AF1314" s="264"/>
      <c r="AG1314" s="7"/>
    </row>
    <row r="1315" spans="1:33" ht="26.25">
      <c r="A1315" s="264"/>
      <c r="B1315" s="264"/>
      <c r="C1315" s="264"/>
      <c r="D1315" s="264"/>
      <c r="E1315" s="264"/>
      <c r="F1315" s="264"/>
      <c r="H1315" s="264"/>
      <c r="I1315" s="264"/>
      <c r="J1315" s="327"/>
      <c r="K1315" s="327"/>
      <c r="L1315" s="327"/>
      <c r="M1315" s="321"/>
      <c r="N1315" s="321"/>
      <c r="O1315" s="364"/>
      <c r="P1315" s="376"/>
      <c r="R1315" s="393"/>
      <c r="S1315" s="61" ph="1"/>
      <c r="U1315" s="229"/>
      <c r="V1315" s="264"/>
      <c r="W1315" s="199"/>
      <c r="X1315" s="264"/>
      <c r="Y1315" s="264"/>
      <c r="Z1315" s="386"/>
      <c r="AA1315" s="126"/>
      <c r="AD1315" s="264"/>
      <c r="AE1315" s="264"/>
      <c r="AF1315" s="264"/>
      <c r="AG1315" s="7"/>
    </row>
    <row r="1316" spans="1:33">
      <c r="A1316" s="264"/>
      <c r="O1316" s="364"/>
      <c r="V1316" s="264"/>
      <c r="W1316" s="199"/>
      <c r="AA1316" s="126"/>
    </row>
    <row r="1317" spans="1:33" ht="26.25">
      <c r="A1317" s="264"/>
      <c r="B1317" s="264"/>
      <c r="C1317" s="264"/>
      <c r="D1317" s="264"/>
      <c r="E1317" s="264"/>
      <c r="F1317" s="264"/>
      <c r="G1317" s="264"/>
      <c r="H1317" s="264"/>
      <c r="I1317" s="264"/>
      <c r="J1317" s="327"/>
      <c r="K1317" s="327"/>
      <c r="L1317" s="327"/>
      <c r="M1317" s="321"/>
      <c r="N1317" s="321"/>
      <c r="O1317" s="364"/>
      <c r="P1317" s="376"/>
      <c r="R1317" s="393"/>
      <c r="S1317" s="61" ph="1"/>
      <c r="U1317" s="229"/>
      <c r="X1317" s="264"/>
      <c r="Y1317" s="264"/>
      <c r="Z1317" s="386"/>
      <c r="AA1317" s="126"/>
      <c r="AD1317" s="264"/>
      <c r="AE1317" s="264"/>
      <c r="AF1317" s="264"/>
      <c r="AG1317" s="7"/>
    </row>
    <row r="1318" spans="1:33">
      <c r="A1318" s="264"/>
      <c r="G1318" s="264"/>
      <c r="O1318" s="364"/>
      <c r="V1318" s="264"/>
      <c r="W1318" s="199"/>
      <c r="AA1318" s="126"/>
    </row>
    <row r="1319" spans="1:33" ht="26.25">
      <c r="A1319" s="264"/>
      <c r="B1319" s="264"/>
      <c r="C1319" s="264"/>
      <c r="D1319" s="264"/>
      <c r="E1319" s="264"/>
      <c r="F1319" s="264"/>
      <c r="G1319" s="264"/>
      <c r="H1319" s="264"/>
      <c r="I1319" s="264"/>
      <c r="J1319" s="327"/>
      <c r="K1319" s="327"/>
      <c r="L1319" s="327"/>
      <c r="M1319" s="321"/>
      <c r="N1319" s="321"/>
      <c r="O1319" s="364"/>
      <c r="P1319" s="376"/>
      <c r="R1319" s="393"/>
      <c r="S1319" s="61" ph="1"/>
      <c r="U1319" s="229"/>
      <c r="X1319" s="264"/>
      <c r="Y1319" s="264"/>
      <c r="Z1319" s="386"/>
      <c r="AA1319" s="126"/>
      <c r="AD1319" s="264"/>
      <c r="AE1319" s="264"/>
      <c r="AF1319" s="264"/>
      <c r="AG1319" s="7"/>
    </row>
    <row r="1320" spans="1:33" ht="26.25">
      <c r="A1320" s="264"/>
      <c r="B1320" s="264"/>
      <c r="C1320" s="264"/>
      <c r="D1320" s="264"/>
      <c r="E1320" s="264"/>
      <c r="F1320" s="264"/>
      <c r="H1320" s="264"/>
      <c r="I1320" s="264"/>
      <c r="J1320" s="327"/>
      <c r="K1320" s="327"/>
      <c r="L1320" s="327"/>
      <c r="M1320" s="321"/>
      <c r="N1320" s="321"/>
      <c r="O1320" s="364"/>
      <c r="P1320" s="376"/>
      <c r="R1320" s="393"/>
      <c r="S1320" s="61" ph="1"/>
      <c r="U1320" s="229"/>
      <c r="V1320" s="264"/>
      <c r="W1320" s="199"/>
      <c r="X1320" s="264"/>
      <c r="Y1320" s="264"/>
      <c r="Z1320" s="386"/>
      <c r="AA1320" s="126"/>
      <c r="AD1320" s="264"/>
      <c r="AE1320" s="264"/>
      <c r="AF1320" s="264"/>
      <c r="AG1320" s="7"/>
    </row>
    <row r="1321" spans="1:33" ht="26.25">
      <c r="A1321" s="264"/>
      <c r="B1321" s="264"/>
      <c r="C1321" s="264"/>
      <c r="D1321" s="264"/>
      <c r="E1321" s="264"/>
      <c r="F1321" s="264"/>
      <c r="G1321" s="264"/>
      <c r="H1321" s="264"/>
      <c r="I1321" s="264"/>
      <c r="J1321" s="327"/>
      <c r="K1321" s="327"/>
      <c r="L1321" s="327"/>
      <c r="M1321" s="321"/>
      <c r="N1321" s="321"/>
      <c r="O1321" s="364"/>
      <c r="P1321" s="376"/>
      <c r="R1321" s="393"/>
      <c r="S1321" s="61" ph="1"/>
      <c r="U1321" s="229"/>
      <c r="V1321" s="264"/>
      <c r="W1321" s="199"/>
      <c r="X1321" s="264"/>
      <c r="Y1321" s="264"/>
      <c r="Z1321" s="386"/>
      <c r="AA1321" s="126"/>
      <c r="AD1321" s="264"/>
      <c r="AE1321" s="264"/>
      <c r="AF1321" s="264"/>
      <c r="AG1321" s="7"/>
    </row>
    <row r="1322" spans="1:33" ht="26.25">
      <c r="A1322" s="264"/>
      <c r="B1322" s="264"/>
      <c r="C1322" s="264"/>
      <c r="D1322" s="264"/>
      <c r="E1322" s="264"/>
      <c r="F1322" s="264"/>
      <c r="G1322" s="264"/>
      <c r="H1322" s="264"/>
      <c r="I1322" s="264"/>
      <c r="J1322" s="327"/>
      <c r="K1322" s="327"/>
      <c r="L1322" s="327"/>
      <c r="M1322" s="321"/>
      <c r="N1322" s="321"/>
      <c r="O1322" s="364"/>
      <c r="P1322" s="376"/>
      <c r="R1322" s="393"/>
      <c r="S1322" s="61" ph="1"/>
      <c r="U1322" s="229"/>
      <c r="V1322" s="264"/>
      <c r="W1322" s="199"/>
      <c r="X1322" s="264"/>
      <c r="Y1322" s="264"/>
      <c r="Z1322" s="386"/>
      <c r="AA1322" s="126"/>
      <c r="AD1322" s="264"/>
      <c r="AE1322" s="264"/>
      <c r="AF1322" s="264"/>
      <c r="AG1322" s="7"/>
    </row>
    <row r="1323" spans="1:33" ht="26.25">
      <c r="A1323" s="264"/>
      <c r="B1323" s="264"/>
      <c r="C1323" s="264"/>
      <c r="D1323" s="264"/>
      <c r="E1323" s="264"/>
      <c r="F1323" s="264"/>
      <c r="H1323" s="264"/>
      <c r="I1323" s="264"/>
      <c r="J1323" s="327"/>
      <c r="K1323" s="327"/>
      <c r="L1323" s="327"/>
      <c r="M1323" s="321"/>
      <c r="N1323" s="321"/>
      <c r="O1323" s="364"/>
      <c r="P1323" s="376"/>
      <c r="R1323" s="393"/>
      <c r="S1323" s="61" ph="1"/>
      <c r="U1323" s="229"/>
      <c r="V1323" s="264"/>
      <c r="W1323" s="199"/>
      <c r="X1323" s="264"/>
      <c r="Y1323" s="264"/>
      <c r="Z1323" s="386"/>
      <c r="AA1323" s="126"/>
      <c r="AD1323" s="264"/>
      <c r="AE1323" s="264"/>
      <c r="AF1323" s="264"/>
      <c r="AG1323" s="7"/>
    </row>
    <row r="1324" spans="1:33" ht="26.25">
      <c r="A1324" s="264"/>
      <c r="B1324" s="264"/>
      <c r="C1324" s="264"/>
      <c r="D1324" s="264"/>
      <c r="E1324" s="264"/>
      <c r="F1324" s="264"/>
      <c r="G1324" s="264"/>
      <c r="H1324" s="264"/>
      <c r="I1324" s="264"/>
      <c r="J1324" s="327"/>
      <c r="K1324" s="327"/>
      <c r="L1324" s="327"/>
      <c r="M1324" s="321"/>
      <c r="N1324" s="321"/>
      <c r="O1324" s="364"/>
      <c r="P1324" s="376"/>
      <c r="R1324" s="393"/>
      <c r="S1324" s="61" ph="1"/>
      <c r="U1324" s="229"/>
      <c r="V1324" s="264"/>
      <c r="W1324" s="199"/>
      <c r="X1324" s="264"/>
      <c r="Y1324" s="264"/>
      <c r="Z1324" s="386"/>
      <c r="AA1324" s="126"/>
      <c r="AD1324" s="264"/>
      <c r="AE1324" s="264"/>
      <c r="AF1324" s="264"/>
      <c r="AG1324" s="7"/>
    </row>
    <row r="1325" spans="1:33" ht="26.25">
      <c r="A1325" s="264"/>
      <c r="B1325" s="264"/>
      <c r="C1325" s="264"/>
      <c r="D1325" s="264"/>
      <c r="E1325" s="264"/>
      <c r="F1325" s="264"/>
      <c r="H1325" s="264"/>
      <c r="I1325" s="264"/>
      <c r="J1325" s="327"/>
      <c r="K1325" s="327"/>
      <c r="L1325" s="327"/>
      <c r="M1325" s="321"/>
      <c r="N1325" s="321"/>
      <c r="O1325" s="364"/>
      <c r="P1325" s="376"/>
      <c r="R1325" s="393"/>
      <c r="S1325" s="61" ph="1"/>
      <c r="U1325" s="229"/>
      <c r="V1325" s="264"/>
      <c r="W1325" s="199"/>
      <c r="X1325" s="264"/>
      <c r="Y1325" s="264"/>
      <c r="Z1325" s="386"/>
      <c r="AA1325" s="126"/>
      <c r="AD1325" s="264"/>
      <c r="AE1325" s="264"/>
      <c r="AF1325" s="264"/>
      <c r="AG1325" s="7"/>
    </row>
    <row r="1326" spans="1:33" ht="26.25">
      <c r="A1326" s="264"/>
      <c r="B1326" s="264"/>
      <c r="C1326" s="264"/>
      <c r="D1326" s="264"/>
      <c r="E1326" s="264"/>
      <c r="F1326" s="264"/>
      <c r="G1326" s="264"/>
      <c r="H1326" s="264"/>
      <c r="I1326" s="264"/>
      <c r="J1326" s="327"/>
      <c r="K1326" s="327"/>
      <c r="L1326" s="327"/>
      <c r="M1326" s="321"/>
      <c r="N1326" s="321"/>
      <c r="O1326" s="364"/>
      <c r="P1326" s="376"/>
      <c r="R1326" s="393"/>
      <c r="S1326" s="61" ph="1"/>
      <c r="U1326" s="229"/>
      <c r="V1326" s="264"/>
      <c r="W1326" s="199"/>
      <c r="X1326" s="264"/>
      <c r="Y1326" s="264"/>
      <c r="Z1326" s="386"/>
      <c r="AA1326" s="126"/>
      <c r="AD1326" s="264"/>
      <c r="AE1326" s="264"/>
      <c r="AF1326" s="264"/>
      <c r="AG1326" s="7"/>
    </row>
    <row r="1327" spans="1:33" ht="26.25">
      <c r="A1327" s="264"/>
      <c r="G1327" s="264"/>
      <c r="O1327" s="364"/>
      <c r="S1327" s="61" ph="1"/>
      <c r="V1327" s="264"/>
      <c r="W1327" s="199"/>
      <c r="AA1327" s="126"/>
    </row>
    <row r="1328" spans="1:33" ht="26.25">
      <c r="A1328" s="264"/>
      <c r="G1328" s="264"/>
      <c r="O1328" s="364"/>
      <c r="S1328" s="61" ph="1"/>
      <c r="AA1328" s="126"/>
    </row>
    <row r="1329" spans="1:33">
      <c r="A1329" s="264"/>
      <c r="G1329" s="264"/>
      <c r="O1329" s="364"/>
      <c r="AA1329" s="126"/>
    </row>
    <row r="1330" spans="1:33" ht="26.25">
      <c r="A1330" s="264"/>
      <c r="G1330" s="264"/>
      <c r="O1330" s="364"/>
      <c r="S1330" s="61" ph="1"/>
      <c r="AA1330" s="126"/>
    </row>
    <row r="1331" spans="1:33" ht="26.25">
      <c r="A1331" s="264"/>
      <c r="G1331" s="264"/>
      <c r="O1331" s="364"/>
      <c r="S1331" s="61" ph="1"/>
      <c r="AA1331" s="126"/>
    </row>
    <row r="1332" spans="1:33" ht="26.25">
      <c r="A1332" s="264"/>
      <c r="G1332" s="264"/>
      <c r="O1332" s="364"/>
      <c r="S1332" s="61" ph="1"/>
      <c r="AA1332" s="126"/>
    </row>
    <row r="1333" spans="1:33" ht="26.25">
      <c r="A1333" s="264"/>
      <c r="G1333" s="264"/>
      <c r="O1333" s="364"/>
      <c r="S1333" s="61" ph="1"/>
      <c r="AA1333" s="126"/>
    </row>
    <row r="1334" spans="1:33" ht="26.25">
      <c r="A1334" s="264"/>
      <c r="O1334" s="364"/>
      <c r="S1334" s="61" ph="1"/>
      <c r="AA1334" s="126"/>
    </row>
    <row r="1335" spans="1:33" ht="26.25">
      <c r="A1335" s="264"/>
      <c r="B1335" s="264"/>
      <c r="C1335" s="264"/>
      <c r="D1335" s="264"/>
      <c r="E1335" s="264"/>
      <c r="F1335" s="264"/>
      <c r="G1335" s="264"/>
      <c r="H1335" s="264"/>
      <c r="I1335" s="264"/>
      <c r="J1335" s="327"/>
      <c r="K1335" s="327"/>
      <c r="L1335" s="327"/>
      <c r="M1335" s="321"/>
      <c r="N1335" s="321"/>
      <c r="O1335" s="364"/>
      <c r="P1335" s="376"/>
      <c r="R1335" s="393"/>
      <c r="S1335" s="61" ph="1"/>
      <c r="U1335" s="229"/>
      <c r="V1335" s="264"/>
      <c r="W1335" s="199"/>
      <c r="X1335" s="264"/>
      <c r="Y1335" s="264"/>
      <c r="Z1335" s="386"/>
      <c r="AA1335" s="126"/>
      <c r="AD1335" s="264"/>
      <c r="AE1335" s="264"/>
      <c r="AF1335" s="264"/>
      <c r="AG1335" s="264"/>
    </row>
    <row r="1336" spans="1:33" ht="26.25">
      <c r="A1336" s="264"/>
      <c r="B1336" s="264"/>
      <c r="C1336" s="264"/>
      <c r="D1336" s="264"/>
      <c r="E1336" s="264"/>
      <c r="F1336" s="264"/>
      <c r="G1336" s="264"/>
      <c r="H1336" s="264"/>
      <c r="I1336" s="264"/>
      <c r="J1336" s="327"/>
      <c r="K1336" s="327"/>
      <c r="L1336" s="327"/>
      <c r="M1336" s="321"/>
      <c r="N1336" s="321"/>
      <c r="O1336" s="364"/>
      <c r="P1336" s="376"/>
      <c r="R1336" s="393"/>
      <c r="S1336" s="61" ph="1"/>
      <c r="U1336" s="229"/>
      <c r="V1336" s="264"/>
      <c r="W1336" s="199"/>
      <c r="X1336" s="264"/>
      <c r="Y1336" s="264"/>
      <c r="Z1336" s="386"/>
      <c r="AA1336" s="264"/>
      <c r="AD1336" s="264"/>
      <c r="AE1336" s="264"/>
      <c r="AF1336" s="264"/>
      <c r="AG1336" s="264"/>
    </row>
    <row r="1337" spans="1:33" ht="26.25">
      <c r="A1337" s="264"/>
      <c r="B1337" s="264"/>
      <c r="C1337" s="264"/>
      <c r="D1337" s="264"/>
      <c r="E1337" s="264"/>
      <c r="F1337" s="264"/>
      <c r="G1337" s="264"/>
      <c r="H1337" s="264"/>
      <c r="I1337" s="264"/>
      <c r="J1337" s="327"/>
      <c r="K1337" s="327"/>
      <c r="L1337" s="327"/>
      <c r="M1337" s="321"/>
      <c r="N1337" s="321"/>
      <c r="O1337" s="364"/>
      <c r="P1337" s="376"/>
      <c r="R1337" s="393"/>
      <c r="S1337" s="61" ph="1"/>
      <c r="U1337" s="229"/>
      <c r="V1337" s="264"/>
      <c r="W1337" s="199"/>
      <c r="X1337" s="264"/>
      <c r="Y1337" s="264"/>
      <c r="Z1337" s="386"/>
      <c r="AA1337" s="264"/>
      <c r="AD1337" s="264"/>
      <c r="AE1337" s="264"/>
      <c r="AF1337" s="264"/>
      <c r="AG1337" s="264"/>
    </row>
    <row r="1338" spans="1:33">
      <c r="O1338" s="364"/>
      <c r="AA1338" s="126"/>
    </row>
    <row r="1339" spans="1:33" ht="26.25">
      <c r="A1339" s="264"/>
      <c r="B1339" s="264"/>
      <c r="C1339" s="264"/>
      <c r="D1339" s="264"/>
      <c r="E1339" s="264"/>
      <c r="F1339" s="264"/>
      <c r="G1339" s="264"/>
      <c r="H1339" s="264"/>
      <c r="I1339" s="264"/>
      <c r="J1339" s="327"/>
      <c r="K1339" s="327"/>
      <c r="L1339" s="327"/>
      <c r="M1339" s="321"/>
      <c r="N1339" s="321"/>
      <c r="O1339" s="364"/>
      <c r="P1339" s="376"/>
      <c r="R1339" s="393"/>
      <c r="S1339" s="61" ph="1"/>
      <c r="U1339" s="229"/>
      <c r="V1339" s="264"/>
      <c r="W1339" s="199"/>
      <c r="X1339" s="264"/>
      <c r="Y1339" s="264"/>
      <c r="Z1339" s="386"/>
      <c r="AA1339" s="126"/>
      <c r="AD1339" s="264"/>
      <c r="AE1339" s="264"/>
      <c r="AF1339" s="264"/>
      <c r="AG1339" s="264"/>
    </row>
    <row r="1340" spans="1:33" ht="26.25">
      <c r="A1340" s="264"/>
      <c r="B1340" s="264"/>
      <c r="C1340" s="264"/>
      <c r="D1340" s="264"/>
      <c r="E1340" s="264"/>
      <c r="F1340" s="264"/>
      <c r="G1340" s="264"/>
      <c r="H1340" s="264"/>
      <c r="I1340" s="264"/>
      <c r="J1340" s="327"/>
      <c r="K1340" s="327"/>
      <c r="L1340" s="327"/>
      <c r="M1340" s="321"/>
      <c r="N1340" s="321"/>
      <c r="O1340" s="364"/>
      <c r="P1340" s="376"/>
      <c r="R1340" s="393"/>
      <c r="S1340" s="61" ph="1"/>
      <c r="U1340" s="229"/>
      <c r="V1340" s="264"/>
      <c r="W1340" s="199"/>
      <c r="X1340" s="264"/>
      <c r="Y1340" s="264"/>
      <c r="Z1340" s="386"/>
      <c r="AA1340" s="126"/>
      <c r="AD1340" s="264"/>
      <c r="AE1340" s="264"/>
      <c r="AF1340" s="264"/>
      <c r="AG1340" s="264"/>
    </row>
    <row r="1341" spans="1:33" ht="26.25">
      <c r="A1341" s="264"/>
      <c r="B1341" s="264"/>
      <c r="C1341" s="264"/>
      <c r="D1341" s="264"/>
      <c r="E1341" s="264"/>
      <c r="F1341" s="264"/>
      <c r="G1341" s="264"/>
      <c r="H1341" s="264"/>
      <c r="I1341" s="264"/>
      <c r="J1341" s="327"/>
      <c r="K1341" s="327"/>
      <c r="L1341" s="327"/>
      <c r="M1341" s="321"/>
      <c r="N1341" s="321"/>
      <c r="O1341" s="364"/>
      <c r="P1341" s="376"/>
      <c r="R1341" s="393"/>
      <c r="S1341" s="61" ph="1"/>
      <c r="U1341" s="229"/>
      <c r="V1341" s="264"/>
      <c r="W1341" s="199"/>
      <c r="X1341" s="264"/>
      <c r="Y1341" s="264"/>
      <c r="Z1341" s="386"/>
      <c r="AA1341" s="126"/>
      <c r="AD1341" s="264"/>
      <c r="AE1341" s="264"/>
      <c r="AF1341" s="264"/>
      <c r="AG1341" s="264"/>
    </row>
    <row r="1342" spans="1:33" ht="26.25">
      <c r="A1342" s="264"/>
      <c r="B1342" s="264"/>
      <c r="C1342" s="264"/>
      <c r="D1342" s="264"/>
      <c r="E1342" s="264"/>
      <c r="F1342" s="264"/>
      <c r="G1342" s="264"/>
      <c r="H1342" s="264"/>
      <c r="I1342" s="264"/>
      <c r="J1342" s="327"/>
      <c r="K1342" s="327"/>
      <c r="L1342" s="327"/>
      <c r="M1342" s="321"/>
      <c r="N1342" s="321"/>
      <c r="O1342" s="364"/>
      <c r="P1342" s="376"/>
      <c r="R1342" s="393"/>
      <c r="S1342" s="61" ph="1"/>
      <c r="U1342" s="229"/>
      <c r="V1342" s="264"/>
      <c r="W1342" s="199"/>
      <c r="X1342" s="264"/>
      <c r="Y1342" s="264"/>
      <c r="Z1342" s="386"/>
      <c r="AA1342" s="126"/>
      <c r="AD1342" s="264"/>
      <c r="AE1342" s="264"/>
      <c r="AF1342" s="264"/>
      <c r="AG1342" s="264"/>
    </row>
    <row r="1343" spans="1:33">
      <c r="O1343" s="364"/>
      <c r="AA1343" s="126"/>
    </row>
    <row r="1344" spans="1:33">
      <c r="O1344" s="364"/>
      <c r="AA1344" s="126"/>
    </row>
    <row r="1345" spans="15:27">
      <c r="O1345" s="364"/>
      <c r="AA1345" s="126"/>
    </row>
    <row r="1346" spans="15:27">
      <c r="O1346" s="364"/>
      <c r="AA1346" s="264"/>
    </row>
    <row r="1347" spans="15:27">
      <c r="O1347" s="364"/>
      <c r="AA1347" s="126"/>
    </row>
    <row r="1348" spans="15:27">
      <c r="O1348" s="364"/>
      <c r="AA1348" s="126"/>
    </row>
    <row r="1349" spans="15:27">
      <c r="O1349" s="364"/>
      <c r="AA1349" s="126"/>
    </row>
    <row r="1350" spans="15:27">
      <c r="O1350" s="364"/>
      <c r="AA1350" s="126"/>
    </row>
    <row r="1351" spans="15:27">
      <c r="O1351" s="364"/>
      <c r="AA1351" s="126"/>
    </row>
    <row r="1352" spans="15:27">
      <c r="O1352" s="364"/>
      <c r="AA1352" s="126"/>
    </row>
    <row r="1353" spans="15:27">
      <c r="O1353" s="364"/>
      <c r="AA1353" s="126"/>
    </row>
    <row r="1354" spans="15:27">
      <c r="O1354" s="364"/>
      <c r="AA1354" s="126"/>
    </row>
    <row r="1355" spans="15:27">
      <c r="O1355" s="364"/>
      <c r="AA1355" s="126"/>
    </row>
    <row r="1356" spans="15:27">
      <c r="O1356" s="364"/>
      <c r="AA1356" s="264"/>
    </row>
    <row r="1357" spans="15:27">
      <c r="O1357" s="364"/>
      <c r="AA1357" s="126"/>
    </row>
    <row r="1358" spans="15:27">
      <c r="O1358" s="364"/>
      <c r="AA1358" s="126"/>
    </row>
    <row r="1359" spans="15:27">
      <c r="O1359" s="364"/>
      <c r="AA1359" s="126"/>
    </row>
    <row r="1360" spans="15:27">
      <c r="O1360" s="364"/>
      <c r="AA1360" s="264"/>
    </row>
    <row r="1361" spans="15:27">
      <c r="O1361" s="364"/>
      <c r="AA1361" s="126"/>
    </row>
    <row r="1362" spans="15:27">
      <c r="O1362" s="364"/>
      <c r="AA1362" s="126"/>
    </row>
    <row r="1363" spans="15:27">
      <c r="O1363" s="364"/>
      <c r="AA1363" s="126"/>
    </row>
    <row r="1364" spans="15:27">
      <c r="O1364" s="364"/>
      <c r="AA1364" s="126"/>
    </row>
    <row r="1365" spans="15:27">
      <c r="O1365" s="364"/>
      <c r="AA1365" s="126"/>
    </row>
    <row r="1366" spans="15:27">
      <c r="O1366" s="364"/>
      <c r="AA1366" s="126"/>
    </row>
    <row r="1367" spans="15:27">
      <c r="O1367" s="364"/>
      <c r="AA1367" s="126"/>
    </row>
    <row r="1368" spans="15:27">
      <c r="O1368" s="364"/>
      <c r="AA1368" s="126"/>
    </row>
    <row r="1369" spans="15:27">
      <c r="O1369" s="364"/>
      <c r="AA1369" s="126"/>
    </row>
    <row r="1370" spans="15:27">
      <c r="O1370" s="364"/>
      <c r="AA1370" s="126"/>
    </row>
    <row r="1371" spans="15:27">
      <c r="O1371" s="364"/>
      <c r="AA1371" s="126"/>
    </row>
    <row r="1372" spans="15:27">
      <c r="O1372" s="364"/>
      <c r="AA1372" s="126"/>
    </row>
    <row r="1373" spans="15:27">
      <c r="O1373" s="364"/>
      <c r="AA1373" s="126"/>
    </row>
    <row r="1374" spans="15:27">
      <c r="O1374" s="364"/>
      <c r="AA1374" s="126"/>
    </row>
    <row r="1375" spans="15:27">
      <c r="O1375" s="364"/>
      <c r="AA1375" s="126"/>
    </row>
    <row r="1376" spans="15:27">
      <c r="O1376" s="364"/>
      <c r="AA1376" s="126"/>
    </row>
    <row r="1377" spans="15:27">
      <c r="O1377" s="364"/>
      <c r="AA1377" s="126"/>
    </row>
    <row r="1378" spans="15:27">
      <c r="O1378" s="364"/>
      <c r="AA1378" s="126"/>
    </row>
    <row r="1379" spans="15:27">
      <c r="O1379" s="364"/>
      <c r="AA1379" s="126"/>
    </row>
    <row r="1380" spans="15:27">
      <c r="O1380" s="364"/>
      <c r="AA1380" s="126"/>
    </row>
    <row r="1381" spans="15:27">
      <c r="O1381" s="364"/>
      <c r="AA1381" s="126"/>
    </row>
    <row r="1382" spans="15:27">
      <c r="O1382" s="364"/>
    </row>
    <row r="1383" spans="15:27">
      <c r="O1383" s="364"/>
      <c r="AA1383" s="126"/>
    </row>
    <row r="1384" spans="15:27">
      <c r="O1384" s="364"/>
      <c r="AA1384" s="126"/>
    </row>
    <row r="1385" spans="15:27">
      <c r="O1385" s="364"/>
      <c r="AA1385" s="126"/>
    </row>
    <row r="1386" spans="15:27">
      <c r="O1386" s="364"/>
      <c r="AA1386" s="126"/>
    </row>
    <row r="1387" spans="15:27">
      <c r="O1387" s="364"/>
      <c r="AA1387" s="126"/>
    </row>
    <row r="1388" spans="15:27">
      <c r="O1388" s="364"/>
      <c r="AA1388" s="126"/>
    </row>
    <row r="1389" spans="15:27">
      <c r="O1389" s="364"/>
      <c r="AA1389" s="126"/>
    </row>
    <row r="1390" spans="15:27">
      <c r="O1390" s="364"/>
      <c r="AA1390" s="126"/>
    </row>
    <row r="1391" spans="15:27">
      <c r="O1391" s="364"/>
      <c r="AA1391" s="126"/>
    </row>
    <row r="1392" spans="15:27">
      <c r="O1392" s="364"/>
      <c r="AA1392" s="126"/>
    </row>
    <row r="1393" spans="15:27">
      <c r="O1393" s="364"/>
      <c r="AA1393" s="126"/>
    </row>
    <row r="1394" spans="15:27">
      <c r="O1394" s="364"/>
      <c r="AA1394" s="126"/>
    </row>
    <row r="1395" spans="15:27">
      <c r="O1395" s="364"/>
      <c r="AA1395" s="126"/>
    </row>
    <row r="1396" spans="15:27">
      <c r="O1396" s="364"/>
      <c r="AA1396" s="126"/>
    </row>
    <row r="1397" spans="15:27">
      <c r="O1397" s="364"/>
      <c r="AA1397" s="126"/>
    </row>
    <row r="1398" spans="15:27">
      <c r="O1398" s="364"/>
      <c r="AA1398" s="126"/>
    </row>
    <row r="1399" spans="15:27">
      <c r="O1399" s="364"/>
      <c r="AA1399" s="126"/>
    </row>
    <row r="1400" spans="15:27">
      <c r="O1400" s="364"/>
      <c r="AA1400" s="126"/>
    </row>
    <row r="1401" spans="15:27">
      <c r="O1401" s="364"/>
      <c r="AA1401" s="126"/>
    </row>
    <row r="1402" spans="15:27">
      <c r="O1402" s="364"/>
      <c r="AA1402" s="126"/>
    </row>
    <row r="1403" spans="15:27">
      <c r="O1403" s="364"/>
      <c r="AA1403" s="126"/>
    </row>
    <row r="1404" spans="15:27">
      <c r="O1404" s="364"/>
      <c r="AA1404" s="126"/>
    </row>
    <row r="1405" spans="15:27">
      <c r="O1405" s="364"/>
      <c r="AA1405" s="126"/>
    </row>
    <row r="1406" spans="15:27">
      <c r="O1406" s="364"/>
      <c r="AA1406" s="126"/>
    </row>
    <row r="1407" spans="15:27">
      <c r="O1407" s="364"/>
      <c r="AA1407" s="126"/>
    </row>
    <row r="1408" spans="15:27">
      <c r="O1408" s="364"/>
      <c r="AA1408" s="126"/>
    </row>
    <row r="1409" spans="15:27">
      <c r="O1409" s="364"/>
      <c r="AA1409" s="126"/>
    </row>
    <row r="1410" spans="15:27">
      <c r="O1410" s="364"/>
      <c r="AA1410" s="126"/>
    </row>
    <row r="1411" spans="15:27">
      <c r="O1411" s="364"/>
      <c r="AA1411" s="126"/>
    </row>
    <row r="1412" spans="15:27">
      <c r="O1412" s="364"/>
      <c r="AA1412" s="126"/>
    </row>
    <row r="1413" spans="15:27">
      <c r="O1413" s="364"/>
      <c r="AA1413" s="126"/>
    </row>
    <row r="1414" spans="15:27">
      <c r="O1414" s="364"/>
      <c r="AA1414" s="126"/>
    </row>
    <row r="1415" spans="15:27">
      <c r="O1415" s="364"/>
      <c r="AA1415" s="126"/>
    </row>
    <row r="1416" spans="15:27">
      <c r="O1416" s="364"/>
      <c r="AA1416" s="126"/>
    </row>
    <row r="1417" spans="15:27">
      <c r="O1417" s="364"/>
      <c r="AA1417" s="126"/>
    </row>
    <row r="1418" spans="15:27">
      <c r="O1418" s="364"/>
      <c r="AA1418" s="126"/>
    </row>
    <row r="1419" spans="15:27">
      <c r="O1419" s="364"/>
      <c r="AA1419" s="126"/>
    </row>
    <row r="1420" spans="15:27">
      <c r="O1420" s="364"/>
      <c r="AA1420" s="126"/>
    </row>
    <row r="1421" spans="15:27">
      <c r="O1421" s="364"/>
      <c r="AA1421" s="126"/>
    </row>
    <row r="1422" spans="15:27">
      <c r="O1422" s="364"/>
      <c r="AA1422" s="126"/>
    </row>
    <row r="1423" spans="15:27">
      <c r="O1423" s="364"/>
      <c r="AA1423" s="126"/>
    </row>
    <row r="1424" spans="15:27">
      <c r="O1424" s="364"/>
      <c r="AA1424" s="126"/>
    </row>
    <row r="1425" spans="15:27">
      <c r="O1425" s="364"/>
      <c r="AA1425" s="126"/>
    </row>
    <row r="1426" spans="15:27">
      <c r="O1426" s="364"/>
      <c r="AA1426" s="126"/>
    </row>
    <row r="1427" spans="15:27">
      <c r="O1427" s="364"/>
      <c r="AA1427" s="264"/>
    </row>
    <row r="1428" spans="15:27">
      <c r="O1428" s="364"/>
      <c r="AA1428" s="126"/>
    </row>
    <row r="1429" spans="15:27">
      <c r="O1429" s="364"/>
      <c r="AA1429" s="126"/>
    </row>
    <row r="1430" spans="15:27">
      <c r="O1430" s="364"/>
      <c r="AA1430" s="126"/>
    </row>
    <row r="1431" spans="15:27">
      <c r="O1431" s="364"/>
      <c r="AA1431" s="126"/>
    </row>
    <row r="1432" spans="15:27">
      <c r="O1432" s="364"/>
      <c r="AA1432" s="126"/>
    </row>
    <row r="1433" spans="15:27">
      <c r="O1433" s="364"/>
      <c r="AA1433" s="126"/>
    </row>
    <row r="1434" spans="15:27">
      <c r="O1434" s="364"/>
      <c r="AA1434" s="126"/>
    </row>
    <row r="1435" spans="15:27">
      <c r="O1435" s="364"/>
      <c r="AA1435" s="126"/>
    </row>
    <row r="1436" spans="15:27">
      <c r="O1436" s="364"/>
      <c r="AA1436" s="126"/>
    </row>
    <row r="1437" spans="15:27">
      <c r="O1437" s="364"/>
      <c r="AA1437" s="126"/>
    </row>
    <row r="1438" spans="15:27">
      <c r="O1438" s="364"/>
      <c r="AA1438" s="126"/>
    </row>
    <row r="1439" spans="15:27">
      <c r="O1439" s="364"/>
      <c r="AA1439" s="126"/>
    </row>
    <row r="1440" spans="15:27">
      <c r="O1440" s="364"/>
      <c r="AA1440" s="126"/>
    </row>
    <row r="1441" spans="15:27">
      <c r="O1441" s="364"/>
      <c r="AA1441" s="126"/>
    </row>
    <row r="1442" spans="15:27">
      <c r="O1442" s="364"/>
      <c r="AA1442" s="126"/>
    </row>
    <row r="1443" spans="15:27">
      <c r="O1443" s="364"/>
      <c r="AA1443" s="126"/>
    </row>
    <row r="1444" spans="15:27">
      <c r="O1444" s="364"/>
      <c r="AA1444" s="126"/>
    </row>
    <row r="1445" spans="15:27">
      <c r="O1445" s="364"/>
      <c r="AA1445" s="126"/>
    </row>
    <row r="1446" spans="15:27">
      <c r="O1446" s="364"/>
      <c r="AA1446" s="126"/>
    </row>
    <row r="1447" spans="15:27">
      <c r="O1447" s="364"/>
      <c r="AA1447" s="126"/>
    </row>
    <row r="1448" spans="15:27">
      <c r="O1448" s="364"/>
      <c r="AA1448" s="126"/>
    </row>
    <row r="1449" spans="15:27">
      <c r="O1449" s="364"/>
      <c r="AA1449" s="126"/>
    </row>
    <row r="1450" spans="15:27">
      <c r="O1450" s="364"/>
      <c r="AA1450" s="126"/>
    </row>
    <row r="1451" spans="15:27">
      <c r="O1451" s="364"/>
      <c r="AA1451" s="126"/>
    </row>
    <row r="1452" spans="15:27">
      <c r="O1452" s="364"/>
      <c r="AA1452" s="126"/>
    </row>
    <row r="1453" spans="15:27">
      <c r="O1453" s="364"/>
      <c r="AA1453" s="126"/>
    </row>
    <row r="1454" spans="15:27">
      <c r="O1454" s="364"/>
      <c r="AA1454" s="126"/>
    </row>
    <row r="1455" spans="15:27">
      <c r="O1455" s="364"/>
      <c r="AA1455" s="126"/>
    </row>
    <row r="1456" spans="15:27">
      <c r="O1456" s="364"/>
      <c r="AA1456" s="126"/>
    </row>
    <row r="1457" spans="1:33">
      <c r="O1457" s="364"/>
      <c r="AA1457" s="126"/>
    </row>
    <row r="1458" spans="1:33">
      <c r="O1458" s="364"/>
      <c r="AA1458" s="126"/>
    </row>
    <row r="1459" spans="1:33">
      <c r="O1459" s="364"/>
      <c r="AA1459" s="126"/>
    </row>
    <row r="1460" spans="1:33">
      <c r="O1460" s="364"/>
      <c r="AA1460" s="126"/>
    </row>
    <row r="1461" spans="1:33">
      <c r="O1461" s="364"/>
      <c r="AA1461" s="126"/>
    </row>
    <row r="1462" spans="1:33">
      <c r="O1462" s="364"/>
      <c r="AA1462" s="126"/>
    </row>
    <row r="1463" spans="1:33">
      <c r="O1463" s="364"/>
      <c r="AA1463" s="126"/>
    </row>
    <row r="1464" spans="1:33">
      <c r="O1464" s="364"/>
      <c r="AA1464" s="126"/>
    </row>
    <row r="1465" spans="1:33">
      <c r="O1465" s="364"/>
      <c r="AA1465" s="126"/>
    </row>
    <row r="1466" spans="1:33">
      <c r="O1466" s="364"/>
      <c r="AA1466" s="126"/>
    </row>
    <row r="1467" spans="1:33">
      <c r="O1467" s="364"/>
      <c r="AA1467" s="126"/>
    </row>
    <row r="1468" spans="1:33" ht="26.25">
      <c r="A1468" s="264"/>
      <c r="B1468" s="264"/>
      <c r="C1468" s="264"/>
      <c r="D1468" s="264"/>
      <c r="E1468" s="264"/>
      <c r="F1468" s="264"/>
      <c r="G1468" s="264"/>
      <c r="H1468" s="264"/>
      <c r="I1468" s="264"/>
      <c r="J1468" s="327"/>
      <c r="K1468" s="327"/>
      <c r="L1468" s="327"/>
      <c r="M1468" s="321"/>
      <c r="N1468" s="321"/>
      <c r="O1468" s="364"/>
      <c r="P1468" s="376"/>
      <c r="R1468" s="393"/>
      <c r="S1468" s="61" ph="1"/>
      <c r="U1468" s="229"/>
      <c r="V1468" s="264"/>
      <c r="W1468" s="199"/>
      <c r="X1468" s="264"/>
      <c r="Y1468" s="264"/>
      <c r="Z1468" s="386"/>
      <c r="AA1468" s="126"/>
      <c r="AD1468" s="264"/>
      <c r="AE1468" s="264"/>
      <c r="AF1468" s="264"/>
      <c r="AG1468" s="264"/>
    </row>
    <row r="1469" spans="1:33">
      <c r="O1469" s="364"/>
      <c r="AA1469" s="126"/>
    </row>
    <row r="1470" spans="1:33">
      <c r="O1470" s="364"/>
      <c r="AA1470" s="264"/>
    </row>
    <row r="1471" spans="1:33">
      <c r="O1471" s="364"/>
      <c r="AA1471" s="264"/>
    </row>
    <row r="1472" spans="1:33">
      <c r="O1472" s="364"/>
      <c r="AA1472" s="126"/>
    </row>
    <row r="1473" spans="1:33">
      <c r="O1473" s="364"/>
      <c r="AA1473" s="126"/>
    </row>
    <row r="1474" spans="1:33">
      <c r="O1474" s="364"/>
      <c r="AA1474" s="126"/>
    </row>
    <row r="1475" spans="1:33">
      <c r="O1475" s="364"/>
      <c r="AA1475" s="126"/>
    </row>
    <row r="1476" spans="1:33">
      <c r="O1476" s="364"/>
      <c r="AA1476" s="126"/>
    </row>
    <row r="1477" spans="1:33">
      <c r="O1477" s="364"/>
      <c r="AA1477" s="126"/>
    </row>
    <row r="1478" spans="1:33" ht="26.25">
      <c r="A1478" s="264"/>
      <c r="B1478" s="264"/>
      <c r="C1478" s="264"/>
      <c r="D1478" s="264"/>
      <c r="E1478" s="264"/>
      <c r="F1478" s="264"/>
      <c r="G1478" s="264"/>
      <c r="H1478" s="264"/>
      <c r="I1478" s="264"/>
      <c r="J1478" s="327"/>
      <c r="K1478" s="327"/>
      <c r="L1478" s="327"/>
      <c r="M1478" s="321"/>
      <c r="N1478" s="321"/>
      <c r="O1478" s="364"/>
      <c r="P1478" s="376"/>
      <c r="R1478" s="393"/>
      <c r="S1478" s="61" ph="1"/>
      <c r="U1478" s="229"/>
      <c r="V1478" s="264"/>
      <c r="W1478" s="199"/>
      <c r="X1478" s="264"/>
      <c r="Y1478" s="264"/>
      <c r="Z1478" s="386"/>
      <c r="AA1478" s="126"/>
      <c r="AD1478" s="264"/>
      <c r="AE1478" s="264"/>
      <c r="AF1478" s="264"/>
      <c r="AG1478" s="264"/>
    </row>
    <row r="1479" spans="1:33">
      <c r="O1479" s="364"/>
      <c r="AA1479" s="126"/>
    </row>
    <row r="1480" spans="1:33">
      <c r="O1480" s="364"/>
      <c r="AA1480" s="126"/>
    </row>
    <row r="1481" spans="1:33">
      <c r="O1481" s="364"/>
      <c r="AA1481" s="126"/>
    </row>
    <row r="1482" spans="1:33" ht="26.25">
      <c r="A1482" s="264"/>
      <c r="B1482" s="264"/>
      <c r="C1482" s="264"/>
      <c r="D1482" s="264"/>
      <c r="E1482" s="264"/>
      <c r="F1482" s="264"/>
      <c r="G1482" s="264"/>
      <c r="H1482" s="264"/>
      <c r="I1482" s="264"/>
      <c r="J1482" s="327"/>
      <c r="K1482" s="327"/>
      <c r="L1482" s="327"/>
      <c r="M1482" s="321"/>
      <c r="N1482" s="321"/>
      <c r="O1482" s="364"/>
      <c r="P1482" s="376"/>
      <c r="R1482" s="393"/>
      <c r="S1482" s="61" ph="1"/>
      <c r="U1482" s="229"/>
      <c r="V1482" s="264"/>
      <c r="W1482" s="199"/>
      <c r="X1482" s="264"/>
      <c r="Y1482" s="264"/>
      <c r="Z1482" s="386"/>
      <c r="AA1482" s="126"/>
      <c r="AD1482" s="264"/>
      <c r="AE1482" s="264"/>
      <c r="AF1482" s="264"/>
      <c r="AG1482" s="264"/>
    </row>
    <row r="1483" spans="1:33">
      <c r="O1483" s="364"/>
      <c r="AA1483" s="126"/>
    </row>
    <row r="1484" spans="1:33">
      <c r="O1484" s="364"/>
      <c r="AA1484" s="264"/>
    </row>
    <row r="1485" spans="1:33">
      <c r="O1485" s="364"/>
      <c r="AA1485" s="126"/>
    </row>
    <row r="1486" spans="1:33">
      <c r="O1486" s="364"/>
      <c r="AA1486" s="126"/>
    </row>
    <row r="1487" spans="1:33" ht="26.25">
      <c r="A1487" s="264"/>
      <c r="B1487" s="264"/>
      <c r="C1487" s="264"/>
      <c r="D1487" s="264"/>
      <c r="E1487" s="264"/>
      <c r="F1487" s="264"/>
      <c r="G1487" s="264"/>
      <c r="H1487" s="264"/>
      <c r="I1487" s="264"/>
      <c r="J1487" s="327"/>
      <c r="K1487" s="327"/>
      <c r="L1487" s="327"/>
      <c r="M1487" s="321"/>
      <c r="N1487" s="321"/>
      <c r="O1487" s="364"/>
      <c r="P1487" s="376"/>
      <c r="R1487" s="393"/>
      <c r="S1487" s="61" ph="1"/>
      <c r="U1487" s="229"/>
      <c r="V1487" s="264"/>
      <c r="W1487" s="199"/>
      <c r="X1487" s="264"/>
      <c r="Y1487" s="264"/>
      <c r="Z1487" s="386"/>
      <c r="AA1487" s="126"/>
      <c r="AD1487" s="264"/>
      <c r="AE1487" s="264"/>
      <c r="AF1487" s="264"/>
      <c r="AG1487" s="264"/>
    </row>
    <row r="1488" spans="1:33" ht="26.25">
      <c r="A1488" s="264"/>
      <c r="B1488" s="264"/>
      <c r="C1488" s="264"/>
      <c r="D1488" s="264"/>
      <c r="E1488" s="264"/>
      <c r="F1488" s="264"/>
      <c r="G1488" s="264"/>
      <c r="H1488" s="264"/>
      <c r="I1488" s="264"/>
      <c r="J1488" s="327"/>
      <c r="K1488" s="327"/>
      <c r="L1488" s="327"/>
      <c r="M1488" s="321"/>
      <c r="N1488" s="321"/>
      <c r="O1488" s="364"/>
      <c r="P1488" s="376"/>
      <c r="R1488" s="393"/>
      <c r="S1488" s="61" ph="1"/>
      <c r="U1488" s="229"/>
      <c r="V1488" s="264"/>
      <c r="W1488" s="199"/>
      <c r="X1488" s="264"/>
      <c r="Y1488" s="264"/>
      <c r="Z1488" s="386"/>
      <c r="AA1488" s="126"/>
      <c r="AD1488" s="264"/>
      <c r="AE1488" s="264"/>
      <c r="AF1488" s="264"/>
      <c r="AG1488" s="264"/>
    </row>
    <row r="1489" spans="1:33" ht="26.25">
      <c r="A1489" s="264"/>
      <c r="B1489" s="264"/>
      <c r="C1489" s="264"/>
      <c r="D1489" s="264"/>
      <c r="E1489" s="264"/>
      <c r="F1489" s="264"/>
      <c r="G1489" s="264"/>
      <c r="H1489" s="264"/>
      <c r="I1489" s="264"/>
      <c r="J1489" s="327"/>
      <c r="K1489" s="327"/>
      <c r="L1489" s="327"/>
      <c r="M1489" s="321"/>
      <c r="N1489" s="321"/>
      <c r="O1489" s="364"/>
      <c r="P1489" s="376"/>
      <c r="R1489" s="393"/>
      <c r="S1489" s="61" ph="1"/>
      <c r="U1489" s="229"/>
      <c r="V1489" s="264"/>
      <c r="W1489" s="199"/>
      <c r="X1489" s="264"/>
      <c r="Y1489" s="264"/>
      <c r="Z1489" s="386"/>
      <c r="AA1489" s="126"/>
      <c r="AD1489" s="264"/>
      <c r="AE1489" s="264"/>
      <c r="AF1489" s="264"/>
      <c r="AG1489" s="264"/>
    </row>
    <row r="1490" spans="1:33">
      <c r="O1490" s="364"/>
      <c r="AA1490" s="126"/>
    </row>
    <row r="1491" spans="1:33" ht="26.25">
      <c r="A1491" s="264"/>
      <c r="B1491" s="264"/>
      <c r="C1491" s="264"/>
      <c r="D1491" s="264"/>
      <c r="E1491" s="264"/>
      <c r="F1491" s="264"/>
      <c r="G1491" s="264"/>
      <c r="H1491" s="264"/>
      <c r="I1491" s="264"/>
      <c r="J1491" s="327"/>
      <c r="K1491" s="327"/>
      <c r="L1491" s="327"/>
      <c r="M1491" s="321"/>
      <c r="N1491" s="321"/>
      <c r="O1491" s="364"/>
      <c r="P1491" s="376"/>
      <c r="R1491" s="393"/>
      <c r="S1491" s="61" ph="1"/>
      <c r="U1491" s="229"/>
      <c r="V1491" s="264"/>
      <c r="W1491" s="199"/>
      <c r="X1491" s="264"/>
      <c r="Y1491" s="264"/>
      <c r="Z1491" s="386"/>
      <c r="AA1491" s="51"/>
      <c r="AD1491" s="264"/>
      <c r="AE1491" s="264"/>
      <c r="AF1491" s="264"/>
      <c r="AG1491" s="264"/>
    </row>
    <row r="1492" spans="1:33" ht="26.25">
      <c r="A1492" s="264"/>
      <c r="B1492" s="264"/>
      <c r="C1492" s="264"/>
      <c r="D1492" s="264"/>
      <c r="E1492" s="264"/>
      <c r="F1492" s="264"/>
      <c r="G1492" s="264"/>
      <c r="H1492" s="264"/>
      <c r="I1492" s="264"/>
      <c r="J1492" s="327"/>
      <c r="K1492" s="327"/>
      <c r="L1492" s="327"/>
      <c r="M1492" s="321"/>
      <c r="N1492" s="321"/>
      <c r="O1492" s="364"/>
      <c r="P1492" s="376"/>
      <c r="R1492" s="393"/>
      <c r="S1492" s="61" ph="1"/>
      <c r="U1492" s="229"/>
      <c r="V1492" s="264"/>
      <c r="W1492" s="199"/>
      <c r="X1492" s="264"/>
      <c r="Y1492" s="264"/>
      <c r="Z1492" s="386"/>
      <c r="AA1492" s="126"/>
      <c r="AD1492" s="264"/>
      <c r="AE1492" s="264"/>
      <c r="AF1492" s="264"/>
      <c r="AG1492" s="264"/>
    </row>
    <row r="1493" spans="1:33">
      <c r="O1493" s="364"/>
      <c r="AA1493" s="126"/>
    </row>
    <row r="1494" spans="1:33" ht="26.25">
      <c r="A1494" s="264"/>
      <c r="B1494" s="264"/>
      <c r="C1494" s="264"/>
      <c r="D1494" s="264"/>
      <c r="E1494" s="264"/>
      <c r="F1494" s="264"/>
      <c r="G1494" s="264"/>
      <c r="H1494" s="264"/>
      <c r="I1494" s="264"/>
      <c r="J1494" s="327"/>
      <c r="K1494" s="327"/>
      <c r="L1494" s="327"/>
      <c r="M1494" s="321"/>
      <c r="N1494" s="321"/>
      <c r="O1494" s="364"/>
      <c r="P1494" s="376"/>
      <c r="R1494" s="393"/>
      <c r="S1494" s="61" ph="1"/>
      <c r="U1494" s="229"/>
      <c r="V1494" s="264"/>
      <c r="W1494" s="199"/>
      <c r="X1494" s="264"/>
      <c r="Y1494" s="264"/>
      <c r="Z1494" s="386"/>
      <c r="AA1494" s="126"/>
      <c r="AD1494" s="264"/>
      <c r="AE1494" s="264"/>
      <c r="AF1494" s="264"/>
      <c r="AG1494" s="264"/>
    </row>
    <row r="1495" spans="1:33">
      <c r="O1495" s="364"/>
      <c r="AA1495" s="126"/>
    </row>
    <row r="1496" spans="1:33" ht="26.25">
      <c r="A1496" s="264"/>
      <c r="B1496" s="264"/>
      <c r="C1496" s="264"/>
      <c r="D1496" s="264"/>
      <c r="E1496" s="264"/>
      <c r="F1496" s="264"/>
      <c r="G1496" s="264"/>
      <c r="H1496" s="264"/>
      <c r="I1496" s="264"/>
      <c r="J1496" s="327"/>
      <c r="K1496" s="327"/>
      <c r="L1496" s="327"/>
      <c r="M1496" s="321"/>
      <c r="N1496" s="321"/>
      <c r="O1496" s="364"/>
      <c r="P1496" s="376"/>
      <c r="R1496" s="393"/>
      <c r="S1496" s="61" ph="1"/>
      <c r="U1496" s="229"/>
      <c r="V1496" s="264"/>
      <c r="W1496" s="199"/>
      <c r="X1496" s="264"/>
      <c r="Y1496" s="264"/>
      <c r="Z1496" s="386"/>
      <c r="AA1496" s="126"/>
      <c r="AD1496" s="264"/>
      <c r="AE1496" s="264"/>
      <c r="AF1496" s="264"/>
      <c r="AG1496" s="264"/>
    </row>
    <row r="1497" spans="1:33" ht="26.25">
      <c r="A1497" s="264"/>
      <c r="B1497" s="264"/>
      <c r="C1497" s="264"/>
      <c r="D1497" s="264"/>
      <c r="E1497" s="264"/>
      <c r="F1497" s="264"/>
      <c r="G1497" s="264"/>
      <c r="H1497" s="264"/>
      <c r="I1497" s="264"/>
      <c r="J1497" s="327"/>
      <c r="K1497" s="327"/>
      <c r="L1497" s="327"/>
      <c r="M1497" s="321"/>
      <c r="N1497" s="321"/>
      <c r="O1497" s="364"/>
      <c r="P1497" s="376"/>
      <c r="R1497" s="393"/>
      <c r="S1497" s="61" ph="1"/>
      <c r="U1497" s="229"/>
      <c r="V1497" s="264"/>
      <c r="W1497" s="199"/>
      <c r="X1497" s="264"/>
      <c r="Y1497" s="264"/>
      <c r="Z1497" s="386"/>
      <c r="AA1497" s="126"/>
      <c r="AD1497" s="264"/>
      <c r="AE1497" s="264"/>
      <c r="AF1497" s="264"/>
      <c r="AG1497" s="264"/>
    </row>
    <row r="1498" spans="1:33" ht="26.25">
      <c r="A1498" s="264"/>
      <c r="B1498" s="264"/>
      <c r="C1498" s="264"/>
      <c r="D1498" s="264"/>
      <c r="E1498" s="264"/>
      <c r="F1498" s="264"/>
      <c r="G1498" s="264"/>
      <c r="H1498" s="264"/>
      <c r="I1498" s="264"/>
      <c r="J1498" s="327"/>
      <c r="K1498" s="327"/>
      <c r="L1498" s="327"/>
      <c r="M1498" s="321"/>
      <c r="N1498" s="321"/>
      <c r="O1498" s="364"/>
      <c r="P1498" s="376"/>
      <c r="R1498" s="393"/>
      <c r="S1498" s="61" ph="1"/>
      <c r="U1498" s="229"/>
      <c r="V1498" s="264"/>
      <c r="W1498" s="199"/>
      <c r="X1498" s="264"/>
      <c r="Y1498" s="264"/>
      <c r="Z1498" s="386"/>
      <c r="AA1498" s="126"/>
      <c r="AD1498" s="264"/>
      <c r="AE1498" s="264"/>
      <c r="AF1498" s="264"/>
      <c r="AG1498" s="264"/>
    </row>
    <row r="1499" spans="1:33" ht="26.25">
      <c r="A1499" s="264"/>
      <c r="B1499" s="264"/>
      <c r="C1499" s="264"/>
      <c r="D1499" s="264"/>
      <c r="E1499" s="264"/>
      <c r="F1499" s="264"/>
      <c r="G1499" s="264"/>
      <c r="H1499" s="264"/>
      <c r="I1499" s="264"/>
      <c r="J1499" s="327"/>
      <c r="K1499" s="327"/>
      <c r="L1499" s="327"/>
      <c r="M1499" s="321"/>
      <c r="N1499" s="321"/>
      <c r="O1499" s="364"/>
      <c r="P1499" s="376"/>
      <c r="R1499" s="393"/>
      <c r="S1499" s="61" ph="1"/>
      <c r="U1499" s="229"/>
      <c r="V1499" s="264"/>
      <c r="W1499" s="199"/>
      <c r="X1499" s="264"/>
      <c r="Y1499" s="264"/>
      <c r="Z1499" s="386"/>
      <c r="AA1499" s="126"/>
      <c r="AD1499" s="264"/>
      <c r="AE1499" s="264"/>
      <c r="AF1499" s="264"/>
      <c r="AG1499" s="264"/>
    </row>
    <row r="1500" spans="1:33" ht="26.25">
      <c r="A1500" s="264"/>
      <c r="B1500" s="264"/>
      <c r="C1500" s="264"/>
      <c r="D1500" s="264"/>
      <c r="E1500" s="264"/>
      <c r="F1500" s="264"/>
      <c r="G1500" s="264"/>
      <c r="H1500" s="264"/>
      <c r="I1500" s="264"/>
      <c r="J1500" s="327"/>
      <c r="K1500" s="327"/>
      <c r="L1500" s="327"/>
      <c r="M1500" s="321"/>
      <c r="N1500" s="321"/>
      <c r="O1500" s="364"/>
      <c r="P1500" s="376"/>
      <c r="R1500" s="393"/>
      <c r="S1500" s="61" ph="1"/>
      <c r="U1500" s="229"/>
      <c r="V1500" s="264"/>
      <c r="W1500" s="199"/>
      <c r="X1500" s="264"/>
      <c r="Y1500" s="264"/>
      <c r="Z1500" s="386"/>
      <c r="AA1500" s="126"/>
      <c r="AD1500" s="264"/>
      <c r="AE1500" s="264"/>
      <c r="AF1500" s="264"/>
      <c r="AG1500" s="264"/>
    </row>
    <row r="1501" spans="1:33" ht="26.25">
      <c r="A1501" s="264"/>
      <c r="B1501" s="264"/>
      <c r="C1501" s="264"/>
      <c r="D1501" s="264"/>
      <c r="E1501" s="264"/>
      <c r="F1501" s="264"/>
      <c r="G1501" s="264"/>
      <c r="H1501" s="264"/>
      <c r="I1501" s="264"/>
      <c r="J1501" s="327"/>
      <c r="K1501" s="327"/>
      <c r="L1501" s="327"/>
      <c r="M1501" s="321"/>
      <c r="N1501" s="321"/>
      <c r="O1501" s="364"/>
      <c r="P1501" s="376"/>
      <c r="R1501" s="393"/>
      <c r="S1501" s="61" ph="1"/>
      <c r="U1501" s="229"/>
      <c r="V1501" s="264"/>
      <c r="W1501" s="199"/>
      <c r="X1501" s="264"/>
      <c r="Y1501" s="264"/>
      <c r="Z1501" s="386"/>
      <c r="AA1501" s="126"/>
      <c r="AD1501" s="264"/>
      <c r="AE1501" s="264"/>
      <c r="AF1501" s="264"/>
      <c r="AG1501" s="264"/>
    </row>
    <row r="1502" spans="1:33" ht="26.25">
      <c r="A1502" s="264"/>
      <c r="B1502" s="264"/>
      <c r="C1502" s="264"/>
      <c r="D1502" s="264"/>
      <c r="E1502" s="264"/>
      <c r="F1502" s="264"/>
      <c r="G1502" s="264"/>
      <c r="H1502" s="264"/>
      <c r="I1502" s="264"/>
      <c r="J1502" s="327"/>
      <c r="K1502" s="327"/>
      <c r="L1502" s="327"/>
      <c r="M1502" s="321"/>
      <c r="N1502" s="321"/>
      <c r="O1502" s="364"/>
      <c r="P1502" s="376"/>
      <c r="R1502" s="393"/>
      <c r="S1502" s="61" ph="1"/>
      <c r="U1502" s="229"/>
      <c r="V1502" s="264"/>
      <c r="W1502" s="199"/>
      <c r="X1502" s="264"/>
      <c r="Y1502" s="264"/>
      <c r="Z1502" s="386"/>
      <c r="AA1502" s="126"/>
      <c r="AD1502" s="264"/>
      <c r="AE1502" s="264"/>
      <c r="AF1502" s="264"/>
      <c r="AG1502" s="264"/>
    </row>
    <row r="1503" spans="1:33" ht="26.25">
      <c r="A1503" s="264"/>
      <c r="B1503" s="264"/>
      <c r="C1503" s="264"/>
      <c r="D1503" s="264"/>
      <c r="E1503" s="264"/>
      <c r="F1503" s="264"/>
      <c r="G1503" s="264"/>
      <c r="H1503" s="264"/>
      <c r="I1503" s="264"/>
      <c r="J1503" s="327"/>
      <c r="K1503" s="327"/>
      <c r="L1503" s="327"/>
      <c r="M1503" s="321"/>
      <c r="N1503" s="321"/>
      <c r="O1503" s="364"/>
      <c r="P1503" s="376"/>
      <c r="R1503" s="393"/>
      <c r="S1503" s="61" ph="1"/>
      <c r="U1503" s="229"/>
      <c r="V1503" s="264"/>
      <c r="W1503" s="199"/>
      <c r="X1503" s="264"/>
      <c r="Y1503" s="264"/>
      <c r="Z1503" s="386"/>
      <c r="AA1503" s="126"/>
      <c r="AD1503" s="264"/>
      <c r="AE1503" s="264"/>
      <c r="AF1503" s="264"/>
      <c r="AG1503" s="264"/>
    </row>
    <row r="1504" spans="1:33" ht="26.25">
      <c r="A1504" s="264"/>
      <c r="B1504" s="264"/>
      <c r="C1504" s="264"/>
      <c r="D1504" s="264"/>
      <c r="E1504" s="264"/>
      <c r="F1504" s="264"/>
      <c r="G1504" s="264"/>
      <c r="H1504" s="264"/>
      <c r="I1504" s="264"/>
      <c r="J1504" s="327"/>
      <c r="K1504" s="327"/>
      <c r="L1504" s="327"/>
      <c r="M1504" s="321"/>
      <c r="N1504" s="321"/>
      <c r="O1504" s="364"/>
      <c r="P1504" s="376"/>
      <c r="R1504" s="393"/>
      <c r="S1504" s="61" ph="1"/>
      <c r="U1504" s="229"/>
      <c r="V1504" s="264"/>
      <c r="W1504" s="199"/>
      <c r="X1504" s="264"/>
      <c r="Y1504" s="264"/>
      <c r="Z1504" s="386"/>
      <c r="AA1504" s="126"/>
      <c r="AD1504" s="264"/>
      <c r="AE1504" s="264"/>
      <c r="AF1504" s="264"/>
      <c r="AG1504" s="264"/>
    </row>
    <row r="1505" spans="1:33" ht="26.25">
      <c r="A1505" s="264"/>
      <c r="B1505" s="264"/>
      <c r="C1505" s="264"/>
      <c r="D1505" s="264"/>
      <c r="E1505" s="264"/>
      <c r="F1505" s="264"/>
      <c r="G1505" s="264"/>
      <c r="H1505" s="264"/>
      <c r="I1505" s="264"/>
      <c r="J1505" s="327"/>
      <c r="K1505" s="327"/>
      <c r="L1505" s="327"/>
      <c r="M1505" s="321"/>
      <c r="N1505" s="321"/>
      <c r="O1505" s="364"/>
      <c r="P1505" s="376"/>
      <c r="R1505" s="393"/>
      <c r="S1505" s="61" ph="1"/>
      <c r="U1505" s="229"/>
      <c r="V1505" s="264"/>
      <c r="W1505" s="199"/>
      <c r="X1505" s="264"/>
      <c r="Y1505" s="264"/>
      <c r="Z1505" s="386"/>
      <c r="AA1505" s="126"/>
      <c r="AD1505" s="264"/>
      <c r="AE1505" s="264"/>
      <c r="AF1505" s="264"/>
      <c r="AG1505" s="264"/>
    </row>
    <row r="1506" spans="1:33">
      <c r="O1506" s="364"/>
      <c r="AA1506" s="126"/>
    </row>
    <row r="1507" spans="1:33" ht="26.25">
      <c r="A1507" s="264"/>
      <c r="B1507" s="264"/>
      <c r="C1507" s="264"/>
      <c r="D1507" s="264"/>
      <c r="E1507" s="264"/>
      <c r="F1507" s="264"/>
      <c r="G1507" s="264"/>
      <c r="H1507" s="264"/>
      <c r="I1507" s="264"/>
      <c r="J1507" s="327"/>
      <c r="K1507" s="327"/>
      <c r="L1507" s="327"/>
      <c r="M1507" s="321"/>
      <c r="N1507" s="321"/>
      <c r="O1507" s="364"/>
      <c r="P1507" s="376"/>
      <c r="R1507" s="393"/>
      <c r="S1507" s="61" ph="1"/>
      <c r="U1507" s="229"/>
      <c r="V1507" s="264"/>
      <c r="W1507" s="199"/>
      <c r="X1507" s="264"/>
      <c r="Y1507" s="264"/>
      <c r="Z1507" s="386"/>
      <c r="AA1507" s="126"/>
      <c r="AD1507" s="264"/>
      <c r="AE1507" s="264"/>
      <c r="AF1507" s="264"/>
      <c r="AG1507" s="264"/>
    </row>
    <row r="1508" spans="1:33" ht="26.25">
      <c r="A1508" s="264"/>
      <c r="B1508" s="264"/>
      <c r="C1508" s="264"/>
      <c r="D1508" s="264"/>
      <c r="E1508" s="264"/>
      <c r="F1508" s="264"/>
      <c r="G1508" s="264"/>
      <c r="H1508" s="264"/>
      <c r="I1508" s="264"/>
      <c r="J1508" s="327"/>
      <c r="K1508" s="327"/>
      <c r="L1508" s="327"/>
      <c r="M1508" s="321"/>
      <c r="N1508" s="321"/>
      <c r="O1508" s="364"/>
      <c r="P1508" s="376"/>
      <c r="R1508" s="393"/>
      <c r="S1508" s="61" ph="1"/>
      <c r="U1508" s="229"/>
      <c r="V1508" s="264"/>
      <c r="W1508" s="199"/>
      <c r="X1508" s="264"/>
      <c r="Y1508" s="264"/>
      <c r="Z1508" s="386"/>
      <c r="AA1508" s="126"/>
      <c r="AD1508" s="264"/>
      <c r="AE1508" s="264"/>
      <c r="AF1508" s="264"/>
      <c r="AG1508" s="264"/>
    </row>
    <row r="1509" spans="1:33" ht="26.25">
      <c r="A1509" s="264"/>
      <c r="B1509" s="264"/>
      <c r="C1509" s="264"/>
      <c r="D1509" s="264"/>
      <c r="E1509" s="264"/>
      <c r="F1509" s="264"/>
      <c r="G1509" s="264"/>
      <c r="H1509" s="264"/>
      <c r="I1509" s="264"/>
      <c r="J1509" s="327"/>
      <c r="K1509" s="327"/>
      <c r="L1509" s="327"/>
      <c r="M1509" s="321"/>
      <c r="N1509" s="321"/>
      <c r="O1509" s="364"/>
      <c r="P1509" s="376"/>
      <c r="R1509" s="393"/>
      <c r="S1509" s="61" ph="1"/>
      <c r="U1509" s="229"/>
      <c r="V1509" s="264"/>
      <c r="W1509" s="199"/>
      <c r="X1509" s="264"/>
      <c r="Y1509" s="264"/>
      <c r="Z1509" s="386"/>
      <c r="AA1509" s="126"/>
      <c r="AD1509" s="264"/>
      <c r="AE1509" s="264"/>
      <c r="AF1509" s="264"/>
      <c r="AG1509" s="264"/>
    </row>
    <row r="1510" spans="1:33" ht="26.25">
      <c r="A1510" s="264"/>
      <c r="B1510" s="264"/>
      <c r="C1510" s="264"/>
      <c r="D1510" s="264"/>
      <c r="E1510" s="264"/>
      <c r="F1510" s="264"/>
      <c r="G1510" s="264"/>
      <c r="H1510" s="264"/>
      <c r="I1510" s="264"/>
      <c r="J1510" s="327"/>
      <c r="K1510" s="327"/>
      <c r="L1510" s="327"/>
      <c r="M1510" s="321"/>
      <c r="N1510" s="321"/>
      <c r="O1510" s="364"/>
      <c r="P1510" s="376"/>
      <c r="R1510" s="393"/>
      <c r="S1510" s="61" ph="1"/>
      <c r="U1510" s="229"/>
      <c r="V1510" s="264"/>
      <c r="W1510" s="199"/>
      <c r="X1510" s="264"/>
      <c r="Y1510" s="264"/>
      <c r="Z1510" s="386"/>
      <c r="AA1510" s="126"/>
      <c r="AD1510" s="264"/>
      <c r="AE1510" s="264"/>
      <c r="AF1510" s="264"/>
      <c r="AG1510" s="264"/>
    </row>
    <row r="1511" spans="1:33" ht="26.25">
      <c r="A1511" s="264"/>
      <c r="B1511" s="264"/>
      <c r="C1511" s="264"/>
      <c r="D1511" s="264"/>
      <c r="E1511" s="264"/>
      <c r="F1511" s="264"/>
      <c r="G1511" s="264"/>
      <c r="H1511" s="264"/>
      <c r="I1511" s="264"/>
      <c r="J1511" s="327"/>
      <c r="K1511" s="327"/>
      <c r="L1511" s="327"/>
      <c r="M1511" s="321"/>
      <c r="N1511" s="321"/>
      <c r="O1511" s="364"/>
      <c r="P1511" s="376"/>
      <c r="R1511" s="393"/>
      <c r="S1511" s="61" ph="1"/>
      <c r="U1511" s="229"/>
      <c r="V1511" s="264"/>
      <c r="W1511" s="199"/>
      <c r="X1511" s="264"/>
      <c r="Y1511" s="264"/>
      <c r="Z1511" s="386"/>
      <c r="AA1511" s="126"/>
      <c r="AD1511" s="264"/>
      <c r="AE1511" s="264"/>
      <c r="AF1511" s="264"/>
      <c r="AG1511" s="264"/>
    </row>
    <row r="1512" spans="1:33" ht="26.25">
      <c r="A1512" s="264"/>
      <c r="B1512" s="264"/>
      <c r="C1512" s="264"/>
      <c r="D1512" s="264"/>
      <c r="E1512" s="264"/>
      <c r="F1512" s="264"/>
      <c r="G1512" s="264"/>
      <c r="H1512" s="264"/>
      <c r="I1512" s="264"/>
      <c r="J1512" s="327"/>
      <c r="K1512" s="327"/>
      <c r="L1512" s="327"/>
      <c r="M1512" s="321"/>
      <c r="N1512" s="321"/>
      <c r="O1512" s="364"/>
      <c r="P1512" s="376"/>
      <c r="R1512" s="393"/>
      <c r="S1512" s="61" ph="1"/>
      <c r="U1512" s="229"/>
      <c r="V1512" s="264"/>
      <c r="W1512" s="199"/>
      <c r="X1512" s="264"/>
      <c r="Y1512" s="264"/>
      <c r="Z1512" s="386"/>
      <c r="AA1512" s="126"/>
      <c r="AD1512" s="264"/>
      <c r="AE1512" s="264"/>
      <c r="AF1512" s="264"/>
      <c r="AG1512" s="264"/>
    </row>
    <row r="1513" spans="1:33" ht="26.25">
      <c r="A1513" s="264"/>
      <c r="B1513" s="264"/>
      <c r="C1513" s="264"/>
      <c r="D1513" s="264"/>
      <c r="E1513" s="264"/>
      <c r="F1513" s="264"/>
      <c r="G1513" s="264"/>
      <c r="H1513" s="264"/>
      <c r="I1513" s="264"/>
      <c r="J1513" s="327"/>
      <c r="K1513" s="327"/>
      <c r="L1513" s="327"/>
      <c r="M1513" s="321"/>
      <c r="N1513" s="321"/>
      <c r="O1513" s="364"/>
      <c r="P1513" s="376"/>
      <c r="R1513" s="393"/>
      <c r="S1513" s="61" ph="1"/>
      <c r="U1513" s="229"/>
      <c r="V1513" s="264"/>
      <c r="W1513" s="199"/>
      <c r="X1513" s="264"/>
      <c r="Y1513" s="264"/>
      <c r="Z1513" s="386"/>
      <c r="AA1513" s="126"/>
      <c r="AD1513" s="264"/>
      <c r="AE1513" s="264"/>
      <c r="AF1513" s="264"/>
      <c r="AG1513" s="264"/>
    </row>
    <row r="1514" spans="1:33" ht="26.25">
      <c r="A1514" s="264"/>
      <c r="B1514" s="264"/>
      <c r="C1514" s="264"/>
      <c r="D1514" s="264"/>
      <c r="E1514" s="264"/>
      <c r="F1514" s="264"/>
      <c r="G1514" s="264"/>
      <c r="H1514" s="264"/>
      <c r="I1514" s="264"/>
      <c r="J1514" s="327"/>
      <c r="K1514" s="327"/>
      <c r="L1514" s="327"/>
      <c r="M1514" s="321"/>
      <c r="N1514" s="321"/>
      <c r="O1514" s="364"/>
      <c r="P1514" s="376"/>
      <c r="R1514" s="393"/>
      <c r="S1514" s="61" ph="1"/>
      <c r="U1514" s="229"/>
      <c r="V1514" s="264"/>
      <c r="W1514" s="199"/>
      <c r="X1514" s="264"/>
      <c r="Y1514" s="264"/>
      <c r="Z1514" s="386"/>
      <c r="AA1514" s="126"/>
      <c r="AD1514" s="264"/>
      <c r="AE1514" s="264"/>
      <c r="AF1514" s="264"/>
      <c r="AG1514" s="264"/>
    </row>
    <row r="1515" spans="1:33">
      <c r="O1515" s="364"/>
      <c r="AA1515" s="126"/>
    </row>
    <row r="1516" spans="1:33" ht="26.25">
      <c r="A1516" s="264"/>
      <c r="B1516" s="264"/>
      <c r="C1516" s="264"/>
      <c r="D1516" s="264"/>
      <c r="E1516" s="264"/>
      <c r="F1516" s="264"/>
      <c r="G1516" s="264"/>
      <c r="H1516" s="264"/>
      <c r="I1516" s="264"/>
      <c r="J1516" s="327"/>
      <c r="K1516" s="327"/>
      <c r="L1516" s="327"/>
      <c r="M1516" s="321"/>
      <c r="N1516" s="321"/>
      <c r="O1516" s="364"/>
      <c r="P1516" s="376"/>
      <c r="R1516" s="393"/>
      <c r="S1516" s="61" ph="1"/>
      <c r="U1516" s="229"/>
      <c r="V1516" s="264"/>
      <c r="W1516" s="199"/>
      <c r="X1516" s="264"/>
      <c r="Y1516" s="264"/>
      <c r="Z1516" s="386"/>
      <c r="AA1516" s="126"/>
      <c r="AD1516" s="264"/>
      <c r="AE1516" s="264"/>
      <c r="AF1516" s="264"/>
      <c r="AG1516" s="264"/>
    </row>
    <row r="1517" spans="1:33" ht="26.25">
      <c r="A1517" s="264"/>
      <c r="B1517" s="264"/>
      <c r="C1517" s="264"/>
      <c r="D1517" s="264"/>
      <c r="E1517" s="264"/>
      <c r="F1517" s="264"/>
      <c r="G1517" s="264"/>
      <c r="H1517" s="264"/>
      <c r="I1517" s="264"/>
      <c r="J1517" s="327"/>
      <c r="K1517" s="327"/>
      <c r="L1517" s="327"/>
      <c r="M1517" s="321"/>
      <c r="N1517" s="321"/>
      <c r="O1517" s="364"/>
      <c r="P1517" s="376"/>
      <c r="R1517" s="393"/>
      <c r="S1517" s="61" ph="1"/>
      <c r="U1517" s="229"/>
      <c r="V1517" s="264"/>
      <c r="W1517" s="199"/>
      <c r="X1517" s="264"/>
      <c r="Y1517" s="264"/>
      <c r="Z1517" s="386"/>
      <c r="AA1517" s="126"/>
      <c r="AD1517" s="264"/>
      <c r="AE1517" s="264"/>
      <c r="AF1517" s="264"/>
      <c r="AG1517" s="264"/>
    </row>
    <row r="1518" spans="1:33" ht="26.25">
      <c r="A1518" s="264"/>
      <c r="B1518" s="264"/>
      <c r="C1518" s="264"/>
      <c r="D1518" s="264"/>
      <c r="E1518" s="264"/>
      <c r="F1518" s="264"/>
      <c r="G1518" s="264"/>
      <c r="H1518" s="264"/>
      <c r="I1518" s="264"/>
      <c r="J1518" s="327"/>
      <c r="K1518" s="327"/>
      <c r="L1518" s="327"/>
      <c r="M1518" s="321"/>
      <c r="N1518" s="321"/>
      <c r="O1518" s="364"/>
      <c r="P1518" s="376"/>
      <c r="R1518" s="393"/>
      <c r="S1518" s="61" ph="1"/>
      <c r="U1518" s="229"/>
      <c r="V1518" s="264"/>
      <c r="W1518" s="199"/>
      <c r="X1518" s="264"/>
      <c r="Y1518" s="264"/>
      <c r="Z1518" s="386"/>
      <c r="AA1518" s="126"/>
      <c r="AD1518" s="264"/>
      <c r="AE1518" s="264"/>
      <c r="AF1518" s="264"/>
      <c r="AG1518" s="264"/>
    </row>
    <row r="1519" spans="1:33" ht="26.25">
      <c r="A1519" s="264"/>
      <c r="B1519" s="264"/>
      <c r="C1519" s="264"/>
      <c r="D1519" s="264"/>
      <c r="E1519" s="264"/>
      <c r="F1519" s="264"/>
      <c r="G1519" s="264"/>
      <c r="H1519" s="264"/>
      <c r="I1519" s="264"/>
      <c r="J1519" s="327"/>
      <c r="K1519" s="327"/>
      <c r="L1519" s="327"/>
      <c r="M1519" s="321"/>
      <c r="N1519" s="321"/>
      <c r="O1519" s="364"/>
      <c r="P1519" s="376"/>
      <c r="R1519" s="393"/>
      <c r="S1519" s="61" ph="1"/>
      <c r="U1519" s="229"/>
      <c r="V1519" s="264"/>
      <c r="W1519" s="199"/>
      <c r="X1519" s="264"/>
      <c r="Y1519" s="264"/>
      <c r="Z1519" s="386"/>
      <c r="AA1519" s="126"/>
      <c r="AD1519" s="264"/>
      <c r="AE1519" s="264"/>
      <c r="AF1519" s="264"/>
      <c r="AG1519" s="264"/>
    </row>
    <row r="1520" spans="1:33" ht="26.25">
      <c r="A1520" s="264"/>
      <c r="B1520" s="264"/>
      <c r="C1520" s="264"/>
      <c r="D1520" s="264"/>
      <c r="E1520" s="264"/>
      <c r="F1520" s="264"/>
      <c r="G1520" s="264"/>
      <c r="H1520" s="264"/>
      <c r="I1520" s="264"/>
      <c r="J1520" s="327"/>
      <c r="K1520" s="327"/>
      <c r="L1520" s="327"/>
      <c r="M1520" s="321"/>
      <c r="N1520" s="321"/>
      <c r="O1520" s="364"/>
      <c r="P1520" s="376"/>
      <c r="R1520" s="393"/>
      <c r="S1520" s="61" ph="1"/>
      <c r="U1520" s="229"/>
      <c r="V1520" s="264"/>
      <c r="W1520" s="199"/>
      <c r="X1520" s="264"/>
      <c r="Y1520" s="264"/>
      <c r="Z1520" s="386"/>
      <c r="AA1520" s="126"/>
      <c r="AD1520" s="264"/>
      <c r="AE1520" s="264"/>
      <c r="AF1520" s="264"/>
      <c r="AG1520" s="264"/>
    </row>
    <row r="1521" spans="1:33" ht="26.25">
      <c r="A1521" s="264"/>
      <c r="B1521" s="264"/>
      <c r="C1521" s="264"/>
      <c r="D1521" s="264"/>
      <c r="E1521" s="264"/>
      <c r="F1521" s="264"/>
      <c r="G1521" s="264"/>
      <c r="H1521" s="264"/>
      <c r="I1521" s="264"/>
      <c r="J1521" s="327"/>
      <c r="K1521" s="327"/>
      <c r="L1521" s="327"/>
      <c r="M1521" s="321"/>
      <c r="N1521" s="321"/>
      <c r="O1521" s="364"/>
      <c r="P1521" s="376"/>
      <c r="R1521" s="393"/>
      <c r="S1521" s="61" ph="1"/>
      <c r="U1521" s="229"/>
      <c r="V1521" s="264"/>
      <c r="W1521" s="199"/>
      <c r="X1521" s="264"/>
      <c r="Y1521" s="264"/>
      <c r="Z1521" s="386"/>
      <c r="AA1521" s="126"/>
      <c r="AD1521" s="264"/>
      <c r="AE1521" s="264"/>
      <c r="AF1521" s="264"/>
      <c r="AG1521" s="264"/>
    </row>
    <row r="1522" spans="1:33" ht="26.25">
      <c r="A1522" s="264"/>
      <c r="B1522" s="264"/>
      <c r="C1522" s="264"/>
      <c r="D1522" s="264"/>
      <c r="E1522" s="264"/>
      <c r="F1522" s="264"/>
      <c r="G1522" s="264"/>
      <c r="H1522" s="264"/>
      <c r="I1522" s="264"/>
      <c r="J1522" s="327"/>
      <c r="K1522" s="327"/>
      <c r="L1522" s="327"/>
      <c r="M1522" s="321"/>
      <c r="N1522" s="321"/>
      <c r="O1522" s="364"/>
      <c r="P1522" s="376"/>
      <c r="R1522" s="393"/>
      <c r="S1522" s="61" ph="1"/>
      <c r="U1522" s="229"/>
      <c r="V1522" s="264"/>
      <c r="W1522" s="199"/>
      <c r="X1522" s="264"/>
      <c r="Y1522" s="264"/>
      <c r="Z1522" s="386"/>
      <c r="AA1522" s="126"/>
      <c r="AD1522" s="264"/>
      <c r="AE1522" s="264"/>
      <c r="AF1522" s="264"/>
      <c r="AG1522" s="264"/>
    </row>
    <row r="1523" spans="1:33" ht="26.25">
      <c r="A1523" s="264"/>
      <c r="B1523" s="264"/>
      <c r="C1523" s="264"/>
      <c r="D1523" s="264"/>
      <c r="E1523" s="264"/>
      <c r="F1523" s="264"/>
      <c r="G1523" s="264"/>
      <c r="H1523" s="264"/>
      <c r="I1523" s="264"/>
      <c r="J1523" s="327"/>
      <c r="K1523" s="327"/>
      <c r="L1523" s="327"/>
      <c r="M1523" s="321"/>
      <c r="N1523" s="321"/>
      <c r="O1523" s="364"/>
      <c r="P1523" s="376"/>
      <c r="R1523" s="393"/>
      <c r="S1523" s="61" ph="1"/>
      <c r="U1523" s="229"/>
      <c r="V1523" s="264"/>
      <c r="W1523" s="199"/>
      <c r="X1523" s="264"/>
      <c r="Y1523" s="264"/>
      <c r="Z1523" s="386"/>
      <c r="AA1523" s="126"/>
      <c r="AD1523" s="264"/>
      <c r="AE1523" s="264"/>
      <c r="AF1523" s="264"/>
      <c r="AG1523" s="264"/>
    </row>
    <row r="1524" spans="1:33" ht="26.25">
      <c r="A1524" s="264"/>
      <c r="B1524" s="264"/>
      <c r="C1524" s="264"/>
      <c r="D1524" s="264"/>
      <c r="E1524" s="264"/>
      <c r="F1524" s="264"/>
      <c r="G1524" s="264"/>
      <c r="H1524" s="264"/>
      <c r="I1524" s="264"/>
      <c r="J1524" s="327"/>
      <c r="K1524" s="327"/>
      <c r="L1524" s="327"/>
      <c r="M1524" s="321"/>
      <c r="N1524" s="321"/>
      <c r="O1524" s="364"/>
      <c r="P1524" s="376"/>
      <c r="R1524" s="393"/>
      <c r="S1524" s="61" ph="1"/>
      <c r="U1524" s="229"/>
      <c r="V1524" s="264"/>
      <c r="W1524" s="199"/>
      <c r="X1524" s="264"/>
      <c r="Y1524" s="264"/>
      <c r="Z1524" s="386"/>
      <c r="AA1524" s="123"/>
      <c r="AD1524" s="264"/>
      <c r="AE1524" s="264"/>
      <c r="AF1524" s="264"/>
      <c r="AG1524" s="264"/>
    </row>
    <row r="1525" spans="1:33" ht="26.25">
      <c r="A1525" s="264"/>
      <c r="B1525" s="264"/>
      <c r="C1525" s="264"/>
      <c r="D1525" s="264"/>
      <c r="E1525" s="264"/>
      <c r="F1525" s="264"/>
      <c r="G1525" s="264"/>
      <c r="H1525" s="264"/>
      <c r="I1525" s="264"/>
      <c r="J1525" s="327"/>
      <c r="K1525" s="327"/>
      <c r="L1525" s="327"/>
      <c r="M1525" s="321"/>
      <c r="N1525" s="321"/>
      <c r="O1525" s="364"/>
      <c r="P1525" s="376"/>
      <c r="R1525" s="393"/>
      <c r="S1525" s="61" ph="1"/>
      <c r="U1525" s="229"/>
      <c r="V1525" s="264"/>
      <c r="W1525" s="199"/>
      <c r="X1525" s="264"/>
      <c r="Y1525" s="264"/>
      <c r="Z1525" s="386"/>
      <c r="AA1525" s="126"/>
      <c r="AD1525" s="264"/>
      <c r="AE1525" s="264"/>
      <c r="AF1525" s="264"/>
      <c r="AG1525" s="264"/>
    </row>
    <row r="1526" spans="1:33" ht="26.25">
      <c r="A1526" s="264"/>
      <c r="B1526" s="264"/>
      <c r="C1526" s="264"/>
      <c r="D1526" s="264"/>
      <c r="E1526" s="264"/>
      <c r="F1526" s="264"/>
      <c r="G1526" s="264"/>
      <c r="H1526" s="264"/>
      <c r="I1526" s="264"/>
      <c r="J1526" s="327"/>
      <c r="K1526" s="327"/>
      <c r="L1526" s="327"/>
      <c r="M1526" s="321"/>
      <c r="N1526" s="321"/>
      <c r="O1526" s="364"/>
      <c r="P1526" s="376"/>
      <c r="R1526" s="393"/>
      <c r="S1526" s="61" ph="1"/>
      <c r="U1526" s="229"/>
      <c r="V1526" s="264"/>
      <c r="W1526" s="199"/>
      <c r="X1526" s="264"/>
      <c r="Y1526" s="264"/>
      <c r="Z1526" s="386"/>
      <c r="AA1526" s="126"/>
      <c r="AD1526" s="264"/>
      <c r="AE1526" s="264"/>
      <c r="AF1526" s="264"/>
      <c r="AG1526" s="264"/>
    </row>
    <row r="1527" spans="1:33">
      <c r="O1527" s="364"/>
      <c r="AA1527" s="126"/>
    </row>
    <row r="1528" spans="1:33" ht="26.25">
      <c r="A1528" s="264"/>
      <c r="B1528" s="264"/>
      <c r="C1528" s="264"/>
      <c r="D1528" s="264"/>
      <c r="E1528" s="264"/>
      <c r="F1528" s="264"/>
      <c r="G1528" s="264"/>
      <c r="H1528" s="264"/>
      <c r="I1528" s="264"/>
      <c r="J1528" s="327"/>
      <c r="K1528" s="327"/>
      <c r="L1528" s="327"/>
      <c r="M1528" s="321"/>
      <c r="N1528" s="321"/>
      <c r="O1528" s="364"/>
      <c r="P1528" s="376"/>
      <c r="R1528" s="393"/>
      <c r="S1528" s="61" ph="1"/>
      <c r="U1528" s="229"/>
      <c r="V1528" s="264"/>
      <c r="W1528" s="199"/>
      <c r="X1528" s="264"/>
      <c r="Y1528" s="264"/>
      <c r="Z1528" s="386"/>
      <c r="AA1528" s="126"/>
      <c r="AD1528" s="264"/>
      <c r="AE1528" s="264"/>
      <c r="AF1528" s="264"/>
      <c r="AG1528" s="264"/>
    </row>
    <row r="1529" spans="1:33" ht="26.25">
      <c r="A1529" s="264"/>
      <c r="B1529" s="264"/>
      <c r="C1529" s="264"/>
      <c r="D1529" s="264"/>
      <c r="E1529" s="264"/>
      <c r="F1529" s="264"/>
      <c r="G1529" s="264"/>
      <c r="H1529" s="264"/>
      <c r="I1529" s="264"/>
      <c r="J1529" s="327"/>
      <c r="K1529" s="327"/>
      <c r="L1529" s="327"/>
      <c r="M1529" s="321"/>
      <c r="N1529" s="321"/>
      <c r="O1529" s="364"/>
      <c r="P1529" s="376"/>
      <c r="R1529" s="393"/>
      <c r="S1529" s="61" ph="1"/>
      <c r="U1529" s="229"/>
      <c r="V1529" s="264"/>
      <c r="W1529" s="199"/>
      <c r="X1529" s="264"/>
      <c r="Y1529" s="264"/>
      <c r="Z1529" s="386"/>
      <c r="AA1529" s="126"/>
      <c r="AD1529" s="264"/>
      <c r="AE1529" s="264"/>
      <c r="AF1529" s="264"/>
      <c r="AG1529" s="264"/>
    </row>
    <row r="1530" spans="1:33" ht="26.25">
      <c r="A1530" s="264"/>
      <c r="B1530" s="264"/>
      <c r="C1530" s="264"/>
      <c r="D1530" s="264"/>
      <c r="E1530" s="264"/>
      <c r="F1530" s="264"/>
      <c r="G1530" s="264"/>
      <c r="H1530" s="264"/>
      <c r="I1530" s="264"/>
      <c r="J1530" s="327"/>
      <c r="K1530" s="327"/>
      <c r="L1530" s="327"/>
      <c r="M1530" s="321"/>
      <c r="N1530" s="321"/>
      <c r="O1530" s="364"/>
      <c r="P1530" s="376"/>
      <c r="R1530" s="393"/>
      <c r="S1530" s="61" ph="1"/>
      <c r="U1530" s="229"/>
      <c r="V1530" s="264"/>
      <c r="W1530" s="199"/>
      <c r="X1530" s="264"/>
      <c r="Y1530" s="264"/>
      <c r="Z1530" s="386"/>
      <c r="AA1530" s="126"/>
      <c r="AD1530" s="264"/>
      <c r="AE1530" s="264"/>
      <c r="AF1530" s="264"/>
      <c r="AG1530" s="264"/>
    </row>
    <row r="1531" spans="1:33" ht="26.25">
      <c r="A1531" s="264"/>
      <c r="B1531" s="264"/>
      <c r="C1531" s="264"/>
      <c r="D1531" s="264"/>
      <c r="E1531" s="264"/>
      <c r="F1531" s="264"/>
      <c r="G1531" s="264"/>
      <c r="H1531" s="264"/>
      <c r="I1531" s="264"/>
      <c r="J1531" s="327"/>
      <c r="K1531" s="327"/>
      <c r="L1531" s="327"/>
      <c r="M1531" s="321"/>
      <c r="N1531" s="321"/>
      <c r="O1531" s="364"/>
      <c r="P1531" s="376"/>
      <c r="R1531" s="393"/>
      <c r="S1531" s="61" ph="1"/>
      <c r="U1531" s="229"/>
      <c r="V1531" s="264"/>
      <c r="W1531" s="199"/>
      <c r="X1531" s="264"/>
      <c r="Y1531" s="264"/>
      <c r="Z1531" s="386"/>
      <c r="AA1531" s="126"/>
      <c r="AD1531" s="264"/>
      <c r="AE1531" s="264"/>
      <c r="AF1531" s="264"/>
      <c r="AG1531" s="264"/>
    </row>
    <row r="1532" spans="1:33" ht="26.25">
      <c r="A1532" s="264"/>
      <c r="B1532" s="264"/>
      <c r="C1532" s="264"/>
      <c r="D1532" s="264"/>
      <c r="E1532" s="264"/>
      <c r="F1532" s="264"/>
      <c r="G1532" s="264"/>
      <c r="H1532" s="264"/>
      <c r="I1532" s="264"/>
      <c r="J1532" s="327"/>
      <c r="K1532" s="327"/>
      <c r="L1532" s="327"/>
      <c r="M1532" s="321"/>
      <c r="N1532" s="321"/>
      <c r="O1532" s="364"/>
      <c r="P1532" s="376"/>
      <c r="R1532" s="393"/>
      <c r="S1532" s="61" ph="1"/>
      <c r="U1532" s="229"/>
      <c r="V1532" s="264"/>
      <c r="W1532" s="199"/>
      <c r="X1532" s="264"/>
      <c r="Y1532" s="264"/>
      <c r="Z1532" s="386"/>
      <c r="AA1532" s="126"/>
      <c r="AD1532" s="264"/>
      <c r="AE1532" s="264"/>
      <c r="AF1532" s="264"/>
      <c r="AG1532" s="264"/>
    </row>
    <row r="1533" spans="1:33" ht="26.25">
      <c r="A1533" s="264"/>
      <c r="B1533" s="264"/>
      <c r="C1533" s="264"/>
      <c r="D1533" s="264"/>
      <c r="E1533" s="264"/>
      <c r="F1533" s="264"/>
      <c r="G1533" s="264"/>
      <c r="H1533" s="264"/>
      <c r="I1533" s="264"/>
      <c r="J1533" s="327"/>
      <c r="K1533" s="327"/>
      <c r="L1533" s="327"/>
      <c r="M1533" s="321"/>
      <c r="N1533" s="321"/>
      <c r="O1533" s="364"/>
      <c r="P1533" s="376"/>
      <c r="R1533" s="393"/>
      <c r="S1533" s="61" ph="1"/>
      <c r="U1533" s="229"/>
      <c r="V1533" s="264"/>
      <c r="W1533" s="199"/>
      <c r="X1533" s="264"/>
      <c r="Y1533" s="264"/>
      <c r="Z1533" s="386"/>
      <c r="AA1533" s="126"/>
      <c r="AD1533" s="264"/>
      <c r="AE1533" s="264"/>
      <c r="AF1533" s="264"/>
      <c r="AG1533" s="264"/>
    </row>
    <row r="1534" spans="1:33" ht="26.25">
      <c r="A1534" s="264"/>
      <c r="B1534" s="264"/>
      <c r="C1534" s="264"/>
      <c r="D1534" s="264"/>
      <c r="E1534" s="264"/>
      <c r="F1534" s="264"/>
      <c r="G1534" s="264"/>
      <c r="H1534" s="264"/>
      <c r="I1534" s="264"/>
      <c r="J1534" s="327"/>
      <c r="K1534" s="327"/>
      <c r="L1534" s="327"/>
      <c r="M1534" s="321"/>
      <c r="N1534" s="321"/>
      <c r="O1534" s="364"/>
      <c r="P1534" s="376"/>
      <c r="R1534" s="393"/>
      <c r="S1534" s="61" ph="1"/>
      <c r="U1534" s="229"/>
      <c r="V1534" s="264"/>
      <c r="W1534" s="199"/>
      <c r="X1534" s="264"/>
      <c r="Y1534" s="264"/>
      <c r="Z1534" s="386"/>
      <c r="AA1534" s="126"/>
      <c r="AD1534" s="264"/>
      <c r="AE1534" s="264"/>
      <c r="AF1534" s="264"/>
      <c r="AG1534" s="264"/>
    </row>
    <row r="1535" spans="1:33" ht="26.25">
      <c r="A1535" s="264"/>
      <c r="B1535" s="264"/>
      <c r="C1535" s="264"/>
      <c r="D1535" s="264"/>
      <c r="E1535" s="264"/>
      <c r="F1535" s="264"/>
      <c r="G1535" s="264"/>
      <c r="H1535" s="264"/>
      <c r="I1535" s="264"/>
      <c r="J1535" s="327"/>
      <c r="K1535" s="327"/>
      <c r="L1535" s="327"/>
      <c r="M1535" s="321"/>
      <c r="N1535" s="321"/>
      <c r="O1535" s="364"/>
      <c r="P1535" s="376"/>
      <c r="R1535" s="393"/>
      <c r="S1535" s="61" ph="1"/>
      <c r="U1535" s="229"/>
      <c r="V1535" s="264"/>
      <c r="W1535" s="199"/>
      <c r="X1535" s="264"/>
      <c r="Y1535" s="264"/>
      <c r="Z1535" s="386"/>
      <c r="AA1535" s="126"/>
      <c r="AD1535" s="264"/>
      <c r="AE1535" s="264"/>
      <c r="AF1535" s="264"/>
      <c r="AG1535" s="264"/>
    </row>
    <row r="1536" spans="1:33">
      <c r="O1536" s="364"/>
      <c r="AA1536" s="126"/>
    </row>
    <row r="1537" spans="1:33" ht="26.25">
      <c r="A1537" s="264"/>
      <c r="B1537" s="264"/>
      <c r="C1537" s="264"/>
      <c r="D1537" s="264"/>
      <c r="E1537" s="264"/>
      <c r="F1537" s="264"/>
      <c r="G1537" s="264"/>
      <c r="H1537" s="264"/>
      <c r="I1537" s="264"/>
      <c r="J1537" s="327"/>
      <c r="K1537" s="327"/>
      <c r="L1537" s="327"/>
      <c r="M1537" s="321"/>
      <c r="N1537" s="321"/>
      <c r="O1537" s="364"/>
      <c r="P1537" s="376"/>
      <c r="R1537" s="393"/>
      <c r="S1537" s="61" ph="1"/>
      <c r="U1537" s="229"/>
      <c r="V1537" s="264"/>
      <c r="W1537" s="199"/>
      <c r="X1537" s="264"/>
      <c r="Y1537" s="264"/>
      <c r="Z1537" s="386"/>
      <c r="AA1537" s="126"/>
      <c r="AD1537" s="264"/>
      <c r="AE1537" s="264"/>
      <c r="AF1537" s="264"/>
      <c r="AG1537" s="264"/>
    </row>
    <row r="1538" spans="1:33" ht="26.25">
      <c r="A1538" s="264"/>
      <c r="B1538" s="264"/>
      <c r="C1538" s="264"/>
      <c r="D1538" s="264"/>
      <c r="E1538" s="264"/>
      <c r="F1538" s="264"/>
      <c r="G1538" s="264"/>
      <c r="H1538" s="264"/>
      <c r="I1538" s="264"/>
      <c r="J1538" s="327"/>
      <c r="K1538" s="327"/>
      <c r="L1538" s="327"/>
      <c r="M1538" s="321"/>
      <c r="N1538" s="321"/>
      <c r="O1538" s="364"/>
      <c r="P1538" s="376"/>
      <c r="R1538" s="393"/>
      <c r="S1538" s="61" ph="1"/>
      <c r="U1538" s="229"/>
      <c r="V1538" s="264"/>
      <c r="W1538" s="199"/>
      <c r="X1538" s="264"/>
      <c r="Y1538" s="264"/>
      <c r="Z1538" s="386"/>
      <c r="AA1538" s="126"/>
      <c r="AD1538" s="264"/>
      <c r="AE1538" s="264"/>
      <c r="AF1538" s="264"/>
      <c r="AG1538" s="264"/>
    </row>
    <row r="1539" spans="1:33" ht="26.25">
      <c r="A1539" s="264"/>
      <c r="B1539" s="264"/>
      <c r="C1539" s="264"/>
      <c r="D1539" s="264"/>
      <c r="E1539" s="264"/>
      <c r="F1539" s="264"/>
      <c r="G1539" s="264"/>
      <c r="H1539" s="264"/>
      <c r="I1539" s="264"/>
      <c r="J1539" s="327"/>
      <c r="K1539" s="327"/>
      <c r="L1539" s="327"/>
      <c r="M1539" s="321"/>
      <c r="N1539" s="321"/>
      <c r="O1539" s="364"/>
      <c r="P1539" s="376"/>
      <c r="R1539" s="393"/>
      <c r="S1539" s="61" ph="1"/>
      <c r="U1539" s="229"/>
      <c r="V1539" s="264"/>
      <c r="W1539" s="199"/>
      <c r="X1539" s="264"/>
      <c r="Y1539" s="264"/>
      <c r="Z1539" s="386"/>
      <c r="AA1539" s="126"/>
      <c r="AD1539" s="264"/>
      <c r="AE1539" s="264"/>
      <c r="AF1539" s="264"/>
      <c r="AG1539" s="264"/>
    </row>
    <row r="1540" spans="1:33" ht="26.25">
      <c r="A1540" s="264"/>
      <c r="B1540" s="264"/>
      <c r="C1540" s="264"/>
      <c r="D1540" s="264"/>
      <c r="E1540" s="264"/>
      <c r="F1540" s="264"/>
      <c r="G1540" s="264"/>
      <c r="H1540" s="264"/>
      <c r="I1540" s="264"/>
      <c r="J1540" s="327"/>
      <c r="K1540" s="327"/>
      <c r="L1540" s="327"/>
      <c r="M1540" s="321"/>
      <c r="N1540" s="321"/>
      <c r="O1540" s="364"/>
      <c r="P1540" s="376"/>
      <c r="R1540" s="393"/>
      <c r="S1540" s="61" ph="1"/>
      <c r="U1540" s="229"/>
      <c r="V1540" s="264"/>
      <c r="W1540" s="199"/>
      <c r="X1540" s="264"/>
      <c r="Y1540" s="264"/>
      <c r="Z1540" s="386"/>
      <c r="AA1540" s="126"/>
      <c r="AD1540" s="264"/>
      <c r="AE1540" s="264"/>
      <c r="AF1540" s="264"/>
      <c r="AG1540" s="264"/>
    </row>
    <row r="1541" spans="1:33" ht="26.25">
      <c r="A1541" s="264"/>
      <c r="B1541" s="264"/>
      <c r="C1541" s="264"/>
      <c r="D1541" s="264"/>
      <c r="E1541" s="264"/>
      <c r="F1541" s="264"/>
      <c r="G1541" s="264"/>
      <c r="H1541" s="264"/>
      <c r="I1541" s="264"/>
      <c r="J1541" s="327"/>
      <c r="K1541" s="327"/>
      <c r="L1541" s="327"/>
      <c r="M1541" s="321"/>
      <c r="N1541" s="321"/>
      <c r="O1541" s="364"/>
      <c r="P1541" s="376"/>
      <c r="R1541" s="393"/>
      <c r="S1541" s="61" ph="1"/>
      <c r="U1541" s="229"/>
      <c r="V1541" s="264"/>
      <c r="W1541" s="199"/>
      <c r="X1541" s="264"/>
      <c r="Y1541" s="264"/>
      <c r="Z1541" s="386"/>
      <c r="AA1541" s="126"/>
      <c r="AD1541" s="264"/>
      <c r="AE1541" s="264"/>
      <c r="AF1541" s="264"/>
      <c r="AG1541" s="264"/>
    </row>
    <row r="1542" spans="1:33" ht="26.25">
      <c r="A1542" s="264"/>
      <c r="B1542" s="264"/>
      <c r="C1542" s="264"/>
      <c r="D1542" s="264"/>
      <c r="E1542" s="264"/>
      <c r="F1542" s="264"/>
      <c r="G1542" s="264"/>
      <c r="H1542" s="264"/>
      <c r="I1542" s="264"/>
      <c r="J1542" s="327"/>
      <c r="K1542" s="327"/>
      <c r="L1542" s="327"/>
      <c r="M1542" s="321"/>
      <c r="N1542" s="321"/>
      <c r="O1542" s="364"/>
      <c r="P1542" s="376"/>
      <c r="R1542" s="393"/>
      <c r="S1542" s="61" ph="1"/>
      <c r="U1542" s="229"/>
      <c r="V1542" s="264"/>
      <c r="W1542" s="199"/>
      <c r="X1542" s="264"/>
      <c r="Y1542" s="264"/>
      <c r="Z1542" s="386"/>
      <c r="AA1542" s="126"/>
      <c r="AD1542" s="264"/>
      <c r="AE1542" s="264"/>
      <c r="AF1542" s="264"/>
      <c r="AG1542" s="264"/>
    </row>
    <row r="1543" spans="1:33" ht="26.25">
      <c r="A1543" s="264"/>
      <c r="B1543" s="264"/>
      <c r="C1543" s="264"/>
      <c r="D1543" s="264"/>
      <c r="E1543" s="264"/>
      <c r="F1543" s="264"/>
      <c r="G1543" s="264"/>
      <c r="H1543" s="264"/>
      <c r="I1543" s="264"/>
      <c r="J1543" s="327"/>
      <c r="K1543" s="327"/>
      <c r="L1543" s="327"/>
      <c r="M1543" s="321"/>
      <c r="N1543" s="321"/>
      <c r="O1543" s="364"/>
      <c r="P1543" s="376"/>
      <c r="R1543" s="393"/>
      <c r="S1543" s="61" ph="1"/>
      <c r="U1543" s="229"/>
      <c r="V1543" s="264"/>
      <c r="W1543" s="199"/>
      <c r="X1543" s="264"/>
      <c r="Y1543" s="264"/>
      <c r="Z1543" s="386"/>
      <c r="AA1543" s="126"/>
      <c r="AD1543" s="264"/>
      <c r="AE1543" s="264"/>
      <c r="AF1543" s="264"/>
      <c r="AG1543" s="264"/>
    </row>
    <row r="1544" spans="1:33" ht="26.25">
      <c r="A1544" s="264"/>
      <c r="B1544" s="264"/>
      <c r="C1544" s="264"/>
      <c r="D1544" s="264"/>
      <c r="E1544" s="264"/>
      <c r="F1544" s="264"/>
      <c r="G1544" s="264"/>
      <c r="H1544" s="264"/>
      <c r="I1544" s="264"/>
      <c r="J1544" s="327"/>
      <c r="K1544" s="327"/>
      <c r="L1544" s="327"/>
      <c r="M1544" s="321"/>
      <c r="N1544" s="321"/>
      <c r="O1544" s="364"/>
      <c r="P1544" s="376"/>
      <c r="R1544" s="393"/>
      <c r="S1544" s="61" ph="1"/>
      <c r="U1544" s="229"/>
      <c r="V1544" s="264"/>
      <c r="W1544" s="199"/>
      <c r="X1544" s="264"/>
      <c r="Y1544" s="264"/>
      <c r="Z1544" s="386"/>
      <c r="AA1544" s="126"/>
      <c r="AD1544" s="264"/>
      <c r="AE1544" s="264"/>
      <c r="AF1544" s="264"/>
      <c r="AG1544" s="264"/>
    </row>
    <row r="1545" spans="1:33" ht="26.25">
      <c r="A1545" s="264"/>
      <c r="B1545" s="264"/>
      <c r="C1545" s="264"/>
      <c r="D1545" s="264"/>
      <c r="E1545" s="264"/>
      <c r="F1545" s="264"/>
      <c r="G1545" s="264"/>
      <c r="H1545" s="264"/>
      <c r="I1545" s="264"/>
      <c r="J1545" s="327"/>
      <c r="K1545" s="327"/>
      <c r="L1545" s="327"/>
      <c r="M1545" s="321"/>
      <c r="N1545" s="321"/>
      <c r="O1545" s="364"/>
      <c r="P1545" s="376"/>
      <c r="R1545" s="393"/>
      <c r="S1545" s="61" ph="1"/>
      <c r="U1545" s="229"/>
      <c r="V1545" s="264"/>
      <c r="W1545" s="199"/>
      <c r="X1545" s="264"/>
      <c r="Y1545" s="264"/>
      <c r="Z1545" s="386"/>
      <c r="AA1545" s="126"/>
      <c r="AD1545" s="264"/>
      <c r="AE1545" s="264"/>
      <c r="AF1545" s="264"/>
      <c r="AG1545" s="264"/>
    </row>
    <row r="1546" spans="1:33" ht="26.25">
      <c r="A1546" s="264"/>
      <c r="B1546" s="264"/>
      <c r="C1546" s="264"/>
      <c r="D1546" s="264"/>
      <c r="E1546" s="264"/>
      <c r="F1546" s="264"/>
      <c r="G1546" s="264"/>
      <c r="H1546" s="264"/>
      <c r="I1546" s="264"/>
      <c r="J1546" s="327"/>
      <c r="K1546" s="327"/>
      <c r="L1546" s="327"/>
      <c r="M1546" s="321"/>
      <c r="N1546" s="321"/>
      <c r="O1546" s="364"/>
      <c r="P1546" s="376"/>
      <c r="R1546" s="393"/>
      <c r="S1546" s="61" ph="1"/>
      <c r="U1546" s="229"/>
      <c r="V1546" s="264"/>
      <c r="W1546" s="199"/>
      <c r="X1546" s="264"/>
      <c r="Y1546" s="264"/>
      <c r="Z1546" s="386"/>
      <c r="AA1546" s="126"/>
      <c r="AD1546" s="264"/>
      <c r="AE1546" s="264"/>
      <c r="AF1546" s="264"/>
      <c r="AG1546" s="264"/>
    </row>
    <row r="1547" spans="1:33" ht="26.25">
      <c r="A1547" s="264"/>
      <c r="B1547" s="264"/>
      <c r="C1547" s="264"/>
      <c r="D1547" s="264"/>
      <c r="E1547" s="264"/>
      <c r="F1547" s="264"/>
      <c r="G1547" s="264"/>
      <c r="H1547" s="264"/>
      <c r="I1547" s="264"/>
      <c r="J1547" s="327"/>
      <c r="K1547" s="327"/>
      <c r="L1547" s="327"/>
      <c r="M1547" s="321"/>
      <c r="N1547" s="321"/>
      <c r="O1547" s="364"/>
      <c r="P1547" s="376"/>
      <c r="R1547" s="393"/>
      <c r="S1547" s="61" ph="1"/>
      <c r="U1547" s="229"/>
      <c r="V1547" s="264"/>
      <c r="W1547" s="199"/>
      <c r="X1547" s="264"/>
      <c r="Y1547" s="264"/>
      <c r="Z1547" s="386"/>
      <c r="AA1547" s="126"/>
      <c r="AD1547" s="264"/>
      <c r="AE1547" s="264"/>
      <c r="AF1547" s="264"/>
      <c r="AG1547" s="264"/>
    </row>
    <row r="1548" spans="1:33" ht="26.25">
      <c r="A1548" s="264"/>
      <c r="B1548" s="264"/>
      <c r="C1548" s="264"/>
      <c r="D1548" s="264"/>
      <c r="E1548" s="264"/>
      <c r="F1548" s="264"/>
      <c r="G1548" s="264"/>
      <c r="H1548" s="264"/>
      <c r="I1548" s="264"/>
      <c r="J1548" s="327"/>
      <c r="K1548" s="327"/>
      <c r="L1548" s="327"/>
      <c r="M1548" s="321"/>
      <c r="N1548" s="321"/>
      <c r="O1548" s="364"/>
      <c r="P1548" s="376"/>
      <c r="R1548" s="393"/>
      <c r="S1548" s="61" ph="1"/>
      <c r="U1548" s="229"/>
      <c r="V1548" s="264"/>
      <c r="W1548" s="199"/>
      <c r="X1548" s="264"/>
      <c r="Y1548" s="264"/>
      <c r="Z1548" s="386"/>
      <c r="AA1548" s="264"/>
      <c r="AD1548" s="264"/>
      <c r="AE1548" s="264"/>
      <c r="AF1548" s="264"/>
      <c r="AG1548" s="264"/>
    </row>
    <row r="1549" spans="1:33" ht="26.25">
      <c r="A1549" s="264"/>
      <c r="B1549" s="264"/>
      <c r="C1549" s="264"/>
      <c r="D1549" s="264"/>
      <c r="E1549" s="264"/>
      <c r="F1549" s="264"/>
      <c r="G1549" s="264"/>
      <c r="H1549" s="264"/>
      <c r="I1549" s="264"/>
      <c r="J1549" s="327"/>
      <c r="K1549" s="327"/>
      <c r="L1549" s="327"/>
      <c r="M1549" s="321"/>
      <c r="N1549" s="321"/>
      <c r="O1549" s="364"/>
      <c r="P1549" s="376"/>
      <c r="R1549" s="393"/>
      <c r="S1549" s="61" ph="1"/>
      <c r="U1549" s="229"/>
      <c r="V1549" s="264"/>
      <c r="W1549" s="199"/>
      <c r="X1549" s="264"/>
      <c r="Y1549" s="264"/>
      <c r="Z1549" s="386"/>
      <c r="AA1549" s="126"/>
      <c r="AD1549" s="264"/>
      <c r="AE1549" s="264"/>
      <c r="AF1549" s="264"/>
      <c r="AG1549" s="264"/>
    </row>
    <row r="1550" spans="1:33" ht="26.25">
      <c r="A1550" s="264"/>
      <c r="B1550" s="264"/>
      <c r="C1550" s="264"/>
      <c r="D1550" s="264"/>
      <c r="E1550" s="264"/>
      <c r="F1550" s="264"/>
      <c r="G1550" s="264"/>
      <c r="H1550" s="264"/>
      <c r="I1550" s="264"/>
      <c r="J1550" s="327"/>
      <c r="K1550" s="327"/>
      <c r="L1550" s="327"/>
      <c r="M1550" s="321"/>
      <c r="N1550" s="321"/>
      <c r="O1550" s="364"/>
      <c r="P1550" s="376"/>
      <c r="R1550" s="393"/>
      <c r="S1550" s="61" ph="1"/>
      <c r="U1550" s="229"/>
      <c r="V1550" s="264"/>
      <c r="W1550" s="199"/>
      <c r="X1550" s="264"/>
      <c r="Y1550" s="264"/>
      <c r="Z1550" s="386"/>
      <c r="AA1550" s="126"/>
      <c r="AD1550" s="264"/>
      <c r="AE1550" s="264"/>
      <c r="AF1550" s="264"/>
      <c r="AG1550" s="264"/>
    </row>
    <row r="1551" spans="1:33" ht="26.25">
      <c r="A1551" s="264"/>
      <c r="B1551" s="264"/>
      <c r="C1551" s="264"/>
      <c r="D1551" s="264"/>
      <c r="E1551" s="264"/>
      <c r="F1551" s="264"/>
      <c r="G1551" s="264"/>
      <c r="H1551" s="264"/>
      <c r="I1551" s="264"/>
      <c r="J1551" s="327"/>
      <c r="K1551" s="327"/>
      <c r="L1551" s="327"/>
      <c r="M1551" s="321"/>
      <c r="N1551" s="321"/>
      <c r="O1551" s="364"/>
      <c r="P1551" s="376"/>
      <c r="R1551" s="393"/>
      <c r="S1551" s="61" ph="1"/>
      <c r="U1551" s="229"/>
      <c r="V1551" s="264"/>
      <c r="W1551" s="199"/>
      <c r="X1551" s="264"/>
      <c r="Y1551" s="264"/>
      <c r="Z1551" s="386"/>
      <c r="AA1551" s="126"/>
      <c r="AD1551" s="264"/>
      <c r="AE1551" s="264"/>
      <c r="AF1551" s="264"/>
      <c r="AG1551" s="264"/>
    </row>
    <row r="1552" spans="1:33" ht="26.25">
      <c r="A1552" s="264"/>
      <c r="B1552" s="264"/>
      <c r="C1552" s="264"/>
      <c r="D1552" s="264"/>
      <c r="E1552" s="264"/>
      <c r="F1552" s="264"/>
      <c r="G1552" s="264"/>
      <c r="H1552" s="264"/>
      <c r="I1552" s="264"/>
      <c r="J1552" s="327"/>
      <c r="K1552" s="327"/>
      <c r="L1552" s="327"/>
      <c r="M1552" s="321"/>
      <c r="N1552" s="321"/>
      <c r="O1552" s="364"/>
      <c r="P1552" s="376"/>
      <c r="R1552" s="393"/>
      <c r="S1552" s="61" ph="1"/>
      <c r="U1552" s="229"/>
      <c r="V1552" s="264"/>
      <c r="W1552" s="199"/>
      <c r="X1552" s="264"/>
      <c r="Y1552" s="264"/>
      <c r="Z1552" s="386"/>
      <c r="AA1552" s="126"/>
      <c r="AD1552" s="264"/>
      <c r="AE1552" s="264"/>
      <c r="AF1552" s="264"/>
      <c r="AG1552" s="264"/>
    </row>
    <row r="1553" spans="1:33" ht="26.25">
      <c r="A1553" s="264"/>
      <c r="B1553" s="264"/>
      <c r="C1553" s="264"/>
      <c r="D1553" s="264"/>
      <c r="E1553" s="264"/>
      <c r="F1553" s="264"/>
      <c r="G1553" s="264"/>
      <c r="H1553" s="264"/>
      <c r="I1553" s="264"/>
      <c r="J1553" s="327"/>
      <c r="K1553" s="327"/>
      <c r="L1553" s="327"/>
      <c r="M1553" s="321"/>
      <c r="N1553" s="321"/>
      <c r="O1553" s="364"/>
      <c r="P1553" s="376"/>
      <c r="R1553" s="393"/>
      <c r="S1553" s="61" ph="1"/>
      <c r="U1553" s="229"/>
      <c r="V1553" s="264"/>
      <c r="W1553" s="199"/>
      <c r="X1553" s="264"/>
      <c r="Y1553" s="264"/>
      <c r="Z1553" s="386"/>
      <c r="AA1553" s="264"/>
      <c r="AD1553" s="264"/>
      <c r="AE1553" s="264"/>
      <c r="AF1553" s="264"/>
      <c r="AG1553" s="264"/>
    </row>
    <row r="1554" spans="1:33" ht="26.25">
      <c r="A1554" s="264"/>
      <c r="B1554" s="264"/>
      <c r="C1554" s="264"/>
      <c r="D1554" s="264"/>
      <c r="E1554" s="264"/>
      <c r="F1554" s="264"/>
      <c r="G1554" s="264"/>
      <c r="H1554" s="264"/>
      <c r="I1554" s="264"/>
      <c r="J1554" s="327"/>
      <c r="K1554" s="327"/>
      <c r="L1554" s="327"/>
      <c r="M1554" s="321"/>
      <c r="N1554" s="321"/>
      <c r="O1554" s="364"/>
      <c r="P1554" s="376"/>
      <c r="R1554" s="393"/>
      <c r="S1554" s="61" ph="1"/>
      <c r="U1554" s="229"/>
      <c r="V1554" s="264"/>
      <c r="W1554" s="199"/>
      <c r="X1554" s="264"/>
      <c r="Y1554" s="264"/>
      <c r="Z1554" s="386"/>
      <c r="AA1554" s="126"/>
      <c r="AD1554" s="264"/>
      <c r="AE1554" s="264"/>
      <c r="AF1554" s="264"/>
      <c r="AG1554" s="264"/>
    </row>
    <row r="1555" spans="1:33" ht="26.25">
      <c r="A1555" s="264"/>
      <c r="B1555" s="264"/>
      <c r="C1555" s="264"/>
      <c r="D1555" s="264"/>
      <c r="E1555" s="264"/>
      <c r="F1555" s="264"/>
      <c r="G1555" s="264"/>
      <c r="H1555" s="264"/>
      <c r="I1555" s="264"/>
      <c r="J1555" s="327"/>
      <c r="K1555" s="327"/>
      <c r="L1555" s="327"/>
      <c r="M1555" s="321"/>
      <c r="N1555" s="321"/>
      <c r="O1555" s="364"/>
      <c r="P1555" s="376"/>
      <c r="R1555" s="393"/>
      <c r="S1555" s="61" ph="1"/>
      <c r="U1555" s="229"/>
      <c r="V1555" s="264"/>
      <c r="W1555" s="199"/>
      <c r="X1555" s="264"/>
      <c r="Y1555" s="264"/>
      <c r="Z1555" s="386"/>
      <c r="AA1555" s="126"/>
      <c r="AD1555" s="264"/>
      <c r="AE1555" s="264"/>
      <c r="AF1555" s="264"/>
      <c r="AG1555" s="264"/>
    </row>
    <row r="1556" spans="1:33" ht="26.25">
      <c r="A1556" s="264"/>
      <c r="B1556" s="264"/>
      <c r="C1556" s="264"/>
      <c r="D1556" s="264"/>
      <c r="E1556" s="264"/>
      <c r="F1556" s="264"/>
      <c r="G1556" s="264"/>
      <c r="H1556" s="264"/>
      <c r="I1556" s="264"/>
      <c r="J1556" s="327"/>
      <c r="K1556" s="327"/>
      <c r="L1556" s="327"/>
      <c r="M1556" s="321"/>
      <c r="N1556" s="321"/>
      <c r="O1556" s="364"/>
      <c r="P1556" s="376"/>
      <c r="R1556" s="393"/>
      <c r="S1556" s="61" ph="1"/>
      <c r="U1556" s="229"/>
      <c r="V1556" s="264"/>
      <c r="W1556" s="199"/>
      <c r="X1556" s="264"/>
      <c r="Y1556" s="264"/>
      <c r="Z1556" s="386"/>
      <c r="AA1556" s="126"/>
      <c r="AD1556" s="264"/>
      <c r="AE1556" s="264"/>
      <c r="AF1556" s="264"/>
      <c r="AG1556" s="264"/>
    </row>
    <row r="1557" spans="1:33" ht="26.25">
      <c r="A1557" s="264"/>
      <c r="B1557" s="264"/>
      <c r="C1557" s="264"/>
      <c r="D1557" s="264"/>
      <c r="E1557" s="264"/>
      <c r="F1557" s="264"/>
      <c r="G1557" s="264"/>
      <c r="H1557" s="264"/>
      <c r="I1557" s="264"/>
      <c r="J1557" s="327"/>
      <c r="K1557" s="327"/>
      <c r="L1557" s="327"/>
      <c r="M1557" s="321"/>
      <c r="N1557" s="321"/>
      <c r="O1557" s="364"/>
      <c r="P1557" s="376"/>
      <c r="R1557" s="393"/>
      <c r="S1557" s="61" ph="1"/>
      <c r="U1557" s="229"/>
      <c r="V1557" s="264"/>
      <c r="W1557" s="199"/>
      <c r="X1557" s="264"/>
      <c r="Y1557" s="264"/>
      <c r="Z1557" s="386"/>
      <c r="AA1557" s="126"/>
      <c r="AD1557" s="264"/>
      <c r="AE1557" s="264"/>
      <c r="AF1557" s="264"/>
      <c r="AG1557" s="264"/>
    </row>
    <row r="1558" spans="1:33" ht="26.25">
      <c r="A1558" s="264"/>
      <c r="B1558" s="264"/>
      <c r="C1558" s="264"/>
      <c r="D1558" s="264"/>
      <c r="E1558" s="264"/>
      <c r="F1558" s="264"/>
      <c r="G1558" s="264"/>
      <c r="H1558" s="264"/>
      <c r="I1558" s="264"/>
      <c r="J1558" s="327"/>
      <c r="K1558" s="327"/>
      <c r="L1558" s="327"/>
      <c r="M1558" s="321"/>
      <c r="N1558" s="321"/>
      <c r="O1558" s="364"/>
      <c r="P1558" s="376"/>
      <c r="R1558" s="393"/>
      <c r="S1558" s="61" ph="1"/>
      <c r="U1558" s="229"/>
      <c r="V1558" s="264"/>
      <c r="W1558" s="199"/>
      <c r="X1558" s="264"/>
      <c r="Y1558" s="264"/>
      <c r="Z1558" s="386"/>
      <c r="AA1558" s="126"/>
      <c r="AD1558" s="264"/>
      <c r="AE1558" s="264"/>
      <c r="AF1558" s="264"/>
      <c r="AG1558" s="264"/>
    </row>
    <row r="1559" spans="1:33" ht="26.25">
      <c r="A1559" s="264"/>
      <c r="B1559" s="264"/>
      <c r="C1559" s="264"/>
      <c r="D1559" s="264"/>
      <c r="E1559" s="264"/>
      <c r="F1559" s="264"/>
      <c r="G1559" s="264"/>
      <c r="H1559" s="264"/>
      <c r="I1559" s="264"/>
      <c r="J1559" s="327"/>
      <c r="K1559" s="327"/>
      <c r="L1559" s="327"/>
      <c r="M1559" s="321"/>
      <c r="N1559" s="321"/>
      <c r="O1559" s="364"/>
      <c r="P1559" s="376"/>
      <c r="R1559" s="393"/>
      <c r="S1559" s="61" ph="1"/>
      <c r="U1559" s="229"/>
      <c r="V1559" s="264"/>
      <c r="W1559" s="199"/>
      <c r="X1559" s="264"/>
      <c r="Y1559" s="264"/>
      <c r="Z1559" s="386"/>
      <c r="AA1559" s="126"/>
      <c r="AD1559" s="264"/>
      <c r="AE1559" s="264"/>
      <c r="AF1559" s="264"/>
      <c r="AG1559" s="264"/>
    </row>
    <row r="1560" spans="1:33" ht="26.25">
      <c r="A1560" s="264"/>
      <c r="B1560" s="264"/>
      <c r="C1560" s="264"/>
      <c r="D1560" s="264"/>
      <c r="E1560" s="264"/>
      <c r="F1560" s="264"/>
      <c r="G1560" s="264"/>
      <c r="H1560" s="264"/>
      <c r="I1560" s="264"/>
      <c r="J1560" s="327"/>
      <c r="K1560" s="327"/>
      <c r="L1560" s="327"/>
      <c r="M1560" s="321"/>
      <c r="N1560" s="321"/>
      <c r="O1560" s="364"/>
      <c r="P1560" s="376"/>
      <c r="R1560" s="393"/>
      <c r="S1560" s="61" ph="1"/>
      <c r="U1560" s="229"/>
      <c r="V1560" s="264"/>
      <c r="W1560" s="199"/>
      <c r="X1560" s="264"/>
      <c r="Y1560" s="264"/>
      <c r="Z1560" s="386"/>
      <c r="AA1560" s="126"/>
      <c r="AD1560" s="264"/>
      <c r="AE1560" s="264"/>
      <c r="AF1560" s="264"/>
      <c r="AG1560" s="264"/>
    </row>
    <row r="1561" spans="1:33" ht="26.25">
      <c r="A1561" s="264"/>
      <c r="B1561" s="264"/>
      <c r="C1561" s="264"/>
      <c r="D1561" s="264"/>
      <c r="E1561" s="264"/>
      <c r="F1561" s="264"/>
      <c r="G1561" s="264"/>
      <c r="H1561" s="264"/>
      <c r="I1561" s="264"/>
      <c r="J1561" s="327"/>
      <c r="K1561" s="327"/>
      <c r="L1561" s="327"/>
      <c r="M1561" s="321"/>
      <c r="N1561" s="321"/>
      <c r="O1561" s="364"/>
      <c r="P1561" s="376"/>
      <c r="R1561" s="393"/>
      <c r="S1561" s="61" ph="1"/>
      <c r="U1561" s="229"/>
      <c r="V1561" s="264"/>
      <c r="W1561" s="199"/>
      <c r="X1561" s="264"/>
      <c r="Y1561" s="264"/>
      <c r="Z1561" s="386"/>
      <c r="AA1561" s="126"/>
      <c r="AD1561" s="264"/>
      <c r="AE1561" s="264"/>
      <c r="AF1561" s="264"/>
      <c r="AG1561" s="264"/>
    </row>
    <row r="1562" spans="1:33" ht="26.25">
      <c r="A1562" s="264"/>
      <c r="B1562" s="264"/>
      <c r="C1562" s="264"/>
      <c r="D1562" s="264"/>
      <c r="E1562" s="264"/>
      <c r="F1562" s="264"/>
      <c r="G1562" s="264"/>
      <c r="H1562" s="264"/>
      <c r="I1562" s="264"/>
      <c r="J1562" s="327"/>
      <c r="K1562" s="327"/>
      <c r="L1562" s="327"/>
      <c r="M1562" s="321"/>
      <c r="N1562" s="321"/>
      <c r="O1562" s="364"/>
      <c r="P1562" s="376"/>
      <c r="R1562" s="393"/>
      <c r="S1562" s="61" ph="1"/>
      <c r="U1562" s="229"/>
      <c r="V1562" s="264"/>
      <c r="W1562" s="199"/>
      <c r="X1562" s="264"/>
      <c r="Y1562" s="264"/>
      <c r="Z1562" s="386"/>
      <c r="AA1562" s="126"/>
      <c r="AD1562" s="264"/>
      <c r="AE1562" s="264"/>
      <c r="AF1562" s="264"/>
      <c r="AG1562" s="264"/>
    </row>
    <row r="1563" spans="1:33" ht="26.25">
      <c r="A1563" s="264"/>
      <c r="B1563" s="264"/>
      <c r="C1563" s="264"/>
      <c r="D1563" s="264"/>
      <c r="E1563" s="264"/>
      <c r="F1563" s="264"/>
      <c r="G1563" s="264"/>
      <c r="H1563" s="264"/>
      <c r="I1563" s="264"/>
      <c r="J1563" s="327"/>
      <c r="K1563" s="327"/>
      <c r="L1563" s="327"/>
      <c r="M1563" s="321"/>
      <c r="N1563" s="321"/>
      <c r="O1563" s="364"/>
      <c r="P1563" s="376"/>
      <c r="R1563" s="393"/>
      <c r="S1563" s="61" ph="1"/>
      <c r="U1563" s="229"/>
      <c r="V1563" s="264"/>
      <c r="W1563" s="199"/>
      <c r="X1563" s="264"/>
      <c r="Y1563" s="264"/>
      <c r="Z1563" s="386"/>
      <c r="AA1563" s="126"/>
      <c r="AD1563" s="264"/>
      <c r="AE1563" s="264"/>
      <c r="AF1563" s="264"/>
      <c r="AG1563" s="264"/>
    </row>
    <row r="1564" spans="1:33" ht="26.25">
      <c r="A1564" s="264"/>
      <c r="B1564" s="264"/>
      <c r="C1564" s="264"/>
      <c r="D1564" s="264"/>
      <c r="E1564" s="264"/>
      <c r="F1564" s="264"/>
      <c r="G1564" s="264"/>
      <c r="H1564" s="264"/>
      <c r="I1564" s="264"/>
      <c r="J1564" s="327"/>
      <c r="K1564" s="327"/>
      <c r="L1564" s="327"/>
      <c r="M1564" s="321"/>
      <c r="N1564" s="321"/>
      <c r="O1564" s="364"/>
      <c r="P1564" s="376"/>
      <c r="R1564" s="393"/>
      <c r="S1564" s="61" ph="1"/>
      <c r="U1564" s="229"/>
      <c r="V1564" s="264"/>
      <c r="W1564" s="199"/>
      <c r="X1564" s="264"/>
      <c r="Y1564" s="264"/>
      <c r="Z1564" s="386"/>
      <c r="AA1564" s="126"/>
      <c r="AD1564" s="264"/>
      <c r="AE1564" s="264"/>
      <c r="AF1564" s="264"/>
      <c r="AG1564" s="264"/>
    </row>
    <row r="1565" spans="1:33" ht="26.25">
      <c r="A1565" s="264"/>
      <c r="B1565" s="264"/>
      <c r="C1565" s="264"/>
      <c r="D1565" s="264"/>
      <c r="E1565" s="264"/>
      <c r="F1565" s="264"/>
      <c r="G1565" s="264"/>
      <c r="H1565" s="264"/>
      <c r="I1565" s="264"/>
      <c r="J1565" s="327"/>
      <c r="K1565" s="327"/>
      <c r="L1565" s="327"/>
      <c r="M1565" s="321"/>
      <c r="N1565" s="321"/>
      <c r="O1565" s="364"/>
      <c r="P1565" s="376"/>
      <c r="R1565" s="393"/>
      <c r="S1565" s="61" ph="1"/>
      <c r="U1565" s="229"/>
      <c r="V1565" s="264"/>
      <c r="W1565" s="199"/>
      <c r="X1565" s="264"/>
      <c r="Y1565" s="264"/>
      <c r="Z1565" s="386"/>
      <c r="AA1565" s="264"/>
      <c r="AD1565" s="264"/>
      <c r="AE1565" s="264"/>
      <c r="AF1565" s="264"/>
      <c r="AG1565" s="264"/>
    </row>
    <row r="1566" spans="1:33" ht="26.25">
      <c r="A1566" s="264"/>
      <c r="B1566" s="264"/>
      <c r="C1566" s="264"/>
      <c r="D1566" s="264"/>
      <c r="E1566" s="264"/>
      <c r="F1566" s="264"/>
      <c r="G1566" s="264"/>
      <c r="H1566" s="264"/>
      <c r="I1566" s="264"/>
      <c r="J1566" s="327"/>
      <c r="K1566" s="327"/>
      <c r="L1566" s="327"/>
      <c r="M1566" s="321"/>
      <c r="N1566" s="321"/>
      <c r="O1566" s="364"/>
      <c r="P1566" s="376"/>
      <c r="R1566" s="393"/>
      <c r="S1566" s="61" ph="1"/>
      <c r="U1566" s="229"/>
      <c r="V1566" s="264"/>
      <c r="W1566" s="199"/>
      <c r="X1566" s="264"/>
      <c r="Y1566" s="264"/>
      <c r="Z1566" s="386"/>
      <c r="AA1566" s="264"/>
      <c r="AD1566" s="264"/>
      <c r="AE1566" s="264"/>
      <c r="AF1566" s="264"/>
      <c r="AG1566" s="264"/>
    </row>
    <row r="1567" spans="1:33" ht="26.25">
      <c r="A1567" s="264"/>
      <c r="B1567" s="264"/>
      <c r="C1567" s="264"/>
      <c r="D1567" s="264"/>
      <c r="E1567" s="264"/>
      <c r="F1567" s="264"/>
      <c r="G1567" s="264"/>
      <c r="H1567" s="264"/>
      <c r="I1567" s="264"/>
      <c r="J1567" s="327"/>
      <c r="K1567" s="327"/>
      <c r="L1567" s="327"/>
      <c r="M1567" s="321"/>
      <c r="N1567" s="321"/>
      <c r="O1567" s="364"/>
      <c r="P1567" s="376"/>
      <c r="R1567" s="393"/>
      <c r="S1567" s="61" ph="1"/>
      <c r="U1567" s="229"/>
      <c r="V1567" s="264"/>
      <c r="W1567" s="199"/>
      <c r="X1567" s="264"/>
      <c r="Y1567" s="264"/>
      <c r="Z1567" s="386"/>
      <c r="AA1567" s="264"/>
      <c r="AD1567" s="264"/>
      <c r="AE1567" s="264"/>
      <c r="AF1567" s="264"/>
      <c r="AG1567" s="264"/>
    </row>
    <row r="1568" spans="1:33" ht="26.25">
      <c r="A1568" s="264"/>
      <c r="B1568" s="264"/>
      <c r="C1568" s="264"/>
      <c r="D1568" s="264"/>
      <c r="E1568" s="264"/>
      <c r="F1568" s="264"/>
      <c r="G1568" s="264"/>
      <c r="H1568" s="264"/>
      <c r="I1568" s="264"/>
      <c r="J1568" s="327"/>
      <c r="K1568" s="327"/>
      <c r="L1568" s="327"/>
      <c r="M1568" s="321"/>
      <c r="N1568" s="321"/>
      <c r="O1568" s="364"/>
      <c r="P1568" s="376"/>
      <c r="R1568" s="393"/>
      <c r="S1568" s="61" ph="1"/>
      <c r="U1568" s="229"/>
      <c r="V1568" s="264"/>
      <c r="W1568" s="199"/>
      <c r="X1568" s="264"/>
      <c r="Y1568" s="264"/>
      <c r="Z1568" s="386"/>
      <c r="AA1568" s="264"/>
      <c r="AD1568" s="264"/>
      <c r="AE1568" s="264"/>
      <c r="AF1568" s="264"/>
      <c r="AG1568" s="264"/>
    </row>
    <row r="1569" spans="1:33" ht="26.25">
      <c r="A1569" s="264"/>
      <c r="B1569" s="264"/>
      <c r="C1569" s="264"/>
      <c r="D1569" s="264"/>
      <c r="E1569" s="264"/>
      <c r="F1569" s="264"/>
      <c r="G1569" s="264"/>
      <c r="H1569" s="264"/>
      <c r="I1569" s="264"/>
      <c r="J1569" s="327"/>
      <c r="K1569" s="327"/>
      <c r="L1569" s="327"/>
      <c r="M1569" s="321"/>
      <c r="N1569" s="321"/>
      <c r="O1569" s="364"/>
      <c r="P1569" s="376"/>
      <c r="R1569" s="393"/>
      <c r="S1569" s="61" ph="1"/>
      <c r="U1569" s="229"/>
      <c r="V1569" s="264"/>
      <c r="W1569" s="199"/>
      <c r="X1569" s="264"/>
      <c r="Y1569" s="264"/>
      <c r="Z1569" s="386"/>
      <c r="AA1569" s="264"/>
      <c r="AD1569" s="264"/>
      <c r="AE1569" s="264"/>
      <c r="AF1569" s="264"/>
      <c r="AG1569" s="264"/>
    </row>
    <row r="1570" spans="1:33" ht="26.25">
      <c r="A1570" s="264"/>
      <c r="B1570" s="264"/>
      <c r="C1570" s="264"/>
      <c r="D1570" s="264"/>
      <c r="E1570" s="264"/>
      <c r="F1570" s="264"/>
      <c r="G1570" s="264"/>
      <c r="H1570" s="264"/>
      <c r="I1570" s="264"/>
      <c r="J1570" s="327"/>
      <c r="K1570" s="327"/>
      <c r="L1570" s="327"/>
      <c r="M1570" s="321"/>
      <c r="N1570" s="321"/>
      <c r="O1570" s="364"/>
      <c r="P1570" s="376"/>
      <c r="R1570" s="393"/>
      <c r="S1570" s="61" ph="1"/>
      <c r="U1570" s="229"/>
      <c r="V1570" s="264"/>
      <c r="W1570" s="199"/>
      <c r="X1570" s="264"/>
      <c r="Y1570" s="264"/>
      <c r="Z1570" s="386"/>
      <c r="AA1570" s="264"/>
      <c r="AD1570" s="264"/>
      <c r="AE1570" s="264"/>
      <c r="AF1570" s="264"/>
      <c r="AG1570" s="264"/>
    </row>
    <row r="1571" spans="1:33" ht="26.25">
      <c r="A1571" s="264"/>
      <c r="B1571" s="264"/>
      <c r="C1571" s="264"/>
      <c r="D1571" s="264"/>
      <c r="E1571" s="264"/>
      <c r="F1571" s="264"/>
      <c r="G1571" s="264"/>
      <c r="H1571" s="264"/>
      <c r="I1571" s="264"/>
      <c r="J1571" s="327"/>
      <c r="K1571" s="327"/>
      <c r="L1571" s="327"/>
      <c r="M1571" s="321"/>
      <c r="N1571" s="321"/>
      <c r="O1571" s="364"/>
      <c r="P1571" s="376"/>
      <c r="R1571" s="393"/>
      <c r="S1571" s="61" ph="1"/>
      <c r="U1571" s="229"/>
      <c r="V1571" s="264"/>
      <c r="W1571" s="199"/>
      <c r="X1571" s="264"/>
      <c r="Y1571" s="264"/>
      <c r="Z1571" s="386"/>
      <c r="AA1571" s="264"/>
      <c r="AD1571" s="264"/>
      <c r="AE1571" s="264"/>
      <c r="AF1571" s="264"/>
      <c r="AG1571" s="264"/>
    </row>
    <row r="1572" spans="1:33" ht="26.25">
      <c r="A1572" s="264"/>
      <c r="B1572" s="264"/>
      <c r="C1572" s="264"/>
      <c r="D1572" s="264"/>
      <c r="E1572" s="264"/>
      <c r="F1572" s="264"/>
      <c r="G1572" s="264"/>
      <c r="H1572" s="264"/>
      <c r="I1572" s="264"/>
      <c r="J1572" s="327"/>
      <c r="K1572" s="327"/>
      <c r="L1572" s="327"/>
      <c r="M1572" s="321"/>
      <c r="N1572" s="321"/>
      <c r="O1572" s="364"/>
      <c r="P1572" s="376"/>
      <c r="R1572" s="393"/>
      <c r="S1572" s="61" ph="1"/>
      <c r="U1572" s="229"/>
      <c r="V1572" s="264"/>
      <c r="W1572" s="199"/>
      <c r="X1572" s="264"/>
      <c r="Y1572" s="264"/>
      <c r="Z1572" s="386"/>
      <c r="AA1572" s="264"/>
      <c r="AD1572" s="264"/>
      <c r="AE1572" s="264"/>
      <c r="AF1572" s="264"/>
      <c r="AG1572" s="264"/>
    </row>
    <row r="1573" spans="1:33" ht="26.25">
      <c r="A1573" s="264"/>
      <c r="B1573" s="264"/>
      <c r="C1573" s="264"/>
      <c r="D1573" s="264"/>
      <c r="E1573" s="264"/>
      <c r="F1573" s="264"/>
      <c r="G1573" s="264"/>
      <c r="H1573" s="264"/>
      <c r="I1573" s="264"/>
      <c r="J1573" s="327"/>
      <c r="K1573" s="327"/>
      <c r="L1573" s="327"/>
      <c r="M1573" s="321"/>
      <c r="N1573" s="321"/>
      <c r="O1573" s="364"/>
      <c r="P1573" s="376"/>
      <c r="R1573" s="393"/>
      <c r="S1573" s="61" ph="1"/>
      <c r="U1573" s="229"/>
      <c r="V1573" s="264"/>
      <c r="W1573" s="199"/>
      <c r="X1573" s="264"/>
      <c r="Y1573" s="264"/>
      <c r="Z1573" s="386"/>
      <c r="AA1573" s="264"/>
      <c r="AD1573" s="264"/>
      <c r="AE1573" s="264"/>
      <c r="AF1573" s="264"/>
      <c r="AG1573" s="264"/>
    </row>
    <row r="1574" spans="1:33" ht="26.25">
      <c r="A1574" s="264"/>
      <c r="B1574" s="264"/>
      <c r="C1574" s="264"/>
      <c r="D1574" s="264"/>
      <c r="E1574" s="264"/>
      <c r="F1574" s="264"/>
      <c r="G1574" s="264"/>
      <c r="H1574" s="264"/>
      <c r="I1574" s="264"/>
      <c r="J1574" s="327"/>
      <c r="K1574" s="327"/>
      <c r="L1574" s="327"/>
      <c r="M1574" s="321"/>
      <c r="N1574" s="321"/>
      <c r="O1574" s="364"/>
      <c r="P1574" s="376"/>
      <c r="R1574" s="393"/>
      <c r="S1574" s="61" ph="1"/>
      <c r="U1574" s="229"/>
      <c r="V1574" s="264"/>
      <c r="W1574" s="199"/>
      <c r="X1574" s="264"/>
      <c r="Y1574" s="264"/>
      <c r="Z1574" s="386"/>
      <c r="AA1574" s="126"/>
      <c r="AD1574" s="264"/>
      <c r="AE1574" s="264"/>
      <c r="AF1574" s="264"/>
      <c r="AG1574" s="264"/>
    </row>
    <row r="1575" spans="1:33" ht="26.25">
      <c r="A1575" s="264"/>
      <c r="B1575" s="264"/>
      <c r="C1575" s="264"/>
      <c r="D1575" s="264"/>
      <c r="E1575" s="264"/>
      <c r="F1575" s="264"/>
      <c r="G1575" s="264"/>
      <c r="H1575" s="264"/>
      <c r="I1575" s="264"/>
      <c r="J1575" s="327"/>
      <c r="K1575" s="327"/>
      <c r="L1575" s="327"/>
      <c r="M1575" s="321"/>
      <c r="N1575" s="321"/>
      <c r="O1575" s="364"/>
      <c r="P1575" s="376"/>
      <c r="R1575" s="393"/>
      <c r="S1575" s="61" ph="1"/>
      <c r="U1575" s="229"/>
      <c r="V1575" s="264"/>
      <c r="W1575" s="199"/>
      <c r="X1575" s="264"/>
      <c r="Y1575" s="264"/>
      <c r="Z1575" s="386"/>
      <c r="AA1575" s="264"/>
      <c r="AD1575" s="264"/>
      <c r="AE1575" s="264"/>
      <c r="AF1575" s="264"/>
      <c r="AG1575" s="264"/>
    </row>
    <row r="1576" spans="1:33" ht="26.25">
      <c r="A1576" s="264"/>
      <c r="B1576" s="264"/>
      <c r="C1576" s="264"/>
      <c r="D1576" s="264"/>
      <c r="E1576" s="264"/>
      <c r="F1576" s="264"/>
      <c r="G1576" s="264"/>
      <c r="H1576" s="264"/>
      <c r="I1576" s="264"/>
      <c r="J1576" s="327"/>
      <c r="K1576" s="327"/>
      <c r="L1576" s="327"/>
      <c r="M1576" s="321"/>
      <c r="N1576" s="321"/>
      <c r="O1576" s="364"/>
      <c r="P1576" s="376"/>
      <c r="R1576" s="393"/>
      <c r="S1576" s="61" ph="1"/>
      <c r="U1576" s="229"/>
      <c r="V1576" s="264"/>
      <c r="W1576" s="199"/>
      <c r="X1576" s="264"/>
      <c r="Y1576" s="264"/>
      <c r="Z1576" s="386"/>
      <c r="AA1576" s="264"/>
      <c r="AD1576" s="264"/>
      <c r="AE1576" s="264"/>
      <c r="AF1576" s="264"/>
      <c r="AG1576" s="264"/>
    </row>
    <row r="1577" spans="1:33" ht="26.25">
      <c r="A1577" s="264"/>
      <c r="B1577" s="264"/>
      <c r="C1577" s="264"/>
      <c r="D1577" s="264"/>
      <c r="E1577" s="264"/>
      <c r="F1577" s="264"/>
      <c r="G1577" s="264"/>
      <c r="H1577" s="264"/>
      <c r="I1577" s="264"/>
      <c r="J1577" s="327"/>
      <c r="K1577" s="327"/>
      <c r="L1577" s="327"/>
      <c r="M1577" s="321"/>
      <c r="N1577" s="321"/>
      <c r="O1577" s="364"/>
      <c r="P1577" s="376"/>
      <c r="R1577" s="393"/>
      <c r="S1577" s="61" ph="1"/>
      <c r="U1577" s="229"/>
      <c r="V1577" s="264"/>
      <c r="W1577" s="199"/>
      <c r="X1577" s="264"/>
      <c r="Y1577" s="264"/>
      <c r="Z1577" s="386"/>
      <c r="AA1577" s="264"/>
      <c r="AD1577" s="264"/>
      <c r="AE1577" s="264"/>
      <c r="AF1577" s="264"/>
      <c r="AG1577" s="264"/>
    </row>
    <row r="1578" spans="1:33" ht="26.25">
      <c r="A1578" s="264"/>
      <c r="B1578" s="264"/>
      <c r="C1578" s="264"/>
      <c r="D1578" s="264"/>
      <c r="E1578" s="264"/>
      <c r="F1578" s="264"/>
      <c r="G1578" s="264"/>
      <c r="H1578" s="264"/>
      <c r="I1578" s="264"/>
      <c r="J1578" s="327"/>
      <c r="K1578" s="327"/>
      <c r="L1578" s="327"/>
      <c r="M1578" s="321"/>
      <c r="N1578" s="321"/>
      <c r="O1578" s="364"/>
      <c r="P1578" s="376"/>
      <c r="R1578" s="393"/>
      <c r="S1578" s="61" ph="1"/>
      <c r="U1578" s="229"/>
      <c r="V1578" s="264"/>
      <c r="W1578" s="199"/>
      <c r="X1578" s="264"/>
      <c r="Y1578" s="264"/>
      <c r="Z1578" s="386"/>
      <c r="AA1578" s="126"/>
      <c r="AD1578" s="264"/>
      <c r="AE1578" s="264"/>
      <c r="AF1578" s="264"/>
      <c r="AG1578" s="264"/>
    </row>
    <row r="1579" spans="1:33" ht="26.25">
      <c r="A1579" s="264"/>
      <c r="B1579" s="264"/>
      <c r="C1579" s="264"/>
      <c r="D1579" s="264"/>
      <c r="E1579" s="264"/>
      <c r="F1579" s="264"/>
      <c r="G1579" s="264"/>
      <c r="H1579" s="264"/>
      <c r="I1579" s="264"/>
      <c r="J1579" s="327"/>
      <c r="K1579" s="327"/>
      <c r="L1579" s="327"/>
      <c r="M1579" s="321"/>
      <c r="N1579" s="321"/>
      <c r="O1579" s="364"/>
      <c r="P1579" s="376"/>
      <c r="R1579" s="393"/>
      <c r="S1579" s="61" ph="1"/>
      <c r="U1579" s="229"/>
      <c r="V1579" s="264"/>
      <c r="W1579" s="199"/>
      <c r="X1579" s="264"/>
      <c r="Y1579" s="264"/>
      <c r="Z1579" s="386"/>
      <c r="AA1579" s="264"/>
      <c r="AD1579" s="264"/>
      <c r="AE1579" s="264"/>
      <c r="AF1579" s="264"/>
      <c r="AG1579" s="264"/>
    </row>
    <row r="1580" spans="1:33" ht="26.25">
      <c r="A1580" s="264"/>
      <c r="B1580" s="264"/>
      <c r="C1580" s="264"/>
      <c r="D1580" s="264"/>
      <c r="E1580" s="264"/>
      <c r="F1580" s="264"/>
      <c r="G1580" s="264"/>
      <c r="H1580" s="264"/>
      <c r="I1580" s="264"/>
      <c r="J1580" s="327"/>
      <c r="K1580" s="327"/>
      <c r="L1580" s="327"/>
      <c r="M1580" s="321"/>
      <c r="N1580" s="321"/>
      <c r="O1580" s="364"/>
      <c r="P1580" s="376"/>
      <c r="R1580" s="393"/>
      <c r="S1580" s="61" ph="1"/>
      <c r="U1580" s="229"/>
      <c r="V1580" s="264"/>
      <c r="W1580" s="199"/>
      <c r="X1580" s="264"/>
      <c r="Y1580" s="264"/>
      <c r="Z1580" s="386"/>
      <c r="AA1580" s="264"/>
      <c r="AD1580" s="264"/>
      <c r="AE1580" s="264"/>
      <c r="AF1580" s="264"/>
      <c r="AG1580" s="264"/>
    </row>
    <row r="1581" spans="1:33" ht="26.25">
      <c r="A1581" s="264"/>
      <c r="B1581" s="264"/>
      <c r="C1581" s="264"/>
      <c r="D1581" s="264"/>
      <c r="E1581" s="264"/>
      <c r="F1581" s="264"/>
      <c r="G1581" s="264"/>
      <c r="H1581" s="264"/>
      <c r="I1581" s="264"/>
      <c r="J1581" s="327"/>
      <c r="K1581" s="327"/>
      <c r="L1581" s="327"/>
      <c r="M1581" s="321"/>
      <c r="N1581" s="321"/>
      <c r="O1581" s="364"/>
      <c r="P1581" s="376"/>
      <c r="R1581" s="393"/>
      <c r="S1581" s="61" ph="1"/>
      <c r="U1581" s="229"/>
      <c r="V1581" s="264"/>
      <c r="W1581" s="199"/>
      <c r="X1581" s="264"/>
      <c r="Y1581" s="264"/>
      <c r="Z1581" s="386"/>
      <c r="AA1581" s="126"/>
      <c r="AD1581" s="264"/>
      <c r="AE1581" s="264"/>
      <c r="AF1581" s="264"/>
      <c r="AG1581" s="264"/>
    </row>
    <row r="1582" spans="1:33" ht="26.25">
      <c r="A1582" s="264"/>
      <c r="B1582" s="264"/>
      <c r="C1582" s="264"/>
      <c r="D1582" s="264"/>
      <c r="E1582" s="264"/>
      <c r="F1582" s="264"/>
      <c r="G1582" s="264"/>
      <c r="H1582" s="264"/>
      <c r="I1582" s="264"/>
      <c r="J1582" s="327"/>
      <c r="K1582" s="327"/>
      <c r="L1582" s="327"/>
      <c r="M1582" s="321"/>
      <c r="N1582" s="321"/>
      <c r="O1582" s="364"/>
      <c r="P1582" s="376"/>
      <c r="R1582" s="393"/>
      <c r="S1582" s="61" ph="1"/>
      <c r="U1582" s="229"/>
      <c r="V1582" s="264"/>
      <c r="W1582" s="199"/>
      <c r="X1582" s="264"/>
      <c r="Y1582" s="264"/>
      <c r="Z1582" s="386"/>
      <c r="AA1582" s="126"/>
      <c r="AD1582" s="264"/>
      <c r="AE1582" s="264"/>
      <c r="AF1582" s="264"/>
      <c r="AG1582" s="264"/>
    </row>
    <row r="1583" spans="1:33" ht="26.25">
      <c r="A1583" s="264"/>
      <c r="B1583" s="264"/>
      <c r="C1583" s="264"/>
      <c r="D1583" s="264"/>
      <c r="E1583" s="264"/>
      <c r="F1583" s="264"/>
      <c r="G1583" s="264"/>
      <c r="H1583" s="264"/>
      <c r="I1583" s="264"/>
      <c r="J1583" s="327"/>
      <c r="K1583" s="327"/>
      <c r="L1583" s="327"/>
      <c r="M1583" s="321"/>
      <c r="N1583" s="321"/>
      <c r="O1583" s="364"/>
      <c r="P1583" s="376"/>
      <c r="R1583" s="393"/>
      <c r="S1583" s="61" ph="1"/>
      <c r="U1583" s="229"/>
      <c r="V1583" s="264"/>
      <c r="W1583" s="199"/>
      <c r="X1583" s="264"/>
      <c r="Y1583" s="264"/>
      <c r="Z1583" s="386"/>
      <c r="AD1583" s="264"/>
      <c r="AE1583" s="264"/>
      <c r="AF1583" s="264"/>
      <c r="AG1583" s="264"/>
    </row>
    <row r="1584" spans="1:33" ht="26.25">
      <c r="A1584" s="264"/>
      <c r="B1584" s="264"/>
      <c r="C1584" s="264"/>
      <c r="D1584" s="264"/>
      <c r="E1584" s="264"/>
      <c r="F1584" s="264"/>
      <c r="G1584" s="264"/>
      <c r="H1584" s="264"/>
      <c r="I1584" s="264"/>
      <c r="J1584" s="327"/>
      <c r="K1584" s="327"/>
      <c r="L1584" s="327"/>
      <c r="M1584" s="321"/>
      <c r="N1584" s="321"/>
      <c r="O1584" s="364"/>
      <c r="P1584" s="376"/>
      <c r="R1584" s="393"/>
      <c r="S1584" s="61" ph="1"/>
      <c r="U1584" s="229"/>
      <c r="V1584" s="264"/>
      <c r="W1584" s="199"/>
      <c r="X1584" s="264"/>
      <c r="Y1584" s="264"/>
      <c r="Z1584" s="386"/>
      <c r="AD1584" s="264"/>
      <c r="AE1584" s="264"/>
      <c r="AF1584" s="264"/>
      <c r="AG1584" s="264"/>
    </row>
    <row r="1585" spans="1:33" ht="26.25">
      <c r="A1585" s="264"/>
      <c r="B1585" s="264"/>
      <c r="C1585" s="264"/>
      <c r="D1585" s="264"/>
      <c r="E1585" s="264"/>
      <c r="F1585" s="264"/>
      <c r="G1585" s="264"/>
      <c r="H1585" s="264"/>
      <c r="I1585" s="264"/>
      <c r="J1585" s="327"/>
      <c r="K1585" s="327"/>
      <c r="L1585" s="327"/>
      <c r="M1585" s="321"/>
      <c r="N1585" s="321"/>
      <c r="O1585" s="364"/>
      <c r="P1585" s="376"/>
      <c r="R1585" s="393"/>
      <c r="S1585" s="61" ph="1"/>
      <c r="U1585" s="229"/>
      <c r="V1585" s="264"/>
      <c r="W1585" s="199"/>
      <c r="X1585" s="264"/>
      <c r="Y1585" s="264"/>
      <c r="Z1585" s="386"/>
      <c r="AD1585" s="264"/>
      <c r="AE1585" s="264"/>
      <c r="AF1585" s="264"/>
      <c r="AG1585" s="264"/>
    </row>
    <row r="1586" spans="1:33" ht="26.25">
      <c r="A1586" s="264"/>
      <c r="B1586" s="264"/>
      <c r="C1586" s="264"/>
      <c r="D1586" s="264"/>
      <c r="E1586" s="264"/>
      <c r="F1586" s="264"/>
      <c r="G1586" s="264"/>
      <c r="H1586" s="264"/>
      <c r="I1586" s="264"/>
      <c r="J1586" s="327"/>
      <c r="K1586" s="327"/>
      <c r="L1586" s="327"/>
      <c r="M1586" s="321"/>
      <c r="N1586" s="321"/>
      <c r="O1586" s="364"/>
      <c r="P1586" s="376"/>
      <c r="R1586" s="393"/>
      <c r="S1586" s="61" ph="1"/>
      <c r="U1586" s="229"/>
      <c r="V1586" s="264"/>
      <c r="W1586" s="199"/>
      <c r="X1586" s="264"/>
      <c r="Y1586" s="264"/>
      <c r="Z1586" s="386"/>
      <c r="AD1586" s="264"/>
      <c r="AE1586" s="264"/>
      <c r="AF1586" s="264"/>
      <c r="AG1586" s="264"/>
    </row>
    <row r="1587" spans="1:33" ht="26.25">
      <c r="A1587" s="264"/>
      <c r="B1587" s="264"/>
      <c r="C1587" s="264"/>
      <c r="D1587" s="264"/>
      <c r="E1587" s="264"/>
      <c r="F1587" s="264"/>
      <c r="G1587" s="264"/>
      <c r="H1587" s="264"/>
      <c r="I1587" s="264"/>
      <c r="J1587" s="327"/>
      <c r="K1587" s="327"/>
      <c r="L1587" s="327"/>
      <c r="M1587" s="321"/>
      <c r="N1587" s="321"/>
      <c r="O1587" s="364"/>
      <c r="P1587" s="376"/>
      <c r="R1587" s="393"/>
      <c r="S1587" s="61" ph="1"/>
      <c r="U1587" s="229"/>
      <c r="V1587" s="264"/>
      <c r="W1587" s="199"/>
      <c r="X1587" s="264"/>
      <c r="Y1587" s="264"/>
      <c r="Z1587" s="386"/>
      <c r="AD1587" s="264"/>
      <c r="AE1587" s="264"/>
      <c r="AF1587" s="264"/>
      <c r="AG1587" s="264"/>
    </row>
    <row r="1588" spans="1:33" ht="26.25">
      <c r="A1588" s="264"/>
      <c r="B1588" s="264"/>
      <c r="C1588" s="264"/>
      <c r="D1588" s="264"/>
      <c r="E1588" s="264"/>
      <c r="F1588" s="264"/>
      <c r="G1588" s="264"/>
      <c r="H1588" s="264"/>
      <c r="I1588" s="264"/>
      <c r="J1588" s="327"/>
      <c r="K1588" s="327"/>
      <c r="L1588" s="327"/>
      <c r="M1588" s="321"/>
      <c r="N1588" s="321"/>
      <c r="O1588" s="364"/>
      <c r="P1588" s="376"/>
      <c r="R1588" s="393"/>
      <c r="S1588" s="61" ph="1"/>
      <c r="U1588" s="229"/>
      <c r="V1588" s="264"/>
      <c r="W1588" s="199"/>
      <c r="X1588" s="264"/>
      <c r="Y1588" s="264"/>
      <c r="Z1588" s="386"/>
      <c r="AD1588" s="264"/>
      <c r="AE1588" s="264"/>
      <c r="AF1588" s="264"/>
      <c r="AG1588" s="264"/>
    </row>
    <row r="1589" spans="1:33" ht="26.25">
      <c r="A1589" s="264"/>
      <c r="B1589" s="264"/>
      <c r="C1589" s="264"/>
      <c r="D1589" s="264"/>
      <c r="E1589" s="264"/>
      <c r="F1589" s="264"/>
      <c r="G1589" s="264"/>
      <c r="H1589" s="264"/>
      <c r="I1589" s="264"/>
      <c r="J1589" s="327"/>
      <c r="K1589" s="327"/>
      <c r="L1589" s="327"/>
      <c r="M1589" s="321"/>
      <c r="N1589" s="321"/>
      <c r="O1589" s="364"/>
      <c r="P1589" s="376"/>
      <c r="R1589" s="393"/>
      <c r="S1589" s="61" ph="1"/>
      <c r="U1589" s="229"/>
      <c r="V1589" s="264"/>
      <c r="W1589" s="199"/>
      <c r="X1589" s="264"/>
      <c r="Y1589" s="264"/>
      <c r="Z1589" s="386"/>
      <c r="AD1589" s="264"/>
      <c r="AE1589" s="264"/>
      <c r="AF1589" s="264"/>
      <c r="AG1589" s="264"/>
    </row>
    <row r="1590" spans="1:33" ht="26.25">
      <c r="A1590" s="264"/>
      <c r="B1590" s="264"/>
      <c r="C1590" s="264"/>
      <c r="D1590" s="264"/>
      <c r="E1590" s="264"/>
      <c r="F1590" s="264"/>
      <c r="G1590" s="264"/>
      <c r="H1590" s="264"/>
      <c r="I1590" s="264"/>
      <c r="J1590" s="327"/>
      <c r="K1590" s="327"/>
      <c r="L1590" s="327"/>
      <c r="M1590" s="321"/>
      <c r="N1590" s="321"/>
      <c r="O1590" s="364"/>
      <c r="P1590" s="376"/>
      <c r="R1590" s="393"/>
      <c r="S1590" s="61" ph="1"/>
      <c r="U1590" s="229"/>
      <c r="V1590" s="264"/>
      <c r="W1590" s="199"/>
      <c r="X1590" s="264"/>
      <c r="Y1590" s="264"/>
      <c r="Z1590" s="386"/>
      <c r="AD1590" s="264"/>
      <c r="AE1590" s="264"/>
      <c r="AF1590" s="264"/>
      <c r="AG1590" s="264"/>
    </row>
    <row r="1591" spans="1:33" ht="26.25">
      <c r="A1591" s="264"/>
      <c r="B1591" s="264"/>
      <c r="C1591" s="264"/>
      <c r="D1591" s="264"/>
      <c r="E1591" s="264"/>
      <c r="F1591" s="264"/>
      <c r="G1591" s="264"/>
      <c r="H1591" s="264"/>
      <c r="I1591" s="264"/>
      <c r="J1591" s="327"/>
      <c r="K1591" s="327"/>
      <c r="L1591" s="327"/>
      <c r="M1591" s="321"/>
      <c r="N1591" s="321"/>
      <c r="O1591" s="364"/>
      <c r="P1591" s="376"/>
      <c r="R1591" s="393"/>
      <c r="S1591" s="61" ph="1"/>
      <c r="U1591" s="229"/>
      <c r="V1591" s="264"/>
      <c r="W1591" s="199"/>
      <c r="X1591" s="264"/>
      <c r="Y1591" s="264"/>
      <c r="Z1591" s="386"/>
      <c r="AD1591" s="264"/>
      <c r="AE1591" s="264"/>
      <c r="AF1591" s="264"/>
      <c r="AG1591" s="264"/>
    </row>
    <row r="1592" spans="1:33" ht="26.25">
      <c r="A1592" s="264"/>
      <c r="B1592" s="264"/>
      <c r="C1592" s="264"/>
      <c r="D1592" s="264"/>
      <c r="E1592" s="264"/>
      <c r="F1592" s="264"/>
      <c r="G1592" s="264"/>
      <c r="H1592" s="264"/>
      <c r="I1592" s="264"/>
      <c r="J1592" s="327"/>
      <c r="K1592" s="327"/>
      <c r="L1592" s="327"/>
      <c r="M1592" s="321"/>
      <c r="N1592" s="321"/>
      <c r="O1592" s="364"/>
      <c r="P1592" s="376"/>
      <c r="R1592" s="393"/>
      <c r="S1592" s="61" ph="1"/>
      <c r="U1592" s="229"/>
      <c r="V1592" s="264"/>
      <c r="W1592" s="199"/>
      <c r="X1592" s="264"/>
      <c r="Y1592" s="264"/>
      <c r="Z1592" s="386"/>
      <c r="AD1592" s="264"/>
      <c r="AE1592" s="264"/>
      <c r="AF1592" s="264"/>
      <c r="AG1592" s="264"/>
    </row>
    <row r="1593" spans="1:33" ht="26.25">
      <c r="A1593" s="264"/>
      <c r="B1593" s="264"/>
      <c r="C1593" s="264"/>
      <c r="D1593" s="264"/>
      <c r="E1593" s="264"/>
      <c r="F1593" s="264"/>
      <c r="G1593" s="264"/>
      <c r="H1593" s="264"/>
      <c r="I1593" s="264"/>
      <c r="J1593" s="327"/>
      <c r="K1593" s="327"/>
      <c r="L1593" s="327"/>
      <c r="M1593" s="321"/>
      <c r="N1593" s="321"/>
      <c r="O1593" s="364"/>
      <c r="P1593" s="376"/>
      <c r="R1593" s="393"/>
      <c r="S1593" s="61" ph="1"/>
      <c r="U1593" s="229"/>
      <c r="V1593" s="264"/>
      <c r="W1593" s="199"/>
      <c r="X1593" s="264"/>
      <c r="Y1593" s="264"/>
      <c r="Z1593" s="386"/>
      <c r="AD1593" s="264"/>
      <c r="AE1593" s="264"/>
      <c r="AF1593" s="264"/>
      <c r="AG1593" s="264"/>
    </row>
    <row r="1594" spans="1:33" ht="26.25">
      <c r="A1594" s="264"/>
      <c r="B1594" s="264"/>
      <c r="C1594" s="264"/>
      <c r="D1594" s="264"/>
      <c r="E1594" s="264"/>
      <c r="F1594" s="264"/>
      <c r="G1594" s="264"/>
      <c r="H1594" s="264"/>
      <c r="I1594" s="264"/>
      <c r="J1594" s="327"/>
      <c r="K1594" s="327"/>
      <c r="L1594" s="327"/>
      <c r="M1594" s="321"/>
      <c r="N1594" s="321"/>
      <c r="O1594" s="364"/>
      <c r="P1594" s="376"/>
      <c r="R1594" s="393"/>
      <c r="S1594" s="61" ph="1"/>
      <c r="U1594" s="229"/>
      <c r="V1594" s="264"/>
      <c r="W1594" s="199"/>
      <c r="X1594" s="264"/>
      <c r="Y1594" s="264"/>
      <c r="Z1594" s="386"/>
      <c r="AD1594" s="264"/>
      <c r="AE1594" s="264"/>
      <c r="AF1594" s="264"/>
      <c r="AG1594" s="264"/>
    </row>
    <row r="1595" spans="1:33" ht="26.25">
      <c r="A1595" s="264"/>
      <c r="B1595" s="264"/>
      <c r="C1595" s="264"/>
      <c r="D1595" s="264"/>
      <c r="E1595" s="264"/>
      <c r="F1595" s="264"/>
      <c r="G1595" s="264"/>
      <c r="H1595" s="264"/>
      <c r="I1595" s="264"/>
      <c r="J1595" s="327"/>
      <c r="K1595" s="327"/>
      <c r="L1595" s="327"/>
      <c r="M1595" s="321"/>
      <c r="N1595" s="321"/>
      <c r="O1595" s="364"/>
      <c r="P1595" s="376"/>
      <c r="R1595" s="393"/>
      <c r="S1595" s="61" ph="1"/>
      <c r="U1595" s="229"/>
      <c r="V1595" s="264"/>
      <c r="W1595" s="199"/>
      <c r="X1595" s="264"/>
      <c r="Y1595" s="264"/>
      <c r="Z1595" s="386"/>
      <c r="AD1595" s="264"/>
      <c r="AE1595" s="264"/>
      <c r="AF1595" s="264"/>
      <c r="AG1595" s="264"/>
    </row>
    <row r="1596" spans="1:33" ht="26.25">
      <c r="A1596" s="264"/>
      <c r="B1596" s="264"/>
      <c r="C1596" s="264"/>
      <c r="D1596" s="264"/>
      <c r="E1596" s="264"/>
      <c r="F1596" s="264"/>
      <c r="G1596" s="264"/>
      <c r="H1596" s="264"/>
      <c r="I1596" s="264"/>
      <c r="J1596" s="327"/>
      <c r="K1596" s="327"/>
      <c r="L1596" s="327"/>
      <c r="M1596" s="321"/>
      <c r="N1596" s="321"/>
      <c r="O1596" s="364"/>
      <c r="P1596" s="376"/>
      <c r="R1596" s="393"/>
      <c r="S1596" s="61" ph="1"/>
      <c r="U1596" s="229"/>
      <c r="V1596" s="264"/>
      <c r="W1596" s="199"/>
      <c r="X1596" s="264"/>
      <c r="Y1596" s="264"/>
      <c r="Z1596" s="386"/>
      <c r="AD1596" s="264"/>
      <c r="AE1596" s="264"/>
      <c r="AF1596" s="264"/>
      <c r="AG1596" s="264"/>
    </row>
    <row r="1597" spans="1:33" ht="26.25">
      <c r="A1597" s="264"/>
      <c r="B1597" s="264"/>
      <c r="C1597" s="264"/>
      <c r="D1597" s="264"/>
      <c r="E1597" s="264"/>
      <c r="F1597" s="264"/>
      <c r="G1597" s="264"/>
      <c r="H1597" s="264"/>
      <c r="I1597" s="264"/>
      <c r="J1597" s="327"/>
      <c r="K1597" s="327"/>
      <c r="L1597" s="327"/>
      <c r="M1597" s="321"/>
      <c r="N1597" s="321"/>
      <c r="O1597" s="364"/>
      <c r="P1597" s="376"/>
      <c r="R1597" s="393"/>
      <c r="S1597" s="61" ph="1"/>
      <c r="U1597" s="229"/>
      <c r="V1597" s="264"/>
      <c r="W1597" s="199"/>
      <c r="X1597" s="264"/>
      <c r="Y1597" s="264"/>
      <c r="Z1597" s="386"/>
      <c r="AD1597" s="264"/>
      <c r="AE1597" s="264"/>
      <c r="AF1597" s="264"/>
      <c r="AG1597" s="264"/>
    </row>
    <row r="1598" spans="1:33" ht="26.25">
      <c r="A1598" s="264"/>
      <c r="B1598" s="264"/>
      <c r="C1598" s="264"/>
      <c r="D1598" s="264"/>
      <c r="E1598" s="264"/>
      <c r="F1598" s="264"/>
      <c r="G1598" s="264"/>
      <c r="H1598" s="264"/>
      <c r="I1598" s="264"/>
      <c r="J1598" s="327"/>
      <c r="K1598" s="327"/>
      <c r="L1598" s="327"/>
      <c r="M1598" s="321"/>
      <c r="N1598" s="321"/>
      <c r="O1598" s="364"/>
      <c r="P1598" s="376"/>
      <c r="R1598" s="393"/>
      <c r="S1598" s="61" ph="1"/>
      <c r="U1598" s="229"/>
      <c r="V1598" s="264"/>
      <c r="W1598" s="199"/>
      <c r="X1598" s="264"/>
      <c r="Y1598" s="264"/>
      <c r="Z1598" s="386"/>
      <c r="AD1598" s="264"/>
      <c r="AE1598" s="264"/>
      <c r="AF1598" s="264"/>
      <c r="AG1598" s="264"/>
    </row>
    <row r="1599" spans="1:33" ht="26.25">
      <c r="A1599" s="264"/>
      <c r="B1599" s="264"/>
      <c r="C1599" s="264"/>
      <c r="D1599" s="264"/>
      <c r="E1599" s="264"/>
      <c r="F1599" s="264"/>
      <c r="G1599" s="264"/>
      <c r="H1599" s="264"/>
      <c r="I1599" s="264"/>
      <c r="J1599" s="327"/>
      <c r="K1599" s="327"/>
      <c r="L1599" s="327"/>
      <c r="M1599" s="321"/>
      <c r="N1599" s="321"/>
      <c r="O1599" s="364"/>
      <c r="P1599" s="376"/>
      <c r="R1599" s="393"/>
      <c r="S1599" s="61" ph="1"/>
      <c r="U1599" s="229"/>
      <c r="V1599" s="264"/>
      <c r="W1599" s="199"/>
      <c r="X1599" s="264"/>
      <c r="Y1599" s="264"/>
      <c r="Z1599" s="386"/>
      <c r="AD1599" s="264"/>
      <c r="AE1599" s="264"/>
      <c r="AF1599" s="264"/>
      <c r="AG1599" s="264"/>
    </row>
    <row r="1600" spans="1:33" ht="26.25">
      <c r="A1600" s="264"/>
      <c r="B1600" s="264"/>
      <c r="C1600" s="264"/>
      <c r="D1600" s="264"/>
      <c r="E1600" s="264"/>
      <c r="F1600" s="264"/>
      <c r="G1600" s="264"/>
      <c r="H1600" s="264"/>
      <c r="I1600" s="264"/>
      <c r="J1600" s="327"/>
      <c r="K1600" s="327"/>
      <c r="L1600" s="327"/>
      <c r="M1600" s="321"/>
      <c r="N1600" s="321"/>
      <c r="O1600" s="364"/>
      <c r="P1600" s="376"/>
      <c r="R1600" s="393"/>
      <c r="S1600" s="61" ph="1"/>
      <c r="U1600" s="229"/>
      <c r="V1600" s="264"/>
      <c r="W1600" s="199"/>
      <c r="X1600" s="264"/>
      <c r="Y1600" s="264"/>
      <c r="Z1600" s="386"/>
      <c r="AD1600" s="264"/>
      <c r="AE1600" s="264"/>
      <c r="AF1600" s="264"/>
      <c r="AG1600" s="264"/>
    </row>
    <row r="1601" spans="1:33" ht="26.25">
      <c r="A1601" s="264"/>
      <c r="B1601" s="264"/>
      <c r="C1601" s="264"/>
      <c r="D1601" s="264"/>
      <c r="E1601" s="264"/>
      <c r="F1601" s="264"/>
      <c r="G1601" s="264"/>
      <c r="H1601" s="264"/>
      <c r="I1601" s="264"/>
      <c r="J1601" s="327"/>
      <c r="K1601" s="327"/>
      <c r="L1601" s="327"/>
      <c r="M1601" s="321"/>
      <c r="N1601" s="321"/>
      <c r="O1601" s="364"/>
      <c r="P1601" s="376"/>
      <c r="R1601" s="393"/>
      <c r="S1601" s="61" ph="1"/>
      <c r="U1601" s="229"/>
      <c r="V1601" s="264"/>
      <c r="W1601" s="199"/>
      <c r="X1601" s="264"/>
      <c r="Y1601" s="264"/>
      <c r="Z1601" s="386"/>
      <c r="AD1601" s="264"/>
      <c r="AE1601" s="264"/>
      <c r="AF1601" s="264"/>
      <c r="AG1601" s="264"/>
    </row>
    <row r="1602" spans="1:33" ht="26.25">
      <c r="A1602" s="264"/>
      <c r="B1602" s="264"/>
      <c r="C1602" s="264"/>
      <c r="D1602" s="264"/>
      <c r="E1602" s="264"/>
      <c r="F1602" s="264"/>
      <c r="G1602" s="264"/>
      <c r="H1602" s="264"/>
      <c r="I1602" s="264"/>
      <c r="J1602" s="327"/>
      <c r="K1602" s="327"/>
      <c r="L1602" s="327"/>
      <c r="M1602" s="321"/>
      <c r="N1602" s="321"/>
      <c r="O1602" s="364"/>
      <c r="P1602" s="376"/>
      <c r="R1602" s="393"/>
      <c r="S1602" s="61" ph="1"/>
      <c r="U1602" s="229"/>
      <c r="V1602" s="264"/>
      <c r="W1602" s="199"/>
      <c r="X1602" s="264"/>
      <c r="Y1602" s="264"/>
      <c r="Z1602" s="386"/>
      <c r="AD1602" s="264"/>
      <c r="AE1602" s="264"/>
      <c r="AF1602" s="264"/>
      <c r="AG1602" s="264"/>
    </row>
    <row r="1603" spans="1:33" ht="26.25">
      <c r="A1603" s="264"/>
      <c r="B1603" s="264"/>
      <c r="C1603" s="264"/>
      <c r="D1603" s="264"/>
      <c r="E1603" s="264"/>
      <c r="F1603" s="264"/>
      <c r="G1603" s="264"/>
      <c r="H1603" s="264"/>
      <c r="I1603" s="264"/>
      <c r="J1603" s="327"/>
      <c r="K1603" s="327"/>
      <c r="L1603" s="327"/>
      <c r="M1603" s="321"/>
      <c r="N1603" s="321"/>
      <c r="O1603" s="364"/>
      <c r="P1603" s="376"/>
      <c r="R1603" s="393"/>
      <c r="S1603" s="61" ph="1"/>
      <c r="U1603" s="229"/>
      <c r="V1603" s="264"/>
      <c r="W1603" s="199"/>
      <c r="X1603" s="264"/>
      <c r="Y1603" s="264"/>
      <c r="Z1603" s="386"/>
      <c r="AD1603" s="264"/>
      <c r="AE1603" s="264"/>
      <c r="AF1603" s="264"/>
      <c r="AG1603" s="264"/>
    </row>
    <row r="1604" spans="1:33" ht="26.25">
      <c r="A1604" s="264"/>
      <c r="B1604" s="264"/>
      <c r="C1604" s="264"/>
      <c r="D1604" s="264"/>
      <c r="E1604" s="264"/>
      <c r="F1604" s="264"/>
      <c r="G1604" s="264"/>
      <c r="H1604" s="264"/>
      <c r="I1604" s="264"/>
      <c r="J1604" s="327"/>
      <c r="K1604" s="327"/>
      <c r="L1604" s="327"/>
      <c r="M1604" s="321"/>
      <c r="N1604" s="321"/>
      <c r="O1604" s="364"/>
      <c r="P1604" s="376"/>
      <c r="R1604" s="393"/>
      <c r="S1604" s="61" ph="1"/>
      <c r="U1604" s="229"/>
      <c r="V1604" s="264"/>
      <c r="W1604" s="199"/>
      <c r="X1604" s="264"/>
      <c r="Y1604" s="264"/>
      <c r="Z1604" s="386"/>
      <c r="AD1604" s="264"/>
      <c r="AE1604" s="264"/>
      <c r="AF1604" s="264"/>
      <c r="AG1604" s="264"/>
    </row>
    <row r="1605" spans="1:33" ht="26.25">
      <c r="A1605" s="264"/>
      <c r="B1605" s="264"/>
      <c r="C1605" s="264"/>
      <c r="D1605" s="264"/>
      <c r="E1605" s="264"/>
      <c r="F1605" s="264"/>
      <c r="G1605" s="264"/>
      <c r="H1605" s="264"/>
      <c r="I1605" s="264"/>
      <c r="J1605" s="327"/>
      <c r="K1605" s="327"/>
      <c r="L1605" s="327"/>
      <c r="M1605" s="321"/>
      <c r="N1605" s="321"/>
      <c r="O1605" s="364"/>
      <c r="P1605" s="376"/>
      <c r="R1605" s="393"/>
      <c r="S1605" s="61" ph="1"/>
      <c r="U1605" s="229"/>
      <c r="V1605" s="264"/>
      <c r="W1605" s="199"/>
      <c r="X1605" s="264"/>
      <c r="Y1605" s="264"/>
      <c r="Z1605" s="386"/>
      <c r="AD1605" s="264"/>
      <c r="AE1605" s="264"/>
      <c r="AF1605" s="264"/>
      <c r="AG1605" s="264"/>
    </row>
    <row r="1606" spans="1:33" ht="26.25">
      <c r="A1606" s="264"/>
      <c r="B1606" s="264"/>
      <c r="C1606" s="264"/>
      <c r="D1606" s="264"/>
      <c r="E1606" s="264"/>
      <c r="F1606" s="264"/>
      <c r="G1606" s="264"/>
      <c r="H1606" s="264"/>
      <c r="I1606" s="264"/>
      <c r="J1606" s="327"/>
      <c r="K1606" s="327"/>
      <c r="L1606" s="327"/>
      <c r="M1606" s="321"/>
      <c r="N1606" s="321"/>
      <c r="O1606" s="364"/>
      <c r="P1606" s="376"/>
      <c r="R1606" s="393"/>
      <c r="S1606" s="61" ph="1"/>
      <c r="U1606" s="229"/>
      <c r="V1606" s="264"/>
      <c r="W1606" s="199"/>
      <c r="X1606" s="264"/>
      <c r="Y1606" s="264"/>
      <c r="Z1606" s="386"/>
      <c r="AD1606" s="264"/>
      <c r="AE1606" s="264"/>
      <c r="AF1606" s="264"/>
      <c r="AG1606" s="264"/>
    </row>
    <row r="1607" spans="1:33" ht="26.25">
      <c r="A1607" s="264"/>
      <c r="B1607" s="264"/>
      <c r="C1607" s="264"/>
      <c r="D1607" s="264"/>
      <c r="E1607" s="264"/>
      <c r="F1607" s="264"/>
      <c r="G1607" s="264"/>
      <c r="H1607" s="264"/>
      <c r="I1607" s="264"/>
      <c r="J1607" s="327"/>
      <c r="K1607" s="327"/>
      <c r="L1607" s="327"/>
      <c r="M1607" s="321"/>
      <c r="N1607" s="321"/>
      <c r="O1607" s="364"/>
      <c r="P1607" s="376"/>
      <c r="R1607" s="393"/>
      <c r="S1607" s="61" ph="1"/>
      <c r="U1607" s="229"/>
      <c r="V1607" s="264"/>
      <c r="W1607" s="199"/>
      <c r="X1607" s="264"/>
      <c r="Y1607" s="264"/>
      <c r="Z1607" s="386"/>
      <c r="AD1607" s="264"/>
      <c r="AE1607" s="264"/>
      <c r="AF1607" s="264"/>
      <c r="AG1607" s="264"/>
    </row>
    <row r="1608" spans="1:33" ht="26.25">
      <c r="A1608" s="264"/>
      <c r="B1608" s="264"/>
      <c r="C1608" s="264"/>
      <c r="D1608" s="264"/>
      <c r="E1608" s="264"/>
      <c r="F1608" s="264"/>
      <c r="G1608" s="264"/>
      <c r="H1608" s="264"/>
      <c r="I1608" s="264"/>
      <c r="J1608" s="327"/>
      <c r="K1608" s="327"/>
      <c r="L1608" s="327"/>
      <c r="M1608" s="321"/>
      <c r="N1608" s="321"/>
      <c r="O1608" s="364"/>
      <c r="P1608" s="376"/>
      <c r="R1608" s="393"/>
      <c r="S1608" s="61" ph="1"/>
      <c r="U1608" s="229"/>
      <c r="V1608" s="264"/>
      <c r="W1608" s="199"/>
      <c r="X1608" s="264"/>
      <c r="Y1608" s="264"/>
      <c r="Z1608" s="386"/>
      <c r="AD1608" s="264"/>
      <c r="AE1608" s="264"/>
      <c r="AF1608" s="264"/>
      <c r="AG1608" s="264"/>
    </row>
    <row r="1609" spans="1:33" ht="26.25">
      <c r="A1609" s="264"/>
      <c r="B1609" s="264"/>
      <c r="C1609" s="264"/>
      <c r="D1609" s="264"/>
      <c r="E1609" s="264"/>
      <c r="F1609" s="264"/>
      <c r="G1609" s="264"/>
      <c r="H1609" s="264"/>
      <c r="I1609" s="264"/>
      <c r="J1609" s="327"/>
      <c r="K1609" s="327"/>
      <c r="L1609" s="327"/>
      <c r="M1609" s="321"/>
      <c r="N1609" s="321"/>
      <c r="O1609" s="364"/>
      <c r="P1609" s="376"/>
      <c r="R1609" s="393"/>
      <c r="S1609" s="61" ph="1"/>
      <c r="U1609" s="229"/>
      <c r="V1609" s="264"/>
      <c r="W1609" s="199"/>
      <c r="X1609" s="264"/>
      <c r="Y1609" s="264"/>
      <c r="Z1609" s="386"/>
      <c r="AD1609" s="264"/>
      <c r="AE1609" s="264"/>
      <c r="AF1609" s="264"/>
      <c r="AG1609" s="264"/>
    </row>
    <row r="1610" spans="1:33" ht="26.25">
      <c r="A1610" s="264"/>
      <c r="B1610" s="264"/>
      <c r="C1610" s="264"/>
      <c r="D1610" s="264"/>
      <c r="E1610" s="264"/>
      <c r="F1610" s="264"/>
      <c r="G1610" s="264"/>
      <c r="H1610" s="264"/>
      <c r="I1610" s="264"/>
      <c r="J1610" s="327"/>
      <c r="K1610" s="327"/>
      <c r="L1610" s="327"/>
      <c r="M1610" s="321"/>
      <c r="N1610" s="321"/>
      <c r="O1610" s="364"/>
      <c r="P1610" s="376"/>
      <c r="R1610" s="393"/>
      <c r="S1610" s="61" ph="1"/>
      <c r="U1610" s="229"/>
      <c r="V1610" s="264"/>
      <c r="W1610" s="199"/>
      <c r="X1610" s="264"/>
      <c r="Y1610" s="264"/>
      <c r="Z1610" s="386"/>
      <c r="AD1610" s="264"/>
      <c r="AE1610" s="264"/>
      <c r="AF1610" s="264"/>
      <c r="AG1610" s="264"/>
    </row>
    <row r="1611" spans="1:33" ht="26.25">
      <c r="A1611" s="264"/>
      <c r="B1611" s="264"/>
      <c r="C1611" s="264"/>
      <c r="D1611" s="264"/>
      <c r="E1611" s="264"/>
      <c r="F1611" s="264"/>
      <c r="G1611" s="264"/>
      <c r="H1611" s="264"/>
      <c r="I1611" s="264"/>
      <c r="J1611" s="327"/>
      <c r="K1611" s="327"/>
      <c r="L1611" s="327"/>
      <c r="M1611" s="321"/>
      <c r="N1611" s="321"/>
      <c r="O1611" s="364"/>
      <c r="P1611" s="376"/>
      <c r="R1611" s="393"/>
      <c r="S1611" s="61" ph="1"/>
      <c r="U1611" s="229"/>
      <c r="V1611" s="264"/>
      <c r="W1611" s="199"/>
      <c r="X1611" s="264"/>
      <c r="Y1611" s="264"/>
      <c r="Z1611" s="386"/>
      <c r="AD1611" s="264"/>
      <c r="AE1611" s="264"/>
      <c r="AF1611" s="264"/>
      <c r="AG1611" s="264"/>
    </row>
    <row r="1612" spans="1:33" ht="26.25">
      <c r="A1612" s="264"/>
      <c r="B1612" s="264"/>
      <c r="C1612" s="264"/>
      <c r="D1612" s="264"/>
      <c r="E1612" s="264"/>
      <c r="F1612" s="264"/>
      <c r="G1612" s="264"/>
      <c r="H1612" s="264"/>
      <c r="I1612" s="264"/>
      <c r="J1612" s="327"/>
      <c r="K1612" s="327"/>
      <c r="L1612" s="327"/>
      <c r="M1612" s="321"/>
      <c r="N1612" s="321"/>
      <c r="O1612" s="364"/>
      <c r="P1612" s="376"/>
      <c r="R1612" s="393"/>
      <c r="S1612" s="61" ph="1"/>
      <c r="U1612" s="229"/>
      <c r="V1612" s="264"/>
      <c r="W1612" s="199"/>
      <c r="X1612" s="264"/>
      <c r="Y1612" s="264"/>
      <c r="Z1612" s="386"/>
      <c r="AD1612" s="264"/>
      <c r="AE1612" s="264"/>
      <c r="AF1612" s="264"/>
      <c r="AG1612" s="264"/>
    </row>
    <row r="1613" spans="1:33" ht="26.25">
      <c r="A1613" s="264"/>
      <c r="B1613" s="264"/>
      <c r="C1613" s="264"/>
      <c r="D1613" s="264"/>
      <c r="E1613" s="264"/>
      <c r="F1613" s="264"/>
      <c r="G1613" s="264"/>
      <c r="H1613" s="264"/>
      <c r="I1613" s="264"/>
      <c r="J1613" s="327"/>
      <c r="K1613" s="327"/>
      <c r="L1613" s="327"/>
      <c r="M1613" s="321"/>
      <c r="N1613" s="321"/>
      <c r="O1613" s="364"/>
      <c r="P1613" s="376"/>
      <c r="R1613" s="393"/>
      <c r="S1613" s="61" ph="1"/>
      <c r="U1613" s="229"/>
      <c r="V1613" s="264"/>
      <c r="W1613" s="199"/>
      <c r="X1613" s="264"/>
      <c r="Y1613" s="264"/>
      <c r="Z1613" s="386"/>
      <c r="AD1613" s="264"/>
      <c r="AE1613" s="264"/>
      <c r="AF1613" s="264"/>
      <c r="AG1613" s="264"/>
    </row>
    <row r="1614" spans="1:33" ht="26.25">
      <c r="A1614" s="264"/>
      <c r="B1614" s="264"/>
      <c r="C1614" s="264"/>
      <c r="D1614" s="264"/>
      <c r="E1614" s="264"/>
      <c r="F1614" s="264"/>
      <c r="G1614" s="264"/>
      <c r="H1614" s="264"/>
      <c r="I1614" s="264"/>
      <c r="J1614" s="327"/>
      <c r="K1614" s="327"/>
      <c r="L1614" s="327"/>
      <c r="M1614" s="321"/>
      <c r="N1614" s="321"/>
      <c r="O1614" s="364"/>
      <c r="P1614" s="376"/>
      <c r="R1614" s="393"/>
      <c r="S1614" s="61" ph="1"/>
      <c r="U1614" s="229"/>
      <c r="V1614" s="264"/>
      <c r="W1614" s="199"/>
      <c r="X1614" s="264"/>
      <c r="Y1614" s="264"/>
      <c r="Z1614" s="386"/>
      <c r="AD1614" s="264"/>
      <c r="AE1614" s="264"/>
      <c r="AF1614" s="264"/>
      <c r="AG1614" s="264"/>
    </row>
    <row r="1615" spans="1:33" ht="26.25">
      <c r="A1615" s="264"/>
      <c r="B1615" s="264"/>
      <c r="C1615" s="264"/>
      <c r="D1615" s="264"/>
      <c r="E1615" s="264"/>
      <c r="F1615" s="264"/>
      <c r="G1615" s="264"/>
      <c r="H1615" s="264"/>
      <c r="I1615" s="264"/>
      <c r="J1615" s="327"/>
      <c r="K1615" s="327"/>
      <c r="L1615" s="327"/>
      <c r="M1615" s="321"/>
      <c r="N1615" s="321"/>
      <c r="O1615" s="364"/>
      <c r="P1615" s="376"/>
      <c r="R1615" s="393"/>
      <c r="S1615" s="61" ph="1"/>
      <c r="U1615" s="229"/>
      <c r="V1615" s="264"/>
      <c r="W1615" s="199"/>
      <c r="X1615" s="264"/>
      <c r="Y1615" s="264"/>
      <c r="Z1615" s="386"/>
      <c r="AD1615" s="264"/>
      <c r="AE1615" s="264"/>
      <c r="AF1615" s="264"/>
      <c r="AG1615" s="264"/>
    </row>
    <row r="1616" spans="1:33" ht="26.25">
      <c r="A1616" s="264"/>
      <c r="B1616" s="264"/>
      <c r="C1616" s="264"/>
      <c r="D1616" s="264"/>
      <c r="E1616" s="264"/>
      <c r="F1616" s="264"/>
      <c r="G1616" s="264"/>
      <c r="H1616" s="264"/>
      <c r="I1616" s="264"/>
      <c r="J1616" s="327"/>
      <c r="K1616" s="327"/>
      <c r="L1616" s="327"/>
      <c r="M1616" s="321"/>
      <c r="N1616" s="321"/>
      <c r="O1616" s="364"/>
      <c r="P1616" s="376"/>
      <c r="R1616" s="393"/>
      <c r="S1616" s="61" ph="1"/>
      <c r="U1616" s="229"/>
      <c r="V1616" s="264"/>
      <c r="W1616" s="199"/>
      <c r="X1616" s="264"/>
      <c r="Y1616" s="264"/>
      <c r="Z1616" s="386"/>
      <c r="AD1616" s="264"/>
      <c r="AE1616" s="264"/>
      <c r="AF1616" s="264"/>
      <c r="AG1616" s="264"/>
    </row>
    <row r="1617" spans="1:33" ht="26.25">
      <c r="A1617" s="264"/>
      <c r="B1617" s="264"/>
      <c r="C1617" s="264"/>
      <c r="D1617" s="264"/>
      <c r="E1617" s="264"/>
      <c r="F1617" s="264"/>
      <c r="G1617" s="264"/>
      <c r="H1617" s="264"/>
      <c r="I1617" s="264"/>
      <c r="J1617" s="327"/>
      <c r="K1617" s="327"/>
      <c r="L1617" s="327"/>
      <c r="M1617" s="321"/>
      <c r="N1617" s="321"/>
      <c r="O1617" s="364"/>
      <c r="P1617" s="376"/>
      <c r="R1617" s="393"/>
      <c r="S1617" s="61" ph="1"/>
      <c r="U1617" s="229"/>
      <c r="V1617" s="264"/>
      <c r="W1617" s="199"/>
      <c r="X1617" s="264"/>
      <c r="Y1617" s="264"/>
      <c r="Z1617" s="386"/>
      <c r="AD1617" s="264"/>
      <c r="AE1617" s="264"/>
      <c r="AF1617" s="264"/>
      <c r="AG1617" s="264"/>
    </row>
    <row r="1618" spans="1:33" ht="26.25">
      <c r="A1618" s="264"/>
      <c r="B1618" s="264"/>
      <c r="C1618" s="264"/>
      <c r="D1618" s="264"/>
      <c r="E1618" s="264"/>
      <c r="F1618" s="264"/>
      <c r="G1618" s="264"/>
      <c r="H1618" s="264"/>
      <c r="I1618" s="264"/>
      <c r="J1618" s="327"/>
      <c r="K1618" s="327"/>
      <c r="L1618" s="327"/>
      <c r="M1618" s="321"/>
      <c r="N1618" s="321"/>
      <c r="O1618" s="364"/>
      <c r="P1618" s="376"/>
      <c r="R1618" s="393"/>
      <c r="S1618" s="61" ph="1"/>
      <c r="U1618" s="229"/>
      <c r="V1618" s="264"/>
      <c r="W1618" s="199"/>
      <c r="X1618" s="264"/>
      <c r="Y1618" s="264"/>
      <c r="Z1618" s="386"/>
      <c r="AD1618" s="264"/>
      <c r="AE1618" s="264"/>
      <c r="AF1618" s="264"/>
      <c r="AG1618" s="264"/>
    </row>
    <row r="1619" spans="1:33" ht="26.25">
      <c r="A1619" s="264"/>
      <c r="B1619" s="264"/>
      <c r="C1619" s="264"/>
      <c r="D1619" s="264"/>
      <c r="E1619" s="264"/>
      <c r="F1619" s="264"/>
      <c r="G1619" s="264"/>
      <c r="H1619" s="264"/>
      <c r="I1619" s="264"/>
      <c r="J1619" s="327"/>
      <c r="K1619" s="327"/>
      <c r="L1619" s="327"/>
      <c r="M1619" s="321"/>
      <c r="N1619" s="321"/>
      <c r="O1619" s="364"/>
      <c r="P1619" s="376"/>
      <c r="R1619" s="393"/>
      <c r="S1619" s="61" ph="1"/>
      <c r="U1619" s="229"/>
      <c r="V1619" s="264"/>
      <c r="W1619" s="199"/>
      <c r="X1619" s="264"/>
      <c r="Y1619" s="264"/>
      <c r="Z1619" s="386"/>
      <c r="AD1619" s="264"/>
      <c r="AE1619" s="264"/>
      <c r="AF1619" s="264"/>
      <c r="AG1619" s="264"/>
    </row>
    <row r="1620" spans="1:33" ht="26.25">
      <c r="A1620" s="264"/>
      <c r="B1620" s="264"/>
      <c r="C1620" s="264"/>
      <c r="D1620" s="264"/>
      <c r="E1620" s="264"/>
      <c r="F1620" s="264"/>
      <c r="G1620" s="264"/>
      <c r="H1620" s="264"/>
      <c r="I1620" s="264"/>
      <c r="J1620" s="327"/>
      <c r="K1620" s="327"/>
      <c r="L1620" s="327"/>
      <c r="M1620" s="321"/>
      <c r="N1620" s="321"/>
      <c r="O1620" s="364"/>
      <c r="P1620" s="376"/>
      <c r="R1620" s="393"/>
      <c r="S1620" s="61" ph="1"/>
      <c r="U1620" s="229"/>
      <c r="V1620" s="264"/>
      <c r="W1620" s="199"/>
      <c r="X1620" s="264"/>
      <c r="Y1620" s="264"/>
      <c r="Z1620" s="386"/>
      <c r="AD1620" s="264"/>
      <c r="AE1620" s="264"/>
      <c r="AF1620" s="264"/>
      <c r="AG1620" s="264"/>
    </row>
    <row r="1621" spans="1:33" ht="26.25">
      <c r="A1621" s="264"/>
      <c r="B1621" s="264"/>
      <c r="C1621" s="264"/>
      <c r="D1621" s="264"/>
      <c r="E1621" s="264"/>
      <c r="F1621" s="264"/>
      <c r="G1621" s="264"/>
      <c r="H1621" s="264"/>
      <c r="I1621" s="264"/>
      <c r="J1621" s="327"/>
      <c r="K1621" s="327"/>
      <c r="L1621" s="327"/>
      <c r="M1621" s="321"/>
      <c r="N1621" s="321"/>
      <c r="O1621" s="364"/>
      <c r="P1621" s="376"/>
      <c r="R1621" s="393"/>
      <c r="S1621" s="61" ph="1"/>
      <c r="U1621" s="229"/>
      <c r="V1621" s="264"/>
      <c r="W1621" s="199"/>
      <c r="X1621" s="264"/>
      <c r="Y1621" s="264"/>
      <c r="Z1621" s="386"/>
      <c r="AD1621" s="264"/>
      <c r="AE1621" s="264"/>
      <c r="AF1621" s="264"/>
      <c r="AG1621" s="264"/>
    </row>
    <row r="1622" spans="1:33" ht="26.25">
      <c r="A1622" s="264"/>
      <c r="B1622" s="264"/>
      <c r="C1622" s="264"/>
      <c r="D1622" s="264"/>
      <c r="E1622" s="264"/>
      <c r="F1622" s="264"/>
      <c r="G1622" s="264"/>
      <c r="H1622" s="264"/>
      <c r="I1622" s="264"/>
      <c r="J1622" s="327"/>
      <c r="K1622" s="327"/>
      <c r="L1622" s="327"/>
      <c r="M1622" s="321"/>
      <c r="N1622" s="321"/>
      <c r="O1622" s="364"/>
      <c r="P1622" s="376"/>
      <c r="R1622" s="393"/>
      <c r="S1622" s="61" ph="1"/>
      <c r="U1622" s="229"/>
      <c r="V1622" s="264"/>
      <c r="W1622" s="199"/>
      <c r="X1622" s="264"/>
      <c r="Y1622" s="264"/>
      <c r="Z1622" s="386"/>
      <c r="AD1622" s="264"/>
      <c r="AE1622" s="264"/>
      <c r="AF1622" s="264"/>
      <c r="AG1622" s="264"/>
    </row>
    <row r="1623" spans="1:33" ht="26.25">
      <c r="A1623" s="264"/>
      <c r="B1623" s="264"/>
      <c r="C1623" s="264"/>
      <c r="D1623" s="264"/>
      <c r="E1623" s="264"/>
      <c r="F1623" s="264"/>
      <c r="G1623" s="264"/>
      <c r="H1623" s="264"/>
      <c r="I1623" s="264"/>
      <c r="J1623" s="327"/>
      <c r="K1623" s="327"/>
      <c r="L1623" s="327"/>
      <c r="M1623" s="321"/>
      <c r="N1623" s="321"/>
      <c r="O1623" s="364"/>
      <c r="P1623" s="376"/>
      <c r="R1623" s="393"/>
      <c r="S1623" s="61" ph="1"/>
      <c r="U1623" s="229"/>
      <c r="V1623" s="264"/>
      <c r="W1623" s="199"/>
      <c r="X1623" s="264"/>
      <c r="Y1623" s="264"/>
      <c r="Z1623" s="386"/>
      <c r="AD1623" s="264"/>
      <c r="AE1623" s="264"/>
      <c r="AF1623" s="264"/>
      <c r="AG1623" s="264"/>
    </row>
    <row r="1624" spans="1:33" ht="26.25">
      <c r="A1624" s="264"/>
      <c r="B1624" s="264"/>
      <c r="C1624" s="264"/>
      <c r="D1624" s="264"/>
      <c r="E1624" s="264"/>
      <c r="F1624" s="264"/>
      <c r="G1624" s="264"/>
      <c r="H1624" s="264"/>
      <c r="I1624" s="264"/>
      <c r="J1624" s="327"/>
      <c r="K1624" s="327"/>
      <c r="L1624" s="327"/>
      <c r="M1624" s="321"/>
      <c r="N1624" s="321"/>
      <c r="O1624" s="364"/>
      <c r="P1624" s="376"/>
      <c r="R1624" s="393"/>
      <c r="S1624" s="61" ph="1"/>
      <c r="U1624" s="229"/>
      <c r="V1624" s="264"/>
      <c r="W1624" s="199"/>
      <c r="X1624" s="264"/>
      <c r="Y1624" s="264"/>
      <c r="Z1624" s="386"/>
      <c r="AD1624" s="264"/>
      <c r="AE1624" s="264"/>
      <c r="AF1624" s="264"/>
      <c r="AG1624" s="264"/>
    </row>
    <row r="1625" spans="1:33" ht="26.25">
      <c r="A1625" s="264"/>
      <c r="B1625" s="264"/>
      <c r="C1625" s="264"/>
      <c r="D1625" s="264"/>
      <c r="E1625" s="264"/>
      <c r="F1625" s="264"/>
      <c r="G1625" s="264"/>
      <c r="H1625" s="264"/>
      <c r="I1625" s="264"/>
      <c r="J1625" s="327"/>
      <c r="K1625" s="327"/>
      <c r="L1625" s="327"/>
      <c r="M1625" s="321"/>
      <c r="N1625" s="321"/>
      <c r="O1625" s="364"/>
      <c r="P1625" s="376"/>
      <c r="R1625" s="393"/>
      <c r="S1625" s="61" ph="1"/>
      <c r="U1625" s="229"/>
      <c r="V1625" s="264"/>
      <c r="W1625" s="199"/>
      <c r="X1625" s="264"/>
      <c r="Y1625" s="264"/>
      <c r="Z1625" s="386"/>
      <c r="AD1625" s="264"/>
      <c r="AE1625" s="264"/>
      <c r="AF1625" s="264"/>
      <c r="AG1625" s="264"/>
    </row>
    <row r="1626" spans="1:33" ht="26.25">
      <c r="A1626" s="264"/>
      <c r="B1626" s="264"/>
      <c r="C1626" s="264"/>
      <c r="D1626" s="264"/>
      <c r="E1626" s="264"/>
      <c r="F1626" s="264"/>
      <c r="G1626" s="264"/>
      <c r="H1626" s="264"/>
      <c r="I1626" s="264"/>
      <c r="J1626" s="327"/>
      <c r="K1626" s="327"/>
      <c r="L1626" s="327"/>
      <c r="M1626" s="321"/>
      <c r="N1626" s="321"/>
      <c r="O1626" s="364"/>
      <c r="P1626" s="376"/>
      <c r="R1626" s="393"/>
      <c r="S1626" s="61" ph="1"/>
      <c r="U1626" s="229"/>
      <c r="V1626" s="264"/>
      <c r="W1626" s="199"/>
      <c r="X1626" s="264"/>
      <c r="Y1626" s="264"/>
      <c r="Z1626" s="386"/>
      <c r="AD1626" s="264"/>
      <c r="AE1626" s="264"/>
      <c r="AF1626" s="264"/>
      <c r="AG1626" s="264"/>
    </row>
    <row r="1627" spans="1:33" ht="26.25">
      <c r="A1627" s="264"/>
      <c r="B1627" s="264"/>
      <c r="C1627" s="264"/>
      <c r="D1627" s="264"/>
      <c r="E1627" s="264"/>
      <c r="F1627" s="264"/>
      <c r="G1627" s="264"/>
      <c r="H1627" s="264"/>
      <c r="I1627" s="264"/>
      <c r="J1627" s="327"/>
      <c r="K1627" s="327"/>
      <c r="L1627" s="327"/>
      <c r="M1627" s="321"/>
      <c r="N1627" s="321"/>
      <c r="O1627" s="364"/>
      <c r="P1627" s="376"/>
      <c r="R1627" s="393"/>
      <c r="S1627" s="61" ph="1"/>
      <c r="U1627" s="229"/>
      <c r="V1627" s="264"/>
      <c r="W1627" s="199"/>
      <c r="X1627" s="264"/>
      <c r="Y1627" s="264"/>
      <c r="Z1627" s="386"/>
      <c r="AD1627" s="264"/>
      <c r="AE1627" s="264"/>
      <c r="AF1627" s="264"/>
      <c r="AG1627" s="264"/>
    </row>
    <row r="1628" spans="1:33" ht="26.25">
      <c r="A1628" s="264"/>
      <c r="B1628" s="264"/>
      <c r="C1628" s="264"/>
      <c r="D1628" s="264"/>
      <c r="E1628" s="264"/>
      <c r="F1628" s="264"/>
      <c r="G1628" s="264"/>
      <c r="H1628" s="264"/>
      <c r="I1628" s="264"/>
      <c r="J1628" s="327"/>
      <c r="K1628" s="327"/>
      <c r="L1628" s="327"/>
      <c r="M1628" s="321"/>
      <c r="N1628" s="321"/>
      <c r="O1628" s="364"/>
      <c r="P1628" s="376"/>
      <c r="R1628" s="393"/>
      <c r="S1628" s="61" ph="1"/>
      <c r="U1628" s="229"/>
      <c r="V1628" s="264"/>
      <c r="W1628" s="199"/>
      <c r="X1628" s="264"/>
      <c r="Y1628" s="264"/>
      <c r="Z1628" s="386"/>
      <c r="AD1628" s="264"/>
      <c r="AE1628" s="264"/>
      <c r="AF1628" s="264"/>
      <c r="AG1628" s="264"/>
    </row>
    <row r="1629" spans="1:33" ht="26.25">
      <c r="A1629" s="264"/>
      <c r="B1629" s="264"/>
      <c r="C1629" s="264"/>
      <c r="D1629" s="264"/>
      <c r="E1629" s="264"/>
      <c r="F1629" s="264"/>
      <c r="G1629" s="264"/>
      <c r="H1629" s="264"/>
      <c r="I1629" s="264"/>
      <c r="J1629" s="327"/>
      <c r="K1629" s="327"/>
      <c r="L1629" s="327"/>
      <c r="M1629" s="321"/>
      <c r="N1629" s="321"/>
      <c r="O1629" s="364"/>
      <c r="P1629" s="376"/>
      <c r="R1629" s="393"/>
      <c r="S1629" s="61" ph="1"/>
      <c r="U1629" s="229"/>
      <c r="V1629" s="264"/>
      <c r="W1629" s="199"/>
      <c r="X1629" s="264"/>
      <c r="Y1629" s="264"/>
      <c r="Z1629" s="386"/>
      <c r="AD1629" s="264"/>
      <c r="AE1629" s="264"/>
      <c r="AF1629" s="264"/>
      <c r="AG1629" s="264"/>
    </row>
    <row r="1630" spans="1:33" ht="26.25">
      <c r="A1630" s="264"/>
      <c r="B1630" s="264"/>
      <c r="C1630" s="264"/>
      <c r="D1630" s="264"/>
      <c r="E1630" s="264"/>
      <c r="F1630" s="264"/>
      <c r="G1630" s="264"/>
      <c r="H1630" s="264"/>
      <c r="I1630" s="264"/>
      <c r="J1630" s="327"/>
      <c r="K1630" s="327"/>
      <c r="L1630" s="327"/>
      <c r="M1630" s="321"/>
      <c r="N1630" s="321"/>
      <c r="O1630" s="364"/>
      <c r="P1630" s="376"/>
      <c r="R1630" s="393"/>
      <c r="S1630" s="61" ph="1"/>
      <c r="U1630" s="229"/>
      <c r="V1630" s="264"/>
      <c r="W1630" s="199"/>
      <c r="X1630" s="264"/>
      <c r="Y1630" s="264"/>
      <c r="Z1630" s="386"/>
      <c r="AD1630" s="264"/>
      <c r="AE1630" s="264"/>
      <c r="AF1630" s="264"/>
      <c r="AG1630" s="264"/>
    </row>
    <row r="1631" spans="1:33" ht="26.25">
      <c r="A1631" s="264"/>
      <c r="B1631" s="264"/>
      <c r="C1631" s="264"/>
      <c r="D1631" s="264"/>
      <c r="E1631" s="264"/>
      <c r="F1631" s="264"/>
      <c r="G1631" s="264"/>
      <c r="H1631" s="264"/>
      <c r="I1631" s="264"/>
      <c r="J1631" s="327"/>
      <c r="K1631" s="327"/>
      <c r="L1631" s="327"/>
      <c r="M1631" s="321"/>
      <c r="N1631" s="321"/>
      <c r="O1631" s="364"/>
      <c r="P1631" s="376"/>
      <c r="R1631" s="393"/>
      <c r="S1631" s="61" ph="1"/>
      <c r="U1631" s="229"/>
      <c r="V1631" s="264"/>
      <c r="W1631" s="199"/>
      <c r="X1631" s="264"/>
      <c r="Y1631" s="264"/>
      <c r="Z1631" s="386"/>
      <c r="AD1631" s="264"/>
      <c r="AE1631" s="264"/>
      <c r="AF1631" s="264"/>
      <c r="AG1631" s="264"/>
    </row>
    <row r="1632" spans="1:33" ht="26.25">
      <c r="A1632" s="264"/>
      <c r="B1632" s="264"/>
      <c r="C1632" s="264"/>
      <c r="D1632" s="264"/>
      <c r="E1632" s="264"/>
      <c r="F1632" s="264"/>
      <c r="G1632" s="264"/>
      <c r="H1632" s="264"/>
      <c r="I1632" s="264"/>
      <c r="J1632" s="327"/>
      <c r="K1632" s="327"/>
      <c r="L1632" s="327"/>
      <c r="M1632" s="321"/>
      <c r="N1632" s="321"/>
      <c r="O1632" s="364"/>
      <c r="P1632" s="376"/>
      <c r="R1632" s="393"/>
      <c r="S1632" s="61" ph="1"/>
      <c r="U1632" s="229"/>
      <c r="V1632" s="264"/>
      <c r="W1632" s="199"/>
      <c r="X1632" s="264"/>
      <c r="Y1632" s="264"/>
      <c r="Z1632" s="386"/>
      <c r="AD1632" s="264"/>
      <c r="AE1632" s="264"/>
      <c r="AF1632" s="264"/>
      <c r="AG1632" s="264"/>
    </row>
    <row r="1633" spans="1:33" ht="26.25">
      <c r="A1633" s="264"/>
      <c r="B1633" s="264"/>
      <c r="C1633" s="264"/>
      <c r="D1633" s="264"/>
      <c r="E1633" s="264"/>
      <c r="F1633" s="264"/>
      <c r="G1633" s="264"/>
      <c r="H1633" s="264"/>
      <c r="I1633" s="264"/>
      <c r="J1633" s="327"/>
      <c r="K1633" s="327"/>
      <c r="L1633" s="327"/>
      <c r="M1633" s="321"/>
      <c r="N1633" s="321"/>
      <c r="O1633" s="364"/>
      <c r="P1633" s="376"/>
      <c r="R1633" s="393"/>
      <c r="S1633" s="61" ph="1"/>
      <c r="U1633" s="229"/>
      <c r="V1633" s="264"/>
      <c r="W1633" s="199"/>
      <c r="X1633" s="264"/>
      <c r="Y1633" s="264"/>
      <c r="Z1633" s="386"/>
      <c r="AD1633" s="264"/>
      <c r="AE1633" s="264"/>
      <c r="AF1633" s="264"/>
      <c r="AG1633" s="264"/>
    </row>
    <row r="1634" spans="1:33" ht="26.25">
      <c r="A1634" s="264"/>
      <c r="B1634" s="264"/>
      <c r="C1634" s="264"/>
      <c r="D1634" s="264"/>
      <c r="E1634" s="264"/>
      <c r="F1634" s="264"/>
      <c r="G1634" s="264"/>
      <c r="H1634" s="264"/>
      <c r="I1634" s="264"/>
      <c r="J1634" s="327"/>
      <c r="K1634" s="327"/>
      <c r="L1634" s="327"/>
      <c r="M1634" s="321"/>
      <c r="N1634" s="321"/>
      <c r="O1634" s="364"/>
      <c r="P1634" s="376"/>
      <c r="R1634" s="393"/>
      <c r="S1634" s="61" ph="1"/>
      <c r="U1634" s="229"/>
      <c r="V1634" s="264"/>
      <c r="W1634" s="199"/>
      <c r="X1634" s="264"/>
      <c r="Y1634" s="264"/>
      <c r="Z1634" s="386"/>
      <c r="AD1634" s="264"/>
      <c r="AE1634" s="264"/>
      <c r="AF1634" s="264"/>
      <c r="AG1634" s="264"/>
    </row>
    <row r="1635" spans="1:33" ht="26.25">
      <c r="A1635" s="264"/>
      <c r="B1635" s="264"/>
      <c r="C1635" s="264"/>
      <c r="D1635" s="264"/>
      <c r="E1635" s="264"/>
      <c r="F1635" s="264"/>
      <c r="G1635" s="264"/>
      <c r="H1635" s="264"/>
      <c r="I1635" s="264"/>
      <c r="J1635" s="327"/>
      <c r="K1635" s="327"/>
      <c r="L1635" s="327"/>
      <c r="M1635" s="321"/>
      <c r="N1635" s="321"/>
      <c r="O1635" s="364"/>
      <c r="P1635" s="376"/>
      <c r="R1635" s="393"/>
      <c r="S1635" s="61" ph="1"/>
      <c r="U1635" s="229"/>
      <c r="V1635" s="264"/>
      <c r="W1635" s="199"/>
      <c r="X1635" s="264"/>
      <c r="Y1635" s="264"/>
      <c r="Z1635" s="386"/>
      <c r="AD1635" s="264"/>
      <c r="AE1635" s="264"/>
      <c r="AF1635" s="264"/>
      <c r="AG1635" s="264"/>
    </row>
    <row r="1636" spans="1:33" ht="26.25">
      <c r="A1636" s="264"/>
      <c r="B1636" s="264"/>
      <c r="C1636" s="264"/>
      <c r="D1636" s="264"/>
      <c r="E1636" s="264"/>
      <c r="F1636" s="264"/>
      <c r="G1636" s="264"/>
      <c r="H1636" s="264"/>
      <c r="I1636" s="264"/>
      <c r="J1636" s="327"/>
      <c r="K1636" s="327"/>
      <c r="L1636" s="327"/>
      <c r="M1636" s="321"/>
      <c r="N1636" s="321"/>
      <c r="O1636" s="364"/>
      <c r="P1636" s="376"/>
      <c r="R1636" s="393"/>
      <c r="S1636" s="61" ph="1"/>
      <c r="U1636" s="229"/>
      <c r="V1636" s="264"/>
      <c r="W1636" s="199"/>
      <c r="X1636" s="264"/>
      <c r="Y1636" s="264"/>
      <c r="Z1636" s="386"/>
      <c r="AD1636" s="264"/>
      <c r="AE1636" s="264"/>
      <c r="AF1636" s="264"/>
      <c r="AG1636" s="264"/>
    </row>
    <row r="1637" spans="1:33" ht="26.25">
      <c r="A1637" s="264"/>
      <c r="B1637" s="264"/>
      <c r="C1637" s="264"/>
      <c r="D1637" s="264"/>
      <c r="E1637" s="264"/>
      <c r="F1637" s="264"/>
      <c r="G1637" s="264"/>
      <c r="H1637" s="264"/>
      <c r="I1637" s="264"/>
      <c r="J1637" s="327"/>
      <c r="K1637" s="327"/>
      <c r="L1637" s="327"/>
      <c r="M1637" s="321"/>
      <c r="N1637" s="321"/>
      <c r="O1637" s="364"/>
      <c r="P1637" s="376"/>
      <c r="R1637" s="393"/>
      <c r="S1637" s="61" ph="1"/>
      <c r="U1637" s="229"/>
      <c r="V1637" s="264"/>
      <c r="W1637" s="199"/>
      <c r="X1637" s="264"/>
      <c r="Y1637" s="264"/>
      <c r="Z1637" s="386"/>
      <c r="AD1637" s="264"/>
      <c r="AE1637" s="264"/>
      <c r="AF1637" s="264"/>
      <c r="AG1637" s="264"/>
    </row>
    <row r="1638" spans="1:33" ht="26.25">
      <c r="A1638" s="264"/>
      <c r="B1638" s="264"/>
      <c r="C1638" s="264"/>
      <c r="D1638" s="264"/>
      <c r="E1638" s="264"/>
      <c r="F1638" s="264"/>
      <c r="G1638" s="264"/>
      <c r="H1638" s="264"/>
      <c r="I1638" s="264"/>
      <c r="J1638" s="327"/>
      <c r="K1638" s="327"/>
      <c r="L1638" s="327"/>
      <c r="M1638" s="321"/>
      <c r="N1638" s="321"/>
      <c r="O1638" s="364"/>
      <c r="P1638" s="376"/>
      <c r="R1638" s="393"/>
      <c r="S1638" s="61" ph="1"/>
      <c r="U1638" s="229"/>
      <c r="V1638" s="264"/>
      <c r="W1638" s="199"/>
      <c r="X1638" s="264"/>
      <c r="Y1638" s="264"/>
      <c r="Z1638" s="386"/>
      <c r="AD1638" s="264"/>
      <c r="AE1638" s="264"/>
      <c r="AF1638" s="264"/>
      <c r="AG1638" s="264"/>
    </row>
    <row r="1639" spans="1:33" ht="26.25">
      <c r="A1639" s="264"/>
      <c r="B1639" s="264"/>
      <c r="C1639" s="264"/>
      <c r="D1639" s="264"/>
      <c r="E1639" s="264"/>
      <c r="F1639" s="264"/>
      <c r="G1639" s="264"/>
      <c r="H1639" s="264"/>
      <c r="I1639" s="264"/>
      <c r="J1639" s="327"/>
      <c r="K1639" s="327"/>
      <c r="L1639" s="327"/>
      <c r="M1639" s="321"/>
      <c r="N1639" s="321"/>
      <c r="O1639" s="364"/>
      <c r="P1639" s="376"/>
      <c r="R1639" s="393"/>
      <c r="S1639" s="61" ph="1"/>
      <c r="U1639" s="229"/>
      <c r="V1639" s="264"/>
      <c r="W1639" s="199"/>
      <c r="X1639" s="264"/>
      <c r="Y1639" s="264"/>
      <c r="Z1639" s="386"/>
      <c r="AD1639" s="264"/>
      <c r="AE1639" s="264"/>
      <c r="AF1639" s="264"/>
      <c r="AG1639" s="264"/>
    </row>
    <row r="1640" spans="1:33" ht="26.25">
      <c r="A1640" s="264"/>
      <c r="B1640" s="264"/>
      <c r="C1640" s="264"/>
      <c r="D1640" s="264"/>
      <c r="E1640" s="264"/>
      <c r="F1640" s="264"/>
      <c r="G1640" s="264"/>
      <c r="H1640" s="264"/>
      <c r="I1640" s="264"/>
      <c r="J1640" s="327"/>
      <c r="K1640" s="327"/>
      <c r="L1640" s="327"/>
      <c r="M1640" s="321"/>
      <c r="N1640" s="321"/>
      <c r="O1640" s="364"/>
      <c r="P1640" s="376"/>
      <c r="R1640" s="393"/>
      <c r="S1640" s="61" ph="1"/>
      <c r="U1640" s="229"/>
      <c r="V1640" s="264"/>
      <c r="W1640" s="199"/>
      <c r="X1640" s="264"/>
      <c r="Y1640" s="264"/>
      <c r="Z1640" s="386"/>
      <c r="AD1640" s="264"/>
      <c r="AE1640" s="264"/>
      <c r="AF1640" s="264"/>
      <c r="AG1640" s="264"/>
    </row>
    <row r="1641" spans="1:33" ht="26.25">
      <c r="A1641" s="264"/>
      <c r="B1641" s="264"/>
      <c r="C1641" s="264"/>
      <c r="D1641" s="264"/>
      <c r="E1641" s="264"/>
      <c r="F1641" s="264"/>
      <c r="G1641" s="264"/>
      <c r="H1641" s="264"/>
      <c r="I1641" s="264"/>
      <c r="J1641" s="327"/>
      <c r="K1641" s="327"/>
      <c r="L1641" s="327"/>
      <c r="M1641" s="321"/>
      <c r="N1641" s="321"/>
      <c r="O1641" s="364"/>
      <c r="P1641" s="376"/>
      <c r="R1641" s="393"/>
      <c r="S1641" s="61" ph="1"/>
      <c r="U1641" s="229"/>
      <c r="V1641" s="264"/>
      <c r="W1641" s="199"/>
      <c r="X1641" s="264"/>
      <c r="Y1641" s="264"/>
      <c r="Z1641" s="386"/>
      <c r="AD1641" s="264"/>
      <c r="AE1641" s="264"/>
      <c r="AF1641" s="264"/>
      <c r="AG1641" s="264"/>
    </row>
    <row r="1642" spans="1:33" ht="26.25">
      <c r="A1642" s="264"/>
      <c r="B1642" s="264"/>
      <c r="C1642" s="264"/>
      <c r="D1642" s="264"/>
      <c r="E1642" s="264"/>
      <c r="F1642" s="264"/>
      <c r="G1642" s="264"/>
      <c r="H1642" s="264"/>
      <c r="I1642" s="264"/>
      <c r="J1642" s="327"/>
      <c r="K1642" s="327"/>
      <c r="L1642" s="327"/>
      <c r="M1642" s="321"/>
      <c r="N1642" s="321"/>
      <c r="O1642" s="364"/>
      <c r="P1642" s="376"/>
      <c r="R1642" s="393"/>
      <c r="S1642" s="61" ph="1"/>
      <c r="U1642" s="229"/>
      <c r="V1642" s="264"/>
      <c r="W1642" s="199"/>
      <c r="X1642" s="264"/>
      <c r="Y1642" s="264"/>
      <c r="Z1642" s="386"/>
      <c r="AD1642" s="264"/>
      <c r="AE1642" s="264"/>
      <c r="AF1642" s="264"/>
      <c r="AG1642" s="264"/>
    </row>
    <row r="1643" spans="1:33" ht="26.25">
      <c r="A1643" s="264"/>
      <c r="B1643" s="264"/>
      <c r="C1643" s="264"/>
      <c r="D1643" s="264"/>
      <c r="E1643" s="264"/>
      <c r="F1643" s="264"/>
      <c r="G1643" s="264"/>
      <c r="H1643" s="264"/>
      <c r="I1643" s="264"/>
      <c r="J1643" s="327"/>
      <c r="K1643" s="327"/>
      <c r="L1643" s="327"/>
      <c r="M1643" s="321"/>
      <c r="N1643" s="321"/>
      <c r="O1643" s="364"/>
      <c r="P1643" s="376"/>
      <c r="R1643" s="393"/>
      <c r="S1643" s="61" ph="1"/>
      <c r="U1643" s="229"/>
      <c r="V1643" s="264"/>
      <c r="W1643" s="199"/>
      <c r="X1643" s="264"/>
      <c r="Y1643" s="264"/>
      <c r="Z1643" s="386"/>
      <c r="AD1643" s="264"/>
      <c r="AE1643" s="264"/>
      <c r="AF1643" s="264"/>
      <c r="AG1643" s="264"/>
    </row>
    <row r="1644" spans="1:33" ht="26.25">
      <c r="A1644" s="264"/>
      <c r="B1644" s="264"/>
      <c r="C1644" s="264"/>
      <c r="D1644" s="264"/>
      <c r="E1644" s="264"/>
      <c r="F1644" s="264"/>
      <c r="G1644" s="264"/>
      <c r="H1644" s="264"/>
      <c r="I1644" s="264"/>
      <c r="J1644" s="327"/>
      <c r="K1644" s="327"/>
      <c r="L1644" s="327"/>
      <c r="M1644" s="321"/>
      <c r="N1644" s="321"/>
      <c r="O1644" s="364"/>
      <c r="P1644" s="376"/>
      <c r="R1644" s="393"/>
      <c r="S1644" s="61" ph="1"/>
      <c r="U1644" s="229"/>
      <c r="V1644" s="264"/>
      <c r="W1644" s="199"/>
      <c r="X1644" s="264"/>
      <c r="Y1644" s="264"/>
      <c r="Z1644" s="386"/>
      <c r="AD1644" s="264"/>
      <c r="AE1644" s="264"/>
      <c r="AF1644" s="264"/>
      <c r="AG1644" s="264"/>
    </row>
    <row r="1645" spans="1:33" ht="26.25">
      <c r="A1645" s="264"/>
      <c r="B1645" s="264"/>
      <c r="C1645" s="264"/>
      <c r="D1645" s="264"/>
      <c r="E1645" s="264"/>
      <c r="F1645" s="264"/>
      <c r="G1645" s="264"/>
      <c r="H1645" s="264"/>
      <c r="I1645" s="264"/>
      <c r="J1645" s="327"/>
      <c r="K1645" s="327"/>
      <c r="L1645" s="327"/>
      <c r="M1645" s="321"/>
      <c r="N1645" s="321"/>
      <c r="O1645" s="364"/>
      <c r="P1645" s="376"/>
      <c r="R1645" s="393"/>
      <c r="S1645" s="61" ph="1"/>
      <c r="U1645" s="229"/>
      <c r="V1645" s="264"/>
      <c r="W1645" s="199"/>
      <c r="X1645" s="264"/>
      <c r="Y1645" s="264"/>
      <c r="Z1645" s="386"/>
      <c r="AD1645" s="264"/>
      <c r="AE1645" s="264"/>
      <c r="AF1645" s="264"/>
      <c r="AG1645" s="264"/>
    </row>
    <row r="1646" spans="1:33" ht="26.25">
      <c r="A1646" s="264"/>
      <c r="B1646" s="264"/>
      <c r="C1646" s="264"/>
      <c r="D1646" s="264"/>
      <c r="E1646" s="264"/>
      <c r="F1646" s="264"/>
      <c r="G1646" s="264"/>
      <c r="H1646" s="264"/>
      <c r="I1646" s="264"/>
      <c r="J1646" s="327"/>
      <c r="K1646" s="327"/>
      <c r="L1646" s="327"/>
      <c r="M1646" s="321"/>
      <c r="N1646" s="321"/>
      <c r="O1646" s="364"/>
      <c r="P1646" s="376"/>
      <c r="R1646" s="393"/>
      <c r="S1646" s="61" ph="1"/>
      <c r="U1646" s="229"/>
      <c r="V1646" s="264"/>
      <c r="W1646" s="199"/>
      <c r="X1646" s="264"/>
      <c r="Y1646" s="264"/>
      <c r="Z1646" s="386"/>
      <c r="AD1646" s="264"/>
      <c r="AE1646" s="264"/>
      <c r="AF1646" s="264"/>
      <c r="AG1646" s="264"/>
    </row>
    <row r="1647" spans="1:33" ht="26.25">
      <c r="A1647" s="264"/>
      <c r="B1647" s="264"/>
      <c r="C1647" s="264"/>
      <c r="D1647" s="264"/>
      <c r="E1647" s="264"/>
      <c r="F1647" s="264"/>
      <c r="G1647" s="264"/>
      <c r="H1647" s="264"/>
      <c r="I1647" s="264"/>
      <c r="J1647" s="327"/>
      <c r="K1647" s="327"/>
      <c r="L1647" s="327"/>
      <c r="M1647" s="321"/>
      <c r="N1647" s="321"/>
      <c r="O1647" s="364"/>
      <c r="P1647" s="376"/>
      <c r="R1647" s="393"/>
      <c r="S1647" s="61" ph="1"/>
      <c r="U1647" s="229"/>
      <c r="V1647" s="264"/>
      <c r="W1647" s="199"/>
      <c r="X1647" s="264"/>
      <c r="Y1647" s="264"/>
      <c r="Z1647" s="386"/>
      <c r="AD1647" s="264"/>
      <c r="AE1647" s="264"/>
      <c r="AF1647" s="264"/>
      <c r="AG1647" s="264"/>
    </row>
    <row r="1648" spans="1:33" ht="26.25">
      <c r="A1648" s="264"/>
      <c r="B1648" s="264"/>
      <c r="C1648" s="264"/>
      <c r="D1648" s="264"/>
      <c r="E1648" s="264"/>
      <c r="F1648" s="264"/>
      <c r="G1648" s="264"/>
      <c r="H1648" s="264"/>
      <c r="I1648" s="264"/>
      <c r="J1648" s="327"/>
      <c r="K1648" s="327"/>
      <c r="L1648" s="327"/>
      <c r="M1648" s="321"/>
      <c r="N1648" s="321"/>
      <c r="O1648" s="364"/>
      <c r="P1648" s="376"/>
      <c r="R1648" s="393"/>
      <c r="S1648" s="61" ph="1"/>
      <c r="U1648" s="229"/>
      <c r="V1648" s="264"/>
      <c r="W1648" s="199"/>
      <c r="X1648" s="264"/>
      <c r="Y1648" s="264"/>
      <c r="Z1648" s="386"/>
      <c r="AD1648" s="264"/>
      <c r="AE1648" s="264"/>
      <c r="AF1648" s="264"/>
      <c r="AG1648" s="264"/>
    </row>
    <row r="1649" spans="1:33" ht="26.25">
      <c r="A1649" s="264"/>
      <c r="B1649" s="264"/>
      <c r="C1649" s="264"/>
      <c r="D1649" s="264"/>
      <c r="E1649" s="264"/>
      <c r="F1649" s="264"/>
      <c r="G1649" s="264"/>
      <c r="H1649" s="264"/>
      <c r="I1649" s="264"/>
      <c r="J1649" s="327"/>
      <c r="K1649" s="327"/>
      <c r="L1649" s="327"/>
      <c r="M1649" s="321"/>
      <c r="N1649" s="321"/>
      <c r="O1649" s="364"/>
      <c r="P1649" s="376"/>
      <c r="R1649" s="393"/>
      <c r="S1649" s="61" ph="1"/>
      <c r="U1649" s="229"/>
      <c r="V1649" s="264"/>
      <c r="W1649" s="199"/>
      <c r="X1649" s="264"/>
      <c r="Y1649" s="264"/>
      <c r="Z1649" s="386"/>
      <c r="AD1649" s="264"/>
      <c r="AE1649" s="264"/>
      <c r="AF1649" s="264"/>
      <c r="AG1649" s="264"/>
    </row>
    <row r="1650" spans="1:33" ht="26.25">
      <c r="A1650" s="264"/>
      <c r="B1650" s="264"/>
      <c r="C1650" s="264"/>
      <c r="D1650" s="264"/>
      <c r="E1650" s="264"/>
      <c r="F1650" s="264"/>
      <c r="G1650" s="264"/>
      <c r="H1650" s="264"/>
      <c r="I1650" s="264"/>
      <c r="J1650" s="327"/>
      <c r="K1650" s="327"/>
      <c r="L1650" s="327"/>
      <c r="M1650" s="321"/>
      <c r="N1650" s="321"/>
      <c r="O1650" s="364"/>
      <c r="P1650" s="376"/>
      <c r="R1650" s="393"/>
      <c r="S1650" s="61" ph="1"/>
      <c r="U1650" s="229"/>
      <c r="V1650" s="264"/>
      <c r="W1650" s="199"/>
      <c r="X1650" s="264"/>
      <c r="Y1650" s="264"/>
      <c r="Z1650" s="386"/>
      <c r="AD1650" s="264"/>
      <c r="AE1650" s="264"/>
      <c r="AF1650" s="264"/>
      <c r="AG1650" s="264"/>
    </row>
    <row r="1651" spans="1:33" ht="26.25">
      <c r="A1651" s="264"/>
      <c r="B1651" s="264"/>
      <c r="C1651" s="264"/>
      <c r="D1651" s="264"/>
      <c r="E1651" s="264"/>
      <c r="F1651" s="264"/>
      <c r="G1651" s="264"/>
      <c r="H1651" s="264"/>
      <c r="I1651" s="264"/>
      <c r="J1651" s="327"/>
      <c r="K1651" s="327"/>
      <c r="L1651" s="327"/>
      <c r="M1651" s="321"/>
      <c r="N1651" s="321"/>
      <c r="O1651" s="364"/>
      <c r="P1651" s="376"/>
      <c r="R1651" s="393"/>
      <c r="S1651" s="61" ph="1"/>
      <c r="U1651" s="229"/>
      <c r="V1651" s="264"/>
      <c r="W1651" s="199"/>
      <c r="X1651" s="264"/>
      <c r="Y1651" s="264"/>
      <c r="Z1651" s="386"/>
      <c r="AD1651" s="264"/>
      <c r="AE1651" s="264"/>
      <c r="AF1651" s="264"/>
      <c r="AG1651" s="264"/>
    </row>
    <row r="1652" spans="1:33" ht="26.25">
      <c r="A1652" s="264"/>
      <c r="B1652" s="264"/>
      <c r="C1652" s="264"/>
      <c r="D1652" s="264"/>
      <c r="E1652" s="264"/>
      <c r="F1652" s="264"/>
      <c r="G1652" s="264"/>
      <c r="H1652" s="264"/>
      <c r="I1652" s="264"/>
      <c r="J1652" s="327"/>
      <c r="K1652" s="327"/>
      <c r="L1652" s="327"/>
      <c r="M1652" s="321"/>
      <c r="N1652" s="321"/>
      <c r="O1652" s="364"/>
      <c r="P1652" s="376"/>
      <c r="R1652" s="393"/>
      <c r="S1652" s="61" ph="1"/>
      <c r="U1652" s="229"/>
      <c r="V1652" s="264"/>
      <c r="W1652" s="199"/>
      <c r="X1652" s="264"/>
      <c r="Y1652" s="264"/>
      <c r="Z1652" s="386"/>
      <c r="AD1652" s="264"/>
      <c r="AE1652" s="264"/>
      <c r="AF1652" s="264"/>
      <c r="AG1652" s="264"/>
    </row>
    <row r="1653" spans="1:33" ht="26.25">
      <c r="A1653" s="264"/>
      <c r="B1653" s="264"/>
      <c r="C1653" s="264"/>
      <c r="D1653" s="264"/>
      <c r="E1653" s="264"/>
      <c r="F1653" s="264"/>
      <c r="G1653" s="264"/>
      <c r="H1653" s="264"/>
      <c r="I1653" s="264"/>
      <c r="J1653" s="327"/>
      <c r="K1653" s="327"/>
      <c r="L1653" s="327"/>
      <c r="M1653" s="321"/>
      <c r="N1653" s="321"/>
      <c r="O1653" s="364"/>
      <c r="P1653" s="376"/>
      <c r="R1653" s="393"/>
      <c r="S1653" s="61" ph="1"/>
      <c r="U1653" s="229"/>
      <c r="V1653" s="264"/>
      <c r="W1653" s="199"/>
      <c r="X1653" s="264"/>
      <c r="Y1653" s="264"/>
      <c r="Z1653" s="386"/>
      <c r="AD1653" s="264"/>
      <c r="AE1653" s="264"/>
      <c r="AF1653" s="264"/>
      <c r="AG1653" s="264"/>
    </row>
    <row r="1654" spans="1:33" ht="26.25">
      <c r="A1654" s="264"/>
      <c r="B1654" s="264"/>
      <c r="C1654" s="264"/>
      <c r="D1654" s="264"/>
      <c r="E1654" s="264"/>
      <c r="F1654" s="264"/>
      <c r="G1654" s="264"/>
      <c r="H1654" s="264"/>
      <c r="I1654" s="264"/>
      <c r="J1654" s="327"/>
      <c r="K1654" s="327"/>
      <c r="L1654" s="327"/>
      <c r="M1654" s="321"/>
      <c r="N1654" s="321"/>
      <c r="O1654" s="364"/>
      <c r="P1654" s="376"/>
      <c r="R1654" s="393"/>
      <c r="S1654" s="61" ph="1"/>
      <c r="U1654" s="229"/>
      <c r="V1654" s="264"/>
      <c r="W1654" s="199"/>
      <c r="X1654" s="264"/>
      <c r="Y1654" s="264"/>
      <c r="Z1654" s="386"/>
      <c r="AD1654" s="264"/>
      <c r="AE1654" s="264"/>
      <c r="AF1654" s="264"/>
      <c r="AG1654" s="264"/>
    </row>
    <row r="1655" spans="1:33" ht="26.25">
      <c r="A1655" s="264"/>
      <c r="B1655" s="264"/>
      <c r="C1655" s="264"/>
      <c r="D1655" s="264"/>
      <c r="E1655" s="264"/>
      <c r="F1655" s="264"/>
      <c r="G1655" s="264"/>
      <c r="H1655" s="264"/>
      <c r="I1655" s="264"/>
      <c r="J1655" s="327"/>
      <c r="K1655" s="327"/>
      <c r="L1655" s="327"/>
      <c r="M1655" s="321"/>
      <c r="N1655" s="321"/>
      <c r="O1655" s="364"/>
      <c r="P1655" s="376"/>
      <c r="R1655" s="393"/>
      <c r="S1655" s="61" ph="1"/>
      <c r="U1655" s="229"/>
      <c r="V1655" s="264"/>
      <c r="W1655" s="199"/>
      <c r="X1655" s="264"/>
      <c r="Y1655" s="264"/>
      <c r="Z1655" s="386"/>
      <c r="AD1655" s="264"/>
      <c r="AE1655" s="264"/>
      <c r="AF1655" s="264"/>
      <c r="AG1655" s="264"/>
    </row>
    <row r="1656" spans="1:33" ht="26.25">
      <c r="A1656" s="264"/>
      <c r="B1656" s="264"/>
      <c r="C1656" s="264"/>
      <c r="D1656" s="264"/>
      <c r="E1656" s="264"/>
      <c r="F1656" s="264"/>
      <c r="G1656" s="264"/>
      <c r="H1656" s="264"/>
      <c r="I1656" s="264"/>
      <c r="J1656" s="327"/>
      <c r="K1656" s="327"/>
      <c r="L1656" s="327"/>
      <c r="M1656" s="321"/>
      <c r="N1656" s="321"/>
      <c r="O1656" s="364"/>
      <c r="P1656" s="376"/>
      <c r="R1656" s="393"/>
      <c r="S1656" s="61" ph="1"/>
      <c r="U1656" s="229"/>
      <c r="V1656" s="264"/>
      <c r="W1656" s="199"/>
      <c r="X1656" s="264"/>
      <c r="Y1656" s="264"/>
      <c r="Z1656" s="386"/>
      <c r="AD1656" s="264"/>
      <c r="AE1656" s="264"/>
      <c r="AF1656" s="264"/>
      <c r="AG1656" s="264"/>
    </row>
    <row r="1657" spans="1:33" ht="26.25">
      <c r="A1657" s="264"/>
      <c r="B1657" s="264"/>
      <c r="C1657" s="264"/>
      <c r="D1657" s="264"/>
      <c r="E1657" s="264"/>
      <c r="F1657" s="264"/>
      <c r="G1657" s="264"/>
      <c r="H1657" s="264"/>
      <c r="I1657" s="264"/>
      <c r="J1657" s="327"/>
      <c r="K1657" s="327"/>
      <c r="L1657" s="327"/>
      <c r="M1657" s="321"/>
      <c r="N1657" s="321"/>
      <c r="O1657" s="364"/>
      <c r="P1657" s="376"/>
      <c r="R1657" s="393"/>
      <c r="S1657" s="61" ph="1"/>
      <c r="U1657" s="229"/>
      <c r="V1657" s="264"/>
      <c r="W1657" s="199"/>
      <c r="X1657" s="264"/>
      <c r="Y1657" s="264"/>
      <c r="Z1657" s="386"/>
      <c r="AD1657" s="264"/>
      <c r="AE1657" s="264"/>
      <c r="AF1657" s="264"/>
      <c r="AG1657" s="264"/>
    </row>
    <row r="1658" spans="1:33" ht="26.25">
      <c r="A1658" s="264"/>
      <c r="B1658" s="264"/>
      <c r="C1658" s="264"/>
      <c r="D1658" s="264"/>
      <c r="E1658" s="264"/>
      <c r="F1658" s="264"/>
      <c r="G1658" s="264"/>
      <c r="H1658" s="264"/>
      <c r="I1658" s="264"/>
      <c r="J1658" s="327"/>
      <c r="K1658" s="327"/>
      <c r="L1658" s="327"/>
      <c r="M1658" s="321"/>
      <c r="N1658" s="321"/>
      <c r="O1658" s="364"/>
      <c r="P1658" s="376"/>
      <c r="R1658" s="393"/>
      <c r="S1658" s="61" ph="1"/>
      <c r="U1658" s="229"/>
      <c r="V1658" s="264"/>
      <c r="W1658" s="199"/>
      <c r="X1658" s="264"/>
      <c r="Y1658" s="264"/>
      <c r="Z1658" s="386"/>
      <c r="AD1658" s="264"/>
      <c r="AE1658" s="264"/>
      <c r="AF1658" s="264"/>
      <c r="AG1658" s="264"/>
    </row>
    <row r="1659" spans="1:33" ht="26.25">
      <c r="A1659" s="264"/>
      <c r="B1659" s="264"/>
      <c r="C1659" s="264"/>
      <c r="D1659" s="264"/>
      <c r="E1659" s="264"/>
      <c r="F1659" s="264"/>
      <c r="G1659" s="264"/>
      <c r="H1659" s="264"/>
      <c r="I1659" s="264"/>
      <c r="J1659" s="327"/>
      <c r="K1659" s="327"/>
      <c r="L1659" s="327"/>
      <c r="M1659" s="321"/>
      <c r="N1659" s="321"/>
      <c r="O1659" s="364"/>
      <c r="P1659" s="376"/>
      <c r="R1659" s="393"/>
      <c r="S1659" s="61" ph="1"/>
      <c r="U1659" s="229"/>
      <c r="V1659" s="264"/>
      <c r="W1659" s="199"/>
      <c r="X1659" s="264"/>
      <c r="Y1659" s="264"/>
      <c r="Z1659" s="386"/>
      <c r="AD1659" s="264"/>
      <c r="AE1659" s="264"/>
      <c r="AF1659" s="264"/>
      <c r="AG1659" s="264"/>
    </row>
    <row r="1660" spans="1:33" ht="26.25">
      <c r="A1660" s="264"/>
      <c r="B1660" s="264"/>
      <c r="C1660" s="264"/>
      <c r="D1660" s="264"/>
      <c r="E1660" s="264"/>
      <c r="F1660" s="264"/>
      <c r="G1660" s="264"/>
      <c r="H1660" s="264"/>
      <c r="I1660" s="264"/>
      <c r="J1660" s="327"/>
      <c r="K1660" s="327"/>
      <c r="L1660" s="327"/>
      <c r="M1660" s="321"/>
      <c r="N1660" s="321"/>
      <c r="O1660" s="364"/>
      <c r="P1660" s="376"/>
      <c r="R1660" s="393"/>
      <c r="S1660" s="61" ph="1"/>
      <c r="U1660" s="229"/>
      <c r="V1660" s="264"/>
      <c r="W1660" s="199"/>
      <c r="X1660" s="264"/>
      <c r="Y1660" s="264"/>
      <c r="Z1660" s="386"/>
      <c r="AD1660" s="264"/>
      <c r="AE1660" s="264"/>
      <c r="AF1660" s="264"/>
      <c r="AG1660" s="264"/>
    </row>
    <row r="1661" spans="1:33" ht="26.25">
      <c r="A1661" s="264"/>
      <c r="B1661" s="264"/>
      <c r="C1661" s="264"/>
      <c r="D1661" s="264"/>
      <c r="E1661" s="264"/>
      <c r="F1661" s="264"/>
      <c r="G1661" s="264"/>
      <c r="H1661" s="264"/>
      <c r="I1661" s="264"/>
      <c r="J1661" s="327"/>
      <c r="K1661" s="327"/>
      <c r="L1661" s="327"/>
      <c r="M1661" s="321"/>
      <c r="N1661" s="321"/>
      <c r="O1661" s="364"/>
      <c r="P1661" s="376"/>
      <c r="R1661" s="393"/>
      <c r="S1661" s="61" ph="1"/>
      <c r="U1661" s="229"/>
      <c r="V1661" s="264"/>
      <c r="W1661" s="199"/>
      <c r="X1661" s="264"/>
      <c r="Y1661" s="264"/>
      <c r="Z1661" s="386"/>
      <c r="AD1661" s="264"/>
      <c r="AE1661" s="264"/>
      <c r="AF1661" s="264"/>
      <c r="AG1661" s="264"/>
    </row>
    <row r="1662" spans="1:33" ht="26.25">
      <c r="A1662" s="264"/>
      <c r="B1662" s="264"/>
      <c r="C1662" s="264"/>
      <c r="D1662" s="264"/>
      <c r="E1662" s="264"/>
      <c r="F1662" s="264"/>
      <c r="G1662" s="264"/>
      <c r="H1662" s="264"/>
      <c r="I1662" s="264"/>
      <c r="J1662" s="327"/>
      <c r="K1662" s="327"/>
      <c r="L1662" s="327"/>
      <c r="M1662" s="321"/>
      <c r="N1662" s="321"/>
      <c r="O1662" s="364"/>
      <c r="P1662" s="376"/>
      <c r="R1662" s="393"/>
      <c r="S1662" s="61" ph="1"/>
      <c r="U1662" s="229"/>
      <c r="V1662" s="264"/>
      <c r="W1662" s="199"/>
      <c r="X1662" s="264"/>
      <c r="Y1662" s="264"/>
      <c r="Z1662" s="386"/>
      <c r="AD1662" s="264"/>
      <c r="AE1662" s="264"/>
      <c r="AF1662" s="264"/>
      <c r="AG1662" s="264"/>
    </row>
    <row r="1663" spans="1:33" ht="26.25">
      <c r="A1663" s="264"/>
      <c r="B1663" s="264"/>
      <c r="C1663" s="264"/>
      <c r="D1663" s="264"/>
      <c r="E1663" s="264"/>
      <c r="F1663" s="264"/>
      <c r="G1663" s="264"/>
      <c r="H1663" s="264"/>
      <c r="I1663" s="264"/>
      <c r="J1663" s="327"/>
      <c r="K1663" s="327"/>
      <c r="L1663" s="327"/>
      <c r="M1663" s="321"/>
      <c r="N1663" s="321"/>
      <c r="O1663" s="364"/>
      <c r="P1663" s="376"/>
      <c r="R1663" s="393"/>
      <c r="S1663" s="61" ph="1"/>
      <c r="U1663" s="229"/>
      <c r="V1663" s="264"/>
      <c r="W1663" s="199"/>
      <c r="X1663" s="264"/>
      <c r="Y1663" s="264"/>
      <c r="Z1663" s="386"/>
      <c r="AD1663" s="264"/>
      <c r="AE1663" s="264"/>
      <c r="AF1663" s="264"/>
      <c r="AG1663" s="264"/>
    </row>
    <row r="1664" spans="1:33" ht="26.25">
      <c r="A1664" s="264"/>
      <c r="B1664" s="264"/>
      <c r="C1664" s="264"/>
      <c r="D1664" s="264"/>
      <c r="E1664" s="264"/>
      <c r="F1664" s="264"/>
      <c r="G1664" s="264"/>
      <c r="H1664" s="264"/>
      <c r="I1664" s="264"/>
      <c r="J1664" s="327"/>
      <c r="K1664" s="327"/>
      <c r="L1664" s="327"/>
      <c r="M1664" s="321"/>
      <c r="N1664" s="321"/>
      <c r="O1664" s="364"/>
      <c r="P1664" s="376"/>
      <c r="R1664" s="393"/>
      <c r="S1664" s="61" ph="1"/>
      <c r="U1664" s="229"/>
      <c r="V1664" s="264"/>
      <c r="W1664" s="199"/>
      <c r="X1664" s="264"/>
      <c r="Y1664" s="264"/>
      <c r="Z1664" s="386"/>
      <c r="AD1664" s="264"/>
      <c r="AE1664" s="264"/>
      <c r="AF1664" s="264"/>
      <c r="AG1664" s="264"/>
    </row>
    <row r="1665" spans="1:33" ht="26.25">
      <c r="A1665" s="264"/>
      <c r="B1665" s="264"/>
      <c r="C1665" s="264"/>
      <c r="D1665" s="264"/>
      <c r="E1665" s="264"/>
      <c r="F1665" s="264"/>
      <c r="G1665" s="264"/>
      <c r="H1665" s="264"/>
      <c r="I1665" s="264"/>
      <c r="J1665" s="327"/>
      <c r="K1665" s="327"/>
      <c r="L1665" s="327"/>
      <c r="M1665" s="321"/>
      <c r="N1665" s="321"/>
      <c r="O1665" s="364"/>
      <c r="P1665" s="376"/>
      <c r="R1665" s="393"/>
      <c r="S1665" s="61" ph="1"/>
      <c r="U1665" s="229"/>
      <c r="V1665" s="264"/>
      <c r="W1665" s="199"/>
      <c r="X1665" s="264"/>
      <c r="Y1665" s="264"/>
      <c r="Z1665" s="386"/>
      <c r="AD1665" s="264"/>
      <c r="AE1665" s="264"/>
      <c r="AF1665" s="264"/>
      <c r="AG1665" s="264"/>
    </row>
    <row r="1666" spans="1:33" ht="26.25">
      <c r="A1666" s="264"/>
      <c r="B1666" s="264"/>
      <c r="C1666" s="264"/>
      <c r="D1666" s="264"/>
      <c r="E1666" s="264"/>
      <c r="F1666" s="264"/>
      <c r="G1666" s="264"/>
      <c r="H1666" s="264"/>
      <c r="I1666" s="264"/>
      <c r="J1666" s="327"/>
      <c r="K1666" s="327"/>
      <c r="L1666" s="327"/>
      <c r="M1666" s="321"/>
      <c r="N1666" s="321"/>
      <c r="O1666" s="364"/>
      <c r="P1666" s="376"/>
      <c r="R1666" s="393"/>
      <c r="S1666" s="61" ph="1"/>
      <c r="U1666" s="229"/>
      <c r="V1666" s="264"/>
      <c r="W1666" s="199"/>
      <c r="X1666" s="264"/>
      <c r="Y1666" s="264"/>
      <c r="Z1666" s="386"/>
      <c r="AD1666" s="264"/>
      <c r="AE1666" s="264"/>
      <c r="AF1666" s="264"/>
      <c r="AG1666" s="264"/>
    </row>
    <row r="1667" spans="1:33" ht="26.25">
      <c r="A1667" s="264"/>
      <c r="B1667" s="264"/>
      <c r="C1667" s="264"/>
      <c r="D1667" s="264"/>
      <c r="E1667" s="264"/>
      <c r="F1667" s="264"/>
      <c r="G1667" s="264"/>
      <c r="H1667" s="264"/>
      <c r="I1667" s="264"/>
      <c r="J1667" s="327"/>
      <c r="K1667" s="327"/>
      <c r="L1667" s="327"/>
      <c r="M1667" s="321"/>
      <c r="N1667" s="321"/>
      <c r="O1667" s="364"/>
      <c r="P1667" s="376"/>
      <c r="R1667" s="393"/>
      <c r="S1667" s="61" ph="1"/>
      <c r="U1667" s="229"/>
      <c r="V1667" s="264"/>
      <c r="W1667" s="199"/>
      <c r="X1667" s="264"/>
      <c r="Y1667" s="264"/>
      <c r="Z1667" s="386"/>
      <c r="AD1667" s="264"/>
      <c r="AE1667" s="264"/>
      <c r="AF1667" s="264"/>
      <c r="AG1667" s="264"/>
    </row>
    <row r="1668" spans="1:33" ht="26.25">
      <c r="A1668" s="264"/>
      <c r="B1668" s="264"/>
      <c r="C1668" s="264"/>
      <c r="D1668" s="264"/>
      <c r="E1668" s="264"/>
      <c r="F1668" s="264"/>
      <c r="G1668" s="264"/>
      <c r="H1668" s="264"/>
      <c r="I1668" s="264"/>
      <c r="J1668" s="327"/>
      <c r="K1668" s="327"/>
      <c r="L1668" s="327"/>
      <c r="M1668" s="321"/>
      <c r="N1668" s="321"/>
      <c r="O1668" s="364"/>
      <c r="P1668" s="376"/>
      <c r="R1668" s="393"/>
      <c r="S1668" s="61" ph="1"/>
      <c r="U1668" s="229"/>
      <c r="V1668" s="264"/>
      <c r="W1668" s="199"/>
      <c r="X1668" s="264"/>
      <c r="Y1668" s="264"/>
      <c r="Z1668" s="386"/>
      <c r="AD1668" s="264"/>
      <c r="AE1668" s="264"/>
      <c r="AF1668" s="264"/>
      <c r="AG1668" s="264"/>
    </row>
    <row r="1669" spans="1:33" ht="26.25">
      <c r="A1669" s="264"/>
      <c r="B1669" s="264"/>
      <c r="C1669" s="264"/>
      <c r="D1669" s="264"/>
      <c r="E1669" s="264"/>
      <c r="F1669" s="264"/>
      <c r="G1669" s="264"/>
      <c r="H1669" s="264"/>
      <c r="I1669" s="264"/>
      <c r="J1669" s="327"/>
      <c r="K1669" s="327"/>
      <c r="L1669" s="327"/>
      <c r="M1669" s="321"/>
      <c r="N1669" s="321"/>
      <c r="O1669" s="364"/>
      <c r="P1669" s="376"/>
      <c r="R1669" s="393"/>
      <c r="S1669" s="61" ph="1"/>
      <c r="U1669" s="229"/>
      <c r="V1669" s="264"/>
      <c r="W1669" s="199"/>
      <c r="X1669" s="264"/>
      <c r="Y1669" s="264"/>
      <c r="Z1669" s="386"/>
      <c r="AD1669" s="264"/>
      <c r="AE1669" s="264"/>
      <c r="AF1669" s="264"/>
      <c r="AG1669" s="264"/>
    </row>
    <row r="1670" spans="1:33" ht="26.25">
      <c r="A1670" s="264"/>
      <c r="B1670" s="264"/>
      <c r="C1670" s="264"/>
      <c r="D1670" s="264"/>
      <c r="E1670" s="264"/>
      <c r="F1670" s="264"/>
      <c r="G1670" s="264"/>
      <c r="H1670" s="264"/>
      <c r="I1670" s="264"/>
      <c r="J1670" s="327"/>
      <c r="K1670" s="327"/>
      <c r="L1670" s="327"/>
      <c r="M1670" s="321"/>
      <c r="N1670" s="321"/>
      <c r="O1670" s="364"/>
      <c r="P1670" s="376"/>
      <c r="R1670" s="393"/>
      <c r="S1670" s="61" ph="1"/>
      <c r="U1670" s="229"/>
      <c r="V1670" s="264"/>
      <c r="W1670" s="199"/>
      <c r="X1670" s="264"/>
      <c r="Y1670" s="264"/>
      <c r="Z1670" s="386"/>
      <c r="AD1670" s="264"/>
      <c r="AE1670" s="264"/>
      <c r="AF1670" s="264"/>
      <c r="AG1670" s="264"/>
    </row>
    <row r="1671" spans="1:33" ht="26.25">
      <c r="A1671" s="264"/>
      <c r="B1671" s="264"/>
      <c r="C1671" s="264"/>
      <c r="D1671" s="264"/>
      <c r="E1671" s="264"/>
      <c r="F1671" s="264"/>
      <c r="G1671" s="264"/>
      <c r="H1671" s="264"/>
      <c r="I1671" s="264"/>
      <c r="J1671" s="327"/>
      <c r="K1671" s="327"/>
      <c r="L1671" s="327"/>
      <c r="M1671" s="321"/>
      <c r="N1671" s="321"/>
      <c r="O1671" s="364"/>
      <c r="P1671" s="376"/>
      <c r="R1671" s="393"/>
      <c r="S1671" s="61" ph="1"/>
      <c r="U1671" s="229"/>
      <c r="V1671" s="264"/>
      <c r="W1671" s="199"/>
      <c r="X1671" s="264"/>
      <c r="Y1671" s="264"/>
      <c r="Z1671" s="386"/>
      <c r="AD1671" s="264"/>
      <c r="AE1671" s="264"/>
      <c r="AF1671" s="264"/>
      <c r="AG1671" s="264"/>
    </row>
    <row r="1672" spans="1:33" ht="26.25">
      <c r="A1672" s="264"/>
      <c r="B1672" s="264"/>
      <c r="C1672" s="264"/>
      <c r="D1672" s="264"/>
      <c r="E1672" s="264"/>
      <c r="F1672" s="264"/>
      <c r="G1672" s="264"/>
      <c r="H1672" s="264"/>
      <c r="I1672" s="264"/>
      <c r="J1672" s="327"/>
      <c r="K1672" s="327"/>
      <c r="L1672" s="327"/>
      <c r="M1672" s="321"/>
      <c r="N1672" s="321"/>
      <c r="O1672" s="364"/>
      <c r="P1672" s="376"/>
      <c r="R1672" s="393"/>
      <c r="S1672" s="61" ph="1"/>
      <c r="U1672" s="229"/>
      <c r="V1672" s="264"/>
      <c r="W1672" s="199"/>
      <c r="X1672" s="264"/>
      <c r="Y1672" s="264"/>
      <c r="Z1672" s="386"/>
      <c r="AD1672" s="264"/>
      <c r="AE1672" s="264"/>
      <c r="AF1672" s="264"/>
      <c r="AG1672" s="264"/>
    </row>
    <row r="1673" spans="1:33" ht="26.25">
      <c r="A1673" s="264"/>
      <c r="B1673" s="264"/>
      <c r="C1673" s="264"/>
      <c r="D1673" s="264"/>
      <c r="E1673" s="264"/>
      <c r="F1673" s="264"/>
      <c r="G1673" s="264"/>
      <c r="H1673" s="264"/>
      <c r="I1673" s="264"/>
      <c r="J1673" s="327"/>
      <c r="K1673" s="327"/>
      <c r="L1673" s="327"/>
      <c r="M1673" s="321"/>
      <c r="N1673" s="321"/>
      <c r="O1673" s="364"/>
      <c r="P1673" s="376"/>
      <c r="R1673" s="393"/>
      <c r="S1673" s="61" ph="1"/>
      <c r="U1673" s="229"/>
      <c r="V1673" s="264"/>
      <c r="W1673" s="199"/>
      <c r="X1673" s="264"/>
      <c r="Y1673" s="264"/>
      <c r="Z1673" s="386"/>
      <c r="AD1673" s="264"/>
      <c r="AE1673" s="264"/>
      <c r="AF1673" s="264"/>
      <c r="AG1673" s="264"/>
    </row>
    <row r="1674" spans="1:33" ht="26.25">
      <c r="A1674" s="264"/>
      <c r="B1674" s="264"/>
      <c r="C1674" s="264"/>
      <c r="D1674" s="264"/>
      <c r="E1674" s="264"/>
      <c r="F1674" s="264"/>
      <c r="G1674" s="264"/>
      <c r="H1674" s="264"/>
      <c r="I1674" s="264"/>
      <c r="J1674" s="327"/>
      <c r="K1674" s="327"/>
      <c r="L1674" s="327"/>
      <c r="M1674" s="321"/>
      <c r="N1674" s="321"/>
      <c r="O1674" s="364"/>
      <c r="P1674" s="376"/>
      <c r="R1674" s="393"/>
      <c r="S1674" s="61" ph="1"/>
      <c r="U1674" s="229"/>
      <c r="V1674" s="264"/>
      <c r="W1674" s="199"/>
      <c r="X1674" s="264"/>
      <c r="Y1674" s="264"/>
      <c r="Z1674" s="386"/>
      <c r="AD1674" s="264"/>
      <c r="AE1674" s="264"/>
      <c r="AF1674" s="264"/>
      <c r="AG1674" s="264"/>
    </row>
    <row r="1675" spans="1:33" ht="26.25">
      <c r="A1675" s="264"/>
      <c r="B1675" s="264"/>
      <c r="C1675" s="264"/>
      <c r="D1675" s="264"/>
      <c r="E1675" s="264"/>
      <c r="F1675" s="264"/>
      <c r="G1675" s="264"/>
      <c r="H1675" s="264"/>
      <c r="I1675" s="264"/>
      <c r="J1675" s="327"/>
      <c r="K1675" s="327"/>
      <c r="L1675" s="327"/>
      <c r="M1675" s="321"/>
      <c r="N1675" s="321"/>
      <c r="O1675" s="364"/>
      <c r="P1675" s="376"/>
      <c r="R1675" s="393"/>
      <c r="S1675" s="61" ph="1"/>
      <c r="U1675" s="229"/>
      <c r="V1675" s="264"/>
      <c r="W1675" s="199"/>
      <c r="X1675" s="264"/>
      <c r="Y1675" s="264"/>
      <c r="Z1675" s="386"/>
      <c r="AD1675" s="264"/>
      <c r="AE1675" s="264"/>
      <c r="AF1675" s="264"/>
      <c r="AG1675" s="264"/>
    </row>
    <row r="1676" spans="1:33" ht="26.25">
      <c r="A1676" s="264"/>
      <c r="B1676" s="264"/>
      <c r="C1676" s="264"/>
      <c r="D1676" s="264"/>
      <c r="E1676" s="264"/>
      <c r="F1676" s="264"/>
      <c r="G1676" s="264"/>
      <c r="H1676" s="264"/>
      <c r="I1676" s="264"/>
      <c r="J1676" s="327"/>
      <c r="K1676" s="327"/>
      <c r="L1676" s="327"/>
      <c r="M1676" s="321"/>
      <c r="N1676" s="321"/>
      <c r="O1676" s="364"/>
      <c r="P1676" s="376"/>
      <c r="R1676" s="393"/>
      <c r="S1676" s="61" ph="1"/>
      <c r="U1676" s="229"/>
      <c r="V1676" s="264"/>
      <c r="W1676" s="199"/>
      <c r="X1676" s="264"/>
      <c r="Y1676" s="264"/>
      <c r="Z1676" s="386"/>
      <c r="AD1676" s="264"/>
      <c r="AE1676" s="264"/>
      <c r="AF1676" s="264"/>
      <c r="AG1676" s="264"/>
    </row>
    <row r="1677" spans="1:33" ht="26.25">
      <c r="A1677" s="264"/>
      <c r="B1677" s="264"/>
      <c r="C1677" s="264"/>
      <c r="D1677" s="264"/>
      <c r="E1677" s="264"/>
      <c r="F1677" s="264"/>
      <c r="G1677" s="264"/>
      <c r="H1677" s="264"/>
      <c r="I1677" s="264"/>
      <c r="J1677" s="327"/>
      <c r="K1677" s="327"/>
      <c r="L1677" s="327"/>
      <c r="M1677" s="321"/>
      <c r="N1677" s="321"/>
      <c r="O1677" s="364"/>
      <c r="P1677" s="376"/>
      <c r="R1677" s="393"/>
      <c r="S1677" s="61" ph="1"/>
      <c r="U1677" s="229"/>
      <c r="V1677" s="264"/>
      <c r="W1677" s="199"/>
      <c r="X1677" s="264"/>
      <c r="Y1677" s="264"/>
      <c r="Z1677" s="386"/>
      <c r="AD1677" s="264"/>
      <c r="AE1677" s="264"/>
      <c r="AF1677" s="264"/>
      <c r="AG1677" s="264"/>
    </row>
    <row r="1678" spans="1:33" ht="26.25">
      <c r="A1678" s="264"/>
      <c r="B1678" s="264"/>
      <c r="C1678" s="264"/>
      <c r="D1678" s="264"/>
      <c r="E1678" s="264"/>
      <c r="F1678" s="264"/>
      <c r="G1678" s="264"/>
      <c r="H1678" s="264"/>
      <c r="I1678" s="264"/>
      <c r="J1678" s="327"/>
      <c r="K1678" s="327"/>
      <c r="L1678" s="327"/>
      <c r="M1678" s="321"/>
      <c r="N1678" s="321"/>
      <c r="O1678" s="364"/>
      <c r="P1678" s="376"/>
      <c r="R1678" s="393"/>
      <c r="S1678" s="61" ph="1"/>
      <c r="U1678" s="229"/>
      <c r="V1678" s="264"/>
      <c r="W1678" s="199"/>
      <c r="X1678" s="264"/>
      <c r="Y1678" s="264"/>
      <c r="Z1678" s="386"/>
      <c r="AD1678" s="264"/>
      <c r="AE1678" s="264"/>
      <c r="AF1678" s="264"/>
      <c r="AG1678" s="264"/>
    </row>
    <row r="1679" spans="1:33" ht="26.25">
      <c r="A1679" s="264"/>
      <c r="B1679" s="264"/>
      <c r="C1679" s="264"/>
      <c r="D1679" s="264"/>
      <c r="E1679" s="264"/>
      <c r="F1679" s="264"/>
      <c r="G1679" s="264"/>
      <c r="H1679" s="264"/>
      <c r="I1679" s="264"/>
      <c r="J1679" s="327"/>
      <c r="K1679" s="327"/>
      <c r="L1679" s="327"/>
      <c r="M1679" s="321"/>
      <c r="N1679" s="321"/>
      <c r="O1679" s="364"/>
      <c r="P1679" s="376"/>
      <c r="R1679" s="393"/>
      <c r="S1679" s="61" ph="1"/>
      <c r="U1679" s="229"/>
      <c r="V1679" s="264"/>
      <c r="W1679" s="199"/>
      <c r="X1679" s="264"/>
      <c r="Y1679" s="264"/>
      <c r="Z1679" s="386"/>
      <c r="AD1679" s="264"/>
      <c r="AE1679" s="264"/>
      <c r="AF1679" s="264"/>
      <c r="AG1679" s="264"/>
    </row>
    <row r="1680" spans="1:33" ht="26.25">
      <c r="A1680" s="264"/>
      <c r="B1680" s="264"/>
      <c r="C1680" s="264"/>
      <c r="D1680" s="264"/>
      <c r="E1680" s="264"/>
      <c r="F1680" s="264"/>
      <c r="G1680" s="264"/>
      <c r="H1680" s="264"/>
      <c r="I1680" s="264"/>
      <c r="J1680" s="327"/>
      <c r="K1680" s="327"/>
      <c r="L1680" s="327"/>
      <c r="M1680" s="321"/>
      <c r="N1680" s="321"/>
      <c r="O1680" s="364"/>
      <c r="P1680" s="376"/>
      <c r="R1680" s="393"/>
      <c r="S1680" s="61" ph="1"/>
      <c r="U1680" s="229"/>
      <c r="V1680" s="264"/>
      <c r="W1680" s="199"/>
      <c r="X1680" s="264"/>
      <c r="Y1680" s="264"/>
      <c r="Z1680" s="386"/>
      <c r="AD1680" s="264"/>
      <c r="AE1680" s="264"/>
      <c r="AF1680" s="264"/>
      <c r="AG1680" s="264"/>
    </row>
    <row r="1681" spans="1:33" ht="26.25">
      <c r="A1681" s="264"/>
      <c r="B1681" s="264"/>
      <c r="C1681" s="264"/>
      <c r="D1681" s="264"/>
      <c r="E1681" s="264"/>
      <c r="F1681" s="264"/>
      <c r="G1681" s="264"/>
      <c r="H1681" s="264"/>
      <c r="I1681" s="264"/>
      <c r="J1681" s="327"/>
      <c r="K1681" s="327"/>
      <c r="L1681" s="327"/>
      <c r="M1681" s="321"/>
      <c r="N1681" s="321"/>
      <c r="O1681" s="364"/>
      <c r="P1681" s="376"/>
      <c r="R1681" s="393"/>
      <c r="S1681" s="61" ph="1"/>
      <c r="U1681" s="229"/>
      <c r="V1681" s="264"/>
      <c r="W1681" s="199"/>
      <c r="X1681" s="264"/>
      <c r="Y1681" s="264"/>
      <c r="Z1681" s="386"/>
      <c r="AD1681" s="264"/>
      <c r="AE1681" s="264"/>
      <c r="AF1681" s="264"/>
      <c r="AG1681" s="264"/>
    </row>
    <row r="1682" spans="1:33" ht="26.25">
      <c r="A1682" s="264"/>
      <c r="B1682" s="264"/>
      <c r="C1682" s="264"/>
      <c r="D1682" s="264"/>
      <c r="E1682" s="264"/>
      <c r="F1682" s="264"/>
      <c r="G1682" s="264"/>
      <c r="H1682" s="264"/>
      <c r="I1682" s="264"/>
      <c r="J1682" s="327"/>
      <c r="K1682" s="327"/>
      <c r="L1682" s="327"/>
      <c r="M1682" s="321"/>
      <c r="N1682" s="321"/>
      <c r="O1682" s="364"/>
      <c r="P1682" s="376"/>
      <c r="R1682" s="393"/>
      <c r="S1682" s="61" ph="1"/>
      <c r="U1682" s="229"/>
      <c r="V1682" s="264"/>
      <c r="W1682" s="199"/>
      <c r="X1682" s="264"/>
      <c r="Y1682" s="264"/>
      <c r="Z1682" s="386"/>
      <c r="AD1682" s="264"/>
      <c r="AE1682" s="264"/>
      <c r="AF1682" s="264"/>
      <c r="AG1682" s="264"/>
    </row>
    <row r="1683" spans="1:33" ht="26.25">
      <c r="A1683" s="264"/>
      <c r="B1683" s="264"/>
      <c r="C1683" s="264"/>
      <c r="D1683" s="264"/>
      <c r="E1683" s="264"/>
      <c r="F1683" s="264"/>
      <c r="G1683" s="264"/>
      <c r="H1683" s="264"/>
      <c r="I1683" s="264"/>
      <c r="J1683" s="327"/>
      <c r="K1683" s="327"/>
      <c r="L1683" s="327"/>
      <c r="M1683" s="321"/>
      <c r="N1683" s="321"/>
      <c r="O1683" s="364"/>
      <c r="P1683" s="376"/>
      <c r="R1683" s="393"/>
      <c r="S1683" s="61" ph="1"/>
      <c r="U1683" s="229"/>
      <c r="V1683" s="264"/>
      <c r="W1683" s="199"/>
      <c r="X1683" s="264"/>
      <c r="Y1683" s="264"/>
      <c r="Z1683" s="386"/>
      <c r="AD1683" s="264"/>
      <c r="AE1683" s="264"/>
      <c r="AF1683" s="264"/>
      <c r="AG1683" s="264"/>
    </row>
    <row r="1684" spans="1:33" ht="26.25">
      <c r="A1684" s="264"/>
      <c r="B1684" s="264"/>
      <c r="C1684" s="264"/>
      <c r="D1684" s="264"/>
      <c r="E1684" s="264"/>
      <c r="F1684" s="264"/>
      <c r="G1684" s="264"/>
      <c r="H1684" s="264"/>
      <c r="I1684" s="264"/>
      <c r="J1684" s="327"/>
      <c r="K1684" s="327"/>
      <c r="L1684" s="327"/>
      <c r="M1684" s="321"/>
      <c r="N1684" s="321"/>
      <c r="O1684" s="364"/>
      <c r="P1684" s="376"/>
      <c r="R1684" s="393"/>
      <c r="S1684" s="61" ph="1"/>
      <c r="U1684" s="229"/>
      <c r="V1684" s="264"/>
      <c r="W1684" s="199"/>
      <c r="X1684" s="264"/>
      <c r="Y1684" s="264"/>
      <c r="Z1684" s="386"/>
      <c r="AD1684" s="264"/>
      <c r="AE1684" s="264"/>
      <c r="AF1684" s="264"/>
      <c r="AG1684" s="264"/>
    </row>
    <row r="1685" spans="1:33" ht="26.25">
      <c r="A1685" s="264"/>
      <c r="B1685" s="264"/>
      <c r="C1685" s="264"/>
      <c r="D1685" s="264"/>
      <c r="E1685" s="264"/>
      <c r="F1685" s="264"/>
      <c r="G1685" s="264"/>
      <c r="H1685" s="264"/>
      <c r="I1685" s="264"/>
      <c r="J1685" s="327"/>
      <c r="K1685" s="327"/>
      <c r="L1685" s="327"/>
      <c r="M1685" s="321"/>
      <c r="N1685" s="321"/>
      <c r="O1685" s="364"/>
      <c r="P1685" s="376"/>
      <c r="R1685" s="393"/>
      <c r="S1685" s="61" ph="1"/>
      <c r="U1685" s="229"/>
      <c r="V1685" s="264"/>
      <c r="W1685" s="199"/>
      <c r="X1685" s="264"/>
      <c r="Y1685" s="264"/>
      <c r="Z1685" s="386"/>
      <c r="AD1685" s="264"/>
      <c r="AE1685" s="264"/>
      <c r="AF1685" s="264"/>
      <c r="AG1685" s="264"/>
    </row>
    <row r="1686" spans="1:33" ht="26.25">
      <c r="A1686" s="264"/>
      <c r="B1686" s="264"/>
      <c r="C1686" s="264"/>
      <c r="D1686" s="264"/>
      <c r="E1686" s="264"/>
      <c r="F1686" s="264"/>
      <c r="G1686" s="264"/>
      <c r="H1686" s="264"/>
      <c r="I1686" s="264"/>
      <c r="J1686" s="327"/>
      <c r="K1686" s="327"/>
      <c r="L1686" s="327"/>
      <c r="M1686" s="321"/>
      <c r="N1686" s="321"/>
      <c r="O1686" s="364"/>
      <c r="P1686" s="376"/>
      <c r="R1686" s="393"/>
      <c r="S1686" s="61" ph="1"/>
      <c r="U1686" s="229"/>
      <c r="V1686" s="264"/>
      <c r="W1686" s="199"/>
      <c r="X1686" s="264"/>
      <c r="Y1686" s="264"/>
      <c r="Z1686" s="386"/>
      <c r="AD1686" s="264"/>
      <c r="AE1686" s="264"/>
      <c r="AF1686" s="264"/>
      <c r="AG1686" s="264"/>
    </row>
    <row r="1687" spans="1:33" ht="26.25">
      <c r="A1687" s="264"/>
      <c r="B1687" s="264"/>
      <c r="C1687" s="264"/>
      <c r="D1687" s="264"/>
      <c r="E1687" s="264"/>
      <c r="F1687" s="264"/>
      <c r="G1687" s="264"/>
      <c r="H1687" s="264"/>
      <c r="I1687" s="264"/>
      <c r="J1687" s="327"/>
      <c r="K1687" s="327"/>
      <c r="L1687" s="327"/>
      <c r="M1687" s="321"/>
      <c r="N1687" s="321"/>
      <c r="O1687" s="364"/>
      <c r="P1687" s="376"/>
      <c r="R1687" s="393"/>
      <c r="S1687" s="61" ph="1"/>
      <c r="U1687" s="229"/>
      <c r="V1687" s="264"/>
      <c r="W1687" s="199"/>
      <c r="X1687" s="264"/>
      <c r="Y1687" s="264"/>
      <c r="Z1687" s="386"/>
      <c r="AD1687" s="264"/>
      <c r="AE1687" s="264"/>
      <c r="AF1687" s="264"/>
      <c r="AG1687" s="264"/>
    </row>
    <row r="1688" spans="1:33" ht="26.25">
      <c r="A1688" s="264"/>
      <c r="B1688" s="264"/>
      <c r="C1688" s="264"/>
      <c r="D1688" s="264"/>
      <c r="E1688" s="264"/>
      <c r="F1688" s="264"/>
      <c r="G1688" s="264"/>
      <c r="H1688" s="264"/>
      <c r="I1688" s="264"/>
      <c r="J1688" s="327"/>
      <c r="K1688" s="327"/>
      <c r="L1688" s="327"/>
      <c r="M1688" s="321"/>
      <c r="N1688" s="321"/>
      <c r="O1688" s="364"/>
      <c r="P1688" s="376"/>
      <c r="R1688" s="393"/>
      <c r="S1688" s="61" ph="1"/>
      <c r="U1688" s="229"/>
      <c r="V1688" s="264"/>
      <c r="W1688" s="199"/>
      <c r="X1688" s="264"/>
      <c r="Y1688" s="264"/>
      <c r="Z1688" s="386"/>
      <c r="AD1688" s="264"/>
      <c r="AE1688" s="264"/>
      <c r="AF1688" s="264"/>
      <c r="AG1688" s="264"/>
    </row>
    <row r="1689" spans="1:33" ht="26.25">
      <c r="A1689" s="264"/>
      <c r="B1689" s="264"/>
      <c r="C1689" s="264"/>
      <c r="D1689" s="264"/>
      <c r="E1689" s="264"/>
      <c r="F1689" s="264"/>
      <c r="G1689" s="264"/>
      <c r="H1689" s="264"/>
      <c r="I1689" s="264"/>
      <c r="J1689" s="327"/>
      <c r="K1689" s="327"/>
      <c r="L1689" s="327"/>
      <c r="M1689" s="321"/>
      <c r="N1689" s="321"/>
      <c r="O1689" s="364"/>
      <c r="P1689" s="376"/>
      <c r="R1689" s="393"/>
      <c r="S1689" s="61" ph="1"/>
      <c r="U1689" s="229"/>
      <c r="V1689" s="264"/>
      <c r="W1689" s="199"/>
      <c r="X1689" s="264"/>
      <c r="Y1689" s="264"/>
      <c r="Z1689" s="386"/>
      <c r="AD1689" s="264"/>
      <c r="AE1689" s="264"/>
      <c r="AF1689" s="264"/>
      <c r="AG1689" s="264"/>
    </row>
    <row r="1690" spans="1:33" ht="26.25">
      <c r="A1690" s="264"/>
      <c r="B1690" s="264"/>
      <c r="C1690" s="264"/>
      <c r="D1690" s="264"/>
      <c r="E1690" s="264"/>
      <c r="F1690" s="264"/>
      <c r="G1690" s="264"/>
      <c r="H1690" s="264"/>
      <c r="I1690" s="264"/>
      <c r="J1690" s="327"/>
      <c r="K1690" s="327"/>
      <c r="L1690" s="327"/>
      <c r="M1690" s="321"/>
      <c r="N1690" s="321"/>
      <c r="O1690" s="364"/>
      <c r="P1690" s="376"/>
      <c r="R1690" s="393"/>
      <c r="S1690" s="61" ph="1"/>
      <c r="U1690" s="229"/>
      <c r="V1690" s="264"/>
      <c r="W1690" s="199"/>
      <c r="X1690" s="264"/>
      <c r="Y1690" s="264"/>
      <c r="Z1690" s="386"/>
      <c r="AD1690" s="264"/>
      <c r="AE1690" s="264"/>
      <c r="AF1690" s="264"/>
      <c r="AG1690" s="264"/>
    </row>
    <row r="1691" spans="1:33" ht="26.25">
      <c r="A1691" s="264"/>
      <c r="B1691" s="264"/>
      <c r="C1691" s="264"/>
      <c r="D1691" s="264"/>
      <c r="E1691" s="264"/>
      <c r="F1691" s="264"/>
      <c r="G1691" s="264"/>
      <c r="H1691" s="264"/>
      <c r="I1691" s="264"/>
      <c r="J1691" s="327"/>
      <c r="K1691" s="327"/>
      <c r="L1691" s="327"/>
      <c r="M1691" s="321"/>
      <c r="N1691" s="321"/>
      <c r="O1691" s="364"/>
      <c r="P1691" s="376"/>
      <c r="R1691" s="393"/>
      <c r="S1691" s="61" ph="1"/>
      <c r="U1691" s="229"/>
      <c r="V1691" s="264"/>
      <c r="W1691" s="199"/>
      <c r="X1691" s="264"/>
      <c r="Y1691" s="264"/>
      <c r="Z1691" s="386"/>
      <c r="AD1691" s="264"/>
      <c r="AE1691" s="264"/>
      <c r="AF1691" s="264"/>
      <c r="AG1691" s="264"/>
    </row>
    <row r="1692" spans="1:33" ht="26.25">
      <c r="A1692" s="264"/>
      <c r="B1692" s="264"/>
      <c r="C1692" s="264"/>
      <c r="D1692" s="264"/>
      <c r="E1692" s="264"/>
      <c r="F1692" s="264"/>
      <c r="G1692" s="264"/>
      <c r="H1692" s="264"/>
      <c r="I1692" s="264"/>
      <c r="J1692" s="327"/>
      <c r="K1692" s="327"/>
      <c r="L1692" s="327"/>
      <c r="M1692" s="321"/>
      <c r="N1692" s="321"/>
      <c r="O1692" s="364"/>
      <c r="P1692" s="376"/>
      <c r="R1692" s="393"/>
      <c r="S1692" s="61" ph="1"/>
      <c r="U1692" s="229"/>
      <c r="V1692" s="264"/>
      <c r="W1692" s="199"/>
      <c r="X1692" s="264"/>
      <c r="Y1692" s="264"/>
      <c r="Z1692" s="386"/>
      <c r="AD1692" s="264"/>
      <c r="AE1692" s="264"/>
      <c r="AF1692" s="264"/>
      <c r="AG1692" s="264"/>
    </row>
    <row r="1693" spans="1:33" ht="26.25">
      <c r="A1693" s="264"/>
      <c r="B1693" s="264"/>
      <c r="C1693" s="264"/>
      <c r="D1693" s="264"/>
      <c r="E1693" s="264"/>
      <c r="F1693" s="264"/>
      <c r="G1693" s="264"/>
      <c r="H1693" s="264"/>
      <c r="I1693" s="264"/>
      <c r="J1693" s="327"/>
      <c r="K1693" s="327"/>
      <c r="L1693" s="327"/>
      <c r="M1693" s="321"/>
      <c r="N1693" s="321"/>
      <c r="O1693" s="364"/>
      <c r="P1693" s="376"/>
      <c r="R1693" s="393"/>
      <c r="S1693" s="61" ph="1"/>
      <c r="U1693" s="229"/>
      <c r="V1693" s="264"/>
      <c r="W1693" s="199"/>
      <c r="X1693" s="264"/>
      <c r="Y1693" s="264"/>
      <c r="Z1693" s="386"/>
      <c r="AD1693" s="264"/>
      <c r="AE1693" s="264"/>
      <c r="AF1693" s="264"/>
      <c r="AG1693" s="264"/>
    </row>
    <row r="1694" spans="1:33" ht="26.25">
      <c r="A1694" s="264"/>
      <c r="B1694" s="264"/>
      <c r="C1694" s="264"/>
      <c r="D1694" s="264"/>
      <c r="E1694" s="264"/>
      <c r="F1694" s="264"/>
      <c r="G1694" s="264"/>
      <c r="H1694" s="264"/>
      <c r="I1694" s="264"/>
      <c r="J1694" s="327"/>
      <c r="K1694" s="327"/>
      <c r="L1694" s="327"/>
      <c r="M1694" s="321"/>
      <c r="N1694" s="321"/>
      <c r="O1694" s="364"/>
      <c r="P1694" s="376"/>
      <c r="R1694" s="393"/>
      <c r="S1694" s="61" ph="1"/>
      <c r="U1694" s="229"/>
      <c r="V1694" s="264"/>
      <c r="W1694" s="199"/>
      <c r="X1694" s="264"/>
      <c r="Y1694" s="264"/>
      <c r="Z1694" s="386"/>
      <c r="AD1694" s="264"/>
      <c r="AE1694" s="264"/>
      <c r="AF1694" s="264"/>
      <c r="AG1694" s="264"/>
    </row>
    <row r="1695" spans="1:33" ht="26.25">
      <c r="A1695" s="264"/>
      <c r="B1695" s="264"/>
      <c r="C1695" s="264"/>
      <c r="D1695" s="264"/>
      <c r="E1695" s="264"/>
      <c r="F1695" s="264"/>
      <c r="G1695" s="264"/>
      <c r="H1695" s="264"/>
      <c r="I1695" s="264"/>
      <c r="J1695" s="327"/>
      <c r="K1695" s="327"/>
      <c r="L1695" s="327"/>
      <c r="M1695" s="321"/>
      <c r="N1695" s="321"/>
      <c r="O1695" s="364"/>
      <c r="P1695" s="376"/>
      <c r="R1695" s="393"/>
      <c r="S1695" s="61" ph="1"/>
      <c r="U1695" s="229"/>
      <c r="V1695" s="264"/>
      <c r="W1695" s="199"/>
      <c r="X1695" s="264"/>
      <c r="Y1695" s="264"/>
      <c r="Z1695" s="386"/>
      <c r="AD1695" s="264"/>
      <c r="AE1695" s="264"/>
      <c r="AF1695" s="264"/>
      <c r="AG1695" s="264"/>
    </row>
    <row r="1696" spans="1:33" ht="26.25">
      <c r="A1696" s="264"/>
      <c r="B1696" s="264"/>
      <c r="C1696" s="264"/>
      <c r="D1696" s="264"/>
      <c r="E1696" s="264"/>
      <c r="F1696" s="264"/>
      <c r="G1696" s="264"/>
      <c r="H1696" s="264"/>
      <c r="I1696" s="264"/>
      <c r="J1696" s="327"/>
      <c r="K1696" s="327"/>
      <c r="L1696" s="327"/>
      <c r="M1696" s="321"/>
      <c r="N1696" s="321"/>
      <c r="O1696" s="364"/>
      <c r="P1696" s="376"/>
      <c r="R1696" s="393"/>
      <c r="S1696" s="61" ph="1"/>
      <c r="U1696" s="229"/>
      <c r="V1696" s="264"/>
      <c r="W1696" s="199"/>
      <c r="X1696" s="264"/>
      <c r="Y1696" s="264"/>
      <c r="Z1696" s="386"/>
      <c r="AD1696" s="264"/>
      <c r="AE1696" s="264"/>
      <c r="AF1696" s="264"/>
      <c r="AG1696" s="264"/>
    </row>
    <row r="1697" spans="1:33" ht="26.25">
      <c r="A1697" s="264"/>
      <c r="B1697" s="264"/>
      <c r="C1697" s="264"/>
      <c r="D1697" s="264"/>
      <c r="E1697" s="264"/>
      <c r="F1697" s="264"/>
      <c r="G1697" s="264"/>
      <c r="H1697" s="264"/>
      <c r="I1697" s="264"/>
      <c r="J1697" s="327"/>
      <c r="K1697" s="327"/>
      <c r="L1697" s="327"/>
      <c r="M1697" s="321"/>
      <c r="N1697" s="321"/>
      <c r="O1697" s="364"/>
      <c r="P1697" s="376"/>
      <c r="R1697" s="393"/>
      <c r="S1697" s="61" ph="1"/>
      <c r="U1697" s="229"/>
      <c r="V1697" s="264"/>
      <c r="W1697" s="199"/>
      <c r="X1697" s="264"/>
      <c r="Y1697" s="264"/>
      <c r="Z1697" s="386"/>
      <c r="AD1697" s="264"/>
      <c r="AE1697" s="264"/>
      <c r="AF1697" s="264"/>
      <c r="AG1697" s="264"/>
    </row>
    <row r="1698" spans="1:33" ht="26.25">
      <c r="A1698" s="264"/>
      <c r="B1698" s="264"/>
      <c r="C1698" s="264"/>
      <c r="D1698" s="264"/>
      <c r="E1698" s="264"/>
      <c r="F1698" s="264"/>
      <c r="G1698" s="264"/>
      <c r="H1698" s="264"/>
      <c r="I1698" s="264"/>
      <c r="J1698" s="327"/>
      <c r="K1698" s="327"/>
      <c r="L1698" s="327"/>
      <c r="M1698" s="321"/>
      <c r="N1698" s="321"/>
      <c r="O1698" s="364"/>
      <c r="P1698" s="376"/>
      <c r="R1698" s="393"/>
      <c r="S1698" s="61" ph="1"/>
      <c r="U1698" s="229"/>
      <c r="V1698" s="264"/>
      <c r="W1698" s="199"/>
      <c r="X1698" s="264"/>
      <c r="Y1698" s="264"/>
      <c r="Z1698" s="386"/>
      <c r="AD1698" s="264"/>
      <c r="AE1698" s="264"/>
      <c r="AF1698" s="264"/>
      <c r="AG1698" s="264"/>
    </row>
    <row r="1699" spans="1:33" ht="26.25">
      <c r="A1699" s="264"/>
      <c r="B1699" s="264"/>
      <c r="C1699" s="264"/>
      <c r="D1699" s="264"/>
      <c r="E1699" s="264"/>
      <c r="F1699" s="264"/>
      <c r="G1699" s="264"/>
      <c r="H1699" s="264"/>
      <c r="I1699" s="264"/>
      <c r="J1699" s="327"/>
      <c r="K1699" s="327"/>
      <c r="L1699" s="327"/>
      <c r="M1699" s="321"/>
      <c r="N1699" s="321"/>
      <c r="O1699" s="364"/>
      <c r="P1699" s="376"/>
      <c r="R1699" s="393"/>
      <c r="S1699" s="61" ph="1"/>
      <c r="U1699" s="229"/>
      <c r="V1699" s="264"/>
      <c r="W1699" s="199"/>
      <c r="X1699" s="264"/>
      <c r="Y1699" s="264"/>
      <c r="Z1699" s="386"/>
      <c r="AD1699" s="264"/>
      <c r="AE1699" s="264"/>
      <c r="AF1699" s="264"/>
      <c r="AG1699" s="264"/>
    </row>
    <row r="1700" spans="1:33" ht="26.25">
      <c r="A1700" s="264"/>
      <c r="B1700" s="264"/>
      <c r="C1700" s="264"/>
      <c r="D1700" s="264"/>
      <c r="E1700" s="264"/>
      <c r="F1700" s="264"/>
      <c r="G1700" s="264"/>
      <c r="H1700" s="264"/>
      <c r="I1700" s="264"/>
      <c r="J1700" s="327"/>
      <c r="K1700" s="327"/>
      <c r="L1700" s="327"/>
      <c r="M1700" s="321"/>
      <c r="N1700" s="321"/>
      <c r="O1700" s="364"/>
      <c r="P1700" s="376"/>
      <c r="R1700" s="393"/>
      <c r="S1700" s="61" ph="1"/>
      <c r="U1700" s="229"/>
      <c r="V1700" s="264"/>
      <c r="W1700" s="199"/>
      <c r="X1700" s="264"/>
      <c r="Y1700" s="264"/>
      <c r="Z1700" s="386"/>
      <c r="AD1700" s="264"/>
      <c r="AE1700" s="264"/>
      <c r="AF1700" s="264"/>
      <c r="AG1700" s="264"/>
    </row>
    <row r="1701" spans="1:33" ht="26.25">
      <c r="A1701" s="264"/>
      <c r="B1701" s="264"/>
      <c r="C1701" s="264"/>
      <c r="D1701" s="264"/>
      <c r="E1701" s="264"/>
      <c r="F1701" s="264"/>
      <c r="G1701" s="264"/>
      <c r="H1701" s="264"/>
      <c r="I1701" s="264"/>
      <c r="J1701" s="327"/>
      <c r="K1701" s="327"/>
      <c r="L1701" s="327"/>
      <c r="M1701" s="321"/>
      <c r="N1701" s="321"/>
      <c r="O1701" s="364"/>
      <c r="P1701" s="376"/>
      <c r="R1701" s="393"/>
      <c r="S1701" s="61" ph="1"/>
      <c r="U1701" s="229"/>
      <c r="V1701" s="264"/>
      <c r="W1701" s="199"/>
      <c r="X1701" s="264"/>
      <c r="Y1701" s="264"/>
      <c r="Z1701" s="386"/>
      <c r="AD1701" s="264"/>
      <c r="AE1701" s="264"/>
      <c r="AF1701" s="264"/>
      <c r="AG1701" s="264"/>
    </row>
    <row r="1702" spans="1:33" ht="26.25">
      <c r="A1702" s="264"/>
      <c r="B1702" s="264"/>
      <c r="C1702" s="264"/>
      <c r="D1702" s="264"/>
      <c r="E1702" s="264"/>
      <c r="F1702" s="264"/>
      <c r="G1702" s="264"/>
      <c r="H1702" s="264"/>
      <c r="I1702" s="264"/>
      <c r="J1702" s="327"/>
      <c r="K1702" s="327"/>
      <c r="L1702" s="327"/>
      <c r="M1702" s="321"/>
      <c r="N1702" s="321"/>
      <c r="O1702" s="364"/>
      <c r="P1702" s="376"/>
      <c r="R1702" s="393"/>
      <c r="S1702" s="61" ph="1"/>
      <c r="U1702" s="229"/>
      <c r="V1702" s="264"/>
      <c r="W1702" s="199"/>
      <c r="X1702" s="264"/>
      <c r="Y1702" s="264"/>
      <c r="Z1702" s="386"/>
      <c r="AD1702" s="264"/>
      <c r="AE1702" s="264"/>
      <c r="AF1702" s="264"/>
      <c r="AG1702" s="264"/>
    </row>
    <row r="1703" spans="1:33" ht="26.25">
      <c r="A1703" s="264"/>
      <c r="B1703" s="264"/>
      <c r="C1703" s="264"/>
      <c r="D1703" s="264"/>
      <c r="E1703" s="264"/>
      <c r="F1703" s="264"/>
      <c r="G1703" s="264"/>
      <c r="H1703" s="264"/>
      <c r="I1703" s="264"/>
      <c r="J1703" s="327"/>
      <c r="K1703" s="327"/>
      <c r="L1703" s="327"/>
      <c r="M1703" s="321"/>
      <c r="N1703" s="321"/>
      <c r="O1703" s="364"/>
      <c r="P1703" s="376"/>
      <c r="R1703" s="393"/>
      <c r="S1703" s="61" ph="1"/>
      <c r="U1703" s="229"/>
      <c r="V1703" s="264"/>
      <c r="W1703" s="199"/>
      <c r="X1703" s="264"/>
      <c r="Y1703" s="264"/>
      <c r="Z1703" s="386"/>
      <c r="AD1703" s="264"/>
      <c r="AE1703" s="264"/>
      <c r="AF1703" s="264"/>
      <c r="AG1703" s="264"/>
    </row>
    <row r="1704" spans="1:33" ht="26.25">
      <c r="A1704" s="264"/>
      <c r="B1704" s="264"/>
      <c r="C1704" s="264"/>
      <c r="D1704" s="264"/>
      <c r="E1704" s="264"/>
      <c r="F1704" s="264"/>
      <c r="G1704" s="264"/>
      <c r="H1704" s="264"/>
      <c r="I1704" s="264"/>
      <c r="J1704" s="327"/>
      <c r="K1704" s="327"/>
      <c r="L1704" s="327"/>
      <c r="M1704" s="321"/>
      <c r="N1704" s="321"/>
      <c r="O1704" s="364"/>
      <c r="P1704" s="376"/>
      <c r="R1704" s="393"/>
      <c r="S1704" s="61" ph="1"/>
      <c r="U1704" s="229"/>
      <c r="V1704" s="264"/>
      <c r="W1704" s="199"/>
      <c r="X1704" s="264"/>
      <c r="Y1704" s="264"/>
      <c r="Z1704" s="386"/>
      <c r="AD1704" s="264"/>
      <c r="AE1704" s="264"/>
      <c r="AF1704" s="264"/>
      <c r="AG1704" s="264"/>
    </row>
    <row r="1705" spans="1:33" ht="26.25">
      <c r="A1705" s="264"/>
      <c r="B1705" s="264"/>
      <c r="C1705" s="264"/>
      <c r="D1705" s="264"/>
      <c r="E1705" s="264"/>
      <c r="F1705" s="264"/>
      <c r="G1705" s="264"/>
      <c r="H1705" s="264"/>
      <c r="I1705" s="264"/>
      <c r="J1705" s="327"/>
      <c r="K1705" s="327"/>
      <c r="L1705" s="327"/>
      <c r="M1705" s="321"/>
      <c r="N1705" s="321"/>
      <c r="O1705" s="364"/>
      <c r="P1705" s="376"/>
      <c r="R1705" s="393"/>
      <c r="S1705" s="61" ph="1"/>
      <c r="U1705" s="229"/>
      <c r="V1705" s="264"/>
      <c r="W1705" s="199"/>
      <c r="X1705" s="264"/>
      <c r="Y1705" s="264"/>
      <c r="Z1705" s="386"/>
      <c r="AD1705" s="264"/>
      <c r="AE1705" s="264"/>
      <c r="AF1705" s="264"/>
      <c r="AG1705" s="264"/>
    </row>
    <row r="1706" spans="1:33" ht="26.25">
      <c r="A1706" s="264"/>
      <c r="B1706" s="264"/>
      <c r="C1706" s="264"/>
      <c r="D1706" s="264"/>
      <c r="E1706" s="264"/>
      <c r="F1706" s="264"/>
      <c r="G1706" s="264"/>
      <c r="H1706" s="264"/>
      <c r="I1706" s="264"/>
      <c r="J1706" s="327"/>
      <c r="K1706" s="327"/>
      <c r="L1706" s="327"/>
      <c r="M1706" s="321"/>
      <c r="N1706" s="321"/>
      <c r="O1706" s="364"/>
      <c r="P1706" s="376"/>
      <c r="R1706" s="393"/>
      <c r="S1706" s="61" ph="1"/>
      <c r="U1706" s="229"/>
      <c r="V1706" s="264"/>
      <c r="W1706" s="199"/>
      <c r="X1706" s="264"/>
      <c r="Y1706" s="264"/>
      <c r="Z1706" s="386"/>
      <c r="AD1706" s="264"/>
      <c r="AE1706" s="264"/>
      <c r="AF1706" s="264"/>
      <c r="AG1706" s="264"/>
    </row>
    <row r="1707" spans="1:33" ht="26.25">
      <c r="A1707" s="264"/>
      <c r="B1707" s="264"/>
      <c r="C1707" s="264"/>
      <c r="D1707" s="264"/>
      <c r="E1707" s="264"/>
      <c r="F1707" s="264"/>
      <c r="G1707" s="264"/>
      <c r="H1707" s="264"/>
      <c r="I1707" s="264"/>
      <c r="J1707" s="327"/>
      <c r="K1707" s="327"/>
      <c r="L1707" s="327"/>
      <c r="M1707" s="321"/>
      <c r="N1707" s="321"/>
      <c r="O1707" s="364"/>
      <c r="P1707" s="376"/>
      <c r="R1707" s="393"/>
      <c r="S1707" s="61" ph="1"/>
      <c r="U1707" s="229"/>
      <c r="V1707" s="264"/>
      <c r="W1707" s="199"/>
      <c r="X1707" s="264"/>
      <c r="Y1707" s="264"/>
      <c r="Z1707" s="386"/>
      <c r="AD1707" s="264"/>
      <c r="AE1707" s="264"/>
      <c r="AF1707" s="264"/>
      <c r="AG1707" s="264"/>
    </row>
    <row r="1708" spans="1:33" ht="26.25">
      <c r="A1708" s="264"/>
      <c r="B1708" s="264"/>
      <c r="C1708" s="264"/>
      <c r="D1708" s="264"/>
      <c r="E1708" s="264"/>
      <c r="F1708" s="264"/>
      <c r="G1708" s="264"/>
      <c r="H1708" s="264"/>
      <c r="I1708" s="264"/>
      <c r="J1708" s="327"/>
      <c r="K1708" s="327"/>
      <c r="L1708" s="327"/>
      <c r="M1708" s="321"/>
      <c r="N1708" s="321"/>
      <c r="O1708" s="364"/>
      <c r="P1708" s="376"/>
      <c r="R1708" s="393"/>
      <c r="S1708" s="61" ph="1"/>
      <c r="U1708" s="229"/>
      <c r="V1708" s="264"/>
      <c r="W1708" s="199"/>
      <c r="X1708" s="264"/>
      <c r="Y1708" s="264"/>
      <c r="Z1708" s="386"/>
      <c r="AD1708" s="264"/>
      <c r="AE1708" s="264"/>
      <c r="AF1708" s="264"/>
      <c r="AG1708" s="264"/>
    </row>
    <row r="1709" spans="1:33" ht="26.25">
      <c r="A1709" s="264"/>
      <c r="B1709" s="264"/>
      <c r="C1709" s="264"/>
      <c r="D1709" s="264"/>
      <c r="E1709" s="264"/>
      <c r="F1709" s="264"/>
      <c r="G1709" s="264"/>
      <c r="H1709" s="264"/>
      <c r="I1709" s="264"/>
      <c r="J1709" s="327"/>
      <c r="K1709" s="327"/>
      <c r="L1709" s="327"/>
      <c r="M1709" s="321"/>
      <c r="N1709" s="321"/>
      <c r="O1709" s="364"/>
      <c r="P1709" s="376"/>
      <c r="R1709" s="393"/>
      <c r="S1709" s="61" ph="1"/>
      <c r="U1709" s="229"/>
      <c r="V1709" s="264"/>
      <c r="W1709" s="199"/>
      <c r="X1709" s="264"/>
      <c r="Y1709" s="264"/>
      <c r="Z1709" s="386"/>
      <c r="AD1709" s="264"/>
      <c r="AE1709" s="264"/>
      <c r="AF1709" s="264"/>
      <c r="AG1709" s="264"/>
    </row>
    <row r="1710" spans="1:33" ht="26.25">
      <c r="A1710" s="264"/>
      <c r="B1710" s="264"/>
      <c r="C1710" s="264"/>
      <c r="D1710" s="264"/>
      <c r="E1710" s="264"/>
      <c r="F1710" s="264"/>
      <c r="G1710" s="264"/>
      <c r="H1710" s="264"/>
      <c r="I1710" s="264"/>
      <c r="J1710" s="327"/>
      <c r="K1710" s="327"/>
      <c r="L1710" s="327"/>
      <c r="M1710" s="321"/>
      <c r="N1710" s="321"/>
      <c r="O1710" s="364"/>
      <c r="P1710" s="376"/>
      <c r="R1710" s="393"/>
      <c r="S1710" s="61" ph="1"/>
      <c r="U1710" s="229"/>
      <c r="V1710" s="264"/>
      <c r="W1710" s="199"/>
      <c r="X1710" s="264"/>
      <c r="Y1710" s="264"/>
      <c r="Z1710" s="386"/>
      <c r="AD1710" s="264"/>
      <c r="AE1710" s="264"/>
      <c r="AF1710" s="264"/>
      <c r="AG1710" s="264"/>
    </row>
    <row r="1711" spans="1:33" ht="26.25">
      <c r="A1711" s="264"/>
      <c r="B1711" s="264"/>
      <c r="C1711" s="264"/>
      <c r="D1711" s="264"/>
      <c r="E1711" s="264"/>
      <c r="F1711" s="264"/>
      <c r="G1711" s="264"/>
      <c r="H1711" s="264"/>
      <c r="I1711" s="264"/>
      <c r="J1711" s="327"/>
      <c r="K1711" s="327"/>
      <c r="L1711" s="327"/>
      <c r="M1711" s="321"/>
      <c r="N1711" s="321"/>
      <c r="O1711" s="364"/>
      <c r="P1711" s="376"/>
      <c r="R1711" s="393"/>
      <c r="S1711" s="61" ph="1"/>
      <c r="U1711" s="229"/>
      <c r="V1711" s="264"/>
      <c r="W1711" s="199"/>
      <c r="X1711" s="264"/>
      <c r="Y1711" s="264"/>
      <c r="Z1711" s="386"/>
      <c r="AD1711" s="264"/>
      <c r="AE1711" s="264"/>
      <c r="AF1711" s="264"/>
      <c r="AG1711" s="264"/>
    </row>
    <row r="1712" spans="1:33" ht="26.25">
      <c r="A1712" s="264"/>
      <c r="B1712" s="264"/>
      <c r="C1712" s="264"/>
      <c r="D1712" s="264"/>
      <c r="E1712" s="264"/>
      <c r="F1712" s="264"/>
      <c r="G1712" s="264"/>
      <c r="H1712" s="264"/>
      <c r="I1712" s="264"/>
      <c r="J1712" s="327"/>
      <c r="K1712" s="327"/>
      <c r="L1712" s="327"/>
      <c r="M1712" s="321"/>
      <c r="N1712" s="321"/>
      <c r="O1712" s="364"/>
      <c r="P1712" s="376"/>
      <c r="R1712" s="393"/>
      <c r="S1712" s="61" ph="1"/>
      <c r="U1712" s="229"/>
      <c r="V1712" s="264"/>
      <c r="W1712" s="199"/>
      <c r="X1712" s="264"/>
      <c r="Y1712" s="264"/>
      <c r="Z1712" s="386"/>
      <c r="AD1712" s="264"/>
      <c r="AE1712" s="264"/>
      <c r="AF1712" s="264"/>
      <c r="AG1712" s="264"/>
    </row>
    <row r="1713" spans="1:33" ht="26.25">
      <c r="A1713" s="264"/>
      <c r="B1713" s="264"/>
      <c r="C1713" s="264"/>
      <c r="D1713" s="264"/>
      <c r="E1713" s="264"/>
      <c r="F1713" s="264"/>
      <c r="G1713" s="264"/>
      <c r="H1713" s="264"/>
      <c r="I1713" s="264"/>
      <c r="J1713" s="327"/>
      <c r="K1713" s="327"/>
      <c r="L1713" s="327"/>
      <c r="M1713" s="321"/>
      <c r="N1713" s="321"/>
      <c r="O1713" s="364"/>
      <c r="P1713" s="376"/>
      <c r="R1713" s="393"/>
      <c r="S1713" s="61" ph="1"/>
      <c r="U1713" s="229"/>
      <c r="V1713" s="264"/>
      <c r="W1713" s="199"/>
      <c r="X1713" s="264"/>
      <c r="Y1713" s="264"/>
      <c r="Z1713" s="386"/>
      <c r="AD1713" s="264"/>
      <c r="AE1713" s="264"/>
      <c r="AF1713" s="264"/>
      <c r="AG1713" s="264"/>
    </row>
    <row r="1714" spans="1:33" ht="26.25">
      <c r="A1714" s="264"/>
      <c r="B1714" s="264"/>
      <c r="C1714" s="264"/>
      <c r="D1714" s="264"/>
      <c r="E1714" s="264"/>
      <c r="F1714" s="264"/>
      <c r="G1714" s="264"/>
      <c r="H1714" s="264"/>
      <c r="I1714" s="264"/>
      <c r="J1714" s="327"/>
      <c r="K1714" s="327"/>
      <c r="L1714" s="327"/>
      <c r="M1714" s="321"/>
      <c r="N1714" s="321"/>
      <c r="O1714" s="364"/>
      <c r="P1714" s="376"/>
      <c r="R1714" s="393"/>
      <c r="S1714" s="61" ph="1"/>
      <c r="U1714" s="229"/>
      <c r="V1714" s="264"/>
      <c r="W1714" s="199"/>
      <c r="X1714" s="264"/>
      <c r="Y1714" s="264"/>
      <c r="Z1714" s="386"/>
      <c r="AD1714" s="264"/>
      <c r="AE1714" s="264"/>
      <c r="AF1714" s="264"/>
      <c r="AG1714" s="264"/>
    </row>
    <row r="1715" spans="1:33" ht="26.25">
      <c r="A1715" s="264"/>
      <c r="B1715" s="264"/>
      <c r="C1715" s="264"/>
      <c r="D1715" s="264"/>
      <c r="E1715" s="264"/>
      <c r="F1715" s="264"/>
      <c r="G1715" s="264"/>
      <c r="H1715" s="264"/>
      <c r="I1715" s="264"/>
      <c r="J1715" s="327"/>
      <c r="K1715" s="327"/>
      <c r="L1715" s="327"/>
      <c r="M1715" s="321"/>
      <c r="N1715" s="321"/>
      <c r="O1715" s="364"/>
      <c r="P1715" s="376"/>
      <c r="R1715" s="393"/>
      <c r="S1715" s="61" ph="1"/>
      <c r="U1715" s="229"/>
      <c r="V1715" s="264"/>
      <c r="W1715" s="199"/>
      <c r="X1715" s="264"/>
      <c r="Y1715" s="264"/>
      <c r="Z1715" s="386"/>
      <c r="AD1715" s="264"/>
      <c r="AE1715" s="264"/>
      <c r="AF1715" s="264"/>
      <c r="AG1715" s="264"/>
    </row>
    <row r="1716" spans="1:33" ht="26.25">
      <c r="A1716" s="264"/>
      <c r="B1716" s="264"/>
      <c r="C1716" s="264"/>
      <c r="D1716" s="264"/>
      <c r="E1716" s="264"/>
      <c r="F1716" s="264"/>
      <c r="G1716" s="264"/>
      <c r="H1716" s="264"/>
      <c r="I1716" s="264"/>
      <c r="J1716" s="327"/>
      <c r="K1716" s="327"/>
      <c r="L1716" s="327"/>
      <c r="M1716" s="321"/>
      <c r="N1716" s="321"/>
      <c r="O1716" s="364"/>
      <c r="P1716" s="376"/>
      <c r="R1716" s="393"/>
      <c r="S1716" s="61" ph="1"/>
      <c r="U1716" s="229"/>
      <c r="V1716" s="264"/>
      <c r="W1716" s="199"/>
      <c r="X1716" s="264"/>
      <c r="Y1716" s="264"/>
      <c r="Z1716" s="386"/>
      <c r="AD1716" s="264"/>
      <c r="AE1716" s="264"/>
      <c r="AF1716" s="264"/>
      <c r="AG1716" s="264"/>
    </row>
    <row r="1717" spans="1:33" ht="26.25">
      <c r="A1717" s="264"/>
      <c r="B1717" s="264"/>
      <c r="C1717" s="264"/>
      <c r="D1717" s="264"/>
      <c r="E1717" s="264"/>
      <c r="F1717" s="264"/>
      <c r="G1717" s="264"/>
      <c r="H1717" s="264"/>
      <c r="I1717" s="264"/>
      <c r="J1717" s="327"/>
      <c r="K1717" s="327"/>
      <c r="L1717" s="327"/>
      <c r="M1717" s="321"/>
      <c r="N1717" s="321"/>
      <c r="O1717" s="364"/>
      <c r="P1717" s="376"/>
      <c r="R1717" s="393"/>
      <c r="S1717" s="61" ph="1"/>
      <c r="U1717" s="229"/>
      <c r="V1717" s="264"/>
      <c r="W1717" s="199"/>
      <c r="X1717" s="264"/>
      <c r="Y1717" s="264"/>
      <c r="Z1717" s="386"/>
      <c r="AD1717" s="264"/>
      <c r="AE1717" s="264"/>
      <c r="AF1717" s="264"/>
      <c r="AG1717" s="264"/>
    </row>
    <row r="1718" spans="1:33" ht="26.25">
      <c r="A1718" s="264"/>
      <c r="B1718" s="264"/>
      <c r="C1718" s="264"/>
      <c r="D1718" s="264"/>
      <c r="E1718" s="264"/>
      <c r="F1718" s="264"/>
      <c r="G1718" s="264"/>
      <c r="H1718" s="264"/>
      <c r="I1718" s="264"/>
      <c r="J1718" s="327"/>
      <c r="K1718" s="327"/>
      <c r="L1718" s="327"/>
      <c r="M1718" s="321"/>
      <c r="N1718" s="321"/>
      <c r="O1718" s="364"/>
      <c r="P1718" s="376"/>
      <c r="R1718" s="393"/>
      <c r="S1718" s="61" ph="1"/>
      <c r="U1718" s="229"/>
      <c r="V1718" s="264"/>
      <c r="W1718" s="199"/>
      <c r="X1718" s="264"/>
      <c r="Y1718" s="264"/>
      <c r="Z1718" s="386"/>
      <c r="AD1718" s="264"/>
      <c r="AE1718" s="264"/>
      <c r="AF1718" s="264"/>
      <c r="AG1718" s="264"/>
    </row>
    <row r="1719" spans="1:33" ht="26.25">
      <c r="A1719" s="264"/>
      <c r="B1719" s="264"/>
      <c r="C1719" s="264"/>
      <c r="D1719" s="264"/>
      <c r="E1719" s="264"/>
      <c r="F1719" s="264"/>
      <c r="G1719" s="264"/>
      <c r="H1719" s="264"/>
      <c r="I1719" s="264"/>
      <c r="J1719" s="327"/>
      <c r="K1719" s="327"/>
      <c r="L1719" s="327"/>
      <c r="M1719" s="321"/>
      <c r="N1719" s="321"/>
      <c r="O1719" s="364"/>
      <c r="P1719" s="376"/>
      <c r="R1719" s="393"/>
      <c r="S1719" s="61" ph="1"/>
      <c r="U1719" s="229"/>
      <c r="V1719" s="264"/>
      <c r="W1719" s="199"/>
      <c r="X1719" s="264"/>
      <c r="Y1719" s="264"/>
      <c r="Z1719" s="386"/>
      <c r="AD1719" s="264"/>
      <c r="AE1719" s="264"/>
      <c r="AF1719" s="264"/>
      <c r="AG1719" s="264"/>
    </row>
    <row r="1720" spans="1:33" ht="26.25">
      <c r="A1720" s="264"/>
      <c r="B1720" s="264"/>
      <c r="C1720" s="264"/>
      <c r="D1720" s="264"/>
      <c r="E1720" s="264"/>
      <c r="F1720" s="264"/>
      <c r="G1720" s="264"/>
      <c r="H1720" s="264"/>
      <c r="I1720" s="264"/>
      <c r="J1720" s="327"/>
      <c r="K1720" s="327"/>
      <c r="L1720" s="327"/>
      <c r="M1720" s="321"/>
      <c r="N1720" s="321"/>
      <c r="O1720" s="364"/>
      <c r="P1720" s="376"/>
      <c r="R1720" s="393"/>
      <c r="S1720" s="61" ph="1"/>
      <c r="U1720" s="229"/>
      <c r="V1720" s="264"/>
      <c r="W1720" s="199"/>
      <c r="X1720" s="264"/>
      <c r="Y1720" s="264"/>
      <c r="Z1720" s="386"/>
      <c r="AD1720" s="264"/>
      <c r="AE1720" s="264"/>
      <c r="AF1720" s="264"/>
      <c r="AG1720" s="264"/>
    </row>
    <row r="1721" spans="1:33" ht="26.25">
      <c r="A1721" s="264"/>
      <c r="B1721" s="264"/>
      <c r="C1721" s="264"/>
      <c r="D1721" s="264"/>
      <c r="E1721" s="264"/>
      <c r="F1721" s="264"/>
      <c r="G1721" s="264"/>
      <c r="H1721" s="264"/>
      <c r="I1721" s="264"/>
      <c r="J1721" s="327"/>
      <c r="K1721" s="327"/>
      <c r="L1721" s="327"/>
      <c r="M1721" s="321"/>
      <c r="N1721" s="321"/>
      <c r="O1721" s="364"/>
      <c r="P1721" s="376"/>
      <c r="R1721" s="393"/>
      <c r="S1721" s="61" ph="1"/>
      <c r="U1721" s="229"/>
      <c r="V1721" s="264"/>
      <c r="W1721" s="199"/>
      <c r="X1721" s="264"/>
      <c r="Y1721" s="264"/>
      <c r="Z1721" s="386"/>
      <c r="AD1721" s="264"/>
      <c r="AE1721" s="264"/>
      <c r="AF1721" s="264"/>
      <c r="AG1721" s="264"/>
    </row>
    <row r="1722" spans="1:33" ht="26.25">
      <c r="A1722" s="264"/>
      <c r="B1722" s="264"/>
      <c r="C1722" s="264"/>
      <c r="D1722" s="264"/>
      <c r="E1722" s="264"/>
      <c r="F1722" s="264"/>
      <c r="G1722" s="264"/>
      <c r="H1722" s="264"/>
      <c r="I1722" s="264"/>
      <c r="J1722" s="327"/>
      <c r="K1722" s="327"/>
      <c r="L1722" s="327"/>
      <c r="M1722" s="321"/>
      <c r="N1722" s="321"/>
      <c r="O1722" s="364"/>
      <c r="P1722" s="376"/>
      <c r="R1722" s="393"/>
      <c r="S1722" s="61" ph="1"/>
      <c r="U1722" s="229"/>
      <c r="V1722" s="264"/>
      <c r="W1722" s="199"/>
      <c r="X1722" s="264"/>
      <c r="Y1722" s="264"/>
      <c r="Z1722" s="386"/>
      <c r="AD1722" s="264"/>
      <c r="AE1722" s="264"/>
      <c r="AF1722" s="264"/>
      <c r="AG1722" s="264"/>
    </row>
    <row r="1723" spans="1:33" ht="26.25">
      <c r="A1723" s="264"/>
      <c r="B1723" s="264"/>
      <c r="C1723" s="264"/>
      <c r="D1723" s="264"/>
      <c r="E1723" s="264"/>
      <c r="F1723" s="264"/>
      <c r="G1723" s="264"/>
      <c r="H1723" s="264"/>
      <c r="I1723" s="264"/>
      <c r="J1723" s="327"/>
      <c r="K1723" s="327"/>
      <c r="L1723" s="327"/>
      <c r="M1723" s="321"/>
      <c r="N1723" s="321"/>
      <c r="O1723" s="364"/>
      <c r="P1723" s="376"/>
      <c r="R1723" s="393"/>
      <c r="S1723" s="61" ph="1"/>
      <c r="U1723" s="229"/>
      <c r="V1723" s="264"/>
      <c r="W1723" s="199"/>
      <c r="X1723" s="264"/>
      <c r="Y1723" s="264"/>
      <c r="Z1723" s="386"/>
      <c r="AD1723" s="264"/>
      <c r="AE1723" s="264"/>
      <c r="AF1723" s="264"/>
      <c r="AG1723" s="264"/>
    </row>
    <row r="1724" spans="1:33" ht="26.25">
      <c r="A1724" s="264"/>
      <c r="B1724" s="264"/>
      <c r="C1724" s="264"/>
      <c r="D1724" s="264"/>
      <c r="E1724" s="264"/>
      <c r="F1724" s="264"/>
      <c r="G1724" s="264"/>
      <c r="H1724" s="264"/>
      <c r="I1724" s="264"/>
      <c r="J1724" s="327"/>
      <c r="K1724" s="327"/>
      <c r="L1724" s="327"/>
      <c r="M1724" s="321"/>
      <c r="N1724" s="321"/>
      <c r="O1724" s="364"/>
      <c r="P1724" s="376"/>
      <c r="R1724" s="393"/>
      <c r="S1724" s="61" ph="1"/>
      <c r="U1724" s="229"/>
      <c r="V1724" s="264"/>
      <c r="W1724" s="199"/>
      <c r="X1724" s="264"/>
      <c r="Y1724" s="264"/>
      <c r="Z1724" s="386"/>
      <c r="AD1724" s="264"/>
      <c r="AE1724" s="264"/>
      <c r="AF1724" s="264"/>
      <c r="AG1724" s="264"/>
    </row>
    <row r="1725" spans="1:33" ht="26.25">
      <c r="A1725" s="264"/>
      <c r="B1725" s="264"/>
      <c r="C1725" s="264"/>
      <c r="D1725" s="264"/>
      <c r="E1725" s="264"/>
      <c r="F1725" s="264"/>
      <c r="G1725" s="264"/>
      <c r="H1725" s="264"/>
      <c r="I1725" s="264"/>
      <c r="J1725" s="327"/>
      <c r="K1725" s="327"/>
      <c r="L1725" s="327"/>
      <c r="M1725" s="321"/>
      <c r="N1725" s="321"/>
      <c r="O1725" s="364"/>
      <c r="P1725" s="376"/>
      <c r="R1725" s="393"/>
      <c r="S1725" s="61" ph="1"/>
      <c r="U1725" s="229"/>
      <c r="V1725" s="264"/>
      <c r="W1725" s="199"/>
      <c r="X1725" s="264"/>
      <c r="Y1725" s="264"/>
      <c r="Z1725" s="386"/>
      <c r="AD1725" s="264"/>
      <c r="AE1725" s="264"/>
      <c r="AF1725" s="264"/>
      <c r="AG1725" s="264"/>
    </row>
    <row r="1726" spans="1:33" ht="26.25">
      <c r="A1726" s="264"/>
      <c r="B1726" s="264"/>
      <c r="C1726" s="264"/>
      <c r="D1726" s="264"/>
      <c r="E1726" s="264"/>
      <c r="F1726" s="264"/>
      <c r="G1726" s="264"/>
      <c r="H1726" s="264"/>
      <c r="I1726" s="264"/>
      <c r="J1726" s="327"/>
      <c r="K1726" s="327"/>
      <c r="L1726" s="327"/>
      <c r="M1726" s="321"/>
      <c r="N1726" s="321"/>
      <c r="O1726" s="364"/>
      <c r="P1726" s="376"/>
      <c r="R1726" s="393"/>
      <c r="S1726" s="61" ph="1"/>
      <c r="U1726" s="229"/>
      <c r="V1726" s="264"/>
      <c r="W1726" s="199"/>
      <c r="X1726" s="264"/>
      <c r="Y1726" s="264"/>
      <c r="Z1726" s="386"/>
      <c r="AD1726" s="264"/>
      <c r="AE1726" s="264"/>
      <c r="AF1726" s="264"/>
      <c r="AG1726" s="264"/>
    </row>
    <row r="1727" spans="1:33" ht="26.25">
      <c r="A1727" s="264"/>
      <c r="B1727" s="264"/>
      <c r="C1727" s="264"/>
      <c r="D1727" s="264"/>
      <c r="E1727" s="264"/>
      <c r="F1727" s="264"/>
      <c r="G1727" s="264"/>
      <c r="H1727" s="264"/>
      <c r="I1727" s="264"/>
      <c r="J1727" s="327"/>
      <c r="K1727" s="327"/>
      <c r="L1727" s="327"/>
      <c r="M1727" s="321"/>
      <c r="N1727" s="321"/>
      <c r="O1727" s="364"/>
      <c r="P1727" s="376"/>
      <c r="R1727" s="393"/>
      <c r="S1727" s="61" ph="1"/>
      <c r="U1727" s="229"/>
      <c r="V1727" s="264"/>
      <c r="W1727" s="199"/>
      <c r="X1727" s="264"/>
      <c r="Y1727" s="264"/>
      <c r="Z1727" s="386"/>
      <c r="AD1727" s="264"/>
      <c r="AE1727" s="264"/>
      <c r="AF1727" s="264"/>
      <c r="AG1727" s="264"/>
    </row>
    <row r="1728" spans="1:33" ht="26.25">
      <c r="A1728" s="264"/>
      <c r="B1728" s="264"/>
      <c r="C1728" s="264"/>
      <c r="D1728" s="264"/>
      <c r="E1728" s="264"/>
      <c r="F1728" s="264"/>
      <c r="G1728" s="264"/>
      <c r="H1728" s="264"/>
      <c r="I1728" s="264"/>
      <c r="J1728" s="327"/>
      <c r="K1728" s="327"/>
      <c r="L1728" s="327"/>
      <c r="M1728" s="321"/>
      <c r="N1728" s="321"/>
      <c r="O1728" s="364"/>
      <c r="P1728" s="376"/>
      <c r="R1728" s="393"/>
      <c r="S1728" s="61" ph="1"/>
      <c r="U1728" s="229"/>
      <c r="V1728" s="264"/>
      <c r="W1728" s="199"/>
      <c r="X1728" s="264"/>
      <c r="Y1728" s="264"/>
      <c r="Z1728" s="386"/>
      <c r="AD1728" s="264"/>
      <c r="AE1728" s="264"/>
      <c r="AF1728" s="264"/>
      <c r="AG1728" s="264"/>
    </row>
    <row r="1729" spans="1:33" ht="26.25">
      <c r="A1729" s="264"/>
      <c r="B1729" s="264"/>
      <c r="C1729" s="264"/>
      <c r="D1729" s="264"/>
      <c r="E1729" s="264"/>
      <c r="F1729" s="264"/>
      <c r="G1729" s="264"/>
      <c r="H1729" s="264"/>
      <c r="I1729" s="264"/>
      <c r="J1729" s="327"/>
      <c r="K1729" s="327"/>
      <c r="L1729" s="327"/>
      <c r="M1729" s="321"/>
      <c r="N1729" s="321"/>
      <c r="O1729" s="364"/>
      <c r="P1729" s="376"/>
      <c r="R1729" s="393"/>
      <c r="S1729" s="61" ph="1"/>
      <c r="U1729" s="229"/>
      <c r="V1729" s="264"/>
      <c r="W1729" s="199"/>
      <c r="X1729" s="264"/>
      <c r="Y1729" s="264"/>
      <c r="Z1729" s="386"/>
      <c r="AD1729" s="264"/>
      <c r="AE1729" s="264"/>
      <c r="AF1729" s="264"/>
      <c r="AG1729" s="264"/>
    </row>
    <row r="1730" spans="1:33" ht="26.25">
      <c r="A1730" s="264"/>
      <c r="B1730" s="264"/>
      <c r="C1730" s="264"/>
      <c r="D1730" s="264"/>
      <c r="E1730" s="264"/>
      <c r="F1730" s="264"/>
      <c r="G1730" s="264"/>
      <c r="H1730" s="264"/>
      <c r="I1730" s="264"/>
      <c r="J1730" s="327"/>
      <c r="K1730" s="327"/>
      <c r="L1730" s="327"/>
      <c r="M1730" s="321"/>
      <c r="N1730" s="321"/>
      <c r="O1730" s="364"/>
      <c r="P1730" s="376"/>
      <c r="R1730" s="393"/>
      <c r="S1730" s="61" ph="1"/>
      <c r="U1730" s="229"/>
      <c r="V1730" s="264"/>
      <c r="W1730" s="199"/>
      <c r="X1730" s="264"/>
      <c r="Y1730" s="264"/>
      <c r="Z1730" s="386"/>
      <c r="AD1730" s="264"/>
      <c r="AE1730" s="264"/>
      <c r="AF1730" s="264"/>
      <c r="AG1730" s="264"/>
    </row>
    <row r="1731" spans="1:33" ht="26.25">
      <c r="A1731" s="264"/>
      <c r="B1731" s="264"/>
      <c r="C1731" s="264"/>
      <c r="D1731" s="264"/>
      <c r="E1731" s="264"/>
      <c r="F1731" s="264"/>
      <c r="G1731" s="264"/>
      <c r="H1731" s="264"/>
      <c r="I1731" s="264"/>
      <c r="J1731" s="327"/>
      <c r="K1731" s="327"/>
      <c r="L1731" s="327"/>
      <c r="M1731" s="321"/>
      <c r="N1731" s="321"/>
      <c r="O1731" s="364"/>
      <c r="P1731" s="376"/>
      <c r="R1731" s="393"/>
      <c r="S1731" s="61" ph="1"/>
      <c r="U1731" s="229"/>
      <c r="V1731" s="264"/>
      <c r="W1731" s="199"/>
      <c r="X1731" s="264"/>
      <c r="Y1731" s="264"/>
      <c r="Z1731" s="386"/>
      <c r="AD1731" s="264"/>
      <c r="AE1731" s="264"/>
      <c r="AF1731" s="264"/>
      <c r="AG1731" s="264"/>
    </row>
    <row r="1732" spans="1:33" ht="26.25">
      <c r="A1732" s="264"/>
      <c r="B1732" s="264"/>
      <c r="C1732" s="264"/>
      <c r="D1732" s="264"/>
      <c r="E1732" s="264"/>
      <c r="F1732" s="264"/>
      <c r="G1732" s="264"/>
      <c r="H1732" s="264"/>
      <c r="I1732" s="264"/>
      <c r="J1732" s="327"/>
      <c r="K1732" s="327"/>
      <c r="L1732" s="327"/>
      <c r="M1732" s="321"/>
      <c r="N1732" s="321"/>
      <c r="O1732" s="364"/>
      <c r="P1732" s="376"/>
      <c r="R1732" s="393"/>
      <c r="S1732" s="61" ph="1"/>
      <c r="U1732" s="229"/>
      <c r="V1732" s="264"/>
      <c r="W1732" s="199"/>
      <c r="X1732" s="264"/>
      <c r="Y1732" s="264"/>
      <c r="Z1732" s="386"/>
      <c r="AD1732" s="264"/>
      <c r="AE1732" s="264"/>
      <c r="AF1732" s="264"/>
      <c r="AG1732" s="264"/>
    </row>
    <row r="1733" spans="1:33" ht="26.25">
      <c r="A1733" s="264"/>
      <c r="B1733" s="264"/>
      <c r="C1733" s="264"/>
      <c r="D1733" s="264"/>
      <c r="E1733" s="264"/>
      <c r="F1733" s="264"/>
      <c r="G1733" s="264"/>
      <c r="H1733" s="264"/>
      <c r="I1733" s="264"/>
      <c r="J1733" s="327"/>
      <c r="K1733" s="327"/>
      <c r="L1733" s="327"/>
      <c r="M1733" s="321"/>
      <c r="N1733" s="321"/>
      <c r="O1733" s="364"/>
      <c r="P1733" s="376"/>
      <c r="R1733" s="393"/>
      <c r="S1733" s="61" ph="1"/>
      <c r="U1733" s="229"/>
      <c r="V1733" s="264"/>
      <c r="W1733" s="199"/>
      <c r="X1733" s="264"/>
      <c r="Y1733" s="264"/>
      <c r="Z1733" s="386"/>
      <c r="AD1733" s="264"/>
      <c r="AE1733" s="264"/>
      <c r="AF1733" s="264"/>
      <c r="AG1733" s="264"/>
    </row>
    <row r="1734" spans="1:33" ht="26.25">
      <c r="A1734" s="264"/>
      <c r="B1734" s="264"/>
      <c r="C1734" s="264"/>
      <c r="D1734" s="264"/>
      <c r="E1734" s="264"/>
      <c r="F1734" s="264"/>
      <c r="G1734" s="264"/>
      <c r="H1734" s="264"/>
      <c r="I1734" s="264"/>
      <c r="J1734" s="327"/>
      <c r="K1734" s="327"/>
      <c r="L1734" s="327"/>
      <c r="M1734" s="321"/>
      <c r="N1734" s="321"/>
      <c r="O1734" s="364"/>
      <c r="P1734" s="376"/>
      <c r="R1734" s="393"/>
      <c r="S1734" s="61" ph="1"/>
      <c r="U1734" s="229"/>
      <c r="V1734" s="264"/>
      <c r="W1734" s="199"/>
      <c r="X1734" s="264"/>
      <c r="Y1734" s="264"/>
      <c r="Z1734" s="386"/>
      <c r="AD1734" s="264"/>
      <c r="AE1734" s="264"/>
      <c r="AF1734" s="264"/>
      <c r="AG1734" s="264"/>
    </row>
    <row r="1735" spans="1:33" ht="26.25">
      <c r="A1735" s="264"/>
      <c r="B1735" s="264"/>
      <c r="C1735" s="264"/>
      <c r="D1735" s="264"/>
      <c r="E1735" s="264"/>
      <c r="F1735" s="264"/>
      <c r="G1735" s="264"/>
      <c r="H1735" s="264"/>
      <c r="I1735" s="264"/>
      <c r="J1735" s="327"/>
      <c r="K1735" s="327"/>
      <c r="L1735" s="327"/>
      <c r="M1735" s="321"/>
      <c r="N1735" s="321"/>
      <c r="O1735" s="364"/>
      <c r="P1735" s="376"/>
      <c r="R1735" s="393"/>
      <c r="S1735" s="61" ph="1"/>
      <c r="U1735" s="229"/>
      <c r="V1735" s="264"/>
      <c r="W1735" s="199"/>
      <c r="X1735" s="264"/>
      <c r="Y1735" s="264"/>
      <c r="Z1735" s="386"/>
      <c r="AD1735" s="264"/>
      <c r="AE1735" s="264"/>
      <c r="AF1735" s="264"/>
      <c r="AG1735" s="264"/>
    </row>
    <row r="1736" spans="1:33" ht="26.25">
      <c r="A1736" s="264"/>
      <c r="B1736" s="264"/>
      <c r="C1736" s="264"/>
      <c r="D1736" s="264"/>
      <c r="E1736" s="264"/>
      <c r="F1736" s="264"/>
      <c r="G1736" s="264"/>
      <c r="H1736" s="264"/>
      <c r="I1736" s="264"/>
      <c r="J1736" s="327"/>
      <c r="K1736" s="327"/>
      <c r="L1736" s="327"/>
      <c r="M1736" s="321"/>
      <c r="N1736" s="321"/>
      <c r="O1736" s="364"/>
      <c r="P1736" s="376"/>
      <c r="R1736" s="393"/>
      <c r="S1736" s="61" ph="1"/>
      <c r="U1736" s="229"/>
      <c r="V1736" s="264"/>
      <c r="W1736" s="199"/>
      <c r="X1736" s="264"/>
      <c r="Y1736" s="264"/>
      <c r="Z1736" s="386"/>
      <c r="AD1736" s="264"/>
      <c r="AE1736" s="264"/>
      <c r="AF1736" s="264"/>
      <c r="AG1736" s="264"/>
    </row>
    <row r="1737" spans="1:33" ht="26.25">
      <c r="A1737" s="264"/>
      <c r="B1737" s="264"/>
      <c r="C1737" s="264"/>
      <c r="D1737" s="264"/>
      <c r="E1737" s="264"/>
      <c r="F1737" s="264"/>
      <c r="G1737" s="264"/>
      <c r="H1737" s="264"/>
      <c r="I1737" s="264"/>
      <c r="J1737" s="327"/>
      <c r="K1737" s="327"/>
      <c r="L1737" s="327"/>
      <c r="M1737" s="321"/>
      <c r="N1737" s="321"/>
      <c r="O1737" s="364"/>
      <c r="P1737" s="376"/>
      <c r="R1737" s="393"/>
      <c r="S1737" s="61" ph="1"/>
      <c r="U1737" s="229"/>
      <c r="V1737" s="264"/>
      <c r="W1737" s="199"/>
      <c r="X1737" s="264"/>
      <c r="Y1737" s="264"/>
      <c r="Z1737" s="386"/>
      <c r="AD1737" s="264"/>
      <c r="AE1737" s="264"/>
      <c r="AF1737" s="264"/>
      <c r="AG1737" s="264"/>
    </row>
    <row r="1738" spans="1:33" ht="26.25">
      <c r="A1738" s="264"/>
      <c r="B1738" s="264"/>
      <c r="C1738" s="264"/>
      <c r="D1738" s="264"/>
      <c r="E1738" s="264"/>
      <c r="F1738" s="264"/>
      <c r="G1738" s="264"/>
      <c r="H1738" s="264"/>
      <c r="I1738" s="264"/>
      <c r="J1738" s="327"/>
      <c r="K1738" s="327"/>
      <c r="L1738" s="327"/>
      <c r="M1738" s="321"/>
      <c r="N1738" s="321"/>
      <c r="O1738" s="364"/>
      <c r="P1738" s="376"/>
      <c r="R1738" s="393"/>
      <c r="S1738" s="61" ph="1"/>
      <c r="U1738" s="229"/>
      <c r="V1738" s="264"/>
      <c r="W1738" s="199"/>
      <c r="X1738" s="264"/>
      <c r="Y1738" s="264"/>
      <c r="Z1738" s="386"/>
      <c r="AD1738" s="264"/>
      <c r="AE1738" s="264"/>
      <c r="AF1738" s="264"/>
      <c r="AG1738" s="264"/>
    </row>
    <row r="1739" spans="1:33" ht="26.25">
      <c r="A1739" s="264"/>
      <c r="B1739" s="264"/>
      <c r="C1739" s="264"/>
      <c r="D1739" s="264"/>
      <c r="E1739" s="264"/>
      <c r="F1739" s="264"/>
      <c r="G1739" s="264"/>
      <c r="H1739" s="264"/>
      <c r="I1739" s="264"/>
      <c r="J1739" s="327"/>
      <c r="K1739" s="327"/>
      <c r="L1739" s="327"/>
      <c r="M1739" s="321"/>
      <c r="N1739" s="321"/>
      <c r="O1739" s="364"/>
      <c r="P1739" s="376"/>
      <c r="R1739" s="393"/>
      <c r="S1739" s="61" ph="1"/>
      <c r="U1739" s="229"/>
      <c r="V1739" s="264"/>
      <c r="W1739" s="199"/>
      <c r="X1739" s="264"/>
      <c r="Y1739" s="264"/>
      <c r="Z1739" s="386"/>
      <c r="AD1739" s="264"/>
      <c r="AE1739" s="264"/>
      <c r="AF1739" s="264"/>
      <c r="AG1739" s="264"/>
    </row>
    <row r="1740" spans="1:33" ht="26.25">
      <c r="A1740" s="264"/>
      <c r="B1740" s="264"/>
      <c r="C1740" s="264"/>
      <c r="D1740" s="264"/>
      <c r="E1740" s="264"/>
      <c r="F1740" s="264"/>
      <c r="G1740" s="264"/>
      <c r="H1740" s="264"/>
      <c r="I1740" s="264"/>
      <c r="J1740" s="327"/>
      <c r="K1740" s="327"/>
      <c r="L1740" s="327"/>
      <c r="M1740" s="321"/>
      <c r="N1740" s="321"/>
      <c r="O1740" s="364"/>
      <c r="P1740" s="376"/>
      <c r="R1740" s="393"/>
      <c r="S1740" s="61" ph="1"/>
      <c r="U1740" s="229"/>
      <c r="V1740" s="264"/>
      <c r="W1740" s="199"/>
      <c r="X1740" s="264"/>
      <c r="Y1740" s="264"/>
      <c r="Z1740" s="386"/>
      <c r="AD1740" s="264"/>
      <c r="AE1740" s="264"/>
      <c r="AF1740" s="264"/>
      <c r="AG1740" s="264"/>
    </row>
    <row r="1741" spans="1:33" ht="26.25">
      <c r="A1741" s="264"/>
      <c r="B1741" s="264"/>
      <c r="C1741" s="264"/>
      <c r="D1741" s="264"/>
      <c r="E1741" s="264"/>
      <c r="F1741" s="264"/>
      <c r="G1741" s="264"/>
      <c r="H1741" s="264"/>
      <c r="I1741" s="264"/>
      <c r="J1741" s="327"/>
      <c r="K1741" s="327"/>
      <c r="L1741" s="327"/>
      <c r="M1741" s="321"/>
      <c r="N1741" s="321"/>
      <c r="O1741" s="364"/>
      <c r="P1741" s="376"/>
      <c r="R1741" s="393"/>
      <c r="S1741" s="61" ph="1"/>
      <c r="U1741" s="229"/>
      <c r="V1741" s="264"/>
      <c r="W1741" s="199"/>
      <c r="X1741" s="264"/>
      <c r="Y1741" s="264"/>
      <c r="Z1741" s="386"/>
      <c r="AD1741" s="264"/>
      <c r="AE1741" s="264"/>
      <c r="AF1741" s="264"/>
      <c r="AG1741" s="264"/>
    </row>
    <row r="1742" spans="1:33" ht="26.25">
      <c r="A1742" s="264"/>
      <c r="B1742" s="264"/>
      <c r="C1742" s="264"/>
      <c r="D1742" s="264"/>
      <c r="E1742" s="264"/>
      <c r="F1742" s="264"/>
      <c r="G1742" s="264"/>
      <c r="H1742" s="264"/>
      <c r="I1742" s="264"/>
      <c r="J1742" s="327"/>
      <c r="K1742" s="327"/>
      <c r="L1742" s="327"/>
      <c r="M1742" s="321"/>
      <c r="N1742" s="321"/>
      <c r="O1742" s="364"/>
      <c r="P1742" s="376"/>
      <c r="R1742" s="393"/>
      <c r="S1742" s="61" ph="1"/>
      <c r="U1742" s="229"/>
      <c r="V1742" s="264"/>
      <c r="W1742" s="199"/>
      <c r="X1742" s="264"/>
      <c r="Y1742" s="264"/>
      <c r="Z1742" s="386"/>
      <c r="AD1742" s="264"/>
      <c r="AE1742" s="264"/>
      <c r="AF1742" s="264"/>
      <c r="AG1742" s="264"/>
    </row>
    <row r="1743" spans="1:33" ht="26.25">
      <c r="A1743" s="264"/>
      <c r="B1743" s="264"/>
      <c r="C1743" s="264"/>
      <c r="D1743" s="264"/>
      <c r="E1743" s="264"/>
      <c r="F1743" s="264"/>
      <c r="G1743" s="264"/>
      <c r="H1743" s="264"/>
      <c r="I1743" s="264"/>
      <c r="J1743" s="327"/>
      <c r="K1743" s="327"/>
      <c r="L1743" s="327"/>
      <c r="M1743" s="321"/>
      <c r="N1743" s="321"/>
      <c r="O1743" s="364"/>
      <c r="P1743" s="376"/>
      <c r="R1743" s="393"/>
      <c r="S1743" s="61" ph="1"/>
      <c r="U1743" s="229"/>
      <c r="V1743" s="264"/>
      <c r="W1743" s="199"/>
      <c r="X1743" s="264"/>
      <c r="Y1743" s="264"/>
      <c r="Z1743" s="386"/>
      <c r="AD1743" s="264"/>
      <c r="AE1743" s="264"/>
      <c r="AF1743" s="264"/>
      <c r="AG1743" s="264"/>
    </row>
    <row r="1744" spans="1:33" ht="26.25">
      <c r="A1744" s="264"/>
      <c r="B1744" s="264"/>
      <c r="C1744" s="264"/>
      <c r="D1744" s="264"/>
      <c r="E1744" s="264"/>
      <c r="F1744" s="264"/>
      <c r="G1744" s="264"/>
      <c r="H1744" s="264"/>
      <c r="I1744" s="264"/>
      <c r="J1744" s="327"/>
      <c r="K1744" s="327"/>
      <c r="L1744" s="327"/>
      <c r="M1744" s="321"/>
      <c r="N1744" s="321"/>
      <c r="O1744" s="364"/>
      <c r="P1744" s="376"/>
      <c r="R1744" s="393"/>
      <c r="S1744" s="61" ph="1"/>
      <c r="U1744" s="229"/>
      <c r="V1744" s="264"/>
      <c r="W1744" s="199"/>
      <c r="X1744" s="264"/>
      <c r="Y1744" s="264"/>
      <c r="Z1744" s="386"/>
      <c r="AD1744" s="264"/>
      <c r="AE1744" s="264"/>
      <c r="AF1744" s="264"/>
      <c r="AG1744" s="264"/>
    </row>
    <row r="1745" spans="1:33" ht="26.25">
      <c r="A1745" s="264"/>
      <c r="B1745" s="264"/>
      <c r="C1745" s="264"/>
      <c r="D1745" s="264"/>
      <c r="E1745" s="264"/>
      <c r="F1745" s="264"/>
      <c r="G1745" s="264"/>
      <c r="H1745" s="264"/>
      <c r="I1745" s="264"/>
      <c r="J1745" s="327"/>
      <c r="K1745" s="327"/>
      <c r="L1745" s="327"/>
      <c r="M1745" s="321"/>
      <c r="N1745" s="321"/>
      <c r="O1745" s="364"/>
      <c r="P1745" s="376"/>
      <c r="R1745" s="393"/>
      <c r="S1745" s="61" ph="1"/>
      <c r="U1745" s="229"/>
      <c r="V1745" s="264"/>
      <c r="W1745" s="199"/>
      <c r="X1745" s="264"/>
      <c r="Y1745" s="264"/>
      <c r="Z1745" s="386"/>
      <c r="AD1745" s="264"/>
      <c r="AE1745" s="264"/>
      <c r="AF1745" s="264"/>
      <c r="AG1745" s="264"/>
    </row>
    <row r="1746" spans="1:33" ht="26.25">
      <c r="A1746" s="264"/>
      <c r="B1746" s="264"/>
      <c r="C1746" s="264"/>
      <c r="D1746" s="264"/>
      <c r="E1746" s="264"/>
      <c r="F1746" s="264"/>
      <c r="G1746" s="264"/>
      <c r="H1746" s="264"/>
      <c r="I1746" s="264"/>
      <c r="J1746" s="327"/>
      <c r="K1746" s="327"/>
      <c r="L1746" s="327"/>
      <c r="M1746" s="321"/>
      <c r="N1746" s="321"/>
      <c r="O1746" s="364"/>
      <c r="P1746" s="376"/>
      <c r="R1746" s="393"/>
      <c r="S1746" s="61" ph="1"/>
      <c r="U1746" s="229"/>
      <c r="V1746" s="264"/>
      <c r="W1746" s="199"/>
      <c r="X1746" s="264"/>
      <c r="Y1746" s="264"/>
      <c r="Z1746" s="386"/>
      <c r="AD1746" s="264"/>
      <c r="AE1746" s="264"/>
      <c r="AF1746" s="264"/>
      <c r="AG1746" s="264"/>
    </row>
    <row r="1747" spans="1:33" ht="26.25">
      <c r="A1747" s="264"/>
      <c r="B1747" s="264"/>
      <c r="C1747" s="264"/>
      <c r="D1747" s="264"/>
      <c r="E1747" s="264"/>
      <c r="F1747" s="264"/>
      <c r="G1747" s="264"/>
      <c r="H1747" s="264"/>
      <c r="I1747" s="264"/>
      <c r="J1747" s="327"/>
      <c r="K1747" s="327"/>
      <c r="L1747" s="327"/>
      <c r="M1747" s="321"/>
      <c r="N1747" s="321"/>
      <c r="O1747" s="364"/>
      <c r="P1747" s="376"/>
      <c r="R1747" s="393"/>
      <c r="S1747" s="61" ph="1"/>
      <c r="U1747" s="229"/>
      <c r="V1747" s="264"/>
      <c r="W1747" s="199"/>
      <c r="X1747" s="264"/>
      <c r="Y1747" s="264"/>
      <c r="Z1747" s="386"/>
      <c r="AD1747" s="264"/>
      <c r="AE1747" s="264"/>
      <c r="AF1747" s="264"/>
      <c r="AG1747" s="264"/>
    </row>
    <row r="1748" spans="1:33" ht="26.25">
      <c r="A1748" s="264"/>
      <c r="B1748" s="264"/>
      <c r="C1748" s="264"/>
      <c r="D1748" s="264"/>
      <c r="E1748" s="264"/>
      <c r="F1748" s="264"/>
      <c r="G1748" s="264"/>
      <c r="H1748" s="264"/>
      <c r="I1748" s="264"/>
      <c r="J1748" s="327"/>
      <c r="K1748" s="327"/>
      <c r="L1748" s="327"/>
      <c r="M1748" s="321"/>
      <c r="N1748" s="321"/>
      <c r="O1748" s="364"/>
      <c r="P1748" s="376"/>
      <c r="R1748" s="393"/>
      <c r="S1748" s="61" ph="1"/>
      <c r="U1748" s="229"/>
      <c r="V1748" s="264"/>
      <c r="W1748" s="199"/>
      <c r="X1748" s="264"/>
      <c r="Y1748" s="264"/>
      <c r="Z1748" s="386"/>
      <c r="AD1748" s="264"/>
      <c r="AE1748" s="264"/>
      <c r="AF1748" s="264"/>
      <c r="AG1748" s="264"/>
    </row>
    <row r="1749" spans="1:33" ht="26.25">
      <c r="A1749" s="264"/>
      <c r="B1749" s="264"/>
      <c r="C1749" s="264"/>
      <c r="D1749" s="264"/>
      <c r="E1749" s="264"/>
      <c r="F1749" s="264"/>
      <c r="G1749" s="264"/>
      <c r="H1749" s="264"/>
      <c r="I1749" s="264"/>
      <c r="J1749" s="327"/>
      <c r="K1749" s="327"/>
      <c r="L1749" s="327"/>
      <c r="M1749" s="321"/>
      <c r="N1749" s="321"/>
      <c r="O1749" s="364"/>
      <c r="P1749" s="376"/>
      <c r="R1749" s="393"/>
      <c r="S1749" s="61" ph="1"/>
      <c r="U1749" s="229"/>
      <c r="V1749" s="264"/>
      <c r="W1749" s="199"/>
      <c r="X1749" s="264"/>
      <c r="Y1749" s="264"/>
      <c r="Z1749" s="386"/>
      <c r="AD1749" s="264"/>
      <c r="AE1749" s="264"/>
      <c r="AF1749" s="264"/>
      <c r="AG1749" s="264"/>
    </row>
    <row r="1750" spans="1:33" ht="26.25">
      <c r="A1750" s="264"/>
      <c r="B1750" s="264"/>
      <c r="C1750" s="264"/>
      <c r="D1750" s="264"/>
      <c r="E1750" s="264"/>
      <c r="F1750" s="264"/>
      <c r="G1750" s="264"/>
      <c r="H1750" s="264"/>
      <c r="I1750" s="264"/>
      <c r="J1750" s="327"/>
      <c r="K1750" s="327"/>
      <c r="L1750" s="327"/>
      <c r="M1750" s="321"/>
      <c r="N1750" s="321"/>
      <c r="O1750" s="364"/>
      <c r="P1750" s="376"/>
      <c r="R1750" s="393"/>
      <c r="S1750" s="61" ph="1"/>
      <c r="U1750" s="229"/>
      <c r="V1750" s="264"/>
      <c r="W1750" s="199"/>
      <c r="X1750" s="264"/>
      <c r="Y1750" s="264"/>
      <c r="Z1750" s="386"/>
      <c r="AD1750" s="264"/>
      <c r="AE1750" s="264"/>
      <c r="AF1750" s="264"/>
      <c r="AG1750" s="264"/>
    </row>
    <row r="1751" spans="1:33" ht="26.25">
      <c r="A1751" s="264"/>
      <c r="B1751" s="264"/>
      <c r="C1751" s="264"/>
      <c r="D1751" s="264"/>
      <c r="E1751" s="264"/>
      <c r="F1751" s="264"/>
      <c r="G1751" s="264"/>
      <c r="H1751" s="264"/>
      <c r="I1751" s="264"/>
      <c r="J1751" s="327"/>
      <c r="K1751" s="327"/>
      <c r="L1751" s="327"/>
      <c r="M1751" s="321"/>
      <c r="N1751" s="321"/>
      <c r="O1751" s="364"/>
      <c r="P1751" s="376"/>
      <c r="R1751" s="393"/>
      <c r="S1751" s="61" ph="1"/>
      <c r="U1751" s="229"/>
      <c r="V1751" s="264"/>
      <c r="W1751" s="199"/>
      <c r="X1751" s="264"/>
      <c r="Y1751" s="264"/>
      <c r="Z1751" s="386"/>
      <c r="AD1751" s="264"/>
      <c r="AE1751" s="264"/>
      <c r="AF1751" s="264"/>
      <c r="AG1751" s="264"/>
    </row>
    <row r="1752" spans="1:33" ht="26.25">
      <c r="A1752" s="264"/>
      <c r="B1752" s="264"/>
      <c r="C1752" s="264"/>
      <c r="D1752" s="264"/>
      <c r="E1752" s="264"/>
      <c r="F1752" s="264"/>
      <c r="G1752" s="264"/>
      <c r="H1752" s="264"/>
      <c r="I1752" s="264"/>
      <c r="J1752" s="327"/>
      <c r="K1752" s="327"/>
      <c r="L1752" s="327"/>
      <c r="M1752" s="321"/>
      <c r="N1752" s="321"/>
      <c r="O1752" s="364"/>
      <c r="P1752" s="376"/>
      <c r="R1752" s="393"/>
      <c r="S1752" s="61" ph="1"/>
      <c r="U1752" s="229"/>
      <c r="V1752" s="264"/>
      <c r="W1752" s="199"/>
      <c r="X1752" s="264"/>
      <c r="Y1752" s="264"/>
      <c r="Z1752" s="386"/>
      <c r="AD1752" s="264"/>
      <c r="AE1752" s="264"/>
      <c r="AF1752" s="264"/>
      <c r="AG1752" s="264"/>
    </row>
    <row r="1753" spans="1:33" ht="26.25">
      <c r="A1753" s="264"/>
      <c r="B1753" s="264"/>
      <c r="C1753" s="264"/>
      <c r="D1753" s="264"/>
      <c r="E1753" s="264"/>
      <c r="F1753" s="264"/>
      <c r="G1753" s="264"/>
      <c r="H1753" s="264"/>
      <c r="I1753" s="264"/>
      <c r="J1753" s="327"/>
      <c r="K1753" s="327"/>
      <c r="L1753" s="327"/>
      <c r="M1753" s="321"/>
      <c r="N1753" s="321"/>
      <c r="O1753" s="364"/>
      <c r="P1753" s="376"/>
      <c r="R1753" s="393"/>
      <c r="S1753" s="61" ph="1"/>
      <c r="U1753" s="229"/>
      <c r="V1753" s="264"/>
      <c r="W1753" s="199"/>
      <c r="X1753" s="264"/>
      <c r="Y1753" s="264"/>
      <c r="Z1753" s="386"/>
      <c r="AD1753" s="264"/>
      <c r="AE1753" s="264"/>
      <c r="AF1753" s="264"/>
      <c r="AG1753" s="264"/>
    </row>
    <row r="1754" spans="1:33" ht="26.25">
      <c r="A1754" s="264"/>
      <c r="B1754" s="264"/>
      <c r="C1754" s="264"/>
      <c r="D1754" s="264"/>
      <c r="E1754" s="264"/>
      <c r="F1754" s="264"/>
      <c r="G1754" s="264"/>
      <c r="H1754" s="264"/>
      <c r="I1754" s="264"/>
      <c r="J1754" s="327"/>
      <c r="K1754" s="327"/>
      <c r="L1754" s="327"/>
      <c r="M1754" s="321"/>
      <c r="N1754" s="321"/>
      <c r="O1754" s="364"/>
      <c r="P1754" s="376"/>
      <c r="R1754" s="393"/>
      <c r="S1754" s="61" ph="1"/>
      <c r="U1754" s="229"/>
      <c r="V1754" s="264"/>
      <c r="W1754" s="199"/>
      <c r="X1754" s="264"/>
      <c r="Y1754" s="264"/>
      <c r="Z1754" s="386"/>
      <c r="AD1754" s="264"/>
      <c r="AE1754" s="264"/>
      <c r="AF1754" s="264"/>
      <c r="AG1754" s="264"/>
    </row>
    <row r="1755" spans="1:33" ht="26.25">
      <c r="A1755" s="264"/>
      <c r="B1755" s="264"/>
      <c r="C1755" s="264"/>
      <c r="D1755" s="264"/>
      <c r="E1755" s="264"/>
      <c r="F1755" s="264"/>
      <c r="G1755" s="264"/>
      <c r="H1755" s="264"/>
      <c r="I1755" s="264"/>
      <c r="J1755" s="327"/>
      <c r="K1755" s="327"/>
      <c r="L1755" s="327"/>
      <c r="M1755" s="321"/>
      <c r="N1755" s="321"/>
      <c r="O1755" s="364"/>
      <c r="P1755" s="376"/>
      <c r="R1755" s="393"/>
      <c r="S1755" s="61" ph="1"/>
      <c r="U1755" s="229"/>
      <c r="V1755" s="264"/>
      <c r="W1755" s="199"/>
      <c r="X1755" s="264"/>
      <c r="Y1755" s="264"/>
      <c r="Z1755" s="386"/>
      <c r="AD1755" s="264"/>
      <c r="AE1755" s="264"/>
      <c r="AF1755" s="264"/>
      <c r="AG1755" s="264"/>
    </row>
    <row r="1756" spans="1:33" ht="26.25">
      <c r="A1756" s="264"/>
      <c r="B1756" s="264"/>
      <c r="C1756" s="264"/>
      <c r="D1756" s="264"/>
      <c r="E1756" s="264"/>
      <c r="F1756" s="264"/>
      <c r="G1756" s="264"/>
      <c r="H1756" s="264"/>
      <c r="I1756" s="264"/>
      <c r="J1756" s="327"/>
      <c r="K1756" s="327"/>
      <c r="L1756" s="327"/>
      <c r="M1756" s="321"/>
      <c r="N1756" s="321"/>
      <c r="O1756" s="364"/>
      <c r="P1756" s="376"/>
      <c r="R1756" s="393"/>
      <c r="S1756" s="61" ph="1"/>
      <c r="U1756" s="229"/>
      <c r="V1756" s="264"/>
      <c r="W1756" s="199"/>
      <c r="X1756" s="264"/>
      <c r="Y1756" s="264"/>
      <c r="Z1756" s="386"/>
      <c r="AD1756" s="264"/>
      <c r="AE1756" s="264"/>
      <c r="AF1756" s="264"/>
      <c r="AG1756" s="264"/>
    </row>
    <row r="1757" spans="1:33" ht="26.25">
      <c r="A1757" s="264"/>
      <c r="B1757" s="264"/>
      <c r="C1757" s="264"/>
      <c r="D1757" s="264"/>
      <c r="E1757" s="264"/>
      <c r="F1757" s="264"/>
      <c r="G1757" s="264"/>
      <c r="H1757" s="264"/>
      <c r="I1757" s="264"/>
      <c r="J1757" s="327"/>
      <c r="K1757" s="327"/>
      <c r="L1757" s="327"/>
      <c r="M1757" s="321"/>
      <c r="N1757" s="321"/>
      <c r="O1757" s="364"/>
      <c r="P1757" s="376"/>
      <c r="R1757" s="393"/>
      <c r="S1757" s="61" ph="1"/>
      <c r="U1757" s="229"/>
      <c r="V1757" s="264"/>
      <c r="W1757" s="199"/>
      <c r="X1757" s="264"/>
      <c r="Y1757" s="264"/>
      <c r="Z1757" s="386"/>
      <c r="AD1757" s="264"/>
      <c r="AE1757" s="264"/>
      <c r="AF1757" s="264"/>
      <c r="AG1757" s="264"/>
    </row>
    <row r="1758" spans="1:33" ht="26.25">
      <c r="A1758" s="264"/>
      <c r="B1758" s="264"/>
      <c r="C1758" s="264"/>
      <c r="D1758" s="264"/>
      <c r="E1758" s="264"/>
      <c r="F1758" s="264"/>
      <c r="G1758" s="264"/>
      <c r="H1758" s="264"/>
      <c r="I1758" s="264"/>
      <c r="J1758" s="327"/>
      <c r="K1758" s="327"/>
      <c r="L1758" s="327"/>
      <c r="M1758" s="321"/>
      <c r="N1758" s="321"/>
      <c r="O1758" s="364"/>
      <c r="P1758" s="376"/>
      <c r="R1758" s="393"/>
      <c r="S1758" s="61" ph="1"/>
      <c r="U1758" s="229"/>
      <c r="V1758" s="264"/>
      <c r="W1758" s="199"/>
      <c r="X1758" s="264"/>
      <c r="Y1758" s="264"/>
      <c r="Z1758" s="386"/>
      <c r="AD1758" s="264"/>
      <c r="AE1758" s="264"/>
      <c r="AF1758" s="264"/>
      <c r="AG1758" s="264"/>
    </row>
    <row r="1759" spans="1:33" ht="26.25">
      <c r="A1759" s="264"/>
      <c r="B1759" s="264"/>
      <c r="C1759" s="264"/>
      <c r="D1759" s="264"/>
      <c r="E1759" s="264"/>
      <c r="F1759" s="264"/>
      <c r="G1759" s="264"/>
      <c r="H1759" s="264"/>
      <c r="I1759" s="264"/>
      <c r="J1759" s="327"/>
      <c r="K1759" s="327"/>
      <c r="L1759" s="327"/>
      <c r="M1759" s="321"/>
      <c r="N1759" s="321"/>
      <c r="O1759" s="364"/>
      <c r="P1759" s="376"/>
      <c r="R1759" s="393"/>
      <c r="S1759" s="61" ph="1"/>
      <c r="U1759" s="229"/>
      <c r="V1759" s="264"/>
      <c r="W1759" s="199"/>
      <c r="X1759" s="264"/>
      <c r="Y1759" s="264"/>
      <c r="Z1759" s="386"/>
      <c r="AD1759" s="264"/>
      <c r="AE1759" s="264"/>
      <c r="AF1759" s="264"/>
      <c r="AG1759" s="264"/>
    </row>
    <row r="1760" spans="1:33" ht="26.25">
      <c r="A1760" s="264"/>
      <c r="B1760" s="264"/>
      <c r="C1760" s="264"/>
      <c r="D1760" s="264"/>
      <c r="E1760" s="264"/>
      <c r="F1760" s="264"/>
      <c r="G1760" s="264"/>
      <c r="H1760" s="264"/>
      <c r="I1760" s="264"/>
      <c r="J1760" s="327"/>
      <c r="K1760" s="327"/>
      <c r="L1760" s="327"/>
      <c r="M1760" s="321"/>
      <c r="N1760" s="321"/>
      <c r="O1760" s="364"/>
      <c r="P1760" s="376"/>
      <c r="R1760" s="393"/>
      <c r="S1760" s="61" ph="1"/>
      <c r="U1760" s="229"/>
      <c r="V1760" s="264"/>
      <c r="W1760" s="199"/>
      <c r="X1760" s="264"/>
      <c r="Y1760" s="264"/>
      <c r="Z1760" s="386"/>
      <c r="AD1760" s="264"/>
      <c r="AE1760" s="264"/>
      <c r="AF1760" s="264"/>
      <c r="AG1760" s="264"/>
    </row>
    <row r="1761" spans="1:33" ht="26.25">
      <c r="A1761" s="264"/>
      <c r="B1761" s="264"/>
      <c r="C1761" s="264"/>
      <c r="D1761" s="264"/>
      <c r="E1761" s="264"/>
      <c r="F1761" s="264"/>
      <c r="G1761" s="264"/>
      <c r="H1761" s="264"/>
      <c r="I1761" s="264"/>
      <c r="J1761" s="327"/>
      <c r="K1761" s="327"/>
      <c r="L1761" s="327"/>
      <c r="M1761" s="321"/>
      <c r="N1761" s="321"/>
      <c r="O1761" s="364"/>
      <c r="P1761" s="376"/>
      <c r="R1761" s="393"/>
      <c r="S1761" s="61" ph="1"/>
      <c r="U1761" s="229"/>
      <c r="V1761" s="264"/>
      <c r="W1761" s="199"/>
      <c r="X1761" s="264"/>
      <c r="Y1761" s="264"/>
      <c r="Z1761" s="386"/>
      <c r="AD1761" s="264"/>
      <c r="AE1761" s="264"/>
      <c r="AF1761" s="264"/>
      <c r="AG1761" s="264"/>
    </row>
    <row r="1762" spans="1:33" ht="26.25">
      <c r="A1762" s="264"/>
      <c r="B1762" s="264"/>
      <c r="C1762" s="264"/>
      <c r="D1762" s="264"/>
      <c r="E1762" s="264"/>
      <c r="F1762" s="264"/>
      <c r="G1762" s="264"/>
      <c r="H1762" s="264"/>
      <c r="I1762" s="264"/>
      <c r="J1762" s="327"/>
      <c r="K1762" s="327"/>
      <c r="L1762" s="327"/>
      <c r="M1762" s="321"/>
      <c r="N1762" s="321"/>
      <c r="O1762" s="364"/>
      <c r="P1762" s="376"/>
      <c r="R1762" s="393"/>
      <c r="S1762" s="61" ph="1"/>
      <c r="U1762" s="229"/>
      <c r="V1762" s="264"/>
      <c r="W1762" s="199"/>
      <c r="X1762" s="264"/>
      <c r="Y1762" s="264"/>
      <c r="Z1762" s="386"/>
      <c r="AD1762" s="264"/>
      <c r="AE1762" s="264"/>
      <c r="AF1762" s="264"/>
      <c r="AG1762" s="264"/>
    </row>
    <row r="1763" spans="1:33" ht="26.25">
      <c r="A1763" s="264"/>
      <c r="B1763" s="264"/>
      <c r="C1763" s="264"/>
      <c r="D1763" s="264"/>
      <c r="E1763" s="264"/>
      <c r="F1763" s="264"/>
      <c r="G1763" s="264"/>
      <c r="H1763" s="264"/>
      <c r="I1763" s="264"/>
      <c r="J1763" s="327"/>
      <c r="K1763" s="327"/>
      <c r="L1763" s="327"/>
      <c r="M1763" s="321"/>
      <c r="N1763" s="321"/>
      <c r="O1763" s="364"/>
      <c r="P1763" s="376"/>
      <c r="R1763" s="393"/>
      <c r="S1763" s="61" ph="1"/>
      <c r="U1763" s="229"/>
      <c r="V1763" s="264"/>
      <c r="W1763" s="199"/>
      <c r="X1763" s="264"/>
      <c r="Y1763" s="264"/>
      <c r="Z1763" s="386"/>
      <c r="AD1763" s="264"/>
      <c r="AE1763" s="264"/>
      <c r="AF1763" s="264"/>
      <c r="AG1763" s="264"/>
    </row>
    <row r="1764" spans="1:33" ht="26.25">
      <c r="A1764" s="264"/>
      <c r="B1764" s="264"/>
      <c r="C1764" s="264"/>
      <c r="D1764" s="264"/>
      <c r="E1764" s="264"/>
      <c r="F1764" s="264"/>
      <c r="G1764" s="264"/>
      <c r="H1764" s="264"/>
      <c r="I1764" s="264"/>
      <c r="J1764" s="327"/>
      <c r="K1764" s="327"/>
      <c r="L1764" s="327"/>
      <c r="M1764" s="321"/>
      <c r="N1764" s="321"/>
      <c r="O1764" s="364"/>
      <c r="P1764" s="376"/>
      <c r="R1764" s="393"/>
      <c r="S1764" s="61" ph="1"/>
      <c r="U1764" s="229"/>
      <c r="V1764" s="264"/>
      <c r="W1764" s="199"/>
      <c r="X1764" s="264"/>
      <c r="Y1764" s="264"/>
      <c r="Z1764" s="386"/>
      <c r="AD1764" s="264"/>
      <c r="AE1764" s="264"/>
      <c r="AF1764" s="264"/>
      <c r="AG1764" s="264"/>
    </row>
    <row r="1765" spans="1:33" ht="26.25">
      <c r="A1765" s="264"/>
      <c r="B1765" s="264"/>
      <c r="C1765" s="264"/>
      <c r="D1765" s="264"/>
      <c r="E1765" s="264"/>
      <c r="F1765" s="264"/>
      <c r="G1765" s="264"/>
      <c r="H1765" s="264"/>
      <c r="I1765" s="264"/>
      <c r="J1765" s="327"/>
      <c r="K1765" s="327"/>
      <c r="L1765" s="327"/>
      <c r="M1765" s="321"/>
      <c r="N1765" s="321"/>
      <c r="O1765" s="364"/>
      <c r="P1765" s="376"/>
      <c r="R1765" s="393"/>
      <c r="S1765" s="61" ph="1"/>
      <c r="U1765" s="229"/>
      <c r="V1765" s="264"/>
      <c r="W1765" s="199"/>
      <c r="X1765" s="264"/>
      <c r="Y1765" s="264"/>
      <c r="Z1765" s="386"/>
      <c r="AD1765" s="264"/>
      <c r="AE1765" s="264"/>
      <c r="AF1765" s="264"/>
      <c r="AG1765" s="264"/>
    </row>
    <row r="1766" spans="1:33" ht="26.25">
      <c r="A1766" s="264"/>
      <c r="B1766" s="264"/>
      <c r="C1766" s="264"/>
      <c r="D1766" s="264"/>
      <c r="E1766" s="264"/>
      <c r="F1766" s="264"/>
      <c r="G1766" s="264"/>
      <c r="H1766" s="264"/>
      <c r="I1766" s="264"/>
      <c r="J1766" s="327"/>
      <c r="K1766" s="327"/>
      <c r="L1766" s="327"/>
      <c r="M1766" s="321"/>
      <c r="N1766" s="321"/>
      <c r="O1766" s="364"/>
      <c r="P1766" s="376"/>
      <c r="R1766" s="393"/>
      <c r="S1766" s="61" ph="1"/>
      <c r="U1766" s="229"/>
      <c r="V1766" s="264"/>
      <c r="W1766" s="199"/>
      <c r="X1766" s="264"/>
      <c r="Y1766" s="264"/>
      <c r="Z1766" s="386"/>
      <c r="AD1766" s="264"/>
      <c r="AE1766" s="264"/>
      <c r="AF1766" s="264"/>
      <c r="AG1766" s="264"/>
    </row>
    <row r="1767" spans="1:33" ht="26.25">
      <c r="A1767" s="264"/>
      <c r="B1767" s="264"/>
      <c r="C1767" s="264"/>
      <c r="D1767" s="264"/>
      <c r="E1767" s="264"/>
      <c r="F1767" s="264"/>
      <c r="G1767" s="264"/>
      <c r="H1767" s="264"/>
      <c r="I1767" s="264"/>
      <c r="J1767" s="327"/>
      <c r="K1767" s="327"/>
      <c r="L1767" s="327"/>
      <c r="M1767" s="321"/>
      <c r="N1767" s="321"/>
      <c r="O1767" s="364"/>
      <c r="P1767" s="376"/>
      <c r="R1767" s="393"/>
      <c r="S1767" s="61" ph="1"/>
      <c r="U1767" s="229"/>
      <c r="V1767" s="264"/>
      <c r="W1767" s="199"/>
      <c r="X1767" s="264"/>
      <c r="Y1767" s="264"/>
      <c r="Z1767" s="386"/>
      <c r="AD1767" s="264"/>
      <c r="AE1767" s="264"/>
      <c r="AF1767" s="264"/>
      <c r="AG1767" s="264"/>
    </row>
    <row r="1768" spans="1:33" ht="26.25">
      <c r="A1768" s="264"/>
      <c r="B1768" s="264"/>
      <c r="C1768" s="264"/>
      <c r="D1768" s="264"/>
      <c r="E1768" s="264"/>
      <c r="F1768" s="264"/>
      <c r="G1768" s="264"/>
      <c r="H1768" s="264"/>
      <c r="I1768" s="264"/>
      <c r="J1768" s="327"/>
      <c r="K1768" s="327"/>
      <c r="L1768" s="327"/>
      <c r="M1768" s="321"/>
      <c r="N1768" s="321"/>
      <c r="O1768" s="364"/>
      <c r="P1768" s="376"/>
      <c r="R1768" s="393"/>
      <c r="S1768" s="61" ph="1"/>
      <c r="U1768" s="229"/>
      <c r="V1768" s="264"/>
      <c r="W1768" s="199"/>
      <c r="X1768" s="264"/>
      <c r="Y1768" s="264"/>
      <c r="Z1768" s="386"/>
      <c r="AD1768" s="264"/>
      <c r="AE1768" s="264"/>
      <c r="AF1768" s="264"/>
      <c r="AG1768" s="264"/>
    </row>
    <row r="1769" spans="1:33" ht="26.25">
      <c r="A1769" s="264"/>
      <c r="B1769" s="264"/>
      <c r="C1769" s="264"/>
      <c r="D1769" s="264"/>
      <c r="E1769" s="264"/>
      <c r="F1769" s="264"/>
      <c r="G1769" s="264"/>
      <c r="H1769" s="264"/>
      <c r="I1769" s="264"/>
      <c r="J1769" s="327"/>
      <c r="K1769" s="327"/>
      <c r="L1769" s="327"/>
      <c r="M1769" s="321"/>
      <c r="N1769" s="321"/>
      <c r="O1769" s="364"/>
      <c r="P1769" s="376"/>
      <c r="R1769" s="393"/>
      <c r="S1769" s="61" ph="1"/>
      <c r="U1769" s="229"/>
      <c r="V1769" s="264"/>
      <c r="W1769" s="199"/>
      <c r="X1769" s="264"/>
      <c r="Y1769" s="264"/>
      <c r="Z1769" s="386"/>
      <c r="AD1769" s="264"/>
      <c r="AE1769" s="264"/>
      <c r="AF1769" s="264"/>
      <c r="AG1769" s="264"/>
    </row>
    <row r="1770" spans="1:33" ht="26.25">
      <c r="A1770" s="264"/>
      <c r="B1770" s="264"/>
      <c r="C1770" s="264"/>
      <c r="D1770" s="264"/>
      <c r="E1770" s="264"/>
      <c r="F1770" s="264"/>
      <c r="G1770" s="264"/>
      <c r="H1770" s="264"/>
      <c r="I1770" s="264"/>
      <c r="J1770" s="327"/>
      <c r="K1770" s="327"/>
      <c r="L1770" s="327"/>
      <c r="M1770" s="321"/>
      <c r="N1770" s="321"/>
      <c r="O1770" s="364"/>
      <c r="P1770" s="376"/>
      <c r="R1770" s="393"/>
      <c r="S1770" s="61" ph="1"/>
      <c r="U1770" s="229"/>
      <c r="V1770" s="264"/>
      <c r="W1770" s="199"/>
      <c r="X1770" s="264"/>
      <c r="Y1770" s="264"/>
      <c r="Z1770" s="386"/>
      <c r="AD1770" s="264"/>
      <c r="AE1770" s="264"/>
      <c r="AF1770" s="264"/>
      <c r="AG1770" s="264"/>
    </row>
    <row r="1771" spans="1:33" ht="26.25">
      <c r="A1771" s="264"/>
      <c r="B1771" s="264"/>
      <c r="C1771" s="264"/>
      <c r="D1771" s="264"/>
      <c r="E1771" s="264"/>
      <c r="F1771" s="264"/>
      <c r="G1771" s="264"/>
      <c r="H1771" s="264"/>
      <c r="I1771" s="264"/>
      <c r="J1771" s="327"/>
      <c r="K1771" s="327"/>
      <c r="L1771" s="327"/>
      <c r="M1771" s="321"/>
      <c r="N1771" s="321"/>
      <c r="O1771" s="364"/>
      <c r="P1771" s="376"/>
      <c r="R1771" s="393"/>
      <c r="S1771" s="61" ph="1"/>
      <c r="U1771" s="229"/>
      <c r="V1771" s="264"/>
      <c r="W1771" s="199"/>
      <c r="X1771" s="264"/>
      <c r="Y1771" s="264"/>
      <c r="Z1771" s="386"/>
      <c r="AD1771" s="264"/>
      <c r="AE1771" s="264"/>
      <c r="AF1771" s="264"/>
      <c r="AG1771" s="264"/>
    </row>
    <row r="1772" spans="1:33" ht="26.25">
      <c r="A1772" s="264"/>
      <c r="B1772" s="264"/>
      <c r="C1772" s="264"/>
      <c r="D1772" s="264"/>
      <c r="E1772" s="264"/>
      <c r="F1772" s="264"/>
      <c r="G1772" s="264"/>
      <c r="H1772" s="264"/>
      <c r="I1772" s="264"/>
      <c r="J1772" s="327"/>
      <c r="K1772" s="327"/>
      <c r="L1772" s="327"/>
      <c r="M1772" s="321"/>
      <c r="N1772" s="321"/>
      <c r="O1772" s="364"/>
      <c r="P1772" s="376"/>
      <c r="R1772" s="393"/>
      <c r="S1772" s="61" ph="1"/>
      <c r="U1772" s="229"/>
      <c r="V1772" s="264"/>
      <c r="W1772" s="199"/>
      <c r="X1772" s="264"/>
      <c r="Y1772" s="264"/>
      <c r="Z1772" s="386"/>
      <c r="AD1772" s="264"/>
      <c r="AE1772" s="264"/>
      <c r="AF1772" s="264"/>
      <c r="AG1772" s="264"/>
    </row>
    <row r="1773" spans="1:33" ht="26.25">
      <c r="A1773" s="264"/>
      <c r="B1773" s="264"/>
      <c r="C1773" s="264"/>
      <c r="D1773" s="264"/>
      <c r="E1773" s="264"/>
      <c r="F1773" s="264"/>
      <c r="G1773" s="264"/>
      <c r="H1773" s="264"/>
      <c r="I1773" s="264"/>
      <c r="J1773" s="327"/>
      <c r="K1773" s="327"/>
      <c r="L1773" s="327"/>
      <c r="M1773" s="321"/>
      <c r="N1773" s="321"/>
      <c r="O1773" s="364"/>
      <c r="P1773" s="376"/>
      <c r="R1773" s="393"/>
      <c r="S1773" s="61" ph="1"/>
      <c r="U1773" s="229"/>
      <c r="V1773" s="264"/>
      <c r="W1773" s="199"/>
      <c r="X1773" s="264"/>
      <c r="Y1773" s="264"/>
      <c r="Z1773" s="386"/>
      <c r="AD1773" s="264"/>
      <c r="AE1773" s="264"/>
      <c r="AF1773" s="264"/>
      <c r="AG1773" s="264"/>
    </row>
    <row r="1774" spans="1:33" ht="26.25">
      <c r="A1774" s="264"/>
      <c r="B1774" s="264"/>
      <c r="C1774" s="264"/>
      <c r="D1774" s="264"/>
      <c r="E1774" s="264"/>
      <c r="F1774" s="264"/>
      <c r="G1774" s="264"/>
      <c r="H1774" s="264"/>
      <c r="I1774" s="264"/>
      <c r="J1774" s="327"/>
      <c r="K1774" s="327"/>
      <c r="L1774" s="327"/>
      <c r="M1774" s="321"/>
      <c r="N1774" s="321"/>
      <c r="O1774" s="364"/>
      <c r="P1774" s="376"/>
      <c r="R1774" s="393"/>
      <c r="S1774" s="61" ph="1"/>
      <c r="U1774" s="229"/>
      <c r="V1774" s="264"/>
      <c r="W1774" s="199"/>
      <c r="X1774" s="264"/>
      <c r="Y1774" s="264"/>
      <c r="Z1774" s="386"/>
      <c r="AD1774" s="264"/>
      <c r="AE1774" s="264"/>
      <c r="AF1774" s="264"/>
      <c r="AG1774" s="264"/>
    </row>
    <row r="1775" spans="1:33" ht="26.25">
      <c r="A1775" s="264"/>
      <c r="B1775" s="264"/>
      <c r="C1775" s="264"/>
      <c r="D1775" s="264"/>
      <c r="E1775" s="264"/>
      <c r="F1775" s="264"/>
      <c r="G1775" s="264"/>
      <c r="H1775" s="264"/>
      <c r="I1775" s="264"/>
      <c r="J1775" s="327"/>
      <c r="K1775" s="327"/>
      <c r="L1775" s="327"/>
      <c r="M1775" s="321"/>
      <c r="N1775" s="321"/>
      <c r="O1775" s="364"/>
      <c r="P1775" s="376"/>
      <c r="R1775" s="393"/>
      <c r="S1775" s="61" ph="1"/>
      <c r="U1775" s="229"/>
      <c r="V1775" s="264"/>
      <c r="W1775" s="199"/>
      <c r="X1775" s="264"/>
      <c r="Y1775" s="264"/>
      <c r="Z1775" s="386"/>
      <c r="AD1775" s="264"/>
      <c r="AE1775" s="264"/>
      <c r="AF1775" s="264"/>
      <c r="AG1775" s="264"/>
    </row>
    <row r="1776" spans="1:33" ht="26.25">
      <c r="A1776" s="264"/>
      <c r="B1776" s="264"/>
      <c r="C1776" s="264"/>
      <c r="D1776" s="264"/>
      <c r="E1776" s="264"/>
      <c r="F1776" s="264"/>
      <c r="G1776" s="264"/>
      <c r="H1776" s="264"/>
      <c r="I1776" s="264"/>
      <c r="J1776" s="327"/>
      <c r="K1776" s="327"/>
      <c r="L1776" s="327"/>
      <c r="M1776" s="321"/>
      <c r="N1776" s="321"/>
      <c r="O1776" s="364"/>
      <c r="P1776" s="376"/>
      <c r="R1776" s="393"/>
      <c r="S1776" s="61" ph="1"/>
      <c r="U1776" s="229"/>
      <c r="V1776" s="264"/>
      <c r="W1776" s="199"/>
      <c r="X1776" s="264"/>
      <c r="Y1776" s="264"/>
      <c r="Z1776" s="386"/>
      <c r="AD1776" s="264"/>
      <c r="AE1776" s="264"/>
      <c r="AF1776" s="264"/>
      <c r="AG1776" s="264"/>
    </row>
    <row r="1777" spans="1:33" ht="26.25">
      <c r="A1777" s="264"/>
      <c r="B1777" s="264"/>
      <c r="C1777" s="264"/>
      <c r="D1777" s="264"/>
      <c r="E1777" s="264"/>
      <c r="F1777" s="264"/>
      <c r="G1777" s="264"/>
      <c r="H1777" s="264"/>
      <c r="I1777" s="264"/>
      <c r="J1777" s="327"/>
      <c r="K1777" s="327"/>
      <c r="L1777" s="327"/>
      <c r="M1777" s="321"/>
      <c r="N1777" s="321"/>
      <c r="O1777" s="364"/>
      <c r="P1777" s="376"/>
      <c r="R1777" s="393"/>
      <c r="S1777" s="61" ph="1"/>
      <c r="U1777" s="229"/>
      <c r="V1777" s="264"/>
      <c r="W1777" s="199"/>
      <c r="X1777" s="264"/>
      <c r="Y1777" s="264"/>
      <c r="Z1777" s="386"/>
      <c r="AD1777" s="264"/>
      <c r="AE1777" s="264"/>
      <c r="AF1777" s="264"/>
      <c r="AG1777" s="264"/>
    </row>
    <row r="1778" spans="1:33" ht="26.25">
      <c r="A1778" s="264"/>
      <c r="B1778" s="264"/>
      <c r="C1778" s="264"/>
      <c r="D1778" s="264"/>
      <c r="E1778" s="264"/>
      <c r="F1778" s="264"/>
      <c r="G1778" s="264"/>
      <c r="H1778" s="264"/>
      <c r="I1778" s="264"/>
      <c r="J1778" s="327"/>
      <c r="K1778" s="327"/>
      <c r="L1778" s="327"/>
      <c r="M1778" s="321"/>
      <c r="N1778" s="321"/>
      <c r="O1778" s="364"/>
      <c r="P1778" s="376"/>
      <c r="R1778" s="393"/>
      <c r="S1778" s="61" ph="1"/>
      <c r="U1778" s="229"/>
      <c r="V1778" s="264"/>
      <c r="W1778" s="199"/>
      <c r="X1778" s="264"/>
      <c r="Y1778" s="264"/>
      <c r="Z1778" s="386"/>
      <c r="AD1778" s="264"/>
      <c r="AE1778" s="264"/>
      <c r="AF1778" s="264"/>
      <c r="AG1778" s="264"/>
    </row>
    <row r="1779" spans="1:33" ht="26.25">
      <c r="A1779" s="264"/>
      <c r="B1779" s="264"/>
      <c r="C1779" s="264"/>
      <c r="D1779" s="264"/>
      <c r="E1779" s="264"/>
      <c r="F1779" s="264"/>
      <c r="G1779" s="264"/>
      <c r="H1779" s="264"/>
      <c r="I1779" s="264"/>
      <c r="J1779" s="327"/>
      <c r="K1779" s="327"/>
      <c r="L1779" s="327"/>
      <c r="M1779" s="321"/>
      <c r="N1779" s="321"/>
      <c r="O1779" s="364"/>
      <c r="P1779" s="376"/>
      <c r="R1779" s="393"/>
      <c r="S1779" s="61" ph="1"/>
      <c r="U1779" s="229"/>
      <c r="V1779" s="264"/>
      <c r="W1779" s="199"/>
      <c r="X1779" s="264"/>
      <c r="Y1779" s="264"/>
      <c r="Z1779" s="386"/>
      <c r="AD1779" s="264"/>
      <c r="AE1779" s="264"/>
      <c r="AF1779" s="264"/>
      <c r="AG1779" s="264"/>
    </row>
    <row r="1780" spans="1:33" ht="26.25">
      <c r="A1780" s="264"/>
      <c r="B1780" s="264"/>
      <c r="C1780" s="264"/>
      <c r="D1780" s="264"/>
      <c r="E1780" s="264"/>
      <c r="F1780" s="264"/>
      <c r="G1780" s="264"/>
      <c r="H1780" s="264"/>
      <c r="I1780" s="264"/>
      <c r="J1780" s="327"/>
      <c r="K1780" s="327"/>
      <c r="L1780" s="327"/>
      <c r="M1780" s="321"/>
      <c r="N1780" s="321"/>
      <c r="O1780" s="364"/>
      <c r="P1780" s="376"/>
      <c r="R1780" s="393"/>
      <c r="S1780" s="61" ph="1"/>
      <c r="U1780" s="229"/>
      <c r="V1780" s="264"/>
      <c r="W1780" s="199"/>
      <c r="X1780" s="264"/>
      <c r="Y1780" s="264"/>
      <c r="Z1780" s="386"/>
      <c r="AD1780" s="264"/>
      <c r="AE1780" s="264"/>
      <c r="AF1780" s="264"/>
      <c r="AG1780" s="264"/>
    </row>
    <row r="1781" spans="1:33" ht="26.25">
      <c r="A1781" s="264"/>
      <c r="B1781" s="264"/>
      <c r="C1781" s="264"/>
      <c r="D1781" s="264"/>
      <c r="E1781" s="264"/>
      <c r="F1781" s="264"/>
      <c r="G1781" s="264"/>
      <c r="H1781" s="264"/>
      <c r="I1781" s="264"/>
      <c r="J1781" s="327"/>
      <c r="K1781" s="327"/>
      <c r="L1781" s="327"/>
      <c r="M1781" s="321"/>
      <c r="N1781" s="321"/>
      <c r="O1781" s="364"/>
      <c r="P1781" s="376"/>
      <c r="R1781" s="393"/>
      <c r="S1781" s="61" ph="1"/>
      <c r="U1781" s="229"/>
      <c r="V1781" s="264"/>
      <c r="W1781" s="199"/>
      <c r="X1781" s="264"/>
      <c r="Y1781" s="264"/>
      <c r="Z1781" s="386"/>
      <c r="AD1781" s="264"/>
      <c r="AE1781" s="264"/>
      <c r="AF1781" s="264"/>
      <c r="AG1781" s="264"/>
    </row>
    <row r="1782" spans="1:33" ht="26.25">
      <c r="A1782" s="264"/>
      <c r="B1782" s="264"/>
      <c r="C1782" s="264"/>
      <c r="D1782" s="264"/>
      <c r="E1782" s="264"/>
      <c r="F1782" s="264"/>
      <c r="G1782" s="264"/>
      <c r="H1782" s="264"/>
      <c r="I1782" s="264"/>
      <c r="J1782" s="327"/>
      <c r="K1782" s="327"/>
      <c r="L1782" s="327"/>
      <c r="M1782" s="321"/>
      <c r="N1782" s="321"/>
      <c r="O1782" s="364"/>
      <c r="P1782" s="376"/>
      <c r="R1782" s="393"/>
      <c r="S1782" s="61" ph="1"/>
      <c r="U1782" s="229"/>
      <c r="V1782" s="264"/>
      <c r="W1782" s="199"/>
      <c r="X1782" s="264"/>
      <c r="Y1782" s="264"/>
      <c r="Z1782" s="386"/>
      <c r="AD1782" s="264"/>
      <c r="AE1782" s="264"/>
      <c r="AF1782" s="264"/>
      <c r="AG1782" s="264"/>
    </row>
    <row r="1783" spans="1:33" ht="26.25">
      <c r="A1783" s="264"/>
      <c r="B1783" s="264"/>
      <c r="C1783" s="264"/>
      <c r="D1783" s="264"/>
      <c r="E1783" s="264"/>
      <c r="F1783" s="264"/>
      <c r="G1783" s="264"/>
      <c r="H1783" s="264"/>
      <c r="I1783" s="264"/>
      <c r="J1783" s="327"/>
      <c r="K1783" s="327"/>
      <c r="L1783" s="327"/>
      <c r="M1783" s="321"/>
      <c r="N1783" s="321"/>
      <c r="O1783" s="364"/>
      <c r="P1783" s="376"/>
      <c r="R1783" s="393"/>
      <c r="S1783" s="61" ph="1"/>
      <c r="U1783" s="229"/>
      <c r="V1783" s="264"/>
      <c r="W1783" s="199"/>
      <c r="X1783" s="264"/>
      <c r="Y1783" s="264"/>
      <c r="Z1783" s="386"/>
      <c r="AD1783" s="264"/>
      <c r="AE1783" s="264"/>
      <c r="AF1783" s="264"/>
      <c r="AG1783" s="264"/>
    </row>
    <row r="1784" spans="1:33" ht="26.25">
      <c r="A1784" s="264"/>
      <c r="B1784" s="264"/>
      <c r="C1784" s="264"/>
      <c r="D1784" s="264"/>
      <c r="E1784" s="264"/>
      <c r="F1784" s="264"/>
      <c r="G1784" s="264"/>
      <c r="H1784" s="264"/>
      <c r="I1784" s="264"/>
      <c r="J1784" s="327"/>
      <c r="K1784" s="327"/>
      <c r="L1784" s="327"/>
      <c r="M1784" s="321"/>
      <c r="N1784" s="321"/>
      <c r="O1784" s="364"/>
      <c r="P1784" s="376"/>
      <c r="R1784" s="393"/>
      <c r="S1784" s="61" ph="1"/>
      <c r="U1784" s="229"/>
      <c r="V1784" s="264"/>
      <c r="W1784" s="199"/>
      <c r="X1784" s="264"/>
      <c r="Y1784" s="264"/>
      <c r="Z1784" s="386"/>
      <c r="AD1784" s="264"/>
      <c r="AE1784" s="264"/>
      <c r="AF1784" s="264"/>
      <c r="AG1784" s="264"/>
    </row>
    <row r="1785" spans="1:33" ht="26.25">
      <c r="A1785" s="264"/>
      <c r="B1785" s="264"/>
      <c r="C1785" s="264"/>
      <c r="D1785" s="264"/>
      <c r="E1785" s="264"/>
      <c r="F1785" s="264"/>
      <c r="G1785" s="264"/>
      <c r="H1785" s="264"/>
      <c r="I1785" s="264"/>
      <c r="J1785" s="327"/>
      <c r="K1785" s="327"/>
      <c r="L1785" s="327"/>
      <c r="M1785" s="321"/>
      <c r="N1785" s="321"/>
      <c r="O1785" s="364"/>
      <c r="P1785" s="376"/>
      <c r="R1785" s="393"/>
      <c r="S1785" s="61" ph="1"/>
      <c r="U1785" s="229"/>
      <c r="V1785" s="264"/>
      <c r="W1785" s="199"/>
      <c r="X1785" s="264"/>
      <c r="Y1785" s="264"/>
      <c r="Z1785" s="386"/>
      <c r="AD1785" s="264"/>
      <c r="AE1785" s="264"/>
      <c r="AF1785" s="264"/>
      <c r="AG1785" s="264"/>
    </row>
    <row r="1786" spans="1:33" ht="26.25">
      <c r="A1786" s="264"/>
      <c r="B1786" s="264"/>
      <c r="C1786" s="264"/>
      <c r="D1786" s="264"/>
      <c r="E1786" s="264"/>
      <c r="F1786" s="264"/>
      <c r="G1786" s="264"/>
      <c r="H1786" s="264"/>
      <c r="I1786" s="264"/>
      <c r="J1786" s="327"/>
      <c r="K1786" s="327"/>
      <c r="L1786" s="327"/>
      <c r="M1786" s="321"/>
      <c r="N1786" s="321"/>
      <c r="O1786" s="364"/>
      <c r="P1786" s="376"/>
      <c r="R1786" s="393"/>
      <c r="S1786" s="61" ph="1"/>
      <c r="U1786" s="229"/>
      <c r="V1786" s="264"/>
      <c r="W1786" s="199"/>
      <c r="X1786" s="264"/>
      <c r="Y1786" s="264"/>
      <c r="Z1786" s="386"/>
      <c r="AD1786" s="264"/>
      <c r="AE1786" s="264"/>
      <c r="AF1786" s="264"/>
      <c r="AG1786" s="264"/>
    </row>
    <row r="1787" spans="1:33" ht="26.25">
      <c r="A1787" s="264"/>
      <c r="B1787" s="264"/>
      <c r="C1787" s="264"/>
      <c r="D1787" s="264"/>
      <c r="E1787" s="264"/>
      <c r="F1787" s="264"/>
      <c r="G1787" s="264"/>
      <c r="H1787" s="264"/>
      <c r="I1787" s="264"/>
      <c r="J1787" s="327"/>
      <c r="K1787" s="327"/>
      <c r="L1787" s="327"/>
      <c r="M1787" s="321"/>
      <c r="N1787" s="321"/>
      <c r="O1787" s="364"/>
      <c r="P1787" s="376"/>
      <c r="R1787" s="393"/>
      <c r="S1787" s="61" ph="1"/>
      <c r="U1787" s="229"/>
      <c r="V1787" s="264"/>
      <c r="W1787" s="199"/>
      <c r="X1787" s="264"/>
      <c r="Y1787" s="264"/>
      <c r="Z1787" s="386"/>
      <c r="AD1787" s="264"/>
      <c r="AE1787" s="264"/>
      <c r="AF1787" s="264"/>
      <c r="AG1787" s="264"/>
    </row>
    <row r="1788" spans="1:33" ht="26.25">
      <c r="A1788" s="264"/>
      <c r="B1788" s="264"/>
      <c r="C1788" s="264"/>
      <c r="D1788" s="264"/>
      <c r="E1788" s="264"/>
      <c r="F1788" s="264"/>
      <c r="G1788" s="264"/>
      <c r="H1788" s="264"/>
      <c r="I1788" s="264"/>
      <c r="J1788" s="327"/>
      <c r="K1788" s="327"/>
      <c r="L1788" s="327"/>
      <c r="M1788" s="321"/>
      <c r="N1788" s="321"/>
      <c r="O1788" s="364"/>
      <c r="P1788" s="376"/>
      <c r="R1788" s="393"/>
      <c r="S1788" s="61" ph="1"/>
      <c r="U1788" s="229"/>
      <c r="V1788" s="264"/>
      <c r="W1788" s="199"/>
      <c r="X1788" s="264"/>
      <c r="Y1788" s="264"/>
      <c r="Z1788" s="386"/>
      <c r="AD1788" s="264"/>
      <c r="AE1788" s="264"/>
      <c r="AF1788" s="264"/>
      <c r="AG1788" s="264"/>
    </row>
    <row r="1789" spans="1:33" ht="26.25">
      <c r="A1789" s="264"/>
      <c r="B1789" s="264"/>
      <c r="C1789" s="264"/>
      <c r="D1789" s="264"/>
      <c r="E1789" s="264"/>
      <c r="F1789" s="264"/>
      <c r="G1789" s="264"/>
      <c r="H1789" s="264"/>
      <c r="I1789" s="264"/>
      <c r="J1789" s="327"/>
      <c r="K1789" s="327"/>
      <c r="L1789" s="327"/>
      <c r="M1789" s="321"/>
      <c r="N1789" s="321"/>
      <c r="O1789" s="364"/>
      <c r="P1789" s="376"/>
      <c r="R1789" s="393"/>
      <c r="S1789" s="61" ph="1"/>
      <c r="U1789" s="229"/>
      <c r="V1789" s="264"/>
      <c r="W1789" s="199"/>
      <c r="X1789" s="264"/>
      <c r="Y1789" s="264"/>
      <c r="Z1789" s="386"/>
      <c r="AD1789" s="264"/>
      <c r="AE1789" s="264"/>
      <c r="AF1789" s="264"/>
      <c r="AG1789" s="264"/>
    </row>
    <row r="1790" spans="1:33" ht="26.25">
      <c r="A1790" s="264"/>
      <c r="B1790" s="264"/>
      <c r="C1790" s="264"/>
      <c r="D1790" s="264"/>
      <c r="E1790" s="264"/>
      <c r="F1790" s="264"/>
      <c r="G1790" s="264"/>
      <c r="H1790" s="264"/>
      <c r="I1790" s="264"/>
      <c r="J1790" s="327"/>
      <c r="K1790" s="327"/>
      <c r="L1790" s="327"/>
      <c r="M1790" s="321"/>
      <c r="N1790" s="321"/>
      <c r="O1790" s="364"/>
      <c r="P1790" s="376"/>
      <c r="R1790" s="393"/>
      <c r="S1790" s="61" ph="1"/>
      <c r="U1790" s="229"/>
      <c r="V1790" s="264"/>
      <c r="W1790" s="199"/>
      <c r="X1790" s="264"/>
      <c r="Y1790" s="264"/>
      <c r="Z1790" s="386"/>
      <c r="AD1790" s="264"/>
      <c r="AE1790" s="264"/>
      <c r="AF1790" s="264"/>
      <c r="AG1790" s="264"/>
    </row>
    <row r="1791" spans="1:33" ht="26.25">
      <c r="A1791" s="264"/>
      <c r="B1791" s="264"/>
      <c r="C1791" s="264"/>
      <c r="D1791" s="264"/>
      <c r="E1791" s="264"/>
      <c r="F1791" s="264"/>
      <c r="G1791" s="264"/>
      <c r="H1791" s="264"/>
      <c r="I1791" s="264"/>
      <c r="J1791" s="327"/>
      <c r="K1791" s="327"/>
      <c r="L1791" s="327"/>
      <c r="M1791" s="321"/>
      <c r="N1791" s="321"/>
      <c r="O1791" s="364"/>
      <c r="P1791" s="376"/>
      <c r="R1791" s="393"/>
      <c r="S1791" s="61" ph="1"/>
      <c r="U1791" s="229"/>
      <c r="V1791" s="264"/>
      <c r="W1791" s="199"/>
      <c r="X1791" s="264"/>
      <c r="Y1791" s="264"/>
      <c r="Z1791" s="386"/>
      <c r="AD1791" s="264"/>
      <c r="AE1791" s="264"/>
      <c r="AF1791" s="264"/>
      <c r="AG1791" s="264"/>
    </row>
    <row r="1792" spans="1:33" ht="26.25">
      <c r="A1792" s="264"/>
      <c r="B1792" s="264"/>
      <c r="C1792" s="264"/>
      <c r="D1792" s="264"/>
      <c r="E1792" s="264"/>
      <c r="F1792" s="264"/>
      <c r="G1792" s="264"/>
      <c r="H1792" s="264"/>
      <c r="I1792" s="264"/>
      <c r="J1792" s="327"/>
      <c r="K1792" s="327"/>
      <c r="L1792" s="327"/>
      <c r="M1792" s="321"/>
      <c r="N1792" s="321"/>
      <c r="O1792" s="364"/>
      <c r="P1792" s="376"/>
      <c r="R1792" s="393"/>
      <c r="S1792" s="61" ph="1"/>
      <c r="U1792" s="229"/>
      <c r="V1792" s="264"/>
      <c r="W1792" s="199"/>
      <c r="X1792" s="264"/>
      <c r="Y1792" s="264"/>
      <c r="Z1792" s="386"/>
      <c r="AD1792" s="264"/>
      <c r="AE1792" s="264"/>
      <c r="AF1792" s="264"/>
      <c r="AG1792" s="264"/>
    </row>
    <row r="1793" spans="1:33" ht="26.25">
      <c r="A1793" s="264"/>
      <c r="B1793" s="264"/>
      <c r="C1793" s="264"/>
      <c r="D1793" s="264"/>
      <c r="E1793" s="264"/>
      <c r="F1793" s="264"/>
      <c r="G1793" s="264"/>
      <c r="H1793" s="264"/>
      <c r="I1793" s="264"/>
      <c r="J1793" s="327"/>
      <c r="K1793" s="327"/>
      <c r="L1793" s="327"/>
      <c r="M1793" s="321"/>
      <c r="N1793" s="321"/>
      <c r="O1793" s="364"/>
      <c r="P1793" s="376"/>
      <c r="R1793" s="393"/>
      <c r="S1793" s="61" ph="1"/>
      <c r="U1793" s="229"/>
      <c r="V1793" s="264"/>
      <c r="W1793" s="199"/>
      <c r="X1793" s="264"/>
      <c r="Y1793" s="264"/>
      <c r="Z1793" s="386"/>
      <c r="AD1793" s="264"/>
      <c r="AE1793" s="264"/>
      <c r="AF1793" s="264"/>
      <c r="AG1793" s="264"/>
    </row>
    <row r="1794" spans="1:33" ht="26.25">
      <c r="A1794" s="264"/>
      <c r="B1794" s="264"/>
      <c r="C1794" s="264"/>
      <c r="D1794" s="264"/>
      <c r="E1794" s="264"/>
      <c r="F1794" s="264"/>
      <c r="G1794" s="264"/>
      <c r="H1794" s="264"/>
      <c r="I1794" s="264"/>
      <c r="J1794" s="327"/>
      <c r="K1794" s="327"/>
      <c r="L1794" s="327"/>
      <c r="M1794" s="321"/>
      <c r="N1794" s="321"/>
      <c r="O1794" s="364"/>
      <c r="P1794" s="376"/>
      <c r="R1794" s="393"/>
      <c r="S1794" s="61" ph="1"/>
      <c r="U1794" s="229"/>
      <c r="V1794" s="264"/>
      <c r="W1794" s="199"/>
      <c r="X1794" s="264"/>
      <c r="Y1794" s="264"/>
      <c r="Z1794" s="386"/>
      <c r="AD1794" s="264"/>
      <c r="AE1794" s="264"/>
      <c r="AF1794" s="264"/>
      <c r="AG1794" s="264"/>
    </row>
    <row r="1795" spans="1:33" ht="26.25">
      <c r="A1795" s="264"/>
      <c r="B1795" s="264"/>
      <c r="C1795" s="264"/>
      <c r="D1795" s="264"/>
      <c r="E1795" s="264"/>
      <c r="F1795" s="264"/>
      <c r="G1795" s="264"/>
      <c r="H1795" s="264"/>
      <c r="I1795" s="264"/>
      <c r="J1795" s="327"/>
      <c r="K1795" s="327"/>
      <c r="L1795" s="327"/>
      <c r="M1795" s="321"/>
      <c r="N1795" s="321"/>
      <c r="O1795" s="364"/>
      <c r="P1795" s="376"/>
      <c r="R1795" s="393"/>
      <c r="S1795" s="61" ph="1"/>
      <c r="U1795" s="229"/>
      <c r="V1795" s="264"/>
      <c r="W1795" s="199"/>
      <c r="X1795" s="264"/>
      <c r="Y1795" s="264"/>
      <c r="Z1795" s="386"/>
      <c r="AD1795" s="264"/>
      <c r="AE1795" s="264"/>
      <c r="AF1795" s="264"/>
      <c r="AG1795" s="264"/>
    </row>
    <row r="1796" spans="1:33" ht="26.25">
      <c r="A1796" s="264"/>
      <c r="B1796" s="264"/>
      <c r="C1796" s="264"/>
      <c r="D1796" s="264"/>
      <c r="E1796" s="264"/>
      <c r="F1796" s="264"/>
      <c r="G1796" s="264"/>
      <c r="H1796" s="264"/>
      <c r="I1796" s="264"/>
      <c r="J1796" s="327"/>
      <c r="K1796" s="327"/>
      <c r="L1796" s="327"/>
      <c r="M1796" s="321"/>
      <c r="N1796" s="321"/>
      <c r="O1796" s="364"/>
      <c r="P1796" s="376"/>
      <c r="R1796" s="393"/>
      <c r="S1796" s="61" ph="1"/>
      <c r="U1796" s="229"/>
      <c r="V1796" s="264"/>
      <c r="W1796" s="199"/>
      <c r="X1796" s="264"/>
      <c r="Y1796" s="264"/>
      <c r="Z1796" s="386"/>
      <c r="AD1796" s="264"/>
      <c r="AE1796" s="264"/>
      <c r="AF1796" s="264"/>
      <c r="AG1796" s="264"/>
    </row>
    <row r="1797" spans="1:33" ht="26.25">
      <c r="A1797" s="264"/>
      <c r="B1797" s="264"/>
      <c r="C1797" s="264"/>
      <c r="D1797" s="264"/>
      <c r="E1797" s="264"/>
      <c r="F1797" s="264"/>
      <c r="G1797" s="264"/>
      <c r="H1797" s="264"/>
      <c r="I1797" s="264"/>
      <c r="J1797" s="327"/>
      <c r="K1797" s="327"/>
      <c r="L1797" s="327"/>
      <c r="M1797" s="321"/>
      <c r="N1797" s="321"/>
      <c r="O1797" s="364"/>
      <c r="P1797" s="376"/>
      <c r="R1797" s="393"/>
      <c r="S1797" s="61" ph="1"/>
      <c r="U1797" s="229"/>
      <c r="V1797" s="264"/>
      <c r="W1797" s="199"/>
      <c r="X1797" s="264"/>
      <c r="Y1797" s="264"/>
      <c r="Z1797" s="386"/>
      <c r="AD1797" s="264"/>
      <c r="AE1797" s="264"/>
      <c r="AF1797" s="264"/>
      <c r="AG1797" s="264"/>
    </row>
    <row r="1798" spans="1:33" ht="26.25">
      <c r="A1798" s="264"/>
      <c r="B1798" s="264"/>
      <c r="C1798" s="264"/>
      <c r="D1798" s="264"/>
      <c r="E1798" s="264"/>
      <c r="F1798" s="264"/>
      <c r="G1798" s="264"/>
      <c r="H1798" s="264"/>
      <c r="I1798" s="264"/>
      <c r="J1798" s="327"/>
      <c r="K1798" s="327"/>
      <c r="L1798" s="327"/>
      <c r="M1798" s="321"/>
      <c r="N1798" s="321"/>
      <c r="O1798" s="364"/>
      <c r="P1798" s="376"/>
      <c r="R1798" s="393"/>
      <c r="S1798" s="61" ph="1"/>
      <c r="U1798" s="229"/>
      <c r="V1798" s="264"/>
      <c r="W1798" s="199"/>
      <c r="X1798" s="264"/>
      <c r="Y1798" s="264"/>
      <c r="Z1798" s="386"/>
      <c r="AD1798" s="264"/>
      <c r="AE1798" s="264"/>
      <c r="AF1798" s="264"/>
      <c r="AG1798" s="264"/>
    </row>
    <row r="1799" spans="1:33" ht="26.25">
      <c r="A1799" s="264"/>
      <c r="B1799" s="264"/>
      <c r="C1799" s="264"/>
      <c r="D1799" s="264"/>
      <c r="E1799" s="264"/>
      <c r="F1799" s="264"/>
      <c r="G1799" s="264"/>
      <c r="H1799" s="264"/>
      <c r="I1799" s="264"/>
      <c r="J1799" s="327"/>
      <c r="K1799" s="327"/>
      <c r="L1799" s="327"/>
      <c r="M1799" s="321"/>
      <c r="N1799" s="321"/>
      <c r="O1799" s="364"/>
      <c r="P1799" s="376"/>
      <c r="R1799" s="393"/>
      <c r="S1799" s="61" ph="1"/>
      <c r="U1799" s="229"/>
      <c r="V1799" s="264"/>
      <c r="W1799" s="199"/>
      <c r="X1799" s="264"/>
      <c r="Y1799" s="264"/>
      <c r="Z1799" s="386"/>
      <c r="AD1799" s="264"/>
      <c r="AE1799" s="264"/>
      <c r="AF1799" s="264"/>
      <c r="AG1799" s="264"/>
    </row>
    <row r="1800" spans="1:33" ht="26.25">
      <c r="A1800" s="264"/>
      <c r="B1800" s="264"/>
      <c r="C1800" s="264"/>
      <c r="D1800" s="264"/>
      <c r="E1800" s="264"/>
      <c r="F1800" s="264"/>
      <c r="G1800" s="264"/>
      <c r="H1800" s="264"/>
      <c r="I1800" s="264"/>
      <c r="J1800" s="327"/>
      <c r="K1800" s="327"/>
      <c r="L1800" s="327"/>
      <c r="M1800" s="321"/>
      <c r="N1800" s="321"/>
      <c r="O1800" s="364"/>
      <c r="P1800" s="376"/>
      <c r="R1800" s="393"/>
      <c r="S1800" s="61" ph="1"/>
      <c r="U1800" s="229"/>
      <c r="V1800" s="264"/>
      <c r="W1800" s="199"/>
      <c r="X1800" s="264"/>
      <c r="Y1800" s="264"/>
      <c r="Z1800" s="386"/>
      <c r="AD1800" s="264"/>
      <c r="AE1800" s="264"/>
      <c r="AF1800" s="264"/>
      <c r="AG1800" s="264"/>
    </row>
    <row r="1801" spans="1:33" ht="26.25">
      <c r="A1801" s="264"/>
      <c r="B1801" s="264"/>
      <c r="C1801" s="264"/>
      <c r="D1801" s="264"/>
      <c r="E1801" s="264"/>
      <c r="F1801" s="264"/>
      <c r="G1801" s="264"/>
      <c r="H1801" s="264"/>
      <c r="I1801" s="264"/>
      <c r="J1801" s="327"/>
      <c r="K1801" s="327"/>
      <c r="L1801" s="327"/>
      <c r="M1801" s="321"/>
      <c r="N1801" s="321"/>
      <c r="O1801" s="364"/>
      <c r="P1801" s="376"/>
      <c r="R1801" s="393"/>
      <c r="S1801" s="61" ph="1"/>
      <c r="U1801" s="229"/>
      <c r="V1801" s="264"/>
      <c r="W1801" s="199"/>
      <c r="X1801" s="264"/>
      <c r="Y1801" s="264"/>
      <c r="Z1801" s="386"/>
      <c r="AD1801" s="264"/>
      <c r="AE1801" s="264"/>
      <c r="AF1801" s="264"/>
      <c r="AG1801" s="264"/>
    </row>
    <row r="1802" spans="1:33" ht="26.25">
      <c r="A1802" s="264"/>
      <c r="B1802" s="264"/>
      <c r="C1802" s="264"/>
      <c r="D1802" s="264"/>
      <c r="E1802" s="264"/>
      <c r="F1802" s="264"/>
      <c r="G1802" s="264"/>
      <c r="H1802" s="264"/>
      <c r="I1802" s="264"/>
      <c r="J1802" s="327"/>
      <c r="K1802" s="327"/>
      <c r="L1802" s="327"/>
      <c r="M1802" s="321"/>
      <c r="N1802" s="321"/>
      <c r="O1802" s="364"/>
      <c r="P1802" s="376"/>
      <c r="R1802" s="393"/>
      <c r="S1802" s="61" ph="1"/>
      <c r="U1802" s="229"/>
      <c r="V1802" s="264"/>
      <c r="W1802" s="199"/>
      <c r="X1802" s="264"/>
      <c r="Y1802" s="264"/>
      <c r="Z1802" s="386"/>
      <c r="AD1802" s="264"/>
      <c r="AE1802" s="264"/>
      <c r="AF1802" s="264"/>
      <c r="AG1802" s="264"/>
    </row>
    <row r="1803" spans="1:33" ht="26.25">
      <c r="A1803" s="264"/>
      <c r="B1803" s="264"/>
      <c r="C1803" s="264"/>
      <c r="D1803" s="264"/>
      <c r="E1803" s="264"/>
      <c r="F1803" s="264"/>
      <c r="G1803" s="264"/>
      <c r="H1803" s="264"/>
      <c r="I1803" s="264"/>
      <c r="J1803" s="327"/>
      <c r="K1803" s="327"/>
      <c r="L1803" s="327"/>
      <c r="M1803" s="321"/>
      <c r="N1803" s="321"/>
      <c r="O1803" s="364"/>
      <c r="P1803" s="376"/>
      <c r="R1803" s="393"/>
      <c r="S1803" s="61" ph="1"/>
      <c r="U1803" s="229"/>
      <c r="V1803" s="264"/>
      <c r="W1803" s="199"/>
      <c r="X1803" s="264"/>
      <c r="Y1803" s="264"/>
      <c r="Z1803" s="386"/>
      <c r="AD1803" s="264"/>
      <c r="AE1803" s="264"/>
      <c r="AF1803" s="264"/>
      <c r="AG1803" s="264"/>
    </row>
    <row r="1804" spans="1:33" ht="26.25">
      <c r="A1804" s="264"/>
      <c r="B1804" s="264"/>
      <c r="C1804" s="264"/>
      <c r="D1804" s="264"/>
      <c r="E1804" s="264"/>
      <c r="F1804" s="264"/>
      <c r="G1804" s="264"/>
      <c r="H1804" s="264"/>
      <c r="I1804" s="264"/>
      <c r="J1804" s="327"/>
      <c r="K1804" s="327"/>
      <c r="L1804" s="327"/>
      <c r="M1804" s="321"/>
      <c r="N1804" s="321"/>
      <c r="O1804" s="364"/>
      <c r="P1804" s="376"/>
      <c r="R1804" s="393"/>
      <c r="S1804" s="61" ph="1"/>
      <c r="U1804" s="229"/>
      <c r="V1804" s="264"/>
      <c r="W1804" s="199"/>
      <c r="X1804" s="264"/>
      <c r="Y1804" s="264"/>
      <c r="Z1804" s="386"/>
      <c r="AD1804" s="264"/>
      <c r="AE1804" s="264"/>
      <c r="AF1804" s="264"/>
      <c r="AG1804" s="264"/>
    </row>
    <row r="1805" spans="1:33" ht="26.25">
      <c r="A1805" s="264"/>
      <c r="B1805" s="264"/>
      <c r="C1805" s="264"/>
      <c r="D1805" s="264"/>
      <c r="E1805" s="264"/>
      <c r="F1805" s="264"/>
      <c r="G1805" s="264"/>
      <c r="H1805" s="264"/>
      <c r="I1805" s="264"/>
      <c r="J1805" s="327"/>
      <c r="K1805" s="327"/>
      <c r="L1805" s="327"/>
      <c r="M1805" s="321"/>
      <c r="N1805" s="321"/>
      <c r="O1805" s="364"/>
      <c r="P1805" s="376"/>
      <c r="R1805" s="393"/>
      <c r="S1805" s="61" ph="1"/>
      <c r="U1805" s="229"/>
      <c r="V1805" s="264"/>
      <c r="W1805" s="199"/>
      <c r="X1805" s="264"/>
      <c r="Y1805" s="264"/>
      <c r="Z1805" s="386"/>
      <c r="AD1805" s="264"/>
      <c r="AE1805" s="264"/>
      <c r="AF1805" s="264"/>
      <c r="AG1805" s="264"/>
    </row>
    <row r="1806" spans="1:33" ht="26.25">
      <c r="A1806" s="264"/>
      <c r="B1806" s="264"/>
      <c r="C1806" s="264"/>
      <c r="D1806" s="264"/>
      <c r="E1806" s="264"/>
      <c r="F1806" s="264"/>
      <c r="G1806" s="264"/>
      <c r="H1806" s="264"/>
      <c r="I1806" s="264"/>
      <c r="J1806" s="327"/>
      <c r="K1806" s="327"/>
      <c r="L1806" s="327"/>
      <c r="M1806" s="321"/>
      <c r="N1806" s="321"/>
      <c r="O1806" s="364"/>
      <c r="P1806" s="376"/>
      <c r="R1806" s="393"/>
      <c r="S1806" s="61" ph="1"/>
      <c r="U1806" s="229"/>
      <c r="V1806" s="264"/>
      <c r="W1806" s="199"/>
      <c r="X1806" s="264"/>
      <c r="Y1806" s="264"/>
      <c r="Z1806" s="386"/>
      <c r="AD1806" s="264"/>
      <c r="AE1806" s="264"/>
      <c r="AF1806" s="264"/>
      <c r="AG1806" s="264"/>
    </row>
    <row r="1807" spans="1:33" ht="26.25">
      <c r="A1807" s="264"/>
      <c r="B1807" s="264"/>
      <c r="C1807" s="264"/>
      <c r="D1807" s="264"/>
      <c r="E1807" s="264"/>
      <c r="F1807" s="264"/>
      <c r="G1807" s="264"/>
      <c r="H1807" s="264"/>
      <c r="I1807" s="264"/>
      <c r="J1807" s="327"/>
      <c r="K1807" s="327"/>
      <c r="L1807" s="327"/>
      <c r="M1807" s="321"/>
      <c r="N1807" s="321"/>
      <c r="O1807" s="364"/>
      <c r="P1807" s="376"/>
      <c r="R1807" s="393"/>
      <c r="S1807" s="61" ph="1"/>
      <c r="U1807" s="229"/>
      <c r="V1807" s="264"/>
      <c r="W1807" s="199"/>
      <c r="X1807" s="264"/>
      <c r="Y1807" s="264"/>
      <c r="Z1807" s="386"/>
      <c r="AD1807" s="264"/>
      <c r="AE1807" s="264"/>
      <c r="AF1807" s="264"/>
      <c r="AG1807" s="264"/>
    </row>
    <row r="1808" spans="1:33" ht="26.25">
      <c r="A1808" s="264"/>
      <c r="B1808" s="264"/>
      <c r="C1808" s="264"/>
      <c r="D1808" s="264"/>
      <c r="E1808" s="264"/>
      <c r="F1808" s="264"/>
      <c r="G1808" s="264"/>
      <c r="H1808" s="264"/>
      <c r="I1808" s="264"/>
      <c r="J1808" s="327"/>
      <c r="K1808" s="327"/>
      <c r="L1808" s="327"/>
      <c r="M1808" s="321"/>
      <c r="N1808" s="321"/>
      <c r="O1808" s="364"/>
      <c r="P1808" s="376"/>
      <c r="R1808" s="393"/>
      <c r="S1808" s="61" ph="1"/>
      <c r="U1808" s="229"/>
      <c r="V1808" s="264"/>
      <c r="W1808" s="199"/>
      <c r="X1808" s="264"/>
      <c r="Y1808" s="264"/>
      <c r="Z1808" s="386"/>
      <c r="AD1808" s="264"/>
      <c r="AE1808" s="264"/>
      <c r="AF1808" s="264"/>
      <c r="AG1808" s="264"/>
    </row>
    <row r="1809" spans="1:33" ht="26.25">
      <c r="A1809" s="264"/>
      <c r="B1809" s="264"/>
      <c r="C1809" s="264"/>
      <c r="D1809" s="264"/>
      <c r="E1809" s="264"/>
      <c r="F1809" s="264"/>
      <c r="G1809" s="264"/>
      <c r="H1809" s="264"/>
      <c r="I1809" s="264"/>
      <c r="J1809" s="327"/>
      <c r="K1809" s="327"/>
      <c r="L1809" s="327"/>
      <c r="M1809" s="321"/>
      <c r="N1809" s="321"/>
      <c r="O1809" s="364"/>
      <c r="P1809" s="376"/>
      <c r="R1809" s="393"/>
      <c r="S1809" s="61" ph="1"/>
      <c r="U1809" s="229"/>
      <c r="V1809" s="264"/>
      <c r="W1809" s="199"/>
      <c r="X1809" s="264"/>
      <c r="Y1809" s="264"/>
      <c r="Z1809" s="386"/>
      <c r="AD1809" s="264"/>
      <c r="AE1809" s="264"/>
      <c r="AF1809" s="264"/>
      <c r="AG1809" s="264"/>
    </row>
    <row r="1810" spans="1:33" ht="26.25">
      <c r="A1810" s="264"/>
      <c r="B1810" s="264"/>
      <c r="C1810" s="264"/>
      <c r="D1810" s="264"/>
      <c r="E1810" s="264"/>
      <c r="F1810" s="264"/>
      <c r="G1810" s="264"/>
      <c r="H1810" s="264"/>
      <c r="I1810" s="264"/>
      <c r="J1810" s="327"/>
      <c r="K1810" s="327"/>
      <c r="L1810" s="327"/>
      <c r="M1810" s="321"/>
      <c r="N1810" s="321"/>
      <c r="O1810" s="364"/>
      <c r="P1810" s="376"/>
      <c r="R1810" s="393"/>
      <c r="S1810" s="61" ph="1"/>
      <c r="U1810" s="229"/>
      <c r="V1810" s="264"/>
      <c r="W1810" s="199"/>
      <c r="X1810" s="264"/>
      <c r="Y1810" s="264"/>
      <c r="Z1810" s="386"/>
      <c r="AD1810" s="264"/>
      <c r="AE1810" s="264"/>
      <c r="AF1810" s="264"/>
      <c r="AG1810" s="264"/>
    </row>
    <row r="1811" spans="1:33" ht="26.25">
      <c r="A1811" s="264"/>
      <c r="B1811" s="264"/>
      <c r="C1811" s="264"/>
      <c r="D1811" s="264"/>
      <c r="E1811" s="264"/>
      <c r="F1811" s="264"/>
      <c r="G1811" s="264"/>
      <c r="H1811" s="264"/>
      <c r="I1811" s="264"/>
      <c r="J1811" s="327"/>
      <c r="K1811" s="327"/>
      <c r="L1811" s="327"/>
      <c r="M1811" s="321"/>
      <c r="N1811" s="321"/>
      <c r="O1811" s="364"/>
      <c r="P1811" s="376"/>
      <c r="R1811" s="393"/>
      <c r="S1811" s="61" ph="1"/>
      <c r="U1811" s="229"/>
      <c r="V1811" s="264"/>
      <c r="W1811" s="199"/>
      <c r="X1811" s="264"/>
      <c r="Y1811" s="264"/>
      <c r="Z1811" s="386"/>
      <c r="AD1811" s="264"/>
      <c r="AE1811" s="264"/>
      <c r="AF1811" s="264"/>
      <c r="AG1811" s="264"/>
    </row>
    <row r="1812" spans="1:33" ht="26.25">
      <c r="A1812" s="264"/>
      <c r="B1812" s="264"/>
      <c r="C1812" s="264"/>
      <c r="D1812" s="264"/>
      <c r="E1812" s="264"/>
      <c r="F1812" s="264"/>
      <c r="G1812" s="264"/>
      <c r="H1812" s="264"/>
      <c r="I1812" s="264"/>
      <c r="J1812" s="327"/>
      <c r="K1812" s="327"/>
      <c r="L1812" s="327"/>
      <c r="M1812" s="321"/>
      <c r="N1812" s="321"/>
      <c r="O1812" s="364"/>
      <c r="P1812" s="376"/>
      <c r="R1812" s="393"/>
      <c r="S1812" s="61" ph="1"/>
      <c r="U1812" s="229"/>
      <c r="V1812" s="264"/>
      <c r="W1812" s="199"/>
      <c r="X1812" s="264"/>
      <c r="Y1812" s="264"/>
      <c r="Z1812" s="386"/>
      <c r="AD1812" s="264"/>
      <c r="AE1812" s="264"/>
      <c r="AF1812" s="264"/>
      <c r="AG1812" s="264"/>
    </row>
    <row r="1813" spans="1:33" ht="26.25">
      <c r="A1813" s="264"/>
      <c r="B1813" s="264"/>
      <c r="C1813" s="264"/>
      <c r="D1813" s="264"/>
      <c r="E1813" s="264"/>
      <c r="F1813" s="264"/>
      <c r="G1813" s="264"/>
      <c r="H1813" s="264"/>
      <c r="I1813" s="264"/>
      <c r="J1813" s="327"/>
      <c r="K1813" s="327"/>
      <c r="L1813" s="327"/>
      <c r="M1813" s="321"/>
      <c r="N1813" s="321"/>
      <c r="O1813" s="364"/>
      <c r="P1813" s="376"/>
      <c r="R1813" s="393"/>
      <c r="S1813" s="61" ph="1"/>
      <c r="U1813" s="229"/>
      <c r="V1813" s="264"/>
      <c r="W1813" s="199"/>
      <c r="X1813" s="264"/>
      <c r="Y1813" s="264"/>
      <c r="Z1813" s="386"/>
      <c r="AD1813" s="264"/>
      <c r="AE1813" s="264"/>
      <c r="AF1813" s="264"/>
      <c r="AG1813" s="264"/>
    </row>
    <row r="1814" spans="1:33" ht="26.25">
      <c r="A1814" s="264"/>
      <c r="B1814" s="264"/>
      <c r="C1814" s="264"/>
      <c r="D1814" s="264"/>
      <c r="E1814" s="264"/>
      <c r="F1814" s="264"/>
      <c r="G1814" s="264"/>
      <c r="H1814" s="264"/>
      <c r="I1814" s="264"/>
      <c r="J1814" s="327"/>
      <c r="K1814" s="327"/>
      <c r="L1814" s="327"/>
      <c r="M1814" s="321"/>
      <c r="N1814" s="321"/>
      <c r="O1814" s="364"/>
      <c r="P1814" s="376"/>
      <c r="R1814" s="393"/>
      <c r="S1814" s="61" ph="1"/>
      <c r="U1814" s="229"/>
      <c r="V1814" s="264"/>
      <c r="W1814" s="199"/>
      <c r="X1814" s="264"/>
      <c r="Y1814" s="264"/>
      <c r="Z1814" s="386"/>
      <c r="AD1814" s="264"/>
      <c r="AE1814" s="264"/>
      <c r="AF1814" s="264"/>
      <c r="AG1814" s="264"/>
    </row>
    <row r="1815" spans="1:33" ht="26.25">
      <c r="A1815" s="264"/>
      <c r="B1815" s="264"/>
      <c r="C1815" s="264"/>
      <c r="D1815" s="264"/>
      <c r="E1815" s="264"/>
      <c r="F1815" s="264"/>
      <c r="G1815" s="264"/>
      <c r="H1815" s="264"/>
      <c r="I1815" s="264"/>
      <c r="J1815" s="327"/>
      <c r="K1815" s="327"/>
      <c r="L1815" s="327"/>
      <c r="M1815" s="321"/>
      <c r="N1815" s="321"/>
      <c r="O1815" s="364"/>
      <c r="P1815" s="376"/>
      <c r="R1815" s="393"/>
      <c r="S1815" s="61" ph="1"/>
      <c r="U1815" s="229"/>
      <c r="V1815" s="264"/>
      <c r="W1815" s="199"/>
      <c r="X1815" s="264"/>
      <c r="Y1815" s="264"/>
      <c r="Z1815" s="386"/>
      <c r="AD1815" s="264"/>
      <c r="AE1815" s="264"/>
      <c r="AF1815" s="264"/>
      <c r="AG1815" s="264"/>
    </row>
    <row r="1816" spans="1:33" ht="26.25">
      <c r="A1816" s="264"/>
      <c r="B1816" s="264"/>
      <c r="C1816" s="264"/>
      <c r="D1816" s="264"/>
      <c r="E1816" s="264"/>
      <c r="F1816" s="264"/>
      <c r="G1816" s="264"/>
      <c r="H1816" s="264"/>
      <c r="I1816" s="264"/>
      <c r="J1816" s="327"/>
      <c r="K1816" s="327"/>
      <c r="L1816" s="327"/>
      <c r="M1816" s="321"/>
      <c r="N1816" s="321"/>
      <c r="O1816" s="364"/>
      <c r="P1816" s="376"/>
      <c r="R1816" s="393"/>
      <c r="S1816" s="61" ph="1"/>
      <c r="U1816" s="229"/>
      <c r="V1816" s="264"/>
      <c r="W1816" s="199"/>
      <c r="X1816" s="264"/>
      <c r="Y1816" s="264"/>
      <c r="Z1816" s="386"/>
      <c r="AD1816" s="264"/>
      <c r="AE1816" s="264"/>
      <c r="AF1816" s="264"/>
      <c r="AG1816" s="264"/>
    </row>
    <row r="1817" spans="1:33" ht="26.25">
      <c r="A1817" s="264"/>
      <c r="B1817" s="264"/>
      <c r="C1817" s="264"/>
      <c r="D1817" s="264"/>
      <c r="E1817" s="264"/>
      <c r="F1817" s="264"/>
      <c r="G1817" s="264"/>
      <c r="H1817" s="264"/>
      <c r="I1817" s="264"/>
      <c r="J1817" s="327"/>
      <c r="K1817" s="327"/>
      <c r="L1817" s="327"/>
      <c r="M1817" s="321"/>
      <c r="N1817" s="321"/>
      <c r="O1817" s="364"/>
      <c r="P1817" s="376"/>
      <c r="R1817" s="393"/>
      <c r="S1817" s="61" ph="1"/>
      <c r="U1817" s="229"/>
      <c r="V1817" s="264"/>
      <c r="W1817" s="199"/>
      <c r="X1817" s="264"/>
      <c r="Y1817" s="264"/>
      <c r="Z1817" s="386"/>
      <c r="AD1817" s="264"/>
      <c r="AE1817" s="264"/>
      <c r="AF1817" s="264"/>
      <c r="AG1817" s="264"/>
    </row>
    <row r="1818" spans="1:33" ht="26.25">
      <c r="A1818" s="264"/>
      <c r="B1818" s="264"/>
      <c r="C1818" s="264"/>
      <c r="D1818" s="264"/>
      <c r="E1818" s="264"/>
      <c r="F1818" s="264"/>
      <c r="G1818" s="264"/>
      <c r="H1818" s="264"/>
      <c r="I1818" s="264"/>
      <c r="J1818" s="327"/>
      <c r="K1818" s="327"/>
      <c r="L1818" s="327"/>
      <c r="M1818" s="321"/>
      <c r="N1818" s="321"/>
      <c r="O1818" s="364"/>
      <c r="P1818" s="376"/>
      <c r="R1818" s="393"/>
      <c r="S1818" s="61" ph="1"/>
      <c r="U1818" s="229"/>
      <c r="V1818" s="264"/>
      <c r="W1818" s="199"/>
      <c r="X1818" s="264"/>
      <c r="Y1818" s="264"/>
      <c r="Z1818" s="386"/>
      <c r="AD1818" s="264"/>
      <c r="AE1818" s="264"/>
      <c r="AF1818" s="264"/>
      <c r="AG1818" s="264"/>
    </row>
    <row r="1819" spans="1:33" ht="26.25">
      <c r="A1819" s="264"/>
      <c r="B1819" s="264"/>
      <c r="C1819" s="264"/>
      <c r="D1819" s="264"/>
      <c r="E1819" s="264"/>
      <c r="F1819" s="264"/>
      <c r="G1819" s="264"/>
      <c r="H1819" s="264"/>
      <c r="I1819" s="264"/>
      <c r="J1819" s="327"/>
      <c r="K1819" s="327"/>
      <c r="L1819" s="327"/>
      <c r="M1819" s="321"/>
      <c r="N1819" s="321"/>
      <c r="O1819" s="364"/>
      <c r="P1819" s="376"/>
      <c r="R1819" s="393"/>
      <c r="S1819" s="61" ph="1"/>
      <c r="U1819" s="229"/>
      <c r="V1819" s="264"/>
      <c r="W1819" s="199"/>
      <c r="X1819" s="264"/>
      <c r="Y1819" s="264"/>
      <c r="Z1819" s="386"/>
      <c r="AD1819" s="264"/>
      <c r="AE1819" s="264"/>
      <c r="AF1819" s="264"/>
      <c r="AG1819" s="264"/>
    </row>
    <row r="1820" spans="1:33" ht="26.25">
      <c r="A1820" s="264"/>
      <c r="B1820" s="264"/>
      <c r="C1820" s="264"/>
      <c r="D1820" s="264"/>
      <c r="E1820" s="264"/>
      <c r="F1820" s="264"/>
      <c r="G1820" s="264"/>
      <c r="H1820" s="264"/>
      <c r="I1820" s="264"/>
      <c r="J1820" s="327"/>
      <c r="K1820" s="327"/>
      <c r="L1820" s="327"/>
      <c r="M1820" s="321"/>
      <c r="N1820" s="321"/>
      <c r="O1820" s="364"/>
      <c r="P1820" s="376"/>
      <c r="R1820" s="393"/>
      <c r="S1820" s="61" ph="1"/>
      <c r="U1820" s="229"/>
      <c r="V1820" s="264"/>
      <c r="W1820" s="199"/>
      <c r="X1820" s="264"/>
      <c r="Y1820" s="264"/>
      <c r="Z1820" s="386"/>
      <c r="AD1820" s="264"/>
      <c r="AE1820" s="264"/>
      <c r="AF1820" s="264"/>
      <c r="AG1820" s="264"/>
    </row>
    <row r="1821" spans="1:33" ht="26.25">
      <c r="A1821" s="264"/>
      <c r="B1821" s="264"/>
      <c r="C1821" s="264"/>
      <c r="D1821" s="264"/>
      <c r="E1821" s="264"/>
      <c r="F1821" s="264"/>
      <c r="G1821" s="264"/>
      <c r="H1821" s="264"/>
      <c r="I1821" s="264"/>
      <c r="J1821" s="327"/>
      <c r="K1821" s="327"/>
      <c r="L1821" s="327"/>
      <c r="M1821" s="321"/>
      <c r="N1821" s="321"/>
      <c r="O1821" s="364"/>
      <c r="P1821" s="376"/>
      <c r="R1821" s="393"/>
      <c r="S1821" s="61" ph="1"/>
      <c r="U1821" s="229"/>
      <c r="V1821" s="264"/>
      <c r="W1821" s="199"/>
      <c r="X1821" s="264"/>
      <c r="Y1821" s="264"/>
      <c r="Z1821" s="386"/>
      <c r="AD1821" s="264"/>
      <c r="AE1821" s="264"/>
      <c r="AF1821" s="264"/>
      <c r="AG1821" s="264"/>
    </row>
    <row r="1822" spans="1:33" ht="26.25">
      <c r="A1822" s="264"/>
      <c r="B1822" s="264"/>
      <c r="C1822" s="264"/>
      <c r="D1822" s="264"/>
      <c r="E1822" s="264"/>
      <c r="F1822" s="264"/>
      <c r="G1822" s="264"/>
      <c r="H1822" s="264"/>
      <c r="I1822" s="264"/>
      <c r="J1822" s="327"/>
      <c r="K1822" s="327"/>
      <c r="L1822" s="327"/>
      <c r="M1822" s="321"/>
      <c r="N1822" s="321"/>
      <c r="O1822" s="364"/>
      <c r="P1822" s="376"/>
      <c r="R1822" s="393"/>
      <c r="S1822" s="61" ph="1"/>
      <c r="U1822" s="229"/>
      <c r="V1822" s="264"/>
      <c r="W1822" s="199"/>
      <c r="X1822" s="264"/>
      <c r="Y1822" s="264"/>
      <c r="Z1822" s="386"/>
      <c r="AD1822" s="264"/>
      <c r="AE1822" s="264"/>
      <c r="AF1822" s="264"/>
      <c r="AG1822" s="264"/>
    </row>
    <row r="1823" spans="1:33" ht="26.25">
      <c r="A1823" s="264"/>
      <c r="B1823" s="264"/>
      <c r="C1823" s="264"/>
      <c r="D1823" s="264"/>
      <c r="E1823" s="264"/>
      <c r="F1823" s="264"/>
      <c r="G1823" s="264"/>
      <c r="H1823" s="264"/>
      <c r="I1823" s="264"/>
      <c r="J1823" s="327"/>
      <c r="K1823" s="327"/>
      <c r="L1823" s="327"/>
      <c r="M1823" s="321"/>
      <c r="N1823" s="321"/>
      <c r="O1823" s="364"/>
      <c r="P1823" s="376"/>
      <c r="R1823" s="393"/>
      <c r="S1823" s="61" ph="1"/>
      <c r="U1823" s="229"/>
      <c r="V1823" s="264"/>
      <c r="W1823" s="199"/>
      <c r="X1823" s="264"/>
      <c r="Y1823" s="264"/>
      <c r="Z1823" s="386"/>
      <c r="AD1823" s="264"/>
      <c r="AE1823" s="264"/>
      <c r="AF1823" s="264"/>
      <c r="AG1823" s="264"/>
    </row>
    <row r="1824" spans="1:33" ht="26.25">
      <c r="A1824" s="264"/>
      <c r="B1824" s="264"/>
      <c r="C1824" s="264"/>
      <c r="D1824" s="264"/>
      <c r="E1824" s="264"/>
      <c r="F1824" s="264"/>
      <c r="G1824" s="264"/>
      <c r="H1824" s="264"/>
      <c r="I1824" s="264"/>
      <c r="J1824" s="327"/>
      <c r="K1824" s="327"/>
      <c r="L1824" s="327"/>
      <c r="M1824" s="321"/>
      <c r="N1824" s="321"/>
      <c r="O1824" s="364"/>
      <c r="P1824" s="376"/>
      <c r="R1824" s="393"/>
      <c r="S1824" s="61" ph="1"/>
      <c r="U1824" s="229"/>
      <c r="V1824" s="264"/>
      <c r="W1824" s="199"/>
      <c r="X1824" s="264"/>
      <c r="Y1824" s="264"/>
      <c r="Z1824" s="386"/>
      <c r="AD1824" s="264"/>
      <c r="AE1824" s="264"/>
      <c r="AF1824" s="264"/>
      <c r="AG1824" s="264"/>
    </row>
    <row r="1825" spans="1:33" ht="26.25">
      <c r="A1825" s="264"/>
      <c r="B1825" s="264"/>
      <c r="C1825" s="264"/>
      <c r="D1825" s="264"/>
      <c r="E1825" s="264"/>
      <c r="F1825" s="264"/>
      <c r="G1825" s="264"/>
      <c r="H1825" s="264"/>
      <c r="I1825" s="264"/>
      <c r="J1825" s="327"/>
      <c r="K1825" s="327"/>
      <c r="L1825" s="327"/>
      <c r="M1825" s="321"/>
      <c r="N1825" s="321"/>
      <c r="O1825" s="364"/>
      <c r="P1825" s="376"/>
      <c r="R1825" s="393"/>
      <c r="S1825" s="61" ph="1"/>
      <c r="U1825" s="229"/>
      <c r="V1825" s="264"/>
      <c r="W1825" s="199"/>
      <c r="X1825" s="264"/>
      <c r="Y1825" s="264"/>
      <c r="Z1825" s="386"/>
      <c r="AD1825" s="264"/>
      <c r="AE1825" s="264"/>
      <c r="AF1825" s="264"/>
      <c r="AG1825" s="264"/>
    </row>
    <row r="1826" spans="1:33" ht="26.25">
      <c r="A1826" s="264"/>
      <c r="B1826" s="264"/>
      <c r="C1826" s="264"/>
      <c r="D1826" s="264"/>
      <c r="E1826" s="264"/>
      <c r="F1826" s="264"/>
      <c r="G1826" s="264"/>
      <c r="H1826" s="264"/>
      <c r="I1826" s="264"/>
      <c r="J1826" s="327"/>
      <c r="K1826" s="327"/>
      <c r="L1826" s="327"/>
      <c r="M1826" s="321"/>
      <c r="N1826" s="321"/>
      <c r="O1826" s="364"/>
      <c r="P1826" s="376"/>
      <c r="R1826" s="393"/>
      <c r="S1826" s="61" ph="1"/>
      <c r="U1826" s="229"/>
      <c r="V1826" s="264"/>
      <c r="W1826" s="199"/>
      <c r="X1826" s="264"/>
      <c r="Y1826" s="264"/>
      <c r="Z1826" s="386"/>
      <c r="AD1826" s="264"/>
      <c r="AE1826" s="264"/>
      <c r="AF1826" s="264"/>
      <c r="AG1826" s="264"/>
    </row>
    <row r="1827" spans="1:33" ht="26.25">
      <c r="A1827" s="264"/>
      <c r="B1827" s="264"/>
      <c r="C1827" s="264"/>
      <c r="D1827" s="264"/>
      <c r="E1827" s="264"/>
      <c r="F1827" s="264"/>
      <c r="G1827" s="264"/>
      <c r="H1827" s="264"/>
      <c r="I1827" s="264"/>
      <c r="J1827" s="327"/>
      <c r="K1827" s="327"/>
      <c r="L1827" s="327"/>
      <c r="M1827" s="321"/>
      <c r="N1827" s="321"/>
      <c r="O1827" s="364"/>
      <c r="P1827" s="376"/>
      <c r="R1827" s="393"/>
      <c r="S1827" s="61" ph="1"/>
      <c r="U1827" s="229"/>
      <c r="V1827" s="264"/>
      <c r="W1827" s="199"/>
      <c r="X1827" s="264"/>
      <c r="Y1827" s="264"/>
      <c r="Z1827" s="386"/>
      <c r="AD1827" s="264"/>
      <c r="AE1827" s="264"/>
      <c r="AF1827" s="264"/>
      <c r="AG1827" s="264"/>
    </row>
    <row r="1828" spans="1:33" ht="26.25">
      <c r="A1828" s="264"/>
      <c r="B1828" s="264"/>
      <c r="C1828" s="264"/>
      <c r="D1828" s="264"/>
      <c r="E1828" s="264"/>
      <c r="F1828" s="264"/>
      <c r="G1828" s="264"/>
      <c r="H1828" s="264"/>
      <c r="I1828" s="264"/>
      <c r="J1828" s="327"/>
      <c r="K1828" s="327"/>
      <c r="L1828" s="327"/>
      <c r="M1828" s="321"/>
      <c r="N1828" s="321"/>
      <c r="O1828" s="364"/>
      <c r="P1828" s="376"/>
      <c r="R1828" s="393"/>
      <c r="S1828" s="61" ph="1"/>
      <c r="U1828" s="229"/>
      <c r="V1828" s="264"/>
      <c r="W1828" s="199"/>
      <c r="X1828" s="264"/>
      <c r="Y1828" s="264"/>
      <c r="Z1828" s="386"/>
      <c r="AD1828" s="264"/>
      <c r="AE1828" s="264"/>
      <c r="AF1828" s="264"/>
      <c r="AG1828" s="264"/>
    </row>
    <row r="1829" spans="1:33" ht="26.25">
      <c r="A1829" s="264"/>
      <c r="B1829" s="264"/>
      <c r="C1829" s="264"/>
      <c r="D1829" s="264"/>
      <c r="E1829" s="264"/>
      <c r="F1829" s="264"/>
      <c r="G1829" s="264"/>
      <c r="H1829" s="264"/>
      <c r="I1829" s="264"/>
      <c r="J1829" s="327"/>
      <c r="K1829" s="327"/>
      <c r="L1829" s="327"/>
      <c r="M1829" s="321"/>
      <c r="N1829" s="321"/>
      <c r="O1829" s="364"/>
      <c r="P1829" s="376"/>
      <c r="R1829" s="393"/>
      <c r="S1829" s="61" ph="1"/>
      <c r="U1829" s="229"/>
      <c r="V1829" s="264"/>
      <c r="W1829" s="199"/>
      <c r="X1829" s="264"/>
      <c r="Y1829" s="264"/>
      <c r="Z1829" s="386"/>
      <c r="AD1829" s="264"/>
      <c r="AE1829" s="264"/>
      <c r="AF1829" s="264"/>
      <c r="AG1829" s="264"/>
    </row>
    <row r="1830" spans="1:33" ht="26.25">
      <c r="A1830" s="264"/>
      <c r="B1830" s="264"/>
      <c r="C1830" s="264"/>
      <c r="D1830" s="264"/>
      <c r="E1830" s="264"/>
      <c r="F1830" s="264"/>
      <c r="G1830" s="264"/>
      <c r="H1830" s="264"/>
      <c r="I1830" s="264"/>
      <c r="J1830" s="327"/>
      <c r="K1830" s="327"/>
      <c r="L1830" s="327"/>
      <c r="M1830" s="321"/>
      <c r="N1830" s="321"/>
      <c r="O1830" s="364"/>
      <c r="P1830" s="376"/>
      <c r="R1830" s="393"/>
      <c r="S1830" s="61" ph="1"/>
      <c r="U1830" s="229"/>
      <c r="V1830" s="264"/>
      <c r="W1830" s="199"/>
      <c r="X1830" s="264"/>
      <c r="Y1830" s="264"/>
      <c r="Z1830" s="386"/>
      <c r="AD1830" s="264"/>
      <c r="AE1830" s="264"/>
      <c r="AF1830" s="264"/>
      <c r="AG1830" s="264"/>
    </row>
    <row r="1831" spans="1:33" ht="26.25">
      <c r="A1831" s="264"/>
      <c r="B1831" s="264"/>
      <c r="C1831" s="264"/>
      <c r="D1831" s="264"/>
      <c r="E1831" s="264"/>
      <c r="F1831" s="264"/>
      <c r="G1831" s="264"/>
      <c r="H1831" s="264"/>
      <c r="I1831" s="264"/>
      <c r="J1831" s="327"/>
      <c r="K1831" s="327"/>
      <c r="L1831" s="327"/>
      <c r="M1831" s="321"/>
      <c r="N1831" s="321"/>
      <c r="O1831" s="364"/>
      <c r="P1831" s="376"/>
      <c r="R1831" s="393"/>
      <c r="S1831" s="61" ph="1"/>
      <c r="U1831" s="229"/>
      <c r="V1831" s="264"/>
      <c r="W1831" s="199"/>
      <c r="X1831" s="264"/>
      <c r="Y1831" s="264"/>
      <c r="Z1831" s="386"/>
      <c r="AD1831" s="264"/>
      <c r="AE1831" s="264"/>
      <c r="AF1831" s="264"/>
      <c r="AG1831" s="264"/>
    </row>
    <row r="1832" spans="1:33" ht="26.25">
      <c r="A1832" s="264"/>
      <c r="B1832" s="264"/>
      <c r="C1832" s="264"/>
      <c r="D1832" s="264"/>
      <c r="E1832" s="264"/>
      <c r="F1832" s="264"/>
      <c r="G1832" s="264"/>
      <c r="H1832" s="264"/>
      <c r="I1832" s="264"/>
      <c r="J1832" s="327"/>
      <c r="K1832" s="327"/>
      <c r="L1832" s="327"/>
      <c r="M1832" s="321"/>
      <c r="N1832" s="321"/>
      <c r="O1832" s="364"/>
      <c r="P1832" s="376"/>
      <c r="R1832" s="393"/>
      <c r="S1832" s="61" ph="1"/>
      <c r="U1832" s="229"/>
      <c r="V1832" s="264"/>
      <c r="W1832" s="199"/>
      <c r="X1832" s="264"/>
      <c r="Y1832" s="264"/>
      <c r="Z1832" s="386"/>
      <c r="AD1832" s="264"/>
      <c r="AE1832" s="264"/>
      <c r="AF1832" s="264"/>
      <c r="AG1832" s="264"/>
    </row>
    <row r="1833" spans="1:33" ht="26.25">
      <c r="A1833" s="264"/>
      <c r="B1833" s="264"/>
      <c r="C1833" s="264"/>
      <c r="D1833" s="264"/>
      <c r="E1833" s="264"/>
      <c r="F1833" s="264"/>
      <c r="G1833" s="264"/>
      <c r="H1833" s="264"/>
      <c r="I1833" s="264"/>
      <c r="J1833" s="327"/>
      <c r="K1833" s="327"/>
      <c r="L1833" s="327"/>
      <c r="M1833" s="321"/>
      <c r="N1833" s="321"/>
      <c r="O1833" s="364"/>
      <c r="P1833" s="376"/>
      <c r="R1833" s="393"/>
      <c r="S1833" s="61" ph="1"/>
      <c r="U1833" s="229"/>
      <c r="V1833" s="264"/>
      <c r="W1833" s="199"/>
      <c r="X1833" s="264"/>
      <c r="Y1833" s="264"/>
      <c r="Z1833" s="386"/>
      <c r="AD1833" s="264"/>
      <c r="AE1833" s="264"/>
      <c r="AF1833" s="264"/>
      <c r="AG1833" s="264"/>
    </row>
    <row r="1834" spans="1:33" ht="26.25">
      <c r="A1834" s="264"/>
      <c r="B1834" s="264"/>
      <c r="C1834" s="264"/>
      <c r="D1834" s="264"/>
      <c r="E1834" s="264"/>
      <c r="F1834" s="264"/>
      <c r="G1834" s="264"/>
      <c r="H1834" s="264"/>
      <c r="I1834" s="264"/>
      <c r="J1834" s="327"/>
      <c r="K1834" s="327"/>
      <c r="L1834" s="327"/>
      <c r="M1834" s="321"/>
      <c r="N1834" s="321"/>
      <c r="O1834" s="364"/>
      <c r="P1834" s="376"/>
      <c r="R1834" s="393"/>
      <c r="S1834" s="61" ph="1"/>
      <c r="U1834" s="229"/>
      <c r="V1834" s="264"/>
      <c r="W1834" s="199"/>
      <c r="X1834" s="264"/>
      <c r="Y1834" s="264"/>
      <c r="Z1834" s="386"/>
      <c r="AD1834" s="264"/>
      <c r="AE1834" s="264"/>
      <c r="AF1834" s="264"/>
      <c r="AG1834" s="264"/>
    </row>
    <row r="1835" spans="1:33" ht="26.25">
      <c r="A1835" s="264"/>
      <c r="B1835" s="264"/>
      <c r="C1835" s="264"/>
      <c r="D1835" s="264"/>
      <c r="E1835" s="264"/>
      <c r="F1835" s="264"/>
      <c r="G1835" s="264"/>
      <c r="H1835" s="264"/>
      <c r="I1835" s="264"/>
      <c r="J1835" s="327"/>
      <c r="K1835" s="327"/>
      <c r="L1835" s="327"/>
      <c r="M1835" s="321"/>
      <c r="N1835" s="321"/>
      <c r="O1835" s="364"/>
      <c r="P1835" s="376"/>
      <c r="R1835" s="393"/>
      <c r="S1835" s="61" ph="1"/>
      <c r="U1835" s="229"/>
      <c r="V1835" s="264"/>
      <c r="W1835" s="199"/>
      <c r="X1835" s="264"/>
      <c r="Y1835" s="264"/>
      <c r="Z1835" s="386"/>
      <c r="AD1835" s="264"/>
      <c r="AE1835" s="264"/>
      <c r="AF1835" s="264"/>
      <c r="AG1835" s="264"/>
    </row>
    <row r="1836" spans="1:33" ht="26.25">
      <c r="A1836" s="264"/>
      <c r="B1836" s="264"/>
      <c r="C1836" s="264"/>
      <c r="D1836" s="264"/>
      <c r="E1836" s="264"/>
      <c r="F1836" s="264"/>
      <c r="G1836" s="264"/>
      <c r="H1836" s="264"/>
      <c r="I1836" s="264"/>
      <c r="J1836" s="327"/>
      <c r="K1836" s="327"/>
      <c r="L1836" s="327"/>
      <c r="M1836" s="321"/>
      <c r="N1836" s="321"/>
      <c r="O1836" s="364"/>
      <c r="P1836" s="376"/>
      <c r="R1836" s="393"/>
      <c r="S1836" s="61" ph="1"/>
      <c r="U1836" s="229"/>
      <c r="V1836" s="264"/>
      <c r="W1836" s="199"/>
      <c r="X1836" s="264"/>
      <c r="Y1836" s="264"/>
      <c r="Z1836" s="386"/>
      <c r="AD1836" s="264"/>
      <c r="AE1836" s="264"/>
      <c r="AF1836" s="264"/>
      <c r="AG1836" s="264"/>
    </row>
    <row r="1837" spans="1:33" ht="26.25">
      <c r="A1837" s="264"/>
      <c r="B1837" s="264"/>
      <c r="C1837" s="264"/>
      <c r="D1837" s="264"/>
      <c r="E1837" s="264"/>
      <c r="F1837" s="264"/>
      <c r="G1837" s="264"/>
      <c r="H1837" s="264"/>
      <c r="I1837" s="264"/>
      <c r="J1837" s="327"/>
      <c r="K1837" s="327"/>
      <c r="L1837" s="327"/>
      <c r="M1837" s="321"/>
      <c r="N1837" s="321"/>
      <c r="O1837" s="364"/>
      <c r="P1837" s="376"/>
      <c r="R1837" s="393"/>
      <c r="S1837" s="61" ph="1"/>
      <c r="U1837" s="229"/>
      <c r="V1837" s="264"/>
      <c r="W1837" s="199"/>
      <c r="X1837" s="264"/>
      <c r="Y1837" s="264"/>
      <c r="Z1837" s="386"/>
      <c r="AD1837" s="264"/>
      <c r="AE1837" s="264"/>
      <c r="AF1837" s="264"/>
      <c r="AG1837" s="264"/>
    </row>
    <row r="1838" spans="1:33" ht="26.25">
      <c r="A1838" s="264"/>
      <c r="B1838" s="264"/>
      <c r="C1838" s="264"/>
      <c r="D1838" s="264"/>
      <c r="E1838" s="264"/>
      <c r="F1838" s="264"/>
      <c r="G1838" s="264"/>
      <c r="H1838" s="264"/>
      <c r="I1838" s="264"/>
      <c r="J1838" s="327"/>
      <c r="K1838" s="327"/>
      <c r="L1838" s="327"/>
      <c r="M1838" s="321"/>
      <c r="N1838" s="321"/>
      <c r="O1838" s="364"/>
      <c r="P1838" s="376"/>
      <c r="R1838" s="393"/>
      <c r="S1838" s="61" ph="1"/>
      <c r="U1838" s="229"/>
      <c r="V1838" s="264"/>
      <c r="W1838" s="199"/>
      <c r="X1838" s="264"/>
      <c r="Y1838" s="264"/>
      <c r="Z1838" s="386"/>
      <c r="AD1838" s="264"/>
      <c r="AE1838" s="264"/>
      <c r="AF1838" s="264"/>
      <c r="AG1838" s="264"/>
    </row>
    <row r="1839" spans="1:33" ht="26.25">
      <c r="A1839" s="264"/>
      <c r="B1839" s="264"/>
      <c r="C1839" s="264"/>
      <c r="D1839" s="264"/>
      <c r="E1839" s="264"/>
      <c r="F1839" s="264"/>
      <c r="G1839" s="264"/>
      <c r="H1839" s="264"/>
      <c r="I1839" s="264"/>
      <c r="J1839" s="327"/>
      <c r="K1839" s="327"/>
      <c r="L1839" s="327"/>
      <c r="M1839" s="321"/>
      <c r="N1839" s="321"/>
      <c r="O1839" s="364"/>
      <c r="P1839" s="376"/>
      <c r="R1839" s="393"/>
      <c r="S1839" s="61" ph="1"/>
      <c r="U1839" s="229"/>
      <c r="V1839" s="264"/>
      <c r="W1839" s="199"/>
      <c r="X1839" s="264"/>
      <c r="Y1839" s="264"/>
      <c r="Z1839" s="386"/>
      <c r="AD1839" s="264"/>
      <c r="AE1839" s="264"/>
      <c r="AF1839" s="264"/>
      <c r="AG1839" s="264"/>
    </row>
    <row r="1840" spans="1:33" ht="26.25">
      <c r="A1840" s="264"/>
      <c r="B1840" s="264"/>
      <c r="C1840" s="264"/>
      <c r="D1840" s="264"/>
      <c r="E1840" s="264"/>
      <c r="F1840" s="264"/>
      <c r="G1840" s="264"/>
      <c r="H1840" s="264"/>
      <c r="I1840" s="264"/>
      <c r="J1840" s="327"/>
      <c r="K1840" s="327"/>
      <c r="L1840" s="327"/>
      <c r="M1840" s="321"/>
      <c r="N1840" s="321"/>
      <c r="O1840" s="364"/>
      <c r="P1840" s="376"/>
      <c r="R1840" s="393"/>
      <c r="S1840" s="61" ph="1"/>
      <c r="U1840" s="229"/>
      <c r="V1840" s="264"/>
      <c r="W1840" s="199"/>
      <c r="X1840" s="264"/>
      <c r="Y1840" s="264"/>
      <c r="Z1840" s="386"/>
      <c r="AD1840" s="264"/>
      <c r="AE1840" s="264"/>
      <c r="AF1840" s="264"/>
      <c r="AG1840" s="264"/>
    </row>
    <row r="1841" spans="1:33" ht="26.25">
      <c r="A1841" s="264"/>
      <c r="B1841" s="264"/>
      <c r="C1841" s="264"/>
      <c r="D1841" s="264"/>
      <c r="E1841" s="264"/>
      <c r="F1841" s="264"/>
      <c r="G1841" s="264"/>
      <c r="H1841" s="264"/>
      <c r="I1841" s="264"/>
      <c r="J1841" s="327"/>
      <c r="K1841" s="327"/>
      <c r="L1841" s="327"/>
      <c r="M1841" s="321"/>
      <c r="N1841" s="321"/>
      <c r="O1841" s="364"/>
      <c r="P1841" s="376"/>
      <c r="R1841" s="393"/>
      <c r="S1841" s="61" ph="1"/>
      <c r="U1841" s="229"/>
      <c r="V1841" s="264"/>
      <c r="W1841" s="199"/>
      <c r="X1841" s="264"/>
      <c r="Y1841" s="264"/>
      <c r="Z1841" s="386"/>
      <c r="AD1841" s="264"/>
      <c r="AE1841" s="264"/>
      <c r="AF1841" s="264"/>
      <c r="AG1841" s="264"/>
    </row>
    <row r="1842" spans="1:33" ht="26.25">
      <c r="A1842" s="264"/>
      <c r="B1842" s="264"/>
      <c r="C1842" s="264"/>
      <c r="D1842" s="264"/>
      <c r="E1842" s="264"/>
      <c r="F1842" s="264"/>
      <c r="G1842" s="264"/>
      <c r="H1842" s="264"/>
      <c r="I1842" s="264"/>
      <c r="J1842" s="327"/>
      <c r="K1842" s="327"/>
      <c r="L1842" s="327"/>
      <c r="M1842" s="321"/>
      <c r="N1842" s="321"/>
      <c r="O1842" s="364"/>
      <c r="P1842" s="376"/>
      <c r="R1842" s="393"/>
      <c r="S1842" s="61" ph="1"/>
      <c r="U1842" s="229"/>
      <c r="V1842" s="264"/>
      <c r="W1842" s="199"/>
      <c r="X1842" s="264"/>
      <c r="Y1842" s="264"/>
      <c r="Z1842" s="386"/>
      <c r="AD1842" s="264"/>
      <c r="AE1842" s="264"/>
      <c r="AF1842" s="264"/>
      <c r="AG1842" s="264"/>
    </row>
    <row r="1843" spans="1:33" ht="26.25">
      <c r="A1843" s="264"/>
      <c r="B1843" s="264"/>
      <c r="C1843" s="264"/>
      <c r="D1843" s="264"/>
      <c r="E1843" s="264"/>
      <c r="F1843" s="264"/>
      <c r="G1843" s="264"/>
      <c r="H1843" s="264"/>
      <c r="I1843" s="264"/>
      <c r="J1843" s="327"/>
      <c r="K1843" s="327"/>
      <c r="L1843" s="327"/>
      <c r="M1843" s="321"/>
      <c r="N1843" s="321"/>
      <c r="O1843" s="364"/>
      <c r="P1843" s="376"/>
      <c r="R1843" s="393"/>
      <c r="S1843" s="61" ph="1"/>
      <c r="U1843" s="229"/>
      <c r="V1843" s="264"/>
      <c r="W1843" s="199"/>
      <c r="X1843" s="264"/>
      <c r="Y1843" s="264"/>
      <c r="Z1843" s="386"/>
      <c r="AD1843" s="264"/>
      <c r="AE1843" s="264"/>
      <c r="AF1843" s="264"/>
      <c r="AG1843" s="264"/>
    </row>
    <row r="1844" spans="1:33" ht="26.25">
      <c r="A1844" s="264"/>
      <c r="B1844" s="264"/>
      <c r="C1844" s="264"/>
      <c r="D1844" s="264"/>
      <c r="E1844" s="264"/>
      <c r="F1844" s="264"/>
      <c r="G1844" s="264"/>
      <c r="H1844" s="264"/>
      <c r="I1844" s="264"/>
      <c r="J1844" s="327"/>
      <c r="K1844" s="327"/>
      <c r="L1844" s="327"/>
      <c r="M1844" s="321"/>
      <c r="N1844" s="321"/>
      <c r="O1844" s="364"/>
      <c r="P1844" s="376"/>
      <c r="R1844" s="393"/>
      <c r="S1844" s="61" ph="1"/>
      <c r="U1844" s="229"/>
      <c r="V1844" s="264"/>
      <c r="W1844" s="199"/>
      <c r="X1844" s="264"/>
      <c r="Y1844" s="264"/>
      <c r="Z1844" s="386"/>
      <c r="AD1844" s="264"/>
      <c r="AE1844" s="264"/>
      <c r="AF1844" s="264"/>
      <c r="AG1844" s="264"/>
    </row>
    <row r="1845" spans="1:33" ht="26.25">
      <c r="A1845" s="264"/>
      <c r="B1845" s="264"/>
      <c r="C1845" s="264"/>
      <c r="D1845" s="264"/>
      <c r="E1845" s="264"/>
      <c r="F1845" s="264"/>
      <c r="G1845" s="264"/>
      <c r="H1845" s="264"/>
      <c r="I1845" s="264"/>
      <c r="J1845" s="327"/>
      <c r="K1845" s="327"/>
      <c r="L1845" s="327"/>
      <c r="M1845" s="321"/>
      <c r="N1845" s="321"/>
      <c r="O1845" s="364"/>
      <c r="P1845" s="376"/>
      <c r="R1845" s="393"/>
      <c r="S1845" s="61" ph="1"/>
      <c r="U1845" s="229"/>
      <c r="V1845" s="264"/>
      <c r="W1845" s="199"/>
      <c r="X1845" s="264"/>
      <c r="Y1845" s="264"/>
      <c r="Z1845" s="386"/>
      <c r="AD1845" s="264"/>
      <c r="AE1845" s="264"/>
      <c r="AF1845" s="264"/>
      <c r="AG1845" s="264"/>
    </row>
    <row r="1846" spans="1:33" ht="26.25">
      <c r="A1846" s="264"/>
      <c r="B1846" s="264"/>
      <c r="C1846" s="264"/>
      <c r="D1846" s="264"/>
      <c r="E1846" s="264"/>
      <c r="F1846" s="264"/>
      <c r="G1846" s="264"/>
      <c r="H1846" s="264"/>
      <c r="I1846" s="264"/>
      <c r="J1846" s="327"/>
      <c r="K1846" s="327"/>
      <c r="L1846" s="327"/>
      <c r="M1846" s="321"/>
      <c r="N1846" s="321"/>
      <c r="O1846" s="364"/>
      <c r="P1846" s="376"/>
      <c r="R1846" s="393"/>
      <c r="S1846" s="61" ph="1"/>
      <c r="U1846" s="229"/>
      <c r="V1846" s="264"/>
      <c r="W1846" s="199"/>
      <c r="X1846" s="264"/>
      <c r="Y1846" s="264"/>
      <c r="Z1846" s="386"/>
      <c r="AD1846" s="264"/>
      <c r="AE1846" s="264"/>
      <c r="AF1846" s="264"/>
      <c r="AG1846" s="264"/>
    </row>
    <row r="1847" spans="1:33" ht="26.25">
      <c r="A1847" s="264"/>
      <c r="B1847" s="264"/>
      <c r="C1847" s="264"/>
      <c r="D1847" s="264"/>
      <c r="E1847" s="264"/>
      <c r="F1847" s="264"/>
      <c r="G1847" s="264"/>
      <c r="H1847" s="264"/>
      <c r="I1847" s="264"/>
      <c r="J1847" s="327"/>
      <c r="K1847" s="327"/>
      <c r="L1847" s="327"/>
      <c r="M1847" s="321"/>
      <c r="N1847" s="321"/>
      <c r="O1847" s="364"/>
      <c r="P1847" s="376"/>
      <c r="R1847" s="393"/>
      <c r="S1847" s="61" ph="1"/>
      <c r="U1847" s="229"/>
      <c r="V1847" s="264"/>
      <c r="W1847" s="199"/>
      <c r="X1847" s="264"/>
      <c r="Y1847" s="264"/>
      <c r="Z1847" s="386"/>
      <c r="AD1847" s="264"/>
      <c r="AE1847" s="264"/>
      <c r="AF1847" s="264"/>
      <c r="AG1847" s="264"/>
    </row>
    <row r="1848" spans="1:33" ht="26.25">
      <c r="A1848" s="264"/>
      <c r="B1848" s="264"/>
      <c r="C1848" s="264"/>
      <c r="D1848" s="264"/>
      <c r="E1848" s="264"/>
      <c r="F1848" s="264"/>
      <c r="G1848" s="264"/>
      <c r="H1848" s="264"/>
      <c r="I1848" s="264"/>
      <c r="J1848" s="327"/>
      <c r="K1848" s="327"/>
      <c r="L1848" s="327"/>
      <c r="M1848" s="321"/>
      <c r="N1848" s="321"/>
      <c r="O1848" s="364"/>
      <c r="P1848" s="376"/>
      <c r="R1848" s="393"/>
      <c r="S1848" s="61" ph="1"/>
      <c r="U1848" s="229"/>
      <c r="V1848" s="264"/>
      <c r="W1848" s="199"/>
      <c r="X1848" s="264"/>
      <c r="Y1848" s="264"/>
      <c r="Z1848" s="386"/>
      <c r="AD1848" s="264"/>
      <c r="AE1848" s="264"/>
      <c r="AF1848" s="264"/>
      <c r="AG1848" s="264"/>
    </row>
    <row r="1849" spans="1:33" ht="26.25">
      <c r="A1849" s="264"/>
      <c r="B1849" s="264"/>
      <c r="C1849" s="264"/>
      <c r="D1849" s="264"/>
      <c r="E1849" s="264"/>
      <c r="F1849" s="264"/>
      <c r="G1849" s="264"/>
      <c r="H1849" s="264"/>
      <c r="I1849" s="264"/>
      <c r="J1849" s="327"/>
      <c r="K1849" s="327"/>
      <c r="L1849" s="327"/>
      <c r="M1849" s="321"/>
      <c r="N1849" s="321"/>
      <c r="O1849" s="364"/>
      <c r="P1849" s="376"/>
      <c r="R1849" s="393"/>
      <c r="S1849" s="61" ph="1"/>
      <c r="U1849" s="229"/>
      <c r="V1849" s="264"/>
      <c r="W1849" s="199"/>
      <c r="X1849" s="264"/>
      <c r="Y1849" s="264"/>
      <c r="Z1849" s="386"/>
      <c r="AD1849" s="264"/>
      <c r="AE1849" s="264"/>
      <c r="AF1849" s="264"/>
      <c r="AG1849" s="264"/>
    </row>
    <row r="1850" spans="1:33" ht="26.25">
      <c r="A1850" s="264"/>
      <c r="B1850" s="264"/>
      <c r="C1850" s="264"/>
      <c r="D1850" s="264"/>
      <c r="E1850" s="264"/>
      <c r="F1850" s="264"/>
      <c r="G1850" s="264"/>
      <c r="H1850" s="264"/>
      <c r="I1850" s="264"/>
      <c r="J1850" s="327"/>
      <c r="K1850" s="327"/>
      <c r="L1850" s="327"/>
      <c r="M1850" s="321"/>
      <c r="N1850" s="321"/>
      <c r="O1850" s="364"/>
      <c r="P1850" s="376"/>
      <c r="R1850" s="393"/>
      <c r="S1850" s="61" ph="1"/>
      <c r="U1850" s="229"/>
      <c r="V1850" s="264"/>
      <c r="W1850" s="199"/>
      <c r="X1850" s="264"/>
      <c r="Y1850" s="264"/>
      <c r="Z1850" s="386"/>
      <c r="AD1850" s="264"/>
      <c r="AE1850" s="264"/>
      <c r="AF1850" s="264"/>
      <c r="AG1850" s="264"/>
    </row>
    <row r="1851" spans="1:33" ht="26.25">
      <c r="A1851" s="264"/>
      <c r="B1851" s="264"/>
      <c r="C1851" s="264"/>
      <c r="D1851" s="264"/>
      <c r="E1851" s="264"/>
      <c r="F1851" s="264"/>
      <c r="G1851" s="264"/>
      <c r="H1851" s="264"/>
      <c r="I1851" s="264"/>
      <c r="J1851" s="327"/>
      <c r="K1851" s="327"/>
      <c r="L1851" s="327"/>
      <c r="M1851" s="321"/>
      <c r="N1851" s="321"/>
      <c r="O1851" s="364"/>
      <c r="P1851" s="376"/>
      <c r="R1851" s="393"/>
      <c r="S1851" s="61" ph="1"/>
      <c r="U1851" s="229"/>
      <c r="V1851" s="264"/>
      <c r="W1851" s="199"/>
      <c r="X1851" s="264"/>
      <c r="Y1851" s="264"/>
      <c r="Z1851" s="386"/>
      <c r="AD1851" s="264"/>
      <c r="AE1851" s="264"/>
      <c r="AF1851" s="264"/>
      <c r="AG1851" s="264"/>
    </row>
    <row r="1852" spans="1:33" ht="26.25">
      <c r="A1852" s="264"/>
      <c r="B1852" s="264"/>
      <c r="C1852" s="264"/>
      <c r="D1852" s="264"/>
      <c r="E1852" s="264"/>
      <c r="F1852" s="264"/>
      <c r="G1852" s="264"/>
      <c r="H1852" s="264"/>
      <c r="I1852" s="264"/>
      <c r="J1852" s="327"/>
      <c r="K1852" s="327"/>
      <c r="L1852" s="327"/>
      <c r="M1852" s="321"/>
      <c r="N1852" s="321"/>
      <c r="O1852" s="364"/>
      <c r="P1852" s="376"/>
      <c r="R1852" s="393"/>
      <c r="S1852" s="61" ph="1"/>
      <c r="U1852" s="229"/>
      <c r="V1852" s="264"/>
      <c r="W1852" s="199"/>
      <c r="X1852" s="264"/>
      <c r="Y1852" s="264"/>
      <c r="Z1852" s="386"/>
      <c r="AD1852" s="264"/>
      <c r="AE1852" s="264"/>
      <c r="AF1852" s="264"/>
      <c r="AG1852" s="264"/>
    </row>
    <row r="1853" spans="1:33" ht="26.25">
      <c r="A1853" s="264"/>
      <c r="B1853" s="264"/>
      <c r="C1853" s="264"/>
      <c r="D1853" s="264"/>
      <c r="E1853" s="264"/>
      <c r="F1853" s="264"/>
      <c r="G1853" s="264"/>
      <c r="H1853" s="264"/>
      <c r="I1853" s="264"/>
      <c r="J1853" s="327"/>
      <c r="K1853" s="327"/>
      <c r="L1853" s="327"/>
      <c r="M1853" s="321"/>
      <c r="N1853" s="321"/>
      <c r="O1853" s="364"/>
      <c r="P1853" s="376"/>
      <c r="R1853" s="393"/>
      <c r="S1853" s="61" ph="1"/>
      <c r="U1853" s="229"/>
      <c r="V1853" s="264"/>
      <c r="W1853" s="199"/>
      <c r="X1853" s="264"/>
      <c r="Y1853" s="264"/>
      <c r="Z1853" s="386"/>
      <c r="AD1853" s="264"/>
      <c r="AE1853" s="264"/>
      <c r="AF1853" s="264"/>
      <c r="AG1853" s="264"/>
    </row>
    <row r="1854" spans="1:33" ht="26.25">
      <c r="A1854" s="264"/>
      <c r="B1854" s="264"/>
      <c r="C1854" s="264"/>
      <c r="D1854" s="264"/>
      <c r="E1854" s="264"/>
      <c r="F1854" s="264"/>
      <c r="G1854" s="264"/>
      <c r="H1854" s="264"/>
      <c r="I1854" s="264"/>
      <c r="J1854" s="327"/>
      <c r="K1854" s="327"/>
      <c r="L1854" s="327"/>
      <c r="M1854" s="321"/>
      <c r="N1854" s="321"/>
      <c r="O1854" s="364"/>
      <c r="P1854" s="376"/>
      <c r="R1854" s="393"/>
      <c r="S1854" s="61" ph="1"/>
      <c r="U1854" s="229"/>
      <c r="V1854" s="264"/>
      <c r="W1854" s="199"/>
      <c r="X1854" s="264"/>
      <c r="Y1854" s="264"/>
      <c r="Z1854" s="386"/>
      <c r="AD1854" s="264"/>
      <c r="AE1854" s="264"/>
      <c r="AF1854" s="264"/>
      <c r="AG1854" s="264"/>
    </row>
    <row r="1855" spans="1:33" ht="26.25">
      <c r="A1855" s="264"/>
      <c r="B1855" s="264"/>
      <c r="C1855" s="264"/>
      <c r="D1855" s="264"/>
      <c r="E1855" s="264"/>
      <c r="F1855" s="264"/>
      <c r="G1855" s="264"/>
      <c r="H1855" s="264"/>
      <c r="I1855" s="264"/>
      <c r="J1855" s="327"/>
      <c r="K1855" s="327"/>
      <c r="L1855" s="327"/>
      <c r="M1855" s="321"/>
      <c r="N1855" s="321"/>
      <c r="O1855" s="364"/>
      <c r="P1855" s="376"/>
      <c r="R1855" s="393"/>
      <c r="S1855" s="61" ph="1"/>
      <c r="U1855" s="229"/>
      <c r="V1855" s="264"/>
      <c r="W1855" s="199"/>
      <c r="X1855" s="264"/>
      <c r="Y1855" s="264"/>
      <c r="Z1855" s="386"/>
      <c r="AD1855" s="264"/>
      <c r="AE1855" s="264"/>
      <c r="AF1855" s="264"/>
      <c r="AG1855" s="264"/>
    </row>
    <row r="1856" spans="1:33" ht="26.25">
      <c r="A1856" s="264"/>
      <c r="B1856" s="264"/>
      <c r="C1856" s="264"/>
      <c r="D1856" s="264"/>
      <c r="E1856" s="264"/>
      <c r="F1856" s="264"/>
      <c r="G1856" s="264"/>
      <c r="H1856" s="264"/>
      <c r="I1856" s="264"/>
      <c r="J1856" s="327"/>
      <c r="K1856" s="327"/>
      <c r="L1856" s="327"/>
      <c r="M1856" s="321"/>
      <c r="N1856" s="321"/>
      <c r="O1856" s="364"/>
      <c r="P1856" s="376"/>
      <c r="R1856" s="393"/>
      <c r="S1856" s="61" ph="1"/>
      <c r="U1856" s="229"/>
      <c r="V1856" s="264"/>
      <c r="W1856" s="199"/>
      <c r="X1856" s="264"/>
      <c r="Y1856" s="264"/>
      <c r="Z1856" s="386"/>
      <c r="AD1856" s="264"/>
      <c r="AE1856" s="264"/>
      <c r="AF1856" s="264"/>
      <c r="AG1856" s="264"/>
    </row>
    <row r="1857" spans="1:33" ht="26.25">
      <c r="A1857" s="264"/>
      <c r="B1857" s="264"/>
      <c r="C1857" s="264"/>
      <c r="D1857" s="264"/>
      <c r="E1857" s="264"/>
      <c r="F1857" s="264"/>
      <c r="G1857" s="264"/>
      <c r="H1857" s="264"/>
      <c r="I1857" s="264"/>
      <c r="J1857" s="327"/>
      <c r="K1857" s="327"/>
      <c r="L1857" s="327"/>
      <c r="M1857" s="321"/>
      <c r="N1857" s="321"/>
      <c r="O1857" s="364"/>
      <c r="P1857" s="376"/>
      <c r="R1857" s="393"/>
      <c r="S1857" s="61" ph="1"/>
      <c r="U1857" s="229"/>
      <c r="V1857" s="264"/>
      <c r="W1857" s="199"/>
      <c r="X1857" s="264"/>
      <c r="Y1857" s="264"/>
      <c r="Z1857" s="386"/>
      <c r="AD1857" s="264"/>
      <c r="AE1857" s="264"/>
      <c r="AF1857" s="264"/>
      <c r="AG1857" s="264"/>
    </row>
    <row r="1858" spans="1:33" ht="26.25">
      <c r="A1858" s="264"/>
      <c r="B1858" s="264"/>
      <c r="C1858" s="264"/>
      <c r="D1858" s="264"/>
      <c r="E1858" s="264"/>
      <c r="F1858" s="264"/>
      <c r="G1858" s="264"/>
      <c r="H1858" s="264"/>
      <c r="I1858" s="264"/>
      <c r="J1858" s="327"/>
      <c r="K1858" s="327"/>
      <c r="L1858" s="327"/>
      <c r="M1858" s="321"/>
      <c r="N1858" s="321"/>
      <c r="O1858" s="364"/>
      <c r="P1858" s="376"/>
      <c r="R1858" s="393"/>
      <c r="S1858" s="61" ph="1"/>
      <c r="U1858" s="229"/>
      <c r="V1858" s="264"/>
      <c r="W1858" s="199"/>
      <c r="X1858" s="264"/>
      <c r="Y1858" s="264"/>
      <c r="Z1858" s="386"/>
      <c r="AD1858" s="264"/>
      <c r="AE1858" s="264"/>
      <c r="AF1858" s="264"/>
      <c r="AG1858" s="264"/>
    </row>
    <row r="1859" spans="1:33" ht="26.25">
      <c r="A1859" s="264"/>
      <c r="B1859" s="264"/>
      <c r="C1859" s="264"/>
      <c r="D1859" s="264"/>
      <c r="E1859" s="264"/>
      <c r="F1859" s="264"/>
      <c r="G1859" s="264"/>
      <c r="H1859" s="264"/>
      <c r="I1859" s="264"/>
      <c r="J1859" s="327"/>
      <c r="K1859" s="327"/>
      <c r="L1859" s="327"/>
      <c r="M1859" s="321"/>
      <c r="N1859" s="321"/>
      <c r="O1859" s="364"/>
      <c r="P1859" s="376"/>
      <c r="R1859" s="393"/>
      <c r="S1859" s="61" ph="1"/>
      <c r="U1859" s="229"/>
      <c r="V1859" s="264"/>
      <c r="W1859" s="199"/>
      <c r="X1859" s="264"/>
      <c r="Y1859" s="264"/>
      <c r="Z1859" s="386"/>
      <c r="AD1859" s="264"/>
      <c r="AE1859" s="264"/>
      <c r="AF1859" s="264"/>
      <c r="AG1859" s="264"/>
    </row>
    <row r="1860" spans="1:33" ht="26.25">
      <c r="A1860" s="264"/>
      <c r="B1860" s="264"/>
      <c r="C1860" s="264"/>
      <c r="D1860" s="264"/>
      <c r="E1860" s="264"/>
      <c r="F1860" s="264"/>
      <c r="G1860" s="264"/>
      <c r="H1860" s="264"/>
      <c r="I1860" s="264"/>
      <c r="J1860" s="327"/>
      <c r="K1860" s="327"/>
      <c r="L1860" s="327"/>
      <c r="M1860" s="321"/>
      <c r="N1860" s="321"/>
      <c r="O1860" s="364"/>
      <c r="P1860" s="376"/>
      <c r="R1860" s="393"/>
      <c r="S1860" s="61" ph="1"/>
      <c r="U1860" s="229"/>
      <c r="V1860" s="264"/>
      <c r="W1860" s="199"/>
      <c r="X1860" s="264"/>
      <c r="Y1860" s="264"/>
      <c r="Z1860" s="386"/>
      <c r="AD1860" s="264"/>
      <c r="AE1860" s="264"/>
      <c r="AF1860" s="264"/>
      <c r="AG1860" s="264"/>
    </row>
    <row r="1861" spans="1:33" ht="26.25">
      <c r="A1861" s="264"/>
      <c r="B1861" s="264"/>
      <c r="C1861" s="264"/>
      <c r="D1861" s="264"/>
      <c r="E1861" s="264"/>
      <c r="F1861" s="264"/>
      <c r="G1861" s="264"/>
      <c r="H1861" s="264"/>
      <c r="I1861" s="264"/>
      <c r="J1861" s="327"/>
      <c r="K1861" s="327"/>
      <c r="L1861" s="327"/>
      <c r="M1861" s="321"/>
      <c r="N1861" s="321"/>
      <c r="O1861" s="364"/>
      <c r="P1861" s="376"/>
      <c r="R1861" s="393"/>
      <c r="S1861" s="61" ph="1"/>
      <c r="U1861" s="229"/>
      <c r="V1861" s="264"/>
      <c r="W1861" s="199"/>
      <c r="X1861" s="264"/>
      <c r="Y1861" s="264"/>
      <c r="Z1861" s="386"/>
      <c r="AD1861" s="264"/>
      <c r="AE1861" s="264"/>
      <c r="AF1861" s="264"/>
      <c r="AG1861" s="264"/>
    </row>
    <row r="1862" spans="1:33" ht="26.25">
      <c r="A1862" s="264"/>
      <c r="B1862" s="264"/>
      <c r="C1862" s="264"/>
      <c r="D1862" s="264"/>
      <c r="E1862" s="264"/>
      <c r="F1862" s="264"/>
      <c r="G1862" s="264"/>
      <c r="H1862" s="264"/>
      <c r="I1862" s="264"/>
      <c r="J1862" s="327"/>
      <c r="K1862" s="327"/>
      <c r="L1862" s="327"/>
      <c r="M1862" s="321"/>
      <c r="N1862" s="321"/>
      <c r="O1862" s="364"/>
      <c r="P1862" s="376"/>
      <c r="R1862" s="393"/>
      <c r="S1862" s="61" ph="1"/>
      <c r="U1862" s="229"/>
      <c r="V1862" s="264"/>
      <c r="W1862" s="199"/>
      <c r="X1862" s="264"/>
      <c r="Y1862" s="264"/>
      <c r="Z1862" s="386"/>
      <c r="AD1862" s="264"/>
      <c r="AE1862" s="264"/>
      <c r="AF1862" s="264"/>
      <c r="AG1862" s="264"/>
    </row>
    <row r="1863" spans="1:33" ht="26.25">
      <c r="A1863" s="264"/>
      <c r="B1863" s="264"/>
      <c r="C1863" s="264"/>
      <c r="D1863" s="264"/>
      <c r="E1863" s="264"/>
      <c r="F1863" s="264"/>
      <c r="G1863" s="264"/>
      <c r="H1863" s="264"/>
      <c r="I1863" s="264"/>
      <c r="J1863" s="327"/>
      <c r="K1863" s="327"/>
      <c r="L1863" s="327"/>
      <c r="M1863" s="321"/>
      <c r="N1863" s="321"/>
      <c r="O1863" s="364"/>
      <c r="P1863" s="376"/>
      <c r="R1863" s="393"/>
      <c r="S1863" s="61" ph="1"/>
      <c r="U1863" s="229"/>
      <c r="V1863" s="264"/>
      <c r="W1863" s="199"/>
      <c r="X1863" s="264"/>
      <c r="Y1863" s="264"/>
      <c r="Z1863" s="386"/>
      <c r="AD1863" s="264"/>
      <c r="AE1863" s="264"/>
      <c r="AF1863" s="264"/>
      <c r="AG1863" s="264"/>
    </row>
    <row r="1864" spans="1:33" ht="26.25">
      <c r="A1864" s="264"/>
      <c r="B1864" s="264"/>
      <c r="C1864" s="264"/>
      <c r="D1864" s="264"/>
      <c r="E1864" s="264"/>
      <c r="F1864" s="264"/>
      <c r="G1864" s="264"/>
      <c r="H1864" s="264"/>
      <c r="I1864" s="264"/>
      <c r="J1864" s="327"/>
      <c r="K1864" s="327"/>
      <c r="L1864" s="327"/>
      <c r="M1864" s="321"/>
      <c r="N1864" s="321"/>
      <c r="O1864" s="364"/>
      <c r="P1864" s="376"/>
      <c r="R1864" s="393"/>
      <c r="S1864" s="61" ph="1"/>
      <c r="U1864" s="229"/>
      <c r="V1864" s="264"/>
      <c r="W1864" s="199"/>
      <c r="X1864" s="264"/>
      <c r="Y1864" s="264"/>
      <c r="Z1864" s="386"/>
      <c r="AD1864" s="264"/>
      <c r="AE1864" s="264"/>
      <c r="AF1864" s="264"/>
      <c r="AG1864" s="264"/>
    </row>
    <row r="1865" spans="1:33" ht="26.25">
      <c r="A1865" s="264"/>
      <c r="B1865" s="264"/>
      <c r="C1865" s="264"/>
      <c r="D1865" s="264"/>
      <c r="E1865" s="264"/>
      <c r="F1865" s="264"/>
      <c r="G1865" s="264"/>
      <c r="H1865" s="264"/>
      <c r="I1865" s="264"/>
      <c r="J1865" s="327"/>
      <c r="K1865" s="327"/>
      <c r="L1865" s="327"/>
      <c r="M1865" s="321"/>
      <c r="N1865" s="321"/>
      <c r="O1865" s="364"/>
      <c r="P1865" s="376"/>
      <c r="R1865" s="393"/>
      <c r="S1865" s="61" ph="1"/>
      <c r="U1865" s="229"/>
      <c r="V1865" s="264"/>
      <c r="W1865" s="199"/>
      <c r="X1865" s="264"/>
      <c r="Y1865" s="264"/>
      <c r="Z1865" s="386"/>
      <c r="AD1865" s="264"/>
      <c r="AE1865" s="264"/>
      <c r="AF1865" s="264"/>
      <c r="AG1865" s="264"/>
    </row>
    <row r="1866" spans="1:33" ht="26.25">
      <c r="A1866" s="264"/>
      <c r="B1866" s="264"/>
      <c r="C1866" s="264"/>
      <c r="D1866" s="264"/>
      <c r="E1866" s="264"/>
      <c r="F1866" s="264"/>
      <c r="G1866" s="264"/>
      <c r="H1866" s="264"/>
      <c r="I1866" s="264"/>
      <c r="J1866" s="327"/>
      <c r="K1866" s="327"/>
      <c r="L1866" s="327"/>
      <c r="M1866" s="321"/>
      <c r="N1866" s="321"/>
      <c r="O1866" s="364"/>
      <c r="P1866" s="376"/>
      <c r="R1866" s="393"/>
      <c r="S1866" s="61" ph="1"/>
      <c r="U1866" s="229"/>
      <c r="V1866" s="264"/>
      <c r="W1866" s="199"/>
      <c r="X1866" s="264"/>
      <c r="Y1866" s="264"/>
      <c r="Z1866" s="386"/>
      <c r="AD1866" s="264"/>
      <c r="AE1866" s="264"/>
      <c r="AF1866" s="264"/>
      <c r="AG1866" s="264"/>
    </row>
    <row r="1867" spans="1:33" ht="26.25">
      <c r="A1867" s="264"/>
      <c r="B1867" s="264"/>
      <c r="C1867" s="264"/>
      <c r="D1867" s="264"/>
      <c r="E1867" s="264"/>
      <c r="F1867" s="264"/>
      <c r="G1867" s="264"/>
      <c r="H1867" s="264"/>
      <c r="I1867" s="264"/>
      <c r="J1867" s="327"/>
      <c r="K1867" s="327"/>
      <c r="L1867" s="327"/>
      <c r="M1867" s="321"/>
      <c r="N1867" s="321"/>
      <c r="O1867" s="364"/>
      <c r="P1867" s="376"/>
      <c r="R1867" s="393"/>
      <c r="S1867" s="61" ph="1"/>
      <c r="U1867" s="229"/>
      <c r="V1867" s="264"/>
      <c r="W1867" s="199"/>
      <c r="X1867" s="264"/>
      <c r="Y1867" s="264"/>
      <c r="Z1867" s="386"/>
      <c r="AD1867" s="264"/>
      <c r="AE1867" s="264"/>
      <c r="AF1867" s="264"/>
      <c r="AG1867" s="264"/>
    </row>
    <row r="1868" spans="1:33" ht="26.25">
      <c r="A1868" s="264"/>
      <c r="B1868" s="264"/>
      <c r="C1868" s="264"/>
      <c r="D1868" s="264"/>
      <c r="E1868" s="264"/>
      <c r="F1868" s="264"/>
      <c r="G1868" s="264"/>
      <c r="H1868" s="264"/>
      <c r="I1868" s="264"/>
      <c r="J1868" s="327"/>
      <c r="K1868" s="327"/>
      <c r="L1868" s="327"/>
      <c r="M1868" s="321"/>
      <c r="N1868" s="321"/>
      <c r="O1868" s="364"/>
      <c r="P1868" s="376"/>
      <c r="R1868" s="393"/>
      <c r="S1868" s="61" ph="1"/>
      <c r="U1868" s="229"/>
      <c r="V1868" s="264"/>
      <c r="W1868" s="199"/>
      <c r="X1868" s="264"/>
      <c r="Y1868" s="264"/>
      <c r="Z1868" s="386"/>
      <c r="AD1868" s="264"/>
      <c r="AE1868" s="264"/>
      <c r="AF1868" s="264"/>
      <c r="AG1868" s="264"/>
    </row>
    <row r="1869" spans="1:33" ht="26.25">
      <c r="A1869" s="264"/>
      <c r="B1869" s="264"/>
      <c r="C1869" s="264"/>
      <c r="D1869" s="264"/>
      <c r="E1869" s="264"/>
      <c r="F1869" s="264"/>
      <c r="G1869" s="264"/>
      <c r="H1869" s="264"/>
      <c r="I1869" s="264"/>
      <c r="J1869" s="327"/>
      <c r="K1869" s="327"/>
      <c r="L1869" s="327"/>
      <c r="M1869" s="321"/>
      <c r="N1869" s="321"/>
      <c r="O1869" s="364"/>
      <c r="P1869" s="376"/>
      <c r="R1869" s="393"/>
      <c r="S1869" s="61" ph="1"/>
      <c r="U1869" s="229"/>
      <c r="V1869" s="264"/>
      <c r="W1869" s="199"/>
      <c r="X1869" s="264"/>
      <c r="Y1869" s="264"/>
      <c r="Z1869" s="386"/>
      <c r="AD1869" s="264"/>
      <c r="AE1869" s="264"/>
      <c r="AF1869" s="264"/>
      <c r="AG1869" s="264"/>
    </row>
    <row r="1870" spans="1:33" ht="26.25">
      <c r="A1870" s="264"/>
      <c r="B1870" s="264"/>
      <c r="C1870" s="264"/>
      <c r="D1870" s="264"/>
      <c r="E1870" s="264"/>
      <c r="F1870" s="264"/>
      <c r="G1870" s="264"/>
      <c r="H1870" s="264"/>
      <c r="I1870" s="264"/>
      <c r="J1870" s="327"/>
      <c r="K1870" s="327"/>
      <c r="L1870" s="327"/>
      <c r="M1870" s="321"/>
      <c r="N1870" s="321"/>
      <c r="O1870" s="364"/>
      <c r="P1870" s="376"/>
      <c r="R1870" s="393"/>
      <c r="S1870" s="61" ph="1"/>
      <c r="U1870" s="229"/>
      <c r="V1870" s="264"/>
      <c r="W1870" s="199"/>
      <c r="X1870" s="264"/>
      <c r="Y1870" s="264"/>
      <c r="Z1870" s="386"/>
      <c r="AD1870" s="264"/>
      <c r="AE1870" s="264"/>
      <c r="AF1870" s="264"/>
      <c r="AG1870" s="264"/>
    </row>
    <row r="1871" spans="1:33" ht="26.25">
      <c r="A1871" s="264"/>
      <c r="B1871" s="264"/>
      <c r="C1871" s="264"/>
      <c r="D1871" s="264"/>
      <c r="E1871" s="264"/>
      <c r="F1871" s="264"/>
      <c r="G1871" s="264"/>
      <c r="H1871" s="264"/>
      <c r="I1871" s="264"/>
      <c r="J1871" s="327"/>
      <c r="K1871" s="327"/>
      <c r="L1871" s="327"/>
      <c r="M1871" s="321"/>
      <c r="N1871" s="321"/>
      <c r="O1871" s="364"/>
      <c r="P1871" s="376"/>
      <c r="R1871" s="393"/>
      <c r="S1871" s="61" ph="1"/>
      <c r="U1871" s="229"/>
      <c r="V1871" s="264"/>
      <c r="W1871" s="199"/>
      <c r="X1871" s="264"/>
      <c r="Y1871" s="264"/>
      <c r="Z1871" s="386"/>
      <c r="AD1871" s="264"/>
      <c r="AE1871" s="264"/>
      <c r="AF1871" s="264"/>
      <c r="AG1871" s="264"/>
    </row>
    <row r="1872" spans="1:33" ht="26.25">
      <c r="A1872" s="264"/>
      <c r="B1872" s="264"/>
      <c r="C1872" s="264"/>
      <c r="D1872" s="264"/>
      <c r="E1872" s="264"/>
      <c r="F1872" s="264"/>
      <c r="G1872" s="264"/>
      <c r="H1872" s="264"/>
      <c r="I1872" s="264"/>
      <c r="J1872" s="327"/>
      <c r="K1872" s="327"/>
      <c r="L1872" s="327"/>
      <c r="M1872" s="321"/>
      <c r="N1872" s="321"/>
      <c r="O1872" s="364"/>
      <c r="P1872" s="376"/>
      <c r="R1872" s="393"/>
      <c r="S1872" s="61" ph="1"/>
      <c r="U1872" s="229"/>
      <c r="V1872" s="264"/>
      <c r="W1872" s="199"/>
      <c r="X1872" s="264"/>
      <c r="Y1872" s="264"/>
      <c r="Z1872" s="386"/>
      <c r="AD1872" s="264"/>
      <c r="AE1872" s="264"/>
      <c r="AF1872" s="264"/>
      <c r="AG1872" s="264"/>
    </row>
    <row r="1873" spans="1:33" ht="26.25">
      <c r="A1873" s="264"/>
      <c r="B1873" s="264"/>
      <c r="C1873" s="264"/>
      <c r="D1873" s="264"/>
      <c r="E1873" s="264"/>
      <c r="F1873" s="264"/>
      <c r="G1873" s="264"/>
      <c r="H1873" s="264"/>
      <c r="I1873" s="264"/>
      <c r="J1873" s="327"/>
      <c r="K1873" s="327"/>
      <c r="L1873" s="327"/>
      <c r="M1873" s="321"/>
      <c r="N1873" s="321"/>
      <c r="O1873" s="364"/>
      <c r="P1873" s="376"/>
      <c r="R1873" s="393"/>
      <c r="S1873" s="61" ph="1"/>
      <c r="U1873" s="229"/>
      <c r="V1873" s="264"/>
      <c r="W1873" s="199"/>
      <c r="X1873" s="264"/>
      <c r="Y1873" s="264"/>
      <c r="Z1873" s="386"/>
      <c r="AD1873" s="264"/>
      <c r="AE1873" s="264"/>
      <c r="AF1873" s="264"/>
      <c r="AG1873" s="264"/>
    </row>
    <row r="1874" spans="1:33" ht="26.25">
      <c r="A1874" s="264"/>
      <c r="B1874" s="264"/>
      <c r="C1874" s="264"/>
      <c r="D1874" s="264"/>
      <c r="E1874" s="264"/>
      <c r="F1874" s="264"/>
      <c r="G1874" s="264"/>
      <c r="H1874" s="264"/>
      <c r="I1874" s="264"/>
      <c r="J1874" s="327"/>
      <c r="K1874" s="327"/>
      <c r="L1874" s="327"/>
      <c r="M1874" s="321"/>
      <c r="N1874" s="321"/>
      <c r="O1874" s="364"/>
      <c r="P1874" s="376"/>
      <c r="R1874" s="393"/>
      <c r="S1874" s="61" ph="1"/>
      <c r="U1874" s="229"/>
      <c r="V1874" s="264"/>
      <c r="W1874" s="199"/>
      <c r="X1874" s="264"/>
      <c r="Y1874" s="264"/>
      <c r="Z1874" s="386"/>
      <c r="AD1874" s="264"/>
      <c r="AE1874" s="264"/>
      <c r="AF1874" s="264"/>
      <c r="AG1874" s="264"/>
    </row>
    <row r="1875" spans="1:33" ht="26.25">
      <c r="A1875" s="264"/>
      <c r="B1875" s="264"/>
      <c r="C1875" s="264"/>
      <c r="D1875" s="264"/>
      <c r="E1875" s="264"/>
      <c r="F1875" s="264"/>
      <c r="G1875" s="264"/>
      <c r="H1875" s="264"/>
      <c r="I1875" s="264"/>
      <c r="J1875" s="327"/>
      <c r="K1875" s="327"/>
      <c r="L1875" s="327"/>
      <c r="M1875" s="321"/>
      <c r="N1875" s="321"/>
      <c r="O1875" s="364"/>
      <c r="P1875" s="376"/>
      <c r="R1875" s="393"/>
      <c r="S1875" s="61" ph="1"/>
      <c r="U1875" s="229"/>
      <c r="V1875" s="264"/>
      <c r="W1875" s="199"/>
      <c r="X1875" s="264"/>
      <c r="Y1875" s="264"/>
      <c r="Z1875" s="386"/>
      <c r="AD1875" s="264"/>
      <c r="AE1875" s="264"/>
      <c r="AF1875" s="264"/>
      <c r="AG1875" s="264"/>
    </row>
    <row r="1876" spans="1:33" ht="26.25">
      <c r="A1876" s="264"/>
      <c r="B1876" s="264"/>
      <c r="C1876" s="264"/>
      <c r="D1876" s="264"/>
      <c r="E1876" s="264"/>
      <c r="F1876" s="264"/>
      <c r="G1876" s="264"/>
      <c r="H1876" s="264"/>
      <c r="I1876" s="264"/>
      <c r="J1876" s="327"/>
      <c r="K1876" s="327"/>
      <c r="L1876" s="327"/>
      <c r="M1876" s="321"/>
      <c r="N1876" s="321"/>
      <c r="O1876" s="364"/>
      <c r="P1876" s="376"/>
      <c r="R1876" s="393"/>
      <c r="S1876" s="61" ph="1"/>
      <c r="U1876" s="229"/>
      <c r="V1876" s="264"/>
      <c r="W1876" s="199"/>
      <c r="X1876" s="264"/>
      <c r="Y1876" s="264"/>
      <c r="Z1876" s="386"/>
      <c r="AD1876" s="264"/>
      <c r="AE1876" s="264"/>
      <c r="AF1876" s="264"/>
      <c r="AG1876" s="264"/>
    </row>
    <row r="1877" spans="1:33" ht="26.25">
      <c r="A1877" s="264"/>
      <c r="B1877" s="264"/>
      <c r="C1877" s="264"/>
      <c r="D1877" s="264"/>
      <c r="E1877" s="264"/>
      <c r="F1877" s="264"/>
      <c r="G1877" s="264"/>
      <c r="H1877" s="264"/>
      <c r="I1877" s="264"/>
      <c r="J1877" s="327"/>
      <c r="K1877" s="327"/>
      <c r="L1877" s="327"/>
      <c r="M1877" s="321"/>
      <c r="N1877" s="321"/>
      <c r="O1877" s="364"/>
      <c r="P1877" s="376"/>
      <c r="R1877" s="393"/>
      <c r="S1877" s="61" ph="1"/>
      <c r="U1877" s="229"/>
      <c r="V1877" s="264"/>
      <c r="W1877" s="199"/>
      <c r="X1877" s="264"/>
      <c r="Y1877" s="264"/>
      <c r="Z1877" s="386"/>
      <c r="AD1877" s="264"/>
      <c r="AE1877" s="264"/>
      <c r="AF1877" s="264"/>
      <c r="AG1877" s="264"/>
    </row>
    <row r="1878" spans="1:33" ht="26.25">
      <c r="A1878" s="264"/>
      <c r="B1878" s="264"/>
      <c r="C1878" s="264"/>
      <c r="D1878" s="264"/>
      <c r="E1878" s="264"/>
      <c r="F1878" s="264"/>
      <c r="G1878" s="264"/>
      <c r="H1878" s="264"/>
      <c r="I1878" s="264"/>
      <c r="J1878" s="327"/>
      <c r="K1878" s="327"/>
      <c r="L1878" s="327"/>
      <c r="M1878" s="321"/>
      <c r="N1878" s="321"/>
      <c r="O1878" s="364"/>
      <c r="P1878" s="376"/>
      <c r="R1878" s="393"/>
      <c r="S1878" s="61" ph="1"/>
      <c r="U1878" s="229"/>
      <c r="V1878" s="264"/>
      <c r="W1878" s="199"/>
      <c r="X1878" s="264"/>
      <c r="Y1878" s="264"/>
      <c r="Z1878" s="386"/>
      <c r="AD1878" s="264"/>
      <c r="AE1878" s="264"/>
      <c r="AF1878" s="264"/>
      <c r="AG1878" s="264"/>
    </row>
    <row r="1879" spans="1:33" ht="26.25">
      <c r="A1879" s="264"/>
      <c r="B1879" s="264"/>
      <c r="C1879" s="264"/>
      <c r="D1879" s="264"/>
      <c r="E1879" s="264"/>
      <c r="F1879" s="264"/>
      <c r="G1879" s="264"/>
      <c r="H1879" s="264"/>
      <c r="I1879" s="264"/>
      <c r="J1879" s="327"/>
      <c r="K1879" s="327"/>
      <c r="L1879" s="327"/>
      <c r="M1879" s="321"/>
      <c r="N1879" s="321"/>
      <c r="O1879" s="364"/>
      <c r="P1879" s="376"/>
      <c r="R1879" s="393"/>
      <c r="S1879" s="61" ph="1"/>
      <c r="U1879" s="229"/>
      <c r="V1879" s="264"/>
      <c r="W1879" s="199"/>
      <c r="X1879" s="264"/>
      <c r="Y1879" s="264"/>
      <c r="Z1879" s="386"/>
      <c r="AD1879" s="264"/>
      <c r="AE1879" s="264"/>
      <c r="AF1879" s="264"/>
      <c r="AG1879" s="264"/>
    </row>
    <row r="1880" spans="1:33" ht="26.25">
      <c r="A1880" s="264"/>
      <c r="B1880" s="264"/>
      <c r="C1880" s="264"/>
      <c r="D1880" s="264"/>
      <c r="E1880" s="264"/>
      <c r="F1880" s="264"/>
      <c r="G1880" s="264"/>
      <c r="H1880" s="264"/>
      <c r="I1880" s="264"/>
      <c r="J1880" s="327"/>
      <c r="K1880" s="327"/>
      <c r="L1880" s="327"/>
      <c r="M1880" s="321"/>
      <c r="N1880" s="321"/>
      <c r="O1880" s="364"/>
      <c r="P1880" s="376"/>
      <c r="R1880" s="393"/>
      <c r="S1880" s="61" ph="1"/>
      <c r="U1880" s="229"/>
      <c r="V1880" s="264"/>
      <c r="W1880" s="199"/>
      <c r="X1880" s="264"/>
      <c r="Y1880" s="264"/>
      <c r="Z1880" s="386"/>
      <c r="AD1880" s="264"/>
      <c r="AE1880" s="264"/>
      <c r="AF1880" s="264"/>
      <c r="AG1880" s="264"/>
    </row>
    <row r="1881" spans="1:33" ht="26.25">
      <c r="A1881" s="264"/>
      <c r="B1881" s="264"/>
      <c r="C1881" s="264"/>
      <c r="D1881" s="264"/>
      <c r="E1881" s="264"/>
      <c r="F1881" s="264"/>
      <c r="G1881" s="264"/>
      <c r="H1881" s="264"/>
      <c r="I1881" s="264"/>
      <c r="J1881" s="327"/>
      <c r="K1881" s="327"/>
      <c r="L1881" s="327"/>
      <c r="M1881" s="321"/>
      <c r="N1881" s="321"/>
      <c r="O1881" s="364"/>
      <c r="P1881" s="376"/>
      <c r="R1881" s="393"/>
      <c r="S1881" s="61" ph="1"/>
      <c r="U1881" s="229"/>
      <c r="V1881" s="264"/>
      <c r="W1881" s="199"/>
      <c r="X1881" s="264"/>
      <c r="Y1881" s="264"/>
      <c r="Z1881" s="386"/>
      <c r="AD1881" s="264"/>
      <c r="AE1881" s="264"/>
      <c r="AF1881" s="264"/>
      <c r="AG1881" s="264"/>
    </row>
    <row r="1882" spans="1:33" ht="26.25">
      <c r="A1882" s="264"/>
      <c r="B1882" s="264"/>
      <c r="C1882" s="264"/>
      <c r="D1882" s="264"/>
      <c r="E1882" s="264"/>
      <c r="F1882" s="264"/>
      <c r="G1882" s="264"/>
      <c r="H1882" s="264"/>
      <c r="I1882" s="264"/>
      <c r="J1882" s="327"/>
      <c r="K1882" s="327"/>
      <c r="L1882" s="327"/>
      <c r="M1882" s="321"/>
      <c r="N1882" s="321"/>
      <c r="O1882" s="364"/>
      <c r="P1882" s="376"/>
      <c r="R1882" s="393"/>
      <c r="S1882" s="61" ph="1"/>
      <c r="U1882" s="229"/>
      <c r="V1882" s="264"/>
      <c r="W1882" s="199"/>
      <c r="X1882" s="264"/>
      <c r="Y1882" s="264"/>
      <c r="Z1882" s="386"/>
      <c r="AD1882" s="264"/>
      <c r="AE1882" s="264"/>
      <c r="AF1882" s="264"/>
      <c r="AG1882" s="264"/>
    </row>
    <row r="1883" spans="1:33" ht="26.25">
      <c r="A1883" s="264"/>
      <c r="B1883" s="264"/>
      <c r="C1883" s="264"/>
      <c r="D1883" s="264"/>
      <c r="E1883" s="264"/>
      <c r="F1883" s="264"/>
      <c r="G1883" s="264"/>
      <c r="H1883" s="264"/>
      <c r="I1883" s="264"/>
      <c r="J1883" s="327"/>
      <c r="K1883" s="327"/>
      <c r="L1883" s="327"/>
      <c r="M1883" s="321"/>
      <c r="N1883" s="321"/>
      <c r="O1883" s="364"/>
      <c r="P1883" s="376"/>
      <c r="R1883" s="393"/>
      <c r="S1883" s="61" ph="1"/>
      <c r="U1883" s="229"/>
      <c r="V1883" s="264"/>
      <c r="W1883" s="199"/>
      <c r="X1883" s="264"/>
      <c r="Y1883" s="264"/>
      <c r="Z1883" s="386"/>
      <c r="AD1883" s="264"/>
      <c r="AE1883" s="264"/>
      <c r="AF1883" s="264"/>
      <c r="AG1883" s="264"/>
    </row>
    <row r="1884" spans="1:33" ht="26.25">
      <c r="A1884" s="264"/>
      <c r="B1884" s="264"/>
      <c r="C1884" s="264"/>
      <c r="D1884" s="264"/>
      <c r="E1884" s="264"/>
      <c r="F1884" s="264"/>
      <c r="G1884" s="264"/>
      <c r="H1884" s="264"/>
      <c r="I1884" s="264"/>
      <c r="J1884" s="327"/>
      <c r="K1884" s="327"/>
      <c r="L1884" s="327"/>
      <c r="M1884" s="321"/>
      <c r="N1884" s="321"/>
      <c r="O1884" s="364"/>
      <c r="P1884" s="376"/>
      <c r="R1884" s="393"/>
      <c r="S1884" s="61" ph="1"/>
      <c r="U1884" s="229"/>
      <c r="V1884" s="264"/>
      <c r="W1884" s="199"/>
      <c r="X1884" s="264"/>
      <c r="Y1884" s="264"/>
      <c r="Z1884" s="386"/>
      <c r="AD1884" s="264"/>
      <c r="AE1884" s="264"/>
      <c r="AF1884" s="264"/>
      <c r="AG1884" s="264"/>
    </row>
    <row r="1885" spans="1:33" ht="26.25">
      <c r="A1885" s="264"/>
      <c r="B1885" s="264"/>
      <c r="C1885" s="264"/>
      <c r="D1885" s="264"/>
      <c r="E1885" s="264"/>
      <c r="F1885" s="264"/>
      <c r="G1885" s="264"/>
      <c r="H1885" s="264"/>
      <c r="I1885" s="264"/>
      <c r="J1885" s="327"/>
      <c r="K1885" s="327"/>
      <c r="L1885" s="327"/>
      <c r="M1885" s="321"/>
      <c r="N1885" s="321"/>
      <c r="O1885" s="364"/>
      <c r="P1885" s="376"/>
      <c r="R1885" s="393"/>
      <c r="S1885" s="61" ph="1"/>
      <c r="U1885" s="229"/>
      <c r="V1885" s="264"/>
      <c r="W1885" s="199"/>
      <c r="X1885" s="264"/>
      <c r="Y1885" s="264"/>
      <c r="Z1885" s="386"/>
      <c r="AD1885" s="264"/>
      <c r="AE1885" s="264"/>
      <c r="AF1885" s="264"/>
      <c r="AG1885" s="264"/>
    </row>
    <row r="1886" spans="1:33" ht="26.25">
      <c r="A1886" s="264"/>
      <c r="B1886" s="264"/>
      <c r="C1886" s="264"/>
      <c r="D1886" s="264"/>
      <c r="E1886" s="264"/>
      <c r="F1886" s="264"/>
      <c r="G1886" s="264"/>
      <c r="H1886" s="264"/>
      <c r="I1886" s="264"/>
      <c r="J1886" s="327"/>
      <c r="K1886" s="327"/>
      <c r="L1886" s="327"/>
      <c r="M1886" s="321"/>
      <c r="N1886" s="321"/>
      <c r="O1886" s="364"/>
      <c r="P1886" s="376"/>
      <c r="R1886" s="393"/>
      <c r="S1886" s="61" ph="1"/>
      <c r="U1886" s="229"/>
      <c r="V1886" s="264"/>
      <c r="W1886" s="199"/>
      <c r="X1886" s="264"/>
      <c r="Y1886" s="264"/>
      <c r="Z1886" s="386"/>
      <c r="AD1886" s="264"/>
      <c r="AE1886" s="264"/>
      <c r="AF1886" s="264"/>
      <c r="AG1886" s="264"/>
    </row>
    <row r="1887" spans="1:33" ht="26.25">
      <c r="A1887" s="264"/>
      <c r="B1887" s="264"/>
      <c r="C1887" s="264"/>
      <c r="D1887" s="264"/>
      <c r="E1887" s="264"/>
      <c r="F1887" s="264"/>
      <c r="G1887" s="264"/>
      <c r="H1887" s="264"/>
      <c r="I1887" s="264"/>
      <c r="J1887" s="327"/>
      <c r="K1887" s="327"/>
      <c r="L1887" s="327"/>
      <c r="M1887" s="321"/>
      <c r="N1887" s="321"/>
      <c r="O1887" s="364"/>
      <c r="P1887" s="376"/>
      <c r="R1887" s="393"/>
      <c r="S1887" s="61" ph="1"/>
      <c r="U1887" s="229"/>
      <c r="V1887" s="264"/>
      <c r="W1887" s="199"/>
      <c r="X1887" s="264"/>
      <c r="Y1887" s="264"/>
      <c r="Z1887" s="386"/>
      <c r="AD1887" s="264"/>
      <c r="AE1887" s="264"/>
      <c r="AF1887" s="264"/>
      <c r="AG1887" s="264"/>
    </row>
    <row r="1888" spans="1:33" ht="26.25">
      <c r="A1888" s="264"/>
      <c r="B1888" s="264"/>
      <c r="C1888" s="264"/>
      <c r="D1888" s="264"/>
      <c r="E1888" s="264"/>
      <c r="F1888" s="264"/>
      <c r="G1888" s="264"/>
      <c r="H1888" s="264"/>
      <c r="I1888" s="264"/>
      <c r="J1888" s="327"/>
      <c r="K1888" s="327"/>
      <c r="L1888" s="327"/>
      <c r="M1888" s="321"/>
      <c r="N1888" s="321"/>
      <c r="O1888" s="364"/>
      <c r="P1888" s="376"/>
      <c r="R1888" s="393"/>
      <c r="S1888" s="61" ph="1"/>
      <c r="U1888" s="229"/>
      <c r="V1888" s="264"/>
      <c r="W1888" s="199"/>
      <c r="X1888" s="264"/>
      <c r="Y1888" s="264"/>
      <c r="Z1888" s="386"/>
      <c r="AD1888" s="264"/>
      <c r="AE1888" s="264"/>
      <c r="AF1888" s="264"/>
      <c r="AG1888" s="264"/>
    </row>
    <row r="1889" spans="1:33" ht="26.25">
      <c r="A1889" s="264"/>
      <c r="B1889" s="264"/>
      <c r="C1889" s="264"/>
      <c r="D1889" s="264"/>
      <c r="E1889" s="264"/>
      <c r="F1889" s="264"/>
      <c r="G1889" s="264"/>
      <c r="H1889" s="264"/>
      <c r="I1889" s="264"/>
      <c r="J1889" s="327"/>
      <c r="K1889" s="327"/>
      <c r="L1889" s="327"/>
      <c r="M1889" s="321"/>
      <c r="N1889" s="321"/>
      <c r="O1889" s="364"/>
      <c r="P1889" s="376"/>
      <c r="R1889" s="393"/>
      <c r="S1889" s="61" ph="1"/>
      <c r="U1889" s="229"/>
      <c r="V1889" s="264"/>
      <c r="W1889" s="199"/>
      <c r="X1889" s="264"/>
      <c r="Y1889" s="264"/>
      <c r="Z1889" s="386"/>
      <c r="AD1889" s="264"/>
      <c r="AE1889" s="264"/>
      <c r="AF1889" s="264"/>
      <c r="AG1889" s="264"/>
    </row>
    <row r="1890" spans="1:33" ht="26.25">
      <c r="A1890" s="264"/>
      <c r="B1890" s="264"/>
      <c r="C1890" s="264"/>
      <c r="D1890" s="264"/>
      <c r="E1890" s="264"/>
      <c r="F1890" s="264"/>
      <c r="G1890" s="264"/>
      <c r="H1890" s="264"/>
      <c r="I1890" s="264"/>
      <c r="J1890" s="327"/>
      <c r="K1890" s="327"/>
      <c r="L1890" s="327"/>
      <c r="M1890" s="321"/>
      <c r="N1890" s="321"/>
      <c r="O1890" s="364"/>
      <c r="P1890" s="376"/>
      <c r="R1890" s="393"/>
      <c r="S1890" s="61" ph="1"/>
      <c r="U1890" s="229"/>
      <c r="V1890" s="264"/>
      <c r="W1890" s="199"/>
      <c r="X1890" s="264"/>
      <c r="Y1890" s="264"/>
      <c r="Z1890" s="386"/>
      <c r="AD1890" s="264"/>
      <c r="AE1890" s="264"/>
      <c r="AF1890" s="264"/>
      <c r="AG1890" s="264"/>
    </row>
    <row r="1891" spans="1:33" ht="26.25">
      <c r="A1891" s="264"/>
      <c r="B1891" s="264"/>
      <c r="C1891" s="264"/>
      <c r="D1891" s="264"/>
      <c r="E1891" s="264"/>
      <c r="F1891" s="264"/>
      <c r="G1891" s="264"/>
      <c r="H1891" s="264"/>
      <c r="I1891" s="264"/>
      <c r="J1891" s="327"/>
      <c r="K1891" s="327"/>
      <c r="L1891" s="327"/>
      <c r="M1891" s="321"/>
      <c r="N1891" s="321"/>
      <c r="O1891" s="364"/>
      <c r="P1891" s="376"/>
      <c r="R1891" s="393"/>
      <c r="S1891" s="61" ph="1"/>
      <c r="U1891" s="229"/>
      <c r="V1891" s="264"/>
      <c r="W1891" s="199"/>
      <c r="X1891" s="264"/>
      <c r="Y1891" s="264"/>
      <c r="Z1891" s="386"/>
      <c r="AD1891" s="264"/>
      <c r="AE1891" s="264"/>
      <c r="AF1891" s="264"/>
      <c r="AG1891" s="264"/>
    </row>
    <row r="1892" spans="1:33" ht="26.25">
      <c r="A1892" s="264"/>
      <c r="B1892" s="264"/>
      <c r="C1892" s="264"/>
      <c r="D1892" s="264"/>
      <c r="E1892" s="264"/>
      <c r="F1892" s="264"/>
      <c r="G1892" s="264"/>
      <c r="H1892" s="264"/>
      <c r="I1892" s="264"/>
      <c r="J1892" s="327"/>
      <c r="K1892" s="327"/>
      <c r="L1892" s="327"/>
      <c r="M1892" s="321"/>
      <c r="N1892" s="321"/>
      <c r="O1892" s="364"/>
      <c r="P1892" s="376"/>
      <c r="R1892" s="393"/>
      <c r="S1892" s="61" ph="1"/>
      <c r="U1892" s="229"/>
      <c r="V1892" s="264"/>
      <c r="W1892" s="199"/>
      <c r="X1892" s="264"/>
      <c r="Y1892" s="264"/>
      <c r="Z1892" s="386"/>
      <c r="AD1892" s="264"/>
      <c r="AE1892" s="264"/>
      <c r="AF1892" s="264"/>
      <c r="AG1892" s="264"/>
    </row>
    <row r="1893" spans="1:33" ht="26.25">
      <c r="A1893" s="264"/>
      <c r="B1893" s="264"/>
      <c r="C1893" s="264"/>
      <c r="D1893" s="264"/>
      <c r="E1893" s="264"/>
      <c r="F1893" s="264"/>
      <c r="G1893" s="264"/>
      <c r="H1893" s="264"/>
      <c r="I1893" s="264"/>
      <c r="J1893" s="327"/>
      <c r="K1893" s="327"/>
      <c r="L1893" s="327"/>
      <c r="M1893" s="321"/>
      <c r="N1893" s="321"/>
      <c r="O1893" s="364"/>
      <c r="P1893" s="376"/>
      <c r="R1893" s="393"/>
      <c r="S1893" s="61" ph="1"/>
      <c r="U1893" s="229"/>
      <c r="V1893" s="264"/>
      <c r="W1893" s="199"/>
      <c r="X1893" s="264"/>
      <c r="Y1893" s="264"/>
      <c r="Z1893" s="386"/>
      <c r="AD1893" s="264"/>
      <c r="AE1893" s="264"/>
      <c r="AF1893" s="264"/>
      <c r="AG1893" s="264"/>
    </row>
    <row r="1894" spans="1:33" ht="26.25">
      <c r="A1894" s="264"/>
      <c r="B1894" s="264"/>
      <c r="C1894" s="264"/>
      <c r="D1894" s="264"/>
      <c r="E1894" s="264"/>
      <c r="F1894" s="264"/>
      <c r="G1894" s="264"/>
      <c r="H1894" s="264"/>
      <c r="I1894" s="264"/>
      <c r="J1894" s="327"/>
      <c r="K1894" s="327"/>
      <c r="L1894" s="327"/>
      <c r="M1894" s="321"/>
      <c r="N1894" s="321"/>
      <c r="O1894" s="364"/>
      <c r="P1894" s="376"/>
      <c r="R1894" s="393"/>
      <c r="S1894" s="61" ph="1"/>
      <c r="U1894" s="229"/>
      <c r="V1894" s="264"/>
      <c r="W1894" s="199"/>
      <c r="X1894" s="264"/>
      <c r="Y1894" s="264"/>
      <c r="Z1894" s="386"/>
      <c r="AD1894" s="264"/>
      <c r="AE1894" s="264"/>
      <c r="AF1894" s="264"/>
      <c r="AG1894" s="264"/>
    </row>
    <row r="1895" spans="1:33" ht="26.25">
      <c r="A1895" s="264"/>
      <c r="B1895" s="264"/>
      <c r="C1895" s="264"/>
      <c r="D1895" s="264"/>
      <c r="E1895" s="264"/>
      <c r="F1895" s="264"/>
      <c r="G1895" s="264"/>
      <c r="H1895" s="264"/>
      <c r="I1895" s="264"/>
      <c r="J1895" s="327"/>
      <c r="K1895" s="327"/>
      <c r="L1895" s="327"/>
      <c r="M1895" s="321"/>
      <c r="N1895" s="321"/>
      <c r="O1895" s="364"/>
      <c r="P1895" s="376"/>
      <c r="R1895" s="393"/>
      <c r="S1895" s="61" ph="1"/>
      <c r="U1895" s="229"/>
      <c r="V1895" s="264"/>
      <c r="W1895" s="199"/>
      <c r="X1895" s="264"/>
      <c r="Y1895" s="264"/>
      <c r="Z1895" s="386"/>
      <c r="AD1895" s="264"/>
      <c r="AE1895" s="264"/>
      <c r="AF1895" s="264"/>
      <c r="AG1895" s="264"/>
    </row>
    <row r="1896" spans="1:33" ht="26.25">
      <c r="A1896" s="264"/>
      <c r="B1896" s="264"/>
      <c r="C1896" s="264"/>
      <c r="D1896" s="264"/>
      <c r="E1896" s="264"/>
      <c r="F1896" s="264"/>
      <c r="G1896" s="264"/>
      <c r="H1896" s="264"/>
      <c r="I1896" s="264"/>
      <c r="J1896" s="327"/>
      <c r="K1896" s="327"/>
      <c r="L1896" s="327"/>
      <c r="M1896" s="321"/>
      <c r="N1896" s="321"/>
      <c r="O1896" s="364"/>
      <c r="P1896" s="376"/>
      <c r="R1896" s="393"/>
      <c r="S1896" s="61" ph="1"/>
      <c r="U1896" s="229"/>
      <c r="V1896" s="264"/>
      <c r="W1896" s="199"/>
      <c r="X1896" s="264"/>
      <c r="Y1896" s="264"/>
      <c r="Z1896" s="386"/>
      <c r="AD1896" s="264"/>
      <c r="AE1896" s="264"/>
      <c r="AF1896" s="264"/>
      <c r="AG1896" s="264"/>
    </row>
    <row r="1897" spans="1:33" ht="26.25">
      <c r="A1897" s="264"/>
      <c r="B1897" s="264"/>
      <c r="C1897" s="264"/>
      <c r="D1897" s="264"/>
      <c r="E1897" s="264"/>
      <c r="F1897" s="264"/>
      <c r="G1897" s="264"/>
      <c r="H1897" s="264"/>
      <c r="I1897" s="264"/>
      <c r="J1897" s="327"/>
      <c r="K1897" s="327"/>
      <c r="L1897" s="327"/>
      <c r="M1897" s="321"/>
      <c r="N1897" s="321"/>
      <c r="O1897" s="364"/>
      <c r="P1897" s="376"/>
      <c r="R1897" s="393"/>
      <c r="S1897" s="61" ph="1"/>
      <c r="U1897" s="229"/>
      <c r="V1897" s="264"/>
      <c r="W1897" s="199"/>
      <c r="X1897" s="264"/>
      <c r="Y1897" s="264"/>
      <c r="Z1897" s="386"/>
      <c r="AD1897" s="264"/>
      <c r="AE1897" s="264"/>
      <c r="AF1897" s="264"/>
      <c r="AG1897" s="264"/>
    </row>
    <row r="1898" spans="1:33" ht="26.25">
      <c r="A1898" s="264"/>
      <c r="B1898" s="264"/>
      <c r="C1898" s="264"/>
      <c r="D1898" s="264"/>
      <c r="E1898" s="264"/>
      <c r="F1898" s="264"/>
      <c r="G1898" s="264"/>
      <c r="H1898" s="264"/>
      <c r="I1898" s="264"/>
      <c r="J1898" s="327"/>
      <c r="K1898" s="327"/>
      <c r="L1898" s="327"/>
      <c r="M1898" s="321"/>
      <c r="N1898" s="321"/>
      <c r="O1898" s="364"/>
      <c r="P1898" s="376"/>
      <c r="R1898" s="393"/>
      <c r="S1898" s="61" ph="1"/>
      <c r="U1898" s="229"/>
      <c r="V1898" s="264"/>
      <c r="W1898" s="199"/>
      <c r="X1898" s="264"/>
      <c r="Y1898" s="264"/>
      <c r="Z1898" s="386"/>
      <c r="AD1898" s="264"/>
      <c r="AE1898" s="264"/>
      <c r="AF1898" s="264"/>
      <c r="AG1898" s="264"/>
    </row>
    <row r="1899" spans="1:33" ht="26.25">
      <c r="A1899" s="264"/>
      <c r="B1899" s="264"/>
      <c r="C1899" s="264"/>
      <c r="D1899" s="264"/>
      <c r="E1899" s="264"/>
      <c r="F1899" s="264"/>
      <c r="G1899" s="264"/>
      <c r="H1899" s="264"/>
      <c r="I1899" s="264"/>
      <c r="J1899" s="327"/>
      <c r="K1899" s="327"/>
      <c r="L1899" s="327"/>
      <c r="M1899" s="321"/>
      <c r="N1899" s="321"/>
      <c r="O1899" s="364"/>
      <c r="P1899" s="376"/>
      <c r="R1899" s="393"/>
      <c r="S1899" s="61" ph="1"/>
      <c r="U1899" s="229"/>
      <c r="V1899" s="264"/>
      <c r="W1899" s="199"/>
      <c r="X1899" s="264"/>
      <c r="Y1899" s="264"/>
      <c r="Z1899" s="386"/>
      <c r="AD1899" s="264"/>
      <c r="AE1899" s="264"/>
      <c r="AF1899" s="264"/>
      <c r="AG1899" s="264"/>
    </row>
    <row r="1900" spans="1:33" ht="26.25">
      <c r="A1900" s="264"/>
      <c r="B1900" s="264"/>
      <c r="C1900" s="264"/>
      <c r="D1900" s="264"/>
      <c r="E1900" s="264"/>
      <c r="F1900" s="264"/>
      <c r="G1900" s="264"/>
      <c r="H1900" s="264"/>
      <c r="I1900" s="264"/>
      <c r="J1900" s="327"/>
      <c r="K1900" s="327"/>
      <c r="L1900" s="327"/>
      <c r="M1900" s="321"/>
      <c r="N1900" s="321"/>
      <c r="O1900" s="364"/>
      <c r="P1900" s="376"/>
      <c r="R1900" s="393"/>
      <c r="S1900" s="61" ph="1"/>
      <c r="U1900" s="229"/>
      <c r="V1900" s="264"/>
      <c r="W1900" s="199"/>
      <c r="X1900" s="264"/>
      <c r="Y1900" s="264"/>
      <c r="Z1900" s="386"/>
      <c r="AD1900" s="264"/>
      <c r="AE1900" s="264"/>
      <c r="AF1900" s="264"/>
      <c r="AG1900" s="264"/>
    </row>
    <row r="1901" spans="1:33" ht="26.25">
      <c r="A1901" s="264"/>
      <c r="B1901" s="264"/>
      <c r="C1901" s="264"/>
      <c r="D1901" s="264"/>
      <c r="E1901" s="264"/>
      <c r="F1901" s="264"/>
      <c r="G1901" s="264"/>
      <c r="H1901" s="264"/>
      <c r="I1901" s="264"/>
      <c r="J1901" s="327"/>
      <c r="K1901" s="327"/>
      <c r="L1901" s="327"/>
      <c r="M1901" s="321"/>
      <c r="N1901" s="321"/>
      <c r="O1901" s="364"/>
      <c r="P1901" s="376"/>
      <c r="R1901" s="393"/>
      <c r="S1901" s="61" ph="1"/>
      <c r="U1901" s="229"/>
      <c r="V1901" s="264"/>
      <c r="W1901" s="199"/>
      <c r="X1901" s="264"/>
      <c r="Y1901" s="264"/>
      <c r="Z1901" s="386"/>
      <c r="AD1901" s="264"/>
      <c r="AE1901" s="264"/>
      <c r="AF1901" s="264"/>
      <c r="AG1901" s="264"/>
    </row>
    <row r="1902" spans="1:33" ht="26.25">
      <c r="A1902" s="264"/>
      <c r="B1902" s="264"/>
      <c r="C1902" s="264"/>
      <c r="D1902" s="264"/>
      <c r="E1902" s="264"/>
      <c r="F1902" s="264"/>
      <c r="G1902" s="264"/>
      <c r="H1902" s="264"/>
      <c r="I1902" s="264"/>
      <c r="J1902" s="327"/>
      <c r="K1902" s="327"/>
      <c r="L1902" s="327"/>
      <c r="M1902" s="321"/>
      <c r="N1902" s="321"/>
      <c r="O1902" s="364"/>
      <c r="P1902" s="376"/>
      <c r="R1902" s="393"/>
      <c r="S1902" s="61" ph="1"/>
      <c r="U1902" s="229"/>
      <c r="V1902" s="264"/>
      <c r="W1902" s="199"/>
      <c r="X1902" s="264"/>
      <c r="Y1902" s="264"/>
      <c r="Z1902" s="386"/>
      <c r="AD1902" s="264"/>
      <c r="AE1902" s="264"/>
      <c r="AF1902" s="264"/>
      <c r="AG1902" s="264"/>
    </row>
    <row r="1903" spans="1:33" ht="26.25">
      <c r="A1903" s="264"/>
      <c r="B1903" s="264"/>
      <c r="C1903" s="264"/>
      <c r="D1903" s="264"/>
      <c r="E1903" s="264"/>
      <c r="F1903" s="264"/>
      <c r="G1903" s="264"/>
      <c r="H1903" s="264"/>
      <c r="I1903" s="264"/>
      <c r="J1903" s="327"/>
      <c r="K1903" s="327"/>
      <c r="L1903" s="327"/>
      <c r="M1903" s="321"/>
      <c r="N1903" s="321"/>
      <c r="O1903" s="364"/>
      <c r="P1903" s="376"/>
      <c r="R1903" s="393"/>
      <c r="S1903" s="61" ph="1"/>
      <c r="U1903" s="229"/>
      <c r="V1903" s="264"/>
      <c r="W1903" s="199"/>
      <c r="X1903" s="264"/>
      <c r="Y1903" s="264"/>
      <c r="Z1903" s="386"/>
      <c r="AD1903" s="264"/>
      <c r="AE1903" s="264"/>
      <c r="AF1903" s="264"/>
      <c r="AG1903" s="264"/>
    </row>
    <row r="1904" spans="1:33" ht="26.25">
      <c r="A1904" s="264"/>
      <c r="B1904" s="264"/>
      <c r="C1904" s="264"/>
      <c r="D1904" s="264"/>
      <c r="E1904" s="264"/>
      <c r="F1904" s="264"/>
      <c r="G1904" s="264"/>
      <c r="H1904" s="264"/>
      <c r="I1904" s="264"/>
      <c r="J1904" s="327"/>
      <c r="K1904" s="327"/>
      <c r="L1904" s="327"/>
      <c r="M1904" s="321"/>
      <c r="N1904" s="321"/>
      <c r="O1904" s="364"/>
      <c r="P1904" s="376"/>
      <c r="R1904" s="393"/>
      <c r="S1904" s="61" ph="1"/>
      <c r="U1904" s="229"/>
      <c r="V1904" s="264"/>
      <c r="W1904" s="199"/>
      <c r="X1904" s="264"/>
      <c r="Y1904" s="264"/>
      <c r="Z1904" s="386"/>
      <c r="AD1904" s="264"/>
      <c r="AE1904" s="264"/>
      <c r="AF1904" s="264"/>
      <c r="AG1904" s="264"/>
    </row>
    <row r="1905" spans="1:33" ht="26.25">
      <c r="A1905" s="264"/>
      <c r="B1905" s="264"/>
      <c r="C1905" s="264"/>
      <c r="D1905" s="264"/>
      <c r="E1905" s="264"/>
      <c r="F1905" s="264"/>
      <c r="G1905" s="264"/>
      <c r="H1905" s="264"/>
      <c r="I1905" s="264"/>
      <c r="J1905" s="327"/>
      <c r="K1905" s="327"/>
      <c r="L1905" s="327"/>
      <c r="M1905" s="321"/>
      <c r="N1905" s="321"/>
      <c r="O1905" s="364"/>
      <c r="P1905" s="376"/>
      <c r="R1905" s="393"/>
      <c r="S1905" s="61" ph="1"/>
      <c r="U1905" s="229"/>
      <c r="V1905" s="264"/>
      <c r="W1905" s="199"/>
      <c r="X1905" s="264"/>
      <c r="Y1905" s="264"/>
      <c r="Z1905" s="386"/>
      <c r="AD1905" s="264"/>
      <c r="AE1905" s="264"/>
      <c r="AF1905" s="264"/>
      <c r="AG1905" s="264"/>
    </row>
    <row r="1906" spans="1:33" ht="26.25">
      <c r="A1906" s="264"/>
      <c r="B1906" s="264"/>
      <c r="C1906" s="264"/>
      <c r="D1906" s="264"/>
      <c r="E1906" s="264"/>
      <c r="F1906" s="264"/>
      <c r="G1906" s="264"/>
      <c r="H1906" s="264"/>
      <c r="I1906" s="264"/>
      <c r="J1906" s="327"/>
      <c r="K1906" s="327"/>
      <c r="L1906" s="327"/>
      <c r="M1906" s="321"/>
      <c r="N1906" s="321"/>
      <c r="O1906" s="364"/>
      <c r="P1906" s="376"/>
      <c r="R1906" s="393"/>
      <c r="S1906" s="61" ph="1"/>
      <c r="U1906" s="229"/>
      <c r="V1906" s="264"/>
      <c r="W1906" s="199"/>
      <c r="X1906" s="264"/>
      <c r="Y1906" s="264"/>
      <c r="Z1906" s="386"/>
      <c r="AD1906" s="264"/>
      <c r="AE1906" s="264"/>
      <c r="AF1906" s="264"/>
      <c r="AG1906" s="264"/>
    </row>
    <row r="1907" spans="1:33" ht="26.25">
      <c r="A1907" s="264"/>
      <c r="B1907" s="264"/>
      <c r="C1907" s="264"/>
      <c r="D1907" s="264"/>
      <c r="E1907" s="264"/>
      <c r="F1907" s="264"/>
      <c r="G1907" s="264"/>
      <c r="H1907" s="264"/>
      <c r="I1907" s="264"/>
      <c r="J1907" s="327"/>
      <c r="K1907" s="327"/>
      <c r="L1907" s="327"/>
      <c r="M1907" s="321"/>
      <c r="N1907" s="321"/>
      <c r="O1907" s="364"/>
      <c r="P1907" s="376"/>
      <c r="R1907" s="393"/>
      <c r="S1907" s="61" ph="1"/>
      <c r="U1907" s="229"/>
      <c r="V1907" s="264"/>
      <c r="W1907" s="199"/>
      <c r="X1907" s="264"/>
      <c r="Y1907" s="264"/>
      <c r="Z1907" s="386"/>
      <c r="AD1907" s="264"/>
      <c r="AE1907" s="264"/>
      <c r="AF1907" s="264"/>
      <c r="AG1907" s="264"/>
    </row>
    <row r="1908" spans="1:33" ht="26.25">
      <c r="A1908" s="264"/>
      <c r="B1908" s="264"/>
      <c r="C1908" s="264"/>
      <c r="D1908" s="264"/>
      <c r="E1908" s="264"/>
      <c r="F1908" s="264"/>
      <c r="G1908" s="264"/>
      <c r="H1908" s="264"/>
      <c r="I1908" s="264"/>
      <c r="J1908" s="327"/>
      <c r="K1908" s="327"/>
      <c r="L1908" s="327"/>
      <c r="M1908" s="321"/>
      <c r="N1908" s="321"/>
      <c r="O1908" s="364"/>
      <c r="P1908" s="376"/>
      <c r="R1908" s="393"/>
      <c r="S1908" s="61" ph="1"/>
      <c r="U1908" s="229"/>
      <c r="V1908" s="264"/>
      <c r="W1908" s="199"/>
      <c r="X1908" s="264"/>
      <c r="Y1908" s="264"/>
      <c r="Z1908" s="386"/>
      <c r="AD1908" s="264"/>
      <c r="AE1908" s="264"/>
      <c r="AF1908" s="264"/>
      <c r="AG1908" s="264"/>
    </row>
    <row r="1909" spans="1:33" ht="26.25">
      <c r="A1909" s="264"/>
      <c r="B1909" s="264"/>
      <c r="C1909" s="264"/>
      <c r="D1909" s="264"/>
      <c r="E1909" s="264"/>
      <c r="F1909" s="264"/>
      <c r="G1909" s="264"/>
      <c r="H1909" s="264"/>
      <c r="I1909" s="264"/>
      <c r="J1909" s="327"/>
      <c r="K1909" s="327"/>
      <c r="L1909" s="327"/>
      <c r="M1909" s="321"/>
      <c r="N1909" s="321"/>
      <c r="O1909" s="364"/>
      <c r="P1909" s="376"/>
      <c r="R1909" s="393"/>
      <c r="S1909" s="61" ph="1"/>
      <c r="U1909" s="229"/>
      <c r="V1909" s="264"/>
      <c r="W1909" s="199"/>
      <c r="X1909" s="264"/>
      <c r="Y1909" s="264"/>
      <c r="Z1909" s="386"/>
      <c r="AD1909" s="264"/>
      <c r="AE1909" s="264"/>
      <c r="AF1909" s="264"/>
      <c r="AG1909" s="264"/>
    </row>
    <row r="1910" spans="1:33" ht="26.25">
      <c r="A1910" s="264"/>
      <c r="B1910" s="264"/>
      <c r="C1910" s="264"/>
      <c r="D1910" s="264"/>
      <c r="E1910" s="264"/>
      <c r="F1910" s="264"/>
      <c r="G1910" s="264"/>
      <c r="H1910" s="264"/>
      <c r="I1910" s="264"/>
      <c r="J1910" s="327"/>
      <c r="K1910" s="327"/>
      <c r="L1910" s="327"/>
      <c r="M1910" s="321"/>
      <c r="N1910" s="321"/>
      <c r="O1910" s="364"/>
      <c r="P1910" s="376"/>
      <c r="R1910" s="393"/>
      <c r="S1910" s="61" ph="1"/>
      <c r="U1910" s="229"/>
      <c r="V1910" s="264"/>
      <c r="W1910" s="199"/>
      <c r="X1910" s="264"/>
      <c r="Y1910" s="264"/>
      <c r="Z1910" s="386"/>
      <c r="AD1910" s="264"/>
      <c r="AE1910" s="264"/>
      <c r="AF1910" s="264"/>
      <c r="AG1910" s="264"/>
    </row>
    <row r="1911" spans="1:33" ht="26.25">
      <c r="A1911" s="264"/>
      <c r="B1911" s="264"/>
      <c r="C1911" s="264"/>
      <c r="D1911" s="264"/>
      <c r="E1911" s="264"/>
      <c r="F1911" s="264"/>
      <c r="G1911" s="264"/>
      <c r="H1911" s="264"/>
      <c r="I1911" s="264"/>
      <c r="J1911" s="327"/>
      <c r="K1911" s="327"/>
      <c r="L1911" s="327"/>
      <c r="M1911" s="321"/>
      <c r="N1911" s="321"/>
      <c r="O1911" s="364"/>
      <c r="P1911" s="376"/>
      <c r="R1911" s="393"/>
      <c r="S1911" s="61" ph="1"/>
      <c r="U1911" s="229"/>
      <c r="V1911" s="264"/>
      <c r="W1911" s="199"/>
      <c r="X1911" s="264"/>
      <c r="Y1911" s="264"/>
      <c r="Z1911" s="386"/>
      <c r="AD1911" s="264"/>
      <c r="AE1911" s="264"/>
      <c r="AF1911" s="264"/>
      <c r="AG1911" s="264"/>
    </row>
    <row r="1912" spans="1:33" ht="26.25">
      <c r="A1912" s="264"/>
      <c r="B1912" s="264"/>
      <c r="C1912" s="264"/>
      <c r="D1912" s="264"/>
      <c r="E1912" s="264"/>
      <c r="F1912" s="264"/>
      <c r="G1912" s="264"/>
      <c r="H1912" s="264"/>
      <c r="I1912" s="264"/>
      <c r="J1912" s="327"/>
      <c r="K1912" s="327"/>
      <c r="L1912" s="327"/>
      <c r="M1912" s="321"/>
      <c r="N1912" s="321"/>
      <c r="O1912" s="364"/>
      <c r="P1912" s="376"/>
      <c r="R1912" s="393"/>
      <c r="S1912" s="61" ph="1"/>
      <c r="U1912" s="229"/>
      <c r="V1912" s="264"/>
      <c r="W1912" s="199"/>
      <c r="X1912" s="264"/>
      <c r="Y1912" s="264"/>
      <c r="Z1912" s="386"/>
      <c r="AD1912" s="264"/>
      <c r="AE1912" s="264"/>
      <c r="AF1912" s="264"/>
      <c r="AG1912" s="264"/>
    </row>
    <row r="1913" spans="1:33" ht="26.25">
      <c r="A1913" s="264"/>
      <c r="B1913" s="264"/>
      <c r="C1913" s="264"/>
      <c r="D1913" s="264"/>
      <c r="E1913" s="264"/>
      <c r="F1913" s="264"/>
      <c r="G1913" s="264"/>
      <c r="H1913" s="264"/>
      <c r="I1913" s="264"/>
      <c r="J1913" s="327"/>
      <c r="K1913" s="327"/>
      <c r="L1913" s="327"/>
      <c r="M1913" s="321"/>
      <c r="N1913" s="321"/>
      <c r="O1913" s="364"/>
      <c r="P1913" s="376"/>
      <c r="R1913" s="393"/>
      <c r="S1913" s="61" ph="1"/>
      <c r="U1913" s="229"/>
      <c r="V1913" s="264"/>
      <c r="W1913" s="199"/>
      <c r="X1913" s="264"/>
      <c r="Y1913" s="264"/>
      <c r="Z1913" s="386"/>
      <c r="AD1913" s="264"/>
      <c r="AE1913" s="264"/>
      <c r="AF1913" s="264"/>
      <c r="AG1913" s="264"/>
    </row>
    <row r="1914" spans="1:33" ht="26.25">
      <c r="A1914" s="264"/>
      <c r="B1914" s="264"/>
      <c r="C1914" s="264"/>
      <c r="D1914" s="264"/>
      <c r="E1914" s="264"/>
      <c r="F1914" s="264"/>
      <c r="G1914" s="264"/>
      <c r="H1914" s="264"/>
      <c r="I1914" s="264"/>
      <c r="J1914" s="327"/>
      <c r="K1914" s="327"/>
      <c r="L1914" s="327"/>
      <c r="M1914" s="321"/>
      <c r="N1914" s="321"/>
      <c r="O1914" s="364"/>
      <c r="P1914" s="376"/>
      <c r="R1914" s="393"/>
      <c r="S1914" s="61" ph="1"/>
      <c r="U1914" s="229"/>
      <c r="V1914" s="264"/>
      <c r="W1914" s="199"/>
      <c r="X1914" s="264"/>
      <c r="Y1914" s="264"/>
      <c r="Z1914" s="386"/>
      <c r="AD1914" s="264"/>
      <c r="AE1914" s="264"/>
      <c r="AF1914" s="264"/>
      <c r="AG1914" s="264"/>
    </row>
    <row r="1915" spans="1:33" ht="26.25">
      <c r="A1915" s="264"/>
      <c r="B1915" s="264"/>
      <c r="C1915" s="264"/>
      <c r="D1915" s="264"/>
      <c r="E1915" s="264"/>
      <c r="F1915" s="264"/>
      <c r="G1915" s="264"/>
      <c r="H1915" s="264"/>
      <c r="I1915" s="264"/>
      <c r="J1915" s="327"/>
      <c r="K1915" s="327"/>
      <c r="L1915" s="327"/>
      <c r="M1915" s="321"/>
      <c r="N1915" s="321"/>
      <c r="O1915" s="364"/>
      <c r="P1915" s="376"/>
      <c r="R1915" s="393"/>
      <c r="S1915" s="61" ph="1"/>
      <c r="U1915" s="229"/>
      <c r="V1915" s="264"/>
      <c r="W1915" s="199"/>
      <c r="X1915" s="264"/>
      <c r="Y1915" s="264"/>
      <c r="Z1915" s="386"/>
      <c r="AD1915" s="264"/>
      <c r="AE1915" s="264"/>
      <c r="AF1915" s="264"/>
      <c r="AG1915" s="264"/>
    </row>
    <row r="1916" spans="1:33" ht="26.25">
      <c r="A1916" s="264"/>
      <c r="B1916" s="264"/>
      <c r="C1916" s="264"/>
      <c r="D1916" s="264"/>
      <c r="E1916" s="264"/>
      <c r="F1916" s="264"/>
      <c r="G1916" s="264"/>
      <c r="H1916" s="264"/>
      <c r="I1916" s="264"/>
      <c r="J1916" s="327"/>
      <c r="K1916" s="327"/>
      <c r="L1916" s="327"/>
      <c r="M1916" s="321"/>
      <c r="N1916" s="321"/>
      <c r="O1916" s="364"/>
      <c r="P1916" s="376"/>
      <c r="R1916" s="393"/>
      <c r="S1916" s="61" ph="1"/>
      <c r="U1916" s="229"/>
      <c r="V1916" s="264"/>
      <c r="W1916" s="199"/>
      <c r="X1916" s="264"/>
      <c r="Y1916" s="264"/>
      <c r="Z1916" s="386"/>
      <c r="AD1916" s="264"/>
      <c r="AE1916" s="264"/>
      <c r="AF1916" s="264"/>
      <c r="AG1916" s="264"/>
    </row>
    <row r="1917" spans="1:33" ht="26.25">
      <c r="A1917" s="264"/>
      <c r="B1917" s="264"/>
      <c r="C1917" s="264"/>
      <c r="D1917" s="264"/>
      <c r="E1917" s="264"/>
      <c r="F1917" s="264"/>
      <c r="G1917" s="264"/>
      <c r="H1917" s="264"/>
      <c r="I1917" s="264"/>
      <c r="J1917" s="327"/>
      <c r="K1917" s="327"/>
      <c r="L1917" s="327"/>
      <c r="M1917" s="321"/>
      <c r="N1917" s="321"/>
      <c r="O1917" s="364"/>
      <c r="P1917" s="376"/>
      <c r="R1917" s="393"/>
      <c r="S1917" s="61" ph="1"/>
      <c r="U1917" s="229"/>
      <c r="V1917" s="264"/>
      <c r="W1917" s="199"/>
      <c r="X1917" s="264"/>
      <c r="Y1917" s="264"/>
      <c r="Z1917" s="386"/>
      <c r="AD1917" s="264"/>
      <c r="AE1917" s="264"/>
      <c r="AF1917" s="264"/>
      <c r="AG1917" s="264"/>
    </row>
    <row r="1918" spans="1:33" ht="26.25">
      <c r="A1918" s="264"/>
      <c r="B1918" s="264"/>
      <c r="C1918" s="264"/>
      <c r="D1918" s="264"/>
      <c r="E1918" s="264"/>
      <c r="F1918" s="264"/>
      <c r="G1918" s="264"/>
      <c r="H1918" s="264"/>
      <c r="I1918" s="264"/>
      <c r="J1918" s="327"/>
      <c r="K1918" s="327"/>
      <c r="L1918" s="327"/>
      <c r="M1918" s="321"/>
      <c r="N1918" s="321"/>
      <c r="O1918" s="364"/>
      <c r="P1918" s="376"/>
      <c r="R1918" s="393"/>
      <c r="S1918" s="61" ph="1"/>
      <c r="U1918" s="229"/>
      <c r="V1918" s="264"/>
      <c r="W1918" s="199"/>
      <c r="X1918" s="264"/>
      <c r="Y1918" s="264"/>
      <c r="Z1918" s="386"/>
      <c r="AD1918" s="264"/>
      <c r="AE1918" s="264"/>
      <c r="AF1918" s="264"/>
      <c r="AG1918" s="264"/>
    </row>
    <row r="1919" spans="1:33" ht="26.25">
      <c r="A1919" s="264"/>
      <c r="B1919" s="264"/>
      <c r="C1919" s="264"/>
      <c r="D1919" s="264"/>
      <c r="E1919" s="264"/>
      <c r="F1919" s="264"/>
      <c r="G1919" s="264"/>
      <c r="H1919" s="264"/>
      <c r="I1919" s="264"/>
      <c r="J1919" s="327"/>
      <c r="K1919" s="327"/>
      <c r="L1919" s="327"/>
      <c r="M1919" s="321"/>
      <c r="N1919" s="321"/>
      <c r="O1919" s="364"/>
      <c r="P1919" s="376"/>
      <c r="R1919" s="393"/>
      <c r="S1919" s="61" ph="1"/>
      <c r="U1919" s="229"/>
      <c r="V1919" s="264"/>
      <c r="W1919" s="199"/>
      <c r="X1919" s="264"/>
      <c r="Y1919" s="264"/>
      <c r="Z1919" s="386"/>
      <c r="AD1919" s="264"/>
      <c r="AE1919" s="264"/>
      <c r="AF1919" s="264"/>
      <c r="AG1919" s="264"/>
    </row>
    <row r="1920" spans="1:33" ht="26.25">
      <c r="A1920" s="264"/>
      <c r="B1920" s="264"/>
      <c r="C1920" s="264"/>
      <c r="D1920" s="264"/>
      <c r="E1920" s="264"/>
      <c r="F1920" s="264"/>
      <c r="G1920" s="264"/>
      <c r="H1920" s="264"/>
      <c r="I1920" s="264"/>
      <c r="J1920" s="327"/>
      <c r="K1920" s="327"/>
      <c r="L1920" s="327"/>
      <c r="M1920" s="321"/>
      <c r="N1920" s="321"/>
      <c r="O1920" s="364"/>
      <c r="P1920" s="376"/>
      <c r="R1920" s="393"/>
      <c r="S1920" s="61" ph="1"/>
      <c r="U1920" s="229"/>
      <c r="V1920" s="264"/>
      <c r="W1920" s="199"/>
      <c r="X1920" s="264"/>
      <c r="Y1920" s="264"/>
      <c r="Z1920" s="386"/>
      <c r="AD1920" s="264"/>
      <c r="AE1920" s="264"/>
      <c r="AF1920" s="264"/>
      <c r="AG1920" s="264"/>
    </row>
    <row r="1921" spans="1:33" ht="26.25">
      <c r="A1921" s="264"/>
      <c r="B1921" s="264"/>
      <c r="C1921" s="264"/>
      <c r="D1921" s="264"/>
      <c r="E1921" s="264"/>
      <c r="F1921" s="264"/>
      <c r="G1921" s="264"/>
      <c r="H1921" s="264"/>
      <c r="I1921" s="264"/>
      <c r="J1921" s="327"/>
      <c r="K1921" s="327"/>
      <c r="L1921" s="327"/>
      <c r="M1921" s="321"/>
      <c r="N1921" s="321"/>
      <c r="O1921" s="364"/>
      <c r="P1921" s="376"/>
      <c r="R1921" s="393"/>
      <c r="S1921" s="61" ph="1"/>
      <c r="U1921" s="229"/>
      <c r="V1921" s="264"/>
      <c r="W1921" s="199"/>
      <c r="X1921" s="264"/>
      <c r="Y1921" s="264"/>
      <c r="Z1921" s="386"/>
      <c r="AD1921" s="264"/>
      <c r="AE1921" s="264"/>
      <c r="AF1921" s="264"/>
      <c r="AG1921" s="264"/>
    </row>
    <row r="1922" spans="1:33" ht="26.25">
      <c r="A1922" s="264"/>
      <c r="B1922" s="264"/>
      <c r="C1922" s="264"/>
      <c r="D1922" s="264"/>
      <c r="E1922" s="264"/>
      <c r="F1922" s="264"/>
      <c r="G1922" s="264"/>
      <c r="H1922" s="264"/>
      <c r="I1922" s="264"/>
      <c r="J1922" s="327"/>
      <c r="K1922" s="327"/>
      <c r="L1922" s="327"/>
      <c r="M1922" s="321"/>
      <c r="N1922" s="321"/>
      <c r="O1922" s="364"/>
      <c r="P1922" s="376"/>
      <c r="R1922" s="393"/>
      <c r="S1922" s="61" ph="1"/>
      <c r="U1922" s="229"/>
      <c r="V1922" s="264"/>
      <c r="W1922" s="199"/>
      <c r="X1922" s="264"/>
      <c r="Y1922" s="264"/>
      <c r="Z1922" s="386"/>
      <c r="AD1922" s="264"/>
      <c r="AE1922" s="264"/>
      <c r="AF1922" s="264"/>
      <c r="AG1922" s="264"/>
    </row>
    <row r="1923" spans="1:33" ht="26.25">
      <c r="A1923" s="264"/>
      <c r="B1923" s="264"/>
      <c r="C1923" s="264"/>
      <c r="D1923" s="264"/>
      <c r="E1923" s="264"/>
      <c r="F1923" s="264"/>
      <c r="G1923" s="264"/>
      <c r="H1923" s="264"/>
      <c r="I1923" s="264"/>
      <c r="J1923" s="327"/>
      <c r="K1923" s="327"/>
      <c r="L1923" s="327"/>
      <c r="M1923" s="321"/>
      <c r="N1923" s="321"/>
      <c r="O1923" s="364"/>
      <c r="P1923" s="376"/>
      <c r="R1923" s="393"/>
      <c r="S1923" s="61" ph="1"/>
      <c r="U1923" s="229"/>
      <c r="V1923" s="264"/>
      <c r="W1923" s="199"/>
      <c r="X1923" s="264"/>
      <c r="Y1923" s="264"/>
      <c r="Z1923" s="386"/>
      <c r="AD1923" s="264"/>
      <c r="AE1923" s="264"/>
      <c r="AF1923" s="264"/>
      <c r="AG1923" s="264"/>
    </row>
    <row r="1924" spans="1:33" ht="26.25">
      <c r="A1924" s="264"/>
      <c r="B1924" s="264"/>
      <c r="C1924" s="264"/>
      <c r="D1924" s="264"/>
      <c r="E1924" s="264"/>
      <c r="F1924" s="264"/>
      <c r="G1924" s="264"/>
      <c r="H1924" s="264"/>
      <c r="I1924" s="264"/>
      <c r="J1924" s="327"/>
      <c r="K1924" s="327"/>
      <c r="L1924" s="327"/>
      <c r="M1924" s="321"/>
      <c r="N1924" s="321"/>
      <c r="O1924" s="364"/>
      <c r="P1924" s="376"/>
      <c r="R1924" s="393"/>
      <c r="S1924" s="61" ph="1"/>
      <c r="U1924" s="229"/>
      <c r="V1924" s="264"/>
      <c r="W1924" s="199"/>
      <c r="X1924" s="264"/>
      <c r="Y1924" s="264"/>
      <c r="Z1924" s="386"/>
      <c r="AD1924" s="264"/>
      <c r="AE1924" s="264"/>
      <c r="AF1924" s="264"/>
      <c r="AG1924" s="264"/>
    </row>
    <row r="1925" spans="1:33" ht="26.25">
      <c r="A1925" s="264"/>
      <c r="B1925" s="264"/>
      <c r="C1925" s="264"/>
      <c r="D1925" s="264"/>
      <c r="E1925" s="264"/>
      <c r="F1925" s="264"/>
      <c r="G1925" s="264"/>
      <c r="H1925" s="264"/>
      <c r="I1925" s="264"/>
      <c r="J1925" s="327"/>
      <c r="K1925" s="327"/>
      <c r="L1925" s="327"/>
      <c r="M1925" s="321"/>
      <c r="N1925" s="321"/>
      <c r="O1925" s="364"/>
      <c r="P1925" s="376"/>
      <c r="R1925" s="393"/>
      <c r="S1925" s="61" ph="1"/>
      <c r="U1925" s="229"/>
      <c r="V1925" s="264"/>
      <c r="W1925" s="199"/>
      <c r="X1925" s="264"/>
      <c r="Y1925" s="264"/>
      <c r="Z1925" s="386"/>
      <c r="AD1925" s="264"/>
      <c r="AE1925" s="264"/>
      <c r="AF1925" s="264"/>
      <c r="AG1925" s="264"/>
    </row>
    <row r="1926" spans="1:33" ht="26.25">
      <c r="A1926" s="264"/>
      <c r="B1926" s="264"/>
      <c r="C1926" s="264"/>
      <c r="D1926" s="264"/>
      <c r="E1926" s="264"/>
      <c r="F1926" s="264"/>
      <c r="G1926" s="264"/>
      <c r="H1926" s="264"/>
      <c r="I1926" s="264"/>
      <c r="J1926" s="327"/>
      <c r="K1926" s="327"/>
      <c r="L1926" s="327"/>
      <c r="M1926" s="321"/>
      <c r="N1926" s="321"/>
      <c r="O1926" s="364"/>
      <c r="P1926" s="376"/>
      <c r="R1926" s="393"/>
      <c r="S1926" s="61" ph="1"/>
      <c r="U1926" s="229"/>
      <c r="V1926" s="264"/>
      <c r="W1926" s="199"/>
      <c r="X1926" s="264"/>
      <c r="Y1926" s="264"/>
      <c r="Z1926" s="386"/>
      <c r="AD1926" s="264"/>
      <c r="AE1926" s="264"/>
      <c r="AF1926" s="264"/>
      <c r="AG1926" s="264"/>
    </row>
    <row r="1927" spans="1:33" ht="26.25">
      <c r="A1927" s="264"/>
      <c r="B1927" s="264"/>
      <c r="C1927" s="264"/>
      <c r="D1927" s="264"/>
      <c r="E1927" s="264"/>
      <c r="F1927" s="264"/>
      <c r="G1927" s="264"/>
      <c r="H1927" s="264"/>
      <c r="I1927" s="264"/>
      <c r="J1927" s="327"/>
      <c r="K1927" s="327"/>
      <c r="L1927" s="327"/>
      <c r="M1927" s="321"/>
      <c r="N1927" s="321"/>
      <c r="O1927" s="364"/>
      <c r="P1927" s="376"/>
      <c r="R1927" s="393"/>
      <c r="S1927" s="61" ph="1"/>
      <c r="U1927" s="229"/>
      <c r="V1927" s="264"/>
      <c r="W1927" s="199"/>
      <c r="X1927" s="264"/>
      <c r="Y1927" s="264"/>
      <c r="Z1927" s="386"/>
      <c r="AD1927" s="264"/>
      <c r="AE1927" s="264"/>
      <c r="AF1927" s="264"/>
      <c r="AG1927" s="264"/>
    </row>
    <row r="1928" spans="1:33" ht="26.25">
      <c r="A1928" s="264"/>
      <c r="B1928" s="264"/>
      <c r="C1928" s="264"/>
      <c r="D1928" s="264"/>
      <c r="E1928" s="264"/>
      <c r="F1928" s="264"/>
      <c r="G1928" s="264"/>
      <c r="H1928" s="264"/>
      <c r="I1928" s="264"/>
      <c r="J1928" s="327"/>
      <c r="K1928" s="327"/>
      <c r="L1928" s="327"/>
      <c r="M1928" s="321"/>
      <c r="N1928" s="321"/>
      <c r="O1928" s="364"/>
      <c r="P1928" s="376"/>
      <c r="R1928" s="393"/>
      <c r="S1928" s="61" ph="1"/>
      <c r="U1928" s="229"/>
      <c r="V1928" s="264"/>
      <c r="W1928" s="199"/>
      <c r="X1928" s="264"/>
      <c r="Y1928" s="264"/>
      <c r="Z1928" s="386"/>
      <c r="AD1928" s="264"/>
      <c r="AE1928" s="264"/>
      <c r="AF1928" s="264"/>
      <c r="AG1928" s="264"/>
    </row>
    <row r="1929" spans="1:33" ht="26.25">
      <c r="A1929" s="264"/>
      <c r="B1929" s="264"/>
      <c r="C1929" s="264"/>
      <c r="D1929" s="264"/>
      <c r="E1929" s="264"/>
      <c r="F1929" s="264"/>
      <c r="G1929" s="264"/>
      <c r="H1929" s="264"/>
      <c r="I1929" s="264"/>
      <c r="J1929" s="327"/>
      <c r="K1929" s="327"/>
      <c r="L1929" s="327"/>
      <c r="M1929" s="321"/>
      <c r="N1929" s="321"/>
      <c r="O1929" s="364"/>
      <c r="P1929" s="376"/>
      <c r="R1929" s="393"/>
      <c r="S1929" s="61" ph="1"/>
      <c r="U1929" s="229"/>
      <c r="V1929" s="264"/>
      <c r="W1929" s="199"/>
      <c r="X1929" s="264"/>
      <c r="Y1929" s="264"/>
      <c r="Z1929" s="386"/>
      <c r="AD1929" s="264"/>
      <c r="AE1929" s="264"/>
      <c r="AF1929" s="264"/>
      <c r="AG1929" s="264"/>
    </row>
    <row r="1930" spans="1:33" ht="26.25">
      <c r="A1930" s="264"/>
      <c r="B1930" s="264"/>
      <c r="C1930" s="264"/>
      <c r="D1930" s="264"/>
      <c r="E1930" s="264"/>
      <c r="F1930" s="264"/>
      <c r="G1930" s="264"/>
      <c r="H1930" s="264"/>
      <c r="I1930" s="264"/>
      <c r="J1930" s="327"/>
      <c r="K1930" s="327"/>
      <c r="L1930" s="327"/>
      <c r="M1930" s="321"/>
      <c r="N1930" s="321"/>
      <c r="O1930" s="364"/>
      <c r="P1930" s="376"/>
      <c r="R1930" s="393"/>
      <c r="S1930" s="61" ph="1"/>
      <c r="U1930" s="229"/>
      <c r="V1930" s="264"/>
      <c r="W1930" s="199"/>
      <c r="X1930" s="264"/>
      <c r="Y1930" s="264"/>
      <c r="Z1930" s="386"/>
      <c r="AD1930" s="264"/>
      <c r="AE1930" s="264"/>
      <c r="AF1930" s="264"/>
      <c r="AG1930" s="264"/>
    </row>
    <row r="1931" spans="1:33" ht="26.25">
      <c r="A1931" s="264"/>
      <c r="B1931" s="264"/>
      <c r="C1931" s="264"/>
      <c r="D1931" s="264"/>
      <c r="E1931" s="264"/>
      <c r="F1931" s="264"/>
      <c r="G1931" s="264"/>
      <c r="H1931" s="264"/>
      <c r="I1931" s="264"/>
      <c r="J1931" s="327"/>
      <c r="K1931" s="327"/>
      <c r="L1931" s="327"/>
      <c r="M1931" s="321"/>
      <c r="N1931" s="321"/>
      <c r="O1931" s="364"/>
      <c r="P1931" s="376"/>
      <c r="R1931" s="393"/>
      <c r="S1931" s="61" ph="1"/>
      <c r="U1931" s="229"/>
      <c r="V1931" s="264"/>
      <c r="W1931" s="199"/>
      <c r="X1931" s="264"/>
      <c r="Y1931" s="264"/>
      <c r="Z1931" s="386"/>
      <c r="AD1931" s="264"/>
      <c r="AE1931" s="264"/>
      <c r="AF1931" s="264"/>
      <c r="AG1931" s="264"/>
    </row>
    <row r="1932" spans="1:33" ht="26.25">
      <c r="A1932" s="264"/>
      <c r="B1932" s="264"/>
      <c r="C1932" s="264"/>
      <c r="D1932" s="264"/>
      <c r="E1932" s="264"/>
      <c r="F1932" s="264"/>
      <c r="G1932" s="264"/>
      <c r="H1932" s="264"/>
      <c r="I1932" s="264"/>
      <c r="J1932" s="327"/>
      <c r="K1932" s="327"/>
      <c r="L1932" s="327"/>
      <c r="M1932" s="321"/>
      <c r="N1932" s="321"/>
      <c r="O1932" s="364"/>
      <c r="P1932" s="376"/>
      <c r="R1932" s="393"/>
      <c r="S1932" s="61" ph="1"/>
      <c r="U1932" s="229"/>
      <c r="V1932" s="264"/>
      <c r="W1932" s="199"/>
      <c r="X1932" s="264"/>
      <c r="Y1932" s="264"/>
      <c r="Z1932" s="386"/>
      <c r="AD1932" s="264"/>
      <c r="AE1932" s="264"/>
      <c r="AF1932" s="264"/>
      <c r="AG1932" s="264"/>
    </row>
    <row r="1933" spans="1:33" ht="26.25">
      <c r="A1933" s="264"/>
      <c r="B1933" s="264"/>
      <c r="C1933" s="264"/>
      <c r="D1933" s="264"/>
      <c r="E1933" s="264"/>
      <c r="F1933" s="264"/>
      <c r="G1933" s="264"/>
      <c r="H1933" s="264"/>
      <c r="I1933" s="264"/>
      <c r="J1933" s="327"/>
      <c r="K1933" s="327"/>
      <c r="L1933" s="327"/>
      <c r="M1933" s="321"/>
      <c r="N1933" s="321"/>
      <c r="O1933" s="364"/>
      <c r="P1933" s="376"/>
      <c r="R1933" s="393"/>
      <c r="S1933" s="61" ph="1"/>
      <c r="U1933" s="229"/>
      <c r="V1933" s="264"/>
      <c r="W1933" s="199"/>
      <c r="X1933" s="264"/>
      <c r="Y1933" s="264"/>
      <c r="Z1933" s="386"/>
      <c r="AD1933" s="264"/>
      <c r="AE1933" s="264"/>
      <c r="AF1933" s="264"/>
      <c r="AG1933" s="264"/>
    </row>
    <row r="1934" spans="1:33" ht="26.25">
      <c r="A1934" s="264"/>
      <c r="B1934" s="264"/>
      <c r="C1934" s="264"/>
      <c r="D1934" s="264"/>
      <c r="E1934" s="264"/>
      <c r="F1934" s="264"/>
      <c r="G1934" s="264"/>
      <c r="H1934" s="264"/>
      <c r="I1934" s="264"/>
      <c r="J1934" s="327"/>
      <c r="K1934" s="327"/>
      <c r="L1934" s="327"/>
      <c r="M1934" s="321"/>
      <c r="N1934" s="321"/>
      <c r="O1934" s="364"/>
      <c r="P1934" s="376"/>
      <c r="R1934" s="393"/>
      <c r="S1934" s="61" ph="1"/>
      <c r="U1934" s="229"/>
      <c r="V1934" s="264"/>
      <c r="W1934" s="199"/>
      <c r="X1934" s="264"/>
      <c r="Y1934" s="264"/>
      <c r="Z1934" s="386"/>
      <c r="AD1934" s="264"/>
      <c r="AE1934" s="264"/>
      <c r="AF1934" s="264"/>
      <c r="AG1934" s="264"/>
    </row>
    <row r="1935" spans="1:33" ht="26.25">
      <c r="A1935" s="264"/>
      <c r="B1935" s="264"/>
      <c r="C1935" s="264"/>
      <c r="D1935" s="264"/>
      <c r="E1935" s="264"/>
      <c r="F1935" s="264"/>
      <c r="G1935" s="264"/>
      <c r="H1935" s="264"/>
      <c r="I1935" s="264"/>
      <c r="J1935" s="327"/>
      <c r="K1935" s="327"/>
      <c r="L1935" s="327"/>
      <c r="M1935" s="321"/>
      <c r="N1935" s="321"/>
      <c r="O1935" s="364"/>
      <c r="P1935" s="376"/>
      <c r="R1935" s="393"/>
      <c r="S1935" s="61" ph="1"/>
      <c r="U1935" s="229"/>
      <c r="V1935" s="264"/>
      <c r="W1935" s="199"/>
      <c r="X1935" s="264"/>
      <c r="Y1935" s="264"/>
      <c r="Z1935" s="386"/>
      <c r="AD1935" s="264"/>
      <c r="AE1935" s="264"/>
      <c r="AF1935" s="264"/>
      <c r="AG1935" s="264"/>
    </row>
    <row r="1936" spans="1:33" ht="26.25">
      <c r="A1936" s="264"/>
      <c r="B1936" s="264"/>
      <c r="C1936" s="264"/>
      <c r="D1936" s="264"/>
      <c r="E1936" s="264"/>
      <c r="F1936" s="264"/>
      <c r="G1936" s="264"/>
      <c r="H1936" s="264"/>
      <c r="I1936" s="264"/>
      <c r="J1936" s="327"/>
      <c r="K1936" s="327"/>
      <c r="L1936" s="327"/>
      <c r="M1936" s="321"/>
      <c r="N1936" s="321"/>
      <c r="O1936" s="364"/>
      <c r="P1936" s="376"/>
      <c r="R1936" s="393"/>
      <c r="S1936" s="61" ph="1"/>
      <c r="U1936" s="229"/>
      <c r="V1936" s="264"/>
      <c r="W1936" s="199"/>
      <c r="X1936" s="264"/>
      <c r="Y1936" s="264"/>
      <c r="Z1936" s="386"/>
      <c r="AD1936" s="264"/>
      <c r="AE1936" s="264"/>
      <c r="AF1936" s="264"/>
      <c r="AG1936" s="264"/>
    </row>
    <row r="1937" spans="1:33" ht="26.25">
      <c r="A1937" s="264"/>
      <c r="B1937" s="264"/>
      <c r="C1937" s="264"/>
      <c r="D1937" s="264"/>
      <c r="E1937" s="264"/>
      <c r="F1937" s="264"/>
      <c r="G1937" s="264"/>
      <c r="H1937" s="264"/>
      <c r="I1937" s="264"/>
      <c r="J1937" s="327"/>
      <c r="K1937" s="327"/>
      <c r="L1937" s="327"/>
      <c r="M1937" s="321"/>
      <c r="N1937" s="321"/>
      <c r="O1937" s="364"/>
      <c r="P1937" s="376"/>
      <c r="R1937" s="393"/>
      <c r="S1937" s="61" ph="1"/>
      <c r="U1937" s="229"/>
      <c r="V1937" s="264"/>
      <c r="W1937" s="199"/>
      <c r="X1937" s="264"/>
      <c r="Y1937" s="264"/>
      <c r="Z1937" s="386"/>
      <c r="AD1937" s="264"/>
      <c r="AE1937" s="264"/>
      <c r="AF1937" s="264"/>
      <c r="AG1937" s="264"/>
    </row>
    <row r="1938" spans="1:33" ht="26.25">
      <c r="A1938" s="264"/>
      <c r="B1938" s="264"/>
      <c r="C1938" s="264"/>
      <c r="D1938" s="264"/>
      <c r="E1938" s="264"/>
      <c r="F1938" s="264"/>
      <c r="G1938" s="264"/>
      <c r="H1938" s="264"/>
      <c r="I1938" s="264"/>
      <c r="J1938" s="327"/>
      <c r="K1938" s="327"/>
      <c r="L1938" s="327"/>
      <c r="M1938" s="321"/>
      <c r="N1938" s="321"/>
      <c r="O1938" s="364"/>
      <c r="P1938" s="376"/>
      <c r="R1938" s="393"/>
      <c r="S1938" s="61" ph="1"/>
      <c r="U1938" s="229"/>
      <c r="V1938" s="264"/>
      <c r="W1938" s="199"/>
      <c r="X1938" s="264"/>
      <c r="Y1938" s="264"/>
      <c r="Z1938" s="386"/>
      <c r="AD1938" s="264"/>
      <c r="AE1938" s="264"/>
      <c r="AF1938" s="264"/>
      <c r="AG1938" s="264"/>
    </row>
    <row r="1939" spans="1:33" ht="26.25">
      <c r="A1939" s="264"/>
      <c r="B1939" s="264"/>
      <c r="C1939" s="264"/>
      <c r="D1939" s="264"/>
      <c r="E1939" s="264"/>
      <c r="F1939" s="264"/>
      <c r="G1939" s="264"/>
      <c r="H1939" s="264"/>
      <c r="I1939" s="264"/>
      <c r="J1939" s="327"/>
      <c r="K1939" s="327"/>
      <c r="L1939" s="327"/>
      <c r="M1939" s="321"/>
      <c r="N1939" s="321"/>
      <c r="O1939" s="364"/>
      <c r="P1939" s="376"/>
      <c r="R1939" s="393"/>
      <c r="S1939" s="61" ph="1"/>
      <c r="U1939" s="229"/>
      <c r="V1939" s="264"/>
      <c r="W1939" s="199"/>
      <c r="X1939" s="264"/>
      <c r="Y1939" s="264"/>
      <c r="Z1939" s="386"/>
      <c r="AD1939" s="264"/>
      <c r="AE1939" s="264"/>
      <c r="AF1939" s="264"/>
      <c r="AG1939" s="264"/>
    </row>
    <row r="1940" spans="1:33" ht="26.25">
      <c r="A1940" s="264"/>
      <c r="B1940" s="264"/>
      <c r="C1940" s="264"/>
      <c r="D1940" s="264"/>
      <c r="E1940" s="264"/>
      <c r="F1940" s="264"/>
      <c r="G1940" s="264"/>
      <c r="H1940" s="264"/>
      <c r="I1940" s="264"/>
      <c r="J1940" s="327"/>
      <c r="K1940" s="327"/>
      <c r="L1940" s="327"/>
      <c r="M1940" s="321"/>
      <c r="N1940" s="321"/>
      <c r="O1940" s="364"/>
      <c r="P1940" s="376"/>
      <c r="R1940" s="393"/>
      <c r="S1940" s="61" ph="1"/>
      <c r="U1940" s="229"/>
      <c r="V1940" s="264"/>
      <c r="W1940" s="199"/>
      <c r="X1940" s="264"/>
      <c r="Y1940" s="264"/>
      <c r="Z1940" s="386"/>
      <c r="AD1940" s="264"/>
      <c r="AE1940" s="264"/>
      <c r="AF1940" s="264"/>
      <c r="AG1940" s="264"/>
    </row>
    <row r="1941" spans="1:33" ht="26.25">
      <c r="A1941" s="264"/>
      <c r="B1941" s="264"/>
      <c r="C1941" s="264"/>
      <c r="D1941" s="264"/>
      <c r="E1941" s="264"/>
      <c r="F1941" s="264"/>
      <c r="G1941" s="264"/>
      <c r="H1941" s="264"/>
      <c r="I1941" s="264"/>
      <c r="J1941" s="327"/>
      <c r="K1941" s="327"/>
      <c r="L1941" s="327"/>
      <c r="M1941" s="321"/>
      <c r="N1941" s="321"/>
      <c r="O1941" s="364"/>
      <c r="P1941" s="376"/>
      <c r="R1941" s="393"/>
      <c r="S1941" s="61" ph="1"/>
      <c r="U1941" s="229"/>
      <c r="V1941" s="264"/>
      <c r="W1941" s="199"/>
      <c r="X1941" s="264"/>
      <c r="Y1941" s="264"/>
      <c r="Z1941" s="386"/>
      <c r="AD1941" s="264"/>
      <c r="AE1941" s="264"/>
      <c r="AF1941" s="264"/>
      <c r="AG1941" s="264"/>
    </row>
    <row r="1942" spans="1:33" ht="26.25">
      <c r="A1942" s="264"/>
      <c r="B1942" s="264"/>
      <c r="C1942" s="264"/>
      <c r="D1942" s="264"/>
      <c r="E1942" s="264"/>
      <c r="F1942" s="264"/>
      <c r="G1942" s="264"/>
      <c r="H1942" s="264"/>
      <c r="I1942" s="264"/>
      <c r="J1942" s="327"/>
      <c r="K1942" s="327"/>
      <c r="L1942" s="327"/>
      <c r="M1942" s="321"/>
      <c r="N1942" s="321"/>
      <c r="O1942" s="364"/>
      <c r="P1942" s="376"/>
      <c r="R1942" s="393"/>
      <c r="S1942" s="61" ph="1"/>
      <c r="U1942" s="229"/>
      <c r="V1942" s="264"/>
      <c r="W1942" s="199"/>
      <c r="X1942" s="264"/>
      <c r="Y1942" s="264"/>
      <c r="Z1942" s="386"/>
      <c r="AD1942" s="264"/>
      <c r="AE1942" s="264"/>
      <c r="AF1942" s="264"/>
      <c r="AG1942" s="264"/>
    </row>
    <row r="1943" spans="1:33" ht="26.25">
      <c r="A1943" s="264"/>
      <c r="B1943" s="264"/>
      <c r="C1943" s="264"/>
      <c r="D1943" s="264"/>
      <c r="E1943" s="264"/>
      <c r="F1943" s="264"/>
      <c r="G1943" s="264"/>
      <c r="H1943" s="264"/>
      <c r="I1943" s="264"/>
      <c r="J1943" s="327"/>
      <c r="K1943" s="327"/>
      <c r="L1943" s="327"/>
      <c r="M1943" s="321"/>
      <c r="N1943" s="321"/>
      <c r="O1943" s="364"/>
      <c r="P1943" s="376"/>
      <c r="R1943" s="393"/>
      <c r="S1943" s="61" ph="1"/>
      <c r="U1943" s="229"/>
      <c r="V1943" s="264"/>
      <c r="W1943" s="199"/>
      <c r="X1943" s="264"/>
      <c r="Y1943" s="264"/>
      <c r="Z1943" s="386"/>
      <c r="AD1943" s="264"/>
      <c r="AE1943" s="264"/>
      <c r="AF1943" s="264"/>
      <c r="AG1943" s="264"/>
    </row>
    <row r="1944" spans="1:33" ht="26.25">
      <c r="A1944" s="264"/>
      <c r="B1944" s="264"/>
      <c r="C1944" s="264"/>
      <c r="D1944" s="264"/>
      <c r="E1944" s="264"/>
      <c r="F1944" s="264"/>
      <c r="G1944" s="264"/>
      <c r="H1944" s="264"/>
      <c r="I1944" s="264"/>
      <c r="J1944" s="327"/>
      <c r="K1944" s="327"/>
      <c r="L1944" s="327"/>
      <c r="M1944" s="321"/>
      <c r="N1944" s="321"/>
      <c r="O1944" s="364"/>
      <c r="P1944" s="376"/>
      <c r="R1944" s="393"/>
      <c r="S1944" s="61" ph="1"/>
      <c r="U1944" s="229"/>
      <c r="V1944" s="264"/>
      <c r="W1944" s="199"/>
      <c r="X1944" s="264"/>
      <c r="Y1944" s="264"/>
      <c r="Z1944" s="386"/>
      <c r="AD1944" s="264"/>
      <c r="AE1944" s="264"/>
      <c r="AF1944" s="264"/>
      <c r="AG1944" s="264"/>
    </row>
    <row r="1945" spans="1:33" ht="26.25">
      <c r="A1945" s="264"/>
      <c r="B1945" s="264"/>
      <c r="C1945" s="264"/>
      <c r="D1945" s="264"/>
      <c r="E1945" s="264"/>
      <c r="F1945" s="264"/>
      <c r="G1945" s="264"/>
      <c r="H1945" s="264"/>
      <c r="I1945" s="264"/>
      <c r="J1945" s="327"/>
      <c r="K1945" s="327"/>
      <c r="L1945" s="327"/>
      <c r="M1945" s="321"/>
      <c r="N1945" s="321"/>
      <c r="O1945" s="364"/>
      <c r="P1945" s="376"/>
      <c r="R1945" s="393"/>
      <c r="S1945" s="61" ph="1"/>
      <c r="U1945" s="229"/>
      <c r="V1945" s="264"/>
      <c r="W1945" s="199"/>
      <c r="X1945" s="264"/>
      <c r="Y1945" s="264"/>
      <c r="Z1945" s="386"/>
      <c r="AD1945" s="264"/>
      <c r="AE1945" s="264"/>
      <c r="AF1945" s="264"/>
      <c r="AG1945" s="264"/>
    </row>
    <row r="1946" spans="1:33" ht="26.25">
      <c r="A1946" s="264"/>
      <c r="B1946" s="264"/>
      <c r="C1946" s="264"/>
      <c r="D1946" s="264"/>
      <c r="E1946" s="264"/>
      <c r="F1946" s="264"/>
      <c r="G1946" s="264"/>
      <c r="H1946" s="264"/>
      <c r="I1946" s="264"/>
      <c r="J1946" s="327"/>
      <c r="K1946" s="327"/>
      <c r="L1946" s="327"/>
      <c r="M1946" s="321"/>
      <c r="N1946" s="321"/>
      <c r="O1946" s="364"/>
      <c r="P1946" s="376"/>
      <c r="R1946" s="393"/>
      <c r="S1946" s="61" ph="1"/>
      <c r="U1946" s="229"/>
      <c r="V1946" s="264"/>
      <c r="W1946" s="199"/>
      <c r="X1946" s="264"/>
      <c r="Y1946" s="264"/>
      <c r="Z1946" s="386"/>
      <c r="AD1946" s="264"/>
      <c r="AE1946" s="264"/>
      <c r="AF1946" s="264"/>
      <c r="AG1946" s="264"/>
    </row>
    <row r="1947" spans="1:33" ht="26.25">
      <c r="A1947" s="264"/>
      <c r="B1947" s="264"/>
      <c r="C1947" s="264"/>
      <c r="D1947" s="264"/>
      <c r="E1947" s="264"/>
      <c r="F1947" s="264"/>
      <c r="G1947" s="264"/>
      <c r="H1947" s="264"/>
      <c r="I1947" s="264"/>
      <c r="J1947" s="327"/>
      <c r="K1947" s="327"/>
      <c r="L1947" s="327"/>
      <c r="M1947" s="321"/>
      <c r="N1947" s="321"/>
      <c r="O1947" s="364"/>
      <c r="P1947" s="376"/>
      <c r="R1947" s="393"/>
      <c r="S1947" s="61" ph="1"/>
      <c r="U1947" s="229"/>
      <c r="V1947" s="264"/>
      <c r="W1947" s="199"/>
      <c r="X1947" s="264"/>
      <c r="Y1947" s="264"/>
      <c r="Z1947" s="386"/>
      <c r="AD1947" s="264"/>
      <c r="AE1947" s="264"/>
      <c r="AF1947" s="264"/>
      <c r="AG1947" s="264"/>
    </row>
    <row r="1948" spans="1:33" ht="26.25">
      <c r="A1948" s="264"/>
      <c r="B1948" s="264"/>
      <c r="C1948" s="264"/>
      <c r="D1948" s="264"/>
      <c r="E1948" s="264"/>
      <c r="F1948" s="264"/>
      <c r="G1948" s="264"/>
      <c r="H1948" s="264"/>
      <c r="I1948" s="264"/>
      <c r="J1948" s="327"/>
      <c r="K1948" s="327"/>
      <c r="L1948" s="327"/>
      <c r="M1948" s="321"/>
      <c r="N1948" s="321"/>
      <c r="O1948" s="364"/>
      <c r="P1948" s="376"/>
      <c r="R1948" s="393"/>
      <c r="S1948" s="61" ph="1"/>
      <c r="U1948" s="229"/>
      <c r="V1948" s="264"/>
      <c r="W1948" s="199"/>
      <c r="X1948" s="264"/>
      <c r="Y1948" s="264"/>
      <c r="Z1948" s="386"/>
      <c r="AD1948" s="264"/>
      <c r="AE1948" s="264"/>
      <c r="AF1948" s="264"/>
      <c r="AG1948" s="264"/>
    </row>
    <row r="1949" spans="1:33" ht="26.25">
      <c r="A1949" s="264"/>
      <c r="B1949" s="264"/>
      <c r="C1949" s="264"/>
      <c r="D1949" s="264"/>
      <c r="E1949" s="264"/>
      <c r="F1949" s="264"/>
      <c r="G1949" s="264"/>
      <c r="H1949" s="264"/>
      <c r="I1949" s="264"/>
      <c r="J1949" s="327"/>
      <c r="K1949" s="327"/>
      <c r="L1949" s="327"/>
      <c r="M1949" s="321"/>
      <c r="N1949" s="321"/>
      <c r="O1949" s="364"/>
      <c r="P1949" s="376"/>
      <c r="R1949" s="393"/>
      <c r="S1949" s="61" ph="1"/>
      <c r="U1949" s="229"/>
      <c r="V1949" s="264"/>
      <c r="W1949" s="199"/>
      <c r="X1949" s="264"/>
      <c r="Y1949" s="264"/>
      <c r="Z1949" s="386"/>
      <c r="AD1949" s="264"/>
      <c r="AE1949" s="264"/>
      <c r="AF1949" s="264"/>
      <c r="AG1949" s="264"/>
    </row>
    <row r="1950" spans="1:33" ht="26.25">
      <c r="A1950" s="264"/>
      <c r="B1950" s="264"/>
      <c r="C1950" s="264"/>
      <c r="D1950" s="264"/>
      <c r="E1950" s="264"/>
      <c r="F1950" s="264"/>
      <c r="G1950" s="264"/>
      <c r="H1950" s="264"/>
      <c r="I1950" s="264"/>
      <c r="J1950" s="327"/>
      <c r="K1950" s="327"/>
      <c r="L1950" s="327"/>
      <c r="M1950" s="321"/>
      <c r="N1950" s="321"/>
      <c r="O1950" s="364"/>
      <c r="P1950" s="376"/>
      <c r="R1950" s="393"/>
      <c r="S1950" s="61" ph="1"/>
      <c r="U1950" s="229"/>
      <c r="V1950" s="264"/>
      <c r="W1950" s="199"/>
      <c r="X1950" s="264"/>
      <c r="Y1950" s="264"/>
      <c r="Z1950" s="386"/>
      <c r="AD1950" s="264"/>
      <c r="AE1950" s="264"/>
      <c r="AF1950" s="264"/>
      <c r="AG1950" s="264"/>
    </row>
    <row r="1951" spans="1:33" ht="26.25">
      <c r="A1951" s="264"/>
      <c r="B1951" s="264"/>
      <c r="C1951" s="264"/>
      <c r="D1951" s="264"/>
      <c r="E1951" s="264"/>
      <c r="F1951" s="264"/>
      <c r="G1951" s="264"/>
      <c r="H1951" s="264"/>
      <c r="I1951" s="264"/>
      <c r="J1951" s="327"/>
      <c r="K1951" s="327"/>
      <c r="L1951" s="327"/>
      <c r="M1951" s="321"/>
      <c r="N1951" s="321"/>
      <c r="O1951" s="364"/>
      <c r="P1951" s="376"/>
      <c r="R1951" s="393"/>
      <c r="S1951" s="61" ph="1"/>
      <c r="U1951" s="229"/>
      <c r="V1951" s="264"/>
      <c r="W1951" s="199"/>
      <c r="X1951" s="264"/>
      <c r="Y1951" s="264"/>
      <c r="Z1951" s="386"/>
      <c r="AD1951" s="264"/>
      <c r="AE1951" s="264"/>
      <c r="AF1951" s="264"/>
      <c r="AG1951" s="264"/>
    </row>
    <row r="1952" spans="1:33" ht="26.25">
      <c r="A1952" s="264"/>
      <c r="B1952" s="264"/>
      <c r="C1952" s="264"/>
      <c r="D1952" s="264"/>
      <c r="E1952" s="264"/>
      <c r="F1952" s="264"/>
      <c r="G1952" s="264"/>
      <c r="H1952" s="264"/>
      <c r="I1952" s="264"/>
      <c r="J1952" s="327"/>
      <c r="K1952" s="327"/>
      <c r="L1952" s="327"/>
      <c r="M1952" s="321"/>
      <c r="N1952" s="321"/>
      <c r="O1952" s="364"/>
      <c r="P1952" s="376"/>
      <c r="R1952" s="393"/>
      <c r="S1952" s="61" ph="1"/>
      <c r="U1952" s="229"/>
      <c r="V1952" s="264"/>
      <c r="W1952" s="199"/>
      <c r="X1952" s="264"/>
      <c r="Y1952" s="264"/>
      <c r="Z1952" s="386"/>
      <c r="AD1952" s="264"/>
      <c r="AE1952" s="264"/>
      <c r="AF1952" s="264"/>
      <c r="AG1952" s="264"/>
    </row>
    <row r="1953" spans="1:33" ht="26.25">
      <c r="A1953" s="264"/>
      <c r="B1953" s="264"/>
      <c r="C1953" s="264"/>
      <c r="D1953" s="264"/>
      <c r="E1953" s="264"/>
      <c r="F1953" s="264"/>
      <c r="G1953" s="264"/>
      <c r="H1953" s="264"/>
      <c r="I1953" s="264"/>
      <c r="J1953" s="327"/>
      <c r="K1953" s="327"/>
      <c r="L1953" s="327"/>
      <c r="M1953" s="321"/>
      <c r="N1953" s="321"/>
      <c r="O1953" s="364"/>
      <c r="P1953" s="376"/>
      <c r="R1953" s="393"/>
      <c r="S1953" s="61" ph="1"/>
      <c r="U1953" s="229"/>
      <c r="V1953" s="264"/>
      <c r="W1953" s="199"/>
      <c r="X1953" s="264"/>
      <c r="Y1953" s="264"/>
      <c r="Z1953" s="386"/>
      <c r="AD1953" s="264"/>
      <c r="AE1953" s="264"/>
      <c r="AF1953" s="264"/>
      <c r="AG1953" s="264"/>
    </row>
    <row r="1954" spans="1:33" ht="26.25">
      <c r="A1954" s="264"/>
      <c r="B1954" s="264"/>
      <c r="C1954" s="264"/>
      <c r="D1954" s="264"/>
      <c r="E1954" s="264"/>
      <c r="F1954" s="264"/>
      <c r="G1954" s="264"/>
      <c r="H1954" s="264"/>
      <c r="I1954" s="264"/>
      <c r="J1954" s="327"/>
      <c r="K1954" s="327"/>
      <c r="L1954" s="327"/>
      <c r="M1954" s="321"/>
      <c r="N1954" s="321"/>
      <c r="O1954" s="364"/>
      <c r="P1954" s="376"/>
      <c r="R1954" s="393"/>
      <c r="S1954" s="61" ph="1"/>
      <c r="U1954" s="229"/>
      <c r="V1954" s="264"/>
      <c r="W1954" s="199"/>
      <c r="X1954" s="264"/>
      <c r="Y1954" s="264"/>
      <c r="Z1954" s="386"/>
      <c r="AD1954" s="264"/>
      <c r="AE1954" s="264"/>
      <c r="AF1954" s="264"/>
      <c r="AG1954" s="264"/>
    </row>
    <row r="1955" spans="1:33" ht="26.25">
      <c r="A1955" s="264"/>
      <c r="B1955" s="264"/>
      <c r="C1955" s="264"/>
      <c r="D1955" s="264"/>
      <c r="E1955" s="264"/>
      <c r="F1955" s="264"/>
      <c r="G1955" s="264"/>
      <c r="H1955" s="264"/>
      <c r="I1955" s="264"/>
      <c r="J1955" s="327"/>
      <c r="K1955" s="327"/>
      <c r="L1955" s="327"/>
      <c r="M1955" s="321"/>
      <c r="N1955" s="321"/>
      <c r="O1955" s="364"/>
      <c r="P1955" s="376"/>
      <c r="R1955" s="393"/>
      <c r="S1955" s="61" ph="1"/>
      <c r="U1955" s="229"/>
      <c r="V1955" s="264"/>
      <c r="W1955" s="199"/>
      <c r="X1955" s="264"/>
      <c r="Y1955" s="264"/>
      <c r="Z1955" s="386"/>
      <c r="AD1955" s="264"/>
      <c r="AE1955" s="264"/>
      <c r="AF1955" s="264"/>
      <c r="AG1955" s="264"/>
    </row>
    <row r="1956" spans="1:33" ht="26.25">
      <c r="A1956" s="264"/>
      <c r="B1956" s="264"/>
      <c r="C1956" s="264"/>
      <c r="D1956" s="264"/>
      <c r="E1956" s="264"/>
      <c r="F1956" s="264"/>
      <c r="G1956" s="264"/>
      <c r="H1956" s="264"/>
      <c r="I1956" s="264"/>
      <c r="J1956" s="327"/>
      <c r="K1956" s="327"/>
      <c r="L1956" s="327"/>
      <c r="M1956" s="321"/>
      <c r="N1956" s="321"/>
      <c r="O1956" s="364"/>
      <c r="P1956" s="376"/>
      <c r="R1956" s="393"/>
      <c r="S1956" s="61" ph="1"/>
      <c r="U1956" s="229"/>
      <c r="V1956" s="264"/>
      <c r="W1956" s="199"/>
      <c r="X1956" s="264"/>
      <c r="Y1956" s="264"/>
      <c r="Z1956" s="386"/>
      <c r="AD1956" s="264"/>
      <c r="AE1956" s="264"/>
      <c r="AF1956" s="264"/>
      <c r="AG1956" s="264"/>
    </row>
    <row r="1957" spans="1:33" ht="26.25">
      <c r="A1957" s="264"/>
      <c r="B1957" s="264"/>
      <c r="C1957" s="264"/>
      <c r="D1957" s="264"/>
      <c r="E1957" s="264"/>
      <c r="F1957" s="264"/>
      <c r="G1957" s="264"/>
      <c r="H1957" s="264"/>
      <c r="I1957" s="264"/>
      <c r="J1957" s="327"/>
      <c r="K1957" s="327"/>
      <c r="L1957" s="327"/>
      <c r="M1957" s="321"/>
      <c r="N1957" s="321"/>
      <c r="O1957" s="364"/>
      <c r="P1957" s="376"/>
      <c r="R1957" s="393"/>
      <c r="S1957" s="61" ph="1"/>
      <c r="U1957" s="229"/>
      <c r="V1957" s="264"/>
      <c r="W1957" s="199"/>
      <c r="X1957" s="264"/>
      <c r="Y1957" s="264"/>
      <c r="Z1957" s="386"/>
      <c r="AD1957" s="264"/>
      <c r="AE1957" s="264"/>
      <c r="AF1957" s="264"/>
      <c r="AG1957" s="264"/>
    </row>
    <row r="1958" spans="1:33" ht="26.25">
      <c r="A1958" s="264"/>
      <c r="B1958" s="264"/>
      <c r="C1958" s="264"/>
      <c r="D1958" s="264"/>
      <c r="E1958" s="264"/>
      <c r="F1958" s="264"/>
      <c r="G1958" s="264"/>
      <c r="H1958" s="264"/>
      <c r="I1958" s="264"/>
      <c r="J1958" s="327"/>
      <c r="K1958" s="327"/>
      <c r="L1958" s="327"/>
      <c r="M1958" s="321"/>
      <c r="N1958" s="321"/>
      <c r="O1958" s="364"/>
      <c r="P1958" s="376"/>
      <c r="R1958" s="393"/>
      <c r="S1958" s="61" ph="1"/>
      <c r="U1958" s="229"/>
      <c r="V1958" s="264"/>
      <c r="W1958" s="199"/>
      <c r="X1958" s="264"/>
      <c r="Y1958" s="264"/>
      <c r="Z1958" s="386"/>
      <c r="AD1958" s="264"/>
      <c r="AE1958" s="264"/>
      <c r="AF1958" s="264"/>
      <c r="AG1958" s="264"/>
    </row>
    <row r="1959" spans="1:33" ht="26.25">
      <c r="A1959" s="264"/>
      <c r="B1959" s="264"/>
      <c r="C1959" s="264"/>
      <c r="D1959" s="264"/>
      <c r="E1959" s="264"/>
      <c r="F1959" s="264"/>
      <c r="G1959" s="264"/>
      <c r="H1959" s="264"/>
      <c r="I1959" s="264"/>
      <c r="J1959" s="327"/>
      <c r="K1959" s="327"/>
      <c r="L1959" s="327"/>
      <c r="M1959" s="321"/>
      <c r="N1959" s="321"/>
      <c r="O1959" s="364"/>
      <c r="P1959" s="376"/>
      <c r="R1959" s="393"/>
      <c r="S1959" s="61" ph="1"/>
      <c r="U1959" s="229"/>
      <c r="V1959" s="264"/>
      <c r="W1959" s="199"/>
      <c r="X1959" s="264"/>
      <c r="Y1959" s="264"/>
      <c r="Z1959" s="386"/>
      <c r="AD1959" s="264"/>
      <c r="AE1959" s="264"/>
      <c r="AF1959" s="264"/>
      <c r="AG1959" s="264"/>
    </row>
    <row r="1960" spans="1:33" ht="26.25">
      <c r="A1960" s="264"/>
      <c r="B1960" s="264"/>
      <c r="C1960" s="264"/>
      <c r="D1960" s="264"/>
      <c r="E1960" s="264"/>
      <c r="F1960" s="264"/>
      <c r="G1960" s="264"/>
      <c r="H1960" s="264"/>
      <c r="I1960" s="264"/>
      <c r="J1960" s="327"/>
      <c r="K1960" s="327"/>
      <c r="L1960" s="327"/>
      <c r="M1960" s="321"/>
      <c r="N1960" s="321"/>
      <c r="O1960" s="364"/>
      <c r="P1960" s="376"/>
      <c r="R1960" s="393"/>
      <c r="S1960" s="61" ph="1"/>
      <c r="U1960" s="229"/>
      <c r="V1960" s="264"/>
      <c r="W1960" s="199"/>
      <c r="X1960" s="264"/>
      <c r="Y1960" s="264"/>
      <c r="Z1960" s="386"/>
      <c r="AD1960" s="264"/>
      <c r="AE1960" s="264"/>
      <c r="AF1960" s="264"/>
      <c r="AG1960" s="264"/>
    </row>
    <row r="1961" spans="1:33" ht="26.25">
      <c r="A1961" s="264"/>
      <c r="B1961" s="264"/>
      <c r="C1961" s="264"/>
      <c r="D1961" s="264"/>
      <c r="E1961" s="264"/>
      <c r="F1961" s="264"/>
      <c r="G1961" s="264"/>
      <c r="H1961" s="264"/>
      <c r="I1961" s="264"/>
      <c r="J1961" s="327"/>
      <c r="K1961" s="327"/>
      <c r="L1961" s="327"/>
      <c r="M1961" s="321"/>
      <c r="N1961" s="321"/>
      <c r="O1961" s="364"/>
      <c r="P1961" s="376"/>
      <c r="R1961" s="393"/>
      <c r="S1961" s="61" ph="1"/>
      <c r="U1961" s="229"/>
      <c r="V1961" s="264"/>
      <c r="W1961" s="199"/>
      <c r="X1961" s="264"/>
      <c r="Y1961" s="264"/>
      <c r="Z1961" s="386"/>
      <c r="AD1961" s="264"/>
      <c r="AE1961" s="264"/>
      <c r="AF1961" s="264"/>
      <c r="AG1961" s="264"/>
    </row>
    <row r="1962" spans="1:33" ht="26.25">
      <c r="A1962" s="264"/>
      <c r="B1962" s="264"/>
      <c r="C1962" s="264"/>
      <c r="D1962" s="264"/>
      <c r="E1962" s="264"/>
      <c r="F1962" s="264"/>
      <c r="G1962" s="264"/>
      <c r="H1962" s="264"/>
      <c r="I1962" s="264"/>
      <c r="J1962" s="327"/>
      <c r="K1962" s="327"/>
      <c r="L1962" s="327"/>
      <c r="M1962" s="321"/>
      <c r="N1962" s="321"/>
      <c r="O1962" s="364"/>
      <c r="P1962" s="376"/>
      <c r="R1962" s="393"/>
      <c r="S1962" s="61" ph="1"/>
      <c r="U1962" s="229"/>
      <c r="V1962" s="264"/>
      <c r="W1962" s="199"/>
      <c r="X1962" s="264"/>
      <c r="Y1962" s="264"/>
      <c r="Z1962" s="386"/>
      <c r="AD1962" s="264"/>
      <c r="AE1962" s="264"/>
      <c r="AF1962" s="264"/>
      <c r="AG1962" s="264"/>
    </row>
    <row r="1963" spans="1:33" ht="26.25">
      <c r="A1963" s="264"/>
      <c r="B1963" s="264"/>
      <c r="C1963" s="264"/>
      <c r="D1963" s="264"/>
      <c r="E1963" s="264"/>
      <c r="F1963" s="264"/>
      <c r="G1963" s="264"/>
      <c r="H1963" s="264"/>
      <c r="I1963" s="264"/>
      <c r="J1963" s="327"/>
      <c r="K1963" s="327"/>
      <c r="L1963" s="327"/>
      <c r="M1963" s="321"/>
      <c r="N1963" s="321"/>
      <c r="O1963" s="364"/>
      <c r="P1963" s="376"/>
      <c r="R1963" s="393"/>
      <c r="S1963" s="61" ph="1"/>
      <c r="U1963" s="229"/>
      <c r="V1963" s="264"/>
      <c r="W1963" s="199"/>
      <c r="X1963" s="264"/>
      <c r="Y1963" s="264"/>
      <c r="Z1963" s="386"/>
      <c r="AD1963" s="264"/>
      <c r="AE1963" s="264"/>
      <c r="AF1963" s="264"/>
      <c r="AG1963" s="264"/>
    </row>
    <row r="1964" spans="1:33" ht="26.25">
      <c r="A1964" s="264"/>
      <c r="B1964" s="264"/>
      <c r="C1964" s="264"/>
      <c r="D1964" s="264"/>
      <c r="E1964" s="264"/>
      <c r="F1964" s="264"/>
      <c r="G1964" s="264"/>
      <c r="H1964" s="264"/>
      <c r="I1964" s="264"/>
      <c r="J1964" s="327"/>
      <c r="K1964" s="327"/>
      <c r="L1964" s="327"/>
      <c r="M1964" s="321"/>
      <c r="N1964" s="321"/>
      <c r="O1964" s="364"/>
      <c r="P1964" s="376"/>
      <c r="R1964" s="393"/>
      <c r="S1964" s="61" ph="1"/>
      <c r="U1964" s="229"/>
      <c r="V1964" s="264"/>
      <c r="W1964" s="199"/>
      <c r="X1964" s="264"/>
      <c r="Y1964" s="264"/>
      <c r="Z1964" s="386"/>
      <c r="AD1964" s="264"/>
      <c r="AE1964" s="264"/>
      <c r="AF1964" s="264"/>
      <c r="AG1964" s="264"/>
    </row>
    <row r="1965" spans="1:33" ht="26.25">
      <c r="A1965" s="264"/>
      <c r="B1965" s="264"/>
      <c r="C1965" s="264"/>
      <c r="D1965" s="264"/>
      <c r="E1965" s="264"/>
      <c r="F1965" s="264"/>
      <c r="G1965" s="264"/>
      <c r="H1965" s="264"/>
      <c r="I1965" s="264"/>
      <c r="J1965" s="327"/>
      <c r="K1965" s="327"/>
      <c r="L1965" s="327"/>
      <c r="M1965" s="321"/>
      <c r="N1965" s="321"/>
      <c r="O1965" s="364"/>
      <c r="P1965" s="376"/>
      <c r="R1965" s="393"/>
      <c r="S1965" s="61" ph="1"/>
      <c r="U1965" s="229"/>
      <c r="V1965" s="264"/>
      <c r="W1965" s="199"/>
      <c r="X1965" s="264"/>
      <c r="Y1965" s="264"/>
      <c r="Z1965" s="386"/>
      <c r="AD1965" s="264"/>
      <c r="AE1965" s="264"/>
      <c r="AF1965" s="264"/>
      <c r="AG1965" s="264"/>
    </row>
    <row r="1966" spans="1:33" ht="26.25">
      <c r="A1966" s="264"/>
      <c r="B1966" s="264"/>
      <c r="C1966" s="264"/>
      <c r="D1966" s="264"/>
      <c r="E1966" s="264"/>
      <c r="F1966" s="264"/>
      <c r="G1966" s="264"/>
      <c r="H1966" s="264"/>
      <c r="I1966" s="264"/>
      <c r="J1966" s="327"/>
      <c r="K1966" s="327"/>
      <c r="L1966" s="327"/>
      <c r="M1966" s="321"/>
      <c r="N1966" s="321"/>
      <c r="O1966" s="364"/>
      <c r="P1966" s="376"/>
      <c r="R1966" s="393"/>
      <c r="S1966" s="61" ph="1"/>
      <c r="U1966" s="229"/>
      <c r="V1966" s="264"/>
      <c r="W1966" s="199"/>
      <c r="X1966" s="264"/>
      <c r="Y1966" s="264"/>
      <c r="Z1966" s="386"/>
      <c r="AD1966" s="264"/>
      <c r="AE1966" s="264"/>
      <c r="AF1966" s="264"/>
      <c r="AG1966" s="264"/>
    </row>
    <row r="1967" spans="1:33" ht="26.25">
      <c r="A1967" s="264"/>
      <c r="B1967" s="264"/>
      <c r="C1967" s="264"/>
      <c r="D1967" s="264"/>
      <c r="E1967" s="264"/>
      <c r="F1967" s="264"/>
      <c r="G1967" s="264"/>
      <c r="H1967" s="264"/>
      <c r="I1967" s="264"/>
      <c r="J1967" s="327"/>
      <c r="K1967" s="327"/>
      <c r="L1967" s="327"/>
      <c r="M1967" s="321"/>
      <c r="N1967" s="321"/>
      <c r="O1967" s="364"/>
      <c r="P1967" s="376"/>
      <c r="R1967" s="393"/>
      <c r="S1967" s="61" ph="1"/>
      <c r="U1967" s="229"/>
      <c r="V1967" s="264"/>
      <c r="W1967" s="199"/>
      <c r="X1967" s="264"/>
      <c r="Y1967" s="264"/>
      <c r="Z1967" s="386"/>
      <c r="AD1967" s="264"/>
      <c r="AE1967" s="264"/>
      <c r="AF1967" s="264"/>
      <c r="AG1967" s="264"/>
    </row>
    <row r="1968" spans="1:33" ht="26.25">
      <c r="A1968" s="264"/>
      <c r="B1968" s="264"/>
      <c r="C1968" s="264"/>
      <c r="D1968" s="264"/>
      <c r="E1968" s="264"/>
      <c r="F1968" s="264"/>
      <c r="G1968" s="264"/>
      <c r="H1968" s="264"/>
      <c r="I1968" s="264"/>
      <c r="J1968" s="327"/>
      <c r="K1968" s="327"/>
      <c r="L1968" s="327"/>
      <c r="M1968" s="321"/>
      <c r="N1968" s="321"/>
      <c r="O1968" s="364"/>
      <c r="P1968" s="376"/>
      <c r="R1968" s="393"/>
      <c r="S1968" s="61" ph="1"/>
      <c r="U1968" s="229"/>
      <c r="V1968" s="264"/>
      <c r="W1968" s="199"/>
      <c r="X1968" s="264"/>
      <c r="Y1968" s="264"/>
      <c r="Z1968" s="386"/>
      <c r="AD1968" s="264"/>
      <c r="AE1968" s="264"/>
      <c r="AF1968" s="264"/>
      <c r="AG1968" s="264"/>
    </row>
    <row r="1969" spans="1:33" ht="26.25">
      <c r="A1969" s="264"/>
      <c r="B1969" s="264"/>
      <c r="C1969" s="264"/>
      <c r="D1969" s="264"/>
      <c r="E1969" s="264"/>
      <c r="F1969" s="264"/>
      <c r="G1969" s="264"/>
      <c r="H1969" s="264"/>
      <c r="I1969" s="264"/>
      <c r="J1969" s="327"/>
      <c r="K1969" s="327"/>
      <c r="L1969" s="327"/>
      <c r="M1969" s="321"/>
      <c r="N1969" s="321"/>
      <c r="O1969" s="364"/>
      <c r="P1969" s="376"/>
      <c r="R1969" s="393"/>
      <c r="S1969" s="61" ph="1"/>
      <c r="U1969" s="229"/>
      <c r="V1969" s="264"/>
      <c r="W1969" s="199"/>
      <c r="X1969" s="264"/>
      <c r="Y1969" s="264"/>
      <c r="Z1969" s="386"/>
      <c r="AD1969" s="264"/>
      <c r="AE1969" s="264"/>
      <c r="AF1969" s="264"/>
      <c r="AG1969" s="264"/>
    </row>
    <row r="1970" spans="1:33" ht="26.25">
      <c r="A1970" s="264"/>
      <c r="B1970" s="264"/>
      <c r="C1970" s="264"/>
      <c r="D1970" s="264"/>
      <c r="E1970" s="264"/>
      <c r="F1970" s="264"/>
      <c r="G1970" s="264"/>
      <c r="H1970" s="264"/>
      <c r="I1970" s="264"/>
      <c r="J1970" s="327"/>
      <c r="K1970" s="327"/>
      <c r="L1970" s="327"/>
      <c r="M1970" s="321"/>
      <c r="N1970" s="321"/>
      <c r="O1970" s="364"/>
      <c r="P1970" s="376"/>
      <c r="R1970" s="393"/>
      <c r="S1970" s="61" ph="1"/>
      <c r="U1970" s="229"/>
      <c r="V1970" s="264"/>
      <c r="W1970" s="199"/>
      <c r="X1970" s="264"/>
      <c r="Y1970" s="264"/>
      <c r="Z1970" s="386"/>
      <c r="AD1970" s="264"/>
      <c r="AE1970" s="264"/>
      <c r="AF1970" s="264"/>
      <c r="AG1970" s="264"/>
    </row>
    <row r="1971" spans="1:33" ht="26.25">
      <c r="A1971" s="264"/>
      <c r="B1971" s="264"/>
      <c r="C1971" s="264"/>
      <c r="D1971" s="264"/>
      <c r="E1971" s="264"/>
      <c r="F1971" s="264"/>
      <c r="G1971" s="264"/>
      <c r="H1971" s="264"/>
      <c r="I1971" s="264"/>
      <c r="J1971" s="327"/>
      <c r="K1971" s="327"/>
      <c r="L1971" s="327"/>
      <c r="M1971" s="321"/>
      <c r="N1971" s="321"/>
      <c r="O1971" s="364"/>
      <c r="P1971" s="376"/>
      <c r="R1971" s="393"/>
      <c r="S1971" s="61" ph="1"/>
      <c r="U1971" s="229"/>
      <c r="V1971" s="264"/>
      <c r="W1971" s="199"/>
      <c r="X1971" s="264"/>
      <c r="Y1971" s="264"/>
      <c r="Z1971" s="386"/>
      <c r="AD1971" s="264"/>
      <c r="AE1971" s="264"/>
      <c r="AF1971" s="264"/>
      <c r="AG1971" s="264"/>
    </row>
    <row r="1972" spans="1:33" ht="26.25">
      <c r="A1972" s="264"/>
      <c r="B1972" s="264"/>
      <c r="C1972" s="264"/>
      <c r="D1972" s="264"/>
      <c r="E1972" s="264"/>
      <c r="F1972" s="264"/>
      <c r="G1972" s="264"/>
      <c r="H1972" s="264"/>
      <c r="I1972" s="264"/>
      <c r="J1972" s="327"/>
      <c r="K1972" s="327"/>
      <c r="L1972" s="327"/>
      <c r="M1972" s="321"/>
      <c r="N1972" s="321"/>
      <c r="O1972" s="364"/>
      <c r="P1972" s="376"/>
      <c r="R1972" s="393"/>
      <c r="S1972" s="61" ph="1"/>
      <c r="U1972" s="229"/>
      <c r="V1972" s="264"/>
      <c r="W1972" s="199"/>
      <c r="X1972" s="264"/>
      <c r="Y1972" s="264"/>
      <c r="Z1972" s="386"/>
      <c r="AD1972" s="264"/>
      <c r="AE1972" s="264"/>
      <c r="AF1972" s="264"/>
      <c r="AG1972" s="264"/>
    </row>
    <row r="1973" spans="1:33" ht="26.25">
      <c r="A1973" s="264"/>
      <c r="B1973" s="264"/>
      <c r="C1973" s="264"/>
      <c r="D1973" s="264"/>
      <c r="E1973" s="264"/>
      <c r="F1973" s="264"/>
      <c r="G1973" s="264"/>
      <c r="H1973" s="264"/>
      <c r="I1973" s="264"/>
      <c r="J1973" s="327"/>
      <c r="K1973" s="327"/>
      <c r="L1973" s="327"/>
      <c r="M1973" s="321"/>
      <c r="N1973" s="321"/>
      <c r="O1973" s="364"/>
      <c r="P1973" s="376"/>
      <c r="R1973" s="393"/>
      <c r="S1973" s="61" ph="1"/>
      <c r="U1973" s="229"/>
      <c r="V1973" s="264"/>
      <c r="W1973" s="199"/>
      <c r="X1973" s="264"/>
      <c r="Y1973" s="264"/>
      <c r="Z1973" s="386"/>
      <c r="AD1973" s="264"/>
      <c r="AE1973" s="264"/>
      <c r="AF1973" s="264"/>
      <c r="AG1973" s="264"/>
    </row>
    <row r="1974" spans="1:33" ht="26.25">
      <c r="A1974" s="264"/>
      <c r="B1974" s="264"/>
      <c r="C1974" s="264"/>
      <c r="D1974" s="264"/>
      <c r="E1974" s="264"/>
      <c r="F1974" s="264"/>
      <c r="G1974" s="264"/>
      <c r="H1974" s="264"/>
      <c r="I1974" s="264"/>
      <c r="J1974" s="327"/>
      <c r="K1974" s="327"/>
      <c r="L1974" s="327"/>
      <c r="M1974" s="321"/>
      <c r="N1974" s="321"/>
      <c r="O1974" s="364"/>
      <c r="P1974" s="376"/>
      <c r="R1974" s="393"/>
      <c r="S1974" s="61" ph="1"/>
      <c r="U1974" s="229"/>
      <c r="V1974" s="264"/>
      <c r="W1974" s="199"/>
      <c r="X1974" s="264"/>
      <c r="Y1974" s="264"/>
      <c r="Z1974" s="386"/>
      <c r="AD1974" s="264"/>
      <c r="AE1974" s="264"/>
      <c r="AF1974" s="264"/>
      <c r="AG1974" s="264"/>
    </row>
    <row r="1975" spans="1:33" ht="26.25">
      <c r="A1975" s="264"/>
      <c r="B1975" s="264"/>
      <c r="C1975" s="264"/>
      <c r="D1975" s="264"/>
      <c r="E1975" s="264"/>
      <c r="F1975" s="264"/>
      <c r="G1975" s="264"/>
      <c r="H1975" s="264"/>
      <c r="I1975" s="264"/>
      <c r="J1975" s="327"/>
      <c r="K1975" s="327"/>
      <c r="L1975" s="327"/>
      <c r="M1975" s="321"/>
      <c r="N1975" s="321"/>
      <c r="O1975" s="364"/>
      <c r="P1975" s="376"/>
      <c r="R1975" s="393"/>
      <c r="S1975" s="61" ph="1"/>
      <c r="U1975" s="229"/>
      <c r="V1975" s="264"/>
      <c r="W1975" s="199"/>
      <c r="X1975" s="264"/>
      <c r="Y1975" s="264"/>
      <c r="Z1975" s="386"/>
      <c r="AD1975" s="264"/>
      <c r="AE1975" s="264"/>
      <c r="AF1975" s="264"/>
      <c r="AG1975" s="264"/>
    </row>
    <row r="1976" spans="1:33" ht="26.25">
      <c r="A1976" s="264"/>
      <c r="B1976" s="264"/>
      <c r="C1976" s="264"/>
      <c r="D1976" s="264"/>
      <c r="E1976" s="264"/>
      <c r="F1976" s="264"/>
      <c r="G1976" s="264"/>
      <c r="H1976" s="264"/>
      <c r="I1976" s="264"/>
      <c r="J1976" s="327"/>
      <c r="K1976" s="327"/>
      <c r="L1976" s="327"/>
      <c r="M1976" s="321"/>
      <c r="N1976" s="321"/>
      <c r="O1976" s="364"/>
      <c r="P1976" s="376"/>
      <c r="R1976" s="393"/>
      <c r="S1976" s="61" ph="1"/>
      <c r="U1976" s="229"/>
      <c r="V1976" s="264"/>
      <c r="W1976" s="199"/>
      <c r="X1976" s="264"/>
      <c r="Y1976" s="264"/>
      <c r="Z1976" s="386"/>
      <c r="AD1976" s="264"/>
      <c r="AE1976" s="264"/>
      <c r="AF1976" s="264"/>
      <c r="AG1976" s="264"/>
    </row>
    <row r="1977" spans="1:33" ht="26.25">
      <c r="A1977" s="264"/>
      <c r="B1977" s="264"/>
      <c r="C1977" s="264"/>
      <c r="D1977" s="264"/>
      <c r="E1977" s="264"/>
      <c r="F1977" s="264"/>
      <c r="G1977" s="264"/>
      <c r="H1977" s="264"/>
      <c r="I1977" s="264"/>
      <c r="J1977" s="327"/>
      <c r="K1977" s="327"/>
      <c r="L1977" s="327"/>
      <c r="M1977" s="321"/>
      <c r="N1977" s="321"/>
      <c r="O1977" s="364"/>
      <c r="P1977" s="376"/>
      <c r="R1977" s="393"/>
      <c r="S1977" s="61" ph="1"/>
      <c r="U1977" s="229"/>
      <c r="V1977" s="264"/>
      <c r="W1977" s="199"/>
      <c r="X1977" s="264"/>
      <c r="Y1977" s="264"/>
      <c r="Z1977" s="386"/>
      <c r="AD1977" s="264"/>
      <c r="AE1977" s="264"/>
      <c r="AF1977" s="264"/>
      <c r="AG1977" s="264"/>
    </row>
    <row r="1978" spans="1:33" ht="26.25">
      <c r="A1978" s="264"/>
      <c r="B1978" s="264"/>
      <c r="C1978" s="264"/>
      <c r="D1978" s="264"/>
      <c r="E1978" s="264"/>
      <c r="F1978" s="264"/>
      <c r="G1978" s="264"/>
      <c r="H1978" s="264"/>
      <c r="I1978" s="264"/>
      <c r="J1978" s="327"/>
      <c r="K1978" s="327"/>
      <c r="L1978" s="327"/>
      <c r="M1978" s="321"/>
      <c r="N1978" s="321"/>
      <c r="O1978" s="364"/>
      <c r="P1978" s="376"/>
      <c r="R1978" s="393"/>
      <c r="S1978" s="61" ph="1"/>
      <c r="U1978" s="229"/>
      <c r="V1978" s="264"/>
      <c r="W1978" s="199"/>
      <c r="X1978" s="264"/>
      <c r="Y1978" s="264"/>
      <c r="Z1978" s="386"/>
      <c r="AD1978" s="264"/>
      <c r="AE1978" s="264"/>
      <c r="AF1978" s="264"/>
      <c r="AG1978" s="264"/>
    </row>
    <row r="1979" spans="1:33" ht="26.25">
      <c r="A1979" s="264"/>
      <c r="B1979" s="264"/>
      <c r="C1979" s="264"/>
      <c r="D1979" s="264"/>
      <c r="E1979" s="264"/>
      <c r="F1979" s="264"/>
      <c r="G1979" s="264"/>
      <c r="H1979" s="264"/>
      <c r="I1979" s="264"/>
      <c r="J1979" s="327"/>
      <c r="K1979" s="327"/>
      <c r="L1979" s="327"/>
      <c r="M1979" s="321"/>
      <c r="N1979" s="321"/>
      <c r="O1979" s="364"/>
      <c r="P1979" s="376"/>
      <c r="R1979" s="393"/>
      <c r="S1979" s="61" ph="1"/>
      <c r="U1979" s="229"/>
      <c r="V1979" s="264"/>
      <c r="W1979" s="199"/>
      <c r="X1979" s="264"/>
      <c r="Y1979" s="264"/>
      <c r="Z1979" s="386"/>
      <c r="AD1979" s="264"/>
      <c r="AE1979" s="264"/>
      <c r="AF1979" s="264"/>
      <c r="AG1979" s="264"/>
    </row>
    <row r="1980" spans="1:33" ht="26.25">
      <c r="A1980" s="264"/>
      <c r="B1980" s="264"/>
      <c r="C1980" s="264"/>
      <c r="D1980" s="264"/>
      <c r="E1980" s="264"/>
      <c r="F1980" s="264"/>
      <c r="G1980" s="264"/>
      <c r="H1980" s="264"/>
      <c r="I1980" s="264"/>
      <c r="J1980" s="327"/>
      <c r="K1980" s="327"/>
      <c r="L1980" s="327"/>
      <c r="M1980" s="321"/>
      <c r="N1980" s="321"/>
      <c r="O1980" s="364"/>
      <c r="P1980" s="376"/>
      <c r="R1980" s="393"/>
      <c r="S1980" s="61" ph="1"/>
      <c r="U1980" s="229"/>
      <c r="V1980" s="264"/>
      <c r="W1980" s="199"/>
      <c r="X1980" s="264"/>
      <c r="Y1980" s="264"/>
      <c r="Z1980" s="386"/>
      <c r="AD1980" s="264"/>
      <c r="AE1980" s="264"/>
      <c r="AF1980" s="264"/>
      <c r="AG1980" s="264"/>
    </row>
    <row r="1981" spans="1:33" ht="26.25">
      <c r="A1981" s="264"/>
      <c r="B1981" s="264"/>
      <c r="C1981" s="264"/>
      <c r="D1981" s="264"/>
      <c r="E1981" s="264"/>
      <c r="F1981" s="264"/>
      <c r="G1981" s="264"/>
      <c r="H1981" s="264"/>
      <c r="I1981" s="264"/>
      <c r="J1981" s="327"/>
      <c r="K1981" s="327"/>
      <c r="L1981" s="327"/>
      <c r="M1981" s="321"/>
      <c r="N1981" s="321"/>
      <c r="O1981" s="364"/>
      <c r="P1981" s="376"/>
      <c r="R1981" s="393"/>
      <c r="S1981" s="61" ph="1"/>
      <c r="U1981" s="229"/>
      <c r="V1981" s="264"/>
      <c r="W1981" s="199"/>
      <c r="X1981" s="264"/>
      <c r="Y1981" s="264"/>
      <c r="Z1981" s="386"/>
      <c r="AD1981" s="264"/>
      <c r="AE1981" s="264"/>
      <c r="AF1981" s="264"/>
      <c r="AG1981" s="264"/>
    </row>
    <row r="1982" spans="1:33" ht="26.25">
      <c r="A1982" s="264"/>
      <c r="B1982" s="264"/>
      <c r="C1982" s="264"/>
      <c r="D1982" s="264"/>
      <c r="E1982" s="264"/>
      <c r="F1982" s="264"/>
      <c r="G1982" s="264"/>
      <c r="H1982" s="264"/>
      <c r="I1982" s="264"/>
      <c r="J1982" s="327"/>
      <c r="K1982" s="327"/>
      <c r="L1982" s="327"/>
      <c r="M1982" s="321"/>
      <c r="N1982" s="321"/>
      <c r="O1982" s="364"/>
      <c r="P1982" s="376"/>
      <c r="R1982" s="393"/>
      <c r="S1982" s="61" ph="1"/>
      <c r="U1982" s="229"/>
      <c r="V1982" s="264"/>
      <c r="W1982" s="199"/>
      <c r="X1982" s="264"/>
      <c r="Y1982" s="264"/>
      <c r="Z1982" s="386"/>
      <c r="AD1982" s="264"/>
      <c r="AE1982" s="264"/>
      <c r="AF1982" s="264"/>
      <c r="AG1982" s="264"/>
    </row>
    <row r="1983" spans="1:33" ht="26.25">
      <c r="A1983" s="264"/>
      <c r="B1983" s="264"/>
      <c r="C1983" s="264"/>
      <c r="D1983" s="264"/>
      <c r="E1983" s="264"/>
      <c r="F1983" s="264"/>
      <c r="G1983" s="264"/>
      <c r="H1983" s="264"/>
      <c r="I1983" s="264"/>
      <c r="J1983" s="327"/>
      <c r="K1983" s="327"/>
      <c r="L1983" s="327"/>
      <c r="M1983" s="321"/>
      <c r="N1983" s="321"/>
      <c r="O1983" s="364"/>
      <c r="P1983" s="376"/>
      <c r="R1983" s="393"/>
      <c r="S1983" s="61" ph="1"/>
      <c r="U1983" s="229"/>
      <c r="V1983" s="264"/>
      <c r="W1983" s="199"/>
      <c r="X1983" s="264"/>
      <c r="Y1983" s="264"/>
      <c r="Z1983" s="386"/>
      <c r="AD1983" s="264"/>
      <c r="AE1983" s="264"/>
      <c r="AF1983" s="264"/>
      <c r="AG1983" s="264"/>
    </row>
    <row r="1984" spans="1:33" ht="26.25">
      <c r="A1984" s="264"/>
      <c r="B1984" s="264"/>
      <c r="C1984" s="264"/>
      <c r="D1984" s="264"/>
      <c r="E1984" s="264"/>
      <c r="F1984" s="264"/>
      <c r="G1984" s="264"/>
      <c r="H1984" s="264"/>
      <c r="I1984" s="264"/>
      <c r="J1984" s="327"/>
      <c r="K1984" s="327"/>
      <c r="L1984" s="327"/>
      <c r="M1984" s="321"/>
      <c r="N1984" s="321"/>
      <c r="O1984" s="364"/>
      <c r="P1984" s="376"/>
      <c r="R1984" s="393"/>
      <c r="S1984" s="61" ph="1"/>
      <c r="U1984" s="229"/>
      <c r="V1984" s="264"/>
      <c r="W1984" s="199"/>
      <c r="X1984" s="264"/>
      <c r="Y1984" s="264"/>
      <c r="Z1984" s="386"/>
      <c r="AD1984" s="264"/>
      <c r="AE1984" s="264"/>
      <c r="AF1984" s="264"/>
      <c r="AG1984" s="264"/>
    </row>
    <row r="1985" spans="1:33" ht="26.25">
      <c r="A1985" s="264"/>
      <c r="B1985" s="264"/>
      <c r="C1985" s="264"/>
      <c r="D1985" s="264"/>
      <c r="E1985" s="264"/>
      <c r="F1985" s="264"/>
      <c r="G1985" s="264"/>
      <c r="H1985" s="264"/>
      <c r="I1985" s="264"/>
      <c r="J1985" s="327"/>
      <c r="K1985" s="327"/>
      <c r="L1985" s="327"/>
      <c r="M1985" s="321"/>
      <c r="N1985" s="321"/>
      <c r="O1985" s="364"/>
      <c r="P1985" s="376"/>
      <c r="R1985" s="393"/>
      <c r="S1985" s="61" ph="1"/>
      <c r="U1985" s="229"/>
      <c r="V1985" s="264"/>
      <c r="W1985" s="199"/>
      <c r="X1985" s="264"/>
      <c r="Y1985" s="264"/>
      <c r="Z1985" s="386"/>
      <c r="AD1985" s="264"/>
      <c r="AE1985" s="264"/>
      <c r="AF1985" s="264"/>
      <c r="AG1985" s="264"/>
    </row>
    <row r="1986" spans="1:33" ht="26.25">
      <c r="A1986" s="264"/>
      <c r="B1986" s="264"/>
      <c r="C1986" s="264"/>
      <c r="D1986" s="264"/>
      <c r="E1986" s="264"/>
      <c r="F1986" s="264"/>
      <c r="G1986" s="264"/>
      <c r="H1986" s="264"/>
      <c r="I1986" s="264"/>
      <c r="J1986" s="327"/>
      <c r="K1986" s="327"/>
      <c r="L1986" s="327"/>
      <c r="M1986" s="321"/>
      <c r="N1986" s="321"/>
      <c r="O1986" s="364"/>
      <c r="P1986" s="376"/>
      <c r="R1986" s="393"/>
      <c r="S1986" s="61" ph="1"/>
      <c r="U1986" s="229"/>
      <c r="V1986" s="264"/>
      <c r="W1986" s="199"/>
      <c r="X1986" s="264"/>
      <c r="Y1986" s="264"/>
      <c r="Z1986" s="386"/>
      <c r="AD1986" s="264"/>
      <c r="AE1986" s="264"/>
      <c r="AF1986" s="264"/>
      <c r="AG1986" s="264"/>
    </row>
    <row r="1987" spans="1:33" ht="26.25">
      <c r="A1987" s="264"/>
      <c r="B1987" s="264"/>
      <c r="C1987" s="264"/>
      <c r="D1987" s="264"/>
      <c r="E1987" s="264"/>
      <c r="F1987" s="264"/>
      <c r="G1987" s="264"/>
      <c r="H1987" s="264"/>
      <c r="I1987" s="264"/>
      <c r="J1987" s="327"/>
      <c r="K1987" s="327"/>
      <c r="L1987" s="327"/>
      <c r="M1987" s="321"/>
      <c r="N1987" s="321"/>
      <c r="O1987" s="364"/>
      <c r="P1987" s="376"/>
      <c r="R1987" s="393"/>
      <c r="S1987" s="61" ph="1"/>
      <c r="U1987" s="229"/>
      <c r="V1987" s="264"/>
      <c r="W1987" s="199"/>
      <c r="X1987" s="264"/>
      <c r="Y1987" s="264"/>
      <c r="Z1987" s="386"/>
      <c r="AD1987" s="264"/>
      <c r="AE1987" s="264"/>
      <c r="AF1987" s="264"/>
      <c r="AG1987" s="264"/>
    </row>
    <row r="1988" spans="1:33" ht="26.25">
      <c r="A1988" s="264"/>
      <c r="B1988" s="264"/>
      <c r="C1988" s="264"/>
      <c r="D1988" s="264"/>
      <c r="E1988" s="264"/>
      <c r="F1988" s="264"/>
      <c r="G1988" s="264"/>
      <c r="H1988" s="264"/>
      <c r="I1988" s="264"/>
      <c r="J1988" s="327"/>
      <c r="K1988" s="327"/>
      <c r="L1988" s="327"/>
      <c r="M1988" s="321"/>
      <c r="N1988" s="321"/>
      <c r="O1988" s="364"/>
      <c r="P1988" s="376"/>
      <c r="R1988" s="393"/>
      <c r="S1988" s="61" ph="1"/>
      <c r="U1988" s="229"/>
      <c r="V1988" s="264"/>
      <c r="W1988" s="199"/>
      <c r="X1988" s="264"/>
      <c r="Y1988" s="264"/>
      <c r="Z1988" s="386"/>
      <c r="AD1988" s="264"/>
      <c r="AE1988" s="264"/>
      <c r="AF1988" s="264"/>
      <c r="AG1988" s="264"/>
    </row>
    <row r="1989" spans="1:33" ht="26.25">
      <c r="A1989" s="264"/>
      <c r="B1989" s="264"/>
      <c r="C1989" s="264"/>
      <c r="D1989" s="264"/>
      <c r="E1989" s="264"/>
      <c r="F1989" s="264"/>
      <c r="G1989" s="264"/>
      <c r="H1989" s="264"/>
      <c r="I1989" s="264"/>
      <c r="J1989" s="327"/>
      <c r="K1989" s="327"/>
      <c r="L1989" s="327"/>
      <c r="M1989" s="321"/>
      <c r="N1989" s="321"/>
      <c r="O1989" s="364"/>
      <c r="P1989" s="376"/>
      <c r="R1989" s="393"/>
      <c r="S1989" s="61" ph="1"/>
      <c r="U1989" s="229"/>
      <c r="V1989" s="264"/>
      <c r="W1989" s="199"/>
      <c r="X1989" s="264"/>
      <c r="Y1989" s="264"/>
      <c r="Z1989" s="386"/>
      <c r="AD1989" s="264"/>
      <c r="AE1989" s="264"/>
      <c r="AF1989" s="264"/>
      <c r="AG1989" s="264"/>
    </row>
    <row r="1990" spans="1:33" ht="26.25">
      <c r="A1990" s="264"/>
      <c r="B1990" s="264"/>
      <c r="C1990" s="264"/>
      <c r="D1990" s="264"/>
      <c r="E1990" s="264"/>
      <c r="F1990" s="264"/>
      <c r="G1990" s="264"/>
      <c r="H1990" s="264"/>
      <c r="I1990" s="264"/>
      <c r="J1990" s="327"/>
      <c r="K1990" s="327"/>
      <c r="L1990" s="327"/>
      <c r="M1990" s="321"/>
      <c r="N1990" s="321"/>
      <c r="O1990" s="364"/>
      <c r="P1990" s="376"/>
      <c r="R1990" s="393"/>
      <c r="S1990" s="61" ph="1"/>
      <c r="U1990" s="229"/>
      <c r="V1990" s="264"/>
      <c r="W1990" s="199"/>
      <c r="X1990" s="264"/>
      <c r="Y1990" s="264"/>
      <c r="Z1990" s="386"/>
      <c r="AD1990" s="264"/>
      <c r="AE1990" s="264"/>
      <c r="AF1990" s="264"/>
      <c r="AG1990" s="264"/>
    </row>
    <row r="1991" spans="1:33" ht="26.25">
      <c r="A1991" s="264"/>
      <c r="B1991" s="264"/>
      <c r="C1991" s="264"/>
      <c r="D1991" s="264"/>
      <c r="E1991" s="264"/>
      <c r="F1991" s="264"/>
      <c r="G1991" s="264"/>
      <c r="H1991" s="264"/>
      <c r="I1991" s="264"/>
      <c r="J1991" s="327"/>
      <c r="K1991" s="327"/>
      <c r="L1991" s="327"/>
      <c r="M1991" s="321"/>
      <c r="N1991" s="321"/>
      <c r="O1991" s="364"/>
      <c r="P1991" s="376"/>
      <c r="R1991" s="393"/>
      <c r="S1991" s="61" ph="1"/>
      <c r="U1991" s="229"/>
      <c r="V1991" s="264"/>
      <c r="W1991" s="199"/>
      <c r="X1991" s="264"/>
      <c r="Y1991" s="264"/>
      <c r="Z1991" s="386"/>
      <c r="AD1991" s="264"/>
      <c r="AE1991" s="264"/>
      <c r="AF1991" s="264"/>
      <c r="AG1991" s="264"/>
    </row>
    <row r="1992" spans="1:33" ht="26.25">
      <c r="A1992" s="264"/>
      <c r="B1992" s="264"/>
      <c r="C1992" s="264"/>
      <c r="D1992" s="264"/>
      <c r="E1992" s="264"/>
      <c r="F1992" s="264"/>
      <c r="G1992" s="264"/>
      <c r="H1992" s="264"/>
      <c r="I1992" s="264"/>
      <c r="J1992" s="327"/>
      <c r="K1992" s="327"/>
      <c r="L1992" s="327"/>
      <c r="M1992" s="321"/>
      <c r="N1992" s="321"/>
      <c r="O1992" s="364"/>
      <c r="P1992" s="376"/>
      <c r="R1992" s="393"/>
      <c r="S1992" s="61" ph="1"/>
      <c r="U1992" s="229"/>
      <c r="V1992" s="264"/>
      <c r="W1992" s="199"/>
      <c r="X1992" s="264"/>
      <c r="Y1992" s="264"/>
      <c r="Z1992" s="386"/>
      <c r="AD1992" s="264"/>
      <c r="AE1992" s="264"/>
      <c r="AF1992" s="264"/>
      <c r="AG1992" s="264"/>
    </row>
    <row r="1993" spans="1:33" ht="26.25">
      <c r="A1993" s="264"/>
      <c r="B1993" s="264"/>
      <c r="C1993" s="264"/>
      <c r="D1993" s="264"/>
      <c r="E1993" s="264"/>
      <c r="F1993" s="264"/>
      <c r="G1993" s="264"/>
      <c r="H1993" s="264"/>
      <c r="I1993" s="264"/>
      <c r="J1993" s="327"/>
      <c r="K1993" s="327"/>
      <c r="L1993" s="327"/>
      <c r="M1993" s="321"/>
      <c r="N1993" s="321"/>
      <c r="O1993" s="364"/>
      <c r="P1993" s="376"/>
      <c r="R1993" s="393"/>
      <c r="S1993" s="61" ph="1"/>
      <c r="U1993" s="229"/>
      <c r="V1993" s="264"/>
      <c r="W1993" s="199"/>
      <c r="X1993" s="264"/>
      <c r="Y1993" s="264"/>
      <c r="Z1993" s="386"/>
      <c r="AD1993" s="264"/>
      <c r="AE1993" s="264"/>
      <c r="AF1993" s="264"/>
      <c r="AG1993" s="264"/>
    </row>
    <row r="1994" spans="1:33" ht="26.25">
      <c r="A1994" s="264"/>
      <c r="B1994" s="264"/>
      <c r="C1994" s="264"/>
      <c r="D1994" s="264"/>
      <c r="E1994" s="264"/>
      <c r="F1994" s="264"/>
      <c r="G1994" s="264"/>
      <c r="H1994" s="264"/>
      <c r="I1994" s="264"/>
      <c r="J1994" s="327"/>
      <c r="K1994" s="327"/>
      <c r="L1994" s="327"/>
      <c r="M1994" s="321"/>
      <c r="N1994" s="321"/>
      <c r="O1994" s="364"/>
      <c r="P1994" s="376"/>
      <c r="R1994" s="393"/>
      <c r="S1994" s="61" ph="1"/>
      <c r="U1994" s="229"/>
      <c r="V1994" s="264"/>
      <c r="W1994" s="199"/>
      <c r="X1994" s="264"/>
      <c r="Y1994" s="264"/>
      <c r="Z1994" s="386"/>
      <c r="AD1994" s="264"/>
      <c r="AE1994" s="264"/>
      <c r="AF1994" s="264"/>
      <c r="AG1994" s="264"/>
    </row>
    <row r="1995" spans="1:33" ht="26.25">
      <c r="A1995" s="264"/>
      <c r="B1995" s="264"/>
      <c r="C1995" s="264"/>
      <c r="D1995" s="264"/>
      <c r="E1995" s="264"/>
      <c r="F1995" s="264"/>
      <c r="G1995" s="264"/>
      <c r="H1995" s="264"/>
      <c r="I1995" s="264"/>
      <c r="J1995" s="327"/>
      <c r="K1995" s="327"/>
      <c r="L1995" s="327"/>
      <c r="M1995" s="321"/>
      <c r="N1995" s="321"/>
      <c r="O1995" s="364"/>
      <c r="P1995" s="376"/>
      <c r="R1995" s="393"/>
      <c r="S1995" s="61" ph="1"/>
      <c r="U1995" s="229"/>
      <c r="V1995" s="264"/>
      <c r="W1995" s="199"/>
      <c r="X1995" s="264"/>
      <c r="Y1995" s="264"/>
      <c r="Z1995" s="386"/>
      <c r="AD1995" s="264"/>
      <c r="AE1995" s="264"/>
      <c r="AF1995" s="264"/>
      <c r="AG1995" s="264"/>
    </row>
    <row r="1996" spans="1:33" ht="26.25">
      <c r="A1996" s="264"/>
      <c r="B1996" s="264"/>
      <c r="C1996" s="264"/>
      <c r="D1996" s="264"/>
      <c r="E1996" s="264"/>
      <c r="F1996" s="264"/>
      <c r="G1996" s="264"/>
      <c r="H1996" s="264"/>
      <c r="I1996" s="264"/>
      <c r="J1996" s="327"/>
      <c r="K1996" s="327"/>
      <c r="L1996" s="327"/>
      <c r="M1996" s="321"/>
      <c r="N1996" s="321"/>
      <c r="O1996" s="364"/>
      <c r="P1996" s="376"/>
      <c r="R1996" s="393"/>
      <c r="S1996" s="61" ph="1"/>
      <c r="U1996" s="229"/>
      <c r="V1996" s="264"/>
      <c r="W1996" s="199"/>
      <c r="X1996" s="264"/>
      <c r="Y1996" s="264"/>
      <c r="Z1996" s="386"/>
      <c r="AD1996" s="264"/>
      <c r="AE1996" s="264"/>
      <c r="AF1996" s="264"/>
      <c r="AG1996" s="264"/>
    </row>
    <row r="1997" spans="1:33" ht="26.25">
      <c r="A1997" s="264"/>
      <c r="B1997" s="264"/>
      <c r="C1997" s="264"/>
      <c r="D1997" s="264"/>
      <c r="E1997" s="264"/>
      <c r="F1997" s="264"/>
      <c r="G1997" s="264"/>
      <c r="H1997" s="264"/>
      <c r="I1997" s="264"/>
      <c r="J1997" s="327"/>
      <c r="K1997" s="327"/>
      <c r="L1997" s="327"/>
      <c r="M1997" s="321"/>
      <c r="N1997" s="321"/>
      <c r="O1997" s="364"/>
      <c r="P1997" s="376"/>
      <c r="R1997" s="393"/>
      <c r="S1997" s="61" ph="1"/>
      <c r="U1997" s="229"/>
      <c r="V1997" s="264"/>
      <c r="W1997" s="199"/>
      <c r="X1997" s="264"/>
      <c r="Y1997" s="264"/>
      <c r="Z1997" s="386"/>
      <c r="AD1997" s="264"/>
      <c r="AE1997" s="264"/>
      <c r="AF1997" s="264"/>
      <c r="AG1997" s="264"/>
    </row>
    <row r="1998" spans="1:33" ht="26.25">
      <c r="A1998" s="264"/>
      <c r="B1998" s="264"/>
      <c r="C1998" s="264"/>
      <c r="D1998" s="264"/>
      <c r="E1998" s="264"/>
      <c r="F1998" s="264"/>
      <c r="G1998" s="264"/>
      <c r="H1998" s="264"/>
      <c r="I1998" s="264"/>
      <c r="J1998" s="327"/>
      <c r="K1998" s="327"/>
      <c r="L1998" s="327"/>
      <c r="M1998" s="321"/>
      <c r="N1998" s="321"/>
      <c r="O1998" s="364"/>
      <c r="P1998" s="376"/>
      <c r="R1998" s="393"/>
      <c r="S1998" s="61" ph="1"/>
      <c r="U1998" s="229"/>
      <c r="V1998" s="264"/>
      <c r="W1998" s="199"/>
      <c r="X1998" s="264"/>
      <c r="Y1998" s="264"/>
      <c r="Z1998" s="386"/>
      <c r="AD1998" s="264"/>
      <c r="AE1998" s="264"/>
      <c r="AF1998" s="264"/>
      <c r="AG1998" s="264"/>
    </row>
    <row r="1999" spans="1:33" ht="26.25">
      <c r="A1999" s="264"/>
      <c r="B1999" s="264"/>
      <c r="C1999" s="264"/>
      <c r="D1999" s="264"/>
      <c r="E1999" s="264"/>
      <c r="F1999" s="264"/>
      <c r="G1999" s="264"/>
      <c r="H1999" s="264"/>
      <c r="I1999" s="264"/>
      <c r="J1999" s="327"/>
      <c r="K1999" s="327"/>
      <c r="L1999" s="327"/>
      <c r="M1999" s="321"/>
      <c r="N1999" s="321"/>
      <c r="O1999" s="364"/>
      <c r="P1999" s="376"/>
      <c r="R1999" s="393"/>
      <c r="S1999" s="61" ph="1"/>
      <c r="U1999" s="229"/>
      <c r="V1999" s="264"/>
      <c r="W1999" s="199"/>
      <c r="X1999" s="264"/>
      <c r="Y1999" s="264"/>
      <c r="Z1999" s="386"/>
      <c r="AD1999" s="264"/>
      <c r="AE1999" s="264"/>
      <c r="AF1999" s="264"/>
      <c r="AG1999" s="264"/>
    </row>
    <row r="2000" spans="1:33" ht="26.25">
      <c r="A2000" s="264"/>
      <c r="B2000" s="264"/>
      <c r="C2000" s="264"/>
      <c r="D2000" s="264"/>
      <c r="E2000" s="264"/>
      <c r="F2000" s="264"/>
      <c r="G2000" s="264"/>
      <c r="H2000" s="264"/>
      <c r="I2000" s="264"/>
      <c r="J2000" s="327"/>
      <c r="K2000" s="327"/>
      <c r="L2000" s="327"/>
      <c r="M2000" s="321"/>
      <c r="N2000" s="321"/>
      <c r="O2000" s="364"/>
      <c r="P2000" s="376"/>
      <c r="R2000" s="393"/>
      <c r="S2000" s="61" ph="1"/>
      <c r="U2000" s="229"/>
      <c r="V2000" s="264"/>
      <c r="W2000" s="199"/>
      <c r="X2000" s="264"/>
      <c r="Y2000" s="264"/>
      <c r="Z2000" s="386"/>
      <c r="AD2000" s="264"/>
      <c r="AE2000" s="264"/>
      <c r="AF2000" s="264"/>
      <c r="AG2000" s="264"/>
    </row>
    <row r="2001" spans="1:33" ht="26.25">
      <c r="A2001" s="264"/>
      <c r="B2001" s="264"/>
      <c r="C2001" s="264"/>
      <c r="D2001" s="264"/>
      <c r="E2001" s="264"/>
      <c r="F2001" s="264"/>
      <c r="G2001" s="264"/>
      <c r="H2001" s="264"/>
      <c r="I2001" s="264"/>
      <c r="J2001" s="327"/>
      <c r="K2001" s="327"/>
      <c r="L2001" s="327"/>
      <c r="M2001" s="321"/>
      <c r="N2001" s="321"/>
      <c r="O2001" s="364"/>
      <c r="P2001" s="376"/>
      <c r="R2001" s="393"/>
      <c r="S2001" s="61" ph="1"/>
      <c r="U2001" s="229"/>
      <c r="V2001" s="264"/>
      <c r="W2001" s="199"/>
      <c r="X2001" s="264"/>
      <c r="Y2001" s="264"/>
      <c r="Z2001" s="386"/>
      <c r="AD2001" s="264"/>
      <c r="AE2001" s="264"/>
      <c r="AF2001" s="264"/>
      <c r="AG2001" s="264"/>
    </row>
    <row r="2002" spans="1:33" ht="26.25">
      <c r="A2002" s="264"/>
      <c r="B2002" s="264"/>
      <c r="C2002" s="264"/>
      <c r="D2002" s="264"/>
      <c r="E2002" s="264"/>
      <c r="F2002" s="264"/>
      <c r="G2002" s="264"/>
      <c r="H2002" s="264"/>
      <c r="I2002" s="264"/>
      <c r="J2002" s="327"/>
      <c r="K2002" s="327"/>
      <c r="L2002" s="327"/>
      <c r="M2002" s="321"/>
      <c r="N2002" s="321"/>
      <c r="O2002" s="364"/>
      <c r="P2002" s="376"/>
      <c r="R2002" s="393"/>
      <c r="S2002" s="61" ph="1"/>
      <c r="U2002" s="229"/>
      <c r="V2002" s="264"/>
      <c r="W2002" s="199"/>
      <c r="X2002" s="264"/>
      <c r="Y2002" s="264"/>
      <c r="Z2002" s="386"/>
      <c r="AD2002" s="264"/>
      <c r="AE2002" s="264"/>
      <c r="AF2002" s="264"/>
      <c r="AG2002" s="264"/>
    </row>
    <row r="2003" spans="1:33" ht="26.25">
      <c r="A2003" s="264"/>
      <c r="B2003" s="264"/>
      <c r="C2003" s="264"/>
      <c r="D2003" s="264"/>
      <c r="E2003" s="264"/>
      <c r="F2003" s="264"/>
      <c r="G2003" s="264"/>
      <c r="H2003" s="264"/>
      <c r="I2003" s="264"/>
      <c r="J2003" s="327"/>
      <c r="K2003" s="327"/>
      <c r="L2003" s="327"/>
      <c r="M2003" s="321"/>
      <c r="N2003" s="321"/>
      <c r="O2003" s="364"/>
      <c r="P2003" s="376"/>
      <c r="R2003" s="393"/>
      <c r="S2003" s="61" ph="1"/>
      <c r="U2003" s="229"/>
      <c r="V2003" s="264"/>
      <c r="W2003" s="199"/>
      <c r="X2003" s="264"/>
      <c r="Y2003" s="264"/>
      <c r="Z2003" s="386"/>
      <c r="AD2003" s="264"/>
      <c r="AE2003" s="264"/>
      <c r="AF2003" s="264"/>
      <c r="AG2003" s="264"/>
    </row>
    <row r="2004" spans="1:33" ht="26.25">
      <c r="A2004" s="264"/>
      <c r="B2004" s="264"/>
      <c r="C2004" s="264"/>
      <c r="D2004" s="264"/>
      <c r="E2004" s="264"/>
      <c r="F2004" s="264"/>
      <c r="G2004" s="264"/>
      <c r="H2004" s="264"/>
      <c r="I2004" s="264"/>
      <c r="J2004" s="327"/>
      <c r="K2004" s="327"/>
      <c r="L2004" s="327"/>
      <c r="M2004" s="321"/>
      <c r="N2004" s="321"/>
      <c r="O2004" s="364"/>
      <c r="P2004" s="376"/>
      <c r="R2004" s="393"/>
      <c r="S2004" s="61" ph="1"/>
      <c r="U2004" s="229"/>
      <c r="V2004" s="264"/>
      <c r="W2004" s="199"/>
      <c r="X2004" s="264"/>
      <c r="Y2004" s="264"/>
      <c r="Z2004" s="386"/>
      <c r="AD2004" s="264"/>
      <c r="AE2004" s="264"/>
      <c r="AF2004" s="264"/>
      <c r="AG2004" s="264"/>
    </row>
    <row r="2005" spans="1:33" ht="26.25">
      <c r="A2005" s="264"/>
      <c r="B2005" s="264"/>
      <c r="C2005" s="264"/>
      <c r="D2005" s="264"/>
      <c r="E2005" s="264"/>
      <c r="F2005" s="264"/>
      <c r="G2005" s="264"/>
      <c r="H2005" s="264"/>
      <c r="I2005" s="264"/>
      <c r="J2005" s="327"/>
      <c r="K2005" s="327"/>
      <c r="L2005" s="327"/>
      <c r="M2005" s="321"/>
      <c r="N2005" s="321"/>
      <c r="O2005" s="364"/>
      <c r="P2005" s="376"/>
      <c r="R2005" s="393"/>
      <c r="S2005" s="61" ph="1"/>
      <c r="U2005" s="229"/>
      <c r="V2005" s="264"/>
      <c r="W2005" s="199"/>
      <c r="X2005" s="264"/>
      <c r="Y2005" s="264"/>
      <c r="Z2005" s="386"/>
      <c r="AD2005" s="264"/>
      <c r="AE2005" s="264"/>
      <c r="AF2005" s="264"/>
      <c r="AG2005" s="264"/>
    </row>
    <row r="2006" spans="1:33" ht="26.25">
      <c r="A2006" s="264"/>
      <c r="B2006" s="264"/>
      <c r="C2006" s="264"/>
      <c r="D2006" s="264"/>
      <c r="E2006" s="264"/>
      <c r="F2006" s="264"/>
      <c r="G2006" s="264"/>
      <c r="H2006" s="264"/>
      <c r="I2006" s="264"/>
      <c r="J2006" s="327"/>
      <c r="K2006" s="327"/>
      <c r="L2006" s="327"/>
      <c r="M2006" s="321"/>
      <c r="N2006" s="321"/>
      <c r="O2006" s="364"/>
      <c r="P2006" s="376"/>
      <c r="R2006" s="393"/>
      <c r="S2006" s="61" ph="1"/>
      <c r="U2006" s="229"/>
      <c r="V2006" s="264"/>
      <c r="W2006" s="199"/>
      <c r="X2006" s="264"/>
      <c r="Y2006" s="264"/>
      <c r="Z2006" s="386"/>
      <c r="AD2006" s="264"/>
      <c r="AE2006" s="264"/>
      <c r="AF2006" s="264"/>
      <c r="AG2006" s="264"/>
    </row>
    <row r="2007" spans="1:33" ht="26.25">
      <c r="A2007" s="264"/>
      <c r="B2007" s="264"/>
      <c r="C2007" s="264"/>
      <c r="D2007" s="264"/>
      <c r="E2007" s="264"/>
      <c r="F2007" s="264"/>
      <c r="G2007" s="264"/>
      <c r="H2007" s="264"/>
      <c r="I2007" s="264"/>
      <c r="J2007" s="327"/>
      <c r="K2007" s="327"/>
      <c r="L2007" s="327"/>
      <c r="M2007" s="321"/>
      <c r="N2007" s="321"/>
      <c r="O2007" s="364"/>
      <c r="P2007" s="376"/>
      <c r="R2007" s="393"/>
      <c r="S2007" s="61" ph="1"/>
      <c r="U2007" s="229"/>
      <c r="V2007" s="264"/>
      <c r="W2007" s="199"/>
      <c r="X2007" s="264"/>
      <c r="Y2007" s="264"/>
      <c r="Z2007" s="386"/>
      <c r="AD2007" s="264"/>
      <c r="AE2007" s="264"/>
      <c r="AF2007" s="264"/>
      <c r="AG2007" s="264"/>
    </row>
    <row r="2008" spans="1:33" ht="26.25">
      <c r="A2008" s="264"/>
      <c r="B2008" s="264"/>
      <c r="C2008" s="264"/>
      <c r="D2008" s="264"/>
      <c r="E2008" s="264"/>
      <c r="F2008" s="264"/>
      <c r="G2008" s="264"/>
      <c r="H2008" s="264"/>
      <c r="I2008" s="264"/>
      <c r="J2008" s="327"/>
      <c r="K2008" s="327"/>
      <c r="L2008" s="327"/>
      <c r="M2008" s="321"/>
      <c r="N2008" s="321"/>
      <c r="O2008" s="364"/>
      <c r="P2008" s="376"/>
      <c r="R2008" s="393"/>
      <c r="S2008" s="61" ph="1"/>
      <c r="U2008" s="229"/>
      <c r="V2008" s="264"/>
      <c r="W2008" s="199"/>
      <c r="X2008" s="264"/>
      <c r="Y2008" s="264"/>
      <c r="Z2008" s="386"/>
      <c r="AD2008" s="264"/>
      <c r="AE2008" s="264"/>
      <c r="AF2008" s="264"/>
      <c r="AG2008" s="264"/>
    </row>
    <row r="2009" spans="1:33" ht="26.25">
      <c r="A2009" s="264"/>
      <c r="B2009" s="264"/>
      <c r="C2009" s="264"/>
      <c r="D2009" s="264"/>
      <c r="E2009" s="264"/>
      <c r="F2009" s="264"/>
      <c r="G2009" s="264"/>
      <c r="H2009" s="264"/>
      <c r="I2009" s="264"/>
      <c r="J2009" s="327"/>
      <c r="K2009" s="327"/>
      <c r="L2009" s="327"/>
      <c r="M2009" s="321"/>
      <c r="N2009" s="321"/>
      <c r="O2009" s="364"/>
      <c r="P2009" s="376"/>
      <c r="R2009" s="393"/>
      <c r="S2009" s="61" ph="1"/>
      <c r="U2009" s="229"/>
      <c r="V2009" s="264"/>
      <c r="W2009" s="199"/>
      <c r="X2009" s="264"/>
      <c r="Y2009" s="264"/>
      <c r="Z2009" s="386"/>
      <c r="AD2009" s="264"/>
      <c r="AE2009" s="264"/>
      <c r="AF2009" s="264"/>
      <c r="AG2009" s="264"/>
    </row>
    <row r="2010" spans="1:33" ht="26.25">
      <c r="A2010" s="264"/>
      <c r="B2010" s="264"/>
      <c r="C2010" s="264"/>
      <c r="D2010" s="264"/>
      <c r="E2010" s="264"/>
      <c r="F2010" s="264"/>
      <c r="G2010" s="264"/>
      <c r="H2010" s="264"/>
      <c r="I2010" s="264"/>
      <c r="J2010" s="327"/>
      <c r="K2010" s="327"/>
      <c r="L2010" s="327"/>
      <c r="M2010" s="321"/>
      <c r="N2010" s="321"/>
      <c r="O2010" s="364"/>
      <c r="P2010" s="376"/>
      <c r="R2010" s="393"/>
      <c r="S2010" s="61" ph="1"/>
      <c r="U2010" s="229"/>
      <c r="V2010" s="264"/>
      <c r="W2010" s="199"/>
      <c r="X2010" s="264"/>
      <c r="Y2010" s="264"/>
      <c r="Z2010" s="386"/>
      <c r="AD2010" s="264"/>
      <c r="AE2010" s="264"/>
      <c r="AF2010" s="264"/>
      <c r="AG2010" s="264"/>
    </row>
    <row r="2011" spans="1:33" ht="26.25">
      <c r="A2011" s="264"/>
      <c r="B2011" s="264"/>
      <c r="C2011" s="264"/>
      <c r="D2011" s="264"/>
      <c r="E2011" s="264"/>
      <c r="F2011" s="264"/>
      <c r="G2011" s="264"/>
      <c r="H2011" s="264"/>
      <c r="I2011" s="264"/>
      <c r="J2011" s="327"/>
      <c r="K2011" s="327"/>
      <c r="L2011" s="327"/>
      <c r="M2011" s="321"/>
      <c r="N2011" s="321"/>
      <c r="O2011" s="364"/>
      <c r="P2011" s="376"/>
      <c r="R2011" s="393"/>
      <c r="S2011" s="61" ph="1"/>
      <c r="U2011" s="229"/>
      <c r="V2011" s="264"/>
      <c r="W2011" s="199"/>
      <c r="X2011" s="264"/>
      <c r="Y2011" s="264"/>
      <c r="Z2011" s="386"/>
      <c r="AD2011" s="264"/>
      <c r="AE2011" s="264"/>
      <c r="AF2011" s="264"/>
      <c r="AG2011" s="264"/>
    </row>
    <row r="2012" spans="1:33" ht="26.25">
      <c r="A2012" s="264"/>
      <c r="B2012" s="264"/>
      <c r="C2012" s="264"/>
      <c r="D2012" s="264"/>
      <c r="E2012" s="264"/>
      <c r="F2012" s="264"/>
      <c r="G2012" s="264"/>
      <c r="H2012" s="264"/>
      <c r="I2012" s="264"/>
      <c r="J2012" s="327"/>
      <c r="K2012" s="327"/>
      <c r="L2012" s="327"/>
      <c r="M2012" s="321"/>
      <c r="N2012" s="321"/>
      <c r="O2012" s="364"/>
      <c r="P2012" s="376"/>
      <c r="R2012" s="393"/>
      <c r="S2012" s="61" ph="1"/>
      <c r="U2012" s="229"/>
      <c r="V2012" s="264"/>
      <c r="W2012" s="199"/>
      <c r="X2012" s="264"/>
      <c r="Y2012" s="264"/>
      <c r="Z2012" s="386"/>
      <c r="AD2012" s="264"/>
      <c r="AE2012" s="264"/>
      <c r="AF2012" s="264"/>
      <c r="AG2012" s="264"/>
    </row>
    <row r="2013" spans="1:33" ht="26.25">
      <c r="A2013" s="264"/>
      <c r="B2013" s="264"/>
      <c r="C2013" s="264"/>
      <c r="D2013" s="264"/>
      <c r="E2013" s="264"/>
      <c r="F2013" s="264"/>
      <c r="G2013" s="264"/>
      <c r="H2013" s="264"/>
      <c r="I2013" s="264"/>
      <c r="J2013" s="327"/>
      <c r="K2013" s="327"/>
      <c r="L2013" s="327"/>
      <c r="M2013" s="321"/>
      <c r="N2013" s="321"/>
      <c r="O2013" s="364"/>
      <c r="P2013" s="376"/>
      <c r="R2013" s="393"/>
      <c r="S2013" s="61" ph="1"/>
      <c r="U2013" s="229"/>
      <c r="V2013" s="264"/>
      <c r="W2013" s="199"/>
      <c r="X2013" s="264"/>
      <c r="Y2013" s="264"/>
      <c r="Z2013" s="386"/>
      <c r="AD2013" s="264"/>
      <c r="AE2013" s="264"/>
      <c r="AF2013" s="264"/>
      <c r="AG2013" s="264"/>
    </row>
    <row r="2014" spans="1:33" ht="26.25">
      <c r="A2014" s="264"/>
      <c r="B2014" s="264"/>
      <c r="C2014" s="264"/>
      <c r="D2014" s="264"/>
      <c r="E2014" s="264"/>
      <c r="F2014" s="264"/>
      <c r="G2014" s="264"/>
      <c r="H2014" s="264"/>
      <c r="I2014" s="264"/>
      <c r="J2014" s="327"/>
      <c r="K2014" s="327"/>
      <c r="L2014" s="327"/>
      <c r="M2014" s="321"/>
      <c r="N2014" s="321"/>
      <c r="O2014" s="364"/>
      <c r="P2014" s="376"/>
      <c r="R2014" s="393"/>
      <c r="S2014" s="61" ph="1"/>
      <c r="U2014" s="229"/>
      <c r="V2014" s="264"/>
      <c r="W2014" s="199"/>
      <c r="X2014" s="264"/>
      <c r="Y2014" s="264"/>
      <c r="Z2014" s="386"/>
      <c r="AD2014" s="264"/>
      <c r="AE2014" s="264"/>
      <c r="AF2014" s="264"/>
      <c r="AG2014" s="264"/>
    </row>
    <row r="2015" spans="1:33" ht="26.25">
      <c r="A2015" s="264"/>
      <c r="B2015" s="264"/>
      <c r="C2015" s="264"/>
      <c r="D2015" s="264"/>
      <c r="E2015" s="264"/>
      <c r="F2015" s="264"/>
      <c r="G2015" s="264"/>
      <c r="H2015" s="264"/>
      <c r="I2015" s="264"/>
      <c r="J2015" s="327"/>
      <c r="K2015" s="327"/>
      <c r="L2015" s="327"/>
      <c r="M2015" s="321"/>
      <c r="N2015" s="321"/>
      <c r="O2015" s="364"/>
      <c r="P2015" s="376"/>
      <c r="R2015" s="393"/>
      <c r="S2015" s="61" ph="1"/>
      <c r="U2015" s="229"/>
      <c r="V2015" s="264"/>
      <c r="W2015" s="199"/>
      <c r="X2015" s="264"/>
      <c r="Y2015" s="264"/>
      <c r="Z2015" s="386"/>
      <c r="AD2015" s="264"/>
      <c r="AE2015" s="264"/>
      <c r="AF2015" s="264"/>
      <c r="AG2015" s="264"/>
    </row>
    <row r="2016" spans="1:33" ht="26.25">
      <c r="A2016" s="264"/>
      <c r="B2016" s="264"/>
      <c r="C2016" s="264"/>
      <c r="D2016" s="264"/>
      <c r="E2016" s="264"/>
      <c r="F2016" s="264"/>
      <c r="G2016" s="264"/>
      <c r="H2016" s="264"/>
      <c r="I2016" s="264"/>
      <c r="J2016" s="327"/>
      <c r="K2016" s="327"/>
      <c r="L2016" s="327"/>
      <c r="M2016" s="321"/>
      <c r="N2016" s="321"/>
      <c r="O2016" s="364"/>
      <c r="P2016" s="376"/>
      <c r="R2016" s="393"/>
      <c r="S2016" s="61" ph="1"/>
      <c r="U2016" s="229"/>
      <c r="V2016" s="264"/>
      <c r="W2016" s="199"/>
      <c r="X2016" s="264"/>
      <c r="Y2016" s="264"/>
      <c r="Z2016" s="386"/>
      <c r="AD2016" s="264"/>
      <c r="AE2016" s="264"/>
      <c r="AF2016" s="264"/>
      <c r="AG2016" s="264"/>
    </row>
    <row r="2017" spans="1:33" ht="26.25">
      <c r="A2017" s="264"/>
      <c r="B2017" s="264"/>
      <c r="C2017" s="264"/>
      <c r="D2017" s="264"/>
      <c r="E2017" s="264"/>
      <c r="F2017" s="264"/>
      <c r="G2017" s="264"/>
      <c r="H2017" s="264"/>
      <c r="I2017" s="264"/>
      <c r="J2017" s="327"/>
      <c r="K2017" s="327"/>
      <c r="L2017" s="327"/>
      <c r="M2017" s="321"/>
      <c r="N2017" s="321"/>
      <c r="O2017" s="364"/>
      <c r="P2017" s="376"/>
      <c r="R2017" s="393"/>
      <c r="S2017" s="61" ph="1"/>
      <c r="U2017" s="229"/>
      <c r="V2017" s="264"/>
      <c r="W2017" s="199"/>
      <c r="X2017" s="264"/>
      <c r="Y2017" s="264"/>
      <c r="Z2017" s="386"/>
      <c r="AD2017" s="264"/>
      <c r="AE2017" s="264"/>
      <c r="AF2017" s="264"/>
      <c r="AG2017" s="264"/>
    </row>
    <row r="2018" spans="1:33" ht="26.25">
      <c r="A2018" s="264"/>
      <c r="B2018" s="264"/>
      <c r="C2018" s="264"/>
      <c r="D2018" s="264"/>
      <c r="E2018" s="264"/>
      <c r="F2018" s="264"/>
      <c r="G2018" s="264"/>
      <c r="H2018" s="264"/>
      <c r="I2018" s="264"/>
      <c r="J2018" s="327"/>
      <c r="K2018" s="327"/>
      <c r="L2018" s="327"/>
      <c r="M2018" s="321"/>
      <c r="N2018" s="321"/>
      <c r="O2018" s="364"/>
      <c r="P2018" s="376"/>
      <c r="R2018" s="393"/>
      <c r="S2018" s="61" ph="1"/>
      <c r="U2018" s="229"/>
      <c r="V2018" s="264"/>
      <c r="W2018" s="199"/>
      <c r="X2018" s="264"/>
      <c r="Y2018" s="264"/>
      <c r="Z2018" s="386"/>
      <c r="AD2018" s="264"/>
      <c r="AE2018" s="264"/>
      <c r="AF2018" s="264"/>
      <c r="AG2018" s="264"/>
    </row>
    <row r="2019" spans="1:33" ht="26.25">
      <c r="A2019" s="264"/>
      <c r="B2019" s="264"/>
      <c r="C2019" s="264"/>
      <c r="D2019" s="264"/>
      <c r="E2019" s="264"/>
      <c r="F2019" s="264"/>
      <c r="G2019" s="264"/>
      <c r="H2019" s="264"/>
      <c r="I2019" s="264"/>
      <c r="J2019" s="327"/>
      <c r="K2019" s="327"/>
      <c r="L2019" s="327"/>
      <c r="M2019" s="321"/>
      <c r="N2019" s="321"/>
      <c r="O2019" s="364"/>
      <c r="P2019" s="376"/>
      <c r="R2019" s="393"/>
      <c r="S2019" s="61" ph="1"/>
      <c r="U2019" s="229"/>
      <c r="V2019" s="264"/>
      <c r="W2019" s="199"/>
      <c r="X2019" s="264"/>
      <c r="Y2019" s="264"/>
      <c r="Z2019" s="386"/>
      <c r="AD2019" s="264"/>
      <c r="AE2019" s="264"/>
      <c r="AF2019" s="264"/>
      <c r="AG2019" s="264"/>
    </row>
    <row r="2020" spans="1:33" ht="26.25">
      <c r="A2020" s="264"/>
      <c r="B2020" s="264"/>
      <c r="C2020" s="264"/>
      <c r="D2020" s="264"/>
      <c r="E2020" s="264"/>
      <c r="F2020" s="264"/>
      <c r="G2020" s="264"/>
      <c r="H2020" s="264"/>
      <c r="I2020" s="264"/>
      <c r="J2020" s="327"/>
      <c r="K2020" s="327"/>
      <c r="L2020" s="327"/>
      <c r="M2020" s="321"/>
      <c r="N2020" s="321"/>
      <c r="O2020" s="364"/>
      <c r="P2020" s="376"/>
      <c r="R2020" s="393"/>
      <c r="S2020" s="61" ph="1"/>
      <c r="U2020" s="229"/>
      <c r="V2020" s="264"/>
      <c r="W2020" s="199"/>
      <c r="X2020" s="264"/>
      <c r="Y2020" s="264"/>
      <c r="Z2020" s="386"/>
      <c r="AD2020" s="264"/>
      <c r="AE2020" s="264"/>
      <c r="AF2020" s="264"/>
      <c r="AG2020" s="264"/>
    </row>
    <row r="2021" spans="1:33" ht="26.25">
      <c r="A2021" s="264"/>
      <c r="B2021" s="264"/>
      <c r="C2021" s="264"/>
      <c r="D2021" s="264"/>
      <c r="E2021" s="264"/>
      <c r="F2021" s="264"/>
      <c r="G2021" s="264"/>
      <c r="H2021" s="264"/>
      <c r="I2021" s="264"/>
      <c r="J2021" s="327"/>
      <c r="K2021" s="327"/>
      <c r="L2021" s="327"/>
      <c r="M2021" s="321"/>
      <c r="N2021" s="321"/>
      <c r="O2021" s="364"/>
      <c r="P2021" s="376"/>
      <c r="R2021" s="393"/>
      <c r="S2021" s="61" ph="1"/>
      <c r="U2021" s="229"/>
      <c r="V2021" s="264"/>
      <c r="W2021" s="199"/>
      <c r="X2021" s="264"/>
      <c r="Y2021" s="264"/>
      <c r="Z2021" s="386"/>
      <c r="AD2021" s="264"/>
      <c r="AE2021" s="264"/>
      <c r="AF2021" s="264"/>
      <c r="AG2021" s="264"/>
    </row>
    <row r="2022" spans="1:33" ht="26.25">
      <c r="A2022" s="264"/>
      <c r="B2022" s="264"/>
      <c r="C2022" s="264"/>
      <c r="D2022" s="264"/>
      <c r="E2022" s="264"/>
      <c r="F2022" s="264"/>
      <c r="G2022" s="264"/>
      <c r="H2022" s="264"/>
      <c r="I2022" s="264"/>
      <c r="J2022" s="327"/>
      <c r="K2022" s="327"/>
      <c r="L2022" s="327"/>
      <c r="M2022" s="321"/>
      <c r="N2022" s="321"/>
      <c r="O2022" s="364"/>
      <c r="P2022" s="376"/>
      <c r="R2022" s="393"/>
      <c r="S2022" s="61" ph="1"/>
      <c r="U2022" s="229"/>
      <c r="V2022" s="264"/>
      <c r="W2022" s="199"/>
      <c r="X2022" s="264"/>
      <c r="Y2022" s="264"/>
      <c r="Z2022" s="386"/>
      <c r="AD2022" s="264"/>
      <c r="AE2022" s="264"/>
      <c r="AF2022" s="264"/>
      <c r="AG2022" s="264"/>
    </row>
    <row r="2023" spans="1:33" ht="26.25">
      <c r="A2023" s="264"/>
      <c r="B2023" s="264"/>
      <c r="C2023" s="264"/>
      <c r="D2023" s="264"/>
      <c r="E2023" s="264"/>
      <c r="F2023" s="264"/>
      <c r="G2023" s="264"/>
      <c r="H2023" s="264"/>
      <c r="I2023" s="264"/>
      <c r="J2023" s="327"/>
      <c r="K2023" s="327"/>
      <c r="L2023" s="327"/>
      <c r="M2023" s="321"/>
      <c r="N2023" s="321"/>
      <c r="O2023" s="364"/>
      <c r="P2023" s="376"/>
      <c r="R2023" s="393"/>
      <c r="S2023" s="61" ph="1"/>
      <c r="U2023" s="229"/>
      <c r="V2023" s="264"/>
      <c r="W2023" s="199"/>
      <c r="X2023" s="264"/>
      <c r="Y2023" s="264"/>
      <c r="Z2023" s="386"/>
      <c r="AD2023" s="264"/>
      <c r="AE2023" s="264"/>
      <c r="AF2023" s="264"/>
      <c r="AG2023" s="264"/>
    </row>
    <row r="2024" spans="1:33" ht="26.25">
      <c r="A2024" s="264"/>
      <c r="B2024" s="264"/>
      <c r="C2024" s="264"/>
      <c r="D2024" s="264"/>
      <c r="E2024" s="264"/>
      <c r="F2024" s="264"/>
      <c r="G2024" s="264"/>
      <c r="H2024" s="264"/>
      <c r="I2024" s="264"/>
      <c r="J2024" s="327"/>
      <c r="K2024" s="327"/>
      <c r="L2024" s="327"/>
      <c r="M2024" s="321"/>
      <c r="N2024" s="321"/>
      <c r="O2024" s="364"/>
      <c r="P2024" s="376"/>
      <c r="R2024" s="393"/>
      <c r="S2024" s="61" ph="1"/>
      <c r="U2024" s="229"/>
      <c r="V2024" s="264"/>
      <c r="W2024" s="199"/>
      <c r="X2024" s="264"/>
      <c r="Y2024" s="264"/>
      <c r="Z2024" s="386"/>
      <c r="AD2024" s="264"/>
      <c r="AE2024" s="264"/>
      <c r="AF2024" s="264"/>
      <c r="AG2024" s="264"/>
    </row>
    <row r="2025" spans="1:33" ht="26.25">
      <c r="A2025" s="264"/>
      <c r="B2025" s="264"/>
      <c r="C2025" s="264"/>
      <c r="D2025" s="264"/>
      <c r="E2025" s="264"/>
      <c r="F2025" s="264"/>
      <c r="G2025" s="264"/>
      <c r="H2025" s="264"/>
      <c r="I2025" s="264"/>
      <c r="J2025" s="327"/>
      <c r="K2025" s="327"/>
      <c r="L2025" s="327"/>
      <c r="M2025" s="321"/>
      <c r="N2025" s="321"/>
      <c r="O2025" s="364"/>
      <c r="P2025" s="376"/>
      <c r="R2025" s="393"/>
      <c r="S2025" s="61" ph="1"/>
      <c r="U2025" s="229"/>
      <c r="V2025" s="264"/>
      <c r="W2025" s="199"/>
      <c r="X2025" s="264"/>
      <c r="Y2025" s="264"/>
      <c r="Z2025" s="386"/>
      <c r="AD2025" s="264"/>
      <c r="AE2025" s="264"/>
      <c r="AF2025" s="264"/>
      <c r="AG2025" s="264"/>
    </row>
    <row r="2026" spans="1:33" ht="26.25">
      <c r="A2026" s="264"/>
      <c r="B2026" s="264"/>
      <c r="C2026" s="264"/>
      <c r="D2026" s="264"/>
      <c r="E2026" s="264"/>
      <c r="F2026" s="264"/>
      <c r="G2026" s="264"/>
      <c r="H2026" s="264"/>
      <c r="I2026" s="264"/>
      <c r="J2026" s="327"/>
      <c r="K2026" s="327"/>
      <c r="L2026" s="327"/>
      <c r="M2026" s="321"/>
      <c r="N2026" s="321"/>
      <c r="O2026" s="364"/>
      <c r="P2026" s="376"/>
      <c r="R2026" s="393"/>
      <c r="S2026" s="61" ph="1"/>
      <c r="U2026" s="229"/>
      <c r="V2026" s="264"/>
      <c r="W2026" s="199"/>
      <c r="X2026" s="264"/>
      <c r="Y2026" s="264"/>
      <c r="Z2026" s="386"/>
      <c r="AD2026" s="264"/>
      <c r="AE2026" s="264"/>
      <c r="AF2026" s="264"/>
      <c r="AG2026" s="264"/>
    </row>
    <row r="2027" spans="1:33" ht="26.25">
      <c r="A2027" s="264"/>
      <c r="B2027" s="264"/>
      <c r="C2027" s="264"/>
      <c r="D2027" s="264"/>
      <c r="E2027" s="264"/>
      <c r="F2027" s="264"/>
      <c r="G2027" s="264"/>
      <c r="H2027" s="264"/>
      <c r="I2027" s="264"/>
      <c r="J2027" s="327"/>
      <c r="K2027" s="327"/>
      <c r="L2027" s="327"/>
      <c r="M2027" s="321"/>
      <c r="N2027" s="321"/>
      <c r="O2027" s="364"/>
      <c r="P2027" s="376"/>
      <c r="R2027" s="393"/>
      <c r="S2027" s="61" ph="1"/>
      <c r="U2027" s="229"/>
      <c r="V2027" s="264"/>
      <c r="W2027" s="199"/>
      <c r="X2027" s="264"/>
      <c r="Y2027" s="264"/>
      <c r="Z2027" s="386"/>
      <c r="AD2027" s="264"/>
      <c r="AE2027" s="264"/>
      <c r="AF2027" s="264"/>
      <c r="AG2027" s="264"/>
    </row>
    <row r="2028" spans="1:33" ht="26.25">
      <c r="A2028" s="264"/>
      <c r="B2028" s="264"/>
      <c r="C2028" s="264"/>
      <c r="D2028" s="264"/>
      <c r="E2028" s="264"/>
      <c r="F2028" s="264"/>
      <c r="G2028" s="264"/>
      <c r="H2028" s="264"/>
      <c r="I2028" s="264"/>
      <c r="J2028" s="327"/>
      <c r="K2028" s="327"/>
      <c r="L2028" s="327"/>
      <c r="M2028" s="321"/>
      <c r="N2028" s="321"/>
      <c r="O2028" s="364"/>
      <c r="P2028" s="376"/>
      <c r="R2028" s="393"/>
      <c r="S2028" s="61" ph="1"/>
      <c r="U2028" s="229"/>
      <c r="V2028" s="264"/>
      <c r="W2028" s="199"/>
      <c r="X2028" s="264"/>
      <c r="Y2028" s="264"/>
      <c r="Z2028" s="386"/>
      <c r="AD2028" s="264"/>
      <c r="AE2028" s="264"/>
      <c r="AF2028" s="264"/>
      <c r="AG2028" s="264"/>
    </row>
    <row r="2029" spans="1:33" ht="26.25">
      <c r="A2029" s="264"/>
      <c r="B2029" s="264"/>
      <c r="C2029" s="264"/>
      <c r="D2029" s="264"/>
      <c r="E2029" s="264"/>
      <c r="F2029" s="264"/>
      <c r="G2029" s="264"/>
      <c r="H2029" s="264"/>
      <c r="I2029" s="264"/>
      <c r="J2029" s="327"/>
      <c r="K2029" s="327"/>
      <c r="L2029" s="327"/>
      <c r="M2029" s="321"/>
      <c r="N2029" s="321"/>
      <c r="P2029" s="376"/>
      <c r="R2029" s="393"/>
      <c r="S2029" s="61" ph="1"/>
      <c r="U2029" s="229"/>
      <c r="V2029" s="264"/>
      <c r="W2029" s="199"/>
      <c r="X2029" s="264"/>
      <c r="Y2029" s="264"/>
      <c r="Z2029" s="386"/>
      <c r="AD2029" s="264"/>
      <c r="AE2029" s="264"/>
      <c r="AF2029" s="264"/>
      <c r="AG2029" s="264"/>
    </row>
    <row r="2030" spans="1:33" ht="26.25">
      <c r="A2030" s="264"/>
      <c r="B2030" s="264"/>
      <c r="C2030" s="264"/>
      <c r="D2030" s="264"/>
      <c r="E2030" s="264"/>
      <c r="F2030" s="264"/>
      <c r="G2030" s="264"/>
      <c r="H2030" s="264"/>
      <c r="I2030" s="264"/>
      <c r="J2030" s="327"/>
      <c r="K2030" s="327"/>
      <c r="L2030" s="327"/>
      <c r="M2030" s="321"/>
      <c r="N2030" s="321"/>
      <c r="P2030" s="376"/>
      <c r="R2030" s="393"/>
      <c r="S2030" s="61" ph="1"/>
      <c r="U2030" s="229"/>
      <c r="V2030" s="264"/>
      <c r="W2030" s="199"/>
      <c r="X2030" s="264"/>
      <c r="Y2030" s="264"/>
      <c r="Z2030" s="386"/>
      <c r="AD2030" s="264"/>
      <c r="AE2030" s="264"/>
      <c r="AF2030" s="264"/>
      <c r="AG2030" s="264"/>
    </row>
    <row r="2031" spans="1:33" ht="26.25">
      <c r="A2031" s="264"/>
      <c r="B2031" s="264"/>
      <c r="C2031" s="264"/>
      <c r="D2031" s="264"/>
      <c r="E2031" s="264"/>
      <c r="F2031" s="264"/>
      <c r="G2031" s="264"/>
      <c r="H2031" s="264"/>
      <c r="I2031" s="264"/>
      <c r="J2031" s="327"/>
      <c r="K2031" s="327"/>
      <c r="L2031" s="327"/>
      <c r="M2031" s="321"/>
      <c r="N2031" s="321"/>
      <c r="P2031" s="376"/>
      <c r="R2031" s="393"/>
      <c r="S2031" s="61" ph="1"/>
      <c r="U2031" s="229"/>
      <c r="V2031" s="264"/>
      <c r="W2031" s="199"/>
      <c r="X2031" s="264"/>
      <c r="Y2031" s="264"/>
      <c r="Z2031" s="386"/>
      <c r="AD2031" s="264"/>
      <c r="AE2031" s="264"/>
      <c r="AF2031" s="264"/>
      <c r="AG2031" s="264"/>
    </row>
    <row r="2032" spans="1:33" ht="26.25">
      <c r="A2032" s="264"/>
      <c r="B2032" s="264"/>
      <c r="C2032" s="264"/>
      <c r="D2032" s="264"/>
      <c r="E2032" s="264"/>
      <c r="F2032" s="264"/>
      <c r="G2032" s="264"/>
      <c r="H2032" s="264"/>
      <c r="I2032" s="264"/>
      <c r="J2032" s="327"/>
      <c r="K2032" s="327"/>
      <c r="L2032" s="327"/>
      <c r="M2032" s="321"/>
      <c r="N2032" s="321"/>
      <c r="P2032" s="376"/>
      <c r="R2032" s="393"/>
      <c r="S2032" s="61" ph="1"/>
      <c r="U2032" s="229"/>
      <c r="V2032" s="264"/>
      <c r="W2032" s="199"/>
      <c r="X2032" s="264"/>
      <c r="Y2032" s="264"/>
      <c r="Z2032" s="386"/>
      <c r="AD2032" s="264"/>
      <c r="AE2032" s="264"/>
      <c r="AF2032" s="264"/>
      <c r="AG2032" s="264"/>
    </row>
    <row r="2033" spans="1:33" ht="26.25">
      <c r="A2033" s="264"/>
      <c r="B2033" s="264"/>
      <c r="C2033" s="264"/>
      <c r="D2033" s="264"/>
      <c r="E2033" s="264"/>
      <c r="F2033" s="264"/>
      <c r="G2033" s="264"/>
      <c r="H2033" s="264"/>
      <c r="I2033" s="264"/>
      <c r="J2033" s="327"/>
      <c r="K2033" s="327"/>
      <c r="L2033" s="327"/>
      <c r="M2033" s="321"/>
      <c r="N2033" s="321"/>
      <c r="P2033" s="376"/>
      <c r="R2033" s="393"/>
      <c r="S2033" s="61" ph="1"/>
      <c r="U2033" s="229"/>
      <c r="V2033" s="264"/>
      <c r="W2033" s="199"/>
      <c r="X2033" s="264"/>
      <c r="Y2033" s="264"/>
      <c r="Z2033" s="386"/>
      <c r="AD2033" s="264"/>
      <c r="AE2033" s="264"/>
      <c r="AF2033" s="264"/>
      <c r="AG2033" s="264"/>
    </row>
    <row r="2034" spans="1:33" ht="26.25">
      <c r="A2034" s="264"/>
      <c r="B2034" s="264"/>
      <c r="C2034" s="264"/>
      <c r="D2034" s="264"/>
      <c r="E2034" s="264"/>
      <c r="F2034" s="264"/>
      <c r="G2034" s="264"/>
      <c r="H2034" s="264"/>
      <c r="I2034" s="264"/>
      <c r="J2034" s="327"/>
      <c r="K2034" s="327"/>
      <c r="L2034" s="327"/>
      <c r="M2034" s="321"/>
      <c r="N2034" s="321"/>
      <c r="P2034" s="376"/>
      <c r="R2034" s="393"/>
      <c r="S2034" s="61" ph="1"/>
      <c r="U2034" s="229"/>
      <c r="V2034" s="264"/>
      <c r="W2034" s="199"/>
      <c r="X2034" s="264"/>
      <c r="Y2034" s="264"/>
      <c r="Z2034" s="386"/>
      <c r="AD2034" s="264"/>
      <c r="AE2034" s="264"/>
      <c r="AF2034" s="264"/>
      <c r="AG2034" s="264"/>
    </row>
    <row r="2035" spans="1:33" ht="26.25">
      <c r="A2035" s="264"/>
      <c r="B2035" s="264"/>
      <c r="C2035" s="264"/>
      <c r="D2035" s="264"/>
      <c r="E2035" s="264"/>
      <c r="F2035" s="264"/>
      <c r="G2035" s="264"/>
      <c r="H2035" s="264"/>
      <c r="I2035" s="264"/>
      <c r="J2035" s="327"/>
      <c r="K2035" s="327"/>
      <c r="L2035" s="327"/>
      <c r="M2035" s="321"/>
      <c r="N2035" s="321"/>
      <c r="P2035" s="376"/>
      <c r="R2035" s="393"/>
      <c r="S2035" s="61" ph="1"/>
      <c r="U2035" s="229"/>
      <c r="V2035" s="264"/>
      <c r="W2035" s="199"/>
      <c r="X2035" s="264"/>
      <c r="Y2035" s="264"/>
      <c r="Z2035" s="386"/>
      <c r="AD2035" s="264"/>
      <c r="AE2035" s="264"/>
      <c r="AF2035" s="264"/>
      <c r="AG2035" s="264"/>
    </row>
    <row r="2036" spans="1:33" ht="26.25">
      <c r="A2036" s="264"/>
      <c r="B2036" s="264"/>
      <c r="C2036" s="264"/>
      <c r="D2036" s="264"/>
      <c r="E2036" s="264"/>
      <c r="F2036" s="264"/>
      <c r="G2036" s="264"/>
      <c r="H2036" s="264"/>
      <c r="I2036" s="264"/>
      <c r="J2036" s="327"/>
      <c r="K2036" s="327"/>
      <c r="L2036" s="327"/>
      <c r="M2036" s="321"/>
      <c r="N2036" s="321"/>
      <c r="P2036" s="376"/>
      <c r="R2036" s="393"/>
      <c r="S2036" s="61" ph="1"/>
      <c r="U2036" s="229"/>
      <c r="V2036" s="264"/>
      <c r="W2036" s="199"/>
      <c r="X2036" s="264"/>
      <c r="Y2036" s="264"/>
      <c r="Z2036" s="386"/>
      <c r="AD2036" s="264"/>
      <c r="AE2036" s="264"/>
      <c r="AF2036" s="264"/>
      <c r="AG2036" s="264"/>
    </row>
    <row r="2037" spans="1:33" ht="26.25">
      <c r="A2037" s="264"/>
      <c r="B2037" s="264"/>
      <c r="C2037" s="264"/>
      <c r="D2037" s="264"/>
      <c r="E2037" s="264"/>
      <c r="F2037" s="264"/>
      <c r="G2037" s="264"/>
      <c r="H2037" s="264"/>
      <c r="I2037" s="264"/>
      <c r="J2037" s="327"/>
      <c r="K2037" s="327"/>
      <c r="L2037" s="327"/>
      <c r="M2037" s="321"/>
      <c r="N2037" s="321"/>
      <c r="P2037" s="376"/>
      <c r="R2037" s="393"/>
      <c r="S2037" s="61" ph="1"/>
      <c r="U2037" s="229"/>
      <c r="V2037" s="264"/>
      <c r="W2037" s="199"/>
      <c r="X2037" s="264"/>
      <c r="Y2037" s="264"/>
      <c r="Z2037" s="386"/>
      <c r="AD2037" s="264"/>
      <c r="AE2037" s="264"/>
      <c r="AF2037" s="264"/>
      <c r="AG2037" s="264"/>
    </row>
    <row r="2038" spans="1:33" ht="26.25">
      <c r="A2038" s="264"/>
      <c r="B2038" s="264"/>
      <c r="C2038" s="264"/>
      <c r="D2038" s="264"/>
      <c r="E2038" s="264"/>
      <c r="F2038" s="264"/>
      <c r="G2038" s="264"/>
      <c r="H2038" s="264"/>
      <c r="I2038" s="264"/>
      <c r="J2038" s="327"/>
      <c r="K2038" s="327"/>
      <c r="L2038" s="327"/>
      <c r="M2038" s="321"/>
      <c r="N2038" s="321"/>
      <c r="P2038" s="376"/>
      <c r="R2038" s="393"/>
      <c r="S2038" s="61" ph="1"/>
      <c r="U2038" s="229"/>
      <c r="V2038" s="264"/>
      <c r="W2038" s="199"/>
      <c r="X2038" s="264"/>
      <c r="Y2038" s="264"/>
      <c r="Z2038" s="386"/>
      <c r="AD2038" s="264"/>
      <c r="AE2038" s="264"/>
      <c r="AF2038" s="264"/>
      <c r="AG2038" s="264"/>
    </row>
    <row r="2039" spans="1:33" ht="26.25">
      <c r="A2039" s="264"/>
      <c r="B2039" s="264"/>
      <c r="C2039" s="264"/>
      <c r="D2039" s="264"/>
      <c r="E2039" s="264"/>
      <c r="F2039" s="264"/>
      <c r="G2039" s="264"/>
      <c r="H2039" s="264"/>
      <c r="I2039" s="264"/>
      <c r="J2039" s="327"/>
      <c r="K2039" s="327"/>
      <c r="L2039" s="327"/>
      <c r="M2039" s="321"/>
      <c r="N2039" s="321"/>
      <c r="P2039" s="376"/>
      <c r="R2039" s="393"/>
      <c r="S2039" s="61" ph="1"/>
      <c r="U2039" s="229"/>
      <c r="V2039" s="264"/>
      <c r="W2039" s="199"/>
      <c r="X2039" s="264"/>
      <c r="Y2039" s="264"/>
      <c r="Z2039" s="386"/>
      <c r="AD2039" s="264"/>
      <c r="AE2039" s="264"/>
      <c r="AF2039" s="264"/>
      <c r="AG2039" s="264"/>
    </row>
    <row r="2040" spans="1:33" ht="26.25">
      <c r="A2040" s="264"/>
      <c r="B2040" s="264"/>
      <c r="C2040" s="264"/>
      <c r="D2040" s="264"/>
      <c r="E2040" s="264"/>
      <c r="F2040" s="264"/>
      <c r="G2040" s="264"/>
      <c r="H2040" s="264"/>
      <c r="I2040" s="264"/>
      <c r="J2040" s="327"/>
      <c r="K2040" s="327"/>
      <c r="L2040" s="327"/>
      <c r="M2040" s="321"/>
      <c r="N2040" s="321"/>
      <c r="P2040" s="376"/>
      <c r="R2040" s="393"/>
      <c r="S2040" s="61" ph="1"/>
      <c r="U2040" s="229"/>
      <c r="V2040" s="264"/>
      <c r="W2040" s="199"/>
      <c r="X2040" s="264"/>
      <c r="Y2040" s="264"/>
      <c r="Z2040" s="386"/>
      <c r="AD2040" s="264"/>
      <c r="AE2040" s="264"/>
      <c r="AF2040" s="264"/>
      <c r="AG2040" s="264"/>
    </row>
    <row r="2041" spans="1:33" ht="26.25">
      <c r="A2041" s="264"/>
      <c r="B2041" s="264"/>
      <c r="C2041" s="264"/>
      <c r="D2041" s="264"/>
      <c r="E2041" s="264"/>
      <c r="F2041" s="264"/>
      <c r="G2041" s="264"/>
      <c r="H2041" s="264"/>
      <c r="I2041" s="264"/>
      <c r="J2041" s="327"/>
      <c r="K2041" s="327"/>
      <c r="L2041" s="327"/>
      <c r="M2041" s="321"/>
      <c r="N2041" s="321"/>
      <c r="P2041" s="376"/>
      <c r="R2041" s="393"/>
      <c r="S2041" s="61" ph="1"/>
      <c r="U2041" s="229"/>
      <c r="V2041" s="264"/>
      <c r="W2041" s="199"/>
      <c r="X2041" s="264"/>
      <c r="Y2041" s="264"/>
      <c r="Z2041" s="386"/>
      <c r="AD2041" s="264"/>
      <c r="AE2041" s="264"/>
      <c r="AF2041" s="264"/>
      <c r="AG2041" s="264"/>
    </row>
    <row r="2042" spans="1:33" ht="26.25">
      <c r="A2042" s="264"/>
      <c r="B2042" s="264"/>
      <c r="C2042" s="264"/>
      <c r="D2042" s="264"/>
      <c r="E2042" s="264"/>
      <c r="F2042" s="264"/>
      <c r="G2042" s="264"/>
      <c r="H2042" s="264"/>
      <c r="I2042" s="264"/>
      <c r="J2042" s="327"/>
      <c r="K2042" s="327"/>
      <c r="L2042" s="327"/>
      <c r="M2042" s="321"/>
      <c r="N2042" s="321"/>
      <c r="P2042" s="376"/>
      <c r="R2042" s="393"/>
      <c r="S2042" s="61" ph="1"/>
      <c r="U2042" s="229"/>
      <c r="V2042" s="264"/>
      <c r="W2042" s="199"/>
      <c r="X2042" s="264"/>
      <c r="Y2042" s="264"/>
      <c r="Z2042" s="386"/>
      <c r="AD2042" s="264"/>
      <c r="AE2042" s="264"/>
      <c r="AF2042" s="264"/>
      <c r="AG2042" s="264"/>
    </row>
    <row r="2043" spans="1:33" ht="26.25">
      <c r="A2043" s="264"/>
      <c r="B2043" s="264"/>
      <c r="C2043" s="264"/>
      <c r="D2043" s="264"/>
      <c r="E2043" s="264"/>
      <c r="F2043" s="264"/>
      <c r="G2043" s="264"/>
      <c r="H2043" s="264"/>
      <c r="I2043" s="264"/>
      <c r="J2043" s="327"/>
      <c r="K2043" s="327"/>
      <c r="L2043" s="327"/>
      <c r="M2043" s="321"/>
      <c r="N2043" s="321"/>
      <c r="P2043" s="376"/>
      <c r="R2043" s="393"/>
      <c r="S2043" s="61" ph="1"/>
      <c r="U2043" s="229"/>
      <c r="V2043" s="264"/>
      <c r="W2043" s="199"/>
      <c r="X2043" s="264"/>
      <c r="Y2043" s="264"/>
      <c r="Z2043" s="386"/>
      <c r="AD2043" s="264"/>
      <c r="AE2043" s="264"/>
      <c r="AF2043" s="264"/>
      <c r="AG2043" s="264"/>
    </row>
    <row r="2044" spans="1:33" ht="26.25">
      <c r="A2044" s="264"/>
      <c r="B2044" s="264"/>
      <c r="C2044" s="264"/>
      <c r="D2044" s="264"/>
      <c r="E2044" s="264"/>
      <c r="F2044" s="264"/>
      <c r="G2044" s="264"/>
      <c r="H2044" s="264"/>
      <c r="I2044" s="264"/>
      <c r="J2044" s="327"/>
      <c r="K2044" s="327"/>
      <c r="L2044" s="327"/>
      <c r="M2044" s="321"/>
      <c r="N2044" s="321"/>
      <c r="P2044" s="376"/>
      <c r="R2044" s="393"/>
      <c r="S2044" s="61" ph="1"/>
      <c r="U2044" s="229"/>
      <c r="V2044" s="264"/>
      <c r="W2044" s="199"/>
      <c r="X2044" s="264"/>
      <c r="Y2044" s="264"/>
      <c r="Z2044" s="386"/>
      <c r="AD2044" s="264"/>
      <c r="AE2044" s="264"/>
      <c r="AF2044" s="264"/>
      <c r="AG2044" s="264"/>
    </row>
    <row r="2045" spans="1:33" ht="26.25">
      <c r="A2045" s="264"/>
      <c r="B2045" s="264"/>
      <c r="C2045" s="264"/>
      <c r="D2045" s="264"/>
      <c r="E2045" s="264"/>
      <c r="F2045" s="264"/>
      <c r="G2045" s="264"/>
      <c r="H2045" s="264"/>
      <c r="I2045" s="264"/>
      <c r="J2045" s="327"/>
      <c r="K2045" s="327"/>
      <c r="L2045" s="327"/>
      <c r="M2045" s="321"/>
      <c r="N2045" s="321"/>
      <c r="P2045" s="376"/>
      <c r="R2045" s="393"/>
      <c r="S2045" s="61" ph="1"/>
      <c r="U2045" s="229"/>
      <c r="V2045" s="264"/>
      <c r="W2045" s="199"/>
      <c r="X2045" s="264"/>
      <c r="Y2045" s="264"/>
      <c r="Z2045" s="386"/>
      <c r="AD2045" s="264"/>
      <c r="AE2045" s="264"/>
      <c r="AF2045" s="264"/>
      <c r="AG2045" s="264"/>
    </row>
    <row r="2046" spans="1:33" ht="26.25">
      <c r="A2046" s="264"/>
      <c r="B2046" s="264"/>
      <c r="C2046" s="264"/>
      <c r="D2046" s="264"/>
      <c r="E2046" s="264"/>
      <c r="F2046" s="264"/>
      <c r="G2046" s="264"/>
      <c r="H2046" s="264"/>
      <c r="I2046" s="264"/>
      <c r="J2046" s="327"/>
      <c r="K2046" s="327"/>
      <c r="L2046" s="327"/>
      <c r="M2046" s="321"/>
      <c r="N2046" s="321"/>
      <c r="P2046" s="376"/>
      <c r="R2046" s="393"/>
      <c r="S2046" s="61" ph="1"/>
      <c r="U2046" s="229"/>
      <c r="V2046" s="264"/>
      <c r="W2046" s="199"/>
      <c r="X2046" s="264"/>
      <c r="Y2046" s="264"/>
      <c r="Z2046" s="386"/>
      <c r="AD2046" s="264"/>
      <c r="AE2046" s="264"/>
      <c r="AF2046" s="264"/>
      <c r="AG2046" s="264"/>
    </row>
    <row r="2047" spans="1:33" ht="26.25">
      <c r="A2047" s="264"/>
      <c r="B2047" s="264"/>
      <c r="C2047" s="264"/>
      <c r="D2047" s="264"/>
      <c r="E2047" s="264"/>
      <c r="F2047" s="264"/>
      <c r="G2047" s="264"/>
      <c r="H2047" s="264"/>
      <c r="I2047" s="264"/>
      <c r="J2047" s="327"/>
      <c r="K2047" s="327"/>
      <c r="L2047" s="327"/>
      <c r="M2047" s="321"/>
      <c r="N2047" s="321"/>
      <c r="P2047" s="376"/>
      <c r="R2047" s="393"/>
      <c r="S2047" s="61" ph="1"/>
      <c r="U2047" s="229"/>
      <c r="V2047" s="264"/>
      <c r="W2047" s="199"/>
      <c r="X2047" s="264"/>
      <c r="Y2047" s="264"/>
      <c r="Z2047" s="386"/>
      <c r="AD2047" s="264"/>
      <c r="AE2047" s="264"/>
      <c r="AF2047" s="264"/>
      <c r="AG2047" s="264"/>
    </row>
    <row r="2048" spans="1:33" ht="26.25">
      <c r="A2048" s="264"/>
      <c r="B2048" s="264"/>
      <c r="C2048" s="264"/>
      <c r="D2048" s="264"/>
      <c r="E2048" s="264"/>
      <c r="F2048" s="264"/>
      <c r="G2048" s="264"/>
      <c r="H2048" s="264"/>
      <c r="I2048" s="264"/>
      <c r="J2048" s="327"/>
      <c r="K2048" s="327"/>
      <c r="L2048" s="327"/>
      <c r="M2048" s="321"/>
      <c r="N2048" s="321"/>
      <c r="P2048" s="376"/>
      <c r="R2048" s="393"/>
      <c r="S2048" s="61" ph="1"/>
      <c r="U2048" s="229"/>
      <c r="V2048" s="264"/>
      <c r="W2048" s="199"/>
      <c r="X2048" s="264"/>
      <c r="Y2048" s="264"/>
      <c r="Z2048" s="386"/>
      <c r="AD2048" s="264"/>
      <c r="AE2048" s="264"/>
      <c r="AF2048" s="264"/>
      <c r="AG2048" s="264"/>
    </row>
    <row r="2049" spans="1:33" ht="26.25">
      <c r="A2049" s="264"/>
      <c r="B2049" s="264"/>
      <c r="C2049" s="264"/>
      <c r="D2049" s="264"/>
      <c r="E2049" s="264"/>
      <c r="F2049" s="264"/>
      <c r="G2049" s="264"/>
      <c r="H2049" s="264"/>
      <c r="I2049" s="264"/>
      <c r="J2049" s="327"/>
      <c r="K2049" s="327"/>
      <c r="L2049" s="327"/>
      <c r="M2049" s="321"/>
      <c r="N2049" s="321"/>
      <c r="P2049" s="376"/>
      <c r="R2049" s="393"/>
      <c r="S2049" s="61" ph="1"/>
      <c r="U2049" s="229"/>
      <c r="V2049" s="264"/>
      <c r="W2049" s="199"/>
      <c r="X2049" s="264"/>
      <c r="Y2049" s="264"/>
      <c r="Z2049" s="386"/>
      <c r="AD2049" s="264"/>
      <c r="AE2049" s="264"/>
      <c r="AF2049" s="264"/>
      <c r="AG2049" s="264"/>
    </row>
    <row r="2050" spans="1:33" ht="26.25">
      <c r="A2050" s="264"/>
      <c r="B2050" s="264"/>
      <c r="C2050" s="264"/>
      <c r="D2050" s="264"/>
      <c r="E2050" s="264"/>
      <c r="F2050" s="264"/>
      <c r="G2050" s="264"/>
      <c r="H2050" s="264"/>
      <c r="I2050" s="264"/>
      <c r="J2050" s="327"/>
      <c r="K2050" s="327"/>
      <c r="L2050" s="327"/>
      <c r="M2050" s="321"/>
      <c r="N2050" s="321"/>
      <c r="P2050" s="376"/>
      <c r="R2050" s="393"/>
      <c r="S2050" s="61" ph="1"/>
      <c r="U2050" s="229"/>
      <c r="V2050" s="264"/>
      <c r="W2050" s="199"/>
      <c r="X2050" s="264"/>
      <c r="Y2050" s="264"/>
      <c r="Z2050" s="386"/>
      <c r="AD2050" s="264"/>
      <c r="AE2050" s="264"/>
      <c r="AF2050" s="264"/>
      <c r="AG2050" s="264"/>
    </row>
    <row r="2051" spans="1:33" ht="26.25">
      <c r="A2051" s="264"/>
      <c r="B2051" s="264"/>
      <c r="C2051" s="264"/>
      <c r="D2051" s="264"/>
      <c r="E2051" s="264"/>
      <c r="F2051" s="264"/>
      <c r="G2051" s="264"/>
      <c r="H2051" s="264"/>
      <c r="I2051" s="264"/>
      <c r="J2051" s="327"/>
      <c r="K2051" s="327"/>
      <c r="L2051" s="327"/>
      <c r="M2051" s="321"/>
      <c r="N2051" s="321"/>
      <c r="P2051" s="376"/>
      <c r="R2051" s="393"/>
      <c r="S2051" s="61" ph="1"/>
      <c r="U2051" s="229"/>
      <c r="V2051" s="264"/>
      <c r="W2051" s="199"/>
      <c r="X2051" s="264"/>
      <c r="Y2051" s="264"/>
      <c r="Z2051" s="386"/>
      <c r="AD2051" s="264"/>
      <c r="AE2051" s="264"/>
      <c r="AF2051" s="264"/>
      <c r="AG2051" s="264"/>
    </row>
    <row r="2052" spans="1:33" ht="26.25">
      <c r="A2052" s="264"/>
      <c r="B2052" s="264"/>
      <c r="C2052" s="264"/>
      <c r="D2052" s="264"/>
      <c r="E2052" s="264"/>
      <c r="F2052" s="264"/>
      <c r="G2052" s="264"/>
      <c r="H2052" s="264"/>
      <c r="I2052" s="264"/>
      <c r="J2052" s="327"/>
      <c r="K2052" s="327"/>
      <c r="L2052" s="327"/>
      <c r="M2052" s="321"/>
      <c r="N2052" s="321"/>
      <c r="P2052" s="376"/>
      <c r="R2052" s="393"/>
      <c r="S2052" s="61" ph="1"/>
      <c r="U2052" s="229"/>
      <c r="V2052" s="264"/>
      <c r="W2052" s="199"/>
      <c r="X2052" s="264"/>
      <c r="Y2052" s="264"/>
      <c r="Z2052" s="386"/>
      <c r="AD2052" s="264"/>
      <c r="AE2052" s="264"/>
      <c r="AF2052" s="264"/>
      <c r="AG2052" s="264"/>
    </row>
    <row r="2053" spans="1:33" ht="26.25">
      <c r="A2053" s="264"/>
      <c r="B2053" s="264"/>
      <c r="C2053" s="264"/>
      <c r="D2053" s="264"/>
      <c r="E2053" s="264"/>
      <c r="F2053" s="264"/>
      <c r="G2053" s="264"/>
      <c r="H2053" s="264"/>
      <c r="I2053" s="264"/>
      <c r="J2053" s="327"/>
      <c r="K2053" s="327"/>
      <c r="L2053" s="327"/>
      <c r="M2053" s="321"/>
      <c r="N2053" s="321"/>
      <c r="P2053" s="376"/>
      <c r="R2053" s="393"/>
      <c r="S2053" s="61" ph="1"/>
      <c r="U2053" s="229"/>
      <c r="V2053" s="264"/>
      <c r="W2053" s="199"/>
      <c r="X2053" s="264"/>
      <c r="Y2053" s="264"/>
      <c r="Z2053" s="386"/>
      <c r="AD2053" s="264"/>
      <c r="AE2053" s="264"/>
      <c r="AF2053" s="264"/>
      <c r="AG2053" s="264"/>
    </row>
    <row r="2054" spans="1:33" ht="26.25">
      <c r="A2054" s="264"/>
      <c r="B2054" s="264"/>
      <c r="C2054" s="264"/>
      <c r="D2054" s="264"/>
      <c r="E2054" s="264"/>
      <c r="F2054" s="264"/>
      <c r="G2054" s="264"/>
      <c r="H2054" s="264"/>
      <c r="I2054" s="264"/>
      <c r="J2054" s="327"/>
      <c r="K2054" s="327"/>
      <c r="L2054" s="327"/>
      <c r="M2054" s="321"/>
      <c r="N2054" s="321"/>
      <c r="P2054" s="376"/>
      <c r="R2054" s="393"/>
      <c r="S2054" s="61" ph="1"/>
      <c r="U2054" s="229"/>
      <c r="V2054" s="264"/>
      <c r="W2054" s="199"/>
      <c r="X2054" s="264"/>
      <c r="Y2054" s="264"/>
      <c r="Z2054" s="386"/>
      <c r="AD2054" s="264"/>
      <c r="AE2054" s="264"/>
      <c r="AF2054" s="264"/>
      <c r="AG2054" s="264"/>
    </row>
    <row r="2055" spans="1:33" ht="26.25">
      <c r="A2055" s="264"/>
      <c r="B2055" s="264"/>
      <c r="C2055" s="264"/>
      <c r="D2055" s="264"/>
      <c r="E2055" s="264"/>
      <c r="F2055" s="264"/>
      <c r="G2055" s="264"/>
      <c r="H2055" s="264"/>
      <c r="I2055" s="264"/>
      <c r="J2055" s="327"/>
      <c r="K2055" s="327"/>
      <c r="L2055" s="327"/>
      <c r="M2055" s="321"/>
      <c r="N2055" s="321"/>
      <c r="P2055" s="376"/>
      <c r="R2055" s="393"/>
      <c r="S2055" s="61" ph="1"/>
      <c r="U2055" s="229"/>
      <c r="V2055" s="264"/>
      <c r="W2055" s="199"/>
      <c r="X2055" s="264"/>
      <c r="Y2055" s="264"/>
      <c r="Z2055" s="386"/>
      <c r="AD2055" s="264"/>
      <c r="AE2055" s="264"/>
      <c r="AF2055" s="264"/>
      <c r="AG2055" s="264"/>
    </row>
    <row r="2056" spans="1:33" ht="26.25">
      <c r="A2056" s="264"/>
      <c r="B2056" s="264"/>
      <c r="C2056" s="264"/>
      <c r="D2056" s="264"/>
      <c r="E2056" s="264"/>
      <c r="F2056" s="264"/>
      <c r="G2056" s="264"/>
      <c r="H2056" s="264"/>
      <c r="I2056" s="264"/>
      <c r="J2056" s="327"/>
      <c r="K2056" s="327"/>
      <c r="L2056" s="327"/>
      <c r="M2056" s="321"/>
      <c r="N2056" s="321"/>
      <c r="P2056" s="376"/>
      <c r="R2056" s="393"/>
      <c r="S2056" s="61" ph="1"/>
      <c r="U2056" s="229"/>
      <c r="V2056" s="264"/>
      <c r="W2056" s="199"/>
      <c r="X2056" s="264"/>
      <c r="Y2056" s="264"/>
      <c r="Z2056" s="386"/>
      <c r="AD2056" s="264"/>
      <c r="AE2056" s="264"/>
      <c r="AF2056" s="264"/>
      <c r="AG2056" s="264"/>
    </row>
    <row r="2057" spans="1:33" ht="26.25">
      <c r="A2057" s="264"/>
      <c r="B2057" s="264"/>
      <c r="C2057" s="264"/>
      <c r="D2057" s="264"/>
      <c r="E2057" s="264"/>
      <c r="F2057" s="264"/>
      <c r="G2057" s="264"/>
      <c r="H2057" s="264"/>
      <c r="I2057" s="264"/>
      <c r="J2057" s="327"/>
      <c r="K2057" s="327"/>
      <c r="L2057" s="327"/>
      <c r="M2057" s="321"/>
      <c r="N2057" s="321"/>
      <c r="P2057" s="376"/>
      <c r="R2057" s="393"/>
      <c r="S2057" s="61" ph="1"/>
      <c r="U2057" s="229"/>
      <c r="V2057" s="264"/>
      <c r="W2057" s="199"/>
      <c r="X2057" s="264"/>
      <c r="Y2057" s="264"/>
      <c r="Z2057" s="386"/>
      <c r="AD2057" s="264"/>
      <c r="AE2057" s="264"/>
      <c r="AF2057" s="264"/>
      <c r="AG2057" s="264"/>
    </row>
    <row r="2058" spans="1:33" ht="26.25">
      <c r="A2058" s="264"/>
      <c r="B2058" s="264"/>
      <c r="C2058" s="264"/>
      <c r="D2058" s="264"/>
      <c r="E2058" s="264"/>
      <c r="F2058" s="264"/>
      <c r="G2058" s="264"/>
      <c r="H2058" s="264"/>
      <c r="I2058" s="264"/>
      <c r="J2058" s="327"/>
      <c r="K2058" s="327"/>
      <c r="L2058" s="327"/>
      <c r="M2058" s="321"/>
      <c r="N2058" s="321"/>
      <c r="P2058" s="376"/>
      <c r="R2058" s="393"/>
      <c r="S2058" s="61" ph="1"/>
      <c r="U2058" s="229"/>
      <c r="V2058" s="264"/>
      <c r="W2058" s="199"/>
      <c r="X2058" s="264"/>
      <c r="Y2058" s="264"/>
      <c r="Z2058" s="386"/>
      <c r="AD2058" s="264"/>
      <c r="AE2058" s="264"/>
      <c r="AF2058" s="264"/>
      <c r="AG2058" s="264"/>
    </row>
    <row r="2059" spans="1:33" ht="26.25">
      <c r="A2059" s="264"/>
      <c r="B2059" s="264"/>
      <c r="C2059" s="264"/>
      <c r="D2059" s="264"/>
      <c r="E2059" s="264"/>
      <c r="F2059" s="264"/>
      <c r="G2059" s="264"/>
      <c r="H2059" s="264"/>
      <c r="I2059" s="264"/>
      <c r="J2059" s="327"/>
      <c r="K2059" s="327"/>
      <c r="L2059" s="327"/>
      <c r="M2059" s="321"/>
      <c r="N2059" s="321"/>
      <c r="P2059" s="376"/>
      <c r="R2059" s="393"/>
      <c r="S2059" s="61" ph="1"/>
      <c r="U2059" s="229"/>
      <c r="V2059" s="264"/>
      <c r="W2059" s="199"/>
      <c r="X2059" s="264"/>
      <c r="Y2059" s="264"/>
      <c r="Z2059" s="386"/>
      <c r="AD2059" s="264"/>
      <c r="AE2059" s="264"/>
      <c r="AF2059" s="264"/>
      <c r="AG2059" s="264"/>
    </row>
    <row r="2060" spans="1:33" ht="26.25">
      <c r="A2060" s="264"/>
      <c r="B2060" s="264"/>
      <c r="C2060" s="264"/>
      <c r="D2060" s="264"/>
      <c r="E2060" s="264"/>
      <c r="F2060" s="264"/>
      <c r="G2060" s="264"/>
      <c r="H2060" s="264"/>
      <c r="I2060" s="264"/>
      <c r="J2060" s="327"/>
      <c r="K2060" s="327"/>
      <c r="L2060" s="327"/>
      <c r="M2060" s="321"/>
      <c r="N2060" s="321"/>
      <c r="P2060" s="376"/>
      <c r="R2060" s="393"/>
      <c r="S2060" s="61" ph="1"/>
      <c r="U2060" s="229"/>
      <c r="V2060" s="264"/>
      <c r="W2060" s="199"/>
      <c r="X2060" s="264"/>
      <c r="Y2060" s="264"/>
      <c r="Z2060" s="386"/>
      <c r="AD2060" s="264"/>
      <c r="AE2060" s="264"/>
      <c r="AF2060" s="264"/>
      <c r="AG2060" s="264"/>
    </row>
    <row r="2061" spans="1:33" ht="26.25">
      <c r="A2061" s="264"/>
      <c r="B2061" s="264"/>
      <c r="C2061" s="264"/>
      <c r="D2061" s="264"/>
      <c r="E2061" s="264"/>
      <c r="F2061" s="264"/>
      <c r="G2061" s="264"/>
      <c r="H2061" s="264"/>
      <c r="I2061" s="264"/>
      <c r="J2061" s="327"/>
      <c r="K2061" s="327"/>
      <c r="L2061" s="327"/>
      <c r="M2061" s="321"/>
      <c r="N2061" s="321"/>
      <c r="P2061" s="376"/>
      <c r="R2061" s="393"/>
      <c r="S2061" s="61" ph="1"/>
      <c r="U2061" s="229"/>
      <c r="V2061" s="264"/>
      <c r="W2061" s="199"/>
      <c r="X2061" s="264"/>
      <c r="Y2061" s="264"/>
      <c r="Z2061" s="386"/>
      <c r="AD2061" s="264"/>
      <c r="AE2061" s="264"/>
      <c r="AF2061" s="264"/>
      <c r="AG2061" s="264"/>
    </row>
    <row r="2062" spans="1:33" ht="26.25">
      <c r="A2062" s="264"/>
      <c r="B2062" s="264"/>
      <c r="C2062" s="264"/>
      <c r="D2062" s="264"/>
      <c r="E2062" s="264"/>
      <c r="F2062" s="264"/>
      <c r="G2062" s="264"/>
      <c r="H2062" s="264"/>
      <c r="I2062" s="264"/>
      <c r="J2062" s="327"/>
      <c r="K2062" s="327"/>
      <c r="L2062" s="327"/>
      <c r="M2062" s="321"/>
      <c r="N2062" s="321"/>
      <c r="P2062" s="376"/>
      <c r="R2062" s="393"/>
      <c r="S2062" s="61" ph="1"/>
      <c r="U2062" s="229"/>
      <c r="V2062" s="264"/>
      <c r="W2062" s="199"/>
      <c r="X2062" s="264"/>
      <c r="Y2062" s="264"/>
      <c r="Z2062" s="386"/>
      <c r="AD2062" s="264"/>
      <c r="AE2062" s="264"/>
      <c r="AF2062" s="264"/>
      <c r="AG2062" s="264"/>
    </row>
    <row r="2063" spans="1:33" ht="26.25">
      <c r="A2063" s="264"/>
      <c r="B2063" s="264"/>
      <c r="C2063" s="264"/>
      <c r="D2063" s="264"/>
      <c r="E2063" s="264"/>
      <c r="F2063" s="264"/>
      <c r="G2063" s="264"/>
      <c r="H2063" s="264"/>
      <c r="I2063" s="264"/>
      <c r="J2063" s="327"/>
      <c r="K2063" s="327"/>
      <c r="L2063" s="327"/>
      <c r="M2063" s="321"/>
      <c r="N2063" s="321"/>
      <c r="P2063" s="376"/>
      <c r="R2063" s="393"/>
      <c r="S2063" s="61" ph="1"/>
      <c r="U2063" s="229"/>
      <c r="V2063" s="264"/>
      <c r="W2063" s="199"/>
      <c r="X2063" s="264"/>
      <c r="Y2063" s="264"/>
      <c r="Z2063" s="386"/>
      <c r="AD2063" s="264"/>
      <c r="AE2063" s="264"/>
      <c r="AF2063" s="264"/>
      <c r="AG2063" s="264"/>
    </row>
    <row r="2064" spans="1:33" ht="26.25">
      <c r="A2064" s="264"/>
      <c r="B2064" s="264"/>
      <c r="C2064" s="264"/>
      <c r="D2064" s="264"/>
      <c r="E2064" s="264"/>
      <c r="F2064" s="264"/>
      <c r="G2064" s="264"/>
      <c r="H2064" s="264"/>
      <c r="I2064" s="264"/>
      <c r="J2064" s="327"/>
      <c r="K2064" s="327"/>
      <c r="L2064" s="327"/>
      <c r="M2064" s="321"/>
      <c r="N2064" s="321"/>
      <c r="P2064" s="376"/>
      <c r="R2064" s="393"/>
      <c r="S2064" s="61" ph="1"/>
      <c r="U2064" s="229"/>
      <c r="V2064" s="264"/>
      <c r="W2064" s="199"/>
      <c r="X2064" s="264"/>
      <c r="Y2064" s="264"/>
      <c r="Z2064" s="386"/>
      <c r="AD2064" s="264"/>
      <c r="AE2064" s="264"/>
      <c r="AF2064" s="264"/>
      <c r="AG2064" s="264"/>
    </row>
    <row r="2065" spans="1:33" ht="26.25">
      <c r="A2065" s="264"/>
      <c r="B2065" s="264"/>
      <c r="C2065" s="264"/>
      <c r="D2065" s="264"/>
      <c r="E2065" s="264"/>
      <c r="F2065" s="264"/>
      <c r="G2065" s="264"/>
      <c r="H2065" s="264"/>
      <c r="I2065" s="264"/>
      <c r="J2065" s="327"/>
      <c r="K2065" s="327"/>
      <c r="L2065" s="327"/>
      <c r="M2065" s="321"/>
      <c r="N2065" s="321"/>
      <c r="P2065" s="376"/>
      <c r="R2065" s="393"/>
      <c r="S2065" s="61" ph="1"/>
      <c r="U2065" s="229"/>
      <c r="V2065" s="264"/>
      <c r="W2065" s="199"/>
      <c r="X2065" s="264"/>
      <c r="Y2065" s="264"/>
      <c r="Z2065" s="386"/>
      <c r="AD2065" s="264"/>
      <c r="AE2065" s="264"/>
      <c r="AF2065" s="264"/>
      <c r="AG2065" s="264"/>
    </row>
    <row r="2066" spans="1:33" ht="26.25">
      <c r="A2066" s="264"/>
      <c r="B2066" s="264"/>
      <c r="C2066" s="264"/>
      <c r="D2066" s="264"/>
      <c r="E2066" s="264"/>
      <c r="F2066" s="264"/>
      <c r="G2066" s="264"/>
      <c r="H2066" s="264"/>
      <c r="I2066" s="264"/>
      <c r="J2066" s="327"/>
      <c r="K2066" s="327"/>
      <c r="L2066" s="327"/>
      <c r="M2066" s="321"/>
      <c r="N2066" s="321"/>
      <c r="P2066" s="376"/>
      <c r="R2066" s="393"/>
      <c r="S2066" s="61" ph="1"/>
      <c r="U2066" s="229"/>
      <c r="V2066" s="264"/>
      <c r="W2066" s="199"/>
      <c r="X2066" s="264"/>
      <c r="Y2066" s="264"/>
      <c r="Z2066" s="386"/>
      <c r="AD2066" s="264"/>
      <c r="AE2066" s="264"/>
      <c r="AF2066" s="264"/>
      <c r="AG2066" s="264"/>
    </row>
    <row r="2067" spans="1:33" ht="26.25">
      <c r="A2067" s="264"/>
      <c r="B2067" s="264"/>
      <c r="C2067" s="264"/>
      <c r="D2067" s="264"/>
      <c r="E2067" s="264"/>
      <c r="F2067" s="264"/>
      <c r="G2067" s="264"/>
      <c r="H2067" s="264"/>
      <c r="I2067" s="264"/>
      <c r="J2067" s="327"/>
      <c r="K2067" s="327"/>
      <c r="L2067" s="327"/>
      <c r="M2067" s="321"/>
      <c r="N2067" s="321"/>
      <c r="P2067" s="376"/>
      <c r="R2067" s="393"/>
      <c r="S2067" s="61" ph="1"/>
      <c r="U2067" s="229"/>
      <c r="V2067" s="264"/>
      <c r="W2067" s="199"/>
      <c r="X2067" s="264"/>
      <c r="Y2067" s="264"/>
      <c r="Z2067" s="386"/>
      <c r="AD2067" s="264"/>
      <c r="AE2067" s="264"/>
      <c r="AF2067" s="264"/>
      <c r="AG2067" s="264"/>
    </row>
    <row r="2068" spans="1:33" ht="26.25">
      <c r="A2068" s="264"/>
      <c r="B2068" s="264"/>
      <c r="C2068" s="264"/>
      <c r="D2068" s="264"/>
      <c r="E2068" s="264"/>
      <c r="F2068" s="264"/>
      <c r="G2068" s="264"/>
      <c r="H2068" s="264"/>
      <c r="I2068" s="264"/>
      <c r="J2068" s="327"/>
      <c r="K2068" s="327"/>
      <c r="L2068" s="327"/>
      <c r="M2068" s="321"/>
      <c r="N2068" s="321"/>
      <c r="P2068" s="376"/>
      <c r="R2068" s="393"/>
      <c r="S2068" s="61" ph="1"/>
      <c r="U2068" s="229"/>
      <c r="V2068" s="264"/>
      <c r="W2068" s="199"/>
      <c r="X2068" s="264"/>
      <c r="Y2068" s="264"/>
      <c r="Z2068" s="386"/>
      <c r="AD2068" s="264"/>
      <c r="AE2068" s="264"/>
      <c r="AF2068" s="264"/>
      <c r="AG2068" s="264"/>
    </row>
    <row r="2069" spans="1:33" ht="26.25">
      <c r="A2069" s="264"/>
      <c r="B2069" s="264"/>
      <c r="C2069" s="264"/>
      <c r="D2069" s="264"/>
      <c r="E2069" s="264"/>
      <c r="F2069" s="264"/>
      <c r="G2069" s="264"/>
      <c r="H2069" s="264"/>
      <c r="I2069" s="264"/>
      <c r="J2069" s="327"/>
      <c r="K2069" s="327"/>
      <c r="L2069" s="327"/>
      <c r="M2069" s="321"/>
      <c r="N2069" s="321"/>
      <c r="P2069" s="376"/>
      <c r="R2069" s="393"/>
      <c r="S2069" s="61" ph="1"/>
      <c r="U2069" s="229"/>
      <c r="V2069" s="264"/>
      <c r="W2069" s="199"/>
      <c r="X2069" s="264"/>
      <c r="Y2069" s="264"/>
      <c r="Z2069" s="386"/>
      <c r="AD2069" s="264"/>
      <c r="AE2069" s="264"/>
      <c r="AF2069" s="264"/>
      <c r="AG2069" s="264"/>
    </row>
    <row r="2070" spans="1:33" ht="26.25">
      <c r="A2070" s="264"/>
      <c r="B2070" s="264"/>
      <c r="C2070" s="264"/>
      <c r="D2070" s="264"/>
      <c r="E2070" s="264"/>
      <c r="F2070" s="264"/>
      <c r="G2070" s="264"/>
      <c r="H2070" s="264"/>
      <c r="I2070" s="264"/>
      <c r="J2070" s="327"/>
      <c r="K2070" s="327"/>
      <c r="L2070" s="327"/>
      <c r="M2070" s="321"/>
      <c r="N2070" s="321"/>
      <c r="P2070" s="376"/>
      <c r="R2070" s="393"/>
      <c r="S2070" s="61" ph="1"/>
      <c r="U2070" s="229"/>
      <c r="V2070" s="264"/>
      <c r="W2070" s="199"/>
      <c r="X2070" s="264"/>
      <c r="Y2070" s="264"/>
      <c r="Z2070" s="386"/>
      <c r="AD2070" s="264"/>
      <c r="AE2070" s="264"/>
      <c r="AF2070" s="264"/>
      <c r="AG2070" s="264"/>
    </row>
    <row r="2071" spans="1:33" ht="26.25">
      <c r="A2071" s="264"/>
      <c r="B2071" s="264"/>
      <c r="C2071" s="264"/>
      <c r="D2071" s="264"/>
      <c r="E2071" s="264"/>
      <c r="F2071" s="264"/>
      <c r="G2071" s="264"/>
      <c r="H2071" s="264"/>
      <c r="I2071" s="264"/>
      <c r="J2071" s="327"/>
      <c r="K2071" s="327"/>
      <c r="L2071" s="327"/>
      <c r="M2071" s="321"/>
      <c r="N2071" s="321"/>
      <c r="P2071" s="376"/>
      <c r="R2071" s="393"/>
      <c r="S2071" s="61" ph="1"/>
      <c r="U2071" s="229"/>
      <c r="V2071" s="264"/>
      <c r="W2071" s="199"/>
      <c r="X2071" s="264"/>
      <c r="Y2071" s="264"/>
      <c r="Z2071" s="386"/>
      <c r="AD2071" s="264"/>
      <c r="AE2071" s="264"/>
      <c r="AF2071" s="264"/>
      <c r="AG2071" s="264"/>
    </row>
    <row r="2072" spans="1:33" ht="26.25">
      <c r="A2072" s="264"/>
      <c r="B2072" s="264"/>
      <c r="C2072" s="264"/>
      <c r="D2072" s="264"/>
      <c r="E2072" s="264"/>
      <c r="F2072" s="264"/>
      <c r="G2072" s="264"/>
      <c r="H2072" s="264"/>
      <c r="I2072" s="264"/>
      <c r="J2072" s="327"/>
      <c r="K2072" s="327"/>
      <c r="L2072" s="327"/>
      <c r="M2072" s="321"/>
      <c r="N2072" s="321"/>
      <c r="P2072" s="376"/>
      <c r="R2072" s="393"/>
      <c r="S2072" s="61" ph="1"/>
      <c r="U2072" s="229"/>
      <c r="V2072" s="264"/>
      <c r="W2072" s="199"/>
      <c r="X2072" s="264"/>
      <c r="Y2072" s="264"/>
      <c r="Z2072" s="386"/>
      <c r="AD2072" s="264"/>
      <c r="AE2072" s="264"/>
      <c r="AF2072" s="264"/>
      <c r="AG2072" s="264"/>
    </row>
    <row r="2073" spans="1:33" ht="26.25">
      <c r="A2073" s="264"/>
      <c r="B2073" s="264"/>
      <c r="C2073" s="264"/>
      <c r="D2073" s="264"/>
      <c r="E2073" s="264"/>
      <c r="F2073" s="264"/>
      <c r="G2073" s="264"/>
      <c r="H2073" s="264"/>
      <c r="I2073" s="264"/>
      <c r="J2073" s="327"/>
      <c r="K2073" s="327"/>
      <c r="L2073" s="327"/>
      <c r="M2073" s="321"/>
      <c r="N2073" s="321"/>
      <c r="P2073" s="376"/>
      <c r="R2073" s="393"/>
      <c r="S2073" s="61" ph="1"/>
      <c r="U2073" s="229"/>
      <c r="V2073" s="264"/>
      <c r="W2073" s="199"/>
      <c r="X2073" s="264"/>
      <c r="Y2073" s="264"/>
      <c r="Z2073" s="386"/>
      <c r="AD2073" s="264"/>
      <c r="AE2073" s="264"/>
      <c r="AF2073" s="264"/>
      <c r="AG2073" s="264"/>
    </row>
    <row r="2074" spans="1:33" ht="26.25">
      <c r="A2074" s="264"/>
      <c r="B2074" s="264"/>
      <c r="C2074" s="264"/>
      <c r="D2074" s="264"/>
      <c r="E2074" s="264"/>
      <c r="F2074" s="264"/>
      <c r="G2074" s="264"/>
      <c r="H2074" s="264"/>
      <c r="I2074" s="264"/>
      <c r="J2074" s="327"/>
      <c r="K2074" s="327"/>
      <c r="L2074" s="327"/>
      <c r="M2074" s="321"/>
      <c r="N2074" s="321"/>
      <c r="P2074" s="376"/>
      <c r="R2074" s="393"/>
      <c r="S2074" s="61" ph="1"/>
      <c r="U2074" s="229"/>
      <c r="V2074" s="264"/>
      <c r="W2074" s="199"/>
      <c r="X2074" s="264"/>
      <c r="Y2074" s="264"/>
      <c r="Z2074" s="386"/>
      <c r="AD2074" s="264"/>
      <c r="AE2074" s="264"/>
      <c r="AF2074" s="264"/>
      <c r="AG2074" s="264"/>
    </row>
    <row r="2075" spans="1:33" ht="26.25">
      <c r="A2075" s="264"/>
      <c r="B2075" s="264"/>
      <c r="C2075" s="264"/>
      <c r="D2075" s="264"/>
      <c r="E2075" s="264"/>
      <c r="F2075" s="264"/>
      <c r="G2075" s="264"/>
      <c r="H2075" s="264"/>
      <c r="I2075" s="264"/>
      <c r="J2075" s="327"/>
      <c r="K2075" s="327"/>
      <c r="L2075" s="327"/>
      <c r="M2075" s="321"/>
      <c r="N2075" s="321"/>
      <c r="P2075" s="376"/>
      <c r="R2075" s="393"/>
      <c r="S2075" s="61" ph="1"/>
      <c r="U2075" s="229"/>
      <c r="V2075" s="264"/>
      <c r="W2075" s="199"/>
      <c r="X2075" s="264"/>
      <c r="Y2075" s="264"/>
      <c r="Z2075" s="386"/>
      <c r="AD2075" s="264"/>
      <c r="AE2075" s="264"/>
      <c r="AF2075" s="264"/>
      <c r="AG2075" s="264"/>
    </row>
    <row r="2076" spans="1:33" ht="26.25">
      <c r="A2076" s="264"/>
      <c r="B2076" s="264"/>
      <c r="C2076" s="264"/>
      <c r="D2076" s="264"/>
      <c r="E2076" s="264"/>
      <c r="F2076" s="264"/>
      <c r="G2076" s="264"/>
      <c r="H2076" s="264"/>
      <c r="I2076" s="264"/>
      <c r="J2076" s="327"/>
      <c r="K2076" s="327"/>
      <c r="L2076" s="327"/>
      <c r="M2076" s="321"/>
      <c r="N2076" s="321"/>
      <c r="P2076" s="376"/>
      <c r="R2076" s="393"/>
      <c r="S2076" s="61" ph="1"/>
      <c r="U2076" s="229"/>
      <c r="V2076" s="264"/>
      <c r="W2076" s="199"/>
      <c r="X2076" s="264"/>
      <c r="Y2076" s="264"/>
      <c r="Z2076" s="386"/>
      <c r="AD2076" s="264"/>
      <c r="AE2076" s="264"/>
      <c r="AF2076" s="264"/>
      <c r="AG2076" s="264"/>
    </row>
    <row r="2077" spans="1:33" ht="26.25">
      <c r="A2077" s="264"/>
      <c r="B2077" s="264"/>
      <c r="C2077" s="264"/>
      <c r="D2077" s="264"/>
      <c r="E2077" s="264"/>
      <c r="F2077" s="264"/>
      <c r="G2077" s="264"/>
      <c r="H2077" s="264"/>
      <c r="I2077" s="264"/>
      <c r="J2077" s="327"/>
      <c r="K2077" s="327"/>
      <c r="L2077" s="327"/>
      <c r="M2077" s="321"/>
      <c r="N2077" s="321"/>
      <c r="P2077" s="376"/>
      <c r="R2077" s="393"/>
      <c r="S2077" s="61" ph="1"/>
      <c r="U2077" s="229"/>
      <c r="V2077" s="264"/>
      <c r="W2077" s="199"/>
      <c r="X2077" s="264"/>
      <c r="Y2077" s="264"/>
      <c r="Z2077" s="386"/>
      <c r="AD2077" s="264"/>
      <c r="AE2077" s="264"/>
      <c r="AF2077" s="264"/>
      <c r="AG2077" s="264"/>
    </row>
    <row r="2078" spans="1:33" ht="26.25">
      <c r="A2078" s="264"/>
      <c r="B2078" s="264"/>
      <c r="C2078" s="264"/>
      <c r="D2078" s="264"/>
      <c r="E2078" s="264"/>
      <c r="F2078" s="264"/>
      <c r="G2078" s="264"/>
      <c r="H2078" s="264"/>
      <c r="I2078" s="264"/>
      <c r="J2078" s="327"/>
      <c r="K2078" s="327"/>
      <c r="L2078" s="327"/>
      <c r="M2078" s="321"/>
      <c r="N2078" s="321"/>
      <c r="P2078" s="376"/>
      <c r="R2078" s="393"/>
      <c r="S2078" s="61" ph="1"/>
      <c r="U2078" s="229"/>
      <c r="V2078" s="264"/>
      <c r="W2078" s="199"/>
      <c r="X2078" s="264"/>
      <c r="Y2078" s="264"/>
      <c r="Z2078" s="386"/>
      <c r="AD2078" s="264"/>
      <c r="AE2078" s="264"/>
      <c r="AF2078" s="264"/>
      <c r="AG2078" s="264"/>
    </row>
    <row r="2079" spans="1:33" ht="26.25">
      <c r="A2079" s="264"/>
      <c r="B2079" s="264"/>
      <c r="C2079" s="264"/>
      <c r="D2079" s="264"/>
      <c r="E2079" s="264"/>
      <c r="F2079" s="264"/>
      <c r="G2079" s="264"/>
      <c r="H2079" s="264"/>
      <c r="I2079" s="264"/>
      <c r="J2079" s="327"/>
      <c r="K2079" s="327"/>
      <c r="L2079" s="327"/>
      <c r="M2079" s="321"/>
      <c r="N2079" s="321"/>
      <c r="P2079" s="376"/>
      <c r="R2079" s="393"/>
      <c r="S2079" s="61" ph="1"/>
      <c r="U2079" s="229"/>
      <c r="V2079" s="264"/>
      <c r="W2079" s="199"/>
      <c r="X2079" s="264"/>
      <c r="Y2079" s="264"/>
      <c r="Z2079" s="386"/>
      <c r="AD2079" s="264"/>
      <c r="AE2079" s="264"/>
      <c r="AF2079" s="264"/>
      <c r="AG2079" s="264"/>
    </row>
    <row r="2080" spans="1:33" ht="26.25">
      <c r="A2080" s="264"/>
      <c r="B2080" s="264"/>
      <c r="C2080" s="264"/>
      <c r="D2080" s="264"/>
      <c r="E2080" s="264"/>
      <c r="F2080" s="264"/>
      <c r="G2080" s="264"/>
      <c r="H2080" s="264"/>
      <c r="I2080" s="264"/>
      <c r="J2080" s="327"/>
      <c r="K2080" s="327"/>
      <c r="L2080" s="327"/>
      <c r="M2080" s="321"/>
      <c r="N2080" s="321"/>
      <c r="P2080" s="376"/>
      <c r="R2080" s="393"/>
      <c r="S2080" s="61" ph="1"/>
      <c r="U2080" s="229"/>
      <c r="V2080" s="264"/>
      <c r="W2080" s="199"/>
      <c r="X2080" s="264"/>
      <c r="Y2080" s="264"/>
      <c r="Z2080" s="386"/>
      <c r="AD2080" s="264"/>
      <c r="AE2080" s="264"/>
      <c r="AF2080" s="264"/>
      <c r="AG2080" s="264"/>
    </row>
    <row r="2081" spans="1:33" ht="26.25">
      <c r="A2081" s="264"/>
      <c r="B2081" s="264"/>
      <c r="C2081" s="264"/>
      <c r="D2081" s="264"/>
      <c r="E2081" s="264"/>
      <c r="F2081" s="264"/>
      <c r="G2081" s="264"/>
      <c r="H2081" s="264"/>
      <c r="I2081" s="264"/>
      <c r="J2081" s="327"/>
      <c r="K2081" s="327"/>
      <c r="L2081" s="327"/>
      <c r="M2081" s="321"/>
      <c r="N2081" s="321"/>
      <c r="P2081" s="376"/>
      <c r="R2081" s="393"/>
      <c r="S2081" s="61" ph="1"/>
      <c r="U2081" s="229"/>
      <c r="V2081" s="264"/>
      <c r="W2081" s="199"/>
      <c r="X2081" s="264"/>
      <c r="Y2081" s="264"/>
      <c r="Z2081" s="386"/>
      <c r="AD2081" s="264"/>
      <c r="AE2081" s="264"/>
      <c r="AF2081" s="264"/>
      <c r="AG2081" s="264"/>
    </row>
    <row r="2082" spans="1:33" ht="26.25">
      <c r="A2082" s="264"/>
      <c r="B2082" s="264"/>
      <c r="C2082" s="264"/>
      <c r="D2082" s="264"/>
      <c r="E2082" s="264"/>
      <c r="F2082" s="264"/>
      <c r="G2082" s="264"/>
      <c r="H2082" s="264"/>
      <c r="I2082" s="264"/>
      <c r="J2082" s="327"/>
      <c r="K2082" s="327"/>
      <c r="L2082" s="327"/>
      <c r="M2082" s="321"/>
      <c r="N2082" s="321"/>
      <c r="P2082" s="376"/>
      <c r="R2082" s="393"/>
      <c r="S2082" s="61" ph="1"/>
      <c r="U2082" s="229"/>
      <c r="V2082" s="264"/>
      <c r="W2082" s="199"/>
      <c r="X2082" s="264"/>
      <c r="Y2082" s="264"/>
      <c r="Z2082" s="386"/>
      <c r="AD2082" s="264"/>
      <c r="AE2082" s="264"/>
      <c r="AF2082" s="264"/>
      <c r="AG2082" s="264"/>
    </row>
    <row r="2083" spans="1:33" ht="26.25">
      <c r="A2083" s="264"/>
      <c r="B2083" s="264"/>
      <c r="C2083" s="264"/>
      <c r="D2083" s="264"/>
      <c r="E2083" s="264"/>
      <c r="F2083" s="264"/>
      <c r="G2083" s="264"/>
      <c r="H2083" s="264"/>
      <c r="I2083" s="264"/>
      <c r="J2083" s="327"/>
      <c r="K2083" s="327"/>
      <c r="L2083" s="327"/>
      <c r="M2083" s="321"/>
      <c r="N2083" s="321"/>
      <c r="P2083" s="376"/>
      <c r="R2083" s="393"/>
      <c r="S2083" s="61" ph="1"/>
      <c r="U2083" s="229"/>
      <c r="V2083" s="264"/>
      <c r="W2083" s="199"/>
      <c r="X2083" s="264"/>
      <c r="Y2083" s="264"/>
      <c r="Z2083" s="386"/>
      <c r="AD2083" s="264"/>
      <c r="AE2083" s="264"/>
      <c r="AF2083" s="264"/>
      <c r="AG2083" s="264"/>
    </row>
    <row r="2084" spans="1:33" ht="26.25">
      <c r="A2084" s="264"/>
      <c r="B2084" s="264"/>
      <c r="C2084" s="264"/>
      <c r="D2084" s="264"/>
      <c r="E2084" s="264"/>
      <c r="F2084" s="264"/>
      <c r="G2084" s="264"/>
      <c r="H2084" s="264"/>
      <c r="I2084" s="264"/>
      <c r="J2084" s="327"/>
      <c r="K2084" s="327"/>
      <c r="L2084" s="327"/>
      <c r="M2084" s="321"/>
      <c r="N2084" s="321"/>
      <c r="P2084" s="376"/>
      <c r="R2084" s="393"/>
      <c r="S2084" s="61" ph="1"/>
      <c r="U2084" s="229"/>
      <c r="V2084" s="264"/>
      <c r="W2084" s="199"/>
      <c r="X2084" s="264"/>
      <c r="Y2084" s="264"/>
      <c r="Z2084" s="386"/>
      <c r="AD2084" s="264"/>
      <c r="AE2084" s="264"/>
      <c r="AF2084" s="264"/>
      <c r="AG2084" s="264"/>
    </row>
    <row r="2085" spans="1:33" ht="26.25">
      <c r="A2085" s="264"/>
      <c r="B2085" s="264"/>
      <c r="C2085" s="264"/>
      <c r="D2085" s="264"/>
      <c r="E2085" s="264"/>
      <c r="F2085" s="264"/>
      <c r="G2085" s="264"/>
      <c r="H2085" s="264"/>
      <c r="I2085" s="264"/>
      <c r="J2085" s="327"/>
      <c r="K2085" s="327"/>
      <c r="L2085" s="327"/>
      <c r="M2085" s="321"/>
      <c r="N2085" s="321"/>
      <c r="P2085" s="376"/>
      <c r="R2085" s="393"/>
      <c r="S2085" s="61" ph="1"/>
      <c r="U2085" s="229"/>
      <c r="V2085" s="264"/>
      <c r="W2085" s="199"/>
      <c r="X2085" s="264"/>
      <c r="Y2085" s="264"/>
      <c r="Z2085" s="386"/>
      <c r="AD2085" s="264"/>
      <c r="AE2085" s="264"/>
      <c r="AF2085" s="264"/>
      <c r="AG2085" s="264"/>
    </row>
    <row r="2086" spans="1:33" ht="26.25">
      <c r="A2086" s="264"/>
      <c r="B2086" s="264"/>
      <c r="C2086" s="264"/>
      <c r="D2086" s="264"/>
      <c r="E2086" s="264"/>
      <c r="F2086" s="264"/>
      <c r="G2086" s="264"/>
      <c r="H2086" s="264"/>
      <c r="I2086" s="264"/>
      <c r="J2086" s="327"/>
      <c r="K2086" s="327"/>
      <c r="L2086" s="327"/>
      <c r="M2086" s="321"/>
      <c r="N2086" s="321"/>
      <c r="P2086" s="376"/>
      <c r="R2086" s="393"/>
      <c r="S2086" s="61" ph="1"/>
      <c r="U2086" s="229"/>
      <c r="V2086" s="264"/>
      <c r="W2086" s="199"/>
      <c r="X2086" s="264"/>
      <c r="Y2086" s="264"/>
      <c r="Z2086" s="386"/>
      <c r="AD2086" s="264"/>
      <c r="AE2086" s="264"/>
      <c r="AF2086" s="264"/>
      <c r="AG2086" s="264"/>
    </row>
    <row r="2087" spans="1:33" ht="26.25">
      <c r="A2087" s="264"/>
      <c r="B2087" s="264"/>
      <c r="C2087" s="264"/>
      <c r="D2087" s="264"/>
      <c r="E2087" s="264"/>
      <c r="F2087" s="264"/>
      <c r="G2087" s="264"/>
      <c r="H2087" s="264"/>
      <c r="I2087" s="264"/>
      <c r="J2087" s="327"/>
      <c r="K2087" s="327"/>
      <c r="L2087" s="327"/>
      <c r="M2087" s="321"/>
      <c r="N2087" s="321"/>
      <c r="P2087" s="376"/>
      <c r="R2087" s="393"/>
      <c r="S2087" s="61" ph="1"/>
      <c r="U2087" s="229"/>
      <c r="V2087" s="264"/>
      <c r="W2087" s="199"/>
      <c r="X2087" s="264"/>
      <c r="Y2087" s="264"/>
      <c r="Z2087" s="386"/>
      <c r="AD2087" s="264"/>
      <c r="AE2087" s="264"/>
      <c r="AF2087" s="264"/>
      <c r="AG2087" s="264"/>
    </row>
    <row r="2088" spans="1:33" ht="26.25">
      <c r="A2088" s="264"/>
      <c r="B2088" s="264"/>
      <c r="C2088" s="264"/>
      <c r="D2088" s="264"/>
      <c r="E2088" s="264"/>
      <c r="F2088" s="264"/>
      <c r="G2088" s="264"/>
      <c r="H2088" s="264"/>
      <c r="I2088" s="264"/>
      <c r="J2088" s="327"/>
      <c r="K2088" s="327"/>
      <c r="L2088" s="327"/>
      <c r="M2088" s="321"/>
      <c r="N2088" s="321"/>
      <c r="P2088" s="376"/>
      <c r="R2088" s="393"/>
      <c r="S2088" s="61" ph="1"/>
      <c r="U2088" s="229"/>
      <c r="V2088" s="264"/>
      <c r="W2088" s="199"/>
      <c r="X2088" s="264"/>
      <c r="Y2088" s="264"/>
      <c r="Z2088" s="386"/>
      <c r="AD2088" s="264"/>
      <c r="AE2088" s="264"/>
      <c r="AF2088" s="264"/>
      <c r="AG2088" s="264"/>
    </row>
    <row r="2089" spans="1:33" ht="26.25">
      <c r="A2089" s="264"/>
      <c r="B2089" s="264"/>
      <c r="C2089" s="264"/>
      <c r="D2089" s="264"/>
      <c r="E2089" s="264"/>
      <c r="F2089" s="264"/>
      <c r="G2089" s="264"/>
      <c r="H2089" s="264"/>
      <c r="I2089" s="264"/>
      <c r="J2089" s="327"/>
      <c r="K2089" s="327"/>
      <c r="L2089" s="327"/>
      <c r="M2089" s="321"/>
      <c r="N2089" s="321"/>
      <c r="P2089" s="376"/>
      <c r="R2089" s="393"/>
      <c r="S2089" s="61" ph="1"/>
      <c r="U2089" s="229"/>
      <c r="V2089" s="264"/>
      <c r="W2089" s="199"/>
      <c r="X2089" s="264"/>
      <c r="Y2089" s="264"/>
      <c r="Z2089" s="386"/>
      <c r="AD2089" s="264"/>
      <c r="AE2089" s="264"/>
      <c r="AF2089" s="264"/>
      <c r="AG2089" s="264"/>
    </row>
    <row r="2090" spans="1:33" ht="26.25">
      <c r="A2090" s="264"/>
      <c r="B2090" s="264"/>
      <c r="C2090" s="264"/>
      <c r="D2090" s="264"/>
      <c r="E2090" s="264"/>
      <c r="F2090" s="264"/>
      <c r="G2090" s="264"/>
      <c r="H2090" s="264"/>
      <c r="I2090" s="264"/>
      <c r="J2090" s="327"/>
      <c r="K2090" s="327"/>
      <c r="L2090" s="327"/>
      <c r="M2090" s="321"/>
      <c r="N2090" s="321"/>
      <c r="P2090" s="376"/>
      <c r="R2090" s="393"/>
      <c r="S2090" s="61" ph="1"/>
      <c r="U2090" s="229"/>
      <c r="V2090" s="264"/>
      <c r="W2090" s="199"/>
      <c r="X2090" s="264"/>
      <c r="Y2090" s="264"/>
      <c r="Z2090" s="386"/>
      <c r="AD2090" s="264"/>
      <c r="AE2090" s="264"/>
      <c r="AF2090" s="264"/>
      <c r="AG2090" s="264"/>
    </row>
    <row r="2091" spans="1:33" ht="26.25">
      <c r="A2091" s="264"/>
      <c r="B2091" s="264"/>
      <c r="C2091" s="264"/>
      <c r="D2091" s="264"/>
      <c r="E2091" s="264"/>
      <c r="F2091" s="264"/>
      <c r="G2091" s="264"/>
      <c r="H2091" s="264"/>
      <c r="I2091" s="264"/>
      <c r="J2091" s="327"/>
      <c r="K2091" s="327"/>
      <c r="L2091" s="327"/>
      <c r="M2091" s="321"/>
      <c r="N2091" s="321"/>
      <c r="P2091" s="376"/>
      <c r="R2091" s="393"/>
      <c r="S2091" s="61" ph="1"/>
      <c r="U2091" s="229"/>
      <c r="V2091" s="264"/>
      <c r="W2091" s="199"/>
      <c r="X2091" s="264"/>
      <c r="Y2091" s="264"/>
      <c r="Z2091" s="386"/>
      <c r="AD2091" s="264"/>
      <c r="AE2091" s="264"/>
      <c r="AF2091" s="264"/>
      <c r="AG2091" s="264"/>
    </row>
    <row r="2092" spans="1:33" ht="26.25">
      <c r="A2092" s="264"/>
      <c r="B2092" s="264"/>
      <c r="C2092" s="264"/>
      <c r="D2092" s="264"/>
      <c r="E2092" s="264"/>
      <c r="F2092" s="264"/>
      <c r="G2092" s="264"/>
      <c r="H2092" s="264"/>
      <c r="I2092" s="264"/>
      <c r="J2092" s="327"/>
      <c r="K2092" s="327"/>
      <c r="L2092" s="327"/>
      <c r="M2092" s="321"/>
      <c r="N2092" s="321"/>
      <c r="P2092" s="376"/>
      <c r="R2092" s="393"/>
      <c r="S2092" s="61" ph="1"/>
      <c r="U2092" s="229"/>
      <c r="V2092" s="264"/>
      <c r="W2092" s="199"/>
      <c r="X2092" s="264"/>
      <c r="Y2092" s="264"/>
      <c r="Z2092" s="386"/>
      <c r="AD2092" s="264"/>
      <c r="AE2092" s="264"/>
      <c r="AF2092" s="264"/>
      <c r="AG2092" s="264"/>
    </row>
    <row r="2093" spans="1:33" ht="26.25">
      <c r="A2093" s="264"/>
      <c r="B2093" s="264"/>
      <c r="C2093" s="264"/>
      <c r="D2093" s="264"/>
      <c r="E2093" s="264"/>
      <c r="F2093" s="264"/>
      <c r="G2093" s="264"/>
      <c r="H2093" s="264"/>
      <c r="I2093" s="264"/>
      <c r="J2093" s="327"/>
      <c r="K2093" s="327"/>
      <c r="L2093" s="327"/>
      <c r="M2093" s="321"/>
      <c r="N2093" s="321"/>
      <c r="P2093" s="376"/>
      <c r="R2093" s="393"/>
      <c r="S2093" s="61" ph="1"/>
      <c r="U2093" s="229"/>
      <c r="V2093" s="264"/>
      <c r="W2093" s="199"/>
      <c r="X2093" s="264"/>
      <c r="Y2093" s="264"/>
      <c r="Z2093" s="386"/>
      <c r="AD2093" s="264"/>
      <c r="AE2093" s="264"/>
      <c r="AF2093" s="264"/>
      <c r="AG2093" s="264"/>
    </row>
    <row r="2094" spans="1:33" ht="26.25">
      <c r="A2094" s="264"/>
      <c r="B2094" s="264"/>
      <c r="C2094" s="264"/>
      <c r="D2094" s="264"/>
      <c r="E2094" s="264"/>
      <c r="F2094" s="264"/>
      <c r="G2094" s="264"/>
      <c r="H2094" s="264"/>
      <c r="I2094" s="264"/>
      <c r="J2094" s="327"/>
      <c r="K2094" s="327"/>
      <c r="L2094" s="327"/>
      <c r="M2094" s="321"/>
      <c r="N2094" s="321"/>
      <c r="P2094" s="376"/>
      <c r="R2094" s="393"/>
      <c r="S2094" s="61" ph="1"/>
      <c r="U2094" s="229"/>
      <c r="V2094" s="264"/>
      <c r="W2094" s="199"/>
      <c r="X2094" s="264"/>
      <c r="Y2094" s="264"/>
      <c r="Z2094" s="386"/>
      <c r="AD2094" s="264"/>
      <c r="AE2094" s="264"/>
      <c r="AF2094" s="264"/>
      <c r="AG2094" s="264"/>
    </row>
    <row r="2095" spans="1:33" ht="26.25">
      <c r="A2095" s="264"/>
      <c r="B2095" s="264"/>
      <c r="C2095" s="264"/>
      <c r="D2095" s="264"/>
      <c r="E2095" s="264"/>
      <c r="F2095" s="264"/>
      <c r="G2095" s="264"/>
      <c r="H2095" s="264"/>
      <c r="I2095" s="264"/>
      <c r="J2095" s="327"/>
      <c r="K2095" s="327"/>
      <c r="L2095" s="327"/>
      <c r="M2095" s="321"/>
      <c r="N2095" s="321"/>
      <c r="P2095" s="376"/>
      <c r="R2095" s="393"/>
      <c r="S2095" s="61" ph="1"/>
      <c r="U2095" s="229"/>
      <c r="V2095" s="264"/>
      <c r="W2095" s="199"/>
      <c r="X2095" s="264"/>
      <c r="Y2095" s="264"/>
      <c r="Z2095" s="386"/>
      <c r="AD2095" s="264"/>
      <c r="AE2095" s="264"/>
      <c r="AF2095" s="264"/>
      <c r="AG2095" s="264"/>
    </row>
    <row r="2096" spans="1:33" ht="26.25">
      <c r="A2096" s="264"/>
      <c r="B2096" s="264"/>
      <c r="C2096" s="264"/>
      <c r="D2096" s="264"/>
      <c r="E2096" s="264"/>
      <c r="F2096" s="264"/>
      <c r="G2096" s="264"/>
      <c r="H2096" s="264"/>
      <c r="I2096" s="264"/>
      <c r="J2096" s="327"/>
      <c r="K2096" s="327"/>
      <c r="L2096" s="327"/>
      <c r="M2096" s="321"/>
      <c r="N2096" s="321"/>
      <c r="P2096" s="376"/>
      <c r="R2096" s="393"/>
      <c r="S2096" s="61" ph="1"/>
      <c r="U2096" s="229"/>
      <c r="V2096" s="264"/>
      <c r="W2096" s="199"/>
      <c r="X2096" s="264"/>
      <c r="Y2096" s="264"/>
      <c r="Z2096" s="386"/>
      <c r="AD2096" s="264"/>
      <c r="AE2096" s="264"/>
      <c r="AF2096" s="264"/>
      <c r="AG2096" s="264"/>
    </row>
    <row r="2097" spans="1:33" ht="26.25">
      <c r="A2097" s="264"/>
      <c r="B2097" s="264"/>
      <c r="C2097" s="264"/>
      <c r="D2097" s="264"/>
      <c r="E2097" s="264"/>
      <c r="F2097" s="264"/>
      <c r="G2097" s="264"/>
      <c r="H2097" s="264"/>
      <c r="I2097" s="264"/>
      <c r="J2097" s="327"/>
      <c r="K2097" s="327"/>
      <c r="L2097" s="327"/>
      <c r="M2097" s="321"/>
      <c r="N2097" s="321"/>
      <c r="P2097" s="376"/>
      <c r="R2097" s="393"/>
      <c r="S2097" s="61" ph="1"/>
      <c r="U2097" s="229"/>
      <c r="V2097" s="264"/>
      <c r="W2097" s="199"/>
      <c r="X2097" s="264"/>
      <c r="Y2097" s="264"/>
      <c r="Z2097" s="386"/>
      <c r="AD2097" s="264"/>
      <c r="AE2097" s="264"/>
      <c r="AF2097" s="264"/>
      <c r="AG2097" s="264"/>
    </row>
    <row r="2098" spans="1:33" ht="26.25">
      <c r="A2098" s="264"/>
      <c r="B2098" s="264"/>
      <c r="C2098" s="264"/>
      <c r="D2098" s="264"/>
      <c r="E2098" s="264"/>
      <c r="F2098" s="264"/>
      <c r="G2098" s="264"/>
      <c r="H2098" s="264"/>
      <c r="I2098" s="264"/>
      <c r="J2098" s="327"/>
      <c r="K2098" s="327"/>
      <c r="L2098" s="327"/>
      <c r="M2098" s="321"/>
      <c r="N2098" s="321"/>
      <c r="P2098" s="376"/>
      <c r="R2098" s="393"/>
      <c r="S2098" s="61" ph="1"/>
      <c r="U2098" s="229"/>
      <c r="V2098" s="264"/>
      <c r="W2098" s="199"/>
      <c r="X2098" s="264"/>
      <c r="Y2098" s="264"/>
      <c r="Z2098" s="386"/>
      <c r="AD2098" s="264"/>
      <c r="AE2098" s="264"/>
      <c r="AF2098" s="264"/>
      <c r="AG2098" s="264"/>
    </row>
    <row r="2099" spans="1:33" ht="26.25">
      <c r="A2099" s="264"/>
      <c r="B2099" s="264"/>
      <c r="C2099" s="264"/>
      <c r="D2099" s="264"/>
      <c r="E2099" s="264"/>
      <c r="F2099" s="264"/>
      <c r="G2099" s="264"/>
      <c r="H2099" s="264"/>
      <c r="I2099" s="264"/>
      <c r="J2099" s="327"/>
      <c r="K2099" s="327"/>
      <c r="L2099" s="327"/>
      <c r="M2099" s="321"/>
      <c r="N2099" s="321"/>
      <c r="P2099" s="376"/>
      <c r="R2099" s="393"/>
      <c r="S2099" s="61" ph="1"/>
      <c r="U2099" s="229"/>
      <c r="V2099" s="264"/>
      <c r="W2099" s="199"/>
      <c r="X2099" s="264"/>
      <c r="Y2099" s="264"/>
      <c r="Z2099" s="386"/>
      <c r="AD2099" s="264"/>
      <c r="AE2099" s="264"/>
      <c r="AF2099" s="264"/>
      <c r="AG2099" s="264"/>
    </row>
    <row r="2100" spans="1:33" ht="26.25">
      <c r="A2100" s="264"/>
      <c r="B2100" s="264"/>
      <c r="C2100" s="264"/>
      <c r="D2100" s="264"/>
      <c r="E2100" s="264"/>
      <c r="F2100" s="264"/>
      <c r="G2100" s="264"/>
      <c r="H2100" s="264"/>
      <c r="I2100" s="264"/>
      <c r="J2100" s="327"/>
      <c r="K2100" s="327"/>
      <c r="L2100" s="327"/>
      <c r="M2100" s="321"/>
      <c r="N2100" s="321"/>
      <c r="P2100" s="376"/>
      <c r="R2100" s="393"/>
      <c r="S2100" s="61" ph="1"/>
      <c r="U2100" s="229"/>
      <c r="V2100" s="264"/>
      <c r="W2100" s="199"/>
      <c r="X2100" s="264"/>
      <c r="Y2100" s="264"/>
      <c r="Z2100" s="386"/>
      <c r="AD2100" s="264"/>
      <c r="AE2100" s="264"/>
      <c r="AF2100" s="264"/>
      <c r="AG2100" s="264"/>
    </row>
    <row r="2101" spans="1:33" ht="26.25">
      <c r="A2101" s="264"/>
      <c r="B2101" s="264"/>
      <c r="C2101" s="264"/>
      <c r="D2101" s="264"/>
      <c r="E2101" s="264"/>
      <c r="F2101" s="264"/>
      <c r="G2101" s="264"/>
      <c r="H2101" s="264"/>
      <c r="I2101" s="264"/>
      <c r="J2101" s="327"/>
      <c r="K2101" s="327"/>
      <c r="L2101" s="327"/>
      <c r="M2101" s="321"/>
      <c r="N2101" s="321"/>
      <c r="P2101" s="376"/>
      <c r="R2101" s="393"/>
      <c r="S2101" s="61" ph="1"/>
      <c r="U2101" s="229"/>
      <c r="V2101" s="264"/>
      <c r="W2101" s="199"/>
      <c r="X2101" s="264"/>
      <c r="Y2101" s="264"/>
      <c r="Z2101" s="386"/>
      <c r="AD2101" s="264"/>
      <c r="AE2101" s="264"/>
      <c r="AF2101" s="264"/>
      <c r="AG2101" s="264"/>
    </row>
    <row r="2102" spans="1:33" ht="26.25">
      <c r="A2102" s="264"/>
      <c r="B2102" s="264"/>
      <c r="C2102" s="264"/>
      <c r="D2102" s="264"/>
      <c r="E2102" s="264"/>
      <c r="F2102" s="264"/>
      <c r="G2102" s="264"/>
      <c r="H2102" s="264"/>
      <c r="I2102" s="264"/>
      <c r="J2102" s="327"/>
      <c r="K2102" s="327"/>
      <c r="L2102" s="327"/>
      <c r="M2102" s="321"/>
      <c r="N2102" s="321"/>
      <c r="P2102" s="376"/>
      <c r="R2102" s="393"/>
      <c r="S2102" s="61" ph="1"/>
      <c r="U2102" s="229"/>
      <c r="V2102" s="264"/>
      <c r="W2102" s="199"/>
      <c r="X2102" s="264"/>
      <c r="Y2102" s="264"/>
      <c r="Z2102" s="386"/>
      <c r="AD2102" s="264"/>
      <c r="AE2102" s="264"/>
      <c r="AF2102" s="264"/>
      <c r="AG2102" s="264"/>
    </row>
    <row r="2103" spans="1:33" ht="26.25">
      <c r="A2103" s="264"/>
      <c r="B2103" s="264"/>
      <c r="C2103" s="264"/>
      <c r="D2103" s="264"/>
      <c r="E2103" s="264"/>
      <c r="F2103" s="264"/>
      <c r="G2103" s="264"/>
      <c r="H2103" s="264"/>
      <c r="I2103" s="264"/>
      <c r="J2103" s="327"/>
      <c r="K2103" s="327"/>
      <c r="L2103" s="327"/>
      <c r="M2103" s="321"/>
      <c r="N2103" s="321"/>
      <c r="P2103" s="376"/>
      <c r="R2103" s="393"/>
      <c r="S2103" s="61" ph="1"/>
      <c r="U2103" s="229"/>
      <c r="V2103" s="264"/>
      <c r="W2103" s="199"/>
      <c r="X2103" s="264"/>
      <c r="Y2103" s="264"/>
      <c r="Z2103" s="386"/>
      <c r="AD2103" s="264"/>
      <c r="AE2103" s="264"/>
      <c r="AF2103" s="264"/>
      <c r="AG2103" s="264"/>
    </row>
    <row r="2104" spans="1:33" ht="26.25">
      <c r="A2104" s="264"/>
      <c r="B2104" s="264"/>
      <c r="C2104" s="264"/>
      <c r="D2104" s="264"/>
      <c r="E2104" s="264"/>
      <c r="F2104" s="264"/>
      <c r="G2104" s="264"/>
      <c r="H2104" s="264"/>
      <c r="I2104" s="264"/>
      <c r="J2104" s="327"/>
      <c r="K2104" s="327"/>
      <c r="L2104" s="327"/>
      <c r="M2104" s="321"/>
      <c r="N2104" s="321"/>
      <c r="P2104" s="376"/>
      <c r="R2104" s="393"/>
      <c r="S2104" s="61" ph="1"/>
      <c r="U2104" s="229"/>
      <c r="V2104" s="264"/>
      <c r="W2104" s="199"/>
      <c r="X2104" s="264"/>
      <c r="Y2104" s="264"/>
      <c r="Z2104" s="386"/>
      <c r="AD2104" s="264"/>
      <c r="AE2104" s="264"/>
      <c r="AF2104" s="264"/>
      <c r="AG2104" s="264"/>
    </row>
    <row r="2105" spans="1:33" ht="26.25">
      <c r="A2105" s="264"/>
      <c r="B2105" s="264"/>
      <c r="C2105" s="264"/>
      <c r="D2105" s="264"/>
      <c r="E2105" s="264"/>
      <c r="F2105" s="264"/>
      <c r="G2105" s="264"/>
      <c r="H2105" s="264"/>
      <c r="I2105" s="264"/>
      <c r="J2105" s="327"/>
      <c r="K2105" s="327"/>
      <c r="L2105" s="327"/>
      <c r="M2105" s="321"/>
      <c r="N2105" s="321"/>
      <c r="P2105" s="376"/>
      <c r="R2105" s="393"/>
      <c r="S2105" s="61" ph="1"/>
      <c r="U2105" s="229"/>
      <c r="V2105" s="264"/>
      <c r="W2105" s="199"/>
      <c r="X2105" s="264"/>
      <c r="Y2105" s="264"/>
      <c r="Z2105" s="386"/>
      <c r="AD2105" s="264"/>
      <c r="AE2105" s="264"/>
      <c r="AF2105" s="264"/>
      <c r="AG2105" s="264"/>
    </row>
    <row r="2106" spans="1:33" ht="26.25">
      <c r="A2106" s="264"/>
      <c r="B2106" s="264"/>
      <c r="C2106" s="264"/>
      <c r="D2106" s="264"/>
      <c r="E2106" s="264"/>
      <c r="F2106" s="264"/>
      <c r="G2106" s="264"/>
      <c r="H2106" s="264"/>
      <c r="I2106" s="264"/>
      <c r="J2106" s="327"/>
      <c r="K2106" s="327"/>
      <c r="L2106" s="327"/>
      <c r="M2106" s="321"/>
      <c r="N2106" s="321"/>
      <c r="P2106" s="376"/>
      <c r="R2106" s="393"/>
      <c r="S2106" s="61" ph="1"/>
      <c r="U2106" s="229"/>
      <c r="V2106" s="264"/>
      <c r="W2106" s="199"/>
      <c r="X2106" s="264"/>
      <c r="Y2106" s="264"/>
      <c r="Z2106" s="386"/>
      <c r="AD2106" s="264"/>
      <c r="AE2106" s="264"/>
      <c r="AF2106" s="264"/>
      <c r="AG2106" s="264"/>
    </row>
    <row r="2107" spans="1:33" ht="26.25">
      <c r="A2107" s="264"/>
      <c r="B2107" s="264"/>
      <c r="C2107" s="264"/>
      <c r="D2107" s="264"/>
      <c r="E2107" s="264"/>
      <c r="F2107" s="264"/>
      <c r="G2107" s="264"/>
      <c r="H2107" s="264"/>
      <c r="I2107" s="264"/>
      <c r="J2107" s="327"/>
      <c r="K2107" s="327"/>
      <c r="L2107" s="327"/>
      <c r="M2107" s="321"/>
      <c r="N2107" s="321"/>
      <c r="P2107" s="376"/>
      <c r="R2107" s="393"/>
      <c r="S2107" s="61" ph="1"/>
      <c r="U2107" s="229"/>
      <c r="V2107" s="264"/>
      <c r="W2107" s="199"/>
      <c r="X2107" s="264"/>
      <c r="Y2107" s="264"/>
      <c r="Z2107" s="386"/>
      <c r="AD2107" s="264"/>
      <c r="AE2107" s="264"/>
      <c r="AF2107" s="264"/>
      <c r="AG2107" s="264"/>
    </row>
    <row r="2108" spans="1:33" ht="26.25">
      <c r="A2108" s="264"/>
      <c r="B2108" s="264"/>
      <c r="C2108" s="264"/>
      <c r="D2108" s="264"/>
      <c r="E2108" s="264"/>
      <c r="F2108" s="264"/>
      <c r="G2108" s="264"/>
      <c r="H2108" s="264"/>
      <c r="I2108" s="264"/>
      <c r="J2108" s="327"/>
      <c r="K2108" s="327"/>
      <c r="L2108" s="327"/>
      <c r="M2108" s="321"/>
      <c r="N2108" s="321"/>
      <c r="P2108" s="376"/>
      <c r="R2108" s="393"/>
      <c r="S2108" s="61" ph="1"/>
      <c r="U2108" s="229"/>
      <c r="V2108" s="264"/>
      <c r="W2108" s="199"/>
      <c r="X2108" s="264"/>
      <c r="Y2108" s="264"/>
      <c r="Z2108" s="386"/>
      <c r="AD2108" s="264"/>
      <c r="AE2108" s="264"/>
      <c r="AF2108" s="264"/>
      <c r="AG2108" s="264"/>
    </row>
    <row r="2109" spans="1:33" ht="26.25">
      <c r="A2109" s="264"/>
      <c r="B2109" s="264"/>
      <c r="C2109" s="264"/>
      <c r="D2109" s="264"/>
      <c r="E2109" s="264"/>
      <c r="F2109" s="264"/>
      <c r="G2109" s="264"/>
      <c r="H2109" s="264"/>
      <c r="I2109" s="264"/>
      <c r="J2109" s="327"/>
      <c r="K2109" s="327"/>
      <c r="L2109" s="327"/>
      <c r="M2109" s="321"/>
      <c r="N2109" s="321"/>
      <c r="P2109" s="376"/>
      <c r="R2109" s="393"/>
      <c r="S2109" s="61" ph="1"/>
      <c r="U2109" s="229"/>
      <c r="V2109" s="264"/>
      <c r="W2109" s="199"/>
      <c r="X2109" s="264"/>
      <c r="Y2109" s="264"/>
      <c r="Z2109" s="386"/>
      <c r="AD2109" s="264"/>
      <c r="AE2109" s="264"/>
      <c r="AF2109" s="264"/>
      <c r="AG2109" s="264"/>
    </row>
    <row r="2110" spans="1:33" ht="26.25">
      <c r="A2110" s="264"/>
      <c r="B2110" s="264"/>
      <c r="C2110" s="264"/>
      <c r="D2110" s="264"/>
      <c r="E2110" s="264"/>
      <c r="F2110" s="264"/>
      <c r="G2110" s="264"/>
      <c r="H2110" s="264"/>
      <c r="I2110" s="264"/>
      <c r="J2110" s="327"/>
      <c r="K2110" s="327"/>
      <c r="L2110" s="327"/>
      <c r="M2110" s="321"/>
      <c r="N2110" s="321"/>
      <c r="P2110" s="376"/>
      <c r="R2110" s="393"/>
      <c r="S2110" s="61" ph="1"/>
      <c r="U2110" s="229"/>
      <c r="V2110" s="264"/>
      <c r="W2110" s="199"/>
      <c r="X2110" s="264"/>
      <c r="Y2110" s="264"/>
      <c r="Z2110" s="386"/>
      <c r="AD2110" s="264"/>
      <c r="AE2110" s="264"/>
      <c r="AF2110" s="264"/>
      <c r="AG2110" s="264"/>
    </row>
    <row r="2111" spans="1:33" ht="26.25">
      <c r="A2111" s="264"/>
      <c r="B2111" s="264"/>
      <c r="C2111" s="264"/>
      <c r="D2111" s="264"/>
      <c r="E2111" s="264"/>
      <c r="F2111" s="264"/>
      <c r="G2111" s="264"/>
      <c r="H2111" s="264"/>
      <c r="I2111" s="264"/>
      <c r="J2111" s="327"/>
      <c r="K2111" s="327"/>
      <c r="L2111" s="327"/>
      <c r="M2111" s="321"/>
      <c r="N2111" s="321"/>
      <c r="P2111" s="376"/>
      <c r="R2111" s="393"/>
      <c r="S2111" s="61" ph="1"/>
      <c r="U2111" s="229"/>
      <c r="V2111" s="264"/>
      <c r="W2111" s="199"/>
      <c r="X2111" s="264"/>
      <c r="Y2111" s="264"/>
      <c r="Z2111" s="386"/>
      <c r="AD2111" s="264"/>
      <c r="AE2111" s="264"/>
      <c r="AF2111" s="264"/>
      <c r="AG2111" s="264"/>
    </row>
    <row r="2112" spans="1:33" ht="26.25">
      <c r="A2112" s="264"/>
      <c r="B2112" s="264"/>
      <c r="C2112" s="264"/>
      <c r="D2112" s="264"/>
      <c r="E2112" s="264"/>
      <c r="F2112" s="264"/>
      <c r="G2112" s="264"/>
      <c r="H2112" s="264"/>
      <c r="I2112" s="264"/>
      <c r="J2112" s="327"/>
      <c r="K2112" s="327"/>
      <c r="L2112" s="327"/>
      <c r="M2112" s="321"/>
      <c r="N2112" s="321"/>
      <c r="P2112" s="376"/>
      <c r="R2112" s="393"/>
      <c r="S2112" s="61" ph="1"/>
      <c r="U2112" s="229"/>
      <c r="V2112" s="264"/>
      <c r="W2112" s="199"/>
      <c r="X2112" s="264"/>
      <c r="Y2112" s="264"/>
      <c r="Z2112" s="386"/>
      <c r="AD2112" s="264"/>
      <c r="AE2112" s="264"/>
      <c r="AF2112" s="264"/>
      <c r="AG2112" s="264"/>
    </row>
    <row r="2113" spans="1:33" ht="26.25">
      <c r="A2113" s="264"/>
      <c r="B2113" s="264"/>
      <c r="C2113" s="264"/>
      <c r="D2113" s="264"/>
      <c r="E2113" s="264"/>
      <c r="F2113" s="264"/>
      <c r="G2113" s="264"/>
      <c r="H2113" s="264"/>
      <c r="I2113" s="264"/>
      <c r="J2113" s="327"/>
      <c r="K2113" s="327"/>
      <c r="L2113" s="327"/>
      <c r="M2113" s="321"/>
      <c r="N2113" s="321"/>
      <c r="P2113" s="376"/>
      <c r="R2113" s="393"/>
      <c r="S2113" s="61" ph="1"/>
      <c r="U2113" s="229"/>
      <c r="V2113" s="264"/>
      <c r="W2113" s="199"/>
      <c r="X2113" s="264"/>
      <c r="Y2113" s="264"/>
      <c r="Z2113" s="386"/>
      <c r="AD2113" s="264"/>
      <c r="AE2113" s="264"/>
      <c r="AF2113" s="264"/>
      <c r="AG2113" s="264"/>
    </row>
    <row r="2114" spans="1:33" ht="26.25">
      <c r="A2114" s="264"/>
      <c r="B2114" s="264"/>
      <c r="C2114" s="264"/>
      <c r="D2114" s="264"/>
      <c r="E2114" s="264"/>
      <c r="F2114" s="264"/>
      <c r="G2114" s="264"/>
      <c r="H2114" s="264"/>
      <c r="I2114" s="264"/>
      <c r="J2114" s="327"/>
      <c r="K2114" s="327"/>
      <c r="L2114" s="327"/>
      <c r="M2114" s="321"/>
      <c r="N2114" s="321"/>
      <c r="P2114" s="376"/>
      <c r="R2114" s="393"/>
      <c r="S2114" s="61" ph="1"/>
      <c r="U2114" s="229"/>
      <c r="V2114" s="264"/>
      <c r="W2114" s="199"/>
      <c r="X2114" s="264"/>
      <c r="Y2114" s="264"/>
      <c r="Z2114" s="386"/>
      <c r="AD2114" s="264"/>
      <c r="AE2114" s="264"/>
      <c r="AF2114" s="264"/>
      <c r="AG2114" s="264"/>
    </row>
    <row r="2115" spans="1:33" ht="26.25">
      <c r="A2115" s="264"/>
      <c r="B2115" s="264"/>
      <c r="C2115" s="264"/>
      <c r="D2115" s="264"/>
      <c r="E2115" s="264"/>
      <c r="F2115" s="264"/>
      <c r="G2115" s="264"/>
      <c r="H2115" s="264"/>
      <c r="I2115" s="264"/>
      <c r="J2115" s="327"/>
      <c r="K2115" s="327"/>
      <c r="L2115" s="327"/>
      <c r="M2115" s="321"/>
      <c r="N2115" s="321"/>
      <c r="P2115" s="376"/>
      <c r="R2115" s="393"/>
      <c r="S2115" s="61" ph="1"/>
      <c r="U2115" s="229"/>
      <c r="V2115" s="264"/>
      <c r="W2115" s="199"/>
      <c r="X2115" s="264"/>
      <c r="Y2115" s="264"/>
      <c r="Z2115" s="386"/>
      <c r="AD2115" s="264"/>
      <c r="AE2115" s="264"/>
      <c r="AF2115" s="264"/>
      <c r="AG2115" s="264"/>
    </row>
    <row r="2116" spans="1:33" ht="26.25">
      <c r="A2116" s="264"/>
      <c r="B2116" s="264"/>
      <c r="C2116" s="264"/>
      <c r="D2116" s="264"/>
      <c r="E2116" s="264"/>
      <c r="F2116" s="264"/>
      <c r="G2116" s="264"/>
      <c r="H2116" s="264"/>
      <c r="I2116" s="264"/>
      <c r="J2116" s="327"/>
      <c r="K2116" s="327"/>
      <c r="L2116" s="327"/>
      <c r="M2116" s="321"/>
      <c r="N2116" s="321"/>
      <c r="P2116" s="376"/>
      <c r="R2116" s="393"/>
      <c r="S2116" s="61" ph="1"/>
      <c r="U2116" s="229"/>
      <c r="V2116" s="264"/>
      <c r="W2116" s="199"/>
      <c r="X2116" s="264"/>
      <c r="Y2116" s="264"/>
      <c r="Z2116" s="386"/>
      <c r="AD2116" s="264"/>
      <c r="AE2116" s="264"/>
      <c r="AF2116" s="264"/>
      <c r="AG2116" s="264"/>
    </row>
    <row r="2117" spans="1:33" ht="26.25">
      <c r="A2117" s="264"/>
      <c r="B2117" s="264"/>
      <c r="C2117" s="264"/>
      <c r="D2117" s="264"/>
      <c r="E2117" s="264"/>
      <c r="F2117" s="264"/>
      <c r="G2117" s="264"/>
      <c r="H2117" s="264"/>
      <c r="I2117" s="264"/>
      <c r="J2117" s="327"/>
      <c r="K2117" s="327"/>
      <c r="L2117" s="327"/>
      <c r="M2117" s="321"/>
      <c r="N2117" s="321"/>
      <c r="P2117" s="376"/>
      <c r="R2117" s="393"/>
      <c r="S2117" s="61" ph="1"/>
      <c r="U2117" s="229"/>
      <c r="V2117" s="264"/>
      <c r="W2117" s="199"/>
      <c r="X2117" s="264"/>
      <c r="Y2117" s="264"/>
      <c r="Z2117" s="386"/>
      <c r="AD2117" s="264"/>
      <c r="AE2117" s="264"/>
      <c r="AF2117" s="264"/>
      <c r="AG2117" s="264"/>
    </row>
    <row r="2118" spans="1:33" ht="26.25">
      <c r="A2118" s="264"/>
      <c r="B2118" s="264"/>
      <c r="C2118" s="264"/>
      <c r="D2118" s="264"/>
      <c r="E2118" s="264"/>
      <c r="F2118" s="264"/>
      <c r="G2118" s="264"/>
      <c r="H2118" s="264"/>
      <c r="I2118" s="264"/>
      <c r="J2118" s="327"/>
      <c r="K2118" s="327"/>
      <c r="L2118" s="327"/>
      <c r="M2118" s="321"/>
      <c r="N2118" s="321"/>
      <c r="P2118" s="376"/>
      <c r="R2118" s="393"/>
      <c r="S2118" s="61" ph="1"/>
      <c r="U2118" s="229"/>
      <c r="V2118" s="264"/>
      <c r="W2118" s="199"/>
      <c r="X2118" s="264"/>
      <c r="Y2118" s="264"/>
      <c r="Z2118" s="386"/>
      <c r="AD2118" s="264"/>
      <c r="AE2118" s="264"/>
      <c r="AF2118" s="264"/>
      <c r="AG2118" s="264"/>
    </row>
    <row r="2119" spans="1:33" ht="26.25">
      <c r="A2119" s="264"/>
      <c r="B2119" s="264"/>
      <c r="C2119" s="264"/>
      <c r="D2119" s="264"/>
      <c r="E2119" s="264"/>
      <c r="F2119" s="264"/>
      <c r="G2119" s="264"/>
      <c r="H2119" s="264"/>
      <c r="I2119" s="264"/>
      <c r="J2119" s="327"/>
      <c r="K2119" s="327"/>
      <c r="L2119" s="327"/>
      <c r="M2119" s="321"/>
      <c r="N2119" s="321"/>
      <c r="P2119" s="376"/>
      <c r="R2119" s="393"/>
      <c r="S2119" s="61" ph="1"/>
      <c r="U2119" s="229"/>
      <c r="V2119" s="264"/>
      <c r="W2119" s="199"/>
      <c r="X2119" s="264"/>
      <c r="Y2119" s="264"/>
      <c r="Z2119" s="386"/>
      <c r="AD2119" s="264"/>
      <c r="AE2119" s="264"/>
      <c r="AF2119" s="264"/>
      <c r="AG2119" s="264"/>
    </row>
    <row r="2120" spans="1:33" ht="26.25">
      <c r="A2120" s="264"/>
      <c r="B2120" s="264"/>
      <c r="C2120" s="264"/>
      <c r="D2120" s="264"/>
      <c r="E2120" s="264"/>
      <c r="F2120" s="264"/>
      <c r="G2120" s="264"/>
      <c r="H2120" s="264"/>
      <c r="I2120" s="264"/>
      <c r="J2120" s="327"/>
      <c r="K2120" s="327"/>
      <c r="L2120" s="327"/>
      <c r="M2120" s="321"/>
      <c r="N2120" s="321"/>
      <c r="P2120" s="376"/>
      <c r="R2120" s="393"/>
      <c r="S2120" s="61" ph="1"/>
      <c r="U2120" s="229"/>
      <c r="V2120" s="264"/>
      <c r="W2120" s="199"/>
      <c r="X2120" s="264"/>
      <c r="Y2120" s="264"/>
      <c r="Z2120" s="386"/>
      <c r="AD2120" s="264"/>
      <c r="AE2120" s="264"/>
      <c r="AF2120" s="264"/>
      <c r="AG2120" s="264"/>
    </row>
    <row r="2121" spans="1:33" ht="26.25">
      <c r="A2121" s="264"/>
      <c r="B2121" s="264"/>
      <c r="C2121" s="264"/>
      <c r="D2121" s="264"/>
      <c r="E2121" s="264"/>
      <c r="F2121" s="264"/>
      <c r="G2121" s="264"/>
      <c r="H2121" s="264"/>
      <c r="I2121" s="264"/>
      <c r="J2121" s="327"/>
      <c r="K2121" s="327"/>
      <c r="L2121" s="327"/>
      <c r="M2121" s="321"/>
      <c r="N2121" s="321"/>
      <c r="P2121" s="376"/>
      <c r="R2121" s="393"/>
      <c r="S2121" s="61" ph="1"/>
      <c r="U2121" s="229"/>
      <c r="V2121" s="264"/>
      <c r="W2121" s="199"/>
      <c r="X2121" s="264"/>
      <c r="Y2121" s="264"/>
      <c r="Z2121" s="386"/>
      <c r="AD2121" s="264"/>
      <c r="AE2121" s="264"/>
      <c r="AF2121" s="264"/>
      <c r="AG2121" s="264"/>
    </row>
    <row r="2122" spans="1:33" ht="26.25">
      <c r="A2122" s="264"/>
      <c r="B2122" s="264"/>
      <c r="C2122" s="264"/>
      <c r="D2122" s="264"/>
      <c r="E2122" s="264"/>
      <c r="F2122" s="264"/>
      <c r="G2122" s="264"/>
      <c r="H2122" s="264"/>
      <c r="I2122" s="264"/>
      <c r="J2122" s="327"/>
      <c r="K2122" s="327"/>
      <c r="L2122" s="327"/>
      <c r="M2122" s="321"/>
      <c r="N2122" s="321"/>
      <c r="P2122" s="376"/>
      <c r="R2122" s="393"/>
      <c r="S2122" s="61" ph="1"/>
      <c r="U2122" s="229"/>
      <c r="V2122" s="264"/>
      <c r="W2122" s="199"/>
      <c r="X2122" s="264"/>
      <c r="Y2122" s="264"/>
      <c r="Z2122" s="386"/>
      <c r="AD2122" s="264"/>
      <c r="AE2122" s="264"/>
      <c r="AF2122" s="264"/>
      <c r="AG2122" s="264"/>
    </row>
    <row r="2123" spans="1:33" ht="26.25">
      <c r="A2123" s="264"/>
      <c r="B2123" s="264"/>
      <c r="C2123" s="264"/>
      <c r="D2123" s="264"/>
      <c r="E2123" s="264"/>
      <c r="F2123" s="264"/>
      <c r="G2123" s="264"/>
      <c r="H2123" s="264"/>
      <c r="I2123" s="264"/>
      <c r="J2123" s="327"/>
      <c r="K2123" s="327"/>
      <c r="L2123" s="327"/>
      <c r="M2123" s="321"/>
      <c r="N2123" s="321"/>
      <c r="P2123" s="376"/>
      <c r="R2123" s="393"/>
      <c r="S2123" s="61" ph="1"/>
      <c r="U2123" s="229"/>
      <c r="V2123" s="264"/>
      <c r="W2123" s="199"/>
      <c r="X2123" s="264"/>
      <c r="Y2123" s="264"/>
      <c r="Z2123" s="386"/>
      <c r="AD2123" s="264"/>
      <c r="AE2123" s="264"/>
      <c r="AF2123" s="264"/>
      <c r="AG2123" s="264"/>
    </row>
    <row r="2124" spans="1:33" ht="26.25">
      <c r="A2124" s="264"/>
      <c r="B2124" s="264"/>
      <c r="C2124" s="264"/>
      <c r="D2124" s="264"/>
      <c r="E2124" s="264"/>
      <c r="F2124" s="264"/>
      <c r="G2124" s="264"/>
      <c r="H2124" s="264"/>
      <c r="I2124" s="264"/>
      <c r="J2124" s="327"/>
      <c r="K2124" s="327"/>
      <c r="L2124" s="327"/>
      <c r="M2124" s="321"/>
      <c r="N2124" s="321"/>
      <c r="P2124" s="376"/>
      <c r="R2124" s="393"/>
      <c r="S2124" s="61" ph="1"/>
      <c r="U2124" s="229"/>
      <c r="V2124" s="264"/>
      <c r="W2124" s="199"/>
      <c r="X2124" s="264"/>
      <c r="Y2124" s="264"/>
      <c r="Z2124" s="386"/>
      <c r="AD2124" s="264"/>
      <c r="AE2124" s="264"/>
      <c r="AF2124" s="264"/>
      <c r="AG2124" s="264"/>
    </row>
    <row r="2125" spans="1:33" ht="26.25">
      <c r="A2125" s="264"/>
      <c r="B2125" s="264"/>
      <c r="C2125" s="264"/>
      <c r="D2125" s="264"/>
      <c r="E2125" s="264"/>
      <c r="F2125" s="264"/>
      <c r="G2125" s="264"/>
      <c r="H2125" s="264"/>
      <c r="I2125" s="264"/>
      <c r="J2125" s="327"/>
      <c r="K2125" s="327"/>
      <c r="L2125" s="327"/>
      <c r="M2125" s="321"/>
      <c r="N2125" s="321"/>
      <c r="P2125" s="376"/>
      <c r="R2125" s="393"/>
      <c r="S2125" s="61" ph="1"/>
      <c r="U2125" s="229"/>
      <c r="V2125" s="264"/>
      <c r="W2125" s="199"/>
      <c r="X2125" s="264"/>
      <c r="Y2125" s="264"/>
      <c r="Z2125" s="386"/>
      <c r="AD2125" s="264"/>
      <c r="AE2125" s="264"/>
      <c r="AF2125" s="264"/>
      <c r="AG2125" s="264"/>
    </row>
    <row r="2126" spans="1:33" ht="26.25">
      <c r="A2126" s="264"/>
      <c r="B2126" s="264"/>
      <c r="C2126" s="264"/>
      <c r="D2126" s="264"/>
      <c r="E2126" s="264"/>
      <c r="F2126" s="264"/>
      <c r="G2126" s="264"/>
      <c r="H2126" s="264"/>
      <c r="I2126" s="264"/>
      <c r="J2126" s="327"/>
      <c r="K2126" s="327"/>
      <c r="L2126" s="327"/>
      <c r="M2126" s="321"/>
      <c r="N2126" s="321"/>
      <c r="P2126" s="376"/>
      <c r="R2126" s="393"/>
      <c r="S2126" s="61" ph="1"/>
      <c r="U2126" s="229"/>
      <c r="V2126" s="264"/>
      <c r="W2126" s="199"/>
      <c r="X2126" s="264"/>
      <c r="Y2126" s="264"/>
      <c r="Z2126" s="386"/>
      <c r="AD2126" s="264"/>
      <c r="AE2126" s="264"/>
      <c r="AF2126" s="264"/>
      <c r="AG2126" s="264"/>
    </row>
    <row r="2127" spans="1:33" ht="26.25">
      <c r="A2127" s="264"/>
      <c r="B2127" s="264"/>
      <c r="C2127" s="264"/>
      <c r="D2127" s="264"/>
      <c r="E2127" s="264"/>
      <c r="F2127" s="264"/>
      <c r="G2127" s="264"/>
      <c r="H2127" s="264"/>
      <c r="I2127" s="264"/>
      <c r="J2127" s="327"/>
      <c r="K2127" s="327"/>
      <c r="L2127" s="327"/>
      <c r="M2127" s="321"/>
      <c r="N2127" s="321"/>
      <c r="P2127" s="376"/>
      <c r="R2127" s="393"/>
      <c r="S2127" s="61" ph="1"/>
      <c r="U2127" s="229"/>
      <c r="V2127" s="264"/>
      <c r="W2127" s="199"/>
      <c r="X2127" s="264"/>
      <c r="Y2127" s="264"/>
      <c r="Z2127" s="386"/>
      <c r="AD2127" s="264"/>
      <c r="AE2127" s="264"/>
      <c r="AF2127" s="264"/>
      <c r="AG2127" s="264"/>
    </row>
    <row r="2128" spans="1:33" ht="26.25">
      <c r="A2128" s="264"/>
      <c r="B2128" s="264"/>
      <c r="C2128" s="264"/>
      <c r="D2128" s="264"/>
      <c r="E2128" s="264"/>
      <c r="F2128" s="264"/>
      <c r="G2128" s="264"/>
      <c r="H2128" s="264"/>
      <c r="I2128" s="264"/>
      <c r="J2128" s="327"/>
      <c r="K2128" s="327"/>
      <c r="L2128" s="327"/>
      <c r="M2128" s="321"/>
      <c r="N2128" s="321"/>
      <c r="P2128" s="376"/>
      <c r="R2128" s="393"/>
      <c r="S2128" s="61" ph="1"/>
      <c r="U2128" s="229"/>
      <c r="V2128" s="264"/>
      <c r="W2128" s="199"/>
      <c r="X2128" s="264"/>
      <c r="Y2128" s="264"/>
      <c r="Z2128" s="386"/>
      <c r="AD2128" s="264"/>
      <c r="AE2128" s="264"/>
      <c r="AF2128" s="264"/>
      <c r="AG2128" s="264"/>
    </row>
    <row r="2129" spans="1:33" ht="26.25">
      <c r="A2129" s="264"/>
      <c r="B2129" s="264"/>
      <c r="C2129" s="264"/>
      <c r="D2129" s="264"/>
      <c r="E2129" s="264"/>
      <c r="F2129" s="264"/>
      <c r="G2129" s="264"/>
      <c r="H2129" s="264"/>
      <c r="I2129" s="264"/>
      <c r="J2129" s="327"/>
      <c r="K2129" s="327"/>
      <c r="L2129" s="327"/>
      <c r="M2129" s="321"/>
      <c r="N2129" s="321"/>
      <c r="P2129" s="376"/>
      <c r="R2129" s="393"/>
      <c r="S2129" s="61" ph="1"/>
      <c r="U2129" s="229"/>
      <c r="V2129" s="264"/>
      <c r="W2129" s="199"/>
      <c r="X2129" s="264"/>
      <c r="Y2129" s="264"/>
      <c r="Z2129" s="386"/>
      <c r="AD2129" s="264"/>
      <c r="AE2129" s="264"/>
      <c r="AF2129" s="264"/>
      <c r="AG2129" s="264"/>
    </row>
    <row r="2130" spans="1:33" ht="26.25">
      <c r="A2130" s="264"/>
      <c r="B2130" s="264"/>
      <c r="C2130" s="264"/>
      <c r="D2130" s="264"/>
      <c r="E2130" s="264"/>
      <c r="F2130" s="264"/>
      <c r="G2130" s="264"/>
      <c r="H2130" s="264"/>
      <c r="I2130" s="264"/>
      <c r="J2130" s="327"/>
      <c r="K2130" s="327"/>
      <c r="L2130" s="327"/>
      <c r="M2130" s="321"/>
      <c r="N2130" s="321"/>
      <c r="P2130" s="376"/>
      <c r="R2130" s="393"/>
      <c r="S2130" s="61" ph="1"/>
      <c r="U2130" s="229"/>
      <c r="V2130" s="264"/>
      <c r="W2130" s="199"/>
      <c r="X2130" s="264"/>
      <c r="Y2130" s="264"/>
      <c r="Z2130" s="386"/>
      <c r="AD2130" s="264"/>
      <c r="AE2130" s="264"/>
      <c r="AF2130" s="264"/>
      <c r="AG2130" s="264"/>
    </row>
    <row r="2131" spans="1:33" ht="26.25">
      <c r="A2131" s="264"/>
      <c r="B2131" s="264"/>
      <c r="C2131" s="264"/>
      <c r="D2131" s="264"/>
      <c r="E2131" s="264"/>
      <c r="F2131" s="264"/>
      <c r="G2131" s="264"/>
      <c r="H2131" s="264"/>
      <c r="I2131" s="264"/>
      <c r="J2131" s="327"/>
      <c r="K2131" s="327"/>
      <c r="L2131" s="327"/>
      <c r="M2131" s="321"/>
      <c r="N2131" s="321"/>
      <c r="P2131" s="376"/>
      <c r="R2131" s="393"/>
      <c r="S2131" s="61" ph="1"/>
      <c r="U2131" s="229"/>
      <c r="V2131" s="264"/>
      <c r="W2131" s="199"/>
      <c r="X2131" s="264"/>
      <c r="Y2131" s="264"/>
      <c r="Z2131" s="386"/>
      <c r="AD2131" s="264"/>
      <c r="AE2131" s="264"/>
      <c r="AF2131" s="264"/>
      <c r="AG2131" s="264"/>
    </row>
    <row r="2132" spans="1:33" ht="26.25">
      <c r="A2132" s="264"/>
      <c r="B2132" s="264"/>
      <c r="C2132" s="264"/>
      <c r="D2132" s="264"/>
      <c r="E2132" s="264"/>
      <c r="F2132" s="264"/>
      <c r="G2132" s="264"/>
      <c r="H2132" s="264"/>
      <c r="I2132" s="264"/>
      <c r="J2132" s="327"/>
      <c r="K2132" s="327"/>
      <c r="L2132" s="327"/>
      <c r="M2132" s="321"/>
      <c r="N2132" s="321"/>
      <c r="P2132" s="376"/>
      <c r="R2132" s="393"/>
      <c r="S2132" s="61" ph="1"/>
      <c r="U2132" s="229"/>
      <c r="V2132" s="264"/>
      <c r="W2132" s="199"/>
      <c r="X2132" s="264"/>
      <c r="Y2132" s="264"/>
      <c r="Z2132" s="386"/>
      <c r="AD2132" s="264"/>
      <c r="AE2132" s="264"/>
      <c r="AF2132" s="264"/>
      <c r="AG2132" s="264"/>
    </row>
    <row r="2133" spans="1:33" ht="26.25">
      <c r="A2133" s="264"/>
      <c r="B2133" s="264"/>
      <c r="C2133" s="264"/>
      <c r="D2133" s="264"/>
      <c r="E2133" s="264"/>
      <c r="F2133" s="264"/>
      <c r="G2133" s="264"/>
      <c r="H2133" s="264"/>
      <c r="I2133" s="264"/>
      <c r="J2133" s="327"/>
      <c r="K2133" s="327"/>
      <c r="L2133" s="327"/>
      <c r="M2133" s="321"/>
      <c r="N2133" s="321"/>
      <c r="P2133" s="376"/>
      <c r="R2133" s="393"/>
      <c r="S2133" s="61" ph="1"/>
      <c r="U2133" s="229"/>
      <c r="V2133" s="264"/>
      <c r="W2133" s="199"/>
      <c r="X2133" s="264"/>
      <c r="Y2133" s="264"/>
      <c r="Z2133" s="386"/>
      <c r="AD2133" s="264"/>
      <c r="AE2133" s="264"/>
      <c r="AF2133" s="264"/>
      <c r="AG2133" s="264"/>
    </row>
    <row r="2134" spans="1:33" ht="26.25">
      <c r="A2134" s="264"/>
      <c r="B2134" s="264"/>
      <c r="C2134" s="264"/>
      <c r="D2134" s="264"/>
      <c r="E2134" s="264"/>
      <c r="F2134" s="264"/>
      <c r="G2134" s="264"/>
      <c r="H2134" s="264"/>
      <c r="I2134" s="264"/>
      <c r="J2134" s="327"/>
      <c r="K2134" s="327"/>
      <c r="L2134" s="327"/>
      <c r="M2134" s="321"/>
      <c r="N2134" s="321"/>
      <c r="P2134" s="376"/>
      <c r="R2134" s="393"/>
      <c r="S2134" s="61" ph="1"/>
      <c r="U2134" s="229"/>
      <c r="V2134" s="264"/>
      <c r="W2134" s="199"/>
      <c r="X2134" s="264"/>
      <c r="Y2134" s="264"/>
      <c r="Z2134" s="386"/>
      <c r="AD2134" s="264"/>
      <c r="AE2134" s="264"/>
      <c r="AF2134" s="264"/>
      <c r="AG2134" s="264"/>
    </row>
    <row r="2135" spans="1:33" ht="26.25">
      <c r="A2135" s="264"/>
      <c r="B2135" s="264"/>
      <c r="C2135" s="264"/>
      <c r="D2135" s="264"/>
      <c r="E2135" s="264"/>
      <c r="F2135" s="264"/>
      <c r="G2135" s="264"/>
      <c r="H2135" s="264"/>
      <c r="I2135" s="264"/>
      <c r="J2135" s="327"/>
      <c r="K2135" s="327"/>
      <c r="L2135" s="327"/>
      <c r="M2135" s="321"/>
      <c r="N2135" s="321"/>
      <c r="P2135" s="376"/>
      <c r="R2135" s="393"/>
      <c r="S2135" s="61" ph="1"/>
      <c r="U2135" s="229"/>
      <c r="V2135" s="264"/>
      <c r="W2135" s="199"/>
      <c r="X2135" s="264"/>
      <c r="Y2135" s="264"/>
      <c r="Z2135" s="386"/>
      <c r="AD2135" s="264"/>
      <c r="AE2135" s="264"/>
      <c r="AF2135" s="264"/>
      <c r="AG2135" s="264"/>
    </row>
    <row r="2136" spans="1:33" ht="26.25">
      <c r="A2136" s="264"/>
      <c r="B2136" s="264"/>
      <c r="C2136" s="264"/>
      <c r="D2136" s="264"/>
      <c r="E2136" s="264"/>
      <c r="F2136" s="264"/>
      <c r="G2136" s="264"/>
      <c r="H2136" s="264"/>
      <c r="I2136" s="264"/>
      <c r="J2136" s="327"/>
      <c r="K2136" s="327"/>
      <c r="L2136" s="327"/>
      <c r="M2136" s="321"/>
      <c r="N2136" s="321"/>
      <c r="P2136" s="376"/>
      <c r="R2136" s="393"/>
      <c r="S2136" s="61" ph="1"/>
      <c r="U2136" s="229"/>
      <c r="V2136" s="264"/>
      <c r="W2136" s="199"/>
      <c r="X2136" s="264"/>
      <c r="Y2136" s="264"/>
      <c r="Z2136" s="386"/>
      <c r="AD2136" s="264"/>
      <c r="AE2136" s="264"/>
      <c r="AF2136" s="264"/>
      <c r="AG2136" s="264"/>
    </row>
    <row r="2137" spans="1:33" ht="26.25">
      <c r="A2137" s="264"/>
      <c r="B2137" s="264"/>
      <c r="C2137" s="264"/>
      <c r="D2137" s="264"/>
      <c r="E2137" s="264"/>
      <c r="F2137" s="264"/>
      <c r="G2137" s="264"/>
      <c r="H2137" s="264"/>
      <c r="I2137" s="264"/>
      <c r="J2137" s="327"/>
      <c r="K2137" s="327"/>
      <c r="L2137" s="327"/>
      <c r="M2137" s="321"/>
      <c r="N2137" s="321"/>
      <c r="P2137" s="376"/>
      <c r="R2137" s="393"/>
      <c r="S2137" s="61" ph="1"/>
      <c r="U2137" s="229"/>
      <c r="V2137" s="264"/>
      <c r="W2137" s="199"/>
      <c r="X2137" s="264"/>
      <c r="Y2137" s="264"/>
      <c r="Z2137" s="386"/>
      <c r="AD2137" s="264"/>
      <c r="AE2137" s="264"/>
      <c r="AF2137" s="264"/>
      <c r="AG2137" s="264"/>
    </row>
    <row r="2138" spans="1:33" ht="26.25">
      <c r="A2138" s="264"/>
      <c r="B2138" s="264"/>
      <c r="C2138" s="264"/>
      <c r="D2138" s="264"/>
      <c r="E2138" s="264"/>
      <c r="F2138" s="264"/>
      <c r="G2138" s="264"/>
      <c r="H2138" s="264"/>
      <c r="I2138" s="264"/>
      <c r="J2138" s="327"/>
      <c r="K2138" s="327"/>
      <c r="L2138" s="327"/>
      <c r="M2138" s="321"/>
      <c r="N2138" s="321"/>
      <c r="P2138" s="376"/>
      <c r="R2138" s="393"/>
      <c r="S2138" s="61" ph="1"/>
      <c r="U2138" s="229"/>
      <c r="V2138" s="264"/>
      <c r="W2138" s="199"/>
      <c r="X2138" s="264"/>
      <c r="Y2138" s="264"/>
      <c r="Z2138" s="386"/>
      <c r="AD2138" s="264"/>
      <c r="AE2138" s="264"/>
      <c r="AF2138" s="264"/>
      <c r="AG2138" s="264"/>
    </row>
    <row r="2139" spans="1:33" ht="26.25">
      <c r="A2139" s="264"/>
      <c r="B2139" s="264"/>
      <c r="C2139" s="264"/>
      <c r="D2139" s="264"/>
      <c r="E2139" s="264"/>
      <c r="F2139" s="264"/>
      <c r="G2139" s="264"/>
      <c r="H2139" s="264"/>
      <c r="I2139" s="264"/>
      <c r="J2139" s="327"/>
      <c r="K2139" s="327"/>
      <c r="L2139" s="327"/>
      <c r="M2139" s="321"/>
      <c r="N2139" s="321"/>
      <c r="P2139" s="376"/>
      <c r="R2139" s="393"/>
      <c r="S2139" s="61" ph="1"/>
      <c r="U2139" s="229"/>
      <c r="V2139" s="264"/>
      <c r="W2139" s="199"/>
      <c r="X2139" s="264"/>
      <c r="Y2139" s="264"/>
      <c r="Z2139" s="386"/>
      <c r="AD2139" s="264"/>
      <c r="AE2139" s="264"/>
      <c r="AF2139" s="264"/>
      <c r="AG2139" s="264"/>
    </row>
    <row r="2140" spans="1:33" ht="26.25">
      <c r="A2140" s="264"/>
      <c r="B2140" s="264"/>
      <c r="C2140" s="264"/>
      <c r="D2140" s="264"/>
      <c r="E2140" s="264"/>
      <c r="F2140" s="264"/>
      <c r="G2140" s="264"/>
      <c r="H2140" s="264"/>
      <c r="I2140" s="264"/>
      <c r="J2140" s="327"/>
      <c r="K2140" s="327"/>
      <c r="L2140" s="327"/>
      <c r="M2140" s="321"/>
      <c r="N2140" s="321"/>
      <c r="P2140" s="376"/>
      <c r="R2140" s="393"/>
      <c r="S2140" s="61" ph="1"/>
      <c r="U2140" s="229"/>
      <c r="V2140" s="264"/>
      <c r="W2140" s="199"/>
      <c r="X2140" s="264"/>
      <c r="Y2140" s="264"/>
      <c r="Z2140" s="386"/>
      <c r="AD2140" s="264"/>
      <c r="AE2140" s="264"/>
      <c r="AF2140" s="264"/>
      <c r="AG2140" s="264"/>
    </row>
    <row r="2141" spans="1:33" ht="26.25">
      <c r="A2141" s="264"/>
      <c r="B2141" s="264"/>
      <c r="C2141" s="264"/>
      <c r="D2141" s="264"/>
      <c r="E2141" s="264"/>
      <c r="F2141" s="264"/>
      <c r="G2141" s="264"/>
      <c r="H2141" s="264"/>
      <c r="I2141" s="264"/>
      <c r="J2141" s="327"/>
      <c r="K2141" s="327"/>
      <c r="L2141" s="327"/>
      <c r="M2141" s="321"/>
      <c r="N2141" s="321"/>
      <c r="P2141" s="376"/>
      <c r="R2141" s="393"/>
      <c r="S2141" s="61" ph="1"/>
      <c r="U2141" s="229"/>
      <c r="V2141" s="264"/>
      <c r="W2141" s="199"/>
      <c r="X2141" s="264"/>
      <c r="Y2141" s="264"/>
      <c r="Z2141" s="386"/>
      <c r="AD2141" s="264"/>
      <c r="AE2141" s="264"/>
      <c r="AF2141" s="264"/>
      <c r="AG2141" s="264"/>
    </row>
    <row r="2142" spans="1:33" ht="26.25">
      <c r="A2142" s="264"/>
      <c r="B2142" s="264"/>
      <c r="C2142" s="264"/>
      <c r="D2142" s="264"/>
      <c r="E2142" s="264"/>
      <c r="F2142" s="264"/>
      <c r="G2142" s="264"/>
      <c r="H2142" s="264"/>
      <c r="I2142" s="264"/>
      <c r="J2142" s="327"/>
      <c r="K2142" s="327"/>
      <c r="L2142" s="327"/>
      <c r="M2142" s="321"/>
      <c r="N2142" s="321"/>
      <c r="P2142" s="376"/>
      <c r="R2142" s="393"/>
      <c r="S2142" s="61" ph="1"/>
      <c r="U2142" s="229"/>
      <c r="V2142" s="264"/>
      <c r="W2142" s="199"/>
      <c r="X2142" s="264"/>
      <c r="Y2142" s="264"/>
      <c r="Z2142" s="386"/>
      <c r="AD2142" s="264"/>
      <c r="AE2142" s="264"/>
      <c r="AF2142" s="264"/>
      <c r="AG2142" s="264"/>
    </row>
    <row r="2143" spans="1:33" ht="26.25">
      <c r="A2143" s="264"/>
      <c r="B2143" s="264"/>
      <c r="C2143" s="264"/>
      <c r="D2143" s="264"/>
      <c r="E2143" s="264"/>
      <c r="F2143" s="264"/>
      <c r="G2143" s="264"/>
      <c r="H2143" s="264"/>
      <c r="I2143" s="264"/>
      <c r="J2143" s="327"/>
      <c r="K2143" s="327"/>
      <c r="L2143" s="327"/>
      <c r="M2143" s="321"/>
      <c r="N2143" s="321"/>
      <c r="P2143" s="376"/>
      <c r="R2143" s="393"/>
      <c r="S2143" s="61" ph="1"/>
      <c r="U2143" s="229"/>
      <c r="V2143" s="264"/>
      <c r="W2143" s="199"/>
      <c r="X2143" s="264"/>
      <c r="Y2143" s="264"/>
      <c r="Z2143" s="386"/>
      <c r="AD2143" s="264"/>
      <c r="AE2143" s="264"/>
      <c r="AF2143" s="264"/>
      <c r="AG2143" s="264"/>
    </row>
    <row r="2144" spans="1:33" ht="26.25">
      <c r="A2144" s="264"/>
      <c r="B2144" s="264"/>
      <c r="C2144" s="264"/>
      <c r="D2144" s="264"/>
      <c r="E2144" s="264"/>
      <c r="F2144" s="264"/>
      <c r="G2144" s="264"/>
      <c r="H2144" s="264"/>
      <c r="I2144" s="264"/>
      <c r="J2144" s="327"/>
      <c r="K2144" s="327"/>
      <c r="L2144" s="327"/>
      <c r="M2144" s="321"/>
      <c r="N2144" s="321"/>
      <c r="P2144" s="376"/>
      <c r="R2144" s="393"/>
      <c r="S2144" s="61" ph="1"/>
      <c r="U2144" s="229"/>
      <c r="V2144" s="264"/>
      <c r="W2144" s="199"/>
      <c r="X2144" s="264"/>
      <c r="Y2144" s="264"/>
      <c r="Z2144" s="386"/>
      <c r="AD2144" s="264"/>
      <c r="AE2144" s="264"/>
      <c r="AF2144" s="264"/>
      <c r="AG2144" s="264"/>
    </row>
    <row r="2145" spans="1:33" ht="26.25">
      <c r="A2145" s="264"/>
      <c r="B2145" s="264"/>
      <c r="C2145" s="264"/>
      <c r="D2145" s="264"/>
      <c r="E2145" s="264"/>
      <c r="F2145" s="264"/>
      <c r="G2145" s="264"/>
      <c r="H2145" s="264"/>
      <c r="I2145" s="264"/>
      <c r="J2145" s="327"/>
      <c r="K2145" s="327"/>
      <c r="L2145" s="327"/>
      <c r="M2145" s="321"/>
      <c r="N2145" s="321"/>
      <c r="P2145" s="376"/>
      <c r="R2145" s="393"/>
      <c r="S2145" s="61" ph="1"/>
      <c r="U2145" s="229"/>
      <c r="V2145" s="264"/>
      <c r="W2145" s="199"/>
      <c r="X2145" s="264"/>
      <c r="Y2145" s="264"/>
      <c r="Z2145" s="386"/>
      <c r="AD2145" s="264"/>
      <c r="AE2145" s="264"/>
      <c r="AF2145" s="264"/>
      <c r="AG2145" s="264"/>
    </row>
    <row r="2146" spans="1:33" ht="26.25">
      <c r="A2146" s="264"/>
      <c r="B2146" s="264"/>
      <c r="C2146" s="264"/>
      <c r="D2146" s="264"/>
      <c r="E2146" s="264"/>
      <c r="F2146" s="264"/>
      <c r="G2146" s="264"/>
      <c r="H2146" s="264"/>
      <c r="I2146" s="264"/>
      <c r="J2146" s="327"/>
      <c r="K2146" s="327"/>
      <c r="L2146" s="327"/>
      <c r="M2146" s="321"/>
      <c r="N2146" s="321"/>
      <c r="P2146" s="376"/>
      <c r="R2146" s="393"/>
      <c r="S2146" s="61" ph="1"/>
      <c r="U2146" s="229"/>
      <c r="V2146" s="264"/>
      <c r="W2146" s="199"/>
      <c r="X2146" s="264"/>
      <c r="Y2146" s="264"/>
      <c r="Z2146" s="386"/>
      <c r="AD2146" s="264"/>
      <c r="AE2146" s="264"/>
      <c r="AF2146" s="264"/>
      <c r="AG2146" s="264"/>
    </row>
    <row r="2147" spans="1:33" ht="26.25">
      <c r="A2147" s="264"/>
      <c r="B2147" s="264"/>
      <c r="C2147" s="264"/>
      <c r="D2147" s="264"/>
      <c r="E2147" s="264"/>
      <c r="F2147" s="264"/>
      <c r="G2147" s="264"/>
      <c r="H2147" s="264"/>
      <c r="I2147" s="264"/>
      <c r="J2147" s="327"/>
      <c r="K2147" s="327"/>
      <c r="L2147" s="327"/>
      <c r="M2147" s="321"/>
      <c r="N2147" s="321"/>
      <c r="P2147" s="376"/>
      <c r="R2147" s="393"/>
      <c r="S2147" s="61" ph="1"/>
      <c r="U2147" s="229"/>
      <c r="V2147" s="264"/>
      <c r="W2147" s="199"/>
      <c r="X2147" s="264"/>
      <c r="Y2147" s="264"/>
      <c r="Z2147" s="386"/>
      <c r="AD2147" s="264"/>
      <c r="AE2147" s="264"/>
      <c r="AF2147" s="264"/>
      <c r="AG2147" s="264"/>
    </row>
    <row r="2148" spans="1:33" ht="26.25">
      <c r="A2148" s="264"/>
      <c r="B2148" s="264"/>
      <c r="C2148" s="264"/>
      <c r="D2148" s="264"/>
      <c r="E2148" s="264"/>
      <c r="F2148" s="264"/>
      <c r="G2148" s="264"/>
      <c r="H2148" s="264"/>
      <c r="I2148" s="264"/>
      <c r="J2148" s="327"/>
      <c r="K2148" s="327"/>
      <c r="L2148" s="327"/>
      <c r="M2148" s="321"/>
      <c r="N2148" s="321"/>
      <c r="P2148" s="376"/>
      <c r="R2148" s="393"/>
      <c r="S2148" s="61" ph="1"/>
      <c r="U2148" s="229"/>
      <c r="V2148" s="264"/>
      <c r="W2148" s="199"/>
      <c r="X2148" s="264"/>
      <c r="Y2148" s="264"/>
      <c r="Z2148" s="386"/>
      <c r="AD2148" s="264"/>
      <c r="AE2148" s="264"/>
      <c r="AF2148" s="264"/>
      <c r="AG2148" s="264"/>
    </row>
    <row r="2149" spans="1:33" ht="26.25">
      <c r="A2149" s="264"/>
      <c r="B2149" s="264"/>
      <c r="C2149" s="264"/>
      <c r="D2149" s="264"/>
      <c r="E2149" s="264"/>
      <c r="F2149" s="264"/>
      <c r="G2149" s="264"/>
      <c r="H2149" s="264"/>
      <c r="I2149" s="264"/>
      <c r="J2149" s="327"/>
      <c r="K2149" s="327"/>
      <c r="L2149" s="327"/>
      <c r="M2149" s="321"/>
      <c r="N2149" s="321"/>
      <c r="P2149" s="376"/>
      <c r="R2149" s="393"/>
      <c r="S2149" s="61" ph="1"/>
      <c r="U2149" s="229"/>
      <c r="V2149" s="264"/>
      <c r="W2149" s="199"/>
      <c r="X2149" s="264"/>
      <c r="Y2149" s="264"/>
      <c r="Z2149" s="386"/>
      <c r="AD2149" s="264"/>
      <c r="AE2149" s="264"/>
      <c r="AF2149" s="264"/>
      <c r="AG2149" s="264"/>
    </row>
    <row r="2150" spans="1:33" ht="26.25">
      <c r="A2150" s="264"/>
      <c r="B2150" s="264"/>
      <c r="C2150" s="264"/>
      <c r="D2150" s="264"/>
      <c r="E2150" s="264"/>
      <c r="F2150" s="264"/>
      <c r="G2150" s="264"/>
      <c r="H2150" s="264"/>
      <c r="I2150" s="264"/>
      <c r="J2150" s="327"/>
      <c r="K2150" s="327"/>
      <c r="L2150" s="327"/>
      <c r="M2150" s="321"/>
      <c r="N2150" s="321"/>
      <c r="P2150" s="376"/>
      <c r="R2150" s="393"/>
      <c r="S2150" s="61" ph="1"/>
      <c r="U2150" s="229"/>
      <c r="V2150" s="264"/>
      <c r="W2150" s="199"/>
      <c r="X2150" s="264"/>
      <c r="Y2150" s="264"/>
      <c r="Z2150" s="386"/>
      <c r="AD2150" s="264"/>
      <c r="AE2150" s="264"/>
      <c r="AF2150" s="264"/>
      <c r="AG2150" s="264"/>
    </row>
    <row r="2151" spans="1:33" ht="26.25">
      <c r="A2151" s="264"/>
      <c r="B2151" s="264"/>
      <c r="C2151" s="264"/>
      <c r="D2151" s="264"/>
      <c r="E2151" s="264"/>
      <c r="F2151" s="264"/>
      <c r="G2151" s="264"/>
      <c r="H2151" s="264"/>
      <c r="I2151" s="264"/>
      <c r="J2151" s="327"/>
      <c r="K2151" s="327"/>
      <c r="L2151" s="327"/>
      <c r="M2151" s="321"/>
      <c r="N2151" s="321"/>
      <c r="P2151" s="376"/>
      <c r="R2151" s="393"/>
      <c r="S2151" s="61" ph="1"/>
      <c r="U2151" s="229"/>
      <c r="V2151" s="264"/>
      <c r="W2151" s="199"/>
      <c r="X2151" s="264"/>
      <c r="Y2151" s="264"/>
      <c r="Z2151" s="386"/>
      <c r="AD2151" s="264"/>
      <c r="AE2151" s="264"/>
      <c r="AF2151" s="264"/>
      <c r="AG2151" s="264"/>
    </row>
    <row r="2152" spans="1:33" ht="26.25">
      <c r="A2152" s="264"/>
      <c r="B2152" s="264"/>
      <c r="C2152" s="264"/>
      <c r="D2152" s="264"/>
      <c r="E2152" s="264"/>
      <c r="F2152" s="264"/>
      <c r="G2152" s="264"/>
      <c r="H2152" s="264"/>
      <c r="I2152" s="264"/>
      <c r="J2152" s="327"/>
      <c r="K2152" s="327"/>
      <c r="L2152" s="327"/>
      <c r="M2152" s="321"/>
      <c r="N2152" s="321"/>
      <c r="P2152" s="376"/>
      <c r="R2152" s="393"/>
      <c r="S2152" s="61" ph="1"/>
      <c r="U2152" s="229"/>
      <c r="V2152" s="264"/>
      <c r="W2152" s="199"/>
      <c r="X2152" s="264"/>
      <c r="Y2152" s="264"/>
      <c r="Z2152" s="386"/>
      <c r="AD2152" s="264"/>
      <c r="AE2152" s="264"/>
      <c r="AF2152" s="264"/>
      <c r="AG2152" s="264"/>
    </row>
    <row r="2153" spans="1:33" ht="26.25">
      <c r="A2153" s="264"/>
      <c r="B2153" s="264"/>
      <c r="C2153" s="264"/>
      <c r="D2153" s="264"/>
      <c r="E2153" s="264"/>
      <c r="F2153" s="264"/>
      <c r="G2153" s="264"/>
      <c r="H2153" s="264"/>
      <c r="I2153" s="264"/>
      <c r="J2153" s="327"/>
      <c r="K2153" s="327"/>
      <c r="L2153" s="327"/>
      <c r="M2153" s="321"/>
      <c r="N2153" s="321"/>
      <c r="P2153" s="376"/>
      <c r="R2153" s="393"/>
      <c r="S2153" s="61" ph="1"/>
      <c r="U2153" s="229"/>
      <c r="V2153" s="264"/>
      <c r="W2153" s="199"/>
      <c r="X2153" s="264"/>
      <c r="Y2153" s="264"/>
      <c r="Z2153" s="386"/>
      <c r="AD2153" s="264"/>
      <c r="AE2153" s="264"/>
      <c r="AF2153" s="264"/>
      <c r="AG2153" s="264"/>
    </row>
    <row r="2154" spans="1:33" ht="26.25">
      <c r="A2154" s="264"/>
      <c r="B2154" s="264"/>
      <c r="C2154" s="264"/>
      <c r="D2154" s="264"/>
      <c r="E2154" s="264"/>
      <c r="F2154" s="264"/>
      <c r="G2154" s="264"/>
      <c r="H2154" s="264"/>
      <c r="I2154" s="264"/>
      <c r="J2154" s="327"/>
      <c r="K2154" s="327"/>
      <c r="L2154" s="327"/>
      <c r="M2154" s="321"/>
      <c r="N2154" s="321"/>
      <c r="P2154" s="376"/>
      <c r="R2154" s="393"/>
      <c r="S2154" s="61" ph="1"/>
      <c r="U2154" s="229"/>
      <c r="V2154" s="264"/>
      <c r="W2154" s="199"/>
      <c r="X2154" s="264"/>
      <c r="Y2154" s="264"/>
      <c r="Z2154" s="386"/>
      <c r="AD2154" s="264"/>
      <c r="AE2154" s="264"/>
      <c r="AF2154" s="264"/>
      <c r="AG2154" s="264"/>
    </row>
    <row r="2155" spans="1:33" ht="26.25">
      <c r="A2155" s="264"/>
      <c r="B2155" s="264"/>
      <c r="C2155" s="264"/>
      <c r="D2155" s="264"/>
      <c r="E2155" s="264"/>
      <c r="F2155" s="264"/>
      <c r="G2155" s="264"/>
      <c r="H2155" s="264"/>
      <c r="I2155" s="264"/>
      <c r="J2155" s="327"/>
      <c r="K2155" s="327"/>
      <c r="L2155" s="327"/>
      <c r="M2155" s="321"/>
      <c r="N2155" s="321"/>
      <c r="P2155" s="376"/>
      <c r="R2155" s="393"/>
      <c r="S2155" s="61" ph="1"/>
      <c r="U2155" s="229"/>
      <c r="V2155" s="264"/>
      <c r="W2155" s="199"/>
      <c r="X2155" s="264"/>
      <c r="Y2155" s="264"/>
      <c r="Z2155" s="386"/>
      <c r="AD2155" s="264"/>
      <c r="AE2155" s="264"/>
      <c r="AF2155" s="264"/>
      <c r="AG2155" s="264"/>
    </row>
    <row r="2156" spans="1:33" ht="26.25">
      <c r="A2156" s="264"/>
      <c r="B2156" s="264"/>
      <c r="C2156" s="264"/>
      <c r="D2156" s="264"/>
      <c r="E2156" s="264"/>
      <c r="F2156" s="264"/>
      <c r="G2156" s="264"/>
      <c r="H2156" s="264"/>
      <c r="I2156" s="264"/>
      <c r="J2156" s="327"/>
      <c r="K2156" s="327"/>
      <c r="L2156" s="327"/>
      <c r="M2156" s="321"/>
      <c r="N2156" s="321"/>
      <c r="P2156" s="376"/>
      <c r="R2156" s="393"/>
      <c r="S2156" s="61" ph="1"/>
      <c r="U2156" s="229"/>
      <c r="V2156" s="264"/>
      <c r="W2156" s="199"/>
      <c r="X2156" s="264"/>
      <c r="Y2156" s="264"/>
      <c r="Z2156" s="386"/>
      <c r="AD2156" s="264"/>
      <c r="AE2156" s="264"/>
      <c r="AF2156" s="264"/>
      <c r="AG2156" s="264"/>
    </row>
    <row r="2157" spans="1:33" ht="26.25">
      <c r="A2157" s="264"/>
      <c r="B2157" s="264"/>
      <c r="C2157" s="264"/>
      <c r="D2157" s="264"/>
      <c r="E2157" s="264"/>
      <c r="F2157" s="264"/>
      <c r="G2157" s="264"/>
      <c r="H2157" s="264"/>
      <c r="I2157" s="264"/>
      <c r="J2157" s="327"/>
      <c r="K2157" s="327"/>
      <c r="L2157" s="327"/>
      <c r="M2157" s="321"/>
      <c r="N2157" s="321"/>
      <c r="P2157" s="376"/>
      <c r="R2157" s="393"/>
      <c r="S2157" s="61" ph="1"/>
      <c r="U2157" s="229"/>
      <c r="V2157" s="264"/>
      <c r="W2157" s="199"/>
      <c r="X2157" s="264"/>
      <c r="Y2157" s="264"/>
      <c r="Z2157" s="386"/>
      <c r="AD2157" s="264"/>
      <c r="AE2157" s="264"/>
      <c r="AF2157" s="264"/>
      <c r="AG2157" s="264"/>
    </row>
    <row r="2158" spans="1:33" ht="26.25">
      <c r="A2158" s="264"/>
      <c r="B2158" s="264"/>
      <c r="C2158" s="264"/>
      <c r="D2158" s="264"/>
      <c r="E2158" s="264"/>
      <c r="F2158" s="264"/>
      <c r="G2158" s="264"/>
      <c r="H2158" s="264"/>
      <c r="I2158" s="264"/>
      <c r="J2158" s="327"/>
      <c r="K2158" s="327"/>
      <c r="L2158" s="327"/>
      <c r="M2158" s="321"/>
      <c r="N2158" s="321"/>
      <c r="P2158" s="376"/>
      <c r="R2158" s="393"/>
      <c r="S2158" s="61" ph="1"/>
      <c r="U2158" s="229"/>
      <c r="V2158" s="264"/>
      <c r="W2158" s="199"/>
      <c r="X2158" s="264"/>
      <c r="Y2158" s="264"/>
      <c r="Z2158" s="386"/>
      <c r="AD2158" s="264"/>
      <c r="AE2158" s="264"/>
      <c r="AF2158" s="264"/>
      <c r="AG2158" s="264"/>
    </row>
    <row r="2159" spans="1:33" ht="26.25">
      <c r="A2159" s="264"/>
      <c r="B2159" s="264"/>
      <c r="C2159" s="264"/>
      <c r="D2159" s="264"/>
      <c r="E2159" s="264"/>
      <c r="F2159" s="264"/>
      <c r="G2159" s="264"/>
      <c r="H2159" s="264"/>
      <c r="I2159" s="264"/>
      <c r="J2159" s="327"/>
      <c r="K2159" s="327"/>
      <c r="L2159" s="327"/>
      <c r="M2159" s="321"/>
      <c r="N2159" s="321"/>
      <c r="P2159" s="376"/>
      <c r="R2159" s="393"/>
      <c r="S2159" s="61" ph="1"/>
      <c r="U2159" s="229"/>
      <c r="V2159" s="264"/>
      <c r="W2159" s="199"/>
      <c r="X2159" s="264"/>
      <c r="Y2159" s="264"/>
      <c r="Z2159" s="386"/>
      <c r="AD2159" s="264"/>
      <c r="AE2159" s="264"/>
      <c r="AF2159" s="264"/>
      <c r="AG2159" s="264"/>
    </row>
    <row r="2160" spans="1:33" ht="26.25">
      <c r="A2160" s="264"/>
      <c r="B2160" s="264"/>
      <c r="C2160" s="264"/>
      <c r="D2160" s="264"/>
      <c r="E2160" s="264"/>
      <c r="F2160" s="264"/>
      <c r="G2160" s="264"/>
      <c r="H2160" s="264"/>
      <c r="I2160" s="264"/>
      <c r="J2160" s="327"/>
      <c r="K2160" s="327"/>
      <c r="L2160" s="327"/>
      <c r="M2160" s="321"/>
      <c r="N2160" s="321"/>
      <c r="P2160" s="376"/>
      <c r="R2160" s="393"/>
      <c r="S2160" s="61" ph="1"/>
      <c r="U2160" s="229"/>
      <c r="V2160" s="264"/>
      <c r="W2160" s="199"/>
      <c r="X2160" s="264"/>
      <c r="Y2160" s="264"/>
      <c r="Z2160" s="386"/>
      <c r="AD2160" s="264"/>
      <c r="AE2160" s="264"/>
      <c r="AF2160" s="264"/>
      <c r="AG2160" s="264"/>
    </row>
    <row r="2161" spans="1:33" ht="26.25">
      <c r="A2161" s="264"/>
      <c r="B2161" s="264"/>
      <c r="C2161" s="264"/>
      <c r="D2161" s="264"/>
      <c r="E2161" s="264"/>
      <c r="F2161" s="264"/>
      <c r="G2161" s="264"/>
      <c r="H2161" s="264"/>
      <c r="I2161" s="264"/>
      <c r="J2161" s="327"/>
      <c r="K2161" s="327"/>
      <c r="L2161" s="327"/>
      <c r="M2161" s="321"/>
      <c r="N2161" s="321"/>
      <c r="P2161" s="376"/>
      <c r="R2161" s="393"/>
      <c r="S2161" s="61" ph="1"/>
      <c r="U2161" s="229"/>
      <c r="V2161" s="264"/>
      <c r="W2161" s="199"/>
      <c r="X2161" s="264"/>
      <c r="Y2161" s="264"/>
      <c r="Z2161" s="386"/>
      <c r="AD2161" s="264"/>
      <c r="AE2161" s="264"/>
      <c r="AF2161" s="264"/>
      <c r="AG2161" s="264"/>
    </row>
    <row r="2162" spans="1:33" ht="26.25">
      <c r="A2162" s="264"/>
      <c r="B2162" s="264"/>
      <c r="C2162" s="264"/>
      <c r="D2162" s="264"/>
      <c r="E2162" s="264"/>
      <c r="F2162" s="264"/>
      <c r="G2162" s="264"/>
      <c r="H2162" s="264"/>
      <c r="I2162" s="264"/>
      <c r="J2162" s="327"/>
      <c r="K2162" s="327"/>
      <c r="L2162" s="327"/>
      <c r="M2162" s="321"/>
      <c r="N2162" s="321"/>
      <c r="P2162" s="376"/>
      <c r="R2162" s="393"/>
      <c r="S2162" s="61" ph="1"/>
      <c r="U2162" s="229"/>
      <c r="V2162" s="264"/>
      <c r="W2162" s="199"/>
      <c r="X2162" s="264"/>
      <c r="Y2162" s="264"/>
      <c r="Z2162" s="386"/>
      <c r="AD2162" s="264"/>
      <c r="AE2162" s="264"/>
      <c r="AF2162" s="264"/>
      <c r="AG2162" s="264"/>
    </row>
    <row r="2163" spans="1:33" ht="26.25">
      <c r="A2163" s="264"/>
      <c r="B2163" s="264"/>
      <c r="C2163" s="264"/>
      <c r="D2163" s="264"/>
      <c r="E2163" s="264"/>
      <c r="F2163" s="264"/>
      <c r="G2163" s="264"/>
      <c r="H2163" s="264"/>
      <c r="I2163" s="264"/>
      <c r="J2163" s="327"/>
      <c r="K2163" s="327"/>
      <c r="L2163" s="327"/>
      <c r="M2163" s="321"/>
      <c r="N2163" s="321"/>
      <c r="P2163" s="376"/>
      <c r="R2163" s="393"/>
      <c r="S2163" s="61" ph="1"/>
      <c r="U2163" s="229"/>
      <c r="V2163" s="264"/>
      <c r="W2163" s="199"/>
      <c r="X2163" s="264"/>
      <c r="Y2163" s="264"/>
      <c r="Z2163" s="386"/>
      <c r="AD2163" s="264"/>
      <c r="AE2163" s="264"/>
      <c r="AF2163" s="264"/>
      <c r="AG2163" s="264"/>
    </row>
    <row r="2164" spans="1:33" ht="26.25">
      <c r="A2164" s="264"/>
      <c r="B2164" s="264"/>
      <c r="C2164" s="264"/>
      <c r="D2164" s="264"/>
      <c r="E2164" s="264"/>
      <c r="F2164" s="264"/>
      <c r="G2164" s="264"/>
      <c r="H2164" s="264"/>
      <c r="I2164" s="264"/>
      <c r="J2164" s="327"/>
      <c r="K2164" s="327"/>
      <c r="L2164" s="327"/>
      <c r="M2164" s="321"/>
      <c r="N2164" s="321"/>
      <c r="P2164" s="376"/>
      <c r="R2164" s="393"/>
      <c r="S2164" s="61" ph="1"/>
      <c r="U2164" s="229"/>
      <c r="V2164" s="264"/>
      <c r="W2164" s="199"/>
      <c r="X2164" s="264"/>
      <c r="Y2164" s="264"/>
      <c r="Z2164" s="386"/>
      <c r="AD2164" s="264"/>
      <c r="AE2164" s="264"/>
      <c r="AF2164" s="264"/>
      <c r="AG2164" s="264"/>
    </row>
    <row r="2165" spans="1:33" ht="26.25">
      <c r="A2165" s="264"/>
      <c r="B2165" s="264"/>
      <c r="C2165" s="264"/>
      <c r="D2165" s="264"/>
      <c r="E2165" s="264"/>
      <c r="F2165" s="264"/>
      <c r="G2165" s="264"/>
      <c r="H2165" s="264"/>
      <c r="I2165" s="264"/>
      <c r="J2165" s="327"/>
      <c r="K2165" s="327"/>
      <c r="L2165" s="327"/>
      <c r="M2165" s="321"/>
      <c r="N2165" s="321"/>
      <c r="P2165" s="376"/>
      <c r="R2165" s="393"/>
      <c r="S2165" s="61" ph="1"/>
      <c r="U2165" s="229"/>
      <c r="V2165" s="264"/>
      <c r="W2165" s="199"/>
      <c r="X2165" s="264"/>
      <c r="Y2165" s="264"/>
      <c r="Z2165" s="386"/>
      <c r="AD2165" s="264"/>
      <c r="AE2165" s="264"/>
      <c r="AF2165" s="264"/>
      <c r="AG2165" s="264"/>
    </row>
    <row r="2166" spans="1:33" ht="26.25">
      <c r="A2166" s="264"/>
      <c r="B2166" s="264"/>
      <c r="C2166" s="264"/>
      <c r="D2166" s="264"/>
      <c r="E2166" s="264"/>
      <c r="F2166" s="264"/>
      <c r="G2166" s="264"/>
      <c r="H2166" s="264"/>
      <c r="I2166" s="264"/>
      <c r="J2166" s="327"/>
      <c r="K2166" s="327"/>
      <c r="L2166" s="327"/>
      <c r="M2166" s="321"/>
      <c r="N2166" s="321"/>
      <c r="P2166" s="376"/>
      <c r="R2166" s="393"/>
      <c r="S2166" s="61" ph="1"/>
      <c r="U2166" s="229"/>
      <c r="V2166" s="264"/>
      <c r="W2166" s="199"/>
      <c r="X2166" s="264"/>
      <c r="Y2166" s="264"/>
      <c r="Z2166" s="386"/>
      <c r="AD2166" s="264"/>
      <c r="AE2166" s="264"/>
      <c r="AF2166" s="264"/>
      <c r="AG2166" s="264"/>
    </row>
    <row r="2167" spans="1:33" ht="26.25">
      <c r="A2167" s="264"/>
      <c r="B2167" s="264"/>
      <c r="C2167" s="264"/>
      <c r="D2167" s="264"/>
      <c r="E2167" s="264"/>
      <c r="F2167" s="264"/>
      <c r="G2167" s="264"/>
      <c r="H2167" s="264"/>
      <c r="I2167" s="264"/>
      <c r="J2167" s="327"/>
      <c r="K2167" s="327"/>
      <c r="L2167" s="327"/>
      <c r="M2167" s="321"/>
      <c r="N2167" s="321"/>
      <c r="P2167" s="376"/>
      <c r="R2167" s="393"/>
      <c r="S2167" s="61" ph="1"/>
      <c r="U2167" s="229"/>
      <c r="V2167" s="264"/>
      <c r="W2167" s="199"/>
      <c r="X2167" s="264"/>
      <c r="Y2167" s="264"/>
      <c r="Z2167" s="386"/>
      <c r="AD2167" s="264"/>
      <c r="AE2167" s="264"/>
      <c r="AF2167" s="264"/>
      <c r="AG2167" s="264"/>
    </row>
    <row r="2168" spans="1:33" ht="26.25">
      <c r="A2168" s="264"/>
      <c r="B2168" s="264"/>
      <c r="C2168" s="264"/>
      <c r="D2168" s="264"/>
      <c r="E2168" s="264"/>
      <c r="F2168" s="264"/>
      <c r="G2168" s="264"/>
      <c r="H2168" s="264"/>
      <c r="I2168" s="264"/>
      <c r="J2168" s="327"/>
      <c r="K2168" s="327"/>
      <c r="L2168" s="327"/>
      <c r="M2168" s="321"/>
      <c r="N2168" s="321"/>
      <c r="P2168" s="376"/>
      <c r="R2168" s="393"/>
      <c r="S2168" s="61" ph="1"/>
      <c r="U2168" s="229"/>
      <c r="V2168" s="264"/>
      <c r="W2168" s="199"/>
      <c r="X2168" s="264"/>
      <c r="Y2168" s="264"/>
      <c r="Z2168" s="386"/>
      <c r="AD2168" s="264"/>
      <c r="AE2168" s="264"/>
      <c r="AF2168" s="264"/>
      <c r="AG2168" s="264"/>
    </row>
    <row r="2169" spans="1:33" ht="26.25">
      <c r="A2169" s="264"/>
      <c r="B2169" s="264"/>
      <c r="C2169" s="264"/>
      <c r="D2169" s="264"/>
      <c r="E2169" s="264"/>
      <c r="F2169" s="264"/>
      <c r="G2169" s="264"/>
      <c r="H2169" s="264"/>
      <c r="I2169" s="264"/>
      <c r="J2169" s="327"/>
      <c r="K2169" s="327"/>
      <c r="L2169" s="327"/>
      <c r="M2169" s="321"/>
      <c r="N2169" s="321"/>
      <c r="P2169" s="376"/>
      <c r="R2169" s="393"/>
      <c r="S2169" s="61" ph="1"/>
      <c r="U2169" s="229"/>
      <c r="V2169" s="264"/>
      <c r="W2169" s="199"/>
      <c r="X2169" s="264"/>
      <c r="Y2169" s="264"/>
      <c r="Z2169" s="386"/>
      <c r="AD2169" s="264"/>
      <c r="AE2169" s="264"/>
      <c r="AF2169" s="264"/>
      <c r="AG2169" s="264"/>
    </row>
    <row r="2170" spans="1:33" ht="26.25">
      <c r="A2170" s="264"/>
      <c r="B2170" s="264"/>
      <c r="C2170" s="264"/>
      <c r="D2170" s="264"/>
      <c r="E2170" s="264"/>
      <c r="F2170" s="264"/>
      <c r="G2170" s="264"/>
      <c r="H2170" s="264"/>
      <c r="I2170" s="264"/>
      <c r="J2170" s="327"/>
      <c r="K2170" s="327"/>
      <c r="L2170" s="327"/>
      <c r="M2170" s="321"/>
      <c r="N2170" s="321"/>
      <c r="P2170" s="376"/>
      <c r="R2170" s="393"/>
      <c r="S2170" s="61" ph="1"/>
      <c r="U2170" s="229"/>
      <c r="V2170" s="264"/>
      <c r="W2170" s="199"/>
      <c r="X2170" s="264"/>
      <c r="Y2170" s="264"/>
      <c r="Z2170" s="386"/>
      <c r="AD2170" s="264"/>
      <c r="AE2170" s="264"/>
      <c r="AF2170" s="264"/>
      <c r="AG2170" s="264"/>
    </row>
    <row r="2171" spans="1:33" ht="26.25">
      <c r="A2171" s="264"/>
      <c r="B2171" s="264"/>
      <c r="C2171" s="264"/>
      <c r="D2171" s="264"/>
      <c r="E2171" s="264"/>
      <c r="F2171" s="264"/>
      <c r="G2171" s="264"/>
      <c r="H2171" s="264"/>
      <c r="I2171" s="264"/>
      <c r="J2171" s="327"/>
      <c r="K2171" s="327"/>
      <c r="L2171" s="327"/>
      <c r="M2171" s="321"/>
      <c r="N2171" s="321"/>
      <c r="P2171" s="376"/>
      <c r="R2171" s="393"/>
      <c r="S2171" s="61" ph="1"/>
      <c r="U2171" s="229"/>
      <c r="V2171" s="264"/>
      <c r="W2171" s="199"/>
      <c r="X2171" s="264"/>
      <c r="Y2171" s="264"/>
      <c r="Z2171" s="386"/>
      <c r="AD2171" s="264"/>
      <c r="AE2171" s="264"/>
      <c r="AF2171" s="264"/>
      <c r="AG2171" s="264"/>
    </row>
    <row r="2172" spans="1:33" ht="26.25">
      <c r="A2172" s="264"/>
      <c r="B2172" s="264"/>
      <c r="C2172" s="264"/>
      <c r="D2172" s="264"/>
      <c r="E2172" s="264"/>
      <c r="F2172" s="264"/>
      <c r="G2172" s="264"/>
      <c r="H2172" s="264"/>
      <c r="I2172" s="264"/>
      <c r="J2172" s="327"/>
      <c r="K2172" s="327"/>
      <c r="L2172" s="327"/>
      <c r="M2172" s="321"/>
      <c r="N2172" s="321"/>
      <c r="P2172" s="376"/>
      <c r="R2172" s="393"/>
      <c r="S2172" s="61" ph="1"/>
      <c r="U2172" s="229"/>
      <c r="V2172" s="264"/>
      <c r="W2172" s="199"/>
      <c r="X2172" s="264"/>
      <c r="Y2172" s="264"/>
      <c r="Z2172" s="386"/>
      <c r="AD2172" s="264"/>
      <c r="AE2172" s="264"/>
      <c r="AF2172" s="264"/>
      <c r="AG2172" s="264"/>
    </row>
    <row r="2173" spans="1:33" ht="26.25">
      <c r="A2173" s="264"/>
      <c r="B2173" s="264"/>
      <c r="C2173" s="264"/>
      <c r="D2173" s="264"/>
      <c r="E2173" s="264"/>
      <c r="F2173" s="264"/>
      <c r="G2173" s="264"/>
      <c r="H2173" s="264"/>
      <c r="I2173" s="264"/>
      <c r="J2173" s="327"/>
      <c r="K2173" s="327"/>
      <c r="L2173" s="327"/>
      <c r="M2173" s="321"/>
      <c r="N2173" s="321"/>
      <c r="P2173" s="376"/>
      <c r="R2173" s="393"/>
      <c r="S2173" s="61" ph="1"/>
      <c r="U2173" s="229"/>
      <c r="V2173" s="264"/>
      <c r="W2173" s="199"/>
      <c r="X2173" s="264"/>
      <c r="Y2173" s="264"/>
      <c r="Z2173" s="386"/>
      <c r="AD2173" s="264"/>
      <c r="AE2173" s="264"/>
      <c r="AF2173" s="264"/>
      <c r="AG2173" s="264"/>
    </row>
    <row r="2174" spans="1:33" ht="26.25">
      <c r="A2174" s="264"/>
      <c r="B2174" s="264"/>
      <c r="C2174" s="264"/>
      <c r="D2174" s="264"/>
      <c r="E2174" s="264"/>
      <c r="F2174" s="264"/>
      <c r="G2174" s="264"/>
      <c r="H2174" s="264"/>
      <c r="I2174" s="264"/>
      <c r="J2174" s="327"/>
      <c r="K2174" s="327"/>
      <c r="L2174" s="327"/>
      <c r="M2174" s="321"/>
      <c r="N2174" s="321"/>
      <c r="P2174" s="376"/>
      <c r="R2174" s="393"/>
      <c r="S2174" s="61" ph="1"/>
      <c r="U2174" s="229"/>
      <c r="V2174" s="264"/>
      <c r="W2174" s="199"/>
      <c r="X2174" s="264"/>
      <c r="Y2174" s="264"/>
      <c r="Z2174" s="386"/>
      <c r="AD2174" s="264"/>
      <c r="AE2174" s="264"/>
      <c r="AF2174" s="264"/>
      <c r="AG2174" s="264"/>
    </row>
    <row r="2175" spans="1:33" ht="26.25">
      <c r="A2175" s="264"/>
      <c r="B2175" s="264"/>
      <c r="C2175" s="264"/>
      <c r="D2175" s="264"/>
      <c r="E2175" s="264"/>
      <c r="F2175" s="264"/>
      <c r="G2175" s="264"/>
      <c r="H2175" s="264"/>
      <c r="I2175" s="264"/>
      <c r="J2175" s="327"/>
      <c r="K2175" s="327"/>
      <c r="L2175" s="327"/>
      <c r="M2175" s="321"/>
      <c r="N2175" s="321"/>
      <c r="P2175" s="376"/>
      <c r="R2175" s="393"/>
      <c r="S2175" s="61" ph="1"/>
      <c r="U2175" s="229"/>
      <c r="V2175" s="264"/>
      <c r="W2175" s="199"/>
      <c r="X2175" s="264"/>
      <c r="Y2175" s="264"/>
      <c r="Z2175" s="386"/>
      <c r="AD2175" s="264"/>
      <c r="AE2175" s="264"/>
      <c r="AF2175" s="264"/>
      <c r="AG2175" s="264"/>
    </row>
    <row r="2176" spans="1:33" ht="26.25">
      <c r="A2176" s="264"/>
      <c r="B2176" s="264"/>
      <c r="C2176" s="264"/>
      <c r="D2176" s="264"/>
      <c r="E2176" s="264"/>
      <c r="F2176" s="264"/>
      <c r="G2176" s="264"/>
      <c r="H2176" s="264"/>
      <c r="I2176" s="264"/>
      <c r="J2176" s="327"/>
      <c r="K2176" s="327"/>
      <c r="L2176" s="327"/>
      <c r="M2176" s="321"/>
      <c r="N2176" s="321"/>
      <c r="P2176" s="376"/>
      <c r="R2176" s="393"/>
      <c r="S2176" s="61" ph="1"/>
      <c r="U2176" s="229"/>
      <c r="V2176" s="264"/>
      <c r="W2176" s="199"/>
      <c r="X2176" s="264"/>
      <c r="Y2176" s="264"/>
      <c r="Z2176" s="386"/>
      <c r="AD2176" s="264"/>
      <c r="AE2176" s="264"/>
      <c r="AF2176" s="264"/>
      <c r="AG2176" s="264"/>
    </row>
    <row r="2177" spans="1:33" ht="26.25">
      <c r="A2177" s="264"/>
      <c r="B2177" s="264"/>
      <c r="C2177" s="264"/>
      <c r="D2177" s="264"/>
      <c r="E2177" s="264"/>
      <c r="F2177" s="264"/>
      <c r="G2177" s="264"/>
      <c r="H2177" s="264"/>
      <c r="I2177" s="264"/>
      <c r="J2177" s="327"/>
      <c r="K2177" s="327"/>
      <c r="L2177" s="327"/>
      <c r="M2177" s="321"/>
      <c r="N2177" s="321"/>
      <c r="P2177" s="376"/>
      <c r="R2177" s="393"/>
      <c r="S2177" s="61" ph="1"/>
      <c r="U2177" s="229"/>
      <c r="V2177" s="264"/>
      <c r="W2177" s="199"/>
      <c r="X2177" s="264"/>
      <c r="Y2177" s="264"/>
      <c r="Z2177" s="386"/>
      <c r="AD2177" s="264"/>
      <c r="AE2177" s="264"/>
      <c r="AF2177" s="264"/>
      <c r="AG2177" s="264"/>
    </row>
    <row r="2178" spans="1:33" ht="26.25">
      <c r="A2178" s="264"/>
      <c r="B2178" s="264"/>
      <c r="C2178" s="264"/>
      <c r="D2178" s="264"/>
      <c r="E2178" s="264"/>
      <c r="F2178" s="264"/>
      <c r="G2178" s="264"/>
      <c r="H2178" s="264"/>
      <c r="I2178" s="264"/>
      <c r="J2178" s="327"/>
      <c r="K2178" s="327"/>
      <c r="L2178" s="327"/>
      <c r="M2178" s="321"/>
      <c r="N2178" s="321"/>
      <c r="P2178" s="376"/>
      <c r="R2178" s="393"/>
      <c r="S2178" s="61" ph="1"/>
      <c r="U2178" s="229"/>
      <c r="V2178" s="264"/>
      <c r="W2178" s="199"/>
      <c r="X2178" s="264"/>
      <c r="Y2178" s="264"/>
      <c r="Z2178" s="386"/>
      <c r="AD2178" s="264"/>
      <c r="AE2178" s="264"/>
      <c r="AF2178" s="264"/>
      <c r="AG2178" s="264"/>
    </row>
    <row r="2179" spans="1:33" ht="26.25">
      <c r="A2179" s="264"/>
      <c r="B2179" s="264"/>
      <c r="C2179" s="264"/>
      <c r="D2179" s="264"/>
      <c r="E2179" s="264"/>
      <c r="F2179" s="264"/>
      <c r="G2179" s="264"/>
      <c r="H2179" s="264"/>
      <c r="I2179" s="264"/>
      <c r="J2179" s="327"/>
      <c r="K2179" s="327"/>
      <c r="L2179" s="327"/>
      <c r="M2179" s="321"/>
      <c r="N2179" s="321"/>
      <c r="P2179" s="376"/>
      <c r="R2179" s="393"/>
      <c r="S2179" s="61" ph="1"/>
      <c r="U2179" s="229"/>
      <c r="V2179" s="264"/>
      <c r="W2179" s="199"/>
      <c r="X2179" s="264"/>
      <c r="Y2179" s="264"/>
      <c r="Z2179" s="386"/>
      <c r="AD2179" s="264"/>
      <c r="AE2179" s="264"/>
      <c r="AF2179" s="264"/>
      <c r="AG2179" s="264"/>
    </row>
    <row r="2180" spans="1:33" ht="26.25">
      <c r="A2180" s="264"/>
      <c r="B2180" s="264"/>
      <c r="C2180" s="264"/>
      <c r="D2180" s="264"/>
      <c r="E2180" s="264"/>
      <c r="F2180" s="264"/>
      <c r="G2180" s="264"/>
      <c r="H2180" s="264"/>
      <c r="I2180" s="264"/>
      <c r="J2180" s="327"/>
      <c r="K2180" s="327"/>
      <c r="L2180" s="327"/>
      <c r="M2180" s="321"/>
      <c r="N2180" s="321"/>
      <c r="P2180" s="376"/>
      <c r="R2180" s="393"/>
      <c r="S2180" s="61" ph="1"/>
      <c r="U2180" s="229"/>
      <c r="V2180" s="264"/>
      <c r="W2180" s="199"/>
      <c r="X2180" s="264"/>
      <c r="Y2180" s="264"/>
      <c r="Z2180" s="386"/>
      <c r="AD2180" s="264"/>
      <c r="AE2180" s="264"/>
      <c r="AF2180" s="264"/>
      <c r="AG2180" s="264"/>
    </row>
    <row r="2181" spans="1:33" ht="26.25">
      <c r="A2181" s="264"/>
      <c r="B2181" s="264"/>
      <c r="C2181" s="264"/>
      <c r="D2181" s="264"/>
      <c r="E2181" s="264"/>
      <c r="F2181" s="264"/>
      <c r="G2181" s="264"/>
      <c r="H2181" s="264"/>
      <c r="I2181" s="264"/>
      <c r="J2181" s="327"/>
      <c r="K2181" s="327"/>
      <c r="L2181" s="327"/>
      <c r="M2181" s="321"/>
      <c r="N2181" s="321"/>
      <c r="P2181" s="376"/>
      <c r="R2181" s="393"/>
      <c r="S2181" s="61" ph="1"/>
      <c r="U2181" s="229"/>
      <c r="V2181" s="264"/>
      <c r="W2181" s="199"/>
      <c r="X2181" s="264"/>
      <c r="Y2181" s="264"/>
      <c r="Z2181" s="386"/>
      <c r="AD2181" s="264"/>
      <c r="AE2181" s="264"/>
      <c r="AF2181" s="264"/>
      <c r="AG2181" s="264"/>
    </row>
    <row r="2182" spans="1:33" ht="26.25">
      <c r="A2182" s="264"/>
      <c r="B2182" s="264"/>
      <c r="C2182" s="264"/>
      <c r="D2182" s="264"/>
      <c r="E2182" s="264"/>
      <c r="F2182" s="264"/>
      <c r="G2182" s="264"/>
      <c r="H2182" s="264"/>
      <c r="I2182" s="264"/>
      <c r="J2182" s="327"/>
      <c r="K2182" s="327"/>
      <c r="L2182" s="327"/>
      <c r="M2182" s="321"/>
      <c r="N2182" s="321"/>
      <c r="P2182" s="376"/>
      <c r="R2182" s="393"/>
      <c r="S2182" s="61" ph="1"/>
      <c r="U2182" s="229"/>
      <c r="V2182" s="264"/>
      <c r="W2182" s="199"/>
      <c r="X2182" s="264"/>
      <c r="Y2182" s="264"/>
      <c r="Z2182" s="386"/>
      <c r="AD2182" s="264"/>
      <c r="AE2182" s="264"/>
      <c r="AF2182" s="264"/>
      <c r="AG2182" s="264"/>
    </row>
    <row r="2183" spans="1:33" ht="26.25">
      <c r="A2183" s="264"/>
      <c r="B2183" s="264"/>
      <c r="C2183" s="264"/>
      <c r="D2183" s="264"/>
      <c r="E2183" s="264"/>
      <c r="F2183" s="264"/>
      <c r="G2183" s="264"/>
      <c r="H2183" s="264"/>
      <c r="I2183" s="264"/>
      <c r="J2183" s="327"/>
      <c r="K2183" s="327"/>
      <c r="L2183" s="327"/>
      <c r="M2183" s="321"/>
      <c r="N2183" s="321"/>
      <c r="P2183" s="376"/>
      <c r="R2183" s="393"/>
      <c r="S2183" s="61" ph="1"/>
      <c r="U2183" s="229"/>
      <c r="V2183" s="264"/>
      <c r="W2183" s="199"/>
      <c r="X2183" s="264"/>
      <c r="Y2183" s="264"/>
      <c r="Z2183" s="386"/>
      <c r="AD2183" s="264"/>
      <c r="AE2183" s="264"/>
      <c r="AF2183" s="264"/>
      <c r="AG2183" s="264"/>
    </row>
    <row r="2184" spans="1:33" ht="26.25">
      <c r="A2184" s="264"/>
      <c r="B2184" s="264"/>
      <c r="C2184" s="264"/>
      <c r="D2184" s="264"/>
      <c r="E2184" s="264"/>
      <c r="F2184" s="264"/>
      <c r="G2184" s="264"/>
      <c r="H2184" s="264"/>
      <c r="I2184" s="264"/>
      <c r="J2184" s="327"/>
      <c r="K2184" s="327"/>
      <c r="L2184" s="327"/>
      <c r="M2184" s="321"/>
      <c r="N2184" s="321"/>
      <c r="P2184" s="376"/>
      <c r="R2184" s="393"/>
      <c r="S2184" s="61" ph="1"/>
      <c r="U2184" s="229"/>
      <c r="V2184" s="264"/>
      <c r="W2184" s="199"/>
      <c r="X2184" s="264"/>
      <c r="Y2184" s="264"/>
      <c r="Z2184" s="386"/>
      <c r="AD2184" s="264"/>
      <c r="AE2184" s="264"/>
      <c r="AF2184" s="264"/>
      <c r="AG2184" s="264"/>
    </row>
    <row r="2185" spans="1:33" ht="26.25">
      <c r="A2185" s="264"/>
      <c r="B2185" s="264"/>
      <c r="C2185" s="264"/>
      <c r="D2185" s="264"/>
      <c r="E2185" s="264"/>
      <c r="F2185" s="264"/>
      <c r="G2185" s="264"/>
      <c r="H2185" s="264"/>
      <c r="I2185" s="264"/>
      <c r="J2185" s="327"/>
      <c r="K2185" s="327"/>
      <c r="L2185" s="327"/>
      <c r="M2185" s="321"/>
      <c r="N2185" s="321"/>
      <c r="P2185" s="376"/>
      <c r="R2185" s="393"/>
      <c r="S2185" s="61" ph="1"/>
      <c r="U2185" s="229"/>
      <c r="V2185" s="264"/>
      <c r="W2185" s="199"/>
      <c r="X2185" s="264"/>
      <c r="Y2185" s="264"/>
      <c r="Z2185" s="386"/>
      <c r="AD2185" s="264"/>
      <c r="AE2185" s="264"/>
      <c r="AF2185" s="264"/>
      <c r="AG2185" s="264"/>
    </row>
    <row r="2186" spans="1:33" ht="26.25">
      <c r="A2186" s="264"/>
      <c r="B2186" s="264"/>
      <c r="C2186" s="264"/>
      <c r="D2186" s="264"/>
      <c r="E2186" s="264"/>
      <c r="F2186" s="264"/>
      <c r="G2186" s="264"/>
      <c r="H2186" s="264"/>
      <c r="I2186" s="264"/>
      <c r="J2186" s="327"/>
      <c r="K2186" s="327"/>
      <c r="L2186" s="327"/>
      <c r="M2186" s="321"/>
      <c r="N2186" s="321"/>
      <c r="P2186" s="376"/>
      <c r="R2186" s="393"/>
      <c r="S2186" s="61" ph="1"/>
      <c r="U2186" s="229"/>
      <c r="V2186" s="264"/>
      <c r="W2186" s="199"/>
      <c r="X2186" s="264"/>
      <c r="Y2186" s="264"/>
      <c r="Z2186" s="386"/>
      <c r="AD2186" s="264"/>
      <c r="AE2186" s="264"/>
      <c r="AF2186" s="264"/>
      <c r="AG2186" s="264"/>
    </row>
    <row r="2187" spans="1:33" ht="26.25">
      <c r="A2187" s="264"/>
      <c r="B2187" s="264"/>
      <c r="C2187" s="264"/>
      <c r="D2187" s="264"/>
      <c r="E2187" s="264"/>
      <c r="F2187" s="264"/>
      <c r="G2187" s="264"/>
      <c r="H2187" s="264"/>
      <c r="I2187" s="264"/>
      <c r="J2187" s="327"/>
      <c r="K2187" s="327"/>
      <c r="L2187" s="327"/>
      <c r="M2187" s="321"/>
      <c r="N2187" s="321"/>
      <c r="P2187" s="376"/>
      <c r="R2187" s="393"/>
      <c r="S2187" s="61" ph="1"/>
      <c r="U2187" s="229"/>
      <c r="V2187" s="264"/>
      <c r="W2187" s="199"/>
      <c r="X2187" s="264"/>
      <c r="Y2187" s="264"/>
      <c r="Z2187" s="386"/>
      <c r="AD2187" s="264"/>
      <c r="AE2187" s="264"/>
      <c r="AF2187" s="264"/>
      <c r="AG2187" s="264"/>
    </row>
    <row r="2188" spans="1:33" ht="26.25">
      <c r="A2188" s="264"/>
      <c r="B2188" s="264"/>
      <c r="C2188" s="264"/>
      <c r="D2188" s="264"/>
      <c r="E2188" s="264"/>
      <c r="F2188" s="264"/>
      <c r="G2188" s="264"/>
      <c r="H2188" s="264"/>
      <c r="I2188" s="264"/>
      <c r="J2188" s="327"/>
      <c r="K2188" s="327"/>
      <c r="L2188" s="327"/>
      <c r="M2188" s="321"/>
      <c r="N2188" s="321"/>
      <c r="P2188" s="376"/>
      <c r="R2188" s="393"/>
      <c r="S2188" s="61" ph="1"/>
      <c r="U2188" s="229"/>
      <c r="V2188" s="264"/>
      <c r="W2188" s="199"/>
      <c r="X2188" s="264"/>
      <c r="Y2188" s="264"/>
      <c r="Z2188" s="386"/>
      <c r="AD2188" s="264"/>
      <c r="AE2188" s="264"/>
      <c r="AF2188" s="264"/>
      <c r="AG2188" s="264"/>
    </row>
    <row r="2189" spans="1:33" ht="26.25">
      <c r="A2189" s="264"/>
      <c r="B2189" s="264"/>
      <c r="C2189" s="264"/>
      <c r="D2189" s="264"/>
      <c r="E2189" s="264"/>
      <c r="F2189" s="264"/>
      <c r="G2189" s="264"/>
      <c r="H2189" s="264"/>
      <c r="I2189" s="264"/>
      <c r="J2189" s="327"/>
      <c r="K2189" s="327"/>
      <c r="L2189" s="327"/>
      <c r="M2189" s="321"/>
      <c r="N2189" s="321"/>
      <c r="P2189" s="376"/>
      <c r="R2189" s="393"/>
      <c r="S2189" s="61" ph="1"/>
      <c r="U2189" s="229"/>
      <c r="V2189" s="264"/>
      <c r="W2189" s="199"/>
      <c r="X2189" s="264"/>
      <c r="Y2189" s="264"/>
      <c r="Z2189" s="386"/>
      <c r="AD2189" s="264"/>
      <c r="AE2189" s="264"/>
      <c r="AF2189" s="264"/>
      <c r="AG2189" s="264"/>
    </row>
    <row r="2190" spans="1:33" ht="26.25">
      <c r="A2190" s="264"/>
      <c r="B2190" s="264"/>
      <c r="C2190" s="264"/>
      <c r="D2190" s="264"/>
      <c r="E2190" s="264"/>
      <c r="F2190" s="264"/>
      <c r="G2190" s="264"/>
      <c r="H2190" s="264"/>
      <c r="I2190" s="264"/>
      <c r="J2190" s="327"/>
      <c r="K2190" s="327"/>
      <c r="L2190" s="327"/>
      <c r="M2190" s="321"/>
      <c r="N2190" s="321"/>
      <c r="P2190" s="376"/>
      <c r="R2190" s="393"/>
      <c r="S2190" s="61" ph="1"/>
      <c r="U2190" s="229"/>
      <c r="V2190" s="264"/>
      <c r="W2190" s="199"/>
      <c r="X2190" s="264"/>
      <c r="Y2190" s="264"/>
      <c r="Z2190" s="386"/>
      <c r="AD2190" s="264"/>
      <c r="AE2190" s="264"/>
      <c r="AF2190" s="264"/>
      <c r="AG2190" s="264"/>
    </row>
    <row r="2191" spans="1:33" ht="26.25">
      <c r="A2191" s="264"/>
      <c r="B2191" s="264"/>
      <c r="C2191" s="264"/>
      <c r="D2191" s="264"/>
      <c r="E2191" s="264"/>
      <c r="F2191" s="264"/>
      <c r="G2191" s="264"/>
      <c r="H2191" s="264"/>
      <c r="I2191" s="264"/>
      <c r="J2191" s="327"/>
      <c r="K2191" s="327"/>
      <c r="L2191" s="327"/>
      <c r="M2191" s="321"/>
      <c r="N2191" s="321"/>
      <c r="P2191" s="376"/>
      <c r="R2191" s="393"/>
      <c r="S2191" s="61" ph="1"/>
      <c r="U2191" s="229"/>
      <c r="V2191" s="264"/>
      <c r="W2191" s="199"/>
      <c r="X2191" s="264"/>
      <c r="Y2191" s="264"/>
      <c r="Z2191" s="386"/>
      <c r="AD2191" s="264"/>
      <c r="AE2191" s="264"/>
      <c r="AF2191" s="264"/>
      <c r="AG2191" s="264"/>
    </row>
    <row r="2192" spans="1:33" ht="26.25">
      <c r="A2192" s="264"/>
      <c r="B2192" s="264"/>
      <c r="C2192" s="264"/>
      <c r="D2192" s="264"/>
      <c r="E2192" s="264"/>
      <c r="F2192" s="264"/>
      <c r="G2192" s="264"/>
      <c r="H2192" s="264"/>
      <c r="I2192" s="264"/>
      <c r="J2192" s="327"/>
      <c r="K2192" s="327"/>
      <c r="L2192" s="327"/>
      <c r="M2192" s="321"/>
      <c r="N2192" s="321"/>
      <c r="P2192" s="376"/>
      <c r="R2192" s="393"/>
      <c r="S2192" s="61" ph="1"/>
      <c r="U2192" s="229"/>
      <c r="V2192" s="264"/>
      <c r="W2192" s="199"/>
      <c r="X2192" s="264"/>
      <c r="Y2192" s="264"/>
      <c r="Z2192" s="386"/>
      <c r="AD2192" s="264"/>
      <c r="AE2192" s="264"/>
      <c r="AF2192" s="264"/>
      <c r="AG2192" s="264"/>
    </row>
    <row r="2193" spans="1:33" ht="26.25">
      <c r="A2193" s="264"/>
      <c r="B2193" s="264"/>
      <c r="C2193" s="264"/>
      <c r="D2193" s="264"/>
      <c r="E2193" s="264"/>
      <c r="F2193" s="264"/>
      <c r="G2193" s="264"/>
      <c r="H2193" s="264"/>
      <c r="I2193" s="264"/>
      <c r="J2193" s="327"/>
      <c r="K2193" s="327"/>
      <c r="L2193" s="327"/>
      <c r="M2193" s="321"/>
      <c r="N2193" s="321"/>
      <c r="P2193" s="376"/>
      <c r="R2193" s="393"/>
      <c r="S2193" s="61" ph="1"/>
      <c r="U2193" s="229"/>
      <c r="V2193" s="264"/>
      <c r="W2193" s="199"/>
      <c r="X2193" s="264"/>
      <c r="Y2193" s="264"/>
      <c r="Z2193" s="386"/>
      <c r="AD2193" s="264"/>
      <c r="AE2193" s="264"/>
      <c r="AF2193" s="264"/>
      <c r="AG2193" s="264"/>
    </row>
    <row r="2194" spans="1:33" ht="26.25">
      <c r="A2194" s="264"/>
      <c r="B2194" s="264"/>
      <c r="C2194" s="264"/>
      <c r="D2194" s="264"/>
      <c r="E2194" s="264"/>
      <c r="F2194" s="264"/>
      <c r="G2194" s="264"/>
      <c r="H2194" s="264"/>
      <c r="I2194" s="264"/>
      <c r="J2194" s="327"/>
      <c r="K2194" s="327"/>
      <c r="L2194" s="327"/>
      <c r="M2194" s="321"/>
      <c r="N2194" s="321"/>
      <c r="P2194" s="376"/>
      <c r="R2194" s="393"/>
      <c r="S2194" s="61" ph="1"/>
      <c r="U2194" s="229"/>
      <c r="V2194" s="264"/>
      <c r="W2194" s="199"/>
      <c r="X2194" s="264"/>
      <c r="Y2194" s="264"/>
      <c r="Z2194" s="386"/>
      <c r="AD2194" s="264"/>
      <c r="AE2194" s="264"/>
      <c r="AF2194" s="264"/>
      <c r="AG2194" s="264"/>
    </row>
    <row r="2195" spans="1:33" ht="26.25">
      <c r="A2195" s="264"/>
      <c r="B2195" s="264"/>
      <c r="C2195" s="264"/>
      <c r="D2195" s="264"/>
      <c r="E2195" s="264"/>
      <c r="F2195" s="264"/>
      <c r="G2195" s="264"/>
      <c r="H2195" s="264"/>
      <c r="I2195" s="264"/>
      <c r="J2195" s="327"/>
      <c r="K2195" s="327"/>
      <c r="L2195" s="327"/>
      <c r="M2195" s="321"/>
      <c r="N2195" s="321"/>
      <c r="P2195" s="376"/>
      <c r="R2195" s="393"/>
      <c r="S2195" s="61" ph="1"/>
      <c r="U2195" s="229"/>
      <c r="V2195" s="264"/>
      <c r="W2195" s="199"/>
      <c r="X2195" s="264"/>
      <c r="Y2195" s="264"/>
      <c r="Z2195" s="386"/>
      <c r="AD2195" s="264"/>
      <c r="AE2195" s="264"/>
      <c r="AF2195" s="264"/>
      <c r="AG2195" s="264"/>
    </row>
    <row r="2196" spans="1:33" ht="26.25">
      <c r="A2196" s="264"/>
      <c r="B2196" s="264"/>
      <c r="C2196" s="264"/>
      <c r="D2196" s="264"/>
      <c r="E2196" s="264"/>
      <c r="F2196" s="264"/>
      <c r="G2196" s="264"/>
      <c r="H2196" s="264"/>
      <c r="I2196" s="264"/>
      <c r="J2196" s="327"/>
      <c r="K2196" s="327"/>
      <c r="L2196" s="327"/>
      <c r="M2196" s="321"/>
      <c r="N2196" s="321"/>
      <c r="P2196" s="376"/>
      <c r="R2196" s="393"/>
      <c r="S2196" s="61" ph="1"/>
      <c r="U2196" s="229"/>
      <c r="V2196" s="264"/>
      <c r="W2196" s="199"/>
      <c r="X2196" s="264"/>
      <c r="Y2196" s="264"/>
      <c r="Z2196" s="386"/>
      <c r="AD2196" s="264"/>
      <c r="AE2196" s="264"/>
      <c r="AF2196" s="264"/>
      <c r="AG2196" s="264"/>
    </row>
    <row r="2197" spans="1:33" ht="26.25">
      <c r="A2197" s="264"/>
      <c r="B2197" s="264"/>
      <c r="C2197" s="264"/>
      <c r="D2197" s="264"/>
      <c r="E2197" s="264"/>
      <c r="F2197" s="264"/>
      <c r="G2197" s="264"/>
      <c r="H2197" s="264"/>
      <c r="I2197" s="264"/>
      <c r="J2197" s="327"/>
      <c r="K2197" s="327"/>
      <c r="L2197" s="327"/>
      <c r="M2197" s="321"/>
      <c r="N2197" s="321"/>
      <c r="P2197" s="376"/>
      <c r="R2197" s="393"/>
      <c r="S2197" s="61" ph="1"/>
      <c r="U2197" s="229"/>
      <c r="V2197" s="264"/>
      <c r="W2197" s="199"/>
      <c r="X2197" s="264"/>
      <c r="Y2197" s="264"/>
      <c r="Z2197" s="386"/>
      <c r="AD2197" s="264"/>
      <c r="AE2197" s="264"/>
      <c r="AF2197" s="264"/>
      <c r="AG2197" s="264"/>
    </row>
    <row r="2198" spans="1:33" ht="26.25">
      <c r="A2198" s="264"/>
      <c r="B2198" s="264"/>
      <c r="C2198" s="264"/>
      <c r="D2198" s="264"/>
      <c r="E2198" s="264"/>
      <c r="F2198" s="264"/>
      <c r="G2198" s="264"/>
      <c r="H2198" s="264"/>
      <c r="I2198" s="264"/>
      <c r="J2198" s="327"/>
      <c r="K2198" s="327"/>
      <c r="L2198" s="327"/>
      <c r="M2198" s="321"/>
      <c r="N2198" s="321"/>
      <c r="P2198" s="376"/>
      <c r="R2198" s="393"/>
      <c r="S2198" s="61" ph="1"/>
      <c r="U2198" s="229"/>
      <c r="V2198" s="264"/>
      <c r="W2198" s="199"/>
      <c r="X2198" s="264"/>
      <c r="Y2198" s="264"/>
      <c r="Z2198" s="386"/>
      <c r="AD2198" s="264"/>
      <c r="AE2198" s="264"/>
      <c r="AF2198" s="264"/>
      <c r="AG2198" s="264"/>
    </row>
    <row r="2199" spans="1:33" ht="26.25">
      <c r="A2199" s="264"/>
      <c r="B2199" s="264"/>
      <c r="C2199" s="264"/>
      <c r="D2199" s="264"/>
      <c r="E2199" s="264"/>
      <c r="F2199" s="264"/>
      <c r="G2199" s="264"/>
      <c r="H2199" s="264"/>
      <c r="I2199" s="264"/>
      <c r="J2199" s="327"/>
      <c r="K2199" s="327"/>
      <c r="L2199" s="327"/>
      <c r="M2199" s="321"/>
      <c r="N2199" s="321"/>
      <c r="P2199" s="376"/>
      <c r="R2199" s="393"/>
      <c r="S2199" s="61" ph="1"/>
      <c r="U2199" s="229"/>
      <c r="V2199" s="264"/>
      <c r="W2199" s="199"/>
      <c r="X2199" s="264"/>
      <c r="Y2199" s="264"/>
      <c r="Z2199" s="386"/>
      <c r="AD2199" s="264"/>
      <c r="AE2199" s="264"/>
      <c r="AF2199" s="264"/>
      <c r="AG2199" s="264"/>
    </row>
    <row r="2200" spans="1:33" ht="26.25">
      <c r="A2200" s="264"/>
      <c r="B2200" s="264"/>
      <c r="C2200" s="264"/>
      <c r="D2200" s="264"/>
      <c r="E2200" s="264"/>
      <c r="F2200" s="264"/>
      <c r="G2200" s="264"/>
      <c r="H2200" s="264"/>
      <c r="I2200" s="264"/>
      <c r="J2200" s="327"/>
      <c r="K2200" s="327"/>
      <c r="L2200" s="327"/>
      <c r="M2200" s="321"/>
      <c r="N2200" s="321"/>
      <c r="P2200" s="376"/>
      <c r="R2200" s="393"/>
      <c r="S2200" s="61" ph="1"/>
      <c r="U2200" s="229"/>
      <c r="V2200" s="264"/>
      <c r="W2200" s="199"/>
      <c r="X2200" s="264"/>
      <c r="Y2200" s="264"/>
      <c r="Z2200" s="386"/>
      <c r="AD2200" s="264"/>
      <c r="AE2200" s="264"/>
      <c r="AF2200" s="264"/>
      <c r="AG2200" s="264"/>
    </row>
    <row r="2201" spans="1:33" ht="26.25">
      <c r="A2201" s="264"/>
      <c r="B2201" s="264"/>
      <c r="C2201" s="264"/>
      <c r="D2201" s="264"/>
      <c r="E2201" s="264"/>
      <c r="F2201" s="264"/>
      <c r="G2201" s="264"/>
      <c r="H2201" s="264"/>
      <c r="I2201" s="264"/>
      <c r="J2201" s="327"/>
      <c r="K2201" s="327"/>
      <c r="L2201" s="327"/>
      <c r="M2201" s="321"/>
      <c r="N2201" s="321"/>
      <c r="P2201" s="376"/>
      <c r="R2201" s="393"/>
      <c r="S2201" s="61" ph="1"/>
      <c r="U2201" s="229"/>
      <c r="V2201" s="264"/>
      <c r="W2201" s="199"/>
      <c r="X2201" s="264"/>
      <c r="Y2201" s="264"/>
      <c r="Z2201" s="386"/>
      <c r="AD2201" s="264"/>
      <c r="AE2201" s="264"/>
      <c r="AF2201" s="264"/>
      <c r="AG2201" s="264"/>
    </row>
    <row r="2202" spans="1:33" ht="26.25">
      <c r="A2202" s="264"/>
      <c r="B2202" s="264"/>
      <c r="C2202" s="264"/>
      <c r="D2202" s="264"/>
      <c r="E2202" s="264"/>
      <c r="F2202" s="264"/>
      <c r="G2202" s="264"/>
      <c r="H2202" s="264"/>
      <c r="I2202" s="264"/>
      <c r="J2202" s="327"/>
      <c r="K2202" s="327"/>
      <c r="L2202" s="327"/>
      <c r="M2202" s="321"/>
      <c r="N2202" s="321"/>
      <c r="P2202" s="376"/>
      <c r="R2202" s="393"/>
      <c r="S2202" s="61" ph="1"/>
      <c r="U2202" s="229"/>
      <c r="V2202" s="264"/>
      <c r="W2202" s="199"/>
      <c r="X2202" s="264"/>
      <c r="Y2202" s="264"/>
      <c r="Z2202" s="386"/>
      <c r="AD2202" s="264"/>
      <c r="AE2202" s="264"/>
      <c r="AF2202" s="264"/>
      <c r="AG2202" s="264"/>
    </row>
    <row r="2203" spans="1:33" ht="26.25">
      <c r="A2203" s="264"/>
      <c r="B2203" s="264"/>
      <c r="C2203" s="264"/>
      <c r="D2203" s="264"/>
      <c r="E2203" s="264"/>
      <c r="F2203" s="264"/>
      <c r="G2203" s="264"/>
      <c r="H2203" s="264"/>
      <c r="I2203" s="264"/>
      <c r="J2203" s="327"/>
      <c r="K2203" s="327"/>
      <c r="L2203" s="327"/>
      <c r="M2203" s="321"/>
      <c r="N2203" s="321"/>
      <c r="P2203" s="376"/>
      <c r="R2203" s="393"/>
      <c r="S2203" s="61" ph="1"/>
      <c r="U2203" s="229"/>
      <c r="V2203" s="264"/>
      <c r="W2203" s="199"/>
      <c r="X2203" s="264"/>
      <c r="Y2203" s="264"/>
      <c r="Z2203" s="386"/>
      <c r="AD2203" s="264"/>
      <c r="AE2203" s="264"/>
      <c r="AF2203" s="264"/>
      <c r="AG2203" s="264"/>
    </row>
    <row r="2204" spans="1:33" ht="26.25">
      <c r="A2204" s="264"/>
      <c r="B2204" s="264"/>
      <c r="C2204" s="264"/>
      <c r="D2204" s="264"/>
      <c r="E2204" s="264"/>
      <c r="F2204" s="264"/>
      <c r="G2204" s="264"/>
      <c r="H2204" s="264"/>
      <c r="I2204" s="264"/>
      <c r="J2204" s="327"/>
      <c r="K2204" s="327"/>
      <c r="L2204" s="327"/>
      <c r="M2204" s="321"/>
      <c r="N2204" s="321"/>
      <c r="P2204" s="376"/>
      <c r="R2204" s="393"/>
      <c r="S2204" s="61" ph="1"/>
      <c r="U2204" s="229"/>
      <c r="V2204" s="264"/>
      <c r="W2204" s="199"/>
      <c r="X2204" s="264"/>
      <c r="Y2204" s="264"/>
      <c r="Z2204" s="386"/>
      <c r="AD2204" s="264"/>
      <c r="AE2204" s="264"/>
      <c r="AF2204" s="264"/>
      <c r="AG2204" s="264"/>
    </row>
    <row r="2205" spans="1:33" ht="26.25">
      <c r="A2205" s="264"/>
      <c r="B2205" s="264"/>
      <c r="C2205" s="264"/>
      <c r="D2205" s="264"/>
      <c r="E2205" s="264"/>
      <c r="F2205" s="264"/>
      <c r="G2205" s="264"/>
      <c r="H2205" s="264"/>
      <c r="I2205" s="264"/>
      <c r="J2205" s="327"/>
      <c r="K2205" s="327"/>
      <c r="L2205" s="327"/>
      <c r="M2205" s="321"/>
      <c r="N2205" s="321"/>
      <c r="P2205" s="376"/>
      <c r="R2205" s="393"/>
      <c r="S2205" s="61" ph="1"/>
      <c r="U2205" s="229"/>
      <c r="V2205" s="264"/>
      <c r="W2205" s="199"/>
      <c r="X2205" s="264"/>
      <c r="Y2205" s="264"/>
      <c r="Z2205" s="386"/>
      <c r="AD2205" s="264"/>
      <c r="AE2205" s="264"/>
      <c r="AF2205" s="264"/>
      <c r="AG2205" s="264"/>
    </row>
    <row r="2206" spans="1:33" ht="26.25">
      <c r="A2206" s="264"/>
      <c r="B2206" s="264"/>
      <c r="C2206" s="264"/>
      <c r="D2206" s="264"/>
      <c r="E2206" s="264"/>
      <c r="F2206" s="264"/>
      <c r="G2206" s="264"/>
      <c r="H2206" s="264"/>
      <c r="I2206" s="264"/>
      <c r="J2206" s="327"/>
      <c r="K2206" s="327"/>
      <c r="L2206" s="327"/>
      <c r="M2206" s="321"/>
      <c r="N2206" s="321"/>
      <c r="P2206" s="376"/>
      <c r="R2206" s="393"/>
      <c r="S2206" s="61" ph="1"/>
      <c r="U2206" s="229"/>
      <c r="V2206" s="264"/>
      <c r="W2206" s="199"/>
      <c r="X2206" s="264"/>
      <c r="Y2206" s="264"/>
      <c r="Z2206" s="386"/>
      <c r="AD2206" s="264"/>
      <c r="AE2206" s="264"/>
      <c r="AF2206" s="264"/>
      <c r="AG2206" s="264"/>
    </row>
    <row r="2207" spans="1:33" ht="26.25">
      <c r="A2207" s="264"/>
      <c r="B2207" s="264"/>
      <c r="C2207" s="264"/>
      <c r="D2207" s="264"/>
      <c r="E2207" s="264"/>
      <c r="F2207" s="264"/>
      <c r="G2207" s="264"/>
      <c r="H2207" s="264"/>
      <c r="I2207" s="264"/>
      <c r="J2207" s="327"/>
      <c r="K2207" s="327"/>
      <c r="L2207" s="327"/>
      <c r="M2207" s="321"/>
      <c r="N2207" s="321"/>
      <c r="P2207" s="376"/>
      <c r="R2207" s="393"/>
      <c r="S2207" s="61" ph="1"/>
      <c r="U2207" s="229"/>
      <c r="V2207" s="264"/>
      <c r="W2207" s="199"/>
      <c r="X2207" s="264"/>
      <c r="Y2207" s="264"/>
      <c r="Z2207" s="386"/>
      <c r="AD2207" s="264"/>
      <c r="AE2207" s="264"/>
      <c r="AF2207" s="264"/>
      <c r="AG2207" s="264"/>
    </row>
    <row r="2208" spans="1:33" ht="26.25">
      <c r="A2208" s="264"/>
      <c r="B2208" s="264"/>
      <c r="C2208" s="264"/>
      <c r="D2208" s="264"/>
      <c r="E2208" s="264"/>
      <c r="F2208" s="264"/>
      <c r="G2208" s="264"/>
      <c r="H2208" s="264"/>
      <c r="I2208" s="264"/>
      <c r="J2208" s="327"/>
      <c r="K2208" s="327"/>
      <c r="L2208" s="327"/>
      <c r="M2208" s="321"/>
      <c r="N2208" s="321"/>
      <c r="P2208" s="376"/>
      <c r="R2208" s="393"/>
      <c r="S2208" s="61" ph="1"/>
      <c r="U2208" s="229"/>
      <c r="V2208" s="264"/>
      <c r="W2208" s="199"/>
      <c r="X2208" s="264"/>
      <c r="Y2208" s="264"/>
      <c r="Z2208" s="386"/>
      <c r="AD2208" s="264"/>
      <c r="AE2208" s="264"/>
      <c r="AF2208" s="264"/>
      <c r="AG2208" s="264"/>
    </row>
    <row r="2209" spans="1:33" ht="26.25">
      <c r="A2209" s="264"/>
      <c r="B2209" s="264"/>
      <c r="C2209" s="264"/>
      <c r="D2209" s="264"/>
      <c r="E2209" s="264"/>
      <c r="F2209" s="264"/>
      <c r="G2209" s="264"/>
      <c r="H2209" s="264"/>
      <c r="I2209" s="264"/>
      <c r="J2209" s="327"/>
      <c r="K2209" s="327"/>
      <c r="L2209" s="327"/>
      <c r="M2209" s="321"/>
      <c r="N2209" s="321"/>
      <c r="P2209" s="376"/>
      <c r="R2209" s="393"/>
      <c r="S2209" s="61" ph="1"/>
      <c r="U2209" s="229"/>
      <c r="V2209" s="264"/>
      <c r="W2209" s="199"/>
      <c r="X2209" s="264"/>
      <c r="Y2209" s="264"/>
      <c r="Z2209" s="386"/>
      <c r="AD2209" s="264"/>
      <c r="AE2209" s="264"/>
      <c r="AF2209" s="264"/>
      <c r="AG2209" s="264"/>
    </row>
    <row r="2210" spans="1:33" ht="26.25">
      <c r="A2210" s="264"/>
      <c r="B2210" s="264"/>
      <c r="C2210" s="264"/>
      <c r="D2210" s="264"/>
      <c r="E2210" s="264"/>
      <c r="F2210" s="264"/>
      <c r="G2210" s="264"/>
      <c r="H2210" s="264"/>
      <c r="I2210" s="264"/>
      <c r="J2210" s="327"/>
      <c r="K2210" s="327"/>
      <c r="L2210" s="327"/>
      <c r="M2210" s="321"/>
      <c r="N2210" s="321"/>
      <c r="P2210" s="376"/>
      <c r="R2210" s="393"/>
      <c r="S2210" s="61" ph="1"/>
      <c r="U2210" s="229"/>
      <c r="V2210" s="264"/>
      <c r="W2210" s="199"/>
      <c r="X2210" s="264"/>
      <c r="Y2210" s="264"/>
      <c r="Z2210" s="386"/>
      <c r="AD2210" s="264"/>
      <c r="AE2210" s="264"/>
      <c r="AF2210" s="264"/>
      <c r="AG2210" s="264"/>
    </row>
    <row r="2211" spans="1:33" ht="26.25">
      <c r="A2211" s="264"/>
      <c r="B2211" s="264"/>
      <c r="C2211" s="264"/>
      <c r="D2211" s="264"/>
      <c r="E2211" s="264"/>
      <c r="F2211" s="264"/>
      <c r="G2211" s="264"/>
      <c r="H2211" s="264"/>
      <c r="I2211" s="264"/>
      <c r="J2211" s="327"/>
      <c r="K2211" s="327"/>
      <c r="L2211" s="327"/>
      <c r="M2211" s="321"/>
      <c r="N2211" s="321"/>
      <c r="P2211" s="376"/>
      <c r="R2211" s="393"/>
      <c r="S2211" s="61" ph="1"/>
      <c r="U2211" s="229"/>
      <c r="V2211" s="264"/>
      <c r="W2211" s="199"/>
      <c r="X2211" s="264"/>
      <c r="Y2211" s="264"/>
      <c r="Z2211" s="386"/>
      <c r="AD2211" s="264"/>
      <c r="AE2211" s="264"/>
      <c r="AF2211" s="264"/>
      <c r="AG2211" s="264"/>
    </row>
    <row r="2212" spans="1:33" ht="26.25">
      <c r="A2212" s="264"/>
      <c r="B2212" s="264"/>
      <c r="C2212" s="264"/>
      <c r="D2212" s="264"/>
      <c r="E2212" s="264"/>
      <c r="F2212" s="264"/>
      <c r="G2212" s="264"/>
      <c r="H2212" s="264"/>
      <c r="I2212" s="264"/>
      <c r="J2212" s="327"/>
      <c r="K2212" s="327"/>
      <c r="L2212" s="327"/>
      <c r="M2212" s="321"/>
      <c r="N2212" s="321"/>
      <c r="P2212" s="376"/>
      <c r="R2212" s="393"/>
      <c r="S2212" s="61" ph="1"/>
      <c r="U2212" s="229"/>
      <c r="V2212" s="264"/>
      <c r="W2212" s="199"/>
      <c r="X2212" s="264"/>
      <c r="Y2212" s="264"/>
      <c r="Z2212" s="386"/>
      <c r="AD2212" s="264"/>
      <c r="AE2212" s="264"/>
      <c r="AF2212" s="264"/>
      <c r="AG2212" s="264"/>
    </row>
    <row r="2213" spans="1:33" ht="26.25">
      <c r="A2213" s="264"/>
      <c r="B2213" s="264"/>
      <c r="C2213" s="264"/>
      <c r="D2213" s="264"/>
      <c r="E2213" s="264"/>
      <c r="F2213" s="264"/>
      <c r="G2213" s="264"/>
      <c r="H2213" s="264"/>
      <c r="I2213" s="264"/>
      <c r="J2213" s="327"/>
      <c r="K2213" s="327"/>
      <c r="L2213" s="327"/>
      <c r="M2213" s="321"/>
      <c r="N2213" s="321"/>
      <c r="P2213" s="376"/>
      <c r="R2213" s="393"/>
      <c r="S2213" s="61" ph="1"/>
      <c r="U2213" s="229"/>
      <c r="V2213" s="264"/>
      <c r="W2213" s="199"/>
      <c r="X2213" s="264"/>
      <c r="Y2213" s="264"/>
      <c r="Z2213" s="386"/>
      <c r="AD2213" s="264"/>
      <c r="AE2213" s="264"/>
      <c r="AF2213" s="264"/>
      <c r="AG2213" s="264"/>
    </row>
    <row r="2214" spans="1:33" ht="26.25">
      <c r="A2214" s="264"/>
      <c r="B2214" s="264"/>
      <c r="C2214" s="264"/>
      <c r="D2214" s="264"/>
      <c r="E2214" s="264"/>
      <c r="F2214" s="264"/>
      <c r="G2214" s="264"/>
      <c r="H2214" s="264"/>
      <c r="I2214" s="264"/>
      <c r="J2214" s="327"/>
      <c r="K2214" s="327"/>
      <c r="L2214" s="327"/>
      <c r="M2214" s="321"/>
      <c r="N2214" s="321"/>
      <c r="P2214" s="376"/>
      <c r="R2214" s="393"/>
      <c r="S2214" s="61" ph="1"/>
      <c r="U2214" s="229"/>
      <c r="V2214" s="264"/>
      <c r="W2214" s="199"/>
      <c r="X2214" s="264"/>
      <c r="Y2214" s="264"/>
      <c r="Z2214" s="386"/>
      <c r="AD2214" s="264"/>
      <c r="AE2214" s="264"/>
      <c r="AF2214" s="264"/>
      <c r="AG2214" s="264"/>
    </row>
    <row r="2215" spans="1:33" ht="26.25">
      <c r="A2215" s="264"/>
      <c r="B2215" s="264"/>
      <c r="C2215" s="264"/>
      <c r="D2215" s="264"/>
      <c r="E2215" s="264"/>
      <c r="F2215" s="264"/>
      <c r="G2215" s="264"/>
      <c r="H2215" s="264"/>
      <c r="I2215" s="264"/>
      <c r="J2215" s="327"/>
      <c r="K2215" s="327"/>
      <c r="L2215" s="327"/>
      <c r="M2215" s="321"/>
      <c r="N2215" s="321"/>
      <c r="P2215" s="376"/>
      <c r="R2215" s="393"/>
      <c r="S2215" s="61" ph="1"/>
      <c r="U2215" s="229"/>
      <c r="V2215" s="264"/>
      <c r="W2215" s="199"/>
      <c r="X2215" s="264"/>
      <c r="Y2215" s="264"/>
      <c r="Z2215" s="386"/>
      <c r="AD2215" s="264"/>
      <c r="AE2215" s="264"/>
      <c r="AF2215" s="264"/>
      <c r="AG2215" s="264"/>
    </row>
    <row r="2216" spans="1:33" ht="26.25">
      <c r="A2216" s="264"/>
      <c r="B2216" s="264"/>
      <c r="C2216" s="264"/>
      <c r="D2216" s="264"/>
      <c r="E2216" s="264"/>
      <c r="F2216" s="264"/>
      <c r="G2216" s="264"/>
      <c r="H2216" s="264"/>
      <c r="I2216" s="264"/>
      <c r="J2216" s="327"/>
      <c r="K2216" s="327"/>
      <c r="L2216" s="327"/>
      <c r="M2216" s="321"/>
      <c r="N2216" s="321"/>
      <c r="P2216" s="376"/>
      <c r="R2216" s="393"/>
      <c r="S2216" s="61" ph="1"/>
      <c r="U2216" s="229"/>
      <c r="V2216" s="264"/>
      <c r="W2216" s="199"/>
      <c r="X2216" s="264"/>
      <c r="Y2216" s="264"/>
      <c r="Z2216" s="386"/>
      <c r="AD2216" s="264"/>
      <c r="AE2216" s="264"/>
      <c r="AF2216" s="264"/>
      <c r="AG2216" s="264"/>
    </row>
    <row r="2217" spans="1:33" ht="26.25">
      <c r="A2217" s="264"/>
      <c r="B2217" s="264"/>
      <c r="C2217" s="264"/>
      <c r="D2217" s="264"/>
      <c r="E2217" s="264"/>
      <c r="F2217" s="264"/>
      <c r="G2217" s="264"/>
      <c r="H2217" s="264"/>
      <c r="I2217" s="264"/>
      <c r="J2217" s="327"/>
      <c r="K2217" s="327"/>
      <c r="L2217" s="327"/>
      <c r="M2217" s="321"/>
      <c r="N2217" s="321"/>
      <c r="P2217" s="376"/>
      <c r="R2217" s="393"/>
      <c r="S2217" s="61" ph="1"/>
      <c r="U2217" s="229"/>
      <c r="V2217" s="264"/>
      <c r="W2217" s="199"/>
      <c r="X2217" s="264"/>
      <c r="Y2217" s="264"/>
      <c r="Z2217" s="386"/>
      <c r="AD2217" s="264"/>
      <c r="AE2217" s="264"/>
      <c r="AF2217" s="264"/>
      <c r="AG2217" s="264"/>
    </row>
    <row r="2218" spans="1:33" ht="26.25">
      <c r="A2218" s="264"/>
      <c r="B2218" s="264"/>
      <c r="C2218" s="264"/>
      <c r="D2218" s="264"/>
      <c r="E2218" s="264"/>
      <c r="F2218" s="264"/>
      <c r="G2218" s="264"/>
      <c r="H2218" s="264"/>
      <c r="I2218" s="264"/>
      <c r="J2218" s="327"/>
      <c r="K2218" s="327"/>
      <c r="L2218" s="327"/>
      <c r="M2218" s="321"/>
      <c r="N2218" s="321"/>
      <c r="P2218" s="376"/>
      <c r="R2218" s="393"/>
      <c r="S2218" s="61" ph="1"/>
      <c r="U2218" s="229"/>
      <c r="V2218" s="264"/>
      <c r="W2218" s="199"/>
      <c r="X2218" s="264"/>
      <c r="Y2218" s="264"/>
      <c r="Z2218" s="386"/>
      <c r="AD2218" s="264"/>
      <c r="AE2218" s="264"/>
      <c r="AF2218" s="264"/>
      <c r="AG2218" s="264"/>
    </row>
    <row r="2219" spans="1:33" ht="26.25">
      <c r="A2219" s="264"/>
      <c r="B2219" s="264"/>
      <c r="C2219" s="264"/>
      <c r="D2219" s="264"/>
      <c r="E2219" s="264"/>
      <c r="F2219" s="264"/>
      <c r="G2219" s="264"/>
      <c r="H2219" s="264"/>
      <c r="I2219" s="264"/>
      <c r="J2219" s="327"/>
      <c r="K2219" s="327"/>
      <c r="L2219" s="327"/>
      <c r="M2219" s="321"/>
      <c r="N2219" s="321"/>
      <c r="P2219" s="376"/>
      <c r="R2219" s="393"/>
      <c r="S2219" s="61" ph="1"/>
      <c r="U2219" s="229"/>
      <c r="V2219" s="264"/>
      <c r="W2219" s="199"/>
      <c r="X2219" s="264"/>
      <c r="Y2219" s="264"/>
      <c r="Z2219" s="386"/>
      <c r="AD2219" s="264"/>
      <c r="AE2219" s="264"/>
      <c r="AF2219" s="264"/>
      <c r="AG2219" s="264"/>
    </row>
    <row r="2220" spans="1:33" ht="26.25">
      <c r="A2220" s="264"/>
      <c r="B2220" s="264"/>
      <c r="C2220" s="264"/>
      <c r="D2220" s="264"/>
      <c r="E2220" s="264"/>
      <c r="F2220" s="264"/>
      <c r="G2220" s="264"/>
      <c r="H2220" s="264"/>
      <c r="I2220" s="264"/>
      <c r="J2220" s="327"/>
      <c r="K2220" s="327"/>
      <c r="L2220" s="327"/>
      <c r="M2220" s="321"/>
      <c r="N2220" s="321"/>
      <c r="P2220" s="376"/>
      <c r="R2220" s="393"/>
      <c r="S2220" s="61" ph="1"/>
      <c r="U2220" s="229"/>
      <c r="V2220" s="264"/>
      <c r="W2220" s="199"/>
      <c r="X2220" s="264"/>
      <c r="Y2220" s="264"/>
      <c r="Z2220" s="386"/>
      <c r="AD2220" s="264"/>
      <c r="AE2220" s="264"/>
      <c r="AF2220" s="264"/>
      <c r="AG2220" s="264"/>
    </row>
    <row r="2221" spans="1:33" ht="26.25">
      <c r="A2221" s="264"/>
      <c r="B2221" s="264"/>
      <c r="C2221" s="264"/>
      <c r="D2221" s="264"/>
      <c r="E2221" s="264"/>
      <c r="F2221" s="264"/>
      <c r="G2221" s="264"/>
      <c r="H2221" s="264"/>
      <c r="I2221" s="264"/>
      <c r="J2221" s="327"/>
      <c r="K2221" s="327"/>
      <c r="L2221" s="327"/>
      <c r="M2221" s="321"/>
      <c r="N2221" s="321"/>
      <c r="P2221" s="376"/>
      <c r="R2221" s="393"/>
      <c r="S2221" s="61" ph="1"/>
      <c r="U2221" s="229"/>
      <c r="V2221" s="264"/>
      <c r="W2221" s="199"/>
      <c r="X2221" s="264"/>
      <c r="Y2221" s="264"/>
      <c r="Z2221" s="386"/>
      <c r="AD2221" s="264"/>
      <c r="AE2221" s="264"/>
      <c r="AF2221" s="264"/>
      <c r="AG2221" s="264"/>
    </row>
    <row r="2222" spans="1:33" ht="26.25">
      <c r="A2222" s="264"/>
      <c r="B2222" s="264"/>
      <c r="C2222" s="264"/>
      <c r="D2222" s="264"/>
      <c r="E2222" s="264"/>
      <c r="F2222" s="264"/>
      <c r="G2222" s="264"/>
      <c r="H2222" s="264"/>
      <c r="I2222" s="264"/>
      <c r="J2222" s="327"/>
      <c r="K2222" s="327"/>
      <c r="L2222" s="327"/>
      <c r="M2222" s="321"/>
      <c r="N2222" s="321"/>
      <c r="P2222" s="376"/>
      <c r="R2222" s="393"/>
      <c r="S2222" s="61" ph="1"/>
      <c r="U2222" s="229"/>
      <c r="V2222" s="264"/>
      <c r="W2222" s="199"/>
      <c r="X2222" s="264"/>
      <c r="Y2222" s="264"/>
      <c r="Z2222" s="386"/>
      <c r="AD2222" s="264"/>
      <c r="AE2222" s="264"/>
      <c r="AF2222" s="264"/>
      <c r="AG2222" s="264"/>
    </row>
    <row r="2223" spans="1:33" ht="26.25">
      <c r="A2223" s="264"/>
      <c r="B2223" s="264"/>
      <c r="C2223" s="264"/>
      <c r="D2223" s="264"/>
      <c r="E2223" s="264"/>
      <c r="F2223" s="264"/>
      <c r="G2223" s="264"/>
      <c r="H2223" s="264"/>
      <c r="I2223" s="264"/>
      <c r="J2223" s="327"/>
      <c r="K2223" s="327"/>
      <c r="L2223" s="327"/>
      <c r="M2223" s="321"/>
      <c r="N2223" s="321"/>
      <c r="P2223" s="376"/>
      <c r="R2223" s="393"/>
      <c r="S2223" s="61" ph="1"/>
      <c r="U2223" s="229"/>
      <c r="V2223" s="264"/>
      <c r="W2223" s="199"/>
      <c r="X2223" s="264"/>
      <c r="Y2223" s="264"/>
      <c r="Z2223" s="386"/>
      <c r="AD2223" s="264"/>
      <c r="AE2223" s="264"/>
      <c r="AF2223" s="264"/>
      <c r="AG2223" s="264"/>
    </row>
    <row r="2224" spans="1:33" ht="26.25">
      <c r="A2224" s="264"/>
      <c r="B2224" s="264"/>
      <c r="C2224" s="264"/>
      <c r="D2224" s="264"/>
      <c r="E2224" s="264"/>
      <c r="F2224" s="264"/>
      <c r="G2224" s="264"/>
      <c r="H2224" s="264"/>
      <c r="I2224" s="264"/>
      <c r="J2224" s="327"/>
      <c r="K2224" s="327"/>
      <c r="L2224" s="327"/>
      <c r="M2224" s="321"/>
      <c r="N2224" s="321"/>
      <c r="P2224" s="376"/>
      <c r="R2224" s="393"/>
      <c r="S2224" s="61" ph="1"/>
      <c r="U2224" s="229"/>
      <c r="V2224" s="264"/>
      <c r="W2224" s="199"/>
      <c r="X2224" s="264"/>
      <c r="Y2224" s="264"/>
      <c r="Z2224" s="386"/>
      <c r="AD2224" s="264"/>
      <c r="AE2224" s="264"/>
      <c r="AF2224" s="264"/>
      <c r="AG2224" s="264"/>
    </row>
    <row r="2225" spans="1:33" ht="26.25">
      <c r="A2225" s="264"/>
      <c r="B2225" s="264"/>
      <c r="C2225" s="264"/>
      <c r="D2225" s="264"/>
      <c r="E2225" s="264"/>
      <c r="F2225" s="264"/>
      <c r="G2225" s="264"/>
      <c r="H2225" s="264"/>
      <c r="I2225" s="264"/>
      <c r="J2225" s="327"/>
      <c r="K2225" s="327"/>
      <c r="L2225" s="327"/>
      <c r="M2225" s="321"/>
      <c r="N2225" s="321"/>
      <c r="P2225" s="376"/>
      <c r="R2225" s="393"/>
      <c r="S2225" s="61" ph="1"/>
      <c r="U2225" s="229"/>
      <c r="V2225" s="264"/>
      <c r="W2225" s="199"/>
      <c r="X2225" s="264"/>
      <c r="Y2225" s="264"/>
      <c r="Z2225" s="386"/>
      <c r="AD2225" s="264"/>
      <c r="AE2225" s="264"/>
      <c r="AF2225" s="264"/>
      <c r="AG2225" s="264"/>
    </row>
    <row r="2226" spans="1:33" ht="26.25">
      <c r="A2226" s="264"/>
      <c r="B2226" s="264"/>
      <c r="C2226" s="264"/>
      <c r="D2226" s="264"/>
      <c r="E2226" s="264"/>
      <c r="F2226" s="264"/>
      <c r="G2226" s="264"/>
      <c r="H2226" s="264"/>
      <c r="I2226" s="264"/>
      <c r="J2226" s="327"/>
      <c r="K2226" s="327"/>
      <c r="L2226" s="327"/>
      <c r="M2226" s="321"/>
      <c r="N2226" s="321"/>
      <c r="P2226" s="376"/>
      <c r="R2226" s="393"/>
      <c r="S2226" s="61" ph="1"/>
      <c r="U2226" s="229"/>
      <c r="V2226" s="264"/>
      <c r="W2226" s="199"/>
      <c r="X2226" s="264"/>
      <c r="Y2226" s="264"/>
      <c r="Z2226" s="386"/>
      <c r="AD2226" s="264"/>
      <c r="AE2226" s="264"/>
      <c r="AF2226" s="264"/>
      <c r="AG2226" s="264"/>
    </row>
    <row r="2227" spans="1:33" ht="26.25">
      <c r="A2227" s="264"/>
      <c r="B2227" s="264"/>
      <c r="C2227" s="264"/>
      <c r="D2227" s="264"/>
      <c r="E2227" s="264"/>
      <c r="F2227" s="264"/>
      <c r="G2227" s="264"/>
      <c r="H2227" s="264"/>
      <c r="I2227" s="264"/>
      <c r="J2227" s="327"/>
      <c r="K2227" s="327"/>
      <c r="L2227" s="327"/>
      <c r="M2227" s="321"/>
      <c r="N2227" s="321"/>
      <c r="P2227" s="376"/>
      <c r="R2227" s="393"/>
      <c r="S2227" s="61" ph="1"/>
      <c r="U2227" s="229"/>
      <c r="V2227" s="264"/>
      <c r="W2227" s="199"/>
      <c r="X2227" s="264"/>
      <c r="Y2227" s="264"/>
      <c r="Z2227" s="386"/>
      <c r="AD2227" s="264"/>
      <c r="AE2227" s="264"/>
      <c r="AF2227" s="264"/>
      <c r="AG2227" s="264"/>
    </row>
    <row r="2228" spans="1:33" ht="26.25">
      <c r="A2228" s="264"/>
      <c r="B2228" s="264"/>
      <c r="C2228" s="264"/>
      <c r="D2228" s="264"/>
      <c r="E2228" s="264"/>
      <c r="F2228" s="264"/>
      <c r="G2228" s="264"/>
      <c r="H2228" s="264"/>
      <c r="I2228" s="264"/>
      <c r="J2228" s="327"/>
      <c r="K2228" s="327"/>
      <c r="L2228" s="327"/>
      <c r="M2228" s="321"/>
      <c r="N2228" s="321"/>
      <c r="P2228" s="376"/>
      <c r="R2228" s="393"/>
      <c r="S2228" s="61" ph="1"/>
      <c r="U2228" s="229"/>
      <c r="V2228" s="264"/>
      <c r="W2228" s="199"/>
      <c r="X2228" s="264"/>
      <c r="Y2228" s="264"/>
      <c r="Z2228" s="386"/>
      <c r="AD2228" s="264"/>
      <c r="AE2228" s="264"/>
      <c r="AF2228" s="264"/>
      <c r="AG2228" s="264"/>
    </row>
    <row r="2229" spans="1:33" ht="26.25">
      <c r="A2229" s="264"/>
      <c r="B2229" s="264"/>
      <c r="C2229" s="264"/>
      <c r="D2229" s="264"/>
      <c r="E2229" s="264"/>
      <c r="F2229" s="264"/>
      <c r="G2229" s="264"/>
      <c r="H2229" s="264"/>
      <c r="I2229" s="264"/>
      <c r="J2229" s="327"/>
      <c r="K2229" s="327"/>
      <c r="L2229" s="327"/>
      <c r="M2229" s="321"/>
      <c r="N2229" s="321"/>
      <c r="P2229" s="376"/>
      <c r="R2229" s="393"/>
      <c r="S2229" s="61" ph="1"/>
      <c r="U2229" s="229"/>
      <c r="V2229" s="264"/>
      <c r="W2229" s="199"/>
      <c r="X2229" s="264"/>
      <c r="Y2229" s="264"/>
      <c r="Z2229" s="386"/>
      <c r="AD2229" s="264"/>
      <c r="AE2229" s="264"/>
      <c r="AF2229" s="264"/>
      <c r="AG2229" s="264"/>
    </row>
    <row r="2230" spans="1:33" ht="26.25">
      <c r="A2230" s="264"/>
      <c r="B2230" s="264"/>
      <c r="C2230" s="264"/>
      <c r="D2230" s="264"/>
      <c r="E2230" s="264"/>
      <c r="F2230" s="264"/>
      <c r="G2230" s="264"/>
      <c r="H2230" s="264"/>
      <c r="I2230" s="264"/>
      <c r="J2230" s="327"/>
      <c r="K2230" s="327"/>
      <c r="L2230" s="327"/>
      <c r="M2230" s="321"/>
      <c r="N2230" s="321"/>
      <c r="P2230" s="376"/>
      <c r="R2230" s="393"/>
      <c r="S2230" s="61" ph="1"/>
      <c r="U2230" s="229"/>
      <c r="V2230" s="264"/>
      <c r="W2230" s="199"/>
      <c r="X2230" s="264"/>
      <c r="Y2230" s="264"/>
      <c r="Z2230" s="386"/>
      <c r="AD2230" s="264"/>
      <c r="AE2230" s="264"/>
      <c r="AF2230" s="264"/>
      <c r="AG2230" s="264"/>
    </row>
    <row r="2231" spans="1:33" ht="26.25">
      <c r="A2231" s="264"/>
      <c r="B2231" s="264"/>
      <c r="C2231" s="264"/>
      <c r="D2231" s="264"/>
      <c r="E2231" s="264"/>
      <c r="F2231" s="264"/>
      <c r="G2231" s="264"/>
      <c r="H2231" s="264"/>
      <c r="I2231" s="264"/>
      <c r="J2231" s="327"/>
      <c r="K2231" s="327"/>
      <c r="L2231" s="327"/>
      <c r="M2231" s="321"/>
      <c r="N2231" s="321"/>
      <c r="P2231" s="376"/>
      <c r="R2231" s="393"/>
      <c r="S2231" s="61" ph="1"/>
      <c r="U2231" s="229"/>
      <c r="V2231" s="264"/>
      <c r="W2231" s="199"/>
      <c r="X2231" s="264"/>
      <c r="Y2231" s="264"/>
      <c r="Z2231" s="386"/>
      <c r="AD2231" s="264"/>
      <c r="AE2231" s="264"/>
      <c r="AF2231" s="264"/>
      <c r="AG2231" s="264"/>
    </row>
    <row r="2232" spans="1:33" ht="26.25">
      <c r="A2232" s="264"/>
      <c r="B2232" s="264"/>
      <c r="C2232" s="264"/>
      <c r="D2232" s="264"/>
      <c r="E2232" s="264"/>
      <c r="F2232" s="264"/>
      <c r="G2232" s="264"/>
      <c r="H2232" s="264"/>
      <c r="I2232" s="264"/>
      <c r="J2232" s="327"/>
      <c r="K2232" s="327"/>
      <c r="L2232" s="327"/>
      <c r="M2232" s="321"/>
      <c r="N2232" s="321"/>
      <c r="P2232" s="376"/>
      <c r="R2232" s="393"/>
      <c r="S2232" s="61" ph="1"/>
      <c r="U2232" s="229"/>
      <c r="V2232" s="264"/>
      <c r="W2232" s="199"/>
      <c r="X2232" s="264"/>
      <c r="Y2232" s="264"/>
      <c r="Z2232" s="386"/>
      <c r="AD2232" s="264"/>
      <c r="AE2232" s="264"/>
      <c r="AF2232" s="264"/>
      <c r="AG2232" s="264"/>
    </row>
    <row r="2233" spans="1:33" ht="26.25">
      <c r="A2233" s="264"/>
      <c r="B2233" s="264"/>
      <c r="C2233" s="264"/>
      <c r="D2233" s="264"/>
      <c r="E2233" s="264"/>
      <c r="F2233" s="264"/>
      <c r="G2233" s="264"/>
      <c r="H2233" s="264"/>
      <c r="I2233" s="264"/>
      <c r="J2233" s="327"/>
      <c r="K2233" s="327"/>
      <c r="L2233" s="327"/>
      <c r="M2233" s="321"/>
      <c r="N2233" s="321"/>
      <c r="P2233" s="376"/>
      <c r="R2233" s="393"/>
      <c r="S2233" s="61" ph="1"/>
      <c r="U2233" s="229"/>
      <c r="V2233" s="264"/>
      <c r="W2233" s="199"/>
      <c r="X2233" s="264"/>
      <c r="Y2233" s="264"/>
      <c r="Z2233" s="386"/>
      <c r="AD2233" s="264"/>
      <c r="AE2233" s="264"/>
      <c r="AF2233" s="264"/>
      <c r="AG2233" s="264"/>
    </row>
    <row r="2234" spans="1:33" ht="26.25">
      <c r="A2234" s="264"/>
      <c r="B2234" s="264"/>
      <c r="C2234" s="264"/>
      <c r="D2234" s="264"/>
      <c r="E2234" s="264"/>
      <c r="F2234" s="264"/>
      <c r="G2234" s="264"/>
      <c r="H2234" s="264"/>
      <c r="I2234" s="264"/>
      <c r="J2234" s="327"/>
      <c r="K2234" s="327"/>
      <c r="L2234" s="327"/>
      <c r="M2234" s="321"/>
      <c r="N2234" s="321"/>
      <c r="P2234" s="376"/>
      <c r="R2234" s="393"/>
      <c r="S2234" s="61" ph="1"/>
      <c r="U2234" s="229"/>
      <c r="V2234" s="264"/>
      <c r="W2234" s="199"/>
      <c r="X2234" s="264"/>
      <c r="Y2234" s="264"/>
      <c r="Z2234" s="386"/>
      <c r="AD2234" s="264"/>
      <c r="AE2234" s="264"/>
      <c r="AF2234" s="264"/>
      <c r="AG2234" s="264"/>
    </row>
    <row r="2235" spans="1:33" ht="26.25">
      <c r="A2235" s="264"/>
      <c r="B2235" s="264"/>
      <c r="C2235" s="264"/>
      <c r="D2235" s="264"/>
      <c r="E2235" s="264"/>
      <c r="F2235" s="264"/>
      <c r="G2235" s="264"/>
      <c r="H2235" s="264"/>
      <c r="I2235" s="264"/>
      <c r="J2235" s="327"/>
      <c r="K2235" s="327"/>
      <c r="L2235" s="327"/>
      <c r="M2235" s="321"/>
      <c r="N2235" s="321"/>
      <c r="P2235" s="376"/>
      <c r="R2235" s="393"/>
      <c r="S2235" s="61" ph="1"/>
      <c r="U2235" s="229"/>
      <c r="V2235" s="264"/>
      <c r="W2235" s="199"/>
      <c r="X2235" s="264"/>
      <c r="Y2235" s="264"/>
      <c r="Z2235" s="386"/>
      <c r="AD2235" s="264"/>
      <c r="AE2235" s="264"/>
      <c r="AF2235" s="264"/>
      <c r="AG2235" s="264"/>
    </row>
    <row r="2236" spans="1:33" ht="26.25">
      <c r="A2236" s="264"/>
      <c r="B2236" s="264"/>
      <c r="C2236" s="264"/>
      <c r="D2236" s="264"/>
      <c r="E2236" s="264"/>
      <c r="F2236" s="264"/>
      <c r="G2236" s="264"/>
      <c r="H2236" s="264"/>
      <c r="I2236" s="264"/>
      <c r="J2236" s="327"/>
      <c r="K2236" s="327"/>
      <c r="L2236" s="327"/>
      <c r="M2236" s="321"/>
      <c r="N2236" s="321"/>
      <c r="P2236" s="376"/>
      <c r="R2236" s="393"/>
      <c r="S2236" s="61" ph="1"/>
      <c r="U2236" s="229"/>
      <c r="V2236" s="264"/>
      <c r="W2236" s="199"/>
      <c r="X2236" s="264"/>
      <c r="Y2236" s="264"/>
      <c r="Z2236" s="386"/>
      <c r="AD2236" s="264"/>
      <c r="AE2236" s="264"/>
      <c r="AF2236" s="264"/>
      <c r="AG2236" s="264"/>
    </row>
    <row r="2237" spans="1:33" ht="26.25">
      <c r="A2237" s="264"/>
      <c r="B2237" s="264"/>
      <c r="C2237" s="264"/>
      <c r="D2237" s="264"/>
      <c r="E2237" s="264"/>
      <c r="F2237" s="264"/>
      <c r="G2237" s="264"/>
      <c r="H2237" s="264"/>
      <c r="I2237" s="264"/>
      <c r="J2237" s="327"/>
      <c r="K2237" s="327"/>
      <c r="L2237" s="327"/>
      <c r="M2237" s="321"/>
      <c r="N2237" s="321"/>
      <c r="P2237" s="376"/>
      <c r="R2237" s="393"/>
      <c r="S2237" s="61" ph="1"/>
      <c r="U2237" s="229"/>
      <c r="V2237" s="264"/>
      <c r="W2237" s="199"/>
      <c r="X2237" s="264"/>
      <c r="Y2237" s="264"/>
      <c r="Z2237" s="386"/>
      <c r="AD2237" s="264"/>
      <c r="AE2237" s="264"/>
      <c r="AF2237" s="264"/>
      <c r="AG2237" s="264"/>
    </row>
    <row r="2238" spans="1:33" ht="26.25">
      <c r="A2238" s="264"/>
      <c r="B2238" s="264"/>
      <c r="C2238" s="264"/>
      <c r="D2238" s="264"/>
      <c r="E2238" s="264"/>
      <c r="F2238" s="264"/>
      <c r="G2238" s="264"/>
      <c r="H2238" s="264"/>
      <c r="I2238" s="264"/>
      <c r="J2238" s="327"/>
      <c r="K2238" s="327"/>
      <c r="L2238" s="327"/>
      <c r="M2238" s="321"/>
      <c r="N2238" s="321"/>
      <c r="P2238" s="376"/>
      <c r="R2238" s="393"/>
      <c r="S2238" s="61" ph="1"/>
      <c r="U2238" s="229"/>
      <c r="V2238" s="264"/>
      <c r="W2238" s="199"/>
      <c r="X2238" s="264"/>
      <c r="Y2238" s="264"/>
      <c r="Z2238" s="386"/>
      <c r="AD2238" s="264"/>
      <c r="AE2238" s="264"/>
      <c r="AF2238" s="264"/>
      <c r="AG2238" s="264"/>
    </row>
    <row r="2239" spans="1:33" ht="26.25">
      <c r="A2239" s="264"/>
      <c r="B2239" s="264"/>
      <c r="C2239" s="264"/>
      <c r="D2239" s="264"/>
      <c r="E2239" s="264"/>
      <c r="F2239" s="264"/>
      <c r="G2239" s="264"/>
      <c r="H2239" s="264"/>
      <c r="I2239" s="264"/>
      <c r="J2239" s="327"/>
      <c r="K2239" s="327"/>
      <c r="L2239" s="327"/>
      <c r="M2239" s="321"/>
      <c r="N2239" s="321"/>
      <c r="P2239" s="376"/>
      <c r="R2239" s="393"/>
      <c r="S2239" s="61" ph="1"/>
      <c r="U2239" s="229"/>
      <c r="V2239" s="264"/>
      <c r="W2239" s="199"/>
      <c r="X2239" s="264"/>
      <c r="Y2239" s="264"/>
      <c r="Z2239" s="386"/>
      <c r="AD2239" s="264"/>
      <c r="AE2239" s="264"/>
      <c r="AF2239" s="264"/>
      <c r="AG2239" s="264"/>
    </row>
    <row r="2240" spans="1:33" ht="26.25">
      <c r="A2240" s="264"/>
      <c r="B2240" s="264"/>
      <c r="C2240" s="264"/>
      <c r="D2240" s="264"/>
      <c r="E2240" s="264"/>
      <c r="F2240" s="264"/>
      <c r="G2240" s="264"/>
      <c r="H2240" s="264"/>
      <c r="I2240" s="264"/>
      <c r="J2240" s="327"/>
      <c r="K2240" s="327"/>
      <c r="L2240" s="327"/>
      <c r="M2240" s="321"/>
      <c r="N2240" s="321"/>
      <c r="P2240" s="376"/>
      <c r="R2240" s="393"/>
      <c r="S2240" s="61" ph="1"/>
      <c r="U2240" s="229"/>
      <c r="V2240" s="264"/>
      <c r="W2240" s="199"/>
      <c r="X2240" s="264"/>
      <c r="Y2240" s="264"/>
      <c r="Z2240" s="386"/>
      <c r="AD2240" s="264"/>
      <c r="AE2240" s="264"/>
      <c r="AF2240" s="264"/>
      <c r="AG2240" s="264"/>
    </row>
    <row r="2241" spans="1:33" ht="26.25">
      <c r="A2241" s="264"/>
      <c r="B2241" s="264"/>
      <c r="C2241" s="264"/>
      <c r="D2241" s="264"/>
      <c r="E2241" s="264"/>
      <c r="F2241" s="264"/>
      <c r="G2241" s="264"/>
      <c r="H2241" s="264"/>
      <c r="I2241" s="264"/>
      <c r="J2241" s="327"/>
      <c r="K2241" s="327"/>
      <c r="L2241" s="327"/>
      <c r="M2241" s="321"/>
      <c r="N2241" s="321"/>
      <c r="P2241" s="376"/>
      <c r="R2241" s="393"/>
      <c r="S2241" s="61" ph="1"/>
      <c r="U2241" s="229"/>
      <c r="V2241" s="264"/>
      <c r="W2241" s="199"/>
      <c r="X2241" s="264"/>
      <c r="Y2241" s="264"/>
      <c r="Z2241" s="386"/>
      <c r="AD2241" s="264"/>
      <c r="AE2241" s="264"/>
      <c r="AF2241" s="264"/>
      <c r="AG2241" s="264"/>
    </row>
    <row r="2242" spans="1:33" ht="26.25">
      <c r="A2242" s="264"/>
      <c r="B2242" s="264"/>
      <c r="C2242" s="264"/>
      <c r="D2242" s="264"/>
      <c r="E2242" s="264"/>
      <c r="F2242" s="264"/>
      <c r="G2242" s="264"/>
      <c r="H2242" s="264"/>
      <c r="I2242" s="264"/>
      <c r="J2242" s="327"/>
      <c r="K2242" s="327"/>
      <c r="L2242" s="327"/>
      <c r="M2242" s="321"/>
      <c r="N2242" s="321"/>
      <c r="P2242" s="376"/>
      <c r="R2242" s="393"/>
      <c r="S2242" s="61" ph="1"/>
      <c r="U2242" s="229"/>
      <c r="V2242" s="264"/>
      <c r="W2242" s="199"/>
      <c r="X2242" s="264"/>
      <c r="Y2242" s="264"/>
      <c r="Z2242" s="386"/>
      <c r="AD2242" s="264"/>
      <c r="AE2242" s="264"/>
      <c r="AF2242" s="264"/>
      <c r="AG2242" s="264"/>
    </row>
    <row r="2243" spans="1:33" ht="26.25">
      <c r="A2243" s="264"/>
      <c r="B2243" s="264"/>
      <c r="C2243" s="264"/>
      <c r="D2243" s="264"/>
      <c r="E2243" s="264"/>
      <c r="F2243" s="264"/>
      <c r="G2243" s="264"/>
      <c r="H2243" s="264"/>
      <c r="I2243" s="264"/>
      <c r="J2243" s="327"/>
      <c r="K2243" s="327"/>
      <c r="L2243" s="327"/>
      <c r="M2243" s="321"/>
      <c r="N2243" s="321"/>
      <c r="P2243" s="376"/>
      <c r="R2243" s="393"/>
      <c r="S2243" s="61" ph="1"/>
      <c r="U2243" s="229"/>
      <c r="V2243" s="264"/>
      <c r="W2243" s="199"/>
      <c r="X2243" s="264"/>
      <c r="Y2243" s="264"/>
      <c r="Z2243" s="386"/>
      <c r="AD2243" s="264"/>
      <c r="AE2243" s="264"/>
      <c r="AF2243" s="264"/>
      <c r="AG2243" s="264"/>
    </row>
    <row r="2244" spans="1:33" ht="26.25">
      <c r="A2244" s="264"/>
      <c r="B2244" s="264"/>
      <c r="C2244" s="264"/>
      <c r="D2244" s="264"/>
      <c r="E2244" s="264"/>
      <c r="F2244" s="264"/>
      <c r="G2244" s="264"/>
      <c r="H2244" s="264"/>
      <c r="I2244" s="264"/>
      <c r="J2244" s="327"/>
      <c r="K2244" s="327"/>
      <c r="L2244" s="327"/>
      <c r="M2244" s="321"/>
      <c r="N2244" s="321"/>
      <c r="P2244" s="376"/>
      <c r="R2244" s="393"/>
      <c r="S2244" s="61" ph="1"/>
      <c r="U2244" s="229"/>
      <c r="V2244" s="264"/>
      <c r="W2244" s="199"/>
      <c r="X2244" s="264"/>
      <c r="Y2244" s="264"/>
      <c r="Z2244" s="386"/>
      <c r="AD2244" s="264"/>
      <c r="AE2244" s="264"/>
      <c r="AF2244" s="264"/>
      <c r="AG2244" s="264"/>
    </row>
    <row r="2245" spans="1:33" ht="26.25">
      <c r="A2245" s="264"/>
      <c r="B2245" s="264"/>
      <c r="C2245" s="264"/>
      <c r="D2245" s="264"/>
      <c r="E2245" s="264"/>
      <c r="F2245" s="264"/>
      <c r="G2245" s="264"/>
      <c r="H2245" s="264"/>
      <c r="I2245" s="264"/>
      <c r="J2245" s="327"/>
      <c r="K2245" s="327"/>
      <c r="L2245" s="327"/>
      <c r="M2245" s="321"/>
      <c r="N2245" s="321"/>
      <c r="P2245" s="376"/>
      <c r="R2245" s="393"/>
      <c r="S2245" s="61" ph="1"/>
      <c r="U2245" s="229"/>
      <c r="V2245" s="264"/>
      <c r="W2245" s="199"/>
      <c r="X2245" s="264"/>
      <c r="Y2245" s="264"/>
      <c r="Z2245" s="386"/>
      <c r="AD2245" s="264"/>
      <c r="AE2245" s="264"/>
      <c r="AF2245" s="264"/>
      <c r="AG2245" s="264"/>
    </row>
    <row r="2246" spans="1:33" ht="26.25">
      <c r="A2246" s="264"/>
      <c r="B2246" s="264"/>
      <c r="C2246" s="264"/>
      <c r="D2246" s="264"/>
      <c r="E2246" s="264"/>
      <c r="F2246" s="264"/>
      <c r="G2246" s="264"/>
      <c r="H2246" s="264"/>
      <c r="I2246" s="264"/>
      <c r="J2246" s="327"/>
      <c r="K2246" s="327"/>
      <c r="L2246" s="327"/>
      <c r="M2246" s="321"/>
      <c r="N2246" s="321"/>
      <c r="P2246" s="376"/>
      <c r="R2246" s="393"/>
      <c r="S2246" s="61" ph="1"/>
      <c r="U2246" s="229"/>
      <c r="V2246" s="264"/>
      <c r="W2246" s="199"/>
      <c r="X2246" s="264"/>
      <c r="Y2246" s="264"/>
      <c r="Z2246" s="386"/>
      <c r="AD2246" s="264"/>
      <c r="AE2246" s="264"/>
      <c r="AF2246" s="264"/>
      <c r="AG2246" s="264"/>
    </row>
    <row r="2247" spans="1:33" ht="26.25">
      <c r="A2247" s="264"/>
      <c r="B2247" s="264"/>
      <c r="C2247" s="264"/>
      <c r="D2247" s="264"/>
      <c r="E2247" s="264"/>
      <c r="F2247" s="264"/>
      <c r="G2247" s="264"/>
      <c r="H2247" s="264"/>
      <c r="I2247" s="264"/>
      <c r="J2247" s="327"/>
      <c r="K2247" s="327"/>
      <c r="L2247" s="327"/>
      <c r="M2247" s="321"/>
      <c r="N2247" s="321"/>
      <c r="P2247" s="376"/>
      <c r="R2247" s="393"/>
      <c r="S2247" s="61" ph="1"/>
      <c r="U2247" s="229"/>
      <c r="V2247" s="264"/>
      <c r="W2247" s="199"/>
      <c r="X2247" s="264"/>
      <c r="Y2247" s="264"/>
      <c r="Z2247" s="386"/>
      <c r="AD2247" s="264"/>
      <c r="AE2247" s="264"/>
      <c r="AF2247" s="264"/>
      <c r="AG2247" s="264"/>
    </row>
    <row r="2248" spans="1:33" ht="26.25">
      <c r="A2248" s="264"/>
      <c r="B2248" s="264"/>
      <c r="C2248" s="264"/>
      <c r="D2248" s="264"/>
      <c r="E2248" s="264"/>
      <c r="F2248" s="264"/>
      <c r="G2248" s="264"/>
      <c r="H2248" s="264"/>
      <c r="I2248" s="264"/>
      <c r="J2248" s="327"/>
      <c r="K2248" s="327"/>
      <c r="L2248" s="327"/>
      <c r="M2248" s="321"/>
      <c r="N2248" s="321"/>
      <c r="P2248" s="376"/>
      <c r="R2248" s="393"/>
      <c r="S2248" s="61" ph="1"/>
      <c r="U2248" s="229"/>
      <c r="V2248" s="264"/>
      <c r="W2248" s="199"/>
      <c r="X2248" s="264"/>
      <c r="Y2248" s="264"/>
      <c r="Z2248" s="386"/>
      <c r="AD2248" s="264"/>
      <c r="AE2248" s="264"/>
      <c r="AF2248" s="264"/>
      <c r="AG2248" s="264"/>
    </row>
    <row r="2249" spans="1:33" ht="26.25">
      <c r="A2249" s="264"/>
      <c r="B2249" s="264"/>
      <c r="C2249" s="264"/>
      <c r="D2249" s="264"/>
      <c r="E2249" s="264"/>
      <c r="F2249" s="264"/>
      <c r="G2249" s="264"/>
      <c r="H2249" s="264"/>
      <c r="I2249" s="264"/>
      <c r="J2249" s="327"/>
      <c r="K2249" s="327"/>
      <c r="L2249" s="327"/>
      <c r="M2249" s="321"/>
      <c r="N2249" s="321"/>
      <c r="P2249" s="376"/>
      <c r="R2249" s="393"/>
      <c r="S2249" s="61" ph="1"/>
      <c r="U2249" s="229"/>
      <c r="V2249" s="264"/>
      <c r="W2249" s="199"/>
      <c r="X2249" s="264"/>
      <c r="Y2249" s="264"/>
      <c r="Z2249" s="386"/>
      <c r="AD2249" s="264"/>
      <c r="AE2249" s="264"/>
      <c r="AF2249" s="264"/>
      <c r="AG2249" s="264"/>
    </row>
    <row r="2250" spans="1:33" ht="26.25">
      <c r="A2250" s="264"/>
      <c r="B2250" s="264"/>
      <c r="C2250" s="264"/>
      <c r="D2250" s="264"/>
      <c r="E2250" s="264"/>
      <c r="F2250" s="264"/>
      <c r="G2250" s="264"/>
      <c r="H2250" s="264"/>
      <c r="I2250" s="264"/>
      <c r="J2250" s="327"/>
      <c r="K2250" s="327"/>
      <c r="L2250" s="327"/>
      <c r="M2250" s="321"/>
      <c r="N2250" s="321"/>
      <c r="P2250" s="376"/>
      <c r="R2250" s="393"/>
      <c r="S2250" s="61" ph="1"/>
      <c r="U2250" s="229"/>
      <c r="V2250" s="264"/>
      <c r="W2250" s="199"/>
      <c r="X2250" s="264"/>
      <c r="Y2250" s="264"/>
      <c r="Z2250" s="386"/>
      <c r="AD2250" s="264"/>
      <c r="AE2250" s="264"/>
      <c r="AF2250" s="264"/>
      <c r="AG2250" s="264"/>
    </row>
    <row r="2251" spans="1:33" ht="26.25">
      <c r="A2251" s="264"/>
      <c r="B2251" s="264"/>
      <c r="C2251" s="264"/>
      <c r="D2251" s="264"/>
      <c r="E2251" s="264"/>
      <c r="F2251" s="264"/>
      <c r="G2251" s="264"/>
      <c r="H2251" s="264"/>
      <c r="I2251" s="264"/>
      <c r="J2251" s="327"/>
      <c r="K2251" s="327"/>
      <c r="L2251" s="327"/>
      <c r="M2251" s="321"/>
      <c r="N2251" s="321"/>
      <c r="P2251" s="376"/>
      <c r="R2251" s="393"/>
      <c r="S2251" s="61" ph="1"/>
      <c r="U2251" s="229"/>
      <c r="V2251" s="264"/>
      <c r="W2251" s="199"/>
      <c r="X2251" s="264"/>
      <c r="Y2251" s="264"/>
      <c r="Z2251" s="386"/>
      <c r="AD2251" s="264"/>
      <c r="AE2251" s="264"/>
      <c r="AF2251" s="264"/>
      <c r="AG2251" s="264"/>
    </row>
    <row r="2252" spans="1:33" ht="26.25">
      <c r="A2252" s="264"/>
      <c r="B2252" s="264"/>
      <c r="C2252" s="264"/>
      <c r="D2252" s="264"/>
      <c r="E2252" s="264"/>
      <c r="F2252" s="264"/>
      <c r="G2252" s="264"/>
      <c r="H2252" s="264"/>
      <c r="I2252" s="264"/>
      <c r="J2252" s="327"/>
      <c r="K2252" s="327"/>
      <c r="L2252" s="327"/>
      <c r="M2252" s="321"/>
      <c r="N2252" s="321"/>
      <c r="P2252" s="376"/>
      <c r="R2252" s="393"/>
      <c r="S2252" s="61" ph="1"/>
      <c r="U2252" s="229"/>
      <c r="V2252" s="264"/>
      <c r="W2252" s="199"/>
      <c r="X2252" s="264"/>
      <c r="Y2252" s="264"/>
      <c r="Z2252" s="386"/>
      <c r="AD2252" s="264"/>
      <c r="AE2252" s="264"/>
      <c r="AF2252" s="264"/>
      <c r="AG2252" s="264"/>
    </row>
    <row r="2253" spans="1:33" ht="26.25">
      <c r="A2253" s="264"/>
      <c r="B2253" s="264"/>
      <c r="C2253" s="264"/>
      <c r="D2253" s="264"/>
      <c r="E2253" s="264"/>
      <c r="F2253" s="264"/>
      <c r="G2253" s="264"/>
      <c r="H2253" s="264"/>
      <c r="I2253" s="264"/>
      <c r="J2253" s="327"/>
      <c r="K2253" s="327"/>
      <c r="L2253" s="327"/>
      <c r="M2253" s="321"/>
      <c r="N2253" s="321"/>
      <c r="P2253" s="376"/>
      <c r="R2253" s="393"/>
      <c r="S2253" s="61" ph="1"/>
      <c r="U2253" s="229"/>
      <c r="V2253" s="264"/>
      <c r="W2253" s="199"/>
      <c r="X2253" s="264"/>
      <c r="Y2253" s="264"/>
      <c r="Z2253" s="386"/>
      <c r="AD2253" s="264"/>
      <c r="AE2253" s="264"/>
      <c r="AF2253" s="264"/>
      <c r="AG2253" s="264"/>
    </row>
    <row r="2254" spans="1:33" ht="26.25">
      <c r="A2254" s="264"/>
      <c r="B2254" s="264"/>
      <c r="C2254" s="264"/>
      <c r="D2254" s="264"/>
      <c r="E2254" s="264"/>
      <c r="F2254" s="264"/>
      <c r="G2254" s="264"/>
      <c r="H2254" s="264"/>
      <c r="I2254" s="264"/>
      <c r="J2254" s="327"/>
      <c r="K2254" s="327"/>
      <c r="L2254" s="327"/>
      <c r="M2254" s="321"/>
      <c r="N2254" s="321"/>
      <c r="P2254" s="376"/>
      <c r="R2254" s="393"/>
      <c r="S2254" s="61" ph="1"/>
      <c r="U2254" s="229"/>
      <c r="V2254" s="264"/>
      <c r="W2254" s="199"/>
      <c r="X2254" s="264"/>
      <c r="Y2254" s="264"/>
      <c r="Z2254" s="386"/>
      <c r="AD2254" s="264"/>
      <c r="AE2254" s="264"/>
      <c r="AF2254" s="264"/>
      <c r="AG2254" s="264"/>
    </row>
    <row r="2255" spans="1:33" ht="26.25">
      <c r="A2255" s="264"/>
      <c r="B2255" s="264"/>
      <c r="C2255" s="264"/>
      <c r="D2255" s="264"/>
      <c r="E2255" s="264"/>
      <c r="F2255" s="264"/>
      <c r="G2255" s="264"/>
      <c r="H2255" s="264"/>
      <c r="I2255" s="264"/>
      <c r="J2255" s="327"/>
      <c r="K2255" s="327"/>
      <c r="L2255" s="327"/>
      <c r="M2255" s="321"/>
      <c r="N2255" s="321"/>
      <c r="P2255" s="376"/>
      <c r="R2255" s="393"/>
      <c r="S2255" s="61" ph="1"/>
      <c r="U2255" s="229"/>
      <c r="V2255" s="264"/>
      <c r="W2255" s="199"/>
      <c r="X2255" s="264"/>
      <c r="Y2255" s="264"/>
      <c r="Z2255" s="386"/>
      <c r="AD2255" s="264"/>
      <c r="AE2255" s="264"/>
      <c r="AF2255" s="264"/>
      <c r="AG2255" s="264"/>
    </row>
    <row r="2256" spans="1:33" ht="26.25">
      <c r="A2256" s="264"/>
      <c r="B2256" s="264"/>
      <c r="C2256" s="264"/>
      <c r="D2256" s="264"/>
      <c r="E2256" s="264"/>
      <c r="F2256" s="264"/>
      <c r="G2256" s="264"/>
      <c r="H2256" s="264"/>
      <c r="I2256" s="264"/>
      <c r="J2256" s="327"/>
      <c r="K2256" s="327"/>
      <c r="L2256" s="327"/>
      <c r="M2256" s="321"/>
      <c r="N2256" s="321"/>
      <c r="P2256" s="376"/>
      <c r="R2256" s="393"/>
      <c r="S2256" s="61" ph="1"/>
      <c r="U2256" s="229"/>
      <c r="V2256" s="264"/>
      <c r="W2256" s="199"/>
      <c r="X2256" s="264"/>
      <c r="Y2256" s="264"/>
      <c r="Z2256" s="386"/>
      <c r="AD2256" s="264"/>
      <c r="AE2256" s="264"/>
      <c r="AF2256" s="264"/>
      <c r="AG2256" s="264"/>
    </row>
    <row r="2257" spans="1:33" ht="26.25">
      <c r="A2257" s="264"/>
      <c r="B2257" s="264"/>
      <c r="C2257" s="264"/>
      <c r="D2257" s="264"/>
      <c r="E2257" s="264"/>
      <c r="F2257" s="264"/>
      <c r="G2257" s="264"/>
      <c r="H2257" s="264"/>
      <c r="I2257" s="264"/>
      <c r="J2257" s="327"/>
      <c r="K2257" s="327"/>
      <c r="L2257" s="327"/>
      <c r="M2257" s="321"/>
      <c r="N2257" s="321"/>
      <c r="P2257" s="376"/>
      <c r="R2257" s="393"/>
      <c r="S2257" s="61" ph="1"/>
      <c r="U2257" s="229"/>
      <c r="V2257" s="264"/>
      <c r="W2257" s="199"/>
      <c r="X2257" s="264"/>
      <c r="Y2257" s="264"/>
      <c r="Z2257" s="386"/>
      <c r="AD2257" s="264"/>
      <c r="AE2257" s="264"/>
      <c r="AF2257" s="264"/>
      <c r="AG2257" s="264"/>
    </row>
    <row r="2258" spans="1:33" ht="26.25">
      <c r="A2258" s="264"/>
      <c r="B2258" s="264"/>
      <c r="C2258" s="264"/>
      <c r="D2258" s="264"/>
      <c r="E2258" s="264"/>
      <c r="F2258" s="264"/>
      <c r="G2258" s="264"/>
      <c r="H2258" s="264"/>
      <c r="I2258" s="264"/>
      <c r="J2258" s="327"/>
      <c r="K2258" s="327"/>
      <c r="L2258" s="327"/>
      <c r="M2258" s="321"/>
      <c r="N2258" s="321"/>
      <c r="P2258" s="376"/>
      <c r="R2258" s="393"/>
      <c r="S2258" s="61" ph="1"/>
      <c r="U2258" s="229"/>
      <c r="V2258" s="264"/>
      <c r="W2258" s="199"/>
      <c r="X2258" s="264"/>
      <c r="Y2258" s="264"/>
      <c r="Z2258" s="386"/>
      <c r="AD2258" s="264"/>
      <c r="AE2258" s="264"/>
      <c r="AF2258" s="264"/>
      <c r="AG2258" s="264"/>
    </row>
    <row r="2259" spans="1:33" ht="26.25">
      <c r="A2259" s="264"/>
      <c r="B2259" s="264"/>
      <c r="C2259" s="264"/>
      <c r="D2259" s="264"/>
      <c r="E2259" s="264"/>
      <c r="F2259" s="264"/>
      <c r="G2259" s="264"/>
      <c r="H2259" s="264"/>
      <c r="I2259" s="264"/>
      <c r="J2259" s="327"/>
      <c r="K2259" s="327"/>
      <c r="L2259" s="327"/>
      <c r="M2259" s="321"/>
      <c r="N2259" s="321"/>
      <c r="P2259" s="376"/>
      <c r="R2259" s="393"/>
      <c r="S2259" s="61" ph="1"/>
      <c r="U2259" s="229"/>
      <c r="V2259" s="264"/>
      <c r="W2259" s="199"/>
      <c r="X2259" s="264"/>
      <c r="Y2259" s="264"/>
      <c r="Z2259" s="386"/>
      <c r="AD2259" s="264"/>
      <c r="AE2259" s="264"/>
      <c r="AF2259" s="264"/>
      <c r="AG2259" s="264"/>
    </row>
    <row r="2260" spans="1:33" ht="26.25">
      <c r="A2260" s="264"/>
      <c r="B2260" s="264"/>
      <c r="C2260" s="264"/>
      <c r="D2260" s="264"/>
      <c r="E2260" s="264"/>
      <c r="F2260" s="264"/>
      <c r="G2260" s="264"/>
      <c r="H2260" s="264"/>
      <c r="I2260" s="264"/>
      <c r="J2260" s="327"/>
      <c r="K2260" s="327"/>
      <c r="L2260" s="327"/>
      <c r="M2260" s="321"/>
      <c r="N2260" s="321"/>
      <c r="P2260" s="376"/>
      <c r="R2260" s="393"/>
      <c r="S2260" s="61" ph="1"/>
      <c r="U2260" s="229"/>
      <c r="V2260" s="264"/>
      <c r="W2260" s="199"/>
      <c r="X2260" s="264"/>
      <c r="Y2260" s="264"/>
      <c r="Z2260" s="386"/>
      <c r="AD2260" s="264"/>
      <c r="AE2260" s="264"/>
      <c r="AF2260" s="264"/>
      <c r="AG2260" s="264"/>
    </row>
    <row r="2261" spans="1:33" ht="26.25">
      <c r="A2261" s="264"/>
      <c r="B2261" s="264"/>
      <c r="C2261" s="264"/>
      <c r="D2261" s="264"/>
      <c r="E2261" s="264"/>
      <c r="F2261" s="264"/>
      <c r="G2261" s="264"/>
      <c r="H2261" s="264"/>
      <c r="I2261" s="264"/>
      <c r="J2261" s="327"/>
      <c r="K2261" s="327"/>
      <c r="L2261" s="327"/>
      <c r="M2261" s="321"/>
      <c r="N2261" s="321"/>
      <c r="P2261" s="376"/>
      <c r="R2261" s="393"/>
      <c r="S2261" s="61" ph="1"/>
      <c r="U2261" s="229"/>
      <c r="V2261" s="264"/>
      <c r="W2261" s="199"/>
      <c r="X2261" s="264"/>
      <c r="Y2261" s="264"/>
      <c r="Z2261" s="386"/>
      <c r="AD2261" s="264"/>
      <c r="AE2261" s="264"/>
      <c r="AF2261" s="264"/>
      <c r="AG2261" s="264"/>
    </row>
    <row r="2262" spans="1:33" ht="26.25">
      <c r="A2262" s="264"/>
      <c r="B2262" s="264"/>
      <c r="C2262" s="264"/>
      <c r="D2262" s="264"/>
      <c r="E2262" s="264"/>
      <c r="F2262" s="264"/>
      <c r="G2262" s="264"/>
      <c r="H2262" s="264"/>
      <c r="I2262" s="264"/>
      <c r="J2262" s="327"/>
      <c r="K2262" s="327"/>
      <c r="L2262" s="327"/>
      <c r="M2262" s="321"/>
      <c r="N2262" s="321"/>
      <c r="P2262" s="376"/>
      <c r="R2262" s="393"/>
      <c r="S2262" s="61" ph="1"/>
      <c r="U2262" s="229"/>
      <c r="V2262" s="264"/>
      <c r="W2262" s="199"/>
      <c r="X2262" s="264"/>
      <c r="Y2262" s="264"/>
      <c r="Z2262" s="386"/>
      <c r="AD2262" s="264"/>
      <c r="AE2262" s="264"/>
      <c r="AF2262" s="264"/>
      <c r="AG2262" s="264"/>
    </row>
    <row r="2263" spans="1:33" ht="26.25">
      <c r="A2263" s="264"/>
      <c r="B2263" s="264"/>
      <c r="C2263" s="264"/>
      <c r="D2263" s="264"/>
      <c r="E2263" s="264"/>
      <c r="F2263" s="264"/>
      <c r="G2263" s="264"/>
      <c r="H2263" s="264"/>
      <c r="I2263" s="264"/>
      <c r="J2263" s="327"/>
      <c r="K2263" s="327"/>
      <c r="L2263" s="327"/>
      <c r="M2263" s="321"/>
      <c r="N2263" s="321"/>
      <c r="P2263" s="376"/>
      <c r="R2263" s="393"/>
      <c r="S2263" s="61" ph="1"/>
      <c r="U2263" s="229"/>
      <c r="V2263" s="264"/>
      <c r="W2263" s="199"/>
      <c r="X2263" s="264"/>
      <c r="Y2263" s="264"/>
      <c r="Z2263" s="386"/>
      <c r="AD2263" s="264"/>
      <c r="AE2263" s="264"/>
      <c r="AF2263" s="264"/>
      <c r="AG2263" s="264"/>
    </row>
    <row r="2264" spans="1:33" ht="26.25">
      <c r="A2264" s="264"/>
      <c r="B2264" s="264"/>
      <c r="C2264" s="264"/>
      <c r="D2264" s="264"/>
      <c r="E2264" s="264"/>
      <c r="F2264" s="264"/>
      <c r="G2264" s="264"/>
      <c r="H2264" s="264"/>
      <c r="I2264" s="264"/>
      <c r="J2264" s="327"/>
      <c r="K2264" s="327"/>
      <c r="L2264" s="327"/>
      <c r="M2264" s="321"/>
      <c r="N2264" s="321"/>
      <c r="P2264" s="376"/>
      <c r="R2264" s="393"/>
      <c r="S2264" s="61" ph="1"/>
      <c r="U2264" s="229"/>
      <c r="V2264" s="264"/>
      <c r="W2264" s="199"/>
      <c r="X2264" s="264"/>
      <c r="Y2264" s="264"/>
      <c r="Z2264" s="386"/>
      <c r="AD2264" s="264"/>
      <c r="AE2264" s="264"/>
      <c r="AF2264" s="264"/>
      <c r="AG2264" s="264"/>
    </row>
    <row r="2265" spans="1:33" ht="26.25">
      <c r="A2265" s="264"/>
      <c r="B2265" s="264"/>
      <c r="C2265" s="264"/>
      <c r="D2265" s="264"/>
      <c r="E2265" s="264"/>
      <c r="F2265" s="264"/>
      <c r="G2265" s="264"/>
      <c r="H2265" s="264"/>
      <c r="I2265" s="264"/>
      <c r="J2265" s="327"/>
      <c r="K2265" s="327"/>
      <c r="L2265" s="327"/>
      <c r="M2265" s="321"/>
      <c r="N2265" s="321"/>
      <c r="P2265" s="376"/>
      <c r="R2265" s="393"/>
      <c r="S2265" s="61" ph="1"/>
      <c r="U2265" s="229"/>
      <c r="V2265" s="264"/>
      <c r="W2265" s="199"/>
      <c r="X2265" s="264"/>
      <c r="Y2265" s="264"/>
      <c r="Z2265" s="386"/>
      <c r="AD2265" s="264"/>
      <c r="AE2265" s="264"/>
      <c r="AF2265" s="264"/>
      <c r="AG2265" s="264"/>
    </row>
    <row r="2266" spans="1:33" ht="26.25">
      <c r="A2266" s="264"/>
      <c r="B2266" s="264"/>
      <c r="C2266" s="264"/>
      <c r="D2266" s="264"/>
      <c r="E2266" s="264"/>
      <c r="F2266" s="264"/>
      <c r="G2266" s="264"/>
      <c r="H2266" s="264"/>
      <c r="I2266" s="264"/>
      <c r="J2266" s="327"/>
      <c r="K2266" s="327"/>
      <c r="L2266" s="327"/>
      <c r="M2266" s="321"/>
      <c r="N2266" s="321"/>
      <c r="P2266" s="376"/>
      <c r="R2266" s="393"/>
      <c r="S2266" s="61" ph="1"/>
      <c r="U2266" s="229"/>
      <c r="V2266" s="264"/>
      <c r="W2266" s="199"/>
      <c r="X2266" s="264"/>
      <c r="Y2266" s="264"/>
      <c r="Z2266" s="386"/>
      <c r="AD2266" s="264"/>
      <c r="AE2266" s="264"/>
      <c r="AF2266" s="264"/>
      <c r="AG2266" s="264"/>
    </row>
    <row r="2267" spans="1:33" ht="26.25">
      <c r="A2267" s="264"/>
      <c r="B2267" s="264"/>
      <c r="C2267" s="264"/>
      <c r="D2267" s="264"/>
      <c r="E2267" s="264"/>
      <c r="F2267" s="264"/>
      <c r="G2267" s="264"/>
      <c r="H2267" s="264"/>
      <c r="I2267" s="264"/>
      <c r="J2267" s="327"/>
      <c r="K2267" s="327"/>
      <c r="L2267" s="327"/>
      <c r="M2267" s="321"/>
      <c r="N2267" s="321"/>
      <c r="P2267" s="376"/>
      <c r="R2267" s="393"/>
      <c r="S2267" s="61" ph="1"/>
      <c r="U2267" s="229"/>
      <c r="V2267" s="264"/>
      <c r="W2267" s="199"/>
      <c r="X2267" s="264"/>
      <c r="Y2267" s="264"/>
      <c r="Z2267" s="386"/>
      <c r="AD2267" s="264"/>
      <c r="AE2267" s="264"/>
      <c r="AF2267" s="264"/>
      <c r="AG2267" s="264"/>
    </row>
    <row r="2268" spans="1:33" ht="26.25">
      <c r="A2268" s="264"/>
      <c r="B2268" s="264"/>
      <c r="C2268" s="264"/>
      <c r="D2268" s="264"/>
      <c r="E2268" s="264"/>
      <c r="F2268" s="264"/>
      <c r="G2268" s="264"/>
      <c r="H2268" s="264"/>
      <c r="I2268" s="264"/>
      <c r="J2268" s="327"/>
      <c r="K2268" s="327"/>
      <c r="L2268" s="327"/>
      <c r="M2268" s="321"/>
      <c r="N2268" s="321"/>
      <c r="P2268" s="376"/>
      <c r="R2268" s="393"/>
      <c r="S2268" s="61" ph="1"/>
      <c r="U2268" s="229"/>
      <c r="V2268" s="264"/>
      <c r="W2268" s="199"/>
      <c r="X2268" s="264"/>
      <c r="Y2268" s="264"/>
      <c r="Z2268" s="386"/>
      <c r="AD2268" s="264"/>
      <c r="AE2268" s="264"/>
      <c r="AF2268" s="264"/>
      <c r="AG2268" s="264"/>
    </row>
    <row r="2269" spans="1:33" ht="26.25">
      <c r="A2269" s="264"/>
      <c r="B2269" s="264"/>
      <c r="C2269" s="264"/>
      <c r="D2269" s="264"/>
      <c r="E2269" s="264"/>
      <c r="F2269" s="264"/>
      <c r="G2269" s="264"/>
      <c r="H2269" s="264"/>
      <c r="I2269" s="264"/>
      <c r="J2269" s="327"/>
      <c r="K2269" s="327"/>
      <c r="L2269" s="327"/>
      <c r="M2269" s="321"/>
      <c r="N2269" s="321"/>
      <c r="P2269" s="376"/>
      <c r="R2269" s="393"/>
      <c r="S2269" s="61" ph="1"/>
      <c r="U2269" s="229"/>
      <c r="V2269" s="264"/>
      <c r="W2269" s="199"/>
      <c r="X2269" s="264"/>
      <c r="Y2269" s="264"/>
      <c r="Z2269" s="386"/>
      <c r="AD2269" s="264"/>
      <c r="AE2269" s="264"/>
      <c r="AF2269" s="264"/>
      <c r="AG2269" s="264"/>
    </row>
    <row r="2270" spans="1:33" ht="26.25">
      <c r="A2270" s="264"/>
      <c r="B2270" s="264"/>
      <c r="C2270" s="264"/>
      <c r="D2270" s="264"/>
      <c r="E2270" s="264"/>
      <c r="F2270" s="264"/>
      <c r="G2270" s="264"/>
      <c r="H2270" s="264"/>
      <c r="I2270" s="264"/>
      <c r="J2270" s="327"/>
      <c r="K2270" s="327"/>
      <c r="L2270" s="327"/>
      <c r="M2270" s="321"/>
      <c r="N2270" s="321"/>
      <c r="P2270" s="376"/>
      <c r="R2270" s="393"/>
      <c r="S2270" s="61" ph="1"/>
      <c r="U2270" s="229"/>
      <c r="V2270" s="264"/>
      <c r="W2270" s="199"/>
      <c r="X2270" s="264"/>
      <c r="Y2270" s="264"/>
      <c r="Z2270" s="386"/>
      <c r="AD2270" s="264"/>
      <c r="AE2270" s="264"/>
      <c r="AF2270" s="264"/>
      <c r="AG2270" s="264"/>
    </row>
    <row r="2271" spans="1:33" ht="26.25">
      <c r="A2271" s="264"/>
      <c r="B2271" s="264"/>
      <c r="C2271" s="264"/>
      <c r="D2271" s="264"/>
      <c r="E2271" s="264"/>
      <c r="F2271" s="264"/>
      <c r="G2271" s="264"/>
      <c r="H2271" s="264"/>
      <c r="I2271" s="264"/>
      <c r="J2271" s="327"/>
      <c r="K2271" s="327"/>
      <c r="L2271" s="327"/>
      <c r="M2271" s="321"/>
      <c r="N2271" s="321"/>
      <c r="P2271" s="376"/>
      <c r="R2271" s="393"/>
      <c r="S2271" s="61" ph="1"/>
      <c r="U2271" s="229"/>
      <c r="V2271" s="264"/>
      <c r="W2271" s="199"/>
      <c r="X2271" s="264"/>
      <c r="Y2271" s="264"/>
      <c r="Z2271" s="386"/>
      <c r="AD2271" s="264"/>
      <c r="AE2271" s="264"/>
      <c r="AF2271" s="264"/>
      <c r="AG2271" s="264"/>
    </row>
    <row r="2272" spans="1:33" ht="26.25">
      <c r="A2272" s="264"/>
      <c r="B2272" s="264"/>
      <c r="C2272" s="264"/>
      <c r="D2272" s="264"/>
      <c r="E2272" s="264"/>
      <c r="F2272" s="264"/>
      <c r="G2272" s="264"/>
      <c r="H2272" s="264"/>
      <c r="I2272" s="264"/>
      <c r="J2272" s="327"/>
      <c r="K2272" s="327"/>
      <c r="L2272" s="327"/>
      <c r="M2272" s="321"/>
      <c r="N2272" s="321"/>
      <c r="P2272" s="376"/>
      <c r="R2272" s="393"/>
      <c r="S2272" s="61" ph="1"/>
      <c r="U2272" s="229"/>
      <c r="V2272" s="264"/>
      <c r="W2272" s="199"/>
      <c r="X2272" s="264"/>
      <c r="Y2272" s="264"/>
      <c r="Z2272" s="386"/>
      <c r="AD2272" s="264"/>
      <c r="AE2272" s="264"/>
      <c r="AF2272" s="264"/>
      <c r="AG2272" s="264"/>
    </row>
    <row r="2273" spans="1:33" ht="26.25">
      <c r="A2273" s="264"/>
      <c r="B2273" s="264"/>
      <c r="C2273" s="264"/>
      <c r="D2273" s="264"/>
      <c r="E2273" s="264"/>
      <c r="F2273" s="264"/>
      <c r="G2273" s="264"/>
      <c r="H2273" s="264"/>
      <c r="I2273" s="264"/>
      <c r="J2273" s="327"/>
      <c r="K2273" s="327"/>
      <c r="L2273" s="327"/>
      <c r="M2273" s="321"/>
      <c r="N2273" s="321"/>
      <c r="P2273" s="376"/>
      <c r="R2273" s="393"/>
      <c r="S2273" s="61" ph="1"/>
      <c r="U2273" s="229"/>
      <c r="V2273" s="264"/>
      <c r="W2273" s="199"/>
      <c r="X2273" s="264"/>
      <c r="Y2273" s="264"/>
      <c r="Z2273" s="386"/>
      <c r="AD2273" s="264"/>
      <c r="AE2273" s="264"/>
      <c r="AF2273" s="264"/>
      <c r="AG2273" s="264"/>
    </row>
    <row r="2274" spans="1:33" ht="26.25">
      <c r="A2274" s="264"/>
      <c r="B2274" s="264"/>
      <c r="C2274" s="264"/>
      <c r="D2274" s="264"/>
      <c r="E2274" s="264"/>
      <c r="F2274" s="264"/>
      <c r="G2274" s="264"/>
      <c r="H2274" s="264"/>
      <c r="I2274" s="264"/>
      <c r="J2274" s="327"/>
      <c r="K2274" s="327"/>
      <c r="L2274" s="327"/>
      <c r="M2274" s="321"/>
      <c r="N2274" s="321"/>
      <c r="P2274" s="376"/>
      <c r="R2274" s="393"/>
      <c r="S2274" s="61" ph="1"/>
      <c r="U2274" s="229"/>
      <c r="V2274" s="264"/>
      <c r="W2274" s="199"/>
      <c r="X2274" s="264"/>
      <c r="Y2274" s="264"/>
      <c r="Z2274" s="386"/>
      <c r="AD2274" s="264"/>
      <c r="AE2274" s="264"/>
      <c r="AF2274" s="264"/>
      <c r="AG2274" s="264"/>
    </row>
    <row r="2275" spans="1:33" ht="26.25">
      <c r="A2275" s="264"/>
      <c r="B2275" s="264"/>
      <c r="C2275" s="264"/>
      <c r="D2275" s="264"/>
      <c r="E2275" s="264"/>
      <c r="F2275" s="264"/>
      <c r="G2275" s="264"/>
      <c r="H2275" s="264"/>
      <c r="I2275" s="264"/>
      <c r="J2275" s="327"/>
      <c r="K2275" s="327"/>
      <c r="L2275" s="327"/>
      <c r="M2275" s="321"/>
      <c r="N2275" s="321"/>
      <c r="P2275" s="376"/>
      <c r="R2275" s="393"/>
      <c r="S2275" s="61" ph="1"/>
      <c r="U2275" s="229"/>
      <c r="V2275" s="264"/>
      <c r="W2275" s="199"/>
      <c r="X2275" s="264"/>
      <c r="Y2275" s="264"/>
      <c r="Z2275" s="386"/>
      <c r="AD2275" s="264"/>
      <c r="AE2275" s="264"/>
      <c r="AF2275" s="264"/>
      <c r="AG2275" s="264"/>
    </row>
    <row r="2276" spans="1:33" ht="26.25">
      <c r="A2276" s="264"/>
      <c r="B2276" s="264"/>
      <c r="C2276" s="264"/>
      <c r="D2276" s="264"/>
      <c r="E2276" s="264"/>
      <c r="F2276" s="264"/>
      <c r="G2276" s="264"/>
      <c r="H2276" s="264"/>
      <c r="I2276" s="264"/>
      <c r="J2276" s="327"/>
      <c r="K2276" s="327"/>
      <c r="L2276" s="327"/>
      <c r="M2276" s="321"/>
      <c r="N2276" s="321"/>
      <c r="P2276" s="376"/>
      <c r="R2276" s="393"/>
      <c r="S2276" s="61" ph="1"/>
      <c r="U2276" s="229"/>
      <c r="V2276" s="264"/>
      <c r="W2276" s="199"/>
      <c r="X2276" s="264"/>
      <c r="Y2276" s="264"/>
      <c r="Z2276" s="386"/>
      <c r="AD2276" s="264"/>
      <c r="AE2276" s="264"/>
      <c r="AF2276" s="264"/>
      <c r="AG2276" s="264"/>
    </row>
    <row r="2277" spans="1:33" ht="26.25">
      <c r="A2277" s="264"/>
      <c r="B2277" s="264"/>
      <c r="C2277" s="264"/>
      <c r="D2277" s="264"/>
      <c r="E2277" s="264"/>
      <c r="F2277" s="264"/>
      <c r="G2277" s="264"/>
      <c r="H2277" s="264"/>
      <c r="I2277" s="264"/>
      <c r="J2277" s="327"/>
      <c r="K2277" s="327"/>
      <c r="L2277" s="327"/>
      <c r="M2277" s="321"/>
      <c r="N2277" s="321"/>
      <c r="P2277" s="376"/>
      <c r="R2277" s="393"/>
      <c r="S2277" s="61" ph="1"/>
      <c r="U2277" s="229"/>
      <c r="V2277" s="264"/>
      <c r="W2277" s="199"/>
      <c r="X2277" s="264"/>
      <c r="Y2277" s="264"/>
      <c r="Z2277" s="386"/>
      <c r="AD2277" s="264"/>
      <c r="AE2277" s="264"/>
      <c r="AF2277" s="264"/>
      <c r="AG2277" s="264"/>
    </row>
    <row r="2278" spans="1:33" ht="26.25">
      <c r="A2278" s="264"/>
      <c r="B2278" s="264"/>
      <c r="C2278" s="264"/>
      <c r="D2278" s="264"/>
      <c r="E2278" s="264"/>
      <c r="F2278" s="264"/>
      <c r="G2278" s="264"/>
      <c r="H2278" s="264"/>
      <c r="I2278" s="264"/>
      <c r="J2278" s="327"/>
      <c r="K2278" s="327"/>
      <c r="L2278" s="327"/>
      <c r="M2278" s="321"/>
      <c r="N2278" s="321"/>
      <c r="P2278" s="376"/>
      <c r="R2278" s="393"/>
      <c r="S2278" s="61" ph="1"/>
      <c r="U2278" s="229"/>
      <c r="V2278" s="264"/>
      <c r="W2278" s="199"/>
      <c r="X2278" s="264"/>
      <c r="Y2278" s="264"/>
      <c r="Z2278" s="386"/>
      <c r="AD2278" s="264"/>
      <c r="AE2278" s="264"/>
      <c r="AF2278" s="264"/>
      <c r="AG2278" s="264"/>
    </row>
    <row r="2279" spans="1:33" ht="26.25">
      <c r="A2279" s="264"/>
      <c r="B2279" s="264"/>
      <c r="C2279" s="264"/>
      <c r="D2279" s="264"/>
      <c r="E2279" s="264"/>
      <c r="F2279" s="264"/>
      <c r="G2279" s="264"/>
      <c r="H2279" s="264"/>
      <c r="I2279" s="264"/>
      <c r="J2279" s="327"/>
      <c r="K2279" s="327"/>
      <c r="L2279" s="327"/>
      <c r="M2279" s="321"/>
      <c r="N2279" s="321"/>
      <c r="P2279" s="376"/>
      <c r="R2279" s="393"/>
      <c r="S2279" s="61" ph="1"/>
      <c r="U2279" s="229"/>
      <c r="V2279" s="264"/>
      <c r="W2279" s="199"/>
      <c r="X2279" s="264"/>
      <c r="Y2279" s="264"/>
      <c r="Z2279" s="386"/>
      <c r="AD2279" s="264"/>
      <c r="AE2279" s="264"/>
      <c r="AF2279" s="264"/>
      <c r="AG2279" s="264"/>
    </row>
    <row r="2280" spans="1:33" ht="26.25">
      <c r="A2280" s="264"/>
      <c r="B2280" s="264"/>
      <c r="C2280" s="264"/>
      <c r="D2280" s="264"/>
      <c r="E2280" s="264"/>
      <c r="F2280" s="264"/>
      <c r="G2280" s="264"/>
      <c r="H2280" s="264"/>
      <c r="I2280" s="264"/>
      <c r="J2280" s="327"/>
      <c r="K2280" s="327"/>
      <c r="L2280" s="327"/>
      <c r="M2280" s="321"/>
      <c r="N2280" s="321"/>
      <c r="P2280" s="376"/>
      <c r="R2280" s="393"/>
      <c r="S2280" s="61" ph="1"/>
      <c r="U2280" s="229"/>
      <c r="V2280" s="264"/>
      <c r="W2280" s="199"/>
      <c r="X2280" s="264"/>
      <c r="Y2280" s="264"/>
      <c r="Z2280" s="386"/>
      <c r="AD2280" s="264"/>
      <c r="AE2280" s="264"/>
      <c r="AF2280" s="264"/>
      <c r="AG2280" s="264"/>
    </row>
    <row r="2281" spans="1:33" ht="26.25">
      <c r="A2281" s="264"/>
      <c r="B2281" s="264"/>
      <c r="C2281" s="264"/>
      <c r="D2281" s="264"/>
      <c r="E2281" s="264"/>
      <c r="F2281" s="264"/>
      <c r="G2281" s="264"/>
      <c r="H2281" s="264"/>
      <c r="I2281" s="264"/>
      <c r="J2281" s="327"/>
      <c r="K2281" s="327"/>
      <c r="L2281" s="327"/>
      <c r="M2281" s="321"/>
      <c r="N2281" s="321"/>
      <c r="P2281" s="376"/>
      <c r="R2281" s="393"/>
      <c r="S2281" s="61" ph="1"/>
      <c r="U2281" s="229"/>
      <c r="V2281" s="264"/>
      <c r="W2281" s="199"/>
      <c r="X2281" s="264"/>
      <c r="Y2281" s="264"/>
      <c r="Z2281" s="386"/>
      <c r="AD2281" s="264"/>
      <c r="AE2281" s="264"/>
      <c r="AF2281" s="264"/>
      <c r="AG2281" s="264"/>
    </row>
    <row r="2282" spans="1:33" ht="26.25">
      <c r="A2282" s="264"/>
      <c r="B2282" s="264"/>
      <c r="C2282" s="264"/>
      <c r="D2282" s="264"/>
      <c r="E2282" s="264"/>
      <c r="F2282" s="264"/>
      <c r="G2282" s="264"/>
      <c r="H2282" s="264"/>
      <c r="I2282" s="264"/>
      <c r="J2282" s="327"/>
      <c r="K2282" s="327"/>
      <c r="L2282" s="327"/>
      <c r="M2282" s="321"/>
      <c r="N2282" s="321"/>
      <c r="P2282" s="376"/>
      <c r="R2282" s="393"/>
      <c r="S2282" s="61" ph="1"/>
      <c r="U2282" s="229"/>
      <c r="V2282" s="264"/>
      <c r="W2282" s="199"/>
      <c r="X2282" s="264"/>
      <c r="Y2282" s="264"/>
      <c r="Z2282" s="386"/>
      <c r="AD2282" s="264"/>
      <c r="AE2282" s="264"/>
      <c r="AF2282" s="264"/>
      <c r="AG2282" s="264"/>
    </row>
    <row r="2283" spans="1:33" ht="26.25">
      <c r="A2283" s="264"/>
      <c r="B2283" s="264"/>
      <c r="C2283" s="264"/>
      <c r="D2283" s="264"/>
      <c r="E2283" s="264"/>
      <c r="F2283" s="264"/>
      <c r="G2283" s="264"/>
      <c r="H2283" s="264"/>
      <c r="I2283" s="264"/>
      <c r="J2283" s="327"/>
      <c r="K2283" s="327"/>
      <c r="L2283" s="327"/>
      <c r="M2283" s="321"/>
      <c r="N2283" s="321"/>
      <c r="P2283" s="376"/>
      <c r="R2283" s="393"/>
      <c r="S2283" s="61" ph="1"/>
      <c r="U2283" s="229"/>
      <c r="V2283" s="264"/>
      <c r="W2283" s="199"/>
      <c r="X2283" s="264"/>
      <c r="Y2283" s="264"/>
      <c r="Z2283" s="386"/>
      <c r="AD2283" s="264"/>
      <c r="AE2283" s="264"/>
      <c r="AF2283" s="264"/>
      <c r="AG2283" s="264"/>
    </row>
    <row r="2284" spans="1:33" ht="26.25">
      <c r="A2284" s="264"/>
      <c r="B2284" s="264"/>
      <c r="C2284" s="264"/>
      <c r="D2284" s="264"/>
      <c r="E2284" s="264"/>
      <c r="F2284" s="264"/>
      <c r="G2284" s="264"/>
      <c r="H2284" s="264"/>
      <c r="I2284" s="264"/>
      <c r="J2284" s="327"/>
      <c r="K2284" s="327"/>
      <c r="L2284" s="327"/>
      <c r="M2284" s="321"/>
      <c r="N2284" s="321"/>
      <c r="P2284" s="376"/>
      <c r="R2284" s="393"/>
      <c r="S2284" s="61" ph="1"/>
      <c r="U2284" s="229"/>
      <c r="V2284" s="264"/>
      <c r="W2284" s="199"/>
      <c r="X2284" s="264"/>
      <c r="Y2284" s="264"/>
      <c r="Z2284" s="386"/>
      <c r="AD2284" s="264"/>
      <c r="AE2284" s="264"/>
      <c r="AF2284" s="264"/>
      <c r="AG2284" s="264"/>
    </row>
    <row r="2285" spans="1:33" ht="26.25">
      <c r="A2285" s="264"/>
      <c r="B2285" s="264"/>
      <c r="C2285" s="264"/>
      <c r="D2285" s="264"/>
      <c r="E2285" s="264"/>
      <c r="F2285" s="264"/>
      <c r="G2285" s="264"/>
      <c r="H2285" s="264"/>
      <c r="I2285" s="264"/>
      <c r="J2285" s="327"/>
      <c r="K2285" s="327"/>
      <c r="L2285" s="327"/>
      <c r="M2285" s="321"/>
      <c r="N2285" s="321"/>
      <c r="P2285" s="376"/>
      <c r="R2285" s="393"/>
      <c r="S2285" s="61" ph="1"/>
      <c r="U2285" s="229"/>
      <c r="V2285" s="264"/>
      <c r="W2285" s="199"/>
      <c r="X2285" s="264"/>
      <c r="Y2285" s="264"/>
      <c r="Z2285" s="386"/>
      <c r="AD2285" s="264"/>
      <c r="AE2285" s="264"/>
      <c r="AF2285" s="264"/>
      <c r="AG2285" s="264"/>
    </row>
    <row r="2286" spans="1:33" ht="26.25">
      <c r="A2286" s="264"/>
      <c r="B2286" s="264"/>
      <c r="C2286" s="264"/>
      <c r="D2286" s="264"/>
      <c r="E2286" s="264"/>
      <c r="F2286" s="264"/>
      <c r="G2286" s="264"/>
      <c r="H2286" s="264"/>
      <c r="I2286" s="264"/>
      <c r="J2286" s="327"/>
      <c r="K2286" s="327"/>
      <c r="L2286" s="327"/>
      <c r="M2286" s="321"/>
      <c r="N2286" s="321"/>
      <c r="P2286" s="376"/>
      <c r="R2286" s="393"/>
      <c r="S2286" s="61" ph="1"/>
      <c r="U2286" s="229"/>
      <c r="V2286" s="264"/>
      <c r="W2286" s="199"/>
      <c r="X2286" s="264"/>
      <c r="Y2286" s="264"/>
      <c r="Z2286" s="386"/>
      <c r="AD2286" s="264"/>
      <c r="AE2286" s="264"/>
      <c r="AF2286" s="264"/>
      <c r="AG2286" s="264"/>
    </row>
    <row r="2287" spans="1:33" ht="26.25">
      <c r="A2287" s="264"/>
      <c r="B2287" s="264"/>
      <c r="C2287" s="264"/>
      <c r="D2287" s="264"/>
      <c r="E2287" s="264"/>
      <c r="F2287" s="264"/>
      <c r="G2287" s="264"/>
      <c r="H2287" s="264"/>
      <c r="I2287" s="264"/>
      <c r="J2287" s="327"/>
      <c r="K2287" s="327"/>
      <c r="L2287" s="327"/>
      <c r="M2287" s="321"/>
      <c r="N2287" s="321"/>
      <c r="P2287" s="376"/>
      <c r="R2287" s="393"/>
      <c r="S2287" s="61" ph="1"/>
      <c r="U2287" s="229"/>
      <c r="V2287" s="264"/>
      <c r="W2287" s="199"/>
      <c r="X2287" s="264"/>
      <c r="Y2287" s="264"/>
      <c r="Z2287" s="386"/>
      <c r="AD2287" s="264"/>
      <c r="AE2287" s="264"/>
      <c r="AF2287" s="264"/>
      <c r="AG2287" s="264"/>
    </row>
    <row r="2288" spans="1:33" ht="26.25">
      <c r="A2288" s="264"/>
      <c r="B2288" s="264"/>
      <c r="C2288" s="264"/>
      <c r="D2288" s="264"/>
      <c r="E2288" s="264"/>
      <c r="F2288" s="264"/>
      <c r="G2288" s="264"/>
      <c r="H2288" s="264"/>
      <c r="I2288" s="264"/>
      <c r="J2288" s="327"/>
      <c r="K2288" s="327"/>
      <c r="L2288" s="327"/>
      <c r="M2288" s="321"/>
      <c r="N2288" s="321"/>
      <c r="P2288" s="376"/>
      <c r="R2288" s="393"/>
      <c r="S2288" s="61" ph="1"/>
      <c r="U2288" s="229"/>
      <c r="V2288" s="264"/>
      <c r="W2288" s="199"/>
      <c r="X2288" s="264"/>
      <c r="Y2288" s="264"/>
      <c r="Z2288" s="386"/>
      <c r="AD2288" s="264"/>
      <c r="AE2288" s="264"/>
      <c r="AF2288" s="264"/>
      <c r="AG2288" s="264"/>
    </row>
    <row r="2289" spans="1:33" ht="26.25">
      <c r="A2289" s="264"/>
      <c r="B2289" s="264"/>
      <c r="C2289" s="264"/>
      <c r="D2289" s="264"/>
      <c r="E2289" s="264"/>
      <c r="F2289" s="264"/>
      <c r="G2289" s="264"/>
      <c r="H2289" s="264"/>
      <c r="I2289" s="264"/>
      <c r="J2289" s="327"/>
      <c r="K2289" s="327"/>
      <c r="L2289" s="327"/>
      <c r="M2289" s="321"/>
      <c r="N2289" s="321"/>
      <c r="P2289" s="376"/>
      <c r="R2289" s="393"/>
      <c r="S2289" s="61" ph="1"/>
      <c r="U2289" s="229"/>
      <c r="V2289" s="264"/>
      <c r="W2289" s="199"/>
      <c r="X2289" s="264"/>
      <c r="Y2289" s="264"/>
      <c r="Z2289" s="386"/>
      <c r="AD2289" s="264"/>
      <c r="AE2289" s="264"/>
      <c r="AF2289" s="264"/>
      <c r="AG2289" s="264"/>
    </row>
    <row r="2290" spans="1:33" ht="26.25">
      <c r="A2290" s="264"/>
      <c r="B2290" s="264"/>
      <c r="C2290" s="264"/>
      <c r="D2290" s="264"/>
      <c r="E2290" s="264"/>
      <c r="F2290" s="264"/>
      <c r="G2290" s="264"/>
      <c r="H2290" s="264"/>
      <c r="I2290" s="264"/>
      <c r="J2290" s="327"/>
      <c r="K2290" s="327"/>
      <c r="L2290" s="327"/>
      <c r="M2290" s="321"/>
      <c r="N2290" s="321"/>
      <c r="P2290" s="376"/>
      <c r="R2290" s="393"/>
      <c r="S2290" s="61" ph="1"/>
      <c r="U2290" s="229"/>
      <c r="V2290" s="264"/>
      <c r="W2290" s="199"/>
      <c r="X2290" s="264"/>
      <c r="Y2290" s="264"/>
      <c r="Z2290" s="386"/>
      <c r="AD2290" s="264"/>
      <c r="AE2290" s="264"/>
      <c r="AF2290" s="264"/>
      <c r="AG2290" s="264"/>
    </row>
    <row r="2291" spans="1:33" ht="26.25">
      <c r="A2291" s="264"/>
      <c r="B2291" s="264"/>
      <c r="C2291" s="264"/>
      <c r="D2291" s="264"/>
      <c r="E2291" s="264"/>
      <c r="F2291" s="264"/>
      <c r="G2291" s="264"/>
      <c r="H2291" s="264"/>
      <c r="I2291" s="264"/>
      <c r="J2291" s="327"/>
      <c r="K2291" s="327"/>
      <c r="L2291" s="327"/>
      <c r="M2291" s="321"/>
      <c r="N2291" s="321"/>
      <c r="P2291" s="376"/>
      <c r="R2291" s="393"/>
      <c r="S2291" s="61" ph="1"/>
      <c r="U2291" s="229"/>
      <c r="V2291" s="264"/>
      <c r="W2291" s="199"/>
      <c r="X2291" s="264"/>
      <c r="Y2291" s="264"/>
      <c r="Z2291" s="386"/>
      <c r="AD2291" s="264"/>
      <c r="AE2291" s="264"/>
      <c r="AF2291" s="264"/>
      <c r="AG2291" s="264"/>
    </row>
    <row r="2292" spans="1:33" ht="26.25">
      <c r="A2292" s="264"/>
      <c r="B2292" s="264"/>
      <c r="C2292" s="264"/>
      <c r="D2292" s="264"/>
      <c r="E2292" s="264"/>
      <c r="F2292" s="264"/>
      <c r="G2292" s="264"/>
      <c r="H2292" s="264"/>
      <c r="I2292" s="264"/>
      <c r="J2292" s="327"/>
      <c r="K2292" s="327"/>
      <c r="L2292" s="327"/>
      <c r="M2292" s="321"/>
      <c r="N2292" s="321"/>
      <c r="P2292" s="376"/>
      <c r="R2292" s="393"/>
      <c r="S2292" s="61" ph="1"/>
      <c r="U2292" s="229"/>
      <c r="V2292" s="264"/>
      <c r="W2292" s="199"/>
      <c r="X2292" s="264"/>
      <c r="Y2292" s="264"/>
      <c r="Z2292" s="386"/>
      <c r="AD2292" s="264"/>
      <c r="AE2292" s="264"/>
      <c r="AF2292" s="264"/>
      <c r="AG2292" s="264"/>
    </row>
    <row r="2293" spans="1:33" ht="26.25">
      <c r="A2293" s="264"/>
      <c r="B2293" s="264"/>
      <c r="C2293" s="264"/>
      <c r="D2293" s="264"/>
      <c r="E2293" s="264"/>
      <c r="F2293" s="264"/>
      <c r="G2293" s="264"/>
      <c r="H2293" s="264"/>
      <c r="I2293" s="264"/>
      <c r="J2293" s="327"/>
      <c r="K2293" s="327"/>
      <c r="L2293" s="327"/>
      <c r="M2293" s="321"/>
      <c r="N2293" s="321"/>
      <c r="P2293" s="376"/>
      <c r="R2293" s="393"/>
      <c r="S2293" s="61" ph="1"/>
      <c r="U2293" s="229"/>
      <c r="V2293" s="264"/>
      <c r="W2293" s="199"/>
      <c r="X2293" s="264"/>
      <c r="Y2293" s="264"/>
      <c r="Z2293" s="386"/>
      <c r="AD2293" s="264"/>
      <c r="AE2293" s="264"/>
      <c r="AF2293" s="264"/>
      <c r="AG2293" s="264"/>
    </row>
    <row r="2294" spans="1:33" ht="26.25">
      <c r="A2294" s="264"/>
      <c r="B2294" s="264"/>
      <c r="C2294" s="264"/>
      <c r="D2294" s="264"/>
      <c r="E2294" s="264"/>
      <c r="F2294" s="264"/>
      <c r="G2294" s="264"/>
      <c r="H2294" s="264"/>
      <c r="I2294" s="264"/>
      <c r="J2294" s="327"/>
      <c r="K2294" s="327"/>
      <c r="L2294" s="327"/>
      <c r="M2294" s="321"/>
      <c r="N2294" s="321"/>
      <c r="P2294" s="376"/>
      <c r="R2294" s="393"/>
      <c r="S2294" s="61" ph="1"/>
      <c r="U2294" s="229"/>
      <c r="V2294" s="264"/>
      <c r="W2294" s="199"/>
      <c r="X2294" s="264"/>
      <c r="Y2294" s="264"/>
      <c r="Z2294" s="386"/>
      <c r="AD2294" s="264"/>
      <c r="AE2294" s="264"/>
      <c r="AF2294" s="264"/>
      <c r="AG2294" s="264"/>
    </row>
    <row r="2295" spans="1:33" ht="26.25">
      <c r="A2295" s="264"/>
      <c r="B2295" s="264"/>
      <c r="C2295" s="264"/>
      <c r="D2295" s="264"/>
      <c r="E2295" s="264"/>
      <c r="F2295" s="264"/>
      <c r="G2295" s="264"/>
      <c r="H2295" s="264"/>
      <c r="I2295" s="264"/>
      <c r="J2295" s="327"/>
      <c r="K2295" s="327"/>
      <c r="L2295" s="327"/>
      <c r="M2295" s="321"/>
      <c r="N2295" s="321"/>
      <c r="P2295" s="376"/>
      <c r="R2295" s="393"/>
      <c r="S2295" s="61" ph="1"/>
      <c r="U2295" s="229"/>
      <c r="V2295" s="264"/>
      <c r="W2295" s="199"/>
      <c r="X2295" s="264"/>
      <c r="Y2295" s="264"/>
      <c r="Z2295" s="386"/>
      <c r="AD2295" s="264"/>
      <c r="AE2295" s="264"/>
      <c r="AF2295" s="264"/>
      <c r="AG2295" s="264"/>
    </row>
    <row r="2296" spans="1:33" ht="26.25">
      <c r="A2296" s="264"/>
      <c r="B2296" s="264"/>
      <c r="C2296" s="264"/>
      <c r="D2296" s="264"/>
      <c r="E2296" s="264"/>
      <c r="F2296" s="264"/>
      <c r="G2296" s="264"/>
      <c r="H2296" s="264"/>
      <c r="I2296" s="264"/>
      <c r="J2296" s="327"/>
      <c r="K2296" s="327"/>
      <c r="L2296" s="327"/>
      <c r="M2296" s="321"/>
      <c r="N2296" s="321"/>
      <c r="P2296" s="376"/>
      <c r="R2296" s="393"/>
      <c r="S2296" s="61" ph="1"/>
      <c r="U2296" s="229"/>
      <c r="V2296" s="264"/>
      <c r="W2296" s="199"/>
      <c r="X2296" s="264"/>
      <c r="Y2296" s="264"/>
      <c r="Z2296" s="386"/>
      <c r="AD2296" s="264"/>
      <c r="AE2296" s="264"/>
      <c r="AF2296" s="264"/>
      <c r="AG2296" s="264"/>
    </row>
    <row r="2297" spans="1:33" ht="26.25">
      <c r="A2297" s="264"/>
      <c r="B2297" s="264"/>
      <c r="C2297" s="264"/>
      <c r="D2297" s="264"/>
      <c r="E2297" s="264"/>
      <c r="F2297" s="264"/>
      <c r="G2297" s="264"/>
      <c r="H2297" s="264"/>
      <c r="I2297" s="264"/>
      <c r="J2297" s="327"/>
      <c r="K2297" s="327"/>
      <c r="L2297" s="327"/>
      <c r="M2297" s="321"/>
      <c r="N2297" s="321"/>
      <c r="P2297" s="376"/>
      <c r="R2297" s="393"/>
      <c r="S2297" s="61" ph="1"/>
      <c r="U2297" s="229"/>
      <c r="V2297" s="264"/>
      <c r="W2297" s="199"/>
      <c r="X2297" s="264"/>
      <c r="Y2297" s="264"/>
      <c r="Z2297" s="386"/>
      <c r="AD2297" s="264"/>
      <c r="AE2297" s="264"/>
      <c r="AF2297" s="264"/>
      <c r="AG2297" s="264"/>
    </row>
    <row r="2298" spans="1:33" ht="26.25">
      <c r="A2298" s="264"/>
      <c r="B2298" s="264"/>
      <c r="C2298" s="264"/>
      <c r="D2298" s="264"/>
      <c r="E2298" s="264"/>
      <c r="F2298" s="264"/>
      <c r="G2298" s="264"/>
      <c r="H2298" s="264"/>
      <c r="I2298" s="264"/>
      <c r="J2298" s="327"/>
      <c r="K2298" s="327"/>
      <c r="L2298" s="327"/>
      <c r="M2298" s="321"/>
      <c r="N2298" s="321"/>
      <c r="P2298" s="376"/>
      <c r="R2298" s="393"/>
      <c r="S2298" s="61" ph="1"/>
      <c r="U2298" s="229"/>
      <c r="V2298" s="264"/>
      <c r="W2298" s="199"/>
      <c r="X2298" s="264"/>
      <c r="Y2298" s="264"/>
      <c r="Z2298" s="386"/>
      <c r="AD2298" s="264"/>
      <c r="AE2298" s="264"/>
      <c r="AF2298" s="264"/>
      <c r="AG2298" s="264"/>
    </row>
    <row r="2299" spans="1:33" ht="26.25">
      <c r="A2299" s="264"/>
      <c r="B2299" s="264"/>
      <c r="C2299" s="264"/>
      <c r="D2299" s="264"/>
      <c r="E2299" s="264"/>
      <c r="F2299" s="264"/>
      <c r="G2299" s="264"/>
      <c r="H2299" s="264"/>
      <c r="I2299" s="264"/>
      <c r="J2299" s="327"/>
      <c r="K2299" s="327"/>
      <c r="L2299" s="327"/>
      <c r="M2299" s="321"/>
      <c r="N2299" s="321"/>
      <c r="P2299" s="376"/>
      <c r="R2299" s="393"/>
      <c r="S2299" s="61" ph="1"/>
      <c r="U2299" s="229"/>
      <c r="V2299" s="264"/>
      <c r="W2299" s="199"/>
      <c r="X2299" s="264"/>
      <c r="Y2299" s="264"/>
      <c r="Z2299" s="386"/>
      <c r="AD2299" s="264"/>
      <c r="AE2299" s="264"/>
      <c r="AF2299" s="264"/>
      <c r="AG2299" s="264"/>
    </row>
    <row r="2300" spans="1:33" ht="26.25">
      <c r="A2300" s="264"/>
      <c r="B2300" s="264"/>
      <c r="C2300" s="264"/>
      <c r="D2300" s="264"/>
      <c r="E2300" s="264"/>
      <c r="F2300" s="264"/>
      <c r="G2300" s="264"/>
      <c r="H2300" s="264"/>
      <c r="I2300" s="264"/>
      <c r="J2300" s="327"/>
      <c r="K2300" s="327"/>
      <c r="L2300" s="327"/>
      <c r="M2300" s="321"/>
      <c r="N2300" s="321"/>
      <c r="P2300" s="376"/>
      <c r="R2300" s="393"/>
      <c r="S2300" s="61" ph="1"/>
      <c r="U2300" s="229"/>
      <c r="V2300" s="264"/>
      <c r="W2300" s="199"/>
      <c r="X2300" s="264"/>
      <c r="Y2300" s="264"/>
      <c r="Z2300" s="386"/>
      <c r="AD2300" s="264"/>
      <c r="AE2300" s="264"/>
      <c r="AF2300" s="264"/>
      <c r="AG2300" s="264"/>
    </row>
    <row r="2301" spans="1:33" ht="26.25">
      <c r="A2301" s="264"/>
      <c r="B2301" s="264"/>
      <c r="C2301" s="264"/>
      <c r="D2301" s="264"/>
      <c r="E2301" s="264"/>
      <c r="F2301" s="264"/>
      <c r="G2301" s="264"/>
      <c r="H2301" s="264"/>
      <c r="I2301" s="264"/>
      <c r="J2301" s="327"/>
      <c r="K2301" s="327"/>
      <c r="L2301" s="327"/>
      <c r="M2301" s="321"/>
      <c r="N2301" s="321"/>
      <c r="P2301" s="376"/>
      <c r="R2301" s="393"/>
      <c r="S2301" s="61" ph="1"/>
      <c r="U2301" s="229"/>
      <c r="V2301" s="264"/>
      <c r="W2301" s="199"/>
      <c r="X2301" s="264"/>
      <c r="Y2301" s="264"/>
      <c r="Z2301" s="386"/>
      <c r="AD2301" s="264"/>
      <c r="AE2301" s="264"/>
      <c r="AF2301" s="264"/>
      <c r="AG2301" s="264"/>
    </row>
    <row r="2302" spans="1:33" ht="26.25">
      <c r="A2302" s="264"/>
      <c r="B2302" s="264"/>
      <c r="C2302" s="264"/>
      <c r="D2302" s="264"/>
      <c r="E2302" s="264"/>
      <c r="F2302" s="264"/>
      <c r="G2302" s="264"/>
      <c r="H2302" s="264"/>
      <c r="I2302" s="264"/>
      <c r="J2302" s="327"/>
      <c r="K2302" s="327"/>
      <c r="L2302" s="327"/>
      <c r="M2302" s="321"/>
      <c r="N2302" s="321"/>
      <c r="P2302" s="376"/>
      <c r="R2302" s="393"/>
      <c r="S2302" s="61" ph="1"/>
      <c r="U2302" s="229"/>
      <c r="V2302" s="264"/>
      <c r="W2302" s="199"/>
      <c r="X2302" s="264"/>
      <c r="Y2302" s="264"/>
      <c r="Z2302" s="386"/>
      <c r="AD2302" s="264"/>
      <c r="AE2302" s="264"/>
      <c r="AF2302" s="264"/>
      <c r="AG2302" s="264"/>
    </row>
    <row r="2303" spans="1:33" ht="26.25">
      <c r="A2303" s="264"/>
      <c r="B2303" s="264"/>
      <c r="C2303" s="264"/>
      <c r="D2303" s="264"/>
      <c r="E2303" s="264"/>
      <c r="F2303" s="264"/>
      <c r="G2303" s="264"/>
      <c r="H2303" s="264"/>
      <c r="I2303" s="264"/>
      <c r="J2303" s="327"/>
      <c r="K2303" s="327"/>
      <c r="L2303" s="327"/>
      <c r="M2303" s="321"/>
      <c r="N2303" s="321"/>
      <c r="P2303" s="376"/>
      <c r="R2303" s="393"/>
      <c r="S2303" s="61" ph="1"/>
      <c r="U2303" s="229"/>
      <c r="V2303" s="264"/>
      <c r="W2303" s="199"/>
      <c r="X2303" s="264"/>
      <c r="Y2303" s="264"/>
      <c r="Z2303" s="386"/>
      <c r="AD2303" s="264"/>
      <c r="AE2303" s="264"/>
      <c r="AF2303" s="264"/>
      <c r="AG2303" s="264"/>
    </row>
    <row r="2304" spans="1:33" ht="26.25">
      <c r="S2304" s="61" ph="1"/>
    </row>
    <row r="2305" spans="19:19" ht="26.25">
      <c r="S2305" s="61" ph="1"/>
    </row>
    <row r="2306" spans="19:19" ht="26.25">
      <c r="S2306" s="61" ph="1"/>
    </row>
    <row r="2307" spans="19:19" ht="26.25">
      <c r="S2307" s="61" ph="1"/>
    </row>
    <row r="2308" spans="19:19" ht="26.25">
      <c r="S2308" s="61" ph="1"/>
    </row>
    <row r="2309" spans="19:19" ht="26.25">
      <c r="S2309" s="61" ph="1"/>
    </row>
    <row r="2310" spans="19:19" ht="26.25">
      <c r="S2310" s="61" ph="1"/>
    </row>
    <row r="2311" spans="19:19" ht="26.25">
      <c r="S2311" s="61" ph="1"/>
    </row>
    <row r="2312" spans="19:19" ht="26.25">
      <c r="S2312" s="61" ph="1"/>
    </row>
    <row r="2313" spans="19:19" ht="26.25">
      <c r="S2313" s="61" ph="1"/>
    </row>
    <row r="2314" spans="19:19" ht="26.25">
      <c r="S2314" s="61" ph="1"/>
    </row>
    <row r="2315" spans="19:19" ht="26.25">
      <c r="S2315" s="61" ph="1"/>
    </row>
    <row r="2316" spans="19:19" ht="26.25">
      <c r="S2316" s="61" ph="1"/>
    </row>
    <row r="2317" spans="19:19" ht="26.25">
      <c r="S2317" s="61" ph="1"/>
    </row>
    <row r="2318" spans="19:19" ht="26.25">
      <c r="S2318" s="61" ph="1"/>
    </row>
    <row r="2319" spans="19:19" ht="26.25">
      <c r="S2319" s="61" ph="1"/>
    </row>
    <row r="2320" spans="19:19" ht="26.25">
      <c r="S2320" s="61" ph="1"/>
    </row>
    <row r="2321" spans="19:19" ht="26.25">
      <c r="S2321" s="61" ph="1"/>
    </row>
    <row r="2322" spans="19:19" ht="26.25">
      <c r="S2322" s="61" ph="1"/>
    </row>
    <row r="2323" spans="19:19" ht="26.25">
      <c r="S2323" s="61" ph="1"/>
    </row>
    <row r="2324" spans="19:19" ht="26.25">
      <c r="S2324" s="61" ph="1"/>
    </row>
    <row r="2325" spans="19:19" ht="26.25">
      <c r="S2325" s="61" ph="1"/>
    </row>
    <row r="2326" spans="19:19" ht="26.25">
      <c r="S2326" s="61" ph="1"/>
    </row>
    <row r="2327" spans="19:19" ht="26.25">
      <c r="S2327" s="61" ph="1"/>
    </row>
    <row r="2328" spans="19:19" ht="26.25">
      <c r="S2328" s="61" ph="1"/>
    </row>
    <row r="2329" spans="19:19" ht="26.25">
      <c r="S2329" s="61" ph="1"/>
    </row>
    <row r="2330" spans="19:19" ht="26.25">
      <c r="S2330" s="61" ph="1"/>
    </row>
    <row r="2331" spans="19:19" ht="26.25">
      <c r="S2331" s="61" ph="1"/>
    </row>
    <row r="2332" spans="19:19" ht="26.25">
      <c r="S2332" s="61" ph="1"/>
    </row>
    <row r="2333" spans="19:19" ht="26.25">
      <c r="S2333" s="61" ph="1"/>
    </row>
    <row r="2334" spans="19:19" ht="26.25">
      <c r="S2334" s="61" ph="1"/>
    </row>
    <row r="2335" spans="19:19" ht="26.25">
      <c r="S2335" s="61" ph="1"/>
    </row>
    <row r="2336" spans="19:19" ht="26.25">
      <c r="S2336" s="61" ph="1"/>
    </row>
    <row r="2337" spans="19:19" ht="26.25">
      <c r="S2337" s="61" ph="1"/>
    </row>
    <row r="2338" spans="19:19" ht="26.25">
      <c r="S2338" s="61" ph="1"/>
    </row>
    <row r="2339" spans="19:19" ht="26.25">
      <c r="S2339" s="61" ph="1"/>
    </row>
    <row r="2340" spans="19:19" ht="26.25">
      <c r="S2340" s="61" ph="1"/>
    </row>
    <row r="2341" spans="19:19" ht="26.25">
      <c r="S2341" s="61" ph="1"/>
    </row>
    <row r="2342" spans="19:19" ht="26.25">
      <c r="S2342" s="61" ph="1"/>
    </row>
    <row r="2343" spans="19:19" ht="26.25">
      <c r="S2343" s="61" ph="1"/>
    </row>
    <row r="2344" spans="19:19" ht="26.25">
      <c r="S2344" s="61" ph="1"/>
    </row>
    <row r="2345" spans="19:19" ht="26.25">
      <c r="S2345" s="61" ph="1"/>
    </row>
    <row r="2346" spans="19:19" ht="26.25">
      <c r="S2346" s="61" ph="1"/>
    </row>
    <row r="2347" spans="19:19" ht="26.25">
      <c r="S2347" s="61" ph="1"/>
    </row>
    <row r="2348" spans="19:19" ht="26.25">
      <c r="S2348" s="61" ph="1"/>
    </row>
    <row r="2349" spans="19:19" ht="26.25">
      <c r="S2349" s="61" ph="1"/>
    </row>
    <row r="2350" spans="19:19" ht="26.25">
      <c r="S2350" s="61" ph="1"/>
    </row>
    <row r="2351" spans="19:19" ht="26.25">
      <c r="S2351" s="61" ph="1"/>
    </row>
    <row r="2352" spans="19:19" ht="26.25">
      <c r="S2352" s="61" ph="1"/>
    </row>
    <row r="2353" spans="19:19" ht="26.25">
      <c r="S2353" s="61" ph="1"/>
    </row>
    <row r="2354" spans="19:19" ht="26.25">
      <c r="S2354" s="61" ph="1"/>
    </row>
    <row r="2355" spans="19:19" ht="26.25">
      <c r="S2355" s="61" ph="1"/>
    </row>
    <row r="2356" spans="19:19" ht="26.25">
      <c r="S2356" s="61" ph="1"/>
    </row>
    <row r="2357" spans="19:19" ht="26.25">
      <c r="S2357" s="61" ph="1"/>
    </row>
    <row r="2358" spans="19:19" ht="26.25">
      <c r="S2358" s="61" ph="1"/>
    </row>
    <row r="2359" spans="19:19" ht="26.25">
      <c r="S2359" s="61" ph="1"/>
    </row>
    <row r="2360" spans="19:19" ht="26.25">
      <c r="S2360" s="61" ph="1"/>
    </row>
    <row r="2361" spans="19:19" ht="26.25">
      <c r="S2361" s="61" ph="1"/>
    </row>
    <row r="2362" spans="19:19" ht="26.25">
      <c r="S2362" s="61" ph="1"/>
    </row>
    <row r="2363" spans="19:19" ht="26.25">
      <c r="S2363" s="61" ph="1"/>
    </row>
    <row r="2364" spans="19:19" ht="26.25">
      <c r="S2364" s="61" ph="1"/>
    </row>
    <row r="2365" spans="19:19" ht="26.25">
      <c r="S2365" s="61" ph="1"/>
    </row>
    <row r="2366" spans="19:19" ht="26.25">
      <c r="S2366" s="61" ph="1"/>
    </row>
    <row r="2367" spans="19:19" ht="26.25">
      <c r="S2367" s="61" ph="1"/>
    </row>
    <row r="2368" spans="19:19" ht="26.25">
      <c r="S2368" s="61" ph="1"/>
    </row>
    <row r="2369" spans="19:19" ht="26.25">
      <c r="S2369" s="61" ph="1"/>
    </row>
    <row r="2370" spans="19:19" ht="26.25">
      <c r="S2370" s="61" ph="1"/>
    </row>
    <row r="2371" spans="19:19" ht="26.25">
      <c r="S2371" s="61" ph="1"/>
    </row>
    <row r="2372" spans="19:19" ht="26.25">
      <c r="S2372" s="61" ph="1"/>
    </row>
    <row r="2373" spans="19:19" ht="26.25">
      <c r="S2373" s="61" ph="1"/>
    </row>
    <row r="2374" spans="19:19" ht="26.25">
      <c r="S2374" s="61" ph="1"/>
    </row>
    <row r="2375" spans="19:19" ht="26.25">
      <c r="S2375" s="61" ph="1"/>
    </row>
    <row r="2376" spans="19:19" ht="26.25">
      <c r="S2376" s="61" ph="1"/>
    </row>
    <row r="2377" spans="19:19" ht="26.25">
      <c r="S2377" s="61" ph="1"/>
    </row>
    <row r="2378" spans="19:19" ht="26.25">
      <c r="S2378" s="61" ph="1"/>
    </row>
    <row r="2379" spans="19:19" ht="26.25">
      <c r="S2379" s="61" ph="1"/>
    </row>
    <row r="2380" spans="19:19" ht="26.25">
      <c r="S2380" s="61" ph="1"/>
    </row>
    <row r="2381" spans="19:19" ht="26.25">
      <c r="S2381" s="61" ph="1"/>
    </row>
    <row r="2382" spans="19:19" ht="26.25">
      <c r="S2382" s="61" ph="1"/>
    </row>
    <row r="2383" spans="19:19" ht="26.25">
      <c r="S2383" s="61" ph="1"/>
    </row>
    <row r="2384" spans="19:19" ht="26.25">
      <c r="S2384" s="61" ph="1"/>
    </row>
    <row r="2385" spans="19:19" ht="26.25">
      <c r="S2385" s="61" ph="1"/>
    </row>
    <row r="2386" spans="19:19" ht="26.25">
      <c r="S2386" s="61" ph="1"/>
    </row>
    <row r="2387" spans="19:19" ht="26.25">
      <c r="S2387" s="61" ph="1"/>
    </row>
    <row r="2388" spans="19:19" ht="26.25">
      <c r="S2388" s="61" ph="1"/>
    </row>
    <row r="2389" spans="19:19" ht="26.25">
      <c r="S2389" s="61" ph="1"/>
    </row>
    <row r="2390" spans="19:19" ht="26.25">
      <c r="S2390" s="61" ph="1"/>
    </row>
    <row r="2391" spans="19:19" ht="26.25">
      <c r="S2391" s="61" ph="1"/>
    </row>
    <row r="2392" spans="19:19" ht="26.25">
      <c r="S2392" s="61" ph="1"/>
    </row>
    <row r="2393" spans="19:19" ht="26.25">
      <c r="S2393" s="61" ph="1"/>
    </row>
    <row r="2394" spans="19:19" ht="26.25">
      <c r="S2394" s="61" ph="1"/>
    </row>
    <row r="2395" spans="19:19" ht="26.25">
      <c r="S2395" s="61" ph="1"/>
    </row>
    <row r="2396" spans="19:19" ht="26.25">
      <c r="S2396" s="61" ph="1"/>
    </row>
    <row r="2397" spans="19:19" ht="26.25">
      <c r="S2397" s="61" ph="1"/>
    </row>
    <row r="2398" spans="19:19" ht="26.25">
      <c r="S2398" s="61" ph="1"/>
    </row>
    <row r="2399" spans="19:19" ht="26.25">
      <c r="S2399" s="61" ph="1"/>
    </row>
    <row r="2400" spans="19:19" ht="26.25">
      <c r="S2400" s="61" ph="1"/>
    </row>
    <row r="2401" spans="19:19" ht="26.25">
      <c r="S2401" s="61" ph="1"/>
    </row>
    <row r="2402" spans="19:19" ht="26.25">
      <c r="S2402" s="61" ph="1"/>
    </row>
    <row r="2403" spans="19:19" ht="26.25">
      <c r="S2403" s="61" ph="1"/>
    </row>
    <row r="2404" spans="19:19" ht="26.25">
      <c r="S2404" s="61" ph="1"/>
    </row>
    <row r="2405" spans="19:19" ht="26.25">
      <c r="S2405" s="61" ph="1"/>
    </row>
    <row r="2406" spans="19:19" ht="26.25">
      <c r="S2406" s="61" ph="1"/>
    </row>
    <row r="2407" spans="19:19" ht="26.25">
      <c r="S2407" s="61" ph="1"/>
    </row>
    <row r="2408" spans="19:19" ht="26.25">
      <c r="S2408" s="61" ph="1"/>
    </row>
    <row r="2409" spans="19:19" ht="26.25">
      <c r="S2409" s="61" ph="1"/>
    </row>
    <row r="2410" spans="19:19" ht="26.25">
      <c r="S2410" s="61" ph="1"/>
    </row>
    <row r="2411" spans="19:19" ht="26.25">
      <c r="S2411" s="61" ph="1"/>
    </row>
    <row r="2412" spans="19:19" ht="26.25">
      <c r="S2412" s="61" ph="1"/>
    </row>
    <row r="2413" spans="19:19" ht="26.25">
      <c r="S2413" s="61" ph="1"/>
    </row>
    <row r="2414" spans="19:19" ht="26.25">
      <c r="S2414" s="61" ph="1"/>
    </row>
    <row r="2415" spans="19:19" ht="26.25">
      <c r="S2415" s="61" ph="1"/>
    </row>
    <row r="2416" spans="19:19" ht="26.25">
      <c r="S2416" s="61" ph="1"/>
    </row>
    <row r="2417" spans="19:19" ht="26.25">
      <c r="S2417" s="61" ph="1"/>
    </row>
    <row r="2418" spans="19:19" ht="26.25">
      <c r="S2418" s="61" ph="1"/>
    </row>
    <row r="2419" spans="19:19" ht="26.25">
      <c r="S2419" s="61" ph="1"/>
    </row>
    <row r="2420" spans="19:19" ht="26.25">
      <c r="S2420" s="61" ph="1"/>
    </row>
    <row r="2421" spans="19:19" ht="26.25">
      <c r="S2421" s="61" ph="1"/>
    </row>
    <row r="2422" spans="19:19" ht="26.25">
      <c r="S2422" s="61" ph="1"/>
    </row>
    <row r="2423" spans="19:19" ht="26.25">
      <c r="S2423" s="61" ph="1"/>
    </row>
    <row r="2424" spans="19:19" ht="26.25">
      <c r="S2424" s="61" ph="1"/>
    </row>
    <row r="2425" spans="19:19" ht="26.25">
      <c r="S2425" s="61" ph="1"/>
    </row>
    <row r="2426" spans="19:19" ht="26.25">
      <c r="S2426" s="61" ph="1"/>
    </row>
    <row r="2427" spans="19:19" ht="26.25">
      <c r="S2427" s="61" ph="1"/>
    </row>
    <row r="2428" spans="19:19" ht="26.25">
      <c r="S2428" s="61" ph="1"/>
    </row>
    <row r="2429" spans="19:19" ht="26.25">
      <c r="S2429" s="61" ph="1"/>
    </row>
    <row r="2430" spans="19:19" ht="26.25">
      <c r="S2430" s="61" ph="1"/>
    </row>
    <row r="2431" spans="19:19" ht="26.25">
      <c r="S2431" s="61" ph="1"/>
    </row>
    <row r="2432" spans="19:19" ht="26.25">
      <c r="S2432" s="61" ph="1"/>
    </row>
    <row r="2433" spans="19:19" ht="26.25">
      <c r="S2433" s="61" ph="1"/>
    </row>
    <row r="2434" spans="19:19" ht="26.25">
      <c r="S2434" s="61" ph="1"/>
    </row>
    <row r="2435" spans="19:19" ht="26.25">
      <c r="S2435" s="61" ph="1"/>
    </row>
    <row r="2436" spans="19:19" ht="26.25">
      <c r="S2436" s="61" ph="1"/>
    </row>
    <row r="2437" spans="19:19" ht="26.25">
      <c r="S2437" s="61" ph="1"/>
    </row>
    <row r="2438" spans="19:19" ht="26.25">
      <c r="S2438" s="61" ph="1"/>
    </row>
    <row r="2439" spans="19:19" ht="26.25">
      <c r="S2439" s="61" ph="1"/>
    </row>
    <row r="2440" spans="19:19" ht="26.25">
      <c r="S2440" s="61" ph="1"/>
    </row>
    <row r="2441" spans="19:19" ht="26.25">
      <c r="S2441" s="61" ph="1"/>
    </row>
    <row r="2442" spans="19:19" ht="26.25">
      <c r="S2442" s="61" ph="1"/>
    </row>
    <row r="2443" spans="19:19" ht="26.25">
      <c r="S2443" s="61" ph="1"/>
    </row>
    <row r="2444" spans="19:19" ht="26.25">
      <c r="S2444" s="61" ph="1"/>
    </row>
    <row r="2445" spans="19:19" ht="26.25">
      <c r="S2445" s="61" ph="1"/>
    </row>
    <row r="2446" spans="19:19" ht="26.25">
      <c r="S2446" s="61" ph="1"/>
    </row>
    <row r="2447" spans="19:19" ht="26.25">
      <c r="S2447" s="61" ph="1"/>
    </row>
    <row r="2448" spans="19:19" ht="26.25">
      <c r="S2448" s="61" ph="1"/>
    </row>
    <row r="2449" spans="19:19" ht="26.25">
      <c r="S2449" s="61" ph="1"/>
    </row>
    <row r="2450" spans="19:19" ht="26.25">
      <c r="S2450" s="61" ph="1"/>
    </row>
    <row r="2451" spans="19:19" ht="26.25">
      <c r="S2451" s="61" ph="1"/>
    </row>
    <row r="2452" spans="19:19" ht="26.25">
      <c r="S2452" s="61" ph="1"/>
    </row>
    <row r="2453" spans="19:19" ht="26.25">
      <c r="S2453" s="61" ph="1"/>
    </row>
    <row r="2454" spans="19:19" ht="26.25">
      <c r="S2454" s="61" ph="1"/>
    </row>
    <row r="2455" spans="19:19" ht="26.25">
      <c r="S2455" s="61" ph="1"/>
    </row>
    <row r="2456" spans="19:19" ht="26.25">
      <c r="S2456" s="61" ph="1"/>
    </row>
    <row r="2457" spans="19:19" ht="26.25">
      <c r="S2457" s="61" ph="1"/>
    </row>
    <row r="2458" spans="19:19" ht="26.25">
      <c r="S2458" s="61" ph="1"/>
    </row>
    <row r="2459" spans="19:19" ht="26.25">
      <c r="S2459" s="61" ph="1"/>
    </row>
    <row r="2460" spans="19:19" ht="26.25">
      <c r="S2460" s="61" ph="1"/>
    </row>
    <row r="2461" spans="19:19" ht="26.25">
      <c r="S2461" s="61" ph="1"/>
    </row>
    <row r="2462" spans="19:19" ht="26.25">
      <c r="S2462" s="61" ph="1"/>
    </row>
    <row r="2463" spans="19:19" ht="26.25">
      <c r="S2463" s="61" ph="1"/>
    </row>
    <row r="2464" spans="19:19" ht="26.25">
      <c r="S2464" s="61" ph="1"/>
    </row>
    <row r="2465" spans="19:19" ht="26.25">
      <c r="S2465" s="61" ph="1"/>
    </row>
    <row r="2466" spans="19:19" ht="26.25">
      <c r="S2466" s="61" ph="1"/>
    </row>
    <row r="2467" spans="19:19" ht="26.25">
      <c r="S2467" s="61" ph="1"/>
    </row>
    <row r="2468" spans="19:19" ht="26.25">
      <c r="S2468" s="61" ph="1"/>
    </row>
    <row r="2469" spans="19:19" ht="26.25">
      <c r="S2469" s="61" ph="1"/>
    </row>
    <row r="2470" spans="19:19" ht="26.25">
      <c r="S2470" s="61" ph="1"/>
    </row>
    <row r="2471" spans="19:19" ht="26.25">
      <c r="S2471" s="61" ph="1"/>
    </row>
    <row r="2472" spans="19:19" ht="26.25">
      <c r="S2472" s="61" ph="1"/>
    </row>
    <row r="2473" spans="19:19" ht="26.25">
      <c r="S2473" s="61" ph="1"/>
    </row>
    <row r="2474" spans="19:19" ht="26.25">
      <c r="S2474" s="61" ph="1"/>
    </row>
    <row r="2475" spans="19:19" ht="26.25">
      <c r="S2475" s="61" ph="1"/>
    </row>
    <row r="2476" spans="19:19" ht="26.25">
      <c r="S2476" s="61" ph="1"/>
    </row>
    <row r="2477" spans="19:19" ht="26.25">
      <c r="S2477" s="61" ph="1"/>
    </row>
    <row r="2478" spans="19:19" ht="26.25">
      <c r="S2478" s="61" ph="1"/>
    </row>
    <row r="2479" spans="19:19" ht="26.25">
      <c r="S2479" s="61" ph="1"/>
    </row>
    <row r="2480" spans="19:19" ht="26.25">
      <c r="S2480" s="61" ph="1"/>
    </row>
    <row r="2481" spans="19:19" ht="26.25">
      <c r="S2481" s="61" ph="1"/>
    </row>
    <row r="2482" spans="19:19" ht="26.25">
      <c r="S2482" s="61" ph="1"/>
    </row>
    <row r="2483" spans="19:19" ht="26.25">
      <c r="S2483" s="61" ph="1"/>
    </row>
    <row r="2484" spans="19:19" ht="26.25">
      <c r="S2484" s="61" ph="1"/>
    </row>
    <row r="2485" spans="19:19" ht="26.25">
      <c r="S2485" s="61" ph="1"/>
    </row>
    <row r="2486" spans="19:19" ht="26.25">
      <c r="S2486" s="61" ph="1"/>
    </row>
    <row r="2487" spans="19:19" ht="26.25">
      <c r="S2487" s="61" ph="1"/>
    </row>
    <row r="2488" spans="19:19" ht="26.25">
      <c r="S2488" s="61" ph="1"/>
    </row>
    <row r="2489" spans="19:19" ht="26.25">
      <c r="S2489" s="61" ph="1"/>
    </row>
    <row r="2490" spans="19:19" ht="26.25">
      <c r="S2490" s="61" ph="1"/>
    </row>
    <row r="2491" spans="19:19" ht="26.25">
      <c r="S2491" s="61" ph="1"/>
    </row>
    <row r="2492" spans="19:19" ht="26.25">
      <c r="S2492" s="61" ph="1"/>
    </row>
    <row r="2493" spans="19:19" ht="26.25">
      <c r="S2493" s="61" ph="1"/>
    </row>
    <row r="2494" spans="19:19" ht="26.25">
      <c r="S2494" s="61" ph="1"/>
    </row>
    <row r="2495" spans="19:19" ht="26.25">
      <c r="S2495" s="61" ph="1"/>
    </row>
    <row r="2496" spans="19:19" ht="26.25">
      <c r="S2496" s="61" ph="1"/>
    </row>
    <row r="2497" spans="19:19" ht="26.25">
      <c r="S2497" s="61" ph="1"/>
    </row>
    <row r="2498" spans="19:19" ht="26.25">
      <c r="S2498" s="61" ph="1"/>
    </row>
    <row r="2499" spans="19:19" ht="26.25">
      <c r="S2499" s="61" ph="1"/>
    </row>
    <row r="2500" spans="19:19" ht="26.25">
      <c r="S2500" s="61" ph="1"/>
    </row>
    <row r="2501" spans="19:19" ht="26.25">
      <c r="S2501" s="61" ph="1"/>
    </row>
    <row r="2502" spans="19:19" ht="26.25">
      <c r="S2502" s="61" ph="1"/>
    </row>
    <row r="2503" spans="19:19" ht="26.25">
      <c r="S2503" s="61" ph="1"/>
    </row>
    <row r="2504" spans="19:19" ht="26.25">
      <c r="S2504" s="61" ph="1"/>
    </row>
    <row r="2505" spans="19:19" ht="26.25">
      <c r="S2505" s="61" ph="1"/>
    </row>
    <row r="2506" spans="19:19" ht="26.25">
      <c r="S2506" s="61" ph="1"/>
    </row>
    <row r="2507" spans="19:19" ht="26.25">
      <c r="S2507" s="61" ph="1"/>
    </row>
    <row r="2508" spans="19:19" ht="26.25">
      <c r="S2508" s="61" ph="1"/>
    </row>
    <row r="2509" spans="19:19" ht="26.25">
      <c r="S2509" s="61" ph="1"/>
    </row>
    <row r="2510" spans="19:19" ht="26.25">
      <c r="S2510" s="61" ph="1"/>
    </row>
    <row r="2511" spans="19:19" ht="26.25">
      <c r="S2511" s="61" ph="1"/>
    </row>
    <row r="2512" spans="19:19" ht="26.25">
      <c r="S2512" s="61" ph="1"/>
    </row>
    <row r="2513" spans="19:19" ht="26.25">
      <c r="S2513" s="61" ph="1"/>
    </row>
    <row r="2514" spans="19:19" ht="26.25">
      <c r="S2514" s="61" ph="1"/>
    </row>
    <row r="2515" spans="19:19" ht="26.25">
      <c r="S2515" s="61" ph="1"/>
    </row>
    <row r="2516" spans="19:19" ht="26.25">
      <c r="S2516" s="61" ph="1"/>
    </row>
    <row r="2517" spans="19:19" ht="26.25">
      <c r="S2517" s="61" ph="1"/>
    </row>
    <row r="2518" spans="19:19" ht="26.25">
      <c r="S2518" s="61" ph="1"/>
    </row>
    <row r="2519" spans="19:19" ht="26.25">
      <c r="S2519" s="61" ph="1"/>
    </row>
    <row r="2520" spans="19:19" ht="26.25">
      <c r="S2520" s="61" ph="1"/>
    </row>
    <row r="2521" spans="19:19" ht="26.25">
      <c r="S2521" s="61" ph="1"/>
    </row>
    <row r="2522" spans="19:19" ht="26.25">
      <c r="S2522" s="61" ph="1"/>
    </row>
    <row r="2523" spans="19:19" ht="26.25">
      <c r="S2523" s="61" ph="1"/>
    </row>
    <row r="2524" spans="19:19" ht="26.25">
      <c r="S2524" s="61" ph="1"/>
    </row>
    <row r="2525" spans="19:19" ht="26.25">
      <c r="S2525" s="61" ph="1"/>
    </row>
    <row r="2526" spans="19:19" ht="26.25">
      <c r="S2526" s="61" ph="1"/>
    </row>
    <row r="2527" spans="19:19" ht="26.25">
      <c r="S2527" s="61" ph="1"/>
    </row>
    <row r="2528" spans="19:19" ht="26.25">
      <c r="S2528" s="61" ph="1"/>
    </row>
    <row r="2529" spans="19:19" ht="26.25">
      <c r="S2529" s="61" ph="1"/>
    </row>
    <row r="2530" spans="19:19" ht="26.25">
      <c r="S2530" s="61" ph="1"/>
    </row>
    <row r="2531" spans="19:19" ht="26.25">
      <c r="S2531" s="61" ph="1"/>
    </row>
    <row r="2532" spans="19:19" ht="26.25">
      <c r="S2532" s="61" ph="1"/>
    </row>
    <row r="2533" spans="19:19" ht="26.25">
      <c r="S2533" s="61" ph="1"/>
    </row>
    <row r="2534" spans="19:19" ht="26.25">
      <c r="S2534" s="61" ph="1"/>
    </row>
    <row r="2535" spans="19:19" ht="26.25">
      <c r="S2535" s="61" ph="1"/>
    </row>
    <row r="2536" spans="19:19" ht="26.25">
      <c r="S2536" s="61" ph="1"/>
    </row>
    <row r="2537" spans="19:19" ht="26.25">
      <c r="S2537" s="61" ph="1"/>
    </row>
    <row r="2538" spans="19:19" ht="26.25">
      <c r="S2538" s="61" ph="1"/>
    </row>
    <row r="2539" spans="19:19" ht="26.25">
      <c r="S2539" s="61" ph="1"/>
    </row>
    <row r="2540" spans="19:19" ht="26.25">
      <c r="S2540" s="61" ph="1"/>
    </row>
    <row r="2541" spans="19:19" ht="26.25">
      <c r="S2541" s="61" ph="1"/>
    </row>
    <row r="2542" spans="19:19" ht="26.25">
      <c r="S2542" s="61" ph="1"/>
    </row>
    <row r="2543" spans="19:19" ht="26.25">
      <c r="S2543" s="61" ph="1"/>
    </row>
    <row r="2544" spans="19:19" ht="26.25">
      <c r="S2544" s="61" ph="1"/>
    </row>
    <row r="2545" spans="19:19" ht="26.25">
      <c r="S2545" s="61" ph="1"/>
    </row>
    <row r="2546" spans="19:19" ht="26.25">
      <c r="S2546" s="61" ph="1"/>
    </row>
    <row r="2547" spans="19:19" ht="26.25">
      <c r="S2547" s="61" ph="1"/>
    </row>
    <row r="2548" spans="19:19" ht="26.25">
      <c r="S2548" s="61" ph="1"/>
    </row>
    <row r="2549" spans="19:19" ht="26.25">
      <c r="S2549" s="61" ph="1"/>
    </row>
    <row r="2550" spans="19:19" ht="26.25">
      <c r="S2550" s="61" ph="1"/>
    </row>
    <row r="2551" spans="19:19" ht="26.25">
      <c r="S2551" s="61" ph="1"/>
    </row>
    <row r="2552" spans="19:19" ht="26.25">
      <c r="S2552" s="61" ph="1"/>
    </row>
    <row r="2553" spans="19:19" ht="26.25">
      <c r="S2553" s="61" ph="1"/>
    </row>
    <row r="2554" spans="19:19" ht="26.25">
      <c r="S2554" s="61" ph="1"/>
    </row>
    <row r="2555" spans="19:19" ht="26.25">
      <c r="S2555" s="61" ph="1"/>
    </row>
    <row r="2556" spans="19:19" ht="26.25">
      <c r="S2556" s="61" ph="1"/>
    </row>
    <row r="2557" spans="19:19" ht="26.25">
      <c r="S2557" s="61" ph="1"/>
    </row>
    <row r="2558" spans="19:19" ht="26.25">
      <c r="S2558" s="61" ph="1"/>
    </row>
    <row r="2559" spans="19:19" ht="26.25">
      <c r="S2559" s="61" ph="1"/>
    </row>
    <row r="2560" spans="19:19" ht="26.25">
      <c r="S2560" s="61" ph="1"/>
    </row>
    <row r="2561" spans="19:19" ht="26.25">
      <c r="S2561" s="61" ph="1"/>
    </row>
    <row r="2562" spans="19:19" ht="26.25">
      <c r="S2562" s="61" ph="1"/>
    </row>
    <row r="2563" spans="19:19" ht="26.25">
      <c r="S2563" s="61" ph="1"/>
    </row>
    <row r="2564" spans="19:19" ht="26.25">
      <c r="S2564" s="61" ph="1"/>
    </row>
    <row r="2565" spans="19:19" ht="26.25">
      <c r="S2565" s="61" ph="1"/>
    </row>
    <row r="2566" spans="19:19" ht="26.25">
      <c r="S2566" s="61" ph="1"/>
    </row>
    <row r="2567" spans="19:19" ht="26.25">
      <c r="S2567" s="61" ph="1"/>
    </row>
    <row r="2568" spans="19:19" ht="26.25">
      <c r="S2568" s="61" ph="1"/>
    </row>
    <row r="2569" spans="19:19" ht="26.25">
      <c r="S2569" s="61" ph="1"/>
    </row>
    <row r="2570" spans="19:19" ht="26.25">
      <c r="S2570" s="61" ph="1"/>
    </row>
    <row r="2571" spans="19:19" ht="26.25">
      <c r="S2571" s="61" ph="1"/>
    </row>
    <row r="2572" spans="19:19" ht="26.25">
      <c r="S2572" s="61" ph="1"/>
    </row>
    <row r="2573" spans="19:19" ht="26.25">
      <c r="S2573" s="61" ph="1"/>
    </row>
    <row r="2574" spans="19:19" ht="26.25">
      <c r="S2574" s="61" ph="1"/>
    </row>
    <row r="2575" spans="19:19" ht="26.25">
      <c r="S2575" s="61" ph="1"/>
    </row>
    <row r="2576" spans="19:19" ht="26.25">
      <c r="S2576" s="61" ph="1"/>
    </row>
    <row r="2577" spans="19:19" ht="26.25">
      <c r="S2577" s="61" ph="1"/>
    </row>
    <row r="2578" spans="19:19" ht="26.25">
      <c r="S2578" s="61" ph="1"/>
    </row>
    <row r="2579" spans="19:19" ht="26.25">
      <c r="S2579" s="61" ph="1"/>
    </row>
    <row r="2580" spans="19:19" ht="26.25">
      <c r="S2580" s="61" ph="1"/>
    </row>
    <row r="2581" spans="19:19" ht="26.25">
      <c r="S2581" s="61" ph="1"/>
    </row>
    <row r="2582" spans="19:19" ht="26.25">
      <c r="S2582" s="61" ph="1"/>
    </row>
    <row r="2583" spans="19:19" ht="26.25">
      <c r="S2583" s="61" ph="1"/>
    </row>
    <row r="2584" spans="19:19" ht="26.25">
      <c r="S2584" s="61" ph="1"/>
    </row>
    <row r="2585" spans="19:19" ht="26.25">
      <c r="S2585" s="61" ph="1"/>
    </row>
    <row r="2586" spans="19:19" ht="26.25">
      <c r="S2586" s="61" ph="1"/>
    </row>
    <row r="2587" spans="19:19" ht="26.25">
      <c r="S2587" s="61" ph="1"/>
    </row>
    <row r="2588" spans="19:19" ht="26.25">
      <c r="S2588" s="61" ph="1"/>
    </row>
    <row r="2589" spans="19:19" ht="26.25">
      <c r="S2589" s="61" ph="1"/>
    </row>
    <row r="2590" spans="19:19" ht="26.25">
      <c r="S2590" s="61" ph="1"/>
    </row>
    <row r="2591" spans="19:19" ht="26.25">
      <c r="S2591" s="61" ph="1"/>
    </row>
    <row r="2592" spans="19:19" ht="26.25">
      <c r="S2592" s="61" ph="1"/>
    </row>
    <row r="2593" spans="19:19" ht="26.25">
      <c r="S2593" s="61" ph="1"/>
    </row>
    <row r="2594" spans="19:19" ht="26.25">
      <c r="S2594" s="61" ph="1"/>
    </row>
    <row r="2595" spans="19:19" ht="26.25">
      <c r="S2595" s="61" ph="1"/>
    </row>
    <row r="2596" spans="19:19" ht="26.25">
      <c r="S2596" s="61" ph="1"/>
    </row>
    <row r="2597" spans="19:19" ht="26.25">
      <c r="S2597" s="61" ph="1"/>
    </row>
    <row r="2598" spans="19:19" ht="26.25">
      <c r="S2598" s="61" ph="1"/>
    </row>
    <row r="2599" spans="19:19" ht="26.25">
      <c r="S2599" s="61" ph="1"/>
    </row>
    <row r="2600" spans="19:19" ht="26.25">
      <c r="S2600" s="61" ph="1"/>
    </row>
    <row r="2601" spans="19:19" ht="26.25">
      <c r="S2601" s="61" ph="1"/>
    </row>
    <row r="2602" spans="19:19" ht="26.25">
      <c r="S2602" s="61" ph="1"/>
    </row>
    <row r="2603" spans="19:19" ht="26.25">
      <c r="S2603" s="61" ph="1"/>
    </row>
    <row r="2604" spans="19:19" ht="26.25">
      <c r="S2604" s="61" ph="1"/>
    </row>
    <row r="2605" spans="19:19" ht="26.25">
      <c r="S2605" s="61" ph="1"/>
    </row>
    <row r="2606" spans="19:19" ht="26.25">
      <c r="S2606" s="61" ph="1"/>
    </row>
    <row r="2607" spans="19:19" ht="26.25">
      <c r="S2607" s="61" ph="1"/>
    </row>
    <row r="2608" spans="19:19" ht="26.25">
      <c r="S2608" s="61" ph="1"/>
    </row>
    <row r="2609" spans="19:19" ht="26.25">
      <c r="S2609" s="61" ph="1"/>
    </row>
    <row r="2610" spans="19:19" ht="26.25">
      <c r="S2610" s="61" ph="1"/>
    </row>
    <row r="2611" spans="19:19" ht="26.25">
      <c r="S2611" s="61" ph="1"/>
    </row>
    <row r="2612" spans="19:19" ht="26.25">
      <c r="S2612" s="61" ph="1"/>
    </row>
    <row r="2613" spans="19:19" ht="26.25">
      <c r="S2613" s="61" ph="1"/>
    </row>
    <row r="2614" spans="19:19" ht="26.25">
      <c r="S2614" s="61" ph="1"/>
    </row>
    <row r="2615" spans="19:19" ht="26.25">
      <c r="S2615" s="61" ph="1"/>
    </row>
    <row r="2616" spans="19:19" ht="26.25">
      <c r="S2616" s="61" ph="1"/>
    </row>
    <row r="2617" spans="19:19" ht="26.25">
      <c r="S2617" s="61" ph="1"/>
    </row>
    <row r="2618" spans="19:19" ht="26.25">
      <c r="S2618" s="61" ph="1"/>
    </row>
    <row r="2619" spans="19:19" ht="26.25">
      <c r="S2619" s="61" ph="1"/>
    </row>
    <row r="2620" spans="19:19" ht="26.25">
      <c r="S2620" s="61" ph="1"/>
    </row>
    <row r="2621" spans="19:19" ht="26.25">
      <c r="S2621" s="61" ph="1"/>
    </row>
    <row r="2622" spans="19:19" ht="26.25">
      <c r="S2622" s="61" ph="1"/>
    </row>
    <row r="2623" spans="19:19" ht="26.25">
      <c r="S2623" s="61" ph="1"/>
    </row>
    <row r="2624" spans="19:19" ht="26.25">
      <c r="S2624" s="61" ph="1"/>
    </row>
    <row r="2625" spans="19:19" ht="26.25">
      <c r="S2625" s="61" ph="1"/>
    </row>
    <row r="2626" spans="19:19" ht="26.25">
      <c r="S2626" s="61" ph="1"/>
    </row>
    <row r="2627" spans="19:19" ht="26.25">
      <c r="S2627" s="61" ph="1"/>
    </row>
    <row r="2628" spans="19:19" ht="26.25">
      <c r="S2628" s="61" ph="1"/>
    </row>
    <row r="2629" spans="19:19" ht="26.25">
      <c r="S2629" s="61" ph="1"/>
    </row>
    <row r="2630" spans="19:19" ht="26.25">
      <c r="S2630" s="61" ph="1"/>
    </row>
    <row r="2631" spans="19:19" ht="26.25">
      <c r="S2631" s="61" ph="1"/>
    </row>
    <row r="2632" spans="19:19" ht="26.25">
      <c r="S2632" s="61" ph="1"/>
    </row>
    <row r="2633" spans="19:19" ht="26.25">
      <c r="S2633" s="61" ph="1"/>
    </row>
    <row r="2634" spans="19:19" ht="26.25">
      <c r="S2634" s="61" ph="1"/>
    </row>
    <row r="2635" spans="19:19" ht="26.25">
      <c r="S2635" s="61" ph="1"/>
    </row>
    <row r="2636" spans="19:19" ht="26.25">
      <c r="S2636" s="61" ph="1"/>
    </row>
    <row r="2637" spans="19:19" ht="26.25">
      <c r="S2637" s="61" ph="1"/>
    </row>
    <row r="2638" spans="19:19" ht="26.25">
      <c r="S2638" s="61" ph="1"/>
    </row>
    <row r="2639" spans="19:19" ht="26.25">
      <c r="S2639" s="61" ph="1"/>
    </row>
    <row r="2640" spans="19:19" ht="26.25">
      <c r="S2640" s="61" ph="1"/>
    </row>
    <row r="2641" spans="19:19" ht="26.25">
      <c r="S2641" s="61" ph="1"/>
    </row>
    <row r="2642" spans="19:19" ht="26.25">
      <c r="S2642" s="61" ph="1"/>
    </row>
    <row r="2643" spans="19:19" ht="26.25">
      <c r="S2643" s="61" ph="1"/>
    </row>
    <row r="2644" spans="19:19" ht="26.25">
      <c r="S2644" s="61" ph="1"/>
    </row>
    <row r="2645" spans="19:19" ht="26.25">
      <c r="S2645" s="61" ph="1"/>
    </row>
    <row r="2646" spans="19:19" ht="26.25">
      <c r="S2646" s="61" ph="1"/>
    </row>
    <row r="2647" spans="19:19" ht="26.25">
      <c r="S2647" s="61" ph="1"/>
    </row>
    <row r="2648" spans="19:19" ht="26.25">
      <c r="S2648" s="61" ph="1"/>
    </row>
    <row r="2649" spans="19:19" ht="26.25">
      <c r="S2649" s="61" ph="1"/>
    </row>
    <row r="2650" spans="19:19" ht="26.25">
      <c r="S2650" s="61" ph="1"/>
    </row>
    <row r="2651" spans="19:19" ht="26.25">
      <c r="S2651" s="61" ph="1"/>
    </row>
    <row r="2652" spans="19:19" ht="26.25">
      <c r="S2652" s="61" ph="1"/>
    </row>
    <row r="2653" spans="19:19" ht="26.25">
      <c r="S2653" s="61" ph="1"/>
    </row>
    <row r="2654" spans="19:19" ht="26.25">
      <c r="S2654" s="61" ph="1"/>
    </row>
    <row r="2655" spans="19:19" ht="26.25">
      <c r="S2655" s="61" ph="1"/>
    </row>
    <row r="2656" spans="19:19" ht="26.25">
      <c r="S2656" s="61" ph="1"/>
    </row>
    <row r="2657" spans="19:19" ht="26.25">
      <c r="S2657" s="61" ph="1"/>
    </row>
    <row r="2658" spans="19:19" ht="26.25">
      <c r="S2658" s="61" ph="1"/>
    </row>
    <row r="2659" spans="19:19" ht="26.25">
      <c r="S2659" s="61" ph="1"/>
    </row>
    <row r="2660" spans="19:19" ht="26.25">
      <c r="S2660" s="61" ph="1"/>
    </row>
    <row r="2661" spans="19:19" ht="26.25">
      <c r="S2661" s="61" ph="1"/>
    </row>
    <row r="2662" spans="19:19" ht="26.25">
      <c r="S2662" s="61" ph="1"/>
    </row>
    <row r="2663" spans="19:19" ht="26.25">
      <c r="S2663" s="61" ph="1"/>
    </row>
    <row r="2664" spans="19:19" ht="26.25">
      <c r="S2664" s="61" ph="1"/>
    </row>
    <row r="2665" spans="19:19" ht="26.25">
      <c r="S2665" s="61" ph="1"/>
    </row>
    <row r="2666" spans="19:19" ht="26.25">
      <c r="S2666" s="61" ph="1"/>
    </row>
    <row r="2667" spans="19:19" ht="26.25">
      <c r="S2667" s="61" ph="1"/>
    </row>
    <row r="2668" spans="19:19" ht="26.25">
      <c r="S2668" s="61" ph="1"/>
    </row>
    <row r="2669" spans="19:19" ht="26.25">
      <c r="S2669" s="61" ph="1"/>
    </row>
    <row r="2670" spans="19:19" ht="26.25">
      <c r="S2670" s="61" ph="1"/>
    </row>
    <row r="2671" spans="19:19" ht="26.25">
      <c r="S2671" s="61" ph="1"/>
    </row>
    <row r="2672" spans="19:19" ht="26.25">
      <c r="S2672" s="61" ph="1"/>
    </row>
    <row r="2673" spans="19:19" ht="26.25">
      <c r="S2673" s="61" ph="1"/>
    </row>
    <row r="2674" spans="19:19" ht="26.25">
      <c r="S2674" s="61" ph="1"/>
    </row>
    <row r="2675" spans="19:19" ht="26.25">
      <c r="S2675" s="61" ph="1"/>
    </row>
    <row r="2676" spans="19:19" ht="26.25">
      <c r="S2676" s="61" ph="1"/>
    </row>
    <row r="2677" spans="19:19" ht="26.25">
      <c r="S2677" s="61" ph="1"/>
    </row>
    <row r="2678" spans="19:19" ht="26.25">
      <c r="S2678" s="61" ph="1"/>
    </row>
    <row r="2679" spans="19:19" ht="26.25">
      <c r="S2679" s="61" ph="1"/>
    </row>
    <row r="2680" spans="19:19" ht="26.25">
      <c r="S2680" s="61" ph="1"/>
    </row>
    <row r="2681" spans="19:19" ht="26.25">
      <c r="S2681" s="61" ph="1"/>
    </row>
    <row r="2682" spans="19:19" ht="26.25">
      <c r="S2682" s="61" ph="1"/>
    </row>
    <row r="2683" spans="19:19" ht="26.25">
      <c r="S2683" s="61" ph="1"/>
    </row>
    <row r="2684" spans="19:19" ht="26.25">
      <c r="S2684" s="61" ph="1"/>
    </row>
    <row r="2685" spans="19:19" ht="26.25">
      <c r="S2685" s="61" ph="1"/>
    </row>
    <row r="2686" spans="19:19" ht="26.25">
      <c r="S2686" s="61" ph="1"/>
    </row>
    <row r="2687" spans="19:19" ht="26.25">
      <c r="S2687" s="61" ph="1"/>
    </row>
    <row r="2688" spans="19:19" ht="26.25">
      <c r="S2688" s="61" ph="1"/>
    </row>
    <row r="2689" spans="19:19" ht="26.25">
      <c r="S2689" s="61" ph="1"/>
    </row>
    <row r="2690" spans="19:19" ht="26.25">
      <c r="S2690" s="61" ph="1"/>
    </row>
    <row r="2691" spans="19:19" ht="26.25">
      <c r="S2691" s="61" ph="1"/>
    </row>
    <row r="2692" spans="19:19" ht="26.25">
      <c r="S2692" s="61" ph="1"/>
    </row>
    <row r="2693" spans="19:19" ht="26.25">
      <c r="S2693" s="61" ph="1"/>
    </row>
    <row r="2694" spans="19:19" ht="26.25">
      <c r="S2694" s="61" ph="1"/>
    </row>
    <row r="2695" spans="19:19" ht="26.25">
      <c r="S2695" s="61" ph="1"/>
    </row>
    <row r="2696" spans="19:19" ht="26.25">
      <c r="S2696" s="61" ph="1"/>
    </row>
    <row r="2697" spans="19:19" ht="26.25">
      <c r="S2697" s="61" ph="1"/>
    </row>
    <row r="2698" spans="19:19" ht="26.25">
      <c r="S2698" s="61" ph="1"/>
    </row>
    <row r="2699" spans="19:19" ht="26.25">
      <c r="S2699" s="61" ph="1"/>
    </row>
    <row r="2700" spans="19:19" ht="26.25">
      <c r="S2700" s="61" ph="1"/>
    </row>
    <row r="2701" spans="19:19" ht="26.25">
      <c r="S2701" s="61" ph="1"/>
    </row>
    <row r="2702" spans="19:19" ht="26.25">
      <c r="S2702" s="61" ph="1"/>
    </row>
    <row r="2703" spans="19:19" ht="26.25">
      <c r="S2703" s="61" ph="1"/>
    </row>
    <row r="2704" spans="19:19" ht="26.25">
      <c r="S2704" s="61" ph="1"/>
    </row>
    <row r="2705" spans="19:19" ht="26.25">
      <c r="S2705" s="61" ph="1"/>
    </row>
    <row r="2706" spans="19:19" ht="26.25">
      <c r="S2706" s="61" ph="1"/>
    </row>
    <row r="2707" spans="19:19" ht="26.25">
      <c r="S2707" s="61" ph="1"/>
    </row>
    <row r="2708" spans="19:19" ht="26.25">
      <c r="S2708" s="61" ph="1"/>
    </row>
    <row r="2709" spans="19:19" ht="26.25">
      <c r="S2709" s="61" ph="1"/>
    </row>
    <row r="2710" spans="19:19" ht="26.25">
      <c r="S2710" s="61" ph="1"/>
    </row>
    <row r="2711" spans="19:19" ht="26.25">
      <c r="S2711" s="61" ph="1"/>
    </row>
    <row r="2712" spans="19:19" ht="26.25">
      <c r="S2712" s="61" ph="1"/>
    </row>
    <row r="2713" spans="19:19" ht="26.25">
      <c r="S2713" s="61" ph="1"/>
    </row>
    <row r="2714" spans="19:19" ht="26.25">
      <c r="S2714" s="61" ph="1"/>
    </row>
    <row r="2715" spans="19:19" ht="26.25">
      <c r="S2715" s="61" ph="1"/>
    </row>
    <row r="2716" spans="19:19" ht="26.25">
      <c r="S2716" s="61" ph="1"/>
    </row>
    <row r="2717" spans="19:19" ht="26.25">
      <c r="S2717" s="61" ph="1"/>
    </row>
    <row r="2718" spans="19:19" ht="26.25">
      <c r="S2718" s="61" ph="1"/>
    </row>
    <row r="2719" spans="19:19" ht="26.25">
      <c r="S2719" s="61" ph="1"/>
    </row>
    <row r="2720" spans="19:19" ht="26.25">
      <c r="S2720" s="61" ph="1"/>
    </row>
    <row r="2721" spans="19:19" ht="26.25">
      <c r="S2721" s="61" ph="1"/>
    </row>
    <row r="2722" spans="19:19" ht="26.25">
      <c r="S2722" s="61" ph="1"/>
    </row>
    <row r="2723" spans="19:19" ht="26.25">
      <c r="S2723" s="61" ph="1"/>
    </row>
    <row r="2724" spans="19:19" ht="26.25">
      <c r="S2724" s="61" ph="1"/>
    </row>
    <row r="2725" spans="19:19" ht="26.25">
      <c r="S2725" s="61" ph="1"/>
    </row>
    <row r="2726" spans="19:19" ht="26.25">
      <c r="S2726" s="61" ph="1"/>
    </row>
    <row r="2727" spans="19:19" ht="26.25">
      <c r="S2727" s="61" ph="1"/>
    </row>
    <row r="2728" spans="19:19" ht="26.25">
      <c r="S2728" s="61" ph="1"/>
    </row>
    <row r="2729" spans="19:19" ht="26.25">
      <c r="S2729" s="61" ph="1"/>
    </row>
    <row r="2730" spans="19:19" ht="26.25">
      <c r="S2730" s="61" ph="1"/>
    </row>
    <row r="2731" spans="19:19" ht="26.25">
      <c r="S2731" s="61" ph="1"/>
    </row>
    <row r="2732" spans="19:19" ht="26.25">
      <c r="S2732" s="61" ph="1"/>
    </row>
    <row r="2733" spans="19:19" ht="26.25">
      <c r="S2733" s="61" ph="1"/>
    </row>
    <row r="2734" spans="19:19" ht="26.25">
      <c r="S2734" s="61" ph="1"/>
    </row>
    <row r="2735" spans="19:19" ht="26.25">
      <c r="S2735" s="61" ph="1"/>
    </row>
    <row r="2736" spans="19:19" ht="26.25">
      <c r="S2736" s="61" ph="1"/>
    </row>
    <row r="2737" spans="19:19" ht="26.25">
      <c r="S2737" s="61" ph="1"/>
    </row>
    <row r="2738" spans="19:19" ht="26.25">
      <c r="S2738" s="61" ph="1"/>
    </row>
    <row r="2739" spans="19:19" ht="26.25">
      <c r="S2739" s="61" ph="1"/>
    </row>
    <row r="2740" spans="19:19" ht="26.25">
      <c r="S2740" s="61" ph="1"/>
    </row>
    <row r="2741" spans="19:19" ht="26.25">
      <c r="S2741" s="61" ph="1"/>
    </row>
    <row r="2742" spans="19:19" ht="26.25">
      <c r="S2742" s="61" ph="1"/>
    </row>
    <row r="2743" spans="19:19" ht="26.25">
      <c r="S2743" s="61" ph="1"/>
    </row>
    <row r="2744" spans="19:19" ht="26.25">
      <c r="S2744" s="61" ph="1"/>
    </row>
    <row r="2745" spans="19:19" ht="26.25">
      <c r="S2745" s="61" ph="1"/>
    </row>
    <row r="2746" spans="19:19" ht="26.25">
      <c r="S2746" s="61" ph="1"/>
    </row>
    <row r="2747" spans="19:19" ht="26.25">
      <c r="S2747" s="61" ph="1"/>
    </row>
    <row r="2748" spans="19:19" ht="26.25">
      <c r="S2748" s="61" ph="1"/>
    </row>
    <row r="2749" spans="19:19" ht="26.25">
      <c r="S2749" s="61" ph="1"/>
    </row>
    <row r="2750" spans="19:19" ht="26.25">
      <c r="S2750" s="61" ph="1"/>
    </row>
    <row r="2751" spans="19:19" ht="26.25">
      <c r="S2751" s="61" ph="1"/>
    </row>
    <row r="2752" spans="19:19" ht="26.25">
      <c r="S2752" s="61" ph="1"/>
    </row>
    <row r="2753" spans="19:19" ht="26.25">
      <c r="S2753" s="61" ph="1"/>
    </row>
    <row r="2754" spans="19:19" ht="26.25">
      <c r="S2754" s="61" ph="1"/>
    </row>
    <row r="2755" spans="19:19" ht="26.25">
      <c r="S2755" s="61" ph="1"/>
    </row>
    <row r="2756" spans="19:19" ht="26.25">
      <c r="S2756" s="61" ph="1"/>
    </row>
    <row r="2757" spans="19:19" ht="26.25">
      <c r="S2757" s="61" ph="1"/>
    </row>
    <row r="2758" spans="19:19" ht="26.25">
      <c r="S2758" s="61" ph="1"/>
    </row>
    <row r="2759" spans="19:19" ht="26.25">
      <c r="S2759" s="61" ph="1"/>
    </row>
    <row r="2760" spans="19:19" ht="26.25">
      <c r="S2760" s="61" ph="1"/>
    </row>
    <row r="2761" spans="19:19" ht="26.25">
      <c r="S2761" s="61" ph="1"/>
    </row>
    <row r="2762" spans="19:19" ht="26.25">
      <c r="S2762" s="61" ph="1"/>
    </row>
    <row r="2763" spans="19:19" ht="26.25">
      <c r="S2763" s="61" ph="1"/>
    </row>
    <row r="2764" spans="19:19" ht="26.25">
      <c r="S2764" s="61" ph="1"/>
    </row>
    <row r="2765" spans="19:19" ht="26.25">
      <c r="S2765" s="61" ph="1"/>
    </row>
    <row r="2766" spans="19:19" ht="26.25">
      <c r="S2766" s="61" ph="1"/>
    </row>
    <row r="2767" spans="19:19" ht="26.25">
      <c r="S2767" s="61" ph="1"/>
    </row>
    <row r="2768" spans="19:19" ht="26.25">
      <c r="S2768" s="61" ph="1"/>
    </row>
    <row r="2769" spans="19:19" ht="26.25">
      <c r="S2769" s="61" ph="1"/>
    </row>
    <row r="2770" spans="19:19" ht="26.25">
      <c r="S2770" s="61" ph="1"/>
    </row>
    <row r="2771" spans="19:19" ht="26.25">
      <c r="S2771" s="61" ph="1"/>
    </row>
    <row r="2772" spans="19:19" ht="26.25">
      <c r="S2772" s="61" ph="1"/>
    </row>
    <row r="2773" spans="19:19" ht="26.25">
      <c r="S2773" s="61" ph="1"/>
    </row>
    <row r="2774" spans="19:19" ht="26.25">
      <c r="S2774" s="61" ph="1"/>
    </row>
    <row r="2775" spans="19:19" ht="26.25">
      <c r="S2775" s="61" ph="1"/>
    </row>
    <row r="2776" spans="19:19" ht="26.25">
      <c r="S2776" s="61" ph="1"/>
    </row>
    <row r="2777" spans="19:19" ht="26.25">
      <c r="S2777" s="61" ph="1"/>
    </row>
    <row r="2778" spans="19:19" ht="26.25">
      <c r="S2778" s="61" ph="1"/>
    </row>
    <row r="2779" spans="19:19" ht="26.25">
      <c r="S2779" s="61" ph="1"/>
    </row>
    <row r="2780" spans="19:19" ht="26.25">
      <c r="S2780" s="61" ph="1"/>
    </row>
    <row r="2781" spans="19:19" ht="26.25">
      <c r="S2781" s="61" ph="1"/>
    </row>
    <row r="2782" spans="19:19" ht="26.25">
      <c r="S2782" s="61" ph="1"/>
    </row>
    <row r="2783" spans="19:19" ht="26.25">
      <c r="S2783" s="61" ph="1"/>
    </row>
    <row r="2784" spans="19:19" ht="26.25">
      <c r="S2784" s="61" ph="1"/>
    </row>
    <row r="2785" spans="19:19" ht="26.25">
      <c r="S2785" s="61" ph="1"/>
    </row>
    <row r="2786" spans="19:19" ht="26.25">
      <c r="S2786" s="61" ph="1"/>
    </row>
    <row r="2787" spans="19:19" ht="26.25">
      <c r="S2787" s="61" ph="1"/>
    </row>
    <row r="2788" spans="19:19" ht="26.25">
      <c r="S2788" s="61" ph="1"/>
    </row>
    <row r="2789" spans="19:19" ht="26.25">
      <c r="S2789" s="61" ph="1"/>
    </row>
    <row r="2790" spans="19:19" ht="26.25">
      <c r="S2790" s="61" ph="1"/>
    </row>
    <row r="2791" spans="19:19" ht="26.25">
      <c r="S2791" s="61" ph="1"/>
    </row>
    <row r="2792" spans="19:19" ht="26.25">
      <c r="S2792" s="61" ph="1"/>
    </row>
    <row r="2793" spans="19:19" ht="26.25">
      <c r="S2793" s="61" ph="1"/>
    </row>
    <row r="2794" spans="19:19" ht="26.25">
      <c r="S2794" s="61" ph="1"/>
    </row>
    <row r="2795" spans="19:19" ht="26.25">
      <c r="S2795" s="61" ph="1"/>
    </row>
    <row r="2796" spans="19:19" ht="26.25">
      <c r="S2796" s="61" ph="1"/>
    </row>
    <row r="2797" spans="19:19" ht="26.25">
      <c r="S2797" s="61" ph="1"/>
    </row>
    <row r="2798" spans="19:19" ht="26.25">
      <c r="S2798" s="61" ph="1"/>
    </row>
    <row r="2799" spans="19:19" ht="26.25">
      <c r="S2799" s="61" ph="1"/>
    </row>
    <row r="2800" spans="19:19" ht="26.25">
      <c r="S2800" s="61" ph="1"/>
    </row>
    <row r="2801" spans="19:19" ht="26.25">
      <c r="S2801" s="61" ph="1"/>
    </row>
    <row r="2802" spans="19:19" ht="26.25">
      <c r="S2802" s="61" ph="1"/>
    </row>
    <row r="2803" spans="19:19" ht="26.25">
      <c r="S2803" s="61" ph="1"/>
    </row>
    <row r="2804" spans="19:19" ht="26.25">
      <c r="S2804" s="61" ph="1"/>
    </row>
    <row r="2805" spans="19:19" ht="26.25">
      <c r="S2805" s="61" ph="1"/>
    </row>
    <row r="2806" spans="19:19" ht="26.25">
      <c r="S2806" s="61" ph="1"/>
    </row>
    <row r="2807" spans="19:19" ht="26.25">
      <c r="S2807" s="61" ph="1"/>
    </row>
    <row r="2808" spans="19:19" ht="26.25">
      <c r="S2808" s="61" ph="1"/>
    </row>
    <row r="2809" spans="19:19" ht="26.25">
      <c r="S2809" s="61" ph="1"/>
    </row>
    <row r="2810" spans="19:19" ht="26.25">
      <c r="S2810" s="61" ph="1"/>
    </row>
    <row r="2811" spans="19:19" ht="26.25">
      <c r="S2811" s="61" ph="1"/>
    </row>
    <row r="2812" spans="19:19" ht="26.25">
      <c r="S2812" s="61" ph="1"/>
    </row>
    <row r="2813" spans="19:19" ht="26.25">
      <c r="S2813" s="61" ph="1"/>
    </row>
    <row r="2814" spans="19:19" ht="26.25">
      <c r="S2814" s="61" ph="1"/>
    </row>
    <row r="2815" spans="19:19" ht="26.25">
      <c r="S2815" s="61" ph="1"/>
    </row>
    <row r="2816" spans="19:19" ht="26.25">
      <c r="S2816" s="61" ph="1"/>
    </row>
    <row r="2817" spans="19:19" ht="26.25">
      <c r="S2817" s="61" ph="1"/>
    </row>
    <row r="2818" spans="19:19" ht="26.25">
      <c r="S2818" s="61" ph="1"/>
    </row>
    <row r="2819" spans="19:19" ht="26.25">
      <c r="S2819" s="61" ph="1"/>
    </row>
    <row r="2820" spans="19:19" ht="26.25">
      <c r="S2820" s="61" ph="1"/>
    </row>
    <row r="2821" spans="19:19" ht="26.25">
      <c r="S2821" s="61" ph="1"/>
    </row>
    <row r="2822" spans="19:19" ht="26.25">
      <c r="S2822" s="61" ph="1"/>
    </row>
    <row r="2823" spans="19:19" ht="26.25">
      <c r="S2823" s="61" ph="1"/>
    </row>
    <row r="2824" spans="19:19" ht="26.25">
      <c r="S2824" s="61" ph="1"/>
    </row>
    <row r="2825" spans="19:19" ht="26.25">
      <c r="S2825" s="61" ph="1"/>
    </row>
    <row r="2826" spans="19:19" ht="26.25">
      <c r="S2826" s="61" ph="1"/>
    </row>
    <row r="2827" spans="19:19" ht="26.25">
      <c r="S2827" s="61" ph="1"/>
    </row>
    <row r="2828" spans="19:19" ht="26.25">
      <c r="S2828" s="61" ph="1"/>
    </row>
    <row r="2829" spans="19:19" ht="26.25">
      <c r="S2829" s="61" ph="1"/>
    </row>
    <row r="2830" spans="19:19" ht="26.25">
      <c r="S2830" s="61" ph="1"/>
    </row>
    <row r="2831" spans="19:19" ht="26.25">
      <c r="S2831" s="61" ph="1"/>
    </row>
    <row r="2832" spans="19:19" ht="26.25">
      <c r="S2832" s="61" ph="1"/>
    </row>
    <row r="2833" spans="19:19" ht="26.25">
      <c r="S2833" s="61" ph="1"/>
    </row>
    <row r="2834" spans="19:19" ht="26.25">
      <c r="S2834" s="61" ph="1"/>
    </row>
    <row r="2835" spans="19:19" ht="26.25">
      <c r="S2835" s="61" ph="1"/>
    </row>
    <row r="2836" spans="19:19" ht="26.25">
      <c r="S2836" s="61" ph="1"/>
    </row>
    <row r="2837" spans="19:19" ht="26.25">
      <c r="S2837" s="61" ph="1"/>
    </row>
    <row r="2838" spans="19:19" ht="26.25">
      <c r="S2838" s="61" ph="1"/>
    </row>
    <row r="2839" spans="19:19" ht="26.25">
      <c r="S2839" s="61" ph="1"/>
    </row>
    <row r="2840" spans="19:19" ht="26.25">
      <c r="S2840" s="61" ph="1"/>
    </row>
    <row r="2841" spans="19:19" ht="26.25">
      <c r="S2841" s="61" ph="1"/>
    </row>
    <row r="2842" spans="19:19" ht="26.25">
      <c r="S2842" s="61" ph="1"/>
    </row>
    <row r="2843" spans="19:19" ht="26.25">
      <c r="S2843" s="61" ph="1"/>
    </row>
    <row r="2844" spans="19:19" ht="26.25">
      <c r="S2844" s="61" ph="1"/>
    </row>
    <row r="2845" spans="19:19" ht="26.25">
      <c r="S2845" s="61" ph="1"/>
    </row>
    <row r="2846" spans="19:19" ht="26.25">
      <c r="S2846" s="61" ph="1"/>
    </row>
    <row r="2847" spans="19:19" ht="26.25">
      <c r="S2847" s="61" ph="1"/>
    </row>
    <row r="2848" spans="19:19" ht="26.25">
      <c r="S2848" s="61" ph="1"/>
    </row>
    <row r="2849" spans="19:19" ht="26.25">
      <c r="S2849" s="61" ph="1"/>
    </row>
    <row r="2850" spans="19:19" ht="26.25">
      <c r="S2850" s="61" ph="1"/>
    </row>
    <row r="2851" spans="19:19" ht="26.25">
      <c r="S2851" s="61" ph="1"/>
    </row>
    <row r="2852" spans="19:19" ht="26.25">
      <c r="S2852" s="61" ph="1"/>
    </row>
    <row r="2853" spans="19:19" ht="26.25">
      <c r="S2853" s="61" ph="1"/>
    </row>
    <row r="2854" spans="19:19" ht="26.25">
      <c r="S2854" s="61" ph="1"/>
    </row>
    <row r="2855" spans="19:19" ht="26.25">
      <c r="S2855" s="61" ph="1"/>
    </row>
    <row r="2856" spans="19:19" ht="26.25">
      <c r="S2856" s="61" ph="1"/>
    </row>
    <row r="2857" spans="19:19" ht="26.25">
      <c r="S2857" s="61" ph="1"/>
    </row>
    <row r="2858" spans="19:19" ht="26.25">
      <c r="S2858" s="61" ph="1"/>
    </row>
    <row r="2859" spans="19:19" ht="26.25">
      <c r="S2859" s="61" ph="1"/>
    </row>
    <row r="2860" spans="19:19" ht="26.25">
      <c r="S2860" s="61" ph="1"/>
    </row>
    <row r="2861" spans="19:19" ht="26.25">
      <c r="S2861" s="61" ph="1"/>
    </row>
    <row r="2862" spans="19:19" ht="26.25">
      <c r="S2862" s="61" ph="1"/>
    </row>
    <row r="2863" spans="19:19" ht="26.25">
      <c r="S2863" s="61" ph="1"/>
    </row>
    <row r="2864" spans="19:19" ht="26.25">
      <c r="S2864" s="61" ph="1"/>
    </row>
    <row r="2865" spans="19:19" ht="26.25">
      <c r="S2865" s="61" ph="1"/>
    </row>
    <row r="2866" spans="19:19" ht="26.25">
      <c r="S2866" s="61" ph="1"/>
    </row>
    <row r="2867" spans="19:19" ht="26.25">
      <c r="S2867" s="61" ph="1"/>
    </row>
    <row r="2868" spans="19:19" ht="26.25">
      <c r="S2868" s="61" ph="1"/>
    </row>
    <row r="2869" spans="19:19" ht="26.25">
      <c r="S2869" s="61" ph="1"/>
    </row>
    <row r="2870" spans="19:19" ht="26.25">
      <c r="S2870" s="61" ph="1"/>
    </row>
    <row r="2871" spans="19:19" ht="26.25">
      <c r="S2871" s="61" ph="1"/>
    </row>
    <row r="2872" spans="19:19" ht="26.25">
      <c r="S2872" s="61" ph="1"/>
    </row>
    <row r="2873" spans="19:19" ht="26.25">
      <c r="S2873" s="61" ph="1"/>
    </row>
    <row r="2874" spans="19:19" ht="26.25">
      <c r="S2874" s="61" ph="1"/>
    </row>
    <row r="2875" spans="19:19" ht="26.25">
      <c r="S2875" s="61" ph="1"/>
    </row>
    <row r="2876" spans="19:19" ht="26.25">
      <c r="S2876" s="61" ph="1"/>
    </row>
    <row r="2877" spans="19:19" ht="26.25">
      <c r="S2877" s="61" ph="1"/>
    </row>
    <row r="2878" spans="19:19" ht="26.25">
      <c r="S2878" s="61" ph="1"/>
    </row>
    <row r="2879" spans="19:19" ht="26.25">
      <c r="S2879" s="61" ph="1"/>
    </row>
    <row r="2880" spans="19:19" ht="26.25">
      <c r="S2880" s="61" ph="1"/>
    </row>
    <row r="2881" spans="19:19" ht="26.25">
      <c r="S2881" s="61" ph="1"/>
    </row>
    <row r="2882" spans="19:19" ht="26.25">
      <c r="S2882" s="61" ph="1"/>
    </row>
    <row r="2883" spans="19:19" ht="26.25">
      <c r="S2883" s="61" ph="1"/>
    </row>
    <row r="2884" spans="19:19" ht="26.25">
      <c r="S2884" s="61" ph="1"/>
    </row>
    <row r="2885" spans="19:19" ht="26.25">
      <c r="S2885" s="61" ph="1"/>
    </row>
    <row r="2886" spans="19:19" ht="26.25">
      <c r="S2886" s="61" ph="1"/>
    </row>
    <row r="2887" spans="19:19" ht="26.25">
      <c r="S2887" s="61" ph="1"/>
    </row>
    <row r="2888" spans="19:19" ht="26.25">
      <c r="S2888" s="61" ph="1"/>
    </row>
    <row r="2889" spans="19:19" ht="26.25">
      <c r="S2889" s="61" ph="1"/>
    </row>
    <row r="2890" spans="19:19" ht="26.25">
      <c r="S2890" s="61" ph="1"/>
    </row>
    <row r="2891" spans="19:19" ht="26.25">
      <c r="S2891" s="61" ph="1"/>
    </row>
    <row r="2892" spans="19:19" ht="26.25">
      <c r="S2892" s="61" ph="1"/>
    </row>
    <row r="2893" spans="19:19" ht="26.25">
      <c r="S2893" s="61" ph="1"/>
    </row>
    <row r="2894" spans="19:19" ht="26.25">
      <c r="S2894" s="61" ph="1"/>
    </row>
    <row r="2895" spans="19:19" ht="26.25">
      <c r="S2895" s="61" ph="1"/>
    </row>
    <row r="2896" spans="19:19" ht="26.25">
      <c r="S2896" s="61" ph="1"/>
    </row>
    <row r="2897" spans="19:19" ht="26.25">
      <c r="S2897" s="61" ph="1"/>
    </row>
    <row r="2898" spans="19:19" ht="26.25">
      <c r="S2898" s="61" ph="1"/>
    </row>
    <row r="2899" spans="19:19" ht="26.25">
      <c r="S2899" s="61" ph="1"/>
    </row>
    <row r="2900" spans="19:19" ht="26.25">
      <c r="S2900" s="61" ph="1"/>
    </row>
    <row r="2901" spans="19:19" ht="26.25">
      <c r="S2901" s="61" ph="1"/>
    </row>
    <row r="2902" spans="19:19" ht="26.25">
      <c r="S2902" s="61" ph="1"/>
    </row>
    <row r="2903" spans="19:19" ht="26.25">
      <c r="S2903" s="61" ph="1"/>
    </row>
    <row r="2904" spans="19:19" ht="26.25">
      <c r="S2904" s="61" ph="1"/>
    </row>
    <row r="2905" spans="19:19" ht="26.25">
      <c r="S2905" s="61" ph="1"/>
    </row>
    <row r="2906" spans="19:19" ht="26.25">
      <c r="S2906" s="61" ph="1"/>
    </row>
    <row r="2907" spans="19:19" ht="26.25">
      <c r="S2907" s="61" ph="1"/>
    </row>
    <row r="2908" spans="19:19" ht="26.25">
      <c r="S2908" s="61" ph="1"/>
    </row>
    <row r="2909" spans="19:19" ht="26.25">
      <c r="S2909" s="61" ph="1"/>
    </row>
    <row r="2910" spans="19:19" ht="26.25">
      <c r="S2910" s="61" ph="1"/>
    </row>
    <row r="2911" spans="19:19" ht="26.25">
      <c r="S2911" s="61" ph="1"/>
    </row>
    <row r="2912" spans="19:19" ht="26.25">
      <c r="S2912" s="61" ph="1"/>
    </row>
    <row r="2913" spans="19:19" ht="26.25">
      <c r="S2913" s="61" ph="1"/>
    </row>
    <row r="2914" spans="19:19" ht="26.25">
      <c r="S2914" s="61" ph="1"/>
    </row>
    <row r="2915" spans="19:19" ht="26.25">
      <c r="S2915" s="61" ph="1"/>
    </row>
    <row r="2916" spans="19:19" ht="26.25">
      <c r="S2916" s="61" ph="1"/>
    </row>
    <row r="2917" spans="19:19" ht="26.25">
      <c r="S2917" s="61" ph="1"/>
    </row>
    <row r="2918" spans="19:19" ht="26.25">
      <c r="S2918" s="61" ph="1"/>
    </row>
    <row r="2919" spans="19:19" ht="26.25">
      <c r="S2919" s="61" ph="1"/>
    </row>
    <row r="2920" spans="19:19" ht="26.25">
      <c r="S2920" s="61" ph="1"/>
    </row>
    <row r="2921" spans="19:19" ht="26.25">
      <c r="S2921" s="61" ph="1"/>
    </row>
    <row r="2922" spans="19:19" ht="26.25">
      <c r="S2922" s="61" ph="1"/>
    </row>
    <row r="2923" spans="19:19" ht="26.25">
      <c r="S2923" s="61" ph="1"/>
    </row>
    <row r="2924" spans="19:19" ht="26.25">
      <c r="S2924" s="61" ph="1"/>
    </row>
    <row r="2925" spans="19:19" ht="26.25">
      <c r="S2925" s="61" ph="1"/>
    </row>
    <row r="2926" spans="19:19" ht="26.25">
      <c r="S2926" s="61" ph="1"/>
    </row>
    <row r="2927" spans="19:19" ht="26.25">
      <c r="S2927" s="61" ph="1"/>
    </row>
    <row r="2928" spans="19:19" ht="26.25">
      <c r="S2928" s="61" ph="1"/>
    </row>
    <row r="2929" spans="19:19" ht="26.25">
      <c r="S2929" s="61" ph="1"/>
    </row>
    <row r="2930" spans="19:19" ht="26.25">
      <c r="S2930" s="61" ph="1"/>
    </row>
    <row r="2931" spans="19:19" ht="26.25">
      <c r="S2931" s="61" ph="1"/>
    </row>
    <row r="2932" spans="19:19" ht="26.25">
      <c r="S2932" s="61" ph="1"/>
    </row>
    <row r="2933" spans="19:19" ht="26.25">
      <c r="S2933" s="61" ph="1"/>
    </row>
    <row r="2934" spans="19:19" ht="26.25">
      <c r="S2934" s="61" ph="1"/>
    </row>
    <row r="2935" spans="19:19" ht="26.25">
      <c r="S2935" s="61" ph="1"/>
    </row>
    <row r="2936" spans="19:19" ht="26.25">
      <c r="S2936" s="61" ph="1"/>
    </row>
    <row r="2937" spans="19:19" ht="26.25">
      <c r="S2937" s="61" ph="1"/>
    </row>
    <row r="2938" spans="19:19" ht="26.25">
      <c r="S2938" s="61" ph="1"/>
    </row>
    <row r="2939" spans="19:19" ht="26.25">
      <c r="S2939" s="61" ph="1"/>
    </row>
    <row r="2940" spans="19:19" ht="26.25">
      <c r="S2940" s="61" ph="1"/>
    </row>
    <row r="2941" spans="19:19" ht="26.25">
      <c r="S2941" s="61" ph="1"/>
    </row>
    <row r="2942" spans="19:19" ht="26.25">
      <c r="S2942" s="61" ph="1"/>
    </row>
    <row r="2943" spans="19:19" ht="26.25">
      <c r="S2943" s="61" ph="1"/>
    </row>
    <row r="2944" spans="19:19" ht="26.25">
      <c r="S2944" s="61" ph="1"/>
    </row>
    <row r="2945" spans="19:19" ht="26.25">
      <c r="S2945" s="61" ph="1"/>
    </row>
    <row r="2946" spans="19:19" ht="26.25">
      <c r="S2946" s="61" ph="1"/>
    </row>
    <row r="2947" spans="19:19" ht="26.25">
      <c r="S2947" s="61" ph="1"/>
    </row>
    <row r="2948" spans="19:19" ht="26.25">
      <c r="S2948" s="61" ph="1"/>
    </row>
    <row r="2949" spans="19:19" ht="26.25">
      <c r="S2949" s="61" ph="1"/>
    </row>
    <row r="2950" spans="19:19" ht="26.25">
      <c r="S2950" s="61" ph="1"/>
    </row>
    <row r="2951" spans="19:19" ht="26.25">
      <c r="S2951" s="61" ph="1"/>
    </row>
    <row r="2952" spans="19:19" ht="26.25">
      <c r="S2952" s="61" ph="1"/>
    </row>
    <row r="2953" spans="19:19" ht="26.25">
      <c r="S2953" s="61" ph="1"/>
    </row>
    <row r="2954" spans="19:19" ht="26.25">
      <c r="S2954" s="61" ph="1"/>
    </row>
    <row r="2955" spans="19:19" ht="26.25">
      <c r="S2955" s="61" ph="1"/>
    </row>
    <row r="2956" spans="19:19" ht="26.25">
      <c r="S2956" s="61" ph="1"/>
    </row>
    <row r="2957" spans="19:19" ht="26.25">
      <c r="S2957" s="61" ph="1"/>
    </row>
    <row r="2958" spans="19:19" ht="26.25">
      <c r="S2958" s="61" ph="1"/>
    </row>
    <row r="2959" spans="19:19" ht="26.25">
      <c r="S2959" s="61" ph="1"/>
    </row>
    <row r="2960" spans="19:19" ht="26.25">
      <c r="S2960" s="61" ph="1"/>
    </row>
    <row r="2961" spans="19:19" ht="26.25">
      <c r="S2961" s="61" ph="1"/>
    </row>
    <row r="2962" spans="19:19" ht="26.25">
      <c r="S2962" s="61" ph="1"/>
    </row>
    <row r="2963" spans="19:19" ht="26.25">
      <c r="S2963" s="61" ph="1"/>
    </row>
    <row r="2964" spans="19:19" ht="26.25">
      <c r="S2964" s="61" ph="1"/>
    </row>
    <row r="2965" spans="19:19" ht="26.25">
      <c r="S2965" s="61" ph="1"/>
    </row>
    <row r="2966" spans="19:19" ht="26.25">
      <c r="S2966" s="61" ph="1"/>
    </row>
    <row r="2967" spans="19:19" ht="26.25">
      <c r="S2967" s="61" ph="1"/>
    </row>
    <row r="2968" spans="19:19" ht="26.25">
      <c r="S2968" s="61" ph="1"/>
    </row>
    <row r="2969" spans="19:19" ht="26.25">
      <c r="S2969" s="61" ph="1"/>
    </row>
    <row r="2970" spans="19:19" ht="26.25">
      <c r="S2970" s="61" ph="1"/>
    </row>
    <row r="2971" spans="19:19" ht="26.25">
      <c r="S2971" s="61" ph="1"/>
    </row>
    <row r="2972" spans="19:19" ht="26.25">
      <c r="S2972" s="61" ph="1"/>
    </row>
    <row r="2973" spans="19:19" ht="26.25">
      <c r="S2973" s="61" ph="1"/>
    </row>
    <row r="2974" spans="19:19" ht="26.25">
      <c r="S2974" s="61" ph="1"/>
    </row>
    <row r="2975" spans="19:19" ht="26.25">
      <c r="S2975" s="61" ph="1"/>
    </row>
    <row r="2976" spans="19:19" ht="26.25">
      <c r="S2976" s="61" ph="1"/>
    </row>
    <row r="2977" spans="19:19" ht="26.25">
      <c r="S2977" s="61" ph="1"/>
    </row>
    <row r="2978" spans="19:19" ht="26.25">
      <c r="S2978" s="61" ph="1"/>
    </row>
    <row r="2979" spans="19:19" ht="26.25">
      <c r="S2979" s="61" ph="1"/>
    </row>
    <row r="2980" spans="19:19" ht="26.25">
      <c r="S2980" s="61" ph="1"/>
    </row>
    <row r="2981" spans="19:19" ht="26.25">
      <c r="S2981" s="61" ph="1"/>
    </row>
    <row r="2982" spans="19:19" ht="26.25">
      <c r="S2982" s="61" ph="1"/>
    </row>
    <row r="2983" spans="19:19" ht="26.25">
      <c r="S2983" s="61" ph="1"/>
    </row>
    <row r="2984" spans="19:19" ht="26.25">
      <c r="S2984" s="61" ph="1"/>
    </row>
    <row r="2985" spans="19:19" ht="26.25">
      <c r="S2985" s="61" ph="1"/>
    </row>
    <row r="2986" spans="19:19" ht="26.25">
      <c r="S2986" s="61" ph="1"/>
    </row>
    <row r="2987" spans="19:19" ht="26.25">
      <c r="S2987" s="61" ph="1"/>
    </row>
    <row r="2988" spans="19:19" ht="26.25">
      <c r="S2988" s="61" ph="1"/>
    </row>
    <row r="2989" spans="19:19" ht="26.25">
      <c r="S2989" s="61" ph="1"/>
    </row>
    <row r="2990" spans="19:19" ht="26.25">
      <c r="S2990" s="61" ph="1"/>
    </row>
    <row r="2991" spans="19:19" ht="26.25">
      <c r="S2991" s="61" ph="1"/>
    </row>
    <row r="2992" spans="19:19" ht="26.25">
      <c r="S2992" s="61" ph="1"/>
    </row>
    <row r="2993" spans="19:19" ht="26.25">
      <c r="S2993" s="61" ph="1"/>
    </row>
    <row r="2994" spans="19:19" ht="26.25">
      <c r="S2994" s="61" ph="1"/>
    </row>
    <row r="2995" spans="19:19" ht="26.25">
      <c r="S2995" s="61" ph="1"/>
    </row>
    <row r="2996" spans="19:19" ht="26.25">
      <c r="S2996" s="61" ph="1"/>
    </row>
    <row r="2997" spans="19:19" ht="26.25">
      <c r="S2997" s="61" ph="1"/>
    </row>
    <row r="2998" spans="19:19" ht="26.25">
      <c r="S2998" s="61" ph="1"/>
    </row>
    <row r="2999" spans="19:19" ht="26.25">
      <c r="S2999" s="61" ph="1"/>
    </row>
    <row r="3000" spans="19:19" ht="26.25">
      <c r="S3000" s="61" ph="1"/>
    </row>
    <row r="3001" spans="19:19" ht="26.25">
      <c r="S3001" s="61" ph="1"/>
    </row>
    <row r="3002" spans="19:19" ht="26.25">
      <c r="S3002" s="61" ph="1"/>
    </row>
    <row r="3003" spans="19:19" ht="26.25">
      <c r="S3003" s="61" ph="1"/>
    </row>
    <row r="3004" spans="19:19" ht="26.25">
      <c r="S3004" s="61" ph="1"/>
    </row>
    <row r="3005" spans="19:19" ht="26.25">
      <c r="S3005" s="61" ph="1"/>
    </row>
    <row r="3006" spans="19:19" ht="26.25">
      <c r="S3006" s="61" ph="1"/>
    </row>
    <row r="3007" spans="19:19" ht="26.25">
      <c r="S3007" s="61" ph="1"/>
    </row>
    <row r="3008" spans="19:19" ht="26.25">
      <c r="S3008" s="61" ph="1"/>
    </row>
    <row r="3009" spans="19:19" ht="26.25">
      <c r="S3009" s="61" ph="1"/>
    </row>
    <row r="3010" spans="19:19" ht="26.25">
      <c r="S3010" s="61" ph="1"/>
    </row>
    <row r="3011" spans="19:19" ht="26.25">
      <c r="S3011" s="61" ph="1"/>
    </row>
    <row r="3012" spans="19:19" ht="26.25">
      <c r="S3012" s="61" ph="1"/>
    </row>
    <row r="3013" spans="19:19" ht="26.25">
      <c r="S3013" s="61" ph="1"/>
    </row>
    <row r="3014" spans="19:19" ht="26.25">
      <c r="S3014" s="61" ph="1"/>
    </row>
    <row r="3015" spans="19:19" ht="26.25">
      <c r="S3015" s="61" ph="1"/>
    </row>
    <row r="3016" spans="19:19" ht="26.25">
      <c r="S3016" s="61" ph="1"/>
    </row>
    <row r="3017" spans="19:19" ht="26.25">
      <c r="S3017" s="61" ph="1"/>
    </row>
    <row r="3018" spans="19:19" ht="26.25">
      <c r="S3018" s="61" ph="1"/>
    </row>
    <row r="3019" spans="19:19" ht="26.25">
      <c r="S3019" s="61" ph="1"/>
    </row>
    <row r="3020" spans="19:19" ht="26.25">
      <c r="S3020" s="61" ph="1"/>
    </row>
    <row r="3021" spans="19:19" ht="26.25">
      <c r="S3021" s="61" ph="1"/>
    </row>
    <row r="3022" spans="19:19" ht="26.25">
      <c r="S3022" s="61" ph="1"/>
    </row>
    <row r="3023" spans="19:19" ht="26.25">
      <c r="S3023" s="61" ph="1"/>
    </row>
    <row r="3024" spans="19:19" ht="26.25">
      <c r="S3024" s="61" ph="1"/>
    </row>
    <row r="3025" spans="19:19" ht="26.25">
      <c r="S3025" s="61" ph="1"/>
    </row>
    <row r="3026" spans="19:19" ht="26.25">
      <c r="S3026" s="61" ph="1"/>
    </row>
    <row r="3027" spans="19:19" ht="26.25">
      <c r="S3027" s="61" ph="1"/>
    </row>
    <row r="3028" spans="19:19" ht="26.25">
      <c r="S3028" s="61" ph="1"/>
    </row>
    <row r="3029" spans="19:19" ht="26.25">
      <c r="S3029" s="61" ph="1"/>
    </row>
    <row r="3030" spans="19:19" ht="26.25">
      <c r="S3030" s="61" ph="1"/>
    </row>
    <row r="3031" spans="19:19" ht="26.25">
      <c r="S3031" s="61" ph="1"/>
    </row>
    <row r="3032" spans="19:19" ht="26.25">
      <c r="S3032" s="61" ph="1"/>
    </row>
    <row r="3033" spans="19:19" ht="26.25">
      <c r="S3033" s="61" ph="1"/>
    </row>
    <row r="3034" spans="19:19" ht="26.25">
      <c r="S3034" s="61" ph="1"/>
    </row>
    <row r="3035" spans="19:19" ht="26.25">
      <c r="S3035" s="61" ph="1"/>
    </row>
    <row r="3036" spans="19:19" ht="26.25">
      <c r="S3036" s="61" ph="1"/>
    </row>
    <row r="3037" spans="19:19" ht="26.25">
      <c r="S3037" s="61" ph="1"/>
    </row>
    <row r="3038" spans="19:19" ht="26.25">
      <c r="S3038" s="61" ph="1"/>
    </row>
    <row r="3039" spans="19:19" ht="26.25">
      <c r="S3039" s="61" ph="1"/>
    </row>
    <row r="3040" spans="19:19" ht="26.25">
      <c r="S3040" s="61" ph="1"/>
    </row>
    <row r="3041" spans="19:19" ht="26.25">
      <c r="S3041" s="61" ph="1"/>
    </row>
    <row r="3042" spans="19:19" ht="26.25">
      <c r="S3042" s="61" ph="1"/>
    </row>
    <row r="3043" spans="19:19" ht="26.25">
      <c r="S3043" s="61" ph="1"/>
    </row>
    <row r="3044" spans="19:19" ht="26.25">
      <c r="S3044" s="61" ph="1"/>
    </row>
    <row r="3045" spans="19:19" ht="26.25">
      <c r="S3045" s="61" ph="1"/>
    </row>
    <row r="3046" spans="19:19" ht="26.25">
      <c r="S3046" s="61" ph="1"/>
    </row>
    <row r="3047" spans="19:19" ht="26.25">
      <c r="S3047" s="61" ph="1"/>
    </row>
    <row r="3048" spans="19:19" ht="26.25">
      <c r="S3048" s="61" ph="1"/>
    </row>
    <row r="3049" spans="19:19" ht="26.25">
      <c r="S3049" s="61" ph="1"/>
    </row>
    <row r="3050" spans="19:19" ht="26.25">
      <c r="S3050" s="61" ph="1"/>
    </row>
    <row r="3051" spans="19:19" ht="26.25">
      <c r="S3051" s="61" ph="1"/>
    </row>
    <row r="3052" spans="19:19" ht="26.25">
      <c r="S3052" s="61" ph="1"/>
    </row>
    <row r="3053" spans="19:19" ht="26.25">
      <c r="S3053" s="61" ph="1"/>
    </row>
    <row r="3054" spans="19:19" ht="26.25">
      <c r="S3054" s="61" ph="1"/>
    </row>
    <row r="3055" spans="19:19" ht="26.25">
      <c r="S3055" s="61" ph="1"/>
    </row>
    <row r="3056" spans="19:19" ht="26.25">
      <c r="S3056" s="61" ph="1"/>
    </row>
    <row r="3057" spans="19:19" ht="26.25">
      <c r="S3057" s="61" ph="1"/>
    </row>
    <row r="3058" spans="19:19" ht="26.25">
      <c r="S3058" s="61" ph="1"/>
    </row>
    <row r="3059" spans="19:19" ht="26.25">
      <c r="S3059" s="61" ph="1"/>
    </row>
    <row r="3060" spans="19:19" ht="26.25">
      <c r="S3060" s="61" ph="1"/>
    </row>
    <row r="3061" spans="19:19" ht="26.25">
      <c r="S3061" s="61" ph="1"/>
    </row>
    <row r="3062" spans="19:19" ht="26.25">
      <c r="S3062" s="61" ph="1"/>
    </row>
    <row r="3063" spans="19:19" ht="26.25">
      <c r="S3063" s="61" ph="1"/>
    </row>
    <row r="3064" spans="19:19" ht="26.25">
      <c r="S3064" s="61" ph="1"/>
    </row>
    <row r="3065" spans="19:19" ht="26.25">
      <c r="S3065" s="61" ph="1"/>
    </row>
    <row r="3066" spans="19:19" ht="26.25">
      <c r="S3066" s="61" ph="1"/>
    </row>
    <row r="3067" spans="19:19" ht="26.25">
      <c r="S3067" s="61" ph="1"/>
    </row>
    <row r="3068" spans="19:19" ht="26.25">
      <c r="S3068" s="61" ph="1"/>
    </row>
    <row r="3069" spans="19:19" ht="26.25">
      <c r="S3069" s="61" ph="1"/>
    </row>
    <row r="3070" spans="19:19" ht="26.25">
      <c r="S3070" s="61" ph="1"/>
    </row>
    <row r="3071" spans="19:19" ht="26.25">
      <c r="S3071" s="61" ph="1"/>
    </row>
    <row r="3072" spans="19:19" ht="26.25">
      <c r="S3072" s="61" ph="1"/>
    </row>
    <row r="3073" spans="19:19" ht="26.25">
      <c r="S3073" s="61" ph="1"/>
    </row>
    <row r="3074" spans="19:19" ht="26.25">
      <c r="S3074" s="61" ph="1"/>
    </row>
    <row r="3075" spans="19:19" ht="26.25">
      <c r="S3075" s="61" ph="1"/>
    </row>
    <row r="3076" spans="19:19" ht="26.25">
      <c r="S3076" s="61" ph="1"/>
    </row>
    <row r="3077" spans="19:19" ht="26.25">
      <c r="S3077" s="61" ph="1"/>
    </row>
    <row r="3078" spans="19:19" ht="26.25">
      <c r="S3078" s="61" ph="1"/>
    </row>
    <row r="3079" spans="19:19" ht="26.25">
      <c r="S3079" s="61" ph="1"/>
    </row>
    <row r="3080" spans="19:19" ht="26.25">
      <c r="S3080" s="61" ph="1"/>
    </row>
    <row r="3081" spans="19:19" ht="26.25">
      <c r="S3081" s="61" ph="1"/>
    </row>
    <row r="3082" spans="19:19" ht="26.25">
      <c r="S3082" s="61" ph="1"/>
    </row>
    <row r="3083" spans="19:19" ht="26.25">
      <c r="S3083" s="61" ph="1"/>
    </row>
    <row r="3084" spans="19:19" ht="26.25">
      <c r="S3084" s="61" ph="1"/>
    </row>
    <row r="3085" spans="19:19" ht="26.25">
      <c r="S3085" s="61" ph="1"/>
    </row>
    <row r="3086" spans="19:19" ht="26.25">
      <c r="S3086" s="61" ph="1"/>
    </row>
    <row r="3087" spans="19:19" ht="26.25">
      <c r="S3087" s="61" ph="1"/>
    </row>
    <row r="3088" spans="19:19" ht="26.25">
      <c r="S3088" s="61" ph="1"/>
    </row>
    <row r="3089" spans="19:19" ht="26.25">
      <c r="S3089" s="61" ph="1"/>
    </row>
    <row r="3090" spans="19:19" ht="26.25">
      <c r="S3090" s="61" ph="1"/>
    </row>
    <row r="3091" spans="19:19" ht="26.25">
      <c r="S3091" s="61" ph="1"/>
    </row>
    <row r="3092" spans="19:19" ht="26.25">
      <c r="S3092" s="61" ph="1"/>
    </row>
    <row r="3093" spans="19:19" ht="26.25">
      <c r="S3093" s="61" ph="1"/>
    </row>
    <row r="3094" spans="19:19" ht="26.25">
      <c r="S3094" s="61" ph="1"/>
    </row>
    <row r="3095" spans="19:19" ht="26.25">
      <c r="S3095" s="61" ph="1"/>
    </row>
    <row r="3096" spans="19:19" ht="26.25">
      <c r="S3096" s="61" ph="1"/>
    </row>
    <row r="3097" spans="19:19" ht="26.25">
      <c r="S3097" s="61" ph="1"/>
    </row>
    <row r="3098" spans="19:19" ht="26.25">
      <c r="S3098" s="61" ph="1"/>
    </row>
    <row r="3099" spans="19:19" ht="26.25">
      <c r="S3099" s="61" ph="1"/>
    </row>
    <row r="3100" spans="19:19" ht="26.25">
      <c r="S3100" s="61" ph="1"/>
    </row>
    <row r="3101" spans="19:19" ht="26.25">
      <c r="S3101" s="61" ph="1"/>
    </row>
    <row r="3102" spans="19:19" ht="26.25">
      <c r="S3102" s="61" ph="1"/>
    </row>
    <row r="3103" spans="19:19" ht="26.25">
      <c r="S3103" s="61" ph="1"/>
    </row>
    <row r="3104" spans="19:19" ht="26.25">
      <c r="S3104" s="61" ph="1"/>
    </row>
    <row r="3105" spans="19:19" ht="26.25">
      <c r="S3105" s="61" ph="1"/>
    </row>
    <row r="3106" spans="19:19" ht="26.25">
      <c r="S3106" s="61" ph="1"/>
    </row>
    <row r="3107" spans="19:19" ht="26.25">
      <c r="S3107" s="61" ph="1"/>
    </row>
    <row r="3108" spans="19:19" ht="26.25">
      <c r="S3108" s="61" ph="1"/>
    </row>
    <row r="3109" spans="19:19" ht="26.25">
      <c r="S3109" s="61" ph="1"/>
    </row>
    <row r="3110" spans="19:19" ht="26.25">
      <c r="S3110" s="61" ph="1"/>
    </row>
    <row r="3111" spans="19:19" ht="26.25">
      <c r="S3111" s="61" ph="1"/>
    </row>
    <row r="3112" spans="19:19" ht="26.25">
      <c r="S3112" s="61" ph="1"/>
    </row>
    <row r="3113" spans="19:19" ht="26.25">
      <c r="S3113" s="61" ph="1"/>
    </row>
    <row r="3114" spans="19:19" ht="26.25">
      <c r="S3114" s="61" ph="1"/>
    </row>
    <row r="3115" spans="19:19" ht="26.25">
      <c r="S3115" s="61" ph="1"/>
    </row>
    <row r="3116" spans="19:19" ht="26.25">
      <c r="S3116" s="61" ph="1"/>
    </row>
    <row r="3117" spans="19:19" ht="26.25">
      <c r="S3117" s="61" ph="1"/>
    </row>
    <row r="3118" spans="19:19" ht="26.25">
      <c r="S3118" s="61" ph="1"/>
    </row>
    <row r="3119" spans="19:19" ht="26.25">
      <c r="S3119" s="61" ph="1"/>
    </row>
    <row r="3120" spans="19:19" ht="26.25">
      <c r="S3120" s="61" ph="1"/>
    </row>
    <row r="3121" spans="19:19" ht="26.25">
      <c r="S3121" s="61" ph="1"/>
    </row>
    <row r="3122" spans="19:19" ht="26.25">
      <c r="S3122" s="61" ph="1"/>
    </row>
    <row r="3123" spans="19:19" ht="26.25">
      <c r="S3123" s="61" ph="1"/>
    </row>
    <row r="3124" spans="19:19" ht="26.25">
      <c r="S3124" s="61" ph="1"/>
    </row>
    <row r="3125" spans="19:19" ht="26.25">
      <c r="S3125" s="61" ph="1"/>
    </row>
    <row r="3126" spans="19:19" ht="26.25">
      <c r="S3126" s="61" ph="1"/>
    </row>
    <row r="3127" spans="19:19" ht="26.25">
      <c r="S3127" s="61" ph="1"/>
    </row>
    <row r="3128" spans="19:19" ht="26.25">
      <c r="S3128" s="61" ph="1"/>
    </row>
    <row r="3129" spans="19:19" ht="26.25">
      <c r="S3129" s="61" ph="1"/>
    </row>
    <row r="3130" spans="19:19" ht="26.25">
      <c r="S3130" s="61" ph="1"/>
    </row>
    <row r="3131" spans="19:19" ht="26.25">
      <c r="S3131" s="61" ph="1"/>
    </row>
    <row r="3132" spans="19:19" ht="26.25">
      <c r="S3132" s="61" ph="1"/>
    </row>
    <row r="3133" spans="19:19" ht="26.25">
      <c r="S3133" s="61" ph="1"/>
    </row>
    <row r="3134" spans="19:19" ht="26.25">
      <c r="S3134" s="61" ph="1"/>
    </row>
    <row r="3135" spans="19:19" ht="26.25">
      <c r="S3135" s="61" ph="1"/>
    </row>
    <row r="3136" spans="19:19" ht="26.25">
      <c r="S3136" s="61" ph="1"/>
    </row>
    <row r="3137" spans="19:19" ht="26.25">
      <c r="S3137" s="61" ph="1"/>
    </row>
    <row r="3138" spans="19:19" ht="26.25">
      <c r="S3138" s="61" ph="1"/>
    </row>
    <row r="3139" spans="19:19" ht="26.25">
      <c r="S3139" s="61" ph="1"/>
    </row>
    <row r="3140" spans="19:19" ht="26.25">
      <c r="S3140" s="61" ph="1"/>
    </row>
    <row r="3141" spans="19:19" ht="26.25">
      <c r="S3141" s="61" ph="1"/>
    </row>
    <row r="3142" spans="19:19" ht="26.25">
      <c r="S3142" s="61" ph="1"/>
    </row>
    <row r="3143" spans="19:19" ht="26.25">
      <c r="S3143" s="61" ph="1"/>
    </row>
    <row r="3144" spans="19:19" ht="26.25">
      <c r="S3144" s="61" ph="1"/>
    </row>
    <row r="3145" spans="19:19" ht="26.25">
      <c r="S3145" s="61" ph="1"/>
    </row>
    <row r="3146" spans="19:19" ht="26.25">
      <c r="S3146" s="61" ph="1"/>
    </row>
    <row r="3147" spans="19:19" ht="26.25">
      <c r="S3147" s="61" ph="1"/>
    </row>
    <row r="3148" spans="19:19" ht="26.25">
      <c r="S3148" s="61" ph="1"/>
    </row>
    <row r="3149" spans="19:19" ht="26.25">
      <c r="S3149" s="61" ph="1"/>
    </row>
    <row r="3150" spans="19:19" ht="26.25">
      <c r="S3150" s="61" ph="1"/>
    </row>
    <row r="3151" spans="19:19" ht="26.25">
      <c r="S3151" s="61" ph="1"/>
    </row>
    <row r="3152" spans="19:19" ht="26.25">
      <c r="S3152" s="61" ph="1"/>
    </row>
    <row r="3153" spans="19:19" ht="26.25">
      <c r="S3153" s="61" ph="1"/>
    </row>
    <row r="3154" spans="19:19" ht="26.25">
      <c r="S3154" s="61" ph="1"/>
    </row>
    <row r="3155" spans="19:19" ht="26.25">
      <c r="S3155" s="61" ph="1"/>
    </row>
    <row r="3156" spans="19:19" ht="26.25">
      <c r="S3156" s="61" ph="1"/>
    </row>
    <row r="3157" spans="19:19" ht="26.25">
      <c r="S3157" s="61" ph="1"/>
    </row>
    <row r="3158" spans="19:19" ht="26.25">
      <c r="S3158" s="61" ph="1"/>
    </row>
    <row r="3159" spans="19:19" ht="26.25">
      <c r="S3159" s="61" ph="1"/>
    </row>
    <row r="3160" spans="19:19" ht="26.25">
      <c r="S3160" s="61" ph="1"/>
    </row>
    <row r="3161" spans="19:19" ht="26.25">
      <c r="S3161" s="61" ph="1"/>
    </row>
    <row r="3162" spans="19:19" ht="26.25">
      <c r="S3162" s="61" ph="1"/>
    </row>
    <row r="3163" spans="19:19" ht="26.25">
      <c r="S3163" s="61" ph="1"/>
    </row>
    <row r="3164" spans="19:19" ht="26.25">
      <c r="S3164" s="61" ph="1"/>
    </row>
    <row r="3165" spans="19:19" ht="26.25">
      <c r="S3165" s="61" ph="1"/>
    </row>
    <row r="3166" spans="19:19" ht="26.25">
      <c r="S3166" s="61" ph="1"/>
    </row>
    <row r="3167" spans="19:19" ht="26.25">
      <c r="S3167" s="61" ph="1"/>
    </row>
    <row r="3168" spans="19:19" ht="26.25">
      <c r="S3168" s="61" ph="1"/>
    </row>
    <row r="3169" spans="19:19" ht="26.25">
      <c r="S3169" s="61" ph="1"/>
    </row>
    <row r="3170" spans="19:19" ht="26.25">
      <c r="S3170" s="61" ph="1"/>
    </row>
    <row r="3171" spans="19:19" ht="26.25">
      <c r="S3171" s="61" ph="1"/>
    </row>
    <row r="3172" spans="19:19" ht="26.25">
      <c r="S3172" s="61" ph="1"/>
    </row>
    <row r="3173" spans="19:19" ht="26.25">
      <c r="S3173" s="61" ph="1"/>
    </row>
    <row r="3174" spans="19:19" ht="26.25">
      <c r="S3174" s="61" ph="1"/>
    </row>
    <row r="3175" spans="19:19" ht="26.25">
      <c r="S3175" s="61" ph="1"/>
    </row>
    <row r="3176" spans="19:19" ht="26.25">
      <c r="S3176" s="61" ph="1"/>
    </row>
    <row r="3177" spans="19:19" ht="26.25">
      <c r="S3177" s="61" ph="1"/>
    </row>
    <row r="3178" spans="19:19" ht="26.25">
      <c r="S3178" s="61" ph="1"/>
    </row>
    <row r="3179" spans="19:19" ht="26.25">
      <c r="S3179" s="61" ph="1"/>
    </row>
    <row r="3180" spans="19:19" ht="26.25">
      <c r="S3180" s="61" ph="1"/>
    </row>
    <row r="3181" spans="19:19" ht="26.25">
      <c r="S3181" s="61" ph="1"/>
    </row>
    <row r="3182" spans="19:19" ht="26.25">
      <c r="S3182" s="61" ph="1"/>
    </row>
    <row r="3183" spans="19:19" ht="26.25">
      <c r="S3183" s="61" ph="1"/>
    </row>
    <row r="3184" spans="19:19" ht="26.25">
      <c r="S3184" s="61" ph="1"/>
    </row>
    <row r="3185" spans="19:19" ht="26.25">
      <c r="S3185" s="61" ph="1"/>
    </row>
    <row r="3186" spans="19:19" ht="26.25">
      <c r="S3186" s="61" ph="1"/>
    </row>
    <row r="3187" spans="19:19" ht="26.25">
      <c r="S3187" s="61" ph="1"/>
    </row>
    <row r="3188" spans="19:19" ht="26.25">
      <c r="S3188" s="61" ph="1"/>
    </row>
    <row r="3189" spans="19:19" ht="26.25">
      <c r="S3189" s="61" ph="1"/>
    </row>
    <row r="3190" spans="19:19" ht="26.25">
      <c r="S3190" s="61" ph="1"/>
    </row>
    <row r="3191" spans="19:19" ht="26.25">
      <c r="S3191" s="61" ph="1"/>
    </row>
    <row r="3192" spans="19:19" ht="26.25">
      <c r="S3192" s="61" ph="1"/>
    </row>
    <row r="3193" spans="19:19" ht="26.25">
      <c r="S3193" s="61" ph="1"/>
    </row>
    <row r="3194" spans="19:19" ht="26.25">
      <c r="S3194" s="61" ph="1"/>
    </row>
    <row r="3195" spans="19:19" ht="26.25">
      <c r="S3195" s="61" ph="1"/>
    </row>
    <row r="3196" spans="19:19" ht="26.25">
      <c r="S3196" s="61" ph="1"/>
    </row>
    <row r="3197" spans="19:19" ht="26.25">
      <c r="S3197" s="61" ph="1"/>
    </row>
    <row r="3198" spans="19:19" ht="26.25">
      <c r="S3198" s="61" ph="1"/>
    </row>
    <row r="3199" spans="19:19" ht="26.25">
      <c r="S3199" s="61" ph="1"/>
    </row>
    <row r="3200" spans="19:19" ht="26.25">
      <c r="S3200" s="61" ph="1"/>
    </row>
    <row r="3201" spans="19:19" ht="26.25">
      <c r="S3201" s="61" ph="1"/>
    </row>
    <row r="3202" spans="19:19" ht="26.25">
      <c r="S3202" s="61" ph="1"/>
    </row>
    <row r="3203" spans="19:19" ht="26.25">
      <c r="S3203" s="61" ph="1"/>
    </row>
    <row r="3204" spans="19:19" ht="26.25">
      <c r="S3204" s="61" ph="1"/>
    </row>
    <row r="3205" spans="19:19" ht="26.25">
      <c r="S3205" s="61" ph="1"/>
    </row>
    <row r="3206" spans="19:19" ht="26.25">
      <c r="S3206" s="61" ph="1"/>
    </row>
    <row r="3207" spans="19:19" ht="26.25">
      <c r="S3207" s="61" ph="1"/>
    </row>
    <row r="3208" spans="19:19" ht="26.25">
      <c r="S3208" s="61" ph="1"/>
    </row>
    <row r="3209" spans="19:19" ht="26.25">
      <c r="S3209" s="61" ph="1"/>
    </row>
    <row r="3210" spans="19:19" ht="26.25">
      <c r="S3210" s="61" ph="1"/>
    </row>
    <row r="3211" spans="19:19" ht="26.25">
      <c r="S3211" s="61" ph="1"/>
    </row>
    <row r="3212" spans="19:19" ht="26.25">
      <c r="S3212" s="61" ph="1"/>
    </row>
    <row r="3213" spans="19:19" ht="26.25">
      <c r="S3213" s="61" ph="1"/>
    </row>
    <row r="3214" spans="19:19" ht="26.25">
      <c r="S3214" s="61" ph="1"/>
    </row>
    <row r="3215" spans="19:19" ht="26.25">
      <c r="S3215" s="61" ph="1"/>
    </row>
    <row r="3216" spans="19:19" ht="26.25">
      <c r="S3216" s="61" ph="1"/>
    </row>
    <row r="3217" spans="19:19" ht="26.25">
      <c r="S3217" s="61" ph="1"/>
    </row>
    <row r="3218" spans="19:19" ht="26.25">
      <c r="S3218" s="61" ph="1"/>
    </row>
    <row r="3219" spans="19:19" ht="26.25">
      <c r="S3219" s="61" ph="1"/>
    </row>
    <row r="3220" spans="19:19" ht="26.25">
      <c r="S3220" s="61" ph="1"/>
    </row>
    <row r="3221" spans="19:19" ht="26.25">
      <c r="S3221" s="61" ph="1"/>
    </row>
    <row r="3222" spans="19:19" ht="26.25">
      <c r="S3222" s="61" ph="1"/>
    </row>
    <row r="3223" spans="19:19" ht="26.25">
      <c r="S3223" s="61" ph="1"/>
    </row>
    <row r="3224" spans="19:19" ht="26.25">
      <c r="S3224" s="61" ph="1"/>
    </row>
    <row r="3225" spans="19:19" ht="26.25">
      <c r="S3225" s="61" ph="1"/>
    </row>
    <row r="3226" spans="19:19" ht="26.25">
      <c r="S3226" s="61" ph="1"/>
    </row>
    <row r="3227" spans="19:19" ht="26.25">
      <c r="S3227" s="61" ph="1"/>
    </row>
    <row r="3228" spans="19:19" ht="26.25">
      <c r="S3228" s="61" ph="1"/>
    </row>
    <row r="3229" spans="19:19" ht="26.25">
      <c r="S3229" s="61" ph="1"/>
    </row>
    <row r="3230" spans="19:19" ht="26.25">
      <c r="S3230" s="61" ph="1"/>
    </row>
    <row r="3231" spans="19:19" ht="26.25">
      <c r="S3231" s="61" ph="1"/>
    </row>
    <row r="3232" spans="19:19" ht="26.25">
      <c r="S3232" s="61" ph="1"/>
    </row>
    <row r="3233" spans="19:19" ht="26.25">
      <c r="S3233" s="61" ph="1"/>
    </row>
    <row r="3234" spans="19:19" ht="26.25">
      <c r="S3234" s="61" ph="1"/>
    </row>
    <row r="3235" spans="19:19" ht="26.25">
      <c r="S3235" s="61" ph="1"/>
    </row>
    <row r="3236" spans="19:19" ht="26.25">
      <c r="S3236" s="61" ph="1"/>
    </row>
    <row r="3237" spans="19:19" ht="26.25">
      <c r="S3237" s="61" ph="1"/>
    </row>
    <row r="3238" spans="19:19" ht="26.25">
      <c r="S3238" s="61" ph="1"/>
    </row>
    <row r="3239" spans="19:19" ht="26.25">
      <c r="S3239" s="61" ph="1"/>
    </row>
    <row r="3240" spans="19:19" ht="26.25">
      <c r="S3240" s="61" ph="1"/>
    </row>
    <row r="3241" spans="19:19" ht="26.25">
      <c r="S3241" s="61" ph="1"/>
    </row>
    <row r="3242" spans="19:19" ht="26.25">
      <c r="S3242" s="61" ph="1"/>
    </row>
    <row r="3243" spans="19:19" ht="26.25">
      <c r="S3243" s="61" ph="1"/>
    </row>
    <row r="3244" spans="19:19" ht="26.25">
      <c r="S3244" s="61" ph="1"/>
    </row>
    <row r="3245" spans="19:19" ht="26.25">
      <c r="S3245" s="61" ph="1"/>
    </row>
    <row r="3246" spans="19:19" ht="26.25">
      <c r="S3246" s="61" ph="1"/>
    </row>
    <row r="3247" spans="19:19" ht="26.25">
      <c r="S3247" s="61" ph="1"/>
    </row>
    <row r="3248" spans="19:19" ht="26.25">
      <c r="S3248" s="61" ph="1"/>
    </row>
    <row r="3249" spans="19:19" ht="26.25">
      <c r="S3249" s="61" ph="1"/>
    </row>
    <row r="3250" spans="19:19" ht="26.25">
      <c r="S3250" s="61" ph="1"/>
    </row>
    <row r="3251" spans="19:19" ht="26.25">
      <c r="S3251" s="61" ph="1"/>
    </row>
    <row r="3252" spans="19:19" ht="26.25">
      <c r="S3252" s="61" ph="1"/>
    </row>
    <row r="3253" spans="19:19" ht="26.25">
      <c r="S3253" s="61" ph="1"/>
    </row>
    <row r="3254" spans="19:19" ht="26.25">
      <c r="S3254" s="61" ph="1"/>
    </row>
    <row r="3255" spans="19:19" ht="26.25">
      <c r="S3255" s="61" ph="1"/>
    </row>
    <row r="3256" spans="19:19" ht="26.25">
      <c r="S3256" s="61" ph="1"/>
    </row>
    <row r="3257" spans="19:19" ht="26.25">
      <c r="S3257" s="61" ph="1"/>
    </row>
    <row r="3258" spans="19:19" ht="26.25">
      <c r="S3258" s="61" ph="1"/>
    </row>
    <row r="3259" spans="19:19" ht="26.25">
      <c r="S3259" s="61" ph="1"/>
    </row>
    <row r="3260" spans="19:19" ht="26.25">
      <c r="S3260" s="61" ph="1"/>
    </row>
    <row r="3261" spans="19:19" ht="26.25">
      <c r="S3261" s="61" ph="1"/>
    </row>
    <row r="3262" spans="19:19" ht="26.25">
      <c r="S3262" s="61" ph="1"/>
    </row>
    <row r="3263" spans="19:19" ht="26.25">
      <c r="S3263" s="61" ph="1"/>
    </row>
    <row r="3264" spans="19:19" ht="26.25">
      <c r="S3264" s="61" ph="1"/>
    </row>
    <row r="3265" spans="19:19" ht="26.25">
      <c r="S3265" s="61" ph="1"/>
    </row>
    <row r="3266" spans="19:19" ht="26.25">
      <c r="S3266" s="61" ph="1"/>
    </row>
    <row r="3267" spans="19:19" ht="26.25">
      <c r="S3267" s="61" ph="1"/>
    </row>
    <row r="3268" spans="19:19" ht="26.25">
      <c r="S3268" s="61" ph="1"/>
    </row>
    <row r="3269" spans="19:19" ht="26.25">
      <c r="S3269" s="61" ph="1"/>
    </row>
    <row r="3270" spans="19:19" ht="26.25">
      <c r="S3270" s="61" ph="1"/>
    </row>
    <row r="3271" spans="19:19" ht="26.25">
      <c r="S3271" s="61" ph="1"/>
    </row>
    <row r="3272" spans="19:19" ht="26.25">
      <c r="S3272" s="61" ph="1"/>
    </row>
    <row r="3273" spans="19:19" ht="26.25">
      <c r="S3273" s="61" ph="1"/>
    </row>
    <row r="3274" spans="19:19" ht="26.25">
      <c r="S3274" s="61" ph="1"/>
    </row>
    <row r="3275" spans="19:19" ht="26.25">
      <c r="S3275" s="61" ph="1"/>
    </row>
    <row r="3276" spans="19:19" ht="26.25">
      <c r="S3276" s="61" ph="1"/>
    </row>
    <row r="3277" spans="19:19" ht="26.25">
      <c r="S3277" s="61" ph="1"/>
    </row>
    <row r="3278" spans="19:19" ht="26.25">
      <c r="S3278" s="61" ph="1"/>
    </row>
    <row r="3279" spans="19:19" ht="26.25">
      <c r="S3279" s="61" ph="1"/>
    </row>
    <row r="3280" spans="19:19" ht="26.25">
      <c r="S3280" s="61" ph="1"/>
    </row>
    <row r="3281" spans="19:19" ht="26.25">
      <c r="S3281" s="61" ph="1"/>
    </row>
    <row r="3282" spans="19:19" ht="26.25">
      <c r="S3282" s="61" ph="1"/>
    </row>
    <row r="3283" spans="19:19" ht="26.25">
      <c r="S3283" s="61" ph="1"/>
    </row>
    <row r="3284" spans="19:19" ht="26.25">
      <c r="S3284" s="61" ph="1"/>
    </row>
    <row r="3285" spans="19:19" ht="26.25">
      <c r="S3285" s="61" ph="1"/>
    </row>
    <row r="3286" spans="19:19" ht="26.25">
      <c r="S3286" s="61" ph="1"/>
    </row>
    <row r="3287" spans="19:19" ht="26.25">
      <c r="S3287" s="61" ph="1"/>
    </row>
    <row r="3288" spans="19:19" ht="26.25">
      <c r="S3288" s="61" ph="1"/>
    </row>
    <row r="3289" spans="19:19" ht="26.25">
      <c r="S3289" s="61" ph="1"/>
    </row>
    <row r="3290" spans="19:19" ht="26.25">
      <c r="S3290" s="61" ph="1"/>
    </row>
    <row r="3291" spans="19:19" ht="26.25">
      <c r="S3291" s="61" ph="1"/>
    </row>
    <row r="3292" spans="19:19" ht="26.25">
      <c r="S3292" s="61" ph="1"/>
    </row>
    <row r="3293" spans="19:19" ht="26.25">
      <c r="S3293" s="61" ph="1"/>
    </row>
    <row r="3294" spans="19:19" ht="26.25">
      <c r="S3294" s="61" ph="1"/>
    </row>
    <row r="3295" spans="19:19" ht="26.25">
      <c r="S3295" s="61" ph="1"/>
    </row>
    <row r="3296" spans="19:19" ht="26.25">
      <c r="S3296" s="61" ph="1"/>
    </row>
    <row r="3297" spans="19:19" ht="26.25">
      <c r="S3297" s="61" ph="1"/>
    </row>
    <row r="3298" spans="19:19" ht="26.25">
      <c r="S3298" s="61" ph="1"/>
    </row>
    <row r="3299" spans="19:19" ht="26.25">
      <c r="S3299" s="61" ph="1"/>
    </row>
    <row r="3300" spans="19:19" ht="26.25">
      <c r="S3300" s="61" ph="1"/>
    </row>
    <row r="3301" spans="19:19" ht="26.25">
      <c r="S3301" s="61" ph="1"/>
    </row>
    <row r="3302" spans="19:19" ht="26.25">
      <c r="S3302" s="61" ph="1"/>
    </row>
    <row r="3303" spans="19:19" ht="26.25">
      <c r="S3303" s="61" ph="1"/>
    </row>
    <row r="3304" spans="19:19" ht="26.25">
      <c r="S3304" s="61" ph="1"/>
    </row>
    <row r="3305" spans="19:19" ht="26.25">
      <c r="S3305" s="61" ph="1"/>
    </row>
    <row r="3306" spans="19:19" ht="26.25">
      <c r="S3306" s="61" ph="1"/>
    </row>
    <row r="3307" spans="19:19" ht="26.25">
      <c r="S3307" s="61" ph="1"/>
    </row>
    <row r="3308" spans="19:19" ht="26.25">
      <c r="S3308" s="61" ph="1"/>
    </row>
    <row r="3309" spans="19:19" ht="26.25">
      <c r="S3309" s="61" ph="1"/>
    </row>
    <row r="3310" spans="19:19" ht="26.25">
      <c r="S3310" s="61" ph="1"/>
    </row>
    <row r="3311" spans="19:19" ht="26.25">
      <c r="S3311" s="61" ph="1"/>
    </row>
    <row r="3312" spans="19:19" ht="26.25">
      <c r="S3312" s="61" ph="1"/>
    </row>
    <row r="3313" spans="19:19" ht="26.25">
      <c r="S3313" s="61" ph="1"/>
    </row>
    <row r="3314" spans="19:19" ht="26.25">
      <c r="S3314" s="61" ph="1"/>
    </row>
    <row r="3315" spans="19:19" ht="26.25">
      <c r="S3315" s="61" ph="1"/>
    </row>
    <row r="3316" spans="19:19" ht="26.25">
      <c r="S3316" s="61" ph="1"/>
    </row>
    <row r="3317" spans="19:19" ht="26.25">
      <c r="S3317" s="61" ph="1"/>
    </row>
    <row r="3318" spans="19:19" ht="26.25">
      <c r="S3318" s="61" ph="1"/>
    </row>
    <row r="3319" spans="19:19" ht="26.25">
      <c r="S3319" s="61" ph="1"/>
    </row>
    <row r="3320" spans="19:19" ht="26.25">
      <c r="S3320" s="61" ph="1"/>
    </row>
    <row r="3321" spans="19:19" ht="26.25">
      <c r="S3321" s="61" ph="1"/>
    </row>
    <row r="3322" spans="19:19" ht="26.25">
      <c r="S3322" s="61" ph="1"/>
    </row>
    <row r="3323" spans="19:19" ht="26.25">
      <c r="S3323" s="61" ph="1"/>
    </row>
    <row r="3324" spans="19:19" ht="26.25">
      <c r="S3324" s="61" ph="1"/>
    </row>
    <row r="3325" spans="19:19" ht="26.25">
      <c r="S3325" s="61" ph="1"/>
    </row>
    <row r="3326" spans="19:19" ht="26.25">
      <c r="S3326" s="61" ph="1"/>
    </row>
    <row r="3327" spans="19:19" ht="26.25">
      <c r="S3327" s="61" ph="1"/>
    </row>
    <row r="3328" spans="19:19" ht="26.25">
      <c r="S3328" s="61" ph="1"/>
    </row>
    <row r="3329" spans="19:19" ht="26.25">
      <c r="S3329" s="61" ph="1"/>
    </row>
    <row r="3330" spans="19:19" ht="26.25">
      <c r="S3330" s="61" ph="1"/>
    </row>
    <row r="3331" spans="19:19" ht="26.25">
      <c r="S3331" s="61" ph="1"/>
    </row>
    <row r="3332" spans="19:19" ht="26.25">
      <c r="S3332" s="61" ph="1"/>
    </row>
    <row r="3333" spans="19:19" ht="26.25">
      <c r="S3333" s="61" ph="1"/>
    </row>
    <row r="3334" spans="19:19" ht="26.25">
      <c r="S3334" s="61" ph="1"/>
    </row>
    <row r="3335" spans="19:19" ht="26.25">
      <c r="S3335" s="61" ph="1"/>
    </row>
    <row r="3336" spans="19:19" ht="26.25">
      <c r="S3336" s="61" ph="1"/>
    </row>
    <row r="3337" spans="19:19" ht="26.25">
      <c r="S3337" s="61" ph="1"/>
    </row>
    <row r="3338" spans="19:19" ht="26.25">
      <c r="S3338" s="61" ph="1"/>
    </row>
    <row r="3339" spans="19:19" ht="26.25">
      <c r="S3339" s="61" ph="1"/>
    </row>
    <row r="3340" spans="19:19" ht="26.25">
      <c r="S3340" s="61" ph="1"/>
    </row>
    <row r="3341" spans="19:19" ht="26.25">
      <c r="S3341" s="61" ph="1"/>
    </row>
    <row r="3342" spans="19:19" ht="26.25">
      <c r="S3342" s="61" ph="1"/>
    </row>
    <row r="3343" spans="19:19" ht="26.25">
      <c r="S3343" s="61" ph="1"/>
    </row>
    <row r="3344" spans="19:19" ht="26.25">
      <c r="S3344" s="61" ph="1"/>
    </row>
    <row r="3345" spans="19:19" ht="26.25">
      <c r="S3345" s="61" ph="1"/>
    </row>
    <row r="3346" spans="19:19" ht="26.25">
      <c r="S3346" s="61" ph="1"/>
    </row>
    <row r="3347" spans="19:19" ht="26.25">
      <c r="S3347" s="61" ph="1"/>
    </row>
    <row r="3348" spans="19:19" ht="26.25">
      <c r="S3348" s="61" ph="1"/>
    </row>
    <row r="3349" spans="19:19" ht="26.25">
      <c r="S3349" s="61" ph="1"/>
    </row>
    <row r="3350" spans="19:19" ht="26.25">
      <c r="S3350" s="61" ph="1"/>
    </row>
    <row r="3351" spans="19:19" ht="26.25">
      <c r="S3351" s="61" ph="1"/>
    </row>
    <row r="3352" spans="19:19" ht="26.25">
      <c r="S3352" s="61" ph="1"/>
    </row>
    <row r="3353" spans="19:19" ht="26.25">
      <c r="S3353" s="61" ph="1"/>
    </row>
    <row r="3354" spans="19:19" ht="26.25">
      <c r="S3354" s="61" ph="1"/>
    </row>
    <row r="3355" spans="19:19" ht="26.25">
      <c r="S3355" s="61" ph="1"/>
    </row>
    <row r="3356" spans="19:19" ht="26.25">
      <c r="S3356" s="61" ph="1"/>
    </row>
    <row r="3357" spans="19:19" ht="26.25">
      <c r="S3357" s="61" ph="1"/>
    </row>
    <row r="3358" spans="19:19" ht="26.25">
      <c r="S3358" s="61" ph="1"/>
    </row>
    <row r="3359" spans="19:19" ht="26.25">
      <c r="S3359" s="61" ph="1"/>
    </row>
    <row r="3360" spans="19:19" ht="26.25">
      <c r="S3360" s="61" ph="1"/>
    </row>
    <row r="3361" spans="19:19" ht="26.25">
      <c r="S3361" s="61" ph="1"/>
    </row>
    <row r="3362" spans="19:19" ht="26.25">
      <c r="S3362" s="61" ph="1"/>
    </row>
    <row r="3363" spans="19:19" ht="26.25">
      <c r="S3363" s="61" ph="1"/>
    </row>
    <row r="3364" spans="19:19" ht="26.25">
      <c r="S3364" s="61" ph="1"/>
    </row>
    <row r="3365" spans="19:19" ht="26.25">
      <c r="S3365" s="61" ph="1"/>
    </row>
    <row r="3366" spans="19:19" ht="26.25">
      <c r="S3366" s="61" ph="1"/>
    </row>
    <row r="3367" spans="19:19" ht="26.25">
      <c r="S3367" s="61" ph="1"/>
    </row>
    <row r="3368" spans="19:19" ht="26.25">
      <c r="S3368" s="61" ph="1"/>
    </row>
    <row r="3369" spans="19:19" ht="26.25">
      <c r="S3369" s="61" ph="1"/>
    </row>
    <row r="3370" spans="19:19" ht="26.25">
      <c r="S3370" s="61" ph="1"/>
    </row>
    <row r="3371" spans="19:19" ht="26.25">
      <c r="S3371" s="61" ph="1"/>
    </row>
    <row r="3372" spans="19:19" ht="26.25">
      <c r="S3372" s="61" ph="1"/>
    </row>
    <row r="3373" spans="19:19" ht="26.25">
      <c r="S3373" s="61" ph="1"/>
    </row>
    <row r="3374" spans="19:19" ht="26.25">
      <c r="S3374" s="61" ph="1"/>
    </row>
    <row r="3375" spans="19:19" ht="26.25">
      <c r="S3375" s="61" ph="1"/>
    </row>
    <row r="3376" spans="19:19" ht="26.25">
      <c r="S3376" s="61" ph="1"/>
    </row>
    <row r="3377" spans="19:19" ht="26.25">
      <c r="S3377" s="61" ph="1"/>
    </row>
    <row r="3378" spans="19:19" ht="26.25">
      <c r="S3378" s="61" ph="1"/>
    </row>
    <row r="3379" spans="19:19" ht="26.25">
      <c r="S3379" s="61" ph="1"/>
    </row>
    <row r="3380" spans="19:19" ht="26.25">
      <c r="S3380" s="61" ph="1"/>
    </row>
    <row r="3381" spans="19:19" ht="26.25">
      <c r="S3381" s="61" ph="1"/>
    </row>
    <row r="3382" spans="19:19" ht="26.25">
      <c r="S3382" s="61" ph="1"/>
    </row>
    <row r="3383" spans="19:19" ht="26.25">
      <c r="S3383" s="61" ph="1"/>
    </row>
    <row r="3384" spans="19:19" ht="26.25">
      <c r="S3384" s="61" ph="1"/>
    </row>
    <row r="3385" spans="19:19" ht="26.25">
      <c r="S3385" s="61" ph="1"/>
    </row>
    <row r="3386" spans="19:19" ht="26.25">
      <c r="S3386" s="61" ph="1"/>
    </row>
    <row r="3387" spans="19:19" ht="26.25">
      <c r="S3387" s="61" ph="1"/>
    </row>
    <row r="3388" spans="19:19" ht="26.25">
      <c r="S3388" s="61" ph="1"/>
    </row>
    <row r="3389" spans="19:19" ht="26.25">
      <c r="S3389" s="61" ph="1"/>
    </row>
    <row r="3390" spans="19:19" ht="26.25">
      <c r="S3390" s="61" ph="1"/>
    </row>
    <row r="3391" spans="19:19" ht="26.25">
      <c r="S3391" s="61" ph="1"/>
    </row>
    <row r="3392" spans="19:19" ht="26.25">
      <c r="S3392" s="61" ph="1"/>
    </row>
    <row r="3393" spans="19:19" ht="26.25">
      <c r="S3393" s="61" ph="1"/>
    </row>
    <row r="3394" spans="19:19" ht="26.25">
      <c r="S3394" s="61" ph="1"/>
    </row>
    <row r="3395" spans="19:19" ht="26.25">
      <c r="S3395" s="61" ph="1"/>
    </row>
    <row r="3396" spans="19:19" ht="26.25">
      <c r="S3396" s="61" ph="1"/>
    </row>
    <row r="3397" spans="19:19" ht="26.25">
      <c r="S3397" s="61" ph="1"/>
    </row>
    <row r="3398" spans="19:19" ht="26.25">
      <c r="S3398" s="61" ph="1"/>
    </row>
    <row r="3399" spans="19:19" ht="26.25">
      <c r="S3399" s="61" ph="1"/>
    </row>
    <row r="3400" spans="19:19" ht="26.25">
      <c r="S3400" s="61" ph="1"/>
    </row>
    <row r="3401" spans="19:19" ht="26.25">
      <c r="S3401" s="61" ph="1"/>
    </row>
    <row r="3402" spans="19:19" ht="26.25">
      <c r="S3402" s="61" ph="1"/>
    </row>
    <row r="3403" spans="19:19" ht="26.25">
      <c r="S3403" s="61" ph="1"/>
    </row>
    <row r="3404" spans="19:19" ht="26.25">
      <c r="S3404" s="61" ph="1"/>
    </row>
    <row r="3405" spans="19:19" ht="26.25">
      <c r="S3405" s="61" ph="1"/>
    </row>
    <row r="3406" spans="19:19" ht="26.25">
      <c r="S3406" s="61" ph="1"/>
    </row>
    <row r="3407" spans="19:19" ht="26.25">
      <c r="S3407" s="61" ph="1"/>
    </row>
    <row r="3408" spans="19:19" ht="26.25">
      <c r="S3408" s="61" ph="1"/>
    </row>
    <row r="3409" spans="19:19" ht="26.25">
      <c r="S3409" s="61" ph="1"/>
    </row>
    <row r="3410" spans="19:19" ht="26.25">
      <c r="S3410" s="61" ph="1"/>
    </row>
    <row r="3411" spans="19:19" ht="26.25">
      <c r="S3411" s="61" ph="1"/>
    </row>
    <row r="3412" spans="19:19" ht="26.25">
      <c r="S3412" s="61" ph="1"/>
    </row>
    <row r="3413" spans="19:19" ht="26.25">
      <c r="S3413" s="61" ph="1"/>
    </row>
    <row r="3414" spans="19:19" ht="26.25">
      <c r="S3414" s="61" ph="1"/>
    </row>
    <row r="3415" spans="19:19" ht="26.25">
      <c r="S3415" s="61" ph="1"/>
    </row>
    <row r="3416" spans="19:19" ht="26.25">
      <c r="S3416" s="61" ph="1"/>
    </row>
    <row r="3417" spans="19:19" ht="26.25">
      <c r="S3417" s="61" ph="1"/>
    </row>
    <row r="3418" spans="19:19" ht="26.25">
      <c r="S3418" s="61" ph="1"/>
    </row>
    <row r="3419" spans="19:19" ht="26.25">
      <c r="S3419" s="61" ph="1"/>
    </row>
    <row r="3420" spans="19:19" ht="26.25">
      <c r="S3420" s="61" ph="1"/>
    </row>
    <row r="3421" spans="19:19" ht="26.25">
      <c r="S3421" s="61" ph="1"/>
    </row>
    <row r="3422" spans="19:19" ht="26.25">
      <c r="S3422" s="61" ph="1"/>
    </row>
    <row r="3423" spans="19:19" ht="26.25">
      <c r="S3423" s="61" ph="1"/>
    </row>
    <row r="3424" spans="19:19" ht="26.25">
      <c r="S3424" s="61" ph="1"/>
    </row>
    <row r="3425" spans="19:19" ht="26.25">
      <c r="S3425" s="61" ph="1"/>
    </row>
    <row r="3426" spans="19:19" ht="26.25">
      <c r="S3426" s="61" ph="1"/>
    </row>
    <row r="3427" spans="19:19" ht="26.25">
      <c r="S3427" s="61" ph="1"/>
    </row>
    <row r="3428" spans="19:19" ht="26.25">
      <c r="S3428" s="61" ph="1"/>
    </row>
    <row r="3429" spans="19:19" ht="26.25">
      <c r="S3429" s="61" ph="1"/>
    </row>
    <row r="3430" spans="19:19" ht="26.25">
      <c r="S3430" s="61" ph="1"/>
    </row>
    <row r="3431" spans="19:19" ht="26.25">
      <c r="S3431" s="61" ph="1"/>
    </row>
    <row r="3432" spans="19:19" ht="26.25">
      <c r="S3432" s="61" ph="1"/>
    </row>
    <row r="3433" spans="19:19" ht="26.25">
      <c r="S3433" s="61" ph="1"/>
    </row>
    <row r="3434" spans="19:19" ht="26.25">
      <c r="S3434" s="61" ph="1"/>
    </row>
    <row r="3435" spans="19:19" ht="26.25">
      <c r="S3435" s="61" ph="1"/>
    </row>
    <row r="3436" spans="19:19" ht="26.25">
      <c r="S3436" s="61" ph="1"/>
    </row>
    <row r="3437" spans="19:19" ht="26.25">
      <c r="S3437" s="61" ph="1"/>
    </row>
    <row r="3438" spans="19:19" ht="26.25">
      <c r="S3438" s="61" ph="1"/>
    </row>
    <row r="3439" spans="19:19" ht="26.25">
      <c r="S3439" s="61" ph="1"/>
    </row>
    <row r="3440" spans="19:19" ht="26.25">
      <c r="S3440" s="61" ph="1"/>
    </row>
    <row r="3441" spans="19:19" ht="26.25">
      <c r="S3441" s="61" ph="1"/>
    </row>
    <row r="3442" spans="19:19" ht="26.25">
      <c r="S3442" s="61" ph="1"/>
    </row>
    <row r="3443" spans="19:19" ht="26.25">
      <c r="S3443" s="61" ph="1"/>
    </row>
    <row r="3444" spans="19:19" ht="26.25">
      <c r="S3444" s="61" ph="1"/>
    </row>
    <row r="3445" spans="19:19" ht="26.25">
      <c r="S3445" s="61" ph="1"/>
    </row>
    <row r="3446" spans="19:19" ht="26.25">
      <c r="S3446" s="61" ph="1"/>
    </row>
    <row r="3447" spans="19:19" ht="26.25">
      <c r="S3447" s="61" ph="1"/>
    </row>
    <row r="3448" spans="19:19" ht="26.25">
      <c r="S3448" s="61" ph="1"/>
    </row>
    <row r="3449" spans="19:19" ht="26.25">
      <c r="S3449" s="61" ph="1"/>
    </row>
    <row r="3450" spans="19:19" ht="26.25">
      <c r="S3450" s="61" ph="1"/>
    </row>
    <row r="3451" spans="19:19" ht="26.25">
      <c r="S3451" s="61" ph="1"/>
    </row>
    <row r="3452" spans="19:19" ht="26.25">
      <c r="S3452" s="61" ph="1"/>
    </row>
    <row r="3453" spans="19:19" ht="26.25">
      <c r="S3453" s="61" ph="1"/>
    </row>
    <row r="3454" spans="19:19" ht="26.25">
      <c r="S3454" s="61" ph="1"/>
    </row>
    <row r="3455" spans="19:19" ht="26.25">
      <c r="S3455" s="61" ph="1"/>
    </row>
    <row r="3456" spans="19:19" ht="26.25">
      <c r="S3456" s="61" ph="1"/>
    </row>
    <row r="3457" spans="19:19" ht="26.25">
      <c r="S3457" s="61" ph="1"/>
    </row>
    <row r="3458" spans="19:19" ht="26.25">
      <c r="S3458" s="61" ph="1"/>
    </row>
    <row r="3459" spans="19:19" ht="26.25">
      <c r="S3459" s="61" ph="1"/>
    </row>
    <row r="3460" spans="19:19" ht="26.25">
      <c r="S3460" s="61" ph="1"/>
    </row>
    <row r="3461" spans="19:19" ht="26.25">
      <c r="S3461" s="61" ph="1"/>
    </row>
    <row r="3462" spans="19:19" ht="26.25">
      <c r="S3462" s="61" ph="1"/>
    </row>
    <row r="3463" spans="19:19" ht="26.25">
      <c r="S3463" s="61" ph="1"/>
    </row>
    <row r="3464" spans="19:19" ht="26.25">
      <c r="S3464" s="61" ph="1"/>
    </row>
    <row r="3465" spans="19:19" ht="26.25">
      <c r="S3465" s="61" ph="1"/>
    </row>
    <row r="3466" spans="19:19" ht="26.25">
      <c r="S3466" s="61" ph="1"/>
    </row>
    <row r="3467" spans="19:19" ht="26.25">
      <c r="S3467" s="61" ph="1"/>
    </row>
    <row r="3468" spans="19:19" ht="26.25">
      <c r="S3468" s="61" ph="1"/>
    </row>
    <row r="3469" spans="19:19" ht="26.25">
      <c r="S3469" s="61" ph="1"/>
    </row>
    <row r="3470" spans="19:19" ht="26.25">
      <c r="S3470" s="61" ph="1"/>
    </row>
    <row r="3471" spans="19:19" ht="26.25">
      <c r="S3471" s="61" ph="1"/>
    </row>
    <row r="3472" spans="19:19" ht="26.25">
      <c r="S3472" s="61" ph="1"/>
    </row>
    <row r="3473" spans="19:19" ht="26.25">
      <c r="S3473" s="61" ph="1"/>
    </row>
    <row r="3474" spans="19:19" ht="26.25">
      <c r="S3474" s="61" ph="1"/>
    </row>
    <row r="3475" spans="19:19" ht="26.25">
      <c r="S3475" s="61" ph="1"/>
    </row>
    <row r="3476" spans="19:19" ht="26.25">
      <c r="S3476" s="61" ph="1"/>
    </row>
    <row r="3477" spans="19:19" ht="26.25">
      <c r="S3477" s="61" ph="1"/>
    </row>
    <row r="3478" spans="19:19" ht="26.25">
      <c r="S3478" s="61" ph="1"/>
    </row>
    <row r="3479" spans="19:19" ht="26.25">
      <c r="S3479" s="61" ph="1"/>
    </row>
    <row r="3480" spans="19:19" ht="26.25">
      <c r="S3480" s="61" ph="1"/>
    </row>
    <row r="3481" spans="19:19" ht="26.25">
      <c r="S3481" s="61" ph="1"/>
    </row>
    <row r="3482" spans="19:19" ht="26.25">
      <c r="S3482" s="61" ph="1"/>
    </row>
    <row r="3483" spans="19:19" ht="26.25">
      <c r="S3483" s="61" ph="1"/>
    </row>
    <row r="3484" spans="19:19" ht="26.25">
      <c r="S3484" s="61" ph="1"/>
    </row>
    <row r="3485" spans="19:19" ht="26.25">
      <c r="S3485" s="61" ph="1"/>
    </row>
    <row r="3486" spans="19:19" ht="26.25">
      <c r="S3486" s="61" ph="1"/>
    </row>
    <row r="3487" spans="19:19" ht="26.25">
      <c r="S3487" s="61" ph="1"/>
    </row>
    <row r="3488" spans="19:19" ht="26.25">
      <c r="S3488" s="61" ph="1"/>
    </row>
    <row r="3489" spans="19:19" ht="26.25">
      <c r="S3489" s="61" ph="1"/>
    </row>
    <row r="3490" spans="19:19" ht="26.25">
      <c r="S3490" s="61" ph="1"/>
    </row>
    <row r="3491" spans="19:19" ht="26.25">
      <c r="S3491" s="61" ph="1"/>
    </row>
    <row r="3492" spans="19:19" ht="26.25">
      <c r="S3492" s="61" ph="1"/>
    </row>
    <row r="3493" spans="19:19" ht="26.25">
      <c r="S3493" s="61" ph="1"/>
    </row>
    <row r="3494" spans="19:19" ht="26.25">
      <c r="S3494" s="61" ph="1"/>
    </row>
    <row r="3495" spans="19:19" ht="26.25">
      <c r="S3495" s="61" ph="1"/>
    </row>
    <row r="3496" spans="19:19" ht="26.25">
      <c r="S3496" s="61" ph="1"/>
    </row>
    <row r="3497" spans="19:19" ht="26.25">
      <c r="S3497" s="61" ph="1"/>
    </row>
    <row r="3498" spans="19:19" ht="26.25">
      <c r="S3498" s="61" ph="1"/>
    </row>
    <row r="3499" spans="19:19" ht="26.25">
      <c r="S3499" s="61" ph="1"/>
    </row>
    <row r="3500" spans="19:19" ht="26.25">
      <c r="S3500" s="61" ph="1"/>
    </row>
    <row r="3501" spans="19:19" ht="26.25">
      <c r="S3501" s="61" ph="1"/>
    </row>
    <row r="3502" spans="19:19" ht="26.25">
      <c r="S3502" s="61" ph="1"/>
    </row>
    <row r="3503" spans="19:19" ht="26.25">
      <c r="S3503" s="61" ph="1"/>
    </row>
    <row r="3504" spans="19:19" ht="26.25">
      <c r="S3504" s="61" ph="1"/>
    </row>
    <row r="3505" spans="19:19" ht="26.25">
      <c r="S3505" s="61" ph="1"/>
    </row>
    <row r="3506" spans="19:19" ht="26.25">
      <c r="S3506" s="61" ph="1"/>
    </row>
    <row r="3507" spans="19:19" ht="26.25">
      <c r="S3507" s="61" ph="1"/>
    </row>
    <row r="3508" spans="19:19" ht="26.25">
      <c r="S3508" s="61" ph="1"/>
    </row>
    <row r="3509" spans="19:19" ht="26.25">
      <c r="S3509" s="61" ph="1"/>
    </row>
    <row r="3510" spans="19:19" ht="26.25">
      <c r="S3510" s="61" ph="1"/>
    </row>
    <row r="3511" spans="19:19" ht="26.25">
      <c r="S3511" s="61" ph="1"/>
    </row>
    <row r="3512" spans="19:19" ht="26.25">
      <c r="S3512" s="61" ph="1"/>
    </row>
    <row r="3513" spans="19:19" ht="26.25">
      <c r="S3513" s="61" ph="1"/>
    </row>
    <row r="3514" spans="19:19" ht="26.25">
      <c r="S3514" s="61" ph="1"/>
    </row>
    <row r="3515" spans="19:19" ht="26.25">
      <c r="S3515" s="61" ph="1"/>
    </row>
    <row r="3516" spans="19:19" ht="26.25">
      <c r="S3516" s="61" ph="1"/>
    </row>
    <row r="3517" spans="19:19" ht="26.25">
      <c r="S3517" s="61" ph="1"/>
    </row>
    <row r="3518" spans="19:19" ht="26.25">
      <c r="S3518" s="61" ph="1"/>
    </row>
    <row r="3519" spans="19:19" ht="26.25">
      <c r="S3519" s="61" ph="1"/>
    </row>
    <row r="3520" spans="19:19" ht="26.25">
      <c r="S3520" s="61" ph="1"/>
    </row>
    <row r="3521" spans="19:19" ht="26.25">
      <c r="S3521" s="61" ph="1"/>
    </row>
    <row r="3522" spans="19:19" ht="26.25">
      <c r="S3522" s="61" ph="1"/>
    </row>
    <row r="3523" spans="19:19" ht="26.25">
      <c r="S3523" s="61" ph="1"/>
    </row>
    <row r="3524" spans="19:19" ht="26.25">
      <c r="S3524" s="61" ph="1"/>
    </row>
    <row r="3525" spans="19:19" ht="26.25">
      <c r="S3525" s="61" ph="1"/>
    </row>
    <row r="3526" spans="19:19" ht="26.25">
      <c r="S3526" s="61" ph="1"/>
    </row>
    <row r="3527" spans="19:19" ht="26.25">
      <c r="S3527" s="61" ph="1"/>
    </row>
    <row r="3528" spans="19:19" ht="26.25">
      <c r="S3528" s="61" ph="1"/>
    </row>
    <row r="3529" spans="19:19" ht="26.25">
      <c r="S3529" s="61" ph="1"/>
    </row>
    <row r="3530" spans="19:19" ht="26.25">
      <c r="S3530" s="61" ph="1"/>
    </row>
    <row r="3531" spans="19:19" ht="26.25">
      <c r="S3531" s="61" ph="1"/>
    </row>
    <row r="3532" spans="19:19" ht="26.25">
      <c r="S3532" s="61" ph="1"/>
    </row>
    <row r="3533" spans="19:19" ht="26.25">
      <c r="S3533" s="61" ph="1"/>
    </row>
    <row r="3534" spans="19:19" ht="26.25">
      <c r="S3534" s="61" ph="1"/>
    </row>
    <row r="3535" spans="19:19" ht="26.25">
      <c r="S3535" s="61" ph="1"/>
    </row>
    <row r="3536" spans="19:19" ht="26.25">
      <c r="S3536" s="61" ph="1"/>
    </row>
    <row r="3537" spans="19:19" ht="26.25">
      <c r="S3537" s="61" ph="1"/>
    </row>
    <row r="3538" spans="19:19" ht="26.25">
      <c r="S3538" s="61" ph="1"/>
    </row>
    <row r="3539" spans="19:19" ht="26.25">
      <c r="S3539" s="61" ph="1"/>
    </row>
    <row r="3540" spans="19:19" ht="26.25">
      <c r="S3540" s="61" ph="1"/>
    </row>
    <row r="3541" spans="19:19" ht="26.25">
      <c r="S3541" s="61" ph="1"/>
    </row>
    <row r="3542" spans="19:19" ht="26.25">
      <c r="S3542" s="61" ph="1"/>
    </row>
    <row r="3543" spans="19:19" ht="26.25">
      <c r="S3543" s="61" ph="1"/>
    </row>
    <row r="3544" spans="19:19" ht="26.25">
      <c r="S3544" s="61" ph="1"/>
    </row>
    <row r="3545" spans="19:19" ht="26.25">
      <c r="S3545" s="61" ph="1"/>
    </row>
    <row r="3546" spans="19:19" ht="26.25">
      <c r="S3546" s="61" ph="1"/>
    </row>
    <row r="3547" spans="19:19" ht="26.25">
      <c r="S3547" s="61" ph="1"/>
    </row>
    <row r="3548" spans="19:19" ht="26.25">
      <c r="S3548" s="61" ph="1"/>
    </row>
    <row r="3549" spans="19:19" ht="26.25">
      <c r="S3549" s="61" ph="1"/>
    </row>
    <row r="3550" spans="19:19" ht="26.25">
      <c r="S3550" s="61" ph="1"/>
    </row>
    <row r="3551" spans="19:19" ht="26.25">
      <c r="S3551" s="61" ph="1"/>
    </row>
    <row r="3552" spans="19:19" ht="26.25">
      <c r="S3552" s="61" ph="1"/>
    </row>
    <row r="3553" spans="19:19" ht="26.25">
      <c r="S3553" s="61" ph="1"/>
    </row>
    <row r="3554" spans="19:19" ht="26.25">
      <c r="S3554" s="61" ph="1"/>
    </row>
    <row r="3555" spans="19:19" ht="26.25">
      <c r="S3555" s="61" ph="1"/>
    </row>
    <row r="3556" spans="19:19" ht="26.25">
      <c r="S3556" s="61" ph="1"/>
    </row>
    <row r="3557" spans="19:19" ht="26.25">
      <c r="S3557" s="61" ph="1"/>
    </row>
    <row r="3558" spans="19:19" ht="26.25">
      <c r="S3558" s="61" ph="1"/>
    </row>
    <row r="3559" spans="19:19" ht="26.25">
      <c r="S3559" s="61" ph="1"/>
    </row>
    <row r="3560" spans="19:19" ht="26.25">
      <c r="S3560" s="61" ph="1"/>
    </row>
    <row r="3561" spans="19:19" ht="26.25">
      <c r="S3561" s="61" ph="1"/>
    </row>
    <row r="3562" spans="19:19" ht="26.25">
      <c r="S3562" s="61" ph="1"/>
    </row>
    <row r="3563" spans="19:19" ht="26.25">
      <c r="S3563" s="61" ph="1"/>
    </row>
    <row r="3564" spans="19:19" ht="26.25">
      <c r="S3564" s="61" ph="1"/>
    </row>
    <row r="3565" spans="19:19" ht="26.25">
      <c r="S3565" s="61" ph="1"/>
    </row>
    <row r="3566" spans="19:19" ht="26.25">
      <c r="S3566" s="61" ph="1"/>
    </row>
    <row r="3567" spans="19:19" ht="26.25">
      <c r="S3567" s="61" ph="1"/>
    </row>
    <row r="3568" spans="19:19" ht="26.25">
      <c r="S3568" s="61" ph="1"/>
    </row>
    <row r="3569" spans="19:19" ht="26.25">
      <c r="S3569" s="61" ph="1"/>
    </row>
    <row r="3570" spans="19:19" ht="26.25">
      <c r="S3570" s="61" ph="1"/>
    </row>
    <row r="3571" spans="19:19" ht="26.25">
      <c r="S3571" s="61" ph="1"/>
    </row>
    <row r="3572" spans="19:19" ht="26.25">
      <c r="S3572" s="61" ph="1"/>
    </row>
    <row r="3573" spans="19:19" ht="26.25">
      <c r="S3573" s="61" ph="1"/>
    </row>
    <row r="3574" spans="19:19" ht="26.25">
      <c r="S3574" s="61" ph="1"/>
    </row>
    <row r="3575" spans="19:19" ht="26.25">
      <c r="S3575" s="61" ph="1"/>
    </row>
    <row r="3576" spans="19:19" ht="26.25">
      <c r="S3576" s="61" ph="1"/>
    </row>
    <row r="3577" spans="19:19" ht="26.25">
      <c r="S3577" s="61" ph="1"/>
    </row>
    <row r="3578" spans="19:19" ht="26.25">
      <c r="S3578" s="61" ph="1"/>
    </row>
    <row r="3579" spans="19:19" ht="26.25">
      <c r="S3579" s="61" ph="1"/>
    </row>
    <row r="3580" spans="19:19" ht="26.25">
      <c r="S3580" s="61" ph="1"/>
    </row>
    <row r="3581" spans="19:19" ht="26.25">
      <c r="S3581" s="61" ph="1"/>
    </row>
    <row r="3582" spans="19:19" ht="26.25">
      <c r="S3582" s="61" ph="1"/>
    </row>
    <row r="3583" spans="19:19" ht="26.25">
      <c r="S3583" s="61" ph="1"/>
    </row>
    <row r="3584" spans="19:19" ht="26.25">
      <c r="S3584" s="61" ph="1"/>
    </row>
    <row r="3585" spans="19:19" ht="26.25">
      <c r="S3585" s="61" ph="1"/>
    </row>
    <row r="3586" spans="19:19" ht="26.25">
      <c r="S3586" s="61" ph="1"/>
    </row>
    <row r="3587" spans="19:19" ht="26.25">
      <c r="S3587" s="61" ph="1"/>
    </row>
    <row r="3588" spans="19:19" ht="26.25">
      <c r="S3588" s="61" ph="1"/>
    </row>
    <row r="3589" spans="19:19" ht="26.25">
      <c r="S3589" s="61" ph="1"/>
    </row>
    <row r="3590" spans="19:19" ht="26.25">
      <c r="S3590" s="61" ph="1"/>
    </row>
    <row r="3591" spans="19:19" ht="26.25">
      <c r="S3591" s="61" ph="1"/>
    </row>
    <row r="3592" spans="19:19" ht="26.25">
      <c r="S3592" s="61" ph="1"/>
    </row>
    <row r="3593" spans="19:19" ht="26.25">
      <c r="S3593" s="61" ph="1"/>
    </row>
    <row r="3594" spans="19:19" ht="26.25">
      <c r="S3594" s="61" ph="1"/>
    </row>
    <row r="3595" spans="19:19" ht="26.25">
      <c r="S3595" s="61" ph="1"/>
    </row>
    <row r="3596" spans="19:19" ht="26.25">
      <c r="S3596" s="61" ph="1"/>
    </row>
    <row r="3597" spans="19:19" ht="26.25">
      <c r="S3597" s="61" ph="1"/>
    </row>
    <row r="3598" spans="19:19" ht="26.25">
      <c r="S3598" s="61" ph="1"/>
    </row>
    <row r="3599" spans="19:19" ht="26.25">
      <c r="S3599" s="61" ph="1"/>
    </row>
    <row r="3600" spans="19:19" ht="26.25">
      <c r="S3600" s="61" ph="1"/>
    </row>
    <row r="3601" spans="19:19" ht="26.25">
      <c r="S3601" s="61" ph="1"/>
    </row>
    <row r="3602" spans="19:19" ht="26.25">
      <c r="S3602" s="61" ph="1"/>
    </row>
    <row r="3603" spans="19:19" ht="26.25">
      <c r="S3603" s="61" ph="1"/>
    </row>
    <row r="3604" spans="19:19" ht="26.25">
      <c r="S3604" s="61" ph="1"/>
    </row>
    <row r="3605" spans="19:19" ht="26.25">
      <c r="S3605" s="61" ph="1"/>
    </row>
    <row r="3606" spans="19:19" ht="26.25">
      <c r="S3606" s="61" ph="1"/>
    </row>
    <row r="3607" spans="19:19" ht="26.25">
      <c r="S3607" s="61" ph="1"/>
    </row>
    <row r="3608" spans="19:19" ht="26.25">
      <c r="S3608" s="61" ph="1"/>
    </row>
    <row r="3609" spans="19:19" ht="26.25">
      <c r="S3609" s="61" ph="1"/>
    </row>
    <row r="3610" spans="19:19" ht="26.25">
      <c r="S3610" s="61" ph="1"/>
    </row>
    <row r="3611" spans="19:19" ht="26.25">
      <c r="S3611" s="61" ph="1"/>
    </row>
    <row r="3612" spans="19:19" ht="26.25">
      <c r="S3612" s="61" ph="1"/>
    </row>
    <row r="3613" spans="19:19" ht="26.25">
      <c r="S3613" s="61" ph="1"/>
    </row>
    <row r="3614" spans="19:19" ht="26.25">
      <c r="S3614" s="61" ph="1"/>
    </row>
    <row r="3615" spans="19:19" ht="26.25">
      <c r="S3615" s="61" ph="1"/>
    </row>
    <row r="3616" spans="19:19" ht="26.25">
      <c r="S3616" s="61" ph="1"/>
    </row>
    <row r="3617" spans="19:19" ht="26.25">
      <c r="S3617" s="61" ph="1"/>
    </row>
    <row r="3618" spans="19:19" ht="26.25">
      <c r="S3618" s="61" ph="1"/>
    </row>
    <row r="3619" spans="19:19" ht="26.25">
      <c r="S3619" s="61" ph="1"/>
    </row>
    <row r="3620" spans="19:19" ht="26.25">
      <c r="S3620" s="61" ph="1"/>
    </row>
    <row r="3621" spans="19:19" ht="26.25">
      <c r="S3621" s="61" ph="1"/>
    </row>
    <row r="3622" spans="19:19" ht="26.25">
      <c r="S3622" s="61" ph="1"/>
    </row>
    <row r="3623" spans="19:19" ht="26.25">
      <c r="S3623" s="61" ph="1"/>
    </row>
    <row r="3624" spans="19:19" ht="26.25">
      <c r="S3624" s="61" ph="1"/>
    </row>
    <row r="3625" spans="19:19" ht="26.25">
      <c r="S3625" s="61" ph="1"/>
    </row>
    <row r="3626" spans="19:19" ht="26.25">
      <c r="S3626" s="61" ph="1"/>
    </row>
    <row r="3627" spans="19:19" ht="26.25">
      <c r="S3627" s="61" ph="1"/>
    </row>
    <row r="3628" spans="19:19" ht="26.25">
      <c r="S3628" s="61" ph="1"/>
    </row>
    <row r="3629" spans="19:19" ht="26.25">
      <c r="S3629" s="61" ph="1"/>
    </row>
    <row r="3630" spans="19:19" ht="26.25">
      <c r="S3630" s="61" ph="1"/>
    </row>
    <row r="3631" spans="19:19" ht="26.25">
      <c r="S3631" s="61" ph="1"/>
    </row>
    <row r="3632" spans="19:19" ht="26.25">
      <c r="S3632" s="61" ph="1"/>
    </row>
    <row r="3633" spans="19:19" ht="26.25">
      <c r="S3633" s="61" ph="1"/>
    </row>
    <row r="3634" spans="19:19" ht="26.25">
      <c r="S3634" s="61" ph="1"/>
    </row>
    <row r="3635" spans="19:19" ht="26.25">
      <c r="S3635" s="61" ph="1"/>
    </row>
    <row r="3636" spans="19:19" ht="26.25">
      <c r="S3636" s="61" ph="1"/>
    </row>
    <row r="3637" spans="19:19" ht="26.25">
      <c r="S3637" s="61" ph="1"/>
    </row>
    <row r="3638" spans="19:19" ht="26.25">
      <c r="S3638" s="61" ph="1"/>
    </row>
    <row r="3639" spans="19:19" ht="26.25">
      <c r="S3639" s="61" ph="1"/>
    </row>
    <row r="3640" spans="19:19" ht="26.25">
      <c r="S3640" s="61" ph="1"/>
    </row>
    <row r="3641" spans="19:19" ht="26.25">
      <c r="S3641" s="61" ph="1"/>
    </row>
    <row r="3642" spans="19:19" ht="26.25">
      <c r="S3642" s="61" ph="1"/>
    </row>
    <row r="3643" spans="19:19" ht="26.25">
      <c r="S3643" s="61" ph="1"/>
    </row>
    <row r="3644" spans="19:19" ht="26.25">
      <c r="S3644" s="61" ph="1"/>
    </row>
    <row r="3645" spans="19:19" ht="26.25">
      <c r="S3645" s="61" ph="1"/>
    </row>
    <row r="3646" spans="19:19" ht="26.25">
      <c r="S3646" s="61" ph="1"/>
    </row>
    <row r="3647" spans="19:19" ht="26.25">
      <c r="S3647" s="61" ph="1"/>
    </row>
    <row r="3648" spans="19:19" ht="26.25">
      <c r="S3648" s="61" ph="1"/>
    </row>
    <row r="3649" spans="19:19" ht="26.25">
      <c r="S3649" s="61" ph="1"/>
    </row>
    <row r="3650" spans="19:19" ht="26.25">
      <c r="S3650" s="61" ph="1"/>
    </row>
    <row r="3651" spans="19:19" ht="26.25">
      <c r="S3651" s="61" ph="1"/>
    </row>
    <row r="3652" spans="19:19" ht="26.25">
      <c r="S3652" s="61" ph="1"/>
    </row>
    <row r="3653" spans="19:19" ht="26.25">
      <c r="S3653" s="61" ph="1"/>
    </row>
    <row r="3654" spans="19:19" ht="26.25">
      <c r="S3654" s="61" ph="1"/>
    </row>
    <row r="3655" spans="19:19" ht="26.25">
      <c r="S3655" s="61" ph="1"/>
    </row>
    <row r="3656" spans="19:19" ht="26.25">
      <c r="S3656" s="61" ph="1"/>
    </row>
    <row r="3657" spans="19:19" ht="26.25">
      <c r="S3657" s="61" ph="1"/>
    </row>
    <row r="3658" spans="19:19" ht="26.25">
      <c r="S3658" s="61" ph="1"/>
    </row>
    <row r="3659" spans="19:19" ht="26.25">
      <c r="S3659" s="61" ph="1"/>
    </row>
    <row r="3660" spans="19:19" ht="26.25">
      <c r="S3660" s="61" ph="1"/>
    </row>
    <row r="3661" spans="19:19" ht="26.25">
      <c r="S3661" s="61" ph="1"/>
    </row>
    <row r="3662" spans="19:19" ht="26.25">
      <c r="S3662" s="61" ph="1"/>
    </row>
    <row r="3663" spans="19:19" ht="26.25">
      <c r="S3663" s="61" ph="1"/>
    </row>
    <row r="3664" spans="19:19" ht="26.25">
      <c r="S3664" s="61" ph="1"/>
    </row>
    <row r="3665" spans="19:19" ht="26.25">
      <c r="S3665" s="61" ph="1"/>
    </row>
    <row r="3666" spans="19:19" ht="26.25">
      <c r="S3666" s="61" ph="1"/>
    </row>
    <row r="3667" spans="19:19" ht="26.25">
      <c r="S3667" s="61" ph="1"/>
    </row>
    <row r="3668" spans="19:19" ht="26.25">
      <c r="S3668" s="61" ph="1"/>
    </row>
    <row r="3669" spans="19:19" ht="26.25">
      <c r="S3669" s="61" ph="1"/>
    </row>
    <row r="3670" spans="19:19" ht="26.25">
      <c r="S3670" s="61" ph="1"/>
    </row>
    <row r="3671" spans="19:19" ht="26.25">
      <c r="S3671" s="61" ph="1"/>
    </row>
    <row r="3672" spans="19:19" ht="26.25">
      <c r="S3672" s="61" ph="1"/>
    </row>
    <row r="3673" spans="19:19" ht="26.25">
      <c r="S3673" s="61" ph="1"/>
    </row>
    <row r="3674" spans="19:19" ht="26.25">
      <c r="S3674" s="61" ph="1"/>
    </row>
    <row r="3675" spans="19:19" ht="26.25">
      <c r="S3675" s="61" ph="1"/>
    </row>
    <row r="3676" spans="19:19" ht="26.25">
      <c r="S3676" s="61" ph="1"/>
    </row>
    <row r="3677" spans="19:19" ht="26.25">
      <c r="S3677" s="61" ph="1"/>
    </row>
    <row r="3678" spans="19:19" ht="26.25">
      <c r="S3678" s="61" ph="1"/>
    </row>
    <row r="3679" spans="19:19" ht="26.25">
      <c r="S3679" s="61" ph="1"/>
    </row>
    <row r="3680" spans="19:19" ht="26.25">
      <c r="S3680" s="61" ph="1"/>
    </row>
    <row r="3681" spans="19:19" ht="26.25">
      <c r="S3681" s="61" ph="1"/>
    </row>
    <row r="3682" spans="19:19" ht="26.25">
      <c r="S3682" s="61" ph="1"/>
    </row>
    <row r="3683" spans="19:19" ht="26.25">
      <c r="S3683" s="61" ph="1"/>
    </row>
    <row r="3684" spans="19:19" ht="26.25">
      <c r="S3684" s="61" ph="1"/>
    </row>
    <row r="3685" spans="19:19" ht="26.25">
      <c r="S3685" s="61" ph="1"/>
    </row>
    <row r="3686" spans="19:19" ht="26.25">
      <c r="S3686" s="61" ph="1"/>
    </row>
    <row r="3687" spans="19:19" ht="26.25">
      <c r="S3687" s="61" ph="1"/>
    </row>
    <row r="3688" spans="19:19" ht="26.25">
      <c r="S3688" s="61" ph="1"/>
    </row>
    <row r="3689" spans="19:19" ht="26.25">
      <c r="S3689" s="61" ph="1"/>
    </row>
    <row r="3690" spans="19:19" ht="26.25">
      <c r="S3690" s="61" ph="1"/>
    </row>
    <row r="3691" spans="19:19" ht="26.25">
      <c r="S3691" s="61" ph="1"/>
    </row>
    <row r="3692" spans="19:19" ht="26.25">
      <c r="S3692" s="61" ph="1"/>
    </row>
    <row r="3693" spans="19:19" ht="26.25">
      <c r="S3693" s="61" ph="1"/>
    </row>
    <row r="3694" spans="19:19" ht="26.25">
      <c r="S3694" s="61" ph="1"/>
    </row>
    <row r="3695" spans="19:19" ht="26.25">
      <c r="S3695" s="61" ph="1"/>
    </row>
    <row r="3696" spans="19:19" ht="26.25">
      <c r="S3696" s="61" ph="1"/>
    </row>
    <row r="3697" spans="19:19" ht="26.25">
      <c r="S3697" s="61" ph="1"/>
    </row>
    <row r="3698" spans="19:19" ht="26.25">
      <c r="S3698" s="61" ph="1"/>
    </row>
    <row r="3699" spans="19:19" ht="26.25">
      <c r="S3699" s="61" ph="1"/>
    </row>
    <row r="3700" spans="19:19" ht="26.25">
      <c r="S3700" s="61" ph="1"/>
    </row>
    <row r="3701" spans="19:19" ht="26.25">
      <c r="S3701" s="61" ph="1"/>
    </row>
    <row r="3702" spans="19:19" ht="26.25">
      <c r="S3702" s="61" ph="1"/>
    </row>
    <row r="3703" spans="19:19" ht="26.25">
      <c r="S3703" s="61" ph="1"/>
    </row>
    <row r="3704" spans="19:19" ht="26.25">
      <c r="S3704" s="61" ph="1"/>
    </row>
    <row r="3705" spans="19:19" ht="26.25">
      <c r="S3705" s="61" ph="1"/>
    </row>
    <row r="3706" spans="19:19" ht="26.25">
      <c r="S3706" s="61" ph="1"/>
    </row>
    <row r="3707" spans="19:19" ht="26.25">
      <c r="S3707" s="61" ph="1"/>
    </row>
    <row r="3708" spans="19:19" ht="26.25">
      <c r="S3708" s="61" ph="1"/>
    </row>
    <row r="3709" spans="19:19" ht="26.25">
      <c r="S3709" s="61" ph="1"/>
    </row>
    <row r="3710" spans="19:19" ht="26.25">
      <c r="S3710" s="61" ph="1"/>
    </row>
    <row r="3711" spans="19:19" ht="26.25">
      <c r="S3711" s="61" ph="1"/>
    </row>
    <row r="3712" spans="19:19" ht="26.25">
      <c r="S3712" s="61" ph="1"/>
    </row>
    <row r="3713" spans="19:19" ht="26.25">
      <c r="S3713" s="61" ph="1"/>
    </row>
    <row r="3714" spans="19:19" ht="26.25">
      <c r="S3714" s="61" ph="1"/>
    </row>
    <row r="3715" spans="19:19" ht="26.25">
      <c r="S3715" s="61" ph="1"/>
    </row>
    <row r="3716" spans="19:19" ht="26.25">
      <c r="S3716" s="61" ph="1"/>
    </row>
    <row r="3717" spans="19:19" ht="26.25">
      <c r="S3717" s="61" ph="1"/>
    </row>
    <row r="3718" spans="19:19" ht="26.25">
      <c r="S3718" s="61" ph="1"/>
    </row>
    <row r="3719" spans="19:19" ht="26.25">
      <c r="S3719" s="61" ph="1"/>
    </row>
    <row r="3720" spans="19:19" ht="26.25">
      <c r="S3720" s="61" ph="1"/>
    </row>
    <row r="3721" spans="19:19" ht="26.25">
      <c r="S3721" s="61" ph="1"/>
    </row>
    <row r="3722" spans="19:19" ht="26.25">
      <c r="S3722" s="61" ph="1"/>
    </row>
    <row r="3723" spans="19:19" ht="26.25">
      <c r="S3723" s="61" ph="1"/>
    </row>
    <row r="3724" spans="19:19" ht="26.25">
      <c r="S3724" s="61" ph="1"/>
    </row>
    <row r="3725" spans="19:19" ht="26.25">
      <c r="S3725" s="61" ph="1"/>
    </row>
    <row r="3726" spans="19:19" ht="26.25">
      <c r="S3726" s="61" ph="1"/>
    </row>
    <row r="3727" spans="19:19" ht="26.25">
      <c r="S3727" s="61" ph="1"/>
    </row>
    <row r="3728" spans="19:19" ht="26.25">
      <c r="S3728" s="61" ph="1"/>
    </row>
    <row r="3729" spans="19:19" ht="26.25">
      <c r="S3729" s="61" ph="1"/>
    </row>
    <row r="3730" spans="19:19" ht="26.25">
      <c r="S3730" s="61" ph="1"/>
    </row>
    <row r="3731" spans="19:19" ht="26.25">
      <c r="S3731" s="61" ph="1"/>
    </row>
    <row r="3732" spans="19:19" ht="26.25">
      <c r="S3732" s="61" ph="1"/>
    </row>
    <row r="3733" spans="19:19" ht="26.25">
      <c r="S3733" s="61" ph="1"/>
    </row>
    <row r="3734" spans="19:19" ht="26.25">
      <c r="S3734" s="61" ph="1"/>
    </row>
    <row r="3735" spans="19:19" ht="26.25">
      <c r="S3735" s="61" ph="1"/>
    </row>
    <row r="3736" spans="19:19" ht="26.25">
      <c r="S3736" s="61" ph="1"/>
    </row>
    <row r="3737" spans="19:19" ht="26.25">
      <c r="S3737" s="61" ph="1"/>
    </row>
    <row r="3738" spans="19:19" ht="26.25">
      <c r="S3738" s="61" ph="1"/>
    </row>
    <row r="3739" spans="19:19" ht="26.25">
      <c r="S3739" s="61" ph="1"/>
    </row>
    <row r="3740" spans="19:19" ht="26.25">
      <c r="S3740" s="61" ph="1"/>
    </row>
    <row r="3741" spans="19:19" ht="26.25">
      <c r="S3741" s="61" ph="1"/>
    </row>
    <row r="3742" spans="19:19" ht="26.25">
      <c r="S3742" s="61" ph="1"/>
    </row>
    <row r="3743" spans="19:19" ht="26.25">
      <c r="S3743" s="61" ph="1"/>
    </row>
    <row r="3744" spans="19:19" ht="26.25">
      <c r="S3744" s="61" ph="1"/>
    </row>
    <row r="3745" spans="19:19" ht="26.25">
      <c r="S3745" s="61" ph="1"/>
    </row>
    <row r="3746" spans="19:19" ht="26.25">
      <c r="S3746" s="61" ph="1"/>
    </row>
    <row r="3747" spans="19:19" ht="26.25">
      <c r="S3747" s="61" ph="1"/>
    </row>
    <row r="3748" spans="19:19" ht="26.25">
      <c r="S3748" s="61" ph="1"/>
    </row>
    <row r="3749" spans="19:19" ht="26.25">
      <c r="S3749" s="61" ph="1"/>
    </row>
    <row r="3750" spans="19:19" ht="26.25">
      <c r="S3750" s="61" ph="1"/>
    </row>
    <row r="3751" spans="19:19" ht="26.25">
      <c r="S3751" s="61" ph="1"/>
    </row>
    <row r="3752" spans="19:19" ht="26.25">
      <c r="S3752" s="61" ph="1"/>
    </row>
    <row r="3753" spans="19:19" ht="26.25">
      <c r="S3753" s="61" ph="1"/>
    </row>
    <row r="3754" spans="19:19" ht="26.25">
      <c r="S3754" s="61" ph="1"/>
    </row>
    <row r="3755" spans="19:19" ht="26.25">
      <c r="S3755" s="61" ph="1"/>
    </row>
    <row r="3756" spans="19:19" ht="26.25">
      <c r="S3756" s="61" ph="1"/>
    </row>
    <row r="3757" spans="19:19" ht="26.25">
      <c r="S3757" s="61" ph="1"/>
    </row>
    <row r="3758" spans="19:19" ht="26.25">
      <c r="S3758" s="61" ph="1"/>
    </row>
    <row r="3759" spans="19:19" ht="26.25">
      <c r="S3759" s="61" ph="1"/>
    </row>
    <row r="3760" spans="19:19" ht="26.25">
      <c r="S3760" s="61" ph="1"/>
    </row>
    <row r="3761" spans="19:19" ht="26.25">
      <c r="S3761" s="61" ph="1"/>
    </row>
    <row r="3762" spans="19:19" ht="26.25">
      <c r="S3762" s="61" ph="1"/>
    </row>
    <row r="3763" spans="19:19" ht="26.25">
      <c r="S3763" s="61" ph="1"/>
    </row>
    <row r="3764" spans="19:19" ht="26.25">
      <c r="S3764" s="61" ph="1"/>
    </row>
    <row r="3765" spans="19:19" ht="26.25">
      <c r="S3765" s="61" ph="1"/>
    </row>
    <row r="3766" spans="19:19" ht="26.25">
      <c r="S3766" s="61" ph="1"/>
    </row>
    <row r="3767" spans="19:19" ht="26.25">
      <c r="S3767" s="61" ph="1"/>
    </row>
    <row r="3768" spans="19:19" ht="26.25">
      <c r="S3768" s="61" ph="1"/>
    </row>
    <row r="3769" spans="19:19" ht="26.25">
      <c r="S3769" s="61" ph="1"/>
    </row>
    <row r="3770" spans="19:19" ht="26.25">
      <c r="S3770" s="61" ph="1"/>
    </row>
    <row r="3771" spans="19:19" ht="26.25">
      <c r="S3771" s="61" ph="1"/>
    </row>
    <row r="3772" spans="19:19" ht="26.25">
      <c r="S3772" s="61" ph="1"/>
    </row>
    <row r="3773" spans="19:19" ht="26.25">
      <c r="S3773" s="61" ph="1"/>
    </row>
    <row r="3774" spans="19:19" ht="26.25">
      <c r="S3774" s="61" ph="1"/>
    </row>
    <row r="3775" spans="19:19" ht="26.25">
      <c r="S3775" s="61" ph="1"/>
    </row>
    <row r="3776" spans="19:19" ht="26.25">
      <c r="S3776" s="61" ph="1"/>
    </row>
    <row r="3777" spans="19:19" ht="26.25">
      <c r="S3777" s="61" ph="1"/>
    </row>
    <row r="3778" spans="19:19" ht="26.25">
      <c r="S3778" s="61" ph="1"/>
    </row>
    <row r="3779" spans="19:19" ht="26.25">
      <c r="S3779" s="61" ph="1"/>
    </row>
    <row r="3780" spans="19:19" ht="26.25">
      <c r="S3780" s="61" ph="1"/>
    </row>
    <row r="3781" spans="19:19" ht="26.25">
      <c r="S3781" s="61" ph="1"/>
    </row>
    <row r="3782" spans="19:19" ht="26.25">
      <c r="S3782" s="61" ph="1"/>
    </row>
    <row r="3783" spans="19:19" ht="26.25">
      <c r="S3783" s="61" ph="1"/>
    </row>
    <row r="3784" spans="19:19" ht="26.25">
      <c r="S3784" s="61" ph="1"/>
    </row>
    <row r="3785" spans="19:19" ht="26.25">
      <c r="S3785" s="61" ph="1"/>
    </row>
    <row r="3786" spans="19:19" ht="26.25">
      <c r="S3786" s="61" ph="1"/>
    </row>
    <row r="3787" spans="19:19" ht="26.25">
      <c r="S3787" s="61" ph="1"/>
    </row>
    <row r="3788" spans="19:19" ht="26.25">
      <c r="S3788" s="61" ph="1"/>
    </row>
    <row r="3789" spans="19:19" ht="26.25">
      <c r="S3789" s="61" ph="1"/>
    </row>
    <row r="3790" spans="19:19" ht="26.25">
      <c r="S3790" s="61" ph="1"/>
    </row>
    <row r="3791" spans="19:19" ht="26.25">
      <c r="S3791" s="61" ph="1"/>
    </row>
    <row r="3792" spans="19:19" ht="26.25">
      <c r="S3792" s="61" ph="1"/>
    </row>
    <row r="3793" spans="19:19" ht="26.25">
      <c r="S3793" s="61" ph="1"/>
    </row>
    <row r="3794" spans="19:19" ht="26.25">
      <c r="S3794" s="61" ph="1"/>
    </row>
    <row r="3795" spans="19:19" ht="26.25">
      <c r="S3795" s="61" ph="1"/>
    </row>
    <row r="3796" spans="19:19" ht="26.25">
      <c r="S3796" s="61" ph="1"/>
    </row>
    <row r="3797" spans="19:19" ht="26.25">
      <c r="S3797" s="61" ph="1"/>
    </row>
    <row r="3798" spans="19:19" ht="26.25">
      <c r="S3798" s="61" ph="1"/>
    </row>
    <row r="3799" spans="19:19" ht="26.25">
      <c r="S3799" s="61" ph="1"/>
    </row>
    <row r="3800" spans="19:19" ht="26.25">
      <c r="S3800" s="61" ph="1"/>
    </row>
    <row r="3801" spans="19:19" ht="26.25">
      <c r="S3801" s="61" ph="1"/>
    </row>
    <row r="3802" spans="19:19" ht="26.25">
      <c r="S3802" s="61" ph="1"/>
    </row>
    <row r="3803" spans="19:19" ht="26.25">
      <c r="S3803" s="61" ph="1"/>
    </row>
    <row r="3804" spans="19:19" ht="26.25">
      <c r="S3804" s="61" ph="1"/>
    </row>
    <row r="3805" spans="19:19" ht="26.25">
      <c r="S3805" s="61" ph="1"/>
    </row>
    <row r="3806" spans="19:19" ht="26.25">
      <c r="S3806" s="61" ph="1"/>
    </row>
    <row r="3807" spans="19:19" ht="26.25">
      <c r="S3807" s="61" ph="1"/>
    </row>
    <row r="3808" spans="19:19" ht="26.25">
      <c r="S3808" s="61" ph="1"/>
    </row>
    <row r="3809" spans="19:19" ht="26.25">
      <c r="S3809" s="61" ph="1"/>
    </row>
    <row r="3810" spans="19:19" ht="26.25">
      <c r="S3810" s="61" ph="1"/>
    </row>
    <row r="3811" spans="19:19" ht="26.25">
      <c r="S3811" s="61" ph="1"/>
    </row>
    <row r="3812" spans="19:19" ht="26.25">
      <c r="S3812" s="61" ph="1"/>
    </row>
    <row r="3813" spans="19:19" ht="26.25">
      <c r="S3813" s="61" ph="1"/>
    </row>
    <row r="3814" spans="19:19" ht="26.25">
      <c r="S3814" s="61" ph="1"/>
    </row>
    <row r="3815" spans="19:19" ht="26.25">
      <c r="S3815" s="61" ph="1"/>
    </row>
    <row r="3816" spans="19:19" ht="26.25">
      <c r="S3816" s="61" ph="1"/>
    </row>
    <row r="3817" spans="19:19" ht="26.25">
      <c r="S3817" s="61" ph="1"/>
    </row>
    <row r="3818" spans="19:19" ht="26.25">
      <c r="S3818" s="61" ph="1"/>
    </row>
    <row r="3819" spans="19:19" ht="26.25">
      <c r="S3819" s="61" ph="1"/>
    </row>
    <row r="3820" spans="19:19" ht="26.25">
      <c r="S3820" s="61" ph="1"/>
    </row>
    <row r="3821" spans="19:19" ht="26.25">
      <c r="S3821" s="61" ph="1"/>
    </row>
    <row r="3822" spans="19:19" ht="26.25">
      <c r="S3822" s="61" ph="1"/>
    </row>
    <row r="3823" spans="19:19" ht="26.25">
      <c r="S3823" s="61" ph="1"/>
    </row>
    <row r="3824" spans="19:19" ht="26.25">
      <c r="S3824" s="61" ph="1"/>
    </row>
    <row r="3825" spans="19:19" ht="26.25">
      <c r="S3825" s="61" ph="1"/>
    </row>
    <row r="3826" spans="19:19" ht="26.25">
      <c r="S3826" s="61" ph="1"/>
    </row>
    <row r="3827" spans="19:19" ht="26.25">
      <c r="S3827" s="61" ph="1"/>
    </row>
    <row r="3828" spans="19:19" ht="26.25">
      <c r="S3828" s="61" ph="1"/>
    </row>
    <row r="3829" spans="19:19" ht="26.25">
      <c r="S3829" s="61" ph="1"/>
    </row>
    <row r="3830" spans="19:19" ht="26.25">
      <c r="S3830" s="61" ph="1"/>
    </row>
    <row r="3831" spans="19:19" ht="26.25">
      <c r="S3831" s="61" ph="1"/>
    </row>
    <row r="3832" spans="19:19" ht="26.25">
      <c r="S3832" s="61" ph="1"/>
    </row>
    <row r="3833" spans="19:19" ht="26.25">
      <c r="S3833" s="61" ph="1"/>
    </row>
    <row r="3834" spans="19:19" ht="26.25">
      <c r="S3834" s="61" ph="1"/>
    </row>
    <row r="3835" spans="19:19" ht="26.25">
      <c r="S3835" s="61" ph="1"/>
    </row>
    <row r="3836" spans="19:19" ht="26.25">
      <c r="S3836" s="61" ph="1"/>
    </row>
    <row r="3837" spans="19:19" ht="26.25">
      <c r="S3837" s="61" ph="1"/>
    </row>
    <row r="3838" spans="19:19" ht="26.25">
      <c r="S3838" s="61" ph="1"/>
    </row>
    <row r="3839" spans="19:19" ht="26.25">
      <c r="S3839" s="61" ph="1"/>
    </row>
    <row r="3840" spans="19:19" ht="26.25">
      <c r="S3840" s="61" ph="1"/>
    </row>
    <row r="3841" spans="19:19" ht="26.25">
      <c r="S3841" s="61" ph="1"/>
    </row>
    <row r="3842" spans="19:19" ht="26.25">
      <c r="S3842" s="61" ph="1"/>
    </row>
    <row r="3843" spans="19:19" ht="26.25">
      <c r="S3843" s="61" ph="1"/>
    </row>
    <row r="3844" spans="19:19" ht="26.25">
      <c r="S3844" s="61" ph="1"/>
    </row>
    <row r="3845" spans="19:19" ht="26.25">
      <c r="S3845" s="61" ph="1"/>
    </row>
    <row r="3846" spans="19:19" ht="26.25">
      <c r="S3846" s="61" ph="1"/>
    </row>
    <row r="3847" spans="19:19" ht="26.25">
      <c r="S3847" s="61" ph="1"/>
    </row>
    <row r="3848" spans="19:19" ht="26.25">
      <c r="S3848" s="61" ph="1"/>
    </row>
    <row r="3849" spans="19:19" ht="26.25">
      <c r="S3849" s="61" ph="1"/>
    </row>
    <row r="3850" spans="19:19" ht="26.25">
      <c r="S3850" s="61" ph="1"/>
    </row>
    <row r="3851" spans="19:19" ht="26.25">
      <c r="S3851" s="61" ph="1"/>
    </row>
    <row r="3852" spans="19:19" ht="26.25">
      <c r="S3852" s="61" ph="1"/>
    </row>
    <row r="3853" spans="19:19" ht="26.25">
      <c r="S3853" s="61" ph="1"/>
    </row>
    <row r="3854" spans="19:19" ht="26.25">
      <c r="S3854" s="61" ph="1"/>
    </row>
    <row r="3855" spans="19:19" ht="26.25">
      <c r="S3855" s="61" ph="1"/>
    </row>
    <row r="3856" spans="19:19" ht="26.25">
      <c r="S3856" s="61" ph="1"/>
    </row>
    <row r="3857" spans="19:19" ht="26.25">
      <c r="S3857" s="61" ph="1"/>
    </row>
    <row r="3858" spans="19:19" ht="26.25">
      <c r="S3858" s="61" ph="1"/>
    </row>
    <row r="3859" spans="19:19" ht="26.25">
      <c r="S3859" s="61" ph="1"/>
    </row>
    <row r="3860" spans="19:19" ht="26.25">
      <c r="S3860" s="61" ph="1"/>
    </row>
    <row r="3861" spans="19:19" ht="26.25">
      <c r="S3861" s="61" ph="1"/>
    </row>
    <row r="3862" spans="19:19" ht="26.25">
      <c r="S3862" s="61" ph="1"/>
    </row>
    <row r="3863" spans="19:19" ht="26.25">
      <c r="S3863" s="61" ph="1"/>
    </row>
    <row r="3864" spans="19:19" ht="26.25">
      <c r="S3864" s="61" ph="1"/>
    </row>
    <row r="3865" spans="19:19" ht="26.25">
      <c r="S3865" s="61" ph="1"/>
    </row>
    <row r="3866" spans="19:19" ht="26.25">
      <c r="S3866" s="61" ph="1"/>
    </row>
    <row r="3867" spans="19:19" ht="26.25">
      <c r="S3867" s="61" ph="1"/>
    </row>
    <row r="3868" spans="19:19" ht="26.25">
      <c r="S3868" s="61" ph="1"/>
    </row>
    <row r="3869" spans="19:19" ht="26.25">
      <c r="S3869" s="61" ph="1"/>
    </row>
    <row r="3870" spans="19:19" ht="26.25">
      <c r="S3870" s="61" ph="1"/>
    </row>
    <row r="3871" spans="19:19" ht="26.25">
      <c r="S3871" s="61" ph="1"/>
    </row>
    <row r="3872" spans="19:19" ht="26.25">
      <c r="S3872" s="61" ph="1"/>
    </row>
    <row r="3873" spans="19:19" ht="26.25">
      <c r="S3873" s="61" ph="1"/>
    </row>
    <row r="3874" spans="19:19" ht="26.25">
      <c r="S3874" s="61" ph="1"/>
    </row>
    <row r="3875" spans="19:19" ht="26.25">
      <c r="S3875" s="61" ph="1"/>
    </row>
    <row r="3876" spans="19:19" ht="26.25">
      <c r="S3876" s="61" ph="1"/>
    </row>
    <row r="3877" spans="19:19" ht="26.25">
      <c r="S3877" s="61" ph="1"/>
    </row>
    <row r="3878" spans="19:19" ht="26.25">
      <c r="S3878" s="61" ph="1"/>
    </row>
    <row r="3879" spans="19:19" ht="26.25">
      <c r="S3879" s="61" ph="1"/>
    </row>
    <row r="3880" spans="19:19" ht="26.25">
      <c r="S3880" s="61" ph="1"/>
    </row>
    <row r="3881" spans="19:19" ht="26.25">
      <c r="S3881" s="61" ph="1"/>
    </row>
    <row r="3882" spans="19:19" ht="26.25">
      <c r="S3882" s="61" ph="1"/>
    </row>
    <row r="3883" spans="19:19" ht="26.25">
      <c r="S3883" s="61" ph="1"/>
    </row>
    <row r="3884" spans="19:19" ht="26.25">
      <c r="S3884" s="61" ph="1"/>
    </row>
    <row r="3885" spans="19:19" ht="26.25">
      <c r="S3885" s="61" ph="1"/>
    </row>
    <row r="3886" spans="19:19" ht="26.25">
      <c r="S3886" s="61" ph="1"/>
    </row>
    <row r="3887" spans="19:19" ht="26.25">
      <c r="S3887" s="61" ph="1"/>
    </row>
    <row r="3888" spans="19:19" ht="26.25">
      <c r="S3888" s="61" ph="1"/>
    </row>
    <row r="3889" spans="19:19" ht="26.25">
      <c r="S3889" s="61" ph="1"/>
    </row>
    <row r="3890" spans="19:19" ht="26.25">
      <c r="S3890" s="61" ph="1"/>
    </row>
    <row r="3891" spans="19:19" ht="26.25">
      <c r="S3891" s="61" ph="1"/>
    </row>
    <row r="3892" spans="19:19" ht="26.25">
      <c r="S3892" s="61" ph="1"/>
    </row>
    <row r="3893" spans="19:19" ht="26.25">
      <c r="S3893" s="61" ph="1"/>
    </row>
    <row r="3894" spans="19:19" ht="26.25">
      <c r="S3894" s="61" ph="1"/>
    </row>
    <row r="3895" spans="19:19" ht="26.25">
      <c r="S3895" s="61" ph="1"/>
    </row>
    <row r="3896" spans="19:19" ht="26.25">
      <c r="S3896" s="61" ph="1"/>
    </row>
    <row r="3897" spans="19:19" ht="26.25">
      <c r="S3897" s="61" ph="1"/>
    </row>
    <row r="3898" spans="19:19" ht="26.25">
      <c r="S3898" s="61" ph="1"/>
    </row>
    <row r="3899" spans="19:19" ht="26.25">
      <c r="S3899" s="61" ph="1"/>
    </row>
    <row r="3900" spans="19:19" ht="26.25">
      <c r="S3900" s="61" ph="1"/>
    </row>
    <row r="3901" spans="19:19" ht="26.25">
      <c r="S3901" s="61" ph="1"/>
    </row>
    <row r="3902" spans="19:19" ht="26.25">
      <c r="S3902" s="61" ph="1"/>
    </row>
    <row r="3903" spans="19:19" ht="26.25">
      <c r="S3903" s="61" ph="1"/>
    </row>
    <row r="3904" spans="19:19" ht="26.25">
      <c r="S3904" s="61" ph="1"/>
    </row>
    <row r="3905" spans="19:19" ht="26.25">
      <c r="S3905" s="61" ph="1"/>
    </row>
    <row r="3906" spans="19:19" ht="26.25">
      <c r="S3906" s="61" ph="1"/>
    </row>
    <row r="3907" spans="19:19" ht="26.25">
      <c r="S3907" s="61" ph="1"/>
    </row>
    <row r="3908" spans="19:19" ht="26.25">
      <c r="S3908" s="61" ph="1"/>
    </row>
    <row r="3909" spans="19:19" ht="26.25">
      <c r="S3909" s="61" ph="1"/>
    </row>
    <row r="3910" spans="19:19" ht="26.25">
      <c r="S3910" s="61" ph="1"/>
    </row>
    <row r="3911" spans="19:19" ht="26.25">
      <c r="S3911" s="61" ph="1"/>
    </row>
    <row r="3912" spans="19:19" ht="26.25">
      <c r="S3912" s="61" ph="1"/>
    </row>
    <row r="3913" spans="19:19" ht="26.25">
      <c r="S3913" s="61" ph="1"/>
    </row>
    <row r="3914" spans="19:19" ht="26.25">
      <c r="S3914" s="61" ph="1"/>
    </row>
    <row r="3915" spans="19:19" ht="26.25">
      <c r="S3915" s="61" ph="1"/>
    </row>
    <row r="3916" spans="19:19" ht="26.25">
      <c r="S3916" s="61" ph="1"/>
    </row>
    <row r="3917" spans="19:19" ht="26.25">
      <c r="S3917" s="61" ph="1"/>
    </row>
    <row r="3918" spans="19:19" ht="26.25">
      <c r="S3918" s="61" ph="1"/>
    </row>
    <row r="3919" spans="19:19" ht="26.25">
      <c r="S3919" s="61" ph="1"/>
    </row>
    <row r="3920" spans="19:19" ht="26.25">
      <c r="S3920" s="61" ph="1"/>
    </row>
    <row r="3921" spans="19:19" ht="26.25">
      <c r="S3921" s="61" ph="1"/>
    </row>
    <row r="3922" spans="19:19" ht="26.25">
      <c r="S3922" s="61" ph="1"/>
    </row>
    <row r="3923" spans="19:19" ht="26.25">
      <c r="S3923" s="61" ph="1"/>
    </row>
    <row r="3924" spans="19:19" ht="26.25">
      <c r="S3924" s="61" ph="1"/>
    </row>
    <row r="3925" spans="19:19" ht="26.25">
      <c r="S3925" s="61" ph="1"/>
    </row>
    <row r="3926" spans="19:19" ht="26.25">
      <c r="S3926" s="61" ph="1"/>
    </row>
    <row r="3927" spans="19:19" ht="26.25">
      <c r="S3927" s="61" ph="1"/>
    </row>
    <row r="3928" spans="19:19" ht="26.25">
      <c r="S3928" s="61" ph="1"/>
    </row>
    <row r="3929" spans="19:19" ht="26.25">
      <c r="S3929" s="61" ph="1"/>
    </row>
    <row r="3930" spans="19:19" ht="26.25">
      <c r="S3930" s="61" ph="1"/>
    </row>
    <row r="3931" spans="19:19" ht="26.25">
      <c r="S3931" s="61" ph="1"/>
    </row>
    <row r="3932" spans="19:19" ht="26.25">
      <c r="S3932" s="61" ph="1"/>
    </row>
    <row r="3933" spans="19:19" ht="26.25">
      <c r="S3933" s="61" ph="1"/>
    </row>
    <row r="3934" spans="19:19" ht="26.25">
      <c r="S3934" s="61" ph="1"/>
    </row>
    <row r="3935" spans="19:19" ht="26.25">
      <c r="S3935" s="61" ph="1"/>
    </row>
    <row r="3936" spans="19:19" ht="26.25">
      <c r="S3936" s="61" ph="1"/>
    </row>
    <row r="3937" spans="19:19" ht="26.25">
      <c r="S3937" s="61" ph="1"/>
    </row>
    <row r="3938" spans="19:19" ht="26.25">
      <c r="S3938" s="61" ph="1"/>
    </row>
    <row r="3939" spans="19:19" ht="26.25">
      <c r="S3939" s="61" ph="1"/>
    </row>
    <row r="3940" spans="19:19" ht="26.25">
      <c r="S3940" s="61" ph="1"/>
    </row>
    <row r="3941" spans="19:19" ht="26.25">
      <c r="S3941" s="61" ph="1"/>
    </row>
    <row r="3942" spans="19:19" ht="26.25">
      <c r="S3942" s="61" ph="1"/>
    </row>
    <row r="3943" spans="19:19" ht="26.25">
      <c r="S3943" s="61" ph="1"/>
    </row>
    <row r="3944" spans="19:19" ht="26.25">
      <c r="S3944" s="61" ph="1"/>
    </row>
    <row r="3945" spans="19:19" ht="26.25">
      <c r="S3945" s="61" ph="1"/>
    </row>
    <row r="3946" spans="19:19" ht="26.25">
      <c r="S3946" s="61" ph="1"/>
    </row>
    <row r="3947" spans="19:19" ht="26.25">
      <c r="S3947" s="61" ph="1"/>
    </row>
    <row r="3948" spans="19:19" ht="26.25">
      <c r="S3948" s="61" ph="1"/>
    </row>
    <row r="3949" spans="19:19" ht="26.25">
      <c r="S3949" s="61" ph="1"/>
    </row>
    <row r="3950" spans="19:19" ht="26.25">
      <c r="S3950" s="61" ph="1"/>
    </row>
    <row r="3951" spans="19:19" ht="26.25">
      <c r="S3951" s="61" ph="1"/>
    </row>
    <row r="3952" spans="19:19" ht="26.25">
      <c r="S3952" s="61" ph="1"/>
    </row>
    <row r="3953" spans="19:19" ht="26.25">
      <c r="S3953" s="61" ph="1"/>
    </row>
    <row r="3954" spans="19:19" ht="26.25">
      <c r="S3954" s="61" ph="1"/>
    </row>
    <row r="3955" spans="19:19" ht="26.25">
      <c r="S3955" s="61" ph="1"/>
    </row>
    <row r="3956" spans="19:19" ht="26.25">
      <c r="S3956" s="61" ph="1"/>
    </row>
    <row r="3957" spans="19:19" ht="26.25">
      <c r="S3957" s="61" ph="1"/>
    </row>
    <row r="3958" spans="19:19" ht="26.25">
      <c r="S3958" s="61" ph="1"/>
    </row>
    <row r="3959" spans="19:19" ht="26.25">
      <c r="S3959" s="61" ph="1"/>
    </row>
    <row r="3960" spans="19:19" ht="26.25">
      <c r="S3960" s="61" ph="1"/>
    </row>
    <row r="3961" spans="19:19" ht="26.25">
      <c r="S3961" s="61" ph="1"/>
    </row>
    <row r="3962" spans="19:19" ht="26.25">
      <c r="S3962" s="61" ph="1"/>
    </row>
    <row r="3963" spans="19:19" ht="26.25">
      <c r="S3963" s="61" ph="1"/>
    </row>
    <row r="3964" spans="19:19" ht="26.25">
      <c r="S3964" s="61" ph="1"/>
    </row>
    <row r="3965" spans="19:19" ht="26.25">
      <c r="S3965" s="61" ph="1"/>
    </row>
    <row r="3966" spans="19:19" ht="26.25">
      <c r="S3966" s="61" ph="1"/>
    </row>
    <row r="3967" spans="19:19" ht="26.25">
      <c r="S3967" s="61" ph="1"/>
    </row>
    <row r="3968" spans="19:19" ht="26.25">
      <c r="S3968" s="61" ph="1"/>
    </row>
    <row r="3969" spans="19:19" ht="26.25">
      <c r="S3969" s="61" ph="1"/>
    </row>
    <row r="3970" spans="19:19" ht="26.25">
      <c r="S3970" s="61" ph="1"/>
    </row>
    <row r="3971" spans="19:19" ht="26.25">
      <c r="S3971" s="61" ph="1"/>
    </row>
    <row r="3972" spans="19:19" ht="26.25">
      <c r="S3972" s="61" ph="1"/>
    </row>
    <row r="3973" spans="19:19" ht="26.25">
      <c r="S3973" s="61" ph="1"/>
    </row>
    <row r="3974" spans="19:19" ht="26.25">
      <c r="S3974" s="61" ph="1"/>
    </row>
    <row r="3975" spans="19:19" ht="26.25">
      <c r="S3975" s="61" ph="1"/>
    </row>
    <row r="3976" spans="19:19" ht="26.25">
      <c r="S3976" s="61" ph="1"/>
    </row>
    <row r="3977" spans="19:19" ht="26.25">
      <c r="S3977" s="61" ph="1"/>
    </row>
    <row r="3978" spans="19:19" ht="26.25">
      <c r="S3978" s="61" ph="1"/>
    </row>
    <row r="3979" spans="19:19" ht="26.25">
      <c r="S3979" s="61" ph="1"/>
    </row>
    <row r="3980" spans="19:19" ht="26.25">
      <c r="S3980" s="61" ph="1"/>
    </row>
    <row r="3981" spans="19:19" ht="26.25">
      <c r="S3981" s="61" ph="1"/>
    </row>
    <row r="3982" spans="19:19" ht="26.25">
      <c r="S3982" s="61" ph="1"/>
    </row>
    <row r="3983" spans="19:19" ht="26.25">
      <c r="S3983" s="61" ph="1"/>
    </row>
    <row r="3984" spans="19:19" ht="26.25">
      <c r="S3984" s="61" ph="1"/>
    </row>
    <row r="3985" spans="19:19" ht="26.25">
      <c r="S3985" s="61" ph="1"/>
    </row>
    <row r="3986" spans="19:19" ht="26.25">
      <c r="S3986" s="61" ph="1"/>
    </row>
    <row r="3987" spans="19:19" ht="26.25">
      <c r="S3987" s="61" ph="1"/>
    </row>
    <row r="3988" spans="19:19" ht="26.25">
      <c r="S3988" s="61" ph="1"/>
    </row>
    <row r="3989" spans="19:19" ht="26.25">
      <c r="S3989" s="61" ph="1"/>
    </row>
    <row r="3990" spans="19:19" ht="26.25">
      <c r="S3990" s="61" ph="1"/>
    </row>
    <row r="3991" spans="19:19" ht="26.25">
      <c r="S3991" s="61" ph="1"/>
    </row>
    <row r="3992" spans="19:19" ht="26.25">
      <c r="S3992" s="61" ph="1"/>
    </row>
    <row r="3993" spans="19:19" ht="26.25">
      <c r="S3993" s="61" ph="1"/>
    </row>
    <row r="3994" spans="19:19" ht="26.25">
      <c r="S3994" s="61" ph="1"/>
    </row>
    <row r="3995" spans="19:19" ht="26.25">
      <c r="S3995" s="61" ph="1"/>
    </row>
    <row r="3996" spans="19:19" ht="26.25">
      <c r="S3996" s="61" ph="1"/>
    </row>
    <row r="3997" spans="19:19" ht="26.25">
      <c r="S3997" s="61" ph="1"/>
    </row>
    <row r="3998" spans="19:19" ht="26.25">
      <c r="S3998" s="61" ph="1"/>
    </row>
    <row r="3999" spans="19:19" ht="26.25">
      <c r="S3999" s="61" ph="1"/>
    </row>
    <row r="4000" spans="19:19" ht="26.25">
      <c r="S4000" s="61" ph="1"/>
    </row>
    <row r="4001" spans="19:19" ht="26.25">
      <c r="S4001" s="61" ph="1"/>
    </row>
    <row r="4002" spans="19:19" ht="26.25">
      <c r="S4002" s="61" ph="1"/>
    </row>
    <row r="4003" spans="19:19" ht="26.25">
      <c r="S4003" s="61" ph="1"/>
    </row>
    <row r="4004" spans="19:19" ht="26.25">
      <c r="S4004" s="61" ph="1"/>
    </row>
    <row r="4005" spans="19:19" ht="26.25">
      <c r="S4005" s="61" ph="1"/>
    </row>
    <row r="4006" spans="19:19" ht="26.25">
      <c r="S4006" s="61" ph="1"/>
    </row>
    <row r="4007" spans="19:19" ht="26.25">
      <c r="S4007" s="61" ph="1"/>
    </row>
    <row r="4008" spans="19:19" ht="26.25">
      <c r="S4008" s="61" ph="1"/>
    </row>
    <row r="4009" spans="19:19" ht="26.25">
      <c r="S4009" s="61" ph="1"/>
    </row>
    <row r="4010" spans="19:19" ht="26.25">
      <c r="S4010" s="61" ph="1"/>
    </row>
    <row r="4011" spans="19:19" ht="26.25">
      <c r="S4011" s="61" ph="1"/>
    </row>
    <row r="4012" spans="19:19" ht="26.25">
      <c r="S4012" s="61" ph="1"/>
    </row>
    <row r="4013" spans="19:19" ht="26.25">
      <c r="S4013" s="61" ph="1"/>
    </row>
    <row r="4014" spans="19:19" ht="26.25">
      <c r="S4014" s="61" ph="1"/>
    </row>
    <row r="4015" spans="19:19" ht="26.25">
      <c r="S4015" s="61" ph="1"/>
    </row>
    <row r="4016" spans="19:19" ht="26.25">
      <c r="S4016" s="61" ph="1"/>
    </row>
    <row r="4017" spans="19:19" ht="26.25">
      <c r="S4017" s="61" ph="1"/>
    </row>
    <row r="4018" spans="19:19" ht="26.25">
      <c r="S4018" s="61" ph="1"/>
    </row>
    <row r="4019" spans="19:19" ht="26.25">
      <c r="S4019" s="61" ph="1"/>
    </row>
    <row r="4020" spans="19:19" ht="26.25">
      <c r="S4020" s="61" ph="1"/>
    </row>
    <row r="4021" spans="19:19" ht="26.25">
      <c r="S4021" s="61" ph="1"/>
    </row>
    <row r="4022" spans="19:19" ht="26.25">
      <c r="S4022" s="61" ph="1"/>
    </row>
    <row r="4023" spans="19:19" ht="26.25">
      <c r="S4023" s="61" ph="1"/>
    </row>
    <row r="4024" spans="19:19" ht="26.25">
      <c r="S4024" s="61" ph="1"/>
    </row>
    <row r="4025" spans="19:19" ht="26.25">
      <c r="S4025" s="61" ph="1"/>
    </row>
    <row r="4026" spans="19:19" ht="26.25">
      <c r="S4026" s="61" ph="1"/>
    </row>
    <row r="4027" spans="19:19" ht="26.25">
      <c r="S4027" s="61" ph="1"/>
    </row>
    <row r="4028" spans="19:19" ht="26.25">
      <c r="S4028" s="61" ph="1"/>
    </row>
    <row r="4029" spans="19:19" ht="26.25">
      <c r="S4029" s="61" ph="1"/>
    </row>
    <row r="4030" spans="19:19" ht="26.25">
      <c r="S4030" s="61" ph="1"/>
    </row>
    <row r="4031" spans="19:19" ht="26.25">
      <c r="S4031" s="61" ph="1"/>
    </row>
    <row r="4032" spans="19:19" ht="26.25">
      <c r="S4032" s="61" ph="1"/>
    </row>
    <row r="4033" spans="19:19" ht="26.25">
      <c r="S4033" s="61" ph="1"/>
    </row>
    <row r="4034" spans="19:19" ht="26.25">
      <c r="S4034" s="61" ph="1"/>
    </row>
    <row r="4035" spans="19:19" ht="26.25">
      <c r="S4035" s="61" ph="1"/>
    </row>
    <row r="4036" spans="19:19" ht="26.25">
      <c r="S4036" s="61" ph="1"/>
    </row>
    <row r="4037" spans="19:19" ht="26.25">
      <c r="S4037" s="61" ph="1"/>
    </row>
    <row r="4038" spans="19:19" ht="26.25">
      <c r="S4038" s="61" ph="1"/>
    </row>
    <row r="4039" spans="19:19" ht="26.25">
      <c r="S4039" s="61" ph="1"/>
    </row>
    <row r="4040" spans="19:19" ht="26.25">
      <c r="S4040" s="61" ph="1"/>
    </row>
    <row r="4041" spans="19:19" ht="26.25">
      <c r="S4041" s="61" ph="1"/>
    </row>
    <row r="4042" spans="19:19" ht="26.25">
      <c r="S4042" s="61" ph="1"/>
    </row>
    <row r="4043" spans="19:19" ht="26.25">
      <c r="S4043" s="61" ph="1"/>
    </row>
    <row r="4044" spans="19:19" ht="26.25">
      <c r="S4044" s="61" ph="1"/>
    </row>
    <row r="4045" spans="19:19" ht="26.25">
      <c r="S4045" s="61" ph="1"/>
    </row>
    <row r="4046" spans="19:19" ht="26.25">
      <c r="S4046" s="61" ph="1"/>
    </row>
    <row r="4047" spans="19:19" ht="26.25">
      <c r="S4047" s="61" ph="1"/>
    </row>
    <row r="4048" spans="19:19" ht="26.25">
      <c r="S4048" s="61" ph="1"/>
    </row>
    <row r="4049" spans="19:19" ht="26.25">
      <c r="S4049" s="61" ph="1"/>
    </row>
    <row r="4050" spans="19:19" ht="26.25">
      <c r="S4050" s="61" ph="1"/>
    </row>
    <row r="4051" spans="19:19" ht="26.25">
      <c r="S4051" s="61" ph="1"/>
    </row>
    <row r="4052" spans="19:19" ht="26.25">
      <c r="S4052" s="61" ph="1"/>
    </row>
    <row r="4053" spans="19:19" ht="26.25">
      <c r="S4053" s="61" ph="1"/>
    </row>
    <row r="4054" spans="19:19" ht="26.25">
      <c r="S4054" s="61" ph="1"/>
    </row>
    <row r="4055" spans="19:19" ht="26.25">
      <c r="S4055" s="61" ph="1"/>
    </row>
    <row r="4056" spans="19:19" ht="26.25">
      <c r="S4056" s="61" ph="1"/>
    </row>
    <row r="4057" spans="19:19" ht="26.25">
      <c r="S4057" s="61" ph="1"/>
    </row>
    <row r="4058" spans="19:19" ht="26.25">
      <c r="S4058" s="61" ph="1"/>
    </row>
    <row r="4059" spans="19:19" ht="26.25">
      <c r="S4059" s="61" ph="1"/>
    </row>
    <row r="4060" spans="19:19" ht="26.25">
      <c r="S4060" s="61" ph="1"/>
    </row>
    <row r="4061" spans="19:19" ht="26.25">
      <c r="S4061" s="61" ph="1"/>
    </row>
    <row r="4062" spans="19:19" ht="26.25">
      <c r="S4062" s="61" ph="1"/>
    </row>
    <row r="4063" spans="19:19" ht="26.25">
      <c r="S4063" s="61" ph="1"/>
    </row>
    <row r="4064" spans="19:19" ht="26.25">
      <c r="S4064" s="61" ph="1"/>
    </row>
    <row r="4065" spans="19:19" ht="26.25">
      <c r="S4065" s="61" ph="1"/>
    </row>
    <row r="4066" spans="19:19" ht="26.25">
      <c r="S4066" s="61" ph="1"/>
    </row>
    <row r="4067" spans="19:19" ht="26.25">
      <c r="S4067" s="61" ph="1"/>
    </row>
    <row r="4068" spans="19:19" ht="26.25">
      <c r="S4068" s="61" ph="1"/>
    </row>
    <row r="4069" spans="19:19" ht="26.25">
      <c r="S4069" s="61" ph="1"/>
    </row>
    <row r="4070" spans="19:19" ht="26.25">
      <c r="S4070" s="61" ph="1"/>
    </row>
    <row r="4071" spans="19:19" ht="26.25">
      <c r="S4071" s="61" ph="1"/>
    </row>
    <row r="4072" spans="19:19" ht="26.25">
      <c r="S4072" s="61" ph="1"/>
    </row>
    <row r="4073" spans="19:19" ht="26.25">
      <c r="S4073" s="61" ph="1"/>
    </row>
    <row r="4074" spans="19:19" ht="26.25">
      <c r="S4074" s="61" ph="1"/>
    </row>
    <row r="4075" spans="19:19" ht="26.25">
      <c r="S4075" s="61" ph="1"/>
    </row>
    <row r="4076" spans="19:19" ht="26.25">
      <c r="S4076" s="61" ph="1"/>
    </row>
    <row r="4077" spans="19:19" ht="26.25">
      <c r="S4077" s="61" ph="1"/>
    </row>
    <row r="4078" spans="19:19" ht="26.25">
      <c r="S4078" s="61" ph="1"/>
    </row>
    <row r="4079" spans="19:19" ht="26.25">
      <c r="S4079" s="61" ph="1"/>
    </row>
    <row r="4080" spans="19:19" ht="26.25">
      <c r="S4080" s="61" ph="1"/>
    </row>
    <row r="4081" spans="19:19" ht="26.25">
      <c r="S4081" s="61" ph="1"/>
    </row>
    <row r="4082" spans="19:19" ht="26.25">
      <c r="S4082" s="61" ph="1"/>
    </row>
    <row r="4083" spans="19:19" ht="26.25">
      <c r="S4083" s="61" ph="1"/>
    </row>
    <row r="4084" spans="19:19" ht="26.25">
      <c r="S4084" s="61" ph="1"/>
    </row>
    <row r="4085" spans="19:19" ht="26.25">
      <c r="S4085" s="61" ph="1"/>
    </row>
    <row r="4086" spans="19:19" ht="26.25">
      <c r="S4086" s="61" ph="1"/>
    </row>
    <row r="4087" spans="19:19" ht="26.25">
      <c r="S4087" s="61" ph="1"/>
    </row>
    <row r="4088" spans="19:19" ht="26.25">
      <c r="S4088" s="61" ph="1"/>
    </row>
    <row r="4089" spans="19:19" ht="26.25">
      <c r="S4089" s="61" ph="1"/>
    </row>
    <row r="4090" spans="19:19" ht="26.25">
      <c r="S4090" s="61" ph="1"/>
    </row>
    <row r="4091" spans="19:19" ht="26.25">
      <c r="S4091" s="61" ph="1"/>
    </row>
    <row r="4092" spans="19:19" ht="26.25">
      <c r="S4092" s="61" ph="1"/>
    </row>
    <row r="4093" spans="19:19" ht="26.25">
      <c r="S4093" s="61" ph="1"/>
    </row>
    <row r="4094" spans="19:19" ht="26.25">
      <c r="S4094" s="61" ph="1"/>
    </row>
    <row r="4095" spans="19:19" ht="26.25">
      <c r="S4095" s="61" ph="1"/>
    </row>
    <row r="4096" spans="19:19" ht="26.25">
      <c r="S4096" s="61" ph="1"/>
    </row>
    <row r="4097" spans="19:19" ht="26.25">
      <c r="S4097" s="61" ph="1"/>
    </row>
    <row r="4098" spans="19:19" ht="26.25">
      <c r="S4098" s="61" ph="1"/>
    </row>
    <row r="4099" spans="19:19" ht="26.25">
      <c r="S4099" s="61" ph="1"/>
    </row>
    <row r="4100" spans="19:19" ht="26.25">
      <c r="S4100" s="61" ph="1"/>
    </row>
    <row r="4101" spans="19:19" ht="26.25">
      <c r="S4101" s="61" ph="1"/>
    </row>
    <row r="4102" spans="19:19" ht="26.25">
      <c r="S4102" s="61" ph="1"/>
    </row>
    <row r="4103" spans="19:19" ht="26.25">
      <c r="S4103" s="61" ph="1"/>
    </row>
    <row r="4104" spans="19:19" ht="26.25">
      <c r="S4104" s="61" ph="1"/>
    </row>
    <row r="4105" spans="19:19" ht="26.25">
      <c r="S4105" s="61" ph="1"/>
    </row>
    <row r="4106" spans="19:19" ht="26.25">
      <c r="S4106" s="61" ph="1"/>
    </row>
    <row r="4107" spans="19:19" ht="26.25">
      <c r="S4107" s="61" ph="1"/>
    </row>
    <row r="4108" spans="19:19" ht="26.25">
      <c r="S4108" s="61" ph="1"/>
    </row>
    <row r="4109" spans="19:19" ht="26.25">
      <c r="S4109" s="61" ph="1"/>
    </row>
    <row r="4110" spans="19:19" ht="26.25">
      <c r="S4110" s="61" ph="1"/>
    </row>
    <row r="4111" spans="19:19" ht="26.25">
      <c r="S4111" s="61" ph="1"/>
    </row>
    <row r="4112" spans="19:19" ht="26.25">
      <c r="S4112" s="61" ph="1"/>
    </row>
    <row r="4113" spans="19:19" ht="26.25">
      <c r="S4113" s="61" ph="1"/>
    </row>
    <row r="4114" spans="19:19" ht="26.25">
      <c r="S4114" s="61" ph="1"/>
    </row>
    <row r="4115" spans="19:19" ht="26.25">
      <c r="S4115" s="61" ph="1"/>
    </row>
    <row r="4116" spans="19:19" ht="26.25">
      <c r="S4116" s="61" ph="1"/>
    </row>
    <row r="4117" spans="19:19" ht="26.25">
      <c r="S4117" s="61" ph="1"/>
    </row>
    <row r="4118" spans="19:19" ht="26.25">
      <c r="S4118" s="61" ph="1"/>
    </row>
    <row r="4119" spans="19:19" ht="26.25">
      <c r="S4119" s="61" ph="1"/>
    </row>
    <row r="4120" spans="19:19" ht="26.25">
      <c r="S4120" s="61" ph="1"/>
    </row>
    <row r="4121" spans="19:19" ht="26.25">
      <c r="S4121" s="61" ph="1"/>
    </row>
    <row r="4122" spans="19:19" ht="26.25">
      <c r="S4122" s="61" ph="1"/>
    </row>
    <row r="4123" spans="19:19" ht="26.25">
      <c r="S4123" s="61" ph="1"/>
    </row>
    <row r="4124" spans="19:19" ht="26.25">
      <c r="S4124" s="61" ph="1"/>
    </row>
    <row r="4125" spans="19:19" ht="26.25">
      <c r="S4125" s="61" ph="1"/>
    </row>
    <row r="4126" spans="19:19" ht="26.25">
      <c r="S4126" s="61" ph="1"/>
    </row>
    <row r="4127" spans="19:19" ht="26.25">
      <c r="S4127" s="61" ph="1"/>
    </row>
    <row r="4128" spans="19:19" ht="26.25">
      <c r="S4128" s="61" ph="1"/>
    </row>
    <row r="4129" spans="19:19" ht="26.25">
      <c r="S4129" s="61" ph="1"/>
    </row>
    <row r="4130" spans="19:19" ht="26.25">
      <c r="S4130" s="61" ph="1"/>
    </row>
    <row r="4131" spans="19:19" ht="26.25">
      <c r="S4131" s="61" ph="1"/>
    </row>
    <row r="4132" spans="19:19" ht="26.25">
      <c r="S4132" s="61" ph="1"/>
    </row>
    <row r="4133" spans="19:19" ht="26.25">
      <c r="S4133" s="61" ph="1"/>
    </row>
    <row r="4134" spans="19:19" ht="26.25">
      <c r="S4134" s="61" ph="1"/>
    </row>
    <row r="4135" spans="19:19" ht="26.25">
      <c r="S4135" s="61" ph="1"/>
    </row>
    <row r="4136" spans="19:19" ht="26.25">
      <c r="S4136" s="61" ph="1"/>
    </row>
    <row r="4137" spans="19:19" ht="26.25">
      <c r="S4137" s="61" ph="1"/>
    </row>
    <row r="4138" spans="19:19" ht="26.25">
      <c r="S4138" s="61" ph="1"/>
    </row>
    <row r="4139" spans="19:19" ht="26.25">
      <c r="S4139" s="61" ph="1"/>
    </row>
    <row r="4140" spans="19:19" ht="26.25">
      <c r="S4140" s="61" ph="1"/>
    </row>
    <row r="4141" spans="19:19" ht="26.25">
      <c r="S4141" s="61" ph="1"/>
    </row>
    <row r="4142" spans="19:19" ht="26.25">
      <c r="S4142" s="61" ph="1"/>
    </row>
    <row r="4143" spans="19:19" ht="26.25">
      <c r="S4143" s="61" ph="1"/>
    </row>
    <row r="4144" spans="19:19" ht="26.25">
      <c r="S4144" s="61" ph="1"/>
    </row>
    <row r="4145" spans="19:19" ht="26.25">
      <c r="S4145" s="61" ph="1"/>
    </row>
    <row r="4146" spans="19:19" ht="26.25">
      <c r="S4146" s="61" ph="1"/>
    </row>
    <row r="4147" spans="19:19" ht="26.25">
      <c r="S4147" s="61" ph="1"/>
    </row>
    <row r="4148" spans="19:19" ht="26.25">
      <c r="S4148" s="61" ph="1"/>
    </row>
    <row r="4149" spans="19:19" ht="26.25">
      <c r="S4149" s="61" ph="1"/>
    </row>
    <row r="4150" spans="19:19" ht="26.25">
      <c r="S4150" s="61" ph="1"/>
    </row>
    <row r="4151" spans="19:19" ht="26.25">
      <c r="S4151" s="61" ph="1"/>
    </row>
    <row r="4152" spans="19:19" ht="26.25">
      <c r="S4152" s="61" ph="1"/>
    </row>
    <row r="4153" spans="19:19" ht="26.25">
      <c r="S4153" s="61" ph="1"/>
    </row>
    <row r="4154" spans="19:19" ht="26.25">
      <c r="S4154" s="61" ph="1"/>
    </row>
    <row r="4155" spans="19:19" ht="26.25">
      <c r="S4155" s="61" ph="1"/>
    </row>
    <row r="4156" spans="19:19" ht="26.25">
      <c r="S4156" s="61" ph="1"/>
    </row>
    <row r="4157" spans="19:19" ht="26.25">
      <c r="S4157" s="61" ph="1"/>
    </row>
    <row r="4158" spans="19:19" ht="26.25">
      <c r="S4158" s="61" ph="1"/>
    </row>
    <row r="4159" spans="19:19" ht="26.25">
      <c r="S4159" s="61" ph="1"/>
    </row>
    <row r="4160" spans="19:19" ht="26.25">
      <c r="S4160" s="61" ph="1"/>
    </row>
    <row r="4161" spans="19:19" ht="26.25">
      <c r="S4161" s="61" ph="1"/>
    </row>
    <row r="4162" spans="19:19" ht="26.25">
      <c r="S4162" s="61" ph="1"/>
    </row>
    <row r="4163" spans="19:19" ht="26.25">
      <c r="S4163" s="61" ph="1"/>
    </row>
    <row r="4164" spans="19:19" ht="26.25">
      <c r="S4164" s="61" ph="1"/>
    </row>
    <row r="4165" spans="19:19" ht="26.25">
      <c r="S4165" s="61" ph="1"/>
    </row>
    <row r="4166" spans="19:19" ht="26.25">
      <c r="S4166" s="61" ph="1"/>
    </row>
    <row r="4167" spans="19:19" ht="26.25">
      <c r="S4167" s="61" ph="1"/>
    </row>
    <row r="4168" spans="19:19" ht="26.25">
      <c r="S4168" s="61" ph="1"/>
    </row>
    <row r="4169" spans="19:19" ht="26.25">
      <c r="S4169" s="61" ph="1"/>
    </row>
    <row r="4170" spans="19:19" ht="26.25">
      <c r="S4170" s="61" ph="1"/>
    </row>
    <row r="4171" spans="19:19" ht="26.25">
      <c r="S4171" s="61" ph="1"/>
    </row>
    <row r="4172" spans="19:19" ht="26.25">
      <c r="S4172" s="61" ph="1"/>
    </row>
    <row r="4173" spans="19:19" ht="26.25">
      <c r="S4173" s="61" ph="1"/>
    </row>
    <row r="4174" spans="19:19" ht="26.25">
      <c r="S4174" s="61" ph="1"/>
    </row>
    <row r="4175" spans="19:19" ht="26.25">
      <c r="S4175" s="61" ph="1"/>
    </row>
    <row r="4176" spans="19:19" ht="26.25">
      <c r="S4176" s="61" ph="1"/>
    </row>
    <row r="4177" spans="19:19" ht="26.25">
      <c r="S4177" s="61" ph="1"/>
    </row>
    <row r="4178" spans="19:19" ht="26.25">
      <c r="S4178" s="61" ph="1"/>
    </row>
    <row r="4179" spans="19:19" ht="26.25">
      <c r="S4179" s="61" ph="1"/>
    </row>
    <row r="4180" spans="19:19" ht="26.25">
      <c r="S4180" s="61" ph="1"/>
    </row>
    <row r="4181" spans="19:19" ht="26.25">
      <c r="S4181" s="61" ph="1"/>
    </row>
    <row r="4182" spans="19:19" ht="26.25">
      <c r="S4182" s="61" ph="1"/>
    </row>
    <row r="4183" spans="19:19" ht="26.25">
      <c r="S4183" s="61" ph="1"/>
    </row>
    <row r="4184" spans="19:19" ht="26.25">
      <c r="S4184" s="61" ph="1"/>
    </row>
    <row r="4185" spans="19:19" ht="26.25">
      <c r="S4185" s="61" ph="1"/>
    </row>
    <row r="4186" spans="19:19" ht="26.25">
      <c r="S4186" s="61" ph="1"/>
    </row>
    <row r="4187" spans="19:19" ht="26.25">
      <c r="S4187" s="61" ph="1"/>
    </row>
    <row r="4188" spans="19:19" ht="26.25">
      <c r="S4188" s="61" ph="1"/>
    </row>
    <row r="4189" spans="19:19" ht="26.25">
      <c r="S4189" s="61" ph="1"/>
    </row>
    <row r="4190" spans="19:19" ht="26.25">
      <c r="S4190" s="61" ph="1"/>
    </row>
    <row r="4191" spans="19:19" ht="26.25">
      <c r="S4191" s="61" ph="1"/>
    </row>
    <row r="4192" spans="19:19" ht="26.25">
      <c r="S4192" s="61" ph="1"/>
    </row>
    <row r="4193" spans="19:19" ht="26.25">
      <c r="S4193" s="61" ph="1"/>
    </row>
    <row r="4194" spans="19:19" ht="26.25">
      <c r="S4194" s="61" ph="1"/>
    </row>
    <row r="4195" spans="19:19" ht="26.25">
      <c r="S4195" s="61" ph="1"/>
    </row>
    <row r="4196" spans="19:19" ht="26.25">
      <c r="S4196" s="61" ph="1"/>
    </row>
    <row r="4197" spans="19:19" ht="26.25">
      <c r="S4197" s="61" ph="1"/>
    </row>
    <row r="4198" spans="19:19" ht="26.25">
      <c r="S4198" s="61" ph="1"/>
    </row>
    <row r="4199" spans="19:19" ht="26.25">
      <c r="S4199" s="61" ph="1"/>
    </row>
    <row r="4200" spans="19:19" ht="26.25">
      <c r="S4200" s="61" ph="1"/>
    </row>
    <row r="4201" spans="19:19" ht="26.25">
      <c r="S4201" s="61" ph="1"/>
    </row>
    <row r="4202" spans="19:19" ht="26.25">
      <c r="S4202" s="61" ph="1"/>
    </row>
    <row r="4203" spans="19:19" ht="26.25">
      <c r="S4203" s="61" ph="1"/>
    </row>
    <row r="4204" spans="19:19" ht="26.25">
      <c r="S4204" s="61" ph="1"/>
    </row>
    <row r="4205" spans="19:19" ht="26.25">
      <c r="S4205" s="61" ph="1"/>
    </row>
    <row r="4206" spans="19:19" ht="26.25">
      <c r="S4206" s="61" ph="1"/>
    </row>
    <row r="4207" spans="19:19" ht="26.25">
      <c r="S4207" s="61" ph="1"/>
    </row>
    <row r="4208" spans="19:19" ht="26.25">
      <c r="S4208" s="61" ph="1"/>
    </row>
    <row r="4209" spans="19:19" ht="26.25">
      <c r="S4209" s="61" ph="1"/>
    </row>
    <row r="4210" spans="19:19" ht="26.25">
      <c r="S4210" s="61" ph="1"/>
    </row>
    <row r="4211" spans="19:19" ht="26.25">
      <c r="S4211" s="61" ph="1"/>
    </row>
    <row r="4212" spans="19:19" ht="26.25">
      <c r="S4212" s="61" ph="1"/>
    </row>
    <row r="4213" spans="19:19" ht="26.25">
      <c r="S4213" s="61" ph="1"/>
    </row>
    <row r="4214" spans="19:19" ht="26.25">
      <c r="S4214" s="61" ph="1"/>
    </row>
    <row r="4215" spans="19:19" ht="26.25">
      <c r="S4215" s="61" ph="1"/>
    </row>
    <row r="4216" spans="19:19" ht="26.25">
      <c r="S4216" s="61" ph="1"/>
    </row>
    <row r="4217" spans="19:19" ht="26.25">
      <c r="S4217" s="61" ph="1"/>
    </row>
    <row r="4218" spans="19:19" ht="26.25">
      <c r="S4218" s="61" ph="1"/>
    </row>
    <row r="4219" spans="19:19" ht="26.25">
      <c r="S4219" s="61" ph="1"/>
    </row>
    <row r="4220" spans="19:19" ht="26.25">
      <c r="S4220" s="61" ph="1"/>
    </row>
    <row r="4221" spans="19:19" ht="26.25">
      <c r="S4221" s="61" ph="1"/>
    </row>
    <row r="4222" spans="19:19" ht="26.25">
      <c r="S4222" s="61" ph="1"/>
    </row>
    <row r="4223" spans="19:19" ht="26.25">
      <c r="S4223" s="61" ph="1"/>
    </row>
    <row r="4224" spans="19:19" ht="26.25">
      <c r="S4224" s="61" ph="1"/>
    </row>
    <row r="4225" spans="19:19" ht="26.25">
      <c r="S4225" s="61" ph="1"/>
    </row>
    <row r="4226" spans="19:19" ht="26.25">
      <c r="S4226" s="61" ph="1"/>
    </row>
    <row r="4227" spans="19:19" ht="26.25">
      <c r="S4227" s="61" ph="1"/>
    </row>
    <row r="4228" spans="19:19" ht="26.25">
      <c r="S4228" s="61" ph="1"/>
    </row>
    <row r="4229" spans="19:19" ht="26.25">
      <c r="S4229" s="61" ph="1"/>
    </row>
    <row r="4230" spans="19:19" ht="26.25">
      <c r="S4230" s="61" ph="1"/>
    </row>
    <row r="4231" spans="19:19" ht="26.25">
      <c r="S4231" s="61" ph="1"/>
    </row>
    <row r="4232" spans="19:19" ht="26.25">
      <c r="S4232" s="61" ph="1"/>
    </row>
    <row r="4233" spans="19:19" ht="26.25">
      <c r="S4233" s="61" ph="1"/>
    </row>
    <row r="4234" spans="19:19" ht="26.25">
      <c r="S4234" s="61" ph="1"/>
    </row>
    <row r="4235" spans="19:19" ht="26.25">
      <c r="S4235" s="61" ph="1"/>
    </row>
    <row r="4236" spans="19:19" ht="26.25">
      <c r="S4236" s="61" ph="1"/>
    </row>
    <row r="4237" spans="19:19" ht="26.25">
      <c r="S4237" s="61" ph="1"/>
    </row>
    <row r="4238" spans="19:19" ht="26.25">
      <c r="S4238" s="61" ph="1"/>
    </row>
    <row r="4239" spans="19:19" ht="26.25">
      <c r="S4239" s="61" ph="1"/>
    </row>
    <row r="4240" spans="19:19" ht="26.25">
      <c r="S4240" s="61" ph="1"/>
    </row>
    <row r="4241" spans="19:19" ht="26.25">
      <c r="S4241" s="61" ph="1"/>
    </row>
    <row r="4242" spans="19:19" ht="26.25">
      <c r="S4242" s="61" ph="1"/>
    </row>
    <row r="4243" spans="19:19" ht="26.25">
      <c r="S4243" s="61" ph="1"/>
    </row>
    <row r="4244" spans="19:19" ht="26.25">
      <c r="S4244" s="61" ph="1"/>
    </row>
    <row r="4245" spans="19:19" ht="26.25">
      <c r="S4245" s="61" ph="1"/>
    </row>
    <row r="4246" spans="19:19" ht="26.25">
      <c r="S4246" s="61" ph="1"/>
    </row>
    <row r="4247" spans="19:19" ht="26.25">
      <c r="S4247" s="61" ph="1"/>
    </row>
    <row r="4248" spans="19:19" ht="26.25">
      <c r="S4248" s="61" ph="1"/>
    </row>
    <row r="4249" spans="19:19" ht="26.25">
      <c r="S4249" s="61" ph="1"/>
    </row>
    <row r="4250" spans="19:19" ht="26.25">
      <c r="S4250" s="61" ph="1"/>
    </row>
    <row r="4251" spans="19:19" ht="26.25">
      <c r="S4251" s="61" ph="1"/>
    </row>
    <row r="4252" spans="19:19" ht="26.25">
      <c r="S4252" s="61" ph="1"/>
    </row>
    <row r="4253" spans="19:19" ht="26.25">
      <c r="S4253" s="61" ph="1"/>
    </row>
    <row r="4254" spans="19:19" ht="26.25">
      <c r="S4254" s="61" ph="1"/>
    </row>
    <row r="4255" spans="19:19" ht="26.25">
      <c r="S4255" s="61" ph="1"/>
    </row>
    <row r="4256" spans="19:19" ht="26.25">
      <c r="S4256" s="61" ph="1"/>
    </row>
    <row r="4257" spans="19:19" ht="26.25">
      <c r="S4257" s="61" ph="1"/>
    </row>
    <row r="4258" spans="19:19" ht="26.25">
      <c r="S4258" s="61" ph="1"/>
    </row>
    <row r="4259" spans="19:19" ht="26.25">
      <c r="S4259" s="61" ph="1"/>
    </row>
    <row r="4260" spans="19:19" ht="26.25">
      <c r="S4260" s="61" ph="1"/>
    </row>
    <row r="4261" spans="19:19" ht="26.25">
      <c r="S4261" s="61" ph="1"/>
    </row>
    <row r="4262" spans="19:19" ht="26.25">
      <c r="S4262" s="61" ph="1"/>
    </row>
    <row r="4263" spans="19:19" ht="26.25">
      <c r="S4263" s="61" ph="1"/>
    </row>
    <row r="4264" spans="19:19" ht="26.25">
      <c r="S4264" s="61" ph="1"/>
    </row>
    <row r="4265" spans="19:19" ht="26.25">
      <c r="S4265" s="61" ph="1"/>
    </row>
    <row r="4266" spans="19:19" ht="26.25">
      <c r="S4266" s="61" ph="1"/>
    </row>
    <row r="4267" spans="19:19" ht="26.25">
      <c r="S4267" s="61" ph="1"/>
    </row>
    <row r="4268" spans="19:19" ht="26.25">
      <c r="S4268" s="61" ph="1"/>
    </row>
    <row r="4269" spans="19:19" ht="26.25">
      <c r="S4269" s="61" ph="1"/>
    </row>
    <row r="4270" spans="19:19" ht="26.25">
      <c r="S4270" s="61" ph="1"/>
    </row>
    <row r="4271" spans="19:19" ht="26.25">
      <c r="S4271" s="61" ph="1"/>
    </row>
    <row r="4272" spans="19:19" ht="26.25">
      <c r="S4272" s="61" ph="1"/>
    </row>
    <row r="4273" spans="19:19" ht="26.25">
      <c r="S4273" s="61" ph="1"/>
    </row>
    <row r="4274" spans="19:19" ht="26.25">
      <c r="S4274" s="61" ph="1"/>
    </row>
    <row r="4275" spans="19:19" ht="26.25">
      <c r="S4275" s="61" ph="1"/>
    </row>
    <row r="4276" spans="19:19" ht="26.25">
      <c r="S4276" s="61" ph="1"/>
    </row>
    <row r="4277" spans="19:19" ht="26.25">
      <c r="S4277" s="61" ph="1"/>
    </row>
    <row r="4278" spans="19:19" ht="26.25">
      <c r="S4278" s="61" ph="1"/>
    </row>
    <row r="4279" spans="19:19" ht="26.25">
      <c r="S4279" s="61" ph="1"/>
    </row>
    <row r="4280" spans="19:19" ht="26.25">
      <c r="S4280" s="61" ph="1"/>
    </row>
    <row r="4281" spans="19:19" ht="26.25">
      <c r="S4281" s="61" ph="1"/>
    </row>
    <row r="4282" spans="19:19" ht="26.25">
      <c r="S4282" s="61" ph="1"/>
    </row>
    <row r="4283" spans="19:19" ht="26.25">
      <c r="S4283" s="61" ph="1"/>
    </row>
    <row r="4284" spans="19:19" ht="26.25">
      <c r="S4284" s="61" ph="1"/>
    </row>
    <row r="4285" spans="19:19" ht="26.25">
      <c r="S4285" s="61" ph="1"/>
    </row>
    <row r="4286" spans="19:19" ht="26.25">
      <c r="S4286" s="61" ph="1"/>
    </row>
    <row r="4287" spans="19:19" ht="26.25">
      <c r="S4287" s="61" ph="1"/>
    </row>
    <row r="4288" spans="19:19" ht="26.25">
      <c r="S4288" s="61" ph="1"/>
    </row>
    <row r="4289" spans="19:19" ht="26.25">
      <c r="S4289" s="61" ph="1"/>
    </row>
    <row r="4290" spans="19:19" ht="26.25">
      <c r="S4290" s="61" ph="1"/>
    </row>
    <row r="4291" spans="19:19" ht="26.25">
      <c r="S4291" s="61" ph="1"/>
    </row>
    <row r="4292" spans="19:19" ht="26.25">
      <c r="S4292" s="61" ph="1"/>
    </row>
    <row r="4293" spans="19:19" ht="26.25">
      <c r="S4293" s="61" ph="1"/>
    </row>
    <row r="4294" spans="19:19" ht="26.25">
      <c r="S4294" s="61" ph="1"/>
    </row>
    <row r="4295" spans="19:19" ht="26.25">
      <c r="S4295" s="61" ph="1"/>
    </row>
    <row r="4296" spans="19:19" ht="26.25">
      <c r="S4296" s="61" ph="1"/>
    </row>
    <row r="4297" spans="19:19" ht="26.25">
      <c r="S4297" s="61" ph="1"/>
    </row>
    <row r="4298" spans="19:19" ht="26.25">
      <c r="S4298" s="61" ph="1"/>
    </row>
    <row r="4299" spans="19:19" ht="26.25">
      <c r="S4299" s="61" ph="1"/>
    </row>
    <row r="4300" spans="19:19" ht="26.25">
      <c r="S4300" s="61" ph="1"/>
    </row>
    <row r="4301" spans="19:19" ht="26.25">
      <c r="S4301" s="61" ph="1"/>
    </row>
    <row r="4302" spans="19:19" ht="26.25">
      <c r="S4302" s="61" ph="1"/>
    </row>
    <row r="4303" spans="19:19" ht="26.25">
      <c r="S4303" s="61" ph="1"/>
    </row>
    <row r="4304" spans="19:19" ht="26.25">
      <c r="S4304" s="61" ph="1"/>
    </row>
    <row r="4305" spans="19:19" ht="26.25">
      <c r="S4305" s="61" ph="1"/>
    </row>
    <row r="4306" spans="19:19" ht="26.25">
      <c r="S4306" s="61" ph="1"/>
    </row>
    <row r="4307" spans="19:19" ht="26.25">
      <c r="S4307" s="61" ph="1"/>
    </row>
    <row r="4308" spans="19:19" ht="26.25">
      <c r="S4308" s="61" ph="1"/>
    </row>
    <row r="4309" spans="19:19" ht="26.25">
      <c r="S4309" s="61" ph="1"/>
    </row>
    <row r="4310" spans="19:19" ht="26.25">
      <c r="S4310" s="61" ph="1"/>
    </row>
    <row r="4311" spans="19:19" ht="26.25">
      <c r="S4311" s="61" ph="1"/>
    </row>
    <row r="4312" spans="19:19" ht="26.25">
      <c r="S4312" s="61" ph="1"/>
    </row>
    <row r="4313" spans="19:19" ht="26.25">
      <c r="S4313" s="61" ph="1"/>
    </row>
    <row r="4314" spans="19:19" ht="26.25">
      <c r="S4314" s="61" ph="1"/>
    </row>
    <row r="4315" spans="19:19" ht="26.25">
      <c r="S4315" s="61" ph="1"/>
    </row>
    <row r="4316" spans="19:19" ht="26.25">
      <c r="S4316" s="61" ph="1"/>
    </row>
    <row r="4317" spans="19:19" ht="26.25">
      <c r="S4317" s="61" ph="1"/>
    </row>
    <row r="4318" spans="19:19" ht="26.25">
      <c r="S4318" s="61" ph="1"/>
    </row>
    <row r="4319" spans="19:19" ht="26.25">
      <c r="S4319" s="61" ph="1"/>
    </row>
    <row r="4320" spans="19:19" ht="26.25">
      <c r="S4320" s="61" ph="1"/>
    </row>
    <row r="4321" spans="19:19" ht="26.25">
      <c r="S4321" s="61" ph="1"/>
    </row>
    <row r="4322" spans="19:19" ht="26.25">
      <c r="S4322" s="61" ph="1"/>
    </row>
    <row r="4323" spans="19:19" ht="26.25">
      <c r="S4323" s="61" ph="1"/>
    </row>
    <row r="4324" spans="19:19" ht="26.25">
      <c r="S4324" s="61" ph="1"/>
    </row>
    <row r="4325" spans="19:19" ht="26.25">
      <c r="S4325" s="61" ph="1"/>
    </row>
    <row r="4326" spans="19:19" ht="26.25">
      <c r="S4326" s="61" ph="1"/>
    </row>
    <row r="4327" spans="19:19" ht="26.25">
      <c r="S4327" s="61" ph="1"/>
    </row>
    <row r="4328" spans="19:19" ht="26.25">
      <c r="S4328" s="61" ph="1"/>
    </row>
    <row r="4329" spans="19:19" ht="26.25">
      <c r="S4329" s="61" ph="1"/>
    </row>
    <row r="4330" spans="19:19" ht="26.25">
      <c r="S4330" s="61" ph="1"/>
    </row>
    <row r="4331" spans="19:19" ht="26.25">
      <c r="S4331" s="61" ph="1"/>
    </row>
    <row r="4332" spans="19:19" ht="26.25">
      <c r="S4332" s="61" ph="1"/>
    </row>
    <row r="4333" spans="19:19" ht="26.25">
      <c r="S4333" s="61" ph="1"/>
    </row>
    <row r="4334" spans="19:19" ht="26.25">
      <c r="S4334" s="61" ph="1"/>
    </row>
    <row r="4335" spans="19:19" ht="26.25">
      <c r="S4335" s="61" ph="1"/>
    </row>
    <row r="4336" spans="19:19" ht="26.25">
      <c r="S4336" s="61" ph="1"/>
    </row>
    <row r="4337" spans="19:19" ht="26.25">
      <c r="S4337" s="61" ph="1"/>
    </row>
    <row r="4338" spans="19:19" ht="26.25">
      <c r="S4338" s="61" ph="1"/>
    </row>
    <row r="4339" spans="19:19" ht="26.25">
      <c r="S4339" s="61" ph="1"/>
    </row>
    <row r="4340" spans="19:19" ht="26.25">
      <c r="S4340" s="61" ph="1"/>
    </row>
    <row r="4341" spans="19:19" ht="26.25">
      <c r="S4341" s="61" ph="1"/>
    </row>
    <row r="4342" spans="19:19" ht="26.25">
      <c r="S4342" s="61" ph="1"/>
    </row>
    <row r="4343" spans="19:19" ht="26.25">
      <c r="S4343" s="61" ph="1"/>
    </row>
    <row r="4344" spans="19:19" ht="26.25">
      <c r="S4344" s="61" ph="1"/>
    </row>
    <row r="4345" spans="19:19" ht="26.25">
      <c r="S4345" s="61" ph="1"/>
    </row>
    <row r="4346" spans="19:19" ht="26.25">
      <c r="S4346" s="61" ph="1"/>
    </row>
    <row r="4347" spans="19:19" ht="26.25">
      <c r="S4347" s="61" ph="1"/>
    </row>
    <row r="4348" spans="19:19" ht="26.25">
      <c r="S4348" s="61" ph="1"/>
    </row>
    <row r="4349" spans="19:19" ht="26.25">
      <c r="S4349" s="61" ph="1"/>
    </row>
    <row r="4350" spans="19:19" ht="26.25">
      <c r="S4350" s="61" ph="1"/>
    </row>
    <row r="4351" spans="19:19" ht="26.25">
      <c r="S4351" s="61" ph="1"/>
    </row>
    <row r="4352" spans="19:19" ht="26.25">
      <c r="S4352" s="61" ph="1"/>
    </row>
    <row r="4353" spans="19:19" ht="26.25">
      <c r="S4353" s="61" ph="1"/>
    </row>
    <row r="4354" spans="19:19" ht="26.25">
      <c r="S4354" s="61" ph="1"/>
    </row>
    <row r="4355" spans="19:19" ht="26.25">
      <c r="S4355" s="61" ph="1"/>
    </row>
    <row r="4356" spans="19:19" ht="26.25">
      <c r="S4356" s="61" ph="1"/>
    </row>
    <row r="4357" spans="19:19" ht="26.25">
      <c r="S4357" s="61" ph="1"/>
    </row>
    <row r="4358" spans="19:19" ht="26.25">
      <c r="S4358" s="61" ph="1"/>
    </row>
    <row r="4359" spans="19:19" ht="26.25">
      <c r="S4359" s="61" ph="1"/>
    </row>
    <row r="4360" spans="19:19" ht="26.25">
      <c r="S4360" s="61" ph="1"/>
    </row>
    <row r="4361" spans="19:19" ht="26.25">
      <c r="S4361" s="61" ph="1"/>
    </row>
    <row r="4362" spans="19:19" ht="26.25">
      <c r="S4362" s="61" ph="1"/>
    </row>
    <row r="4363" spans="19:19" ht="26.25">
      <c r="S4363" s="61" ph="1"/>
    </row>
    <row r="4364" spans="19:19" ht="26.25">
      <c r="S4364" s="61" ph="1"/>
    </row>
    <row r="4365" spans="19:19" ht="26.25">
      <c r="S4365" s="61" ph="1"/>
    </row>
    <row r="4366" spans="19:19" ht="26.25">
      <c r="S4366" s="61" ph="1"/>
    </row>
    <row r="4367" spans="19:19" ht="26.25">
      <c r="S4367" s="61" ph="1"/>
    </row>
    <row r="4368" spans="19:19" ht="26.25">
      <c r="S4368" s="61" ph="1"/>
    </row>
    <row r="4369" spans="19:19" ht="26.25">
      <c r="S4369" s="61" ph="1"/>
    </row>
    <row r="4370" spans="19:19" ht="26.25">
      <c r="S4370" s="61" ph="1"/>
    </row>
    <row r="4371" spans="19:19" ht="26.25">
      <c r="S4371" s="61" ph="1"/>
    </row>
    <row r="4372" spans="19:19" ht="26.25">
      <c r="S4372" s="61" ph="1"/>
    </row>
    <row r="4373" spans="19:19" ht="26.25">
      <c r="S4373" s="61" ph="1"/>
    </row>
    <row r="4374" spans="19:19" ht="26.25">
      <c r="S4374" s="61" ph="1"/>
    </row>
    <row r="4375" spans="19:19" ht="26.25">
      <c r="S4375" s="61" ph="1"/>
    </row>
    <row r="4376" spans="19:19" ht="26.25">
      <c r="S4376" s="61" ph="1"/>
    </row>
    <row r="4377" spans="19:19" ht="26.25">
      <c r="S4377" s="61" ph="1"/>
    </row>
    <row r="4378" spans="19:19" ht="26.25">
      <c r="S4378" s="61" ph="1"/>
    </row>
    <row r="4379" spans="19:19" ht="26.25">
      <c r="S4379" s="61" ph="1"/>
    </row>
    <row r="4380" spans="19:19" ht="26.25">
      <c r="S4380" s="61" ph="1"/>
    </row>
    <row r="4381" spans="19:19" ht="26.25">
      <c r="S4381" s="61" ph="1"/>
    </row>
    <row r="4382" spans="19:19" ht="26.25">
      <c r="S4382" s="61" ph="1"/>
    </row>
    <row r="4383" spans="19:19" ht="26.25">
      <c r="S4383" s="61" ph="1"/>
    </row>
    <row r="4384" spans="19:19" ht="26.25">
      <c r="S4384" s="61" ph="1"/>
    </row>
    <row r="4385" spans="19:19" ht="26.25">
      <c r="S4385" s="61" ph="1"/>
    </row>
    <row r="4386" spans="19:19" ht="26.25">
      <c r="S4386" s="61" ph="1"/>
    </row>
    <row r="4387" spans="19:19" ht="26.25">
      <c r="S4387" s="61" ph="1"/>
    </row>
    <row r="4388" spans="19:19" ht="26.25">
      <c r="S4388" s="61" ph="1"/>
    </row>
    <row r="4389" spans="19:19" ht="26.25">
      <c r="S4389" s="61" ph="1"/>
    </row>
    <row r="4390" spans="19:19" ht="26.25">
      <c r="S4390" s="61" ph="1"/>
    </row>
    <row r="4391" spans="19:19" ht="26.25">
      <c r="S4391" s="61" ph="1"/>
    </row>
    <row r="4392" spans="19:19" ht="26.25">
      <c r="S4392" s="61" ph="1"/>
    </row>
    <row r="4393" spans="19:19" ht="26.25">
      <c r="S4393" s="61" ph="1"/>
    </row>
    <row r="4394" spans="19:19" ht="26.25">
      <c r="S4394" s="61" ph="1"/>
    </row>
    <row r="4395" spans="19:19" ht="26.25">
      <c r="S4395" s="61" ph="1"/>
    </row>
    <row r="4396" spans="19:19" ht="26.25">
      <c r="S4396" s="61" ph="1"/>
    </row>
    <row r="4397" spans="19:19" ht="26.25">
      <c r="S4397" s="61" ph="1"/>
    </row>
    <row r="4398" spans="19:19" ht="26.25">
      <c r="S4398" s="61" ph="1"/>
    </row>
    <row r="4399" spans="19:19" ht="26.25">
      <c r="S4399" s="61" ph="1"/>
    </row>
    <row r="4400" spans="19:19" ht="26.25">
      <c r="S4400" s="61" ph="1"/>
    </row>
    <row r="4401" spans="19:19" ht="26.25">
      <c r="S4401" s="61" ph="1"/>
    </row>
    <row r="4402" spans="19:19" ht="26.25">
      <c r="S4402" s="61" ph="1"/>
    </row>
    <row r="4403" spans="19:19" ht="26.25">
      <c r="S4403" s="61" ph="1"/>
    </row>
    <row r="4404" spans="19:19" ht="26.25">
      <c r="S4404" s="61" ph="1"/>
    </row>
    <row r="4405" spans="19:19" ht="26.25">
      <c r="S4405" s="61" ph="1"/>
    </row>
    <row r="4406" spans="19:19" ht="26.25">
      <c r="S4406" s="61" ph="1"/>
    </row>
    <row r="4407" spans="19:19" ht="26.25">
      <c r="S4407" s="61" ph="1"/>
    </row>
    <row r="4408" spans="19:19" ht="26.25">
      <c r="S4408" s="61" ph="1"/>
    </row>
    <row r="4409" spans="19:19" ht="26.25">
      <c r="S4409" s="61" ph="1"/>
    </row>
    <row r="4410" spans="19:19" ht="26.25">
      <c r="S4410" s="61" ph="1"/>
    </row>
    <row r="4411" spans="19:19" ht="26.25">
      <c r="S4411" s="61" ph="1"/>
    </row>
    <row r="4412" spans="19:19" ht="26.25">
      <c r="S4412" s="61" ph="1"/>
    </row>
    <row r="4413" spans="19:19" ht="26.25">
      <c r="S4413" s="61" ph="1"/>
    </row>
    <row r="4414" spans="19:19" ht="26.25">
      <c r="S4414" s="61" ph="1"/>
    </row>
    <row r="4415" spans="19:19" ht="26.25">
      <c r="S4415" s="61" ph="1"/>
    </row>
    <row r="4416" spans="19:19" ht="26.25">
      <c r="S4416" s="61" ph="1"/>
    </row>
    <row r="4417" spans="19:19" ht="26.25">
      <c r="S4417" s="61" ph="1"/>
    </row>
    <row r="4418" spans="19:19" ht="26.25">
      <c r="S4418" s="61" ph="1"/>
    </row>
    <row r="4419" spans="19:19" ht="26.25">
      <c r="S4419" s="61" ph="1"/>
    </row>
    <row r="4420" spans="19:19" ht="26.25">
      <c r="S4420" s="61" ph="1"/>
    </row>
    <row r="4421" spans="19:19" ht="26.25">
      <c r="S4421" s="61" ph="1"/>
    </row>
    <row r="4422" spans="19:19" ht="26.25">
      <c r="S4422" s="61" ph="1"/>
    </row>
    <row r="4423" spans="19:19" ht="26.25">
      <c r="S4423" s="61" ph="1"/>
    </row>
    <row r="4424" spans="19:19" ht="26.25">
      <c r="S4424" s="61" ph="1"/>
    </row>
    <row r="4425" spans="19:19" ht="26.25">
      <c r="S4425" s="61" ph="1"/>
    </row>
    <row r="4426" spans="19:19" ht="26.25">
      <c r="S4426" s="61" ph="1"/>
    </row>
    <row r="4427" spans="19:19" ht="26.25">
      <c r="S4427" s="61" ph="1"/>
    </row>
    <row r="4428" spans="19:19" ht="26.25">
      <c r="S4428" s="61" ph="1"/>
    </row>
    <row r="4429" spans="19:19" ht="26.25">
      <c r="S4429" s="61" ph="1"/>
    </row>
    <row r="4430" spans="19:19" ht="26.25">
      <c r="S4430" s="61" ph="1"/>
    </row>
    <row r="4431" spans="19:19" ht="26.25">
      <c r="S4431" s="61" ph="1"/>
    </row>
    <row r="4432" spans="19:19" ht="26.25">
      <c r="S4432" s="61" ph="1"/>
    </row>
    <row r="4433" spans="19:19" ht="26.25">
      <c r="S4433" s="61" ph="1"/>
    </row>
    <row r="4434" spans="19:19" ht="26.25">
      <c r="S4434" s="61" ph="1"/>
    </row>
    <row r="4435" spans="19:19" ht="26.25">
      <c r="S4435" s="61" ph="1"/>
    </row>
    <row r="4436" spans="19:19" ht="26.25">
      <c r="S4436" s="61" ph="1"/>
    </row>
    <row r="4437" spans="19:19" ht="26.25">
      <c r="S4437" s="61" ph="1"/>
    </row>
    <row r="4438" spans="19:19" ht="26.25">
      <c r="S4438" s="61" ph="1"/>
    </row>
    <row r="4439" spans="19:19" ht="26.25">
      <c r="S4439" s="61" ph="1"/>
    </row>
    <row r="4440" spans="19:19" ht="26.25">
      <c r="S4440" s="61" ph="1"/>
    </row>
    <row r="4441" spans="19:19" ht="26.25">
      <c r="S4441" s="61" ph="1"/>
    </row>
    <row r="4442" spans="19:19" ht="26.25">
      <c r="S4442" s="61" ph="1"/>
    </row>
    <row r="4443" spans="19:19" ht="26.25">
      <c r="S4443" s="61" ph="1"/>
    </row>
    <row r="4444" spans="19:19" ht="26.25">
      <c r="S4444" s="61" ph="1"/>
    </row>
    <row r="4445" spans="19:19" ht="26.25">
      <c r="S4445" s="61" ph="1"/>
    </row>
    <row r="4446" spans="19:19" ht="26.25">
      <c r="S4446" s="61" ph="1"/>
    </row>
    <row r="4447" spans="19:19" ht="26.25">
      <c r="S4447" s="61" ph="1"/>
    </row>
    <row r="4448" spans="19:19" ht="26.25">
      <c r="S4448" s="61" ph="1"/>
    </row>
    <row r="4449" spans="19:19" ht="26.25">
      <c r="S4449" s="61" ph="1"/>
    </row>
    <row r="4450" spans="19:19" ht="26.25">
      <c r="S4450" s="61" ph="1"/>
    </row>
    <row r="4451" spans="19:19" ht="26.25">
      <c r="S4451" s="61" ph="1"/>
    </row>
    <row r="4452" spans="19:19" ht="26.25">
      <c r="S4452" s="61" ph="1"/>
    </row>
    <row r="4453" spans="19:19" ht="26.25">
      <c r="S4453" s="61" ph="1"/>
    </row>
    <row r="4454" spans="19:19" ht="26.25">
      <c r="S4454" s="61" ph="1"/>
    </row>
    <row r="4455" spans="19:19" ht="26.25">
      <c r="S4455" s="61" ph="1"/>
    </row>
    <row r="4456" spans="19:19" ht="26.25">
      <c r="S4456" s="61" ph="1"/>
    </row>
    <row r="4457" spans="19:19" ht="26.25">
      <c r="S4457" s="61" ph="1"/>
    </row>
    <row r="4458" spans="19:19" ht="26.25">
      <c r="S4458" s="61" ph="1"/>
    </row>
    <row r="4459" spans="19:19" ht="26.25">
      <c r="S4459" s="61" ph="1"/>
    </row>
    <row r="4460" spans="19:19" ht="26.25">
      <c r="S4460" s="61" ph="1"/>
    </row>
    <row r="4461" spans="19:19" ht="26.25">
      <c r="S4461" s="61" ph="1"/>
    </row>
    <row r="4462" spans="19:19" ht="26.25">
      <c r="S4462" s="61" ph="1"/>
    </row>
    <row r="4463" spans="19:19" ht="26.25">
      <c r="S4463" s="61" ph="1"/>
    </row>
    <row r="4464" spans="19:19" ht="26.25">
      <c r="S4464" s="61" ph="1"/>
    </row>
    <row r="4465" spans="19:19" ht="26.25">
      <c r="S4465" s="61" ph="1"/>
    </row>
    <row r="4466" spans="19:19" ht="26.25">
      <c r="S4466" s="61" ph="1"/>
    </row>
    <row r="4467" spans="19:19" ht="26.25">
      <c r="S4467" s="61" ph="1"/>
    </row>
    <row r="4468" spans="19:19" ht="26.25">
      <c r="S4468" s="61" ph="1"/>
    </row>
    <row r="4469" spans="19:19" ht="26.25">
      <c r="S4469" s="61" ph="1"/>
    </row>
    <row r="4470" spans="19:19" ht="26.25">
      <c r="S4470" s="61" ph="1"/>
    </row>
    <row r="4471" spans="19:19" ht="26.25">
      <c r="S4471" s="61" ph="1"/>
    </row>
    <row r="4472" spans="19:19" ht="26.25">
      <c r="S4472" s="61" ph="1"/>
    </row>
    <row r="4473" spans="19:19" ht="26.25">
      <c r="S4473" s="61" ph="1"/>
    </row>
    <row r="4474" spans="19:19" ht="26.25">
      <c r="S4474" s="61" ph="1"/>
    </row>
    <row r="4475" spans="19:19" ht="26.25">
      <c r="S4475" s="61" ph="1"/>
    </row>
    <row r="4476" spans="19:19" ht="26.25">
      <c r="S4476" s="61" ph="1"/>
    </row>
    <row r="4477" spans="19:19" ht="26.25">
      <c r="S4477" s="61" ph="1"/>
    </row>
    <row r="4478" spans="19:19" ht="26.25">
      <c r="S4478" s="61" ph="1"/>
    </row>
    <row r="4479" spans="19:19" ht="26.25">
      <c r="S4479" s="61" ph="1"/>
    </row>
    <row r="4480" spans="19:19" ht="26.25">
      <c r="S4480" s="61" ph="1"/>
    </row>
    <row r="4481" spans="19:19" ht="26.25">
      <c r="S4481" s="61" ph="1"/>
    </row>
    <row r="4482" spans="19:19" ht="26.25">
      <c r="S4482" s="61" ph="1"/>
    </row>
    <row r="4483" spans="19:19" ht="26.25">
      <c r="S4483" s="61" ph="1"/>
    </row>
    <row r="4484" spans="19:19" ht="26.25">
      <c r="S4484" s="61" ph="1"/>
    </row>
    <row r="4485" spans="19:19" ht="26.25">
      <c r="S4485" s="61" ph="1"/>
    </row>
    <row r="4486" spans="19:19" ht="26.25">
      <c r="S4486" s="61" ph="1"/>
    </row>
    <row r="4487" spans="19:19" ht="26.25">
      <c r="S4487" s="61" ph="1"/>
    </row>
    <row r="4488" spans="19:19" ht="26.25">
      <c r="S4488" s="61" ph="1"/>
    </row>
    <row r="4489" spans="19:19" ht="26.25">
      <c r="S4489" s="61" ph="1"/>
    </row>
    <row r="4490" spans="19:19" ht="26.25">
      <c r="S4490" s="61" ph="1"/>
    </row>
    <row r="4491" spans="19:19" ht="26.25">
      <c r="S4491" s="61" ph="1"/>
    </row>
    <row r="4492" spans="19:19" ht="26.25">
      <c r="S4492" s="61" ph="1"/>
    </row>
    <row r="4493" spans="19:19" ht="26.25">
      <c r="S4493" s="61" ph="1"/>
    </row>
    <row r="4494" spans="19:19" ht="26.25">
      <c r="S4494" s="61" ph="1"/>
    </row>
    <row r="4495" spans="19:19" ht="26.25">
      <c r="S4495" s="61" ph="1"/>
    </row>
    <row r="4496" spans="19:19" ht="26.25">
      <c r="S4496" s="61" ph="1"/>
    </row>
    <row r="4497" spans="19:19" ht="26.25">
      <c r="S4497" s="61" ph="1"/>
    </row>
    <row r="4498" spans="19:19" ht="26.25">
      <c r="S4498" s="61" ph="1"/>
    </row>
    <row r="4499" spans="19:19" ht="26.25">
      <c r="S4499" s="61" ph="1"/>
    </row>
    <row r="4500" spans="19:19" ht="26.25">
      <c r="S4500" s="61" ph="1"/>
    </row>
    <row r="4501" spans="19:19" ht="26.25">
      <c r="S4501" s="61" ph="1"/>
    </row>
    <row r="4502" spans="19:19" ht="26.25">
      <c r="S4502" s="61" ph="1"/>
    </row>
    <row r="4503" spans="19:19" ht="26.25">
      <c r="S4503" s="61" ph="1"/>
    </row>
    <row r="4504" spans="19:19" ht="26.25">
      <c r="S4504" s="61" ph="1"/>
    </row>
    <row r="4505" spans="19:19" ht="26.25">
      <c r="S4505" s="61" ph="1"/>
    </row>
    <row r="4506" spans="19:19" ht="26.25">
      <c r="S4506" s="61" ph="1"/>
    </row>
    <row r="4507" spans="19:19" ht="26.25">
      <c r="S4507" s="61" ph="1"/>
    </row>
    <row r="4508" spans="19:19" ht="26.25">
      <c r="S4508" s="61" ph="1"/>
    </row>
    <row r="4509" spans="19:19" ht="26.25">
      <c r="S4509" s="61" ph="1"/>
    </row>
    <row r="4510" spans="19:19" ht="26.25">
      <c r="S4510" s="61" ph="1"/>
    </row>
    <row r="4511" spans="19:19" ht="26.25">
      <c r="S4511" s="61" ph="1"/>
    </row>
    <row r="4512" spans="19:19" ht="26.25">
      <c r="S4512" s="61" ph="1"/>
    </row>
    <row r="4513" spans="19:19" ht="26.25">
      <c r="S4513" s="61" ph="1"/>
    </row>
    <row r="4514" spans="19:19" ht="26.25">
      <c r="S4514" s="61" ph="1"/>
    </row>
    <row r="4515" spans="19:19" ht="26.25">
      <c r="S4515" s="61" ph="1"/>
    </row>
    <row r="4516" spans="19:19" ht="26.25">
      <c r="S4516" s="61" ph="1"/>
    </row>
    <row r="4517" spans="19:19" ht="26.25">
      <c r="S4517" s="61" ph="1"/>
    </row>
    <row r="4518" spans="19:19" ht="26.25">
      <c r="S4518" s="61" ph="1"/>
    </row>
    <row r="4519" spans="19:19" ht="26.25">
      <c r="S4519" s="61" ph="1"/>
    </row>
    <row r="4520" spans="19:19" ht="26.25">
      <c r="S4520" s="61" ph="1"/>
    </row>
    <row r="4521" spans="19:19" ht="26.25">
      <c r="S4521" s="61" ph="1"/>
    </row>
    <row r="4522" spans="19:19" ht="26.25">
      <c r="S4522" s="61" ph="1"/>
    </row>
    <row r="4523" spans="19:19" ht="26.25">
      <c r="S4523" s="61" ph="1"/>
    </row>
    <row r="4524" spans="19:19" ht="26.25">
      <c r="S4524" s="61" ph="1"/>
    </row>
    <row r="4525" spans="19:19" ht="26.25">
      <c r="S4525" s="61" ph="1"/>
    </row>
    <row r="4526" spans="19:19" ht="26.25">
      <c r="S4526" s="61" ph="1"/>
    </row>
    <row r="4527" spans="19:19" ht="26.25">
      <c r="S4527" s="61" ph="1"/>
    </row>
    <row r="4528" spans="19:19" ht="26.25">
      <c r="S4528" s="61" ph="1"/>
    </row>
    <row r="4529" spans="19:19" ht="26.25">
      <c r="S4529" s="61" ph="1"/>
    </row>
    <row r="4530" spans="19:19" ht="26.25">
      <c r="S4530" s="61" ph="1"/>
    </row>
    <row r="4531" spans="19:19" ht="26.25">
      <c r="S4531" s="61" ph="1"/>
    </row>
    <row r="4532" spans="19:19" ht="26.25">
      <c r="S4532" s="61" ph="1"/>
    </row>
    <row r="4533" spans="19:19" ht="26.25">
      <c r="S4533" s="61" ph="1"/>
    </row>
    <row r="4534" spans="19:19" ht="26.25">
      <c r="S4534" s="61" ph="1"/>
    </row>
    <row r="4535" spans="19:19" ht="26.25">
      <c r="S4535" s="61" ph="1"/>
    </row>
    <row r="4536" spans="19:19" ht="26.25">
      <c r="S4536" s="61" ph="1"/>
    </row>
    <row r="4537" spans="19:19" ht="26.25">
      <c r="S4537" s="61" ph="1"/>
    </row>
    <row r="4538" spans="19:19" ht="26.25">
      <c r="S4538" s="61" ph="1"/>
    </row>
    <row r="4539" spans="19:19" ht="26.25">
      <c r="S4539" s="61" ph="1"/>
    </row>
    <row r="4540" spans="19:19" ht="26.25">
      <c r="S4540" s="61" ph="1"/>
    </row>
    <row r="4541" spans="19:19" ht="26.25">
      <c r="S4541" s="61" ph="1"/>
    </row>
    <row r="4542" spans="19:19" ht="26.25">
      <c r="S4542" s="61" ph="1"/>
    </row>
    <row r="4543" spans="19:19" ht="26.25">
      <c r="S4543" s="61" ph="1"/>
    </row>
    <row r="4544" spans="19:19" ht="26.25">
      <c r="S4544" s="61" ph="1"/>
    </row>
    <row r="4545" spans="19:19" ht="26.25">
      <c r="S4545" s="61" ph="1"/>
    </row>
    <row r="4546" spans="19:19" ht="26.25">
      <c r="S4546" s="61" ph="1"/>
    </row>
    <row r="4547" spans="19:19" ht="26.25">
      <c r="S4547" s="61" ph="1"/>
    </row>
    <row r="4548" spans="19:19" ht="26.25">
      <c r="S4548" s="61" ph="1"/>
    </row>
    <row r="4549" spans="19:19" ht="26.25">
      <c r="S4549" s="61" ph="1"/>
    </row>
    <row r="4550" spans="19:19" ht="26.25">
      <c r="S4550" s="61" ph="1"/>
    </row>
    <row r="4551" spans="19:19" ht="26.25">
      <c r="S4551" s="61" ph="1"/>
    </row>
    <row r="4552" spans="19:19" ht="26.25">
      <c r="S4552" s="61" ph="1"/>
    </row>
    <row r="4553" spans="19:19" ht="26.25">
      <c r="S4553" s="61" ph="1"/>
    </row>
    <row r="4554" spans="19:19" ht="26.25">
      <c r="S4554" s="61" ph="1"/>
    </row>
    <row r="4555" spans="19:19" ht="26.25">
      <c r="S4555" s="61" ph="1"/>
    </row>
    <row r="4556" spans="19:19" ht="26.25">
      <c r="S4556" s="61" ph="1"/>
    </row>
    <row r="4557" spans="19:19" ht="26.25">
      <c r="S4557" s="61" ph="1"/>
    </row>
    <row r="4558" spans="19:19" ht="26.25">
      <c r="S4558" s="61" ph="1"/>
    </row>
    <row r="4559" spans="19:19" ht="26.25">
      <c r="S4559" s="61" ph="1"/>
    </row>
    <row r="4560" spans="19:19" ht="26.25">
      <c r="S4560" s="61" ph="1"/>
    </row>
    <row r="4561" spans="19:19" ht="26.25">
      <c r="S4561" s="61" ph="1"/>
    </row>
    <row r="4562" spans="19:19" ht="26.25">
      <c r="S4562" s="61" ph="1"/>
    </row>
    <row r="4563" spans="19:19" ht="26.25">
      <c r="S4563" s="61" ph="1"/>
    </row>
    <row r="4564" spans="19:19" ht="26.25">
      <c r="S4564" s="61" ph="1"/>
    </row>
    <row r="4565" spans="19:19" ht="26.25">
      <c r="S4565" s="61" ph="1"/>
    </row>
    <row r="4566" spans="19:19" ht="26.25">
      <c r="S4566" s="61" ph="1"/>
    </row>
    <row r="4567" spans="19:19" ht="26.25">
      <c r="S4567" s="61" ph="1"/>
    </row>
    <row r="4568" spans="19:19" ht="26.25">
      <c r="S4568" s="61" ph="1"/>
    </row>
    <row r="4569" spans="19:19" ht="26.25">
      <c r="S4569" s="61" ph="1"/>
    </row>
    <row r="4570" spans="19:19" ht="26.25">
      <c r="S4570" s="61" ph="1"/>
    </row>
    <row r="4571" spans="19:19" ht="26.25">
      <c r="S4571" s="61" ph="1"/>
    </row>
    <row r="4572" spans="19:19" ht="26.25">
      <c r="S4572" s="61" ph="1"/>
    </row>
    <row r="4573" spans="19:19" ht="26.25">
      <c r="S4573" s="61" ph="1"/>
    </row>
    <row r="4574" spans="19:19" ht="26.25">
      <c r="S4574" s="61" ph="1"/>
    </row>
    <row r="4575" spans="19:19" ht="26.25">
      <c r="S4575" s="61" ph="1"/>
    </row>
    <row r="4576" spans="19:19" ht="26.25">
      <c r="S4576" s="61" ph="1"/>
    </row>
    <row r="4577" spans="19:19" ht="26.25">
      <c r="S4577" s="61" ph="1"/>
    </row>
    <row r="4578" spans="19:19" ht="26.25">
      <c r="S4578" s="61" ph="1"/>
    </row>
    <row r="4579" spans="19:19" ht="26.25">
      <c r="S4579" s="61" ph="1"/>
    </row>
    <row r="4580" spans="19:19" ht="26.25">
      <c r="S4580" s="61" ph="1"/>
    </row>
    <row r="4581" spans="19:19" ht="26.25">
      <c r="S4581" s="61" ph="1"/>
    </row>
    <row r="4582" spans="19:19" ht="26.25">
      <c r="S4582" s="61" ph="1"/>
    </row>
    <row r="4583" spans="19:19" ht="26.25">
      <c r="S4583" s="61" ph="1"/>
    </row>
    <row r="4584" spans="19:19" ht="26.25">
      <c r="S4584" s="61" ph="1"/>
    </row>
    <row r="4585" spans="19:19" ht="26.25">
      <c r="S4585" s="61" ph="1"/>
    </row>
    <row r="4586" spans="19:19" ht="26.25">
      <c r="S4586" s="61" ph="1"/>
    </row>
    <row r="4587" spans="19:19" ht="26.25">
      <c r="S4587" s="61" ph="1"/>
    </row>
    <row r="4588" spans="19:19" ht="26.25">
      <c r="S4588" s="61" ph="1"/>
    </row>
    <row r="4589" spans="19:19" ht="26.25">
      <c r="S4589" s="61" ph="1"/>
    </row>
    <row r="4590" spans="19:19" ht="26.25">
      <c r="S4590" s="61" ph="1"/>
    </row>
    <row r="4591" spans="19:19" ht="26.25">
      <c r="S4591" s="61" ph="1"/>
    </row>
    <row r="4592" spans="19:19" ht="26.25">
      <c r="S4592" s="61" ph="1"/>
    </row>
    <row r="4593" spans="19:19" ht="26.25">
      <c r="S4593" s="61" ph="1"/>
    </row>
    <row r="4594" spans="19:19" ht="26.25">
      <c r="S4594" s="61" ph="1"/>
    </row>
    <row r="4595" spans="19:19" ht="26.25">
      <c r="S4595" s="61" ph="1"/>
    </row>
    <row r="4596" spans="19:19" ht="26.25">
      <c r="S4596" s="61" ph="1"/>
    </row>
    <row r="4597" spans="19:19" ht="26.25">
      <c r="S4597" s="61" ph="1"/>
    </row>
    <row r="4598" spans="19:19" ht="26.25">
      <c r="S4598" s="61" ph="1"/>
    </row>
    <row r="4599" spans="19:19" ht="26.25">
      <c r="S4599" s="61" ph="1"/>
    </row>
    <row r="4600" spans="19:19" ht="26.25">
      <c r="S4600" s="61" ph="1"/>
    </row>
    <row r="4601" spans="19:19" ht="26.25">
      <c r="S4601" s="61" ph="1"/>
    </row>
    <row r="4602" spans="19:19" ht="26.25">
      <c r="S4602" s="61" ph="1"/>
    </row>
    <row r="4603" spans="19:19" ht="26.25">
      <c r="S4603" s="61" ph="1"/>
    </row>
    <row r="4604" spans="19:19" ht="26.25">
      <c r="S4604" s="61" ph="1"/>
    </row>
    <row r="4605" spans="19:19" ht="26.25">
      <c r="S4605" s="61" ph="1"/>
    </row>
    <row r="4606" spans="19:19" ht="26.25">
      <c r="S4606" s="61" ph="1"/>
    </row>
    <row r="4607" spans="19:19" ht="26.25">
      <c r="S4607" s="61" ph="1"/>
    </row>
    <row r="4608" spans="19:19" ht="26.25">
      <c r="S4608" s="61" ph="1"/>
    </row>
    <row r="4609" spans="19:19" ht="26.25">
      <c r="S4609" s="61" ph="1"/>
    </row>
    <row r="4610" spans="19:19" ht="26.25">
      <c r="S4610" s="61" ph="1"/>
    </row>
    <row r="4611" spans="19:19" ht="26.25">
      <c r="S4611" s="61" ph="1"/>
    </row>
    <row r="4612" spans="19:19" ht="26.25">
      <c r="S4612" s="61" ph="1"/>
    </row>
    <row r="4613" spans="19:19" ht="26.25">
      <c r="S4613" s="61" ph="1"/>
    </row>
    <row r="4614" spans="19:19" ht="26.25">
      <c r="S4614" s="61" ph="1"/>
    </row>
    <row r="4615" spans="19:19" ht="26.25">
      <c r="S4615" s="61" ph="1"/>
    </row>
    <row r="4616" spans="19:19" ht="26.25">
      <c r="S4616" s="61" ph="1"/>
    </row>
    <row r="4617" spans="19:19" ht="26.25">
      <c r="S4617" s="61" ph="1"/>
    </row>
    <row r="4618" spans="19:19" ht="26.25">
      <c r="S4618" s="61" ph="1"/>
    </row>
    <row r="4619" spans="19:19" ht="26.25">
      <c r="S4619" s="61" ph="1"/>
    </row>
    <row r="4620" spans="19:19" ht="26.25">
      <c r="S4620" s="61" ph="1"/>
    </row>
    <row r="4621" spans="19:19" ht="26.25">
      <c r="S4621" s="61" ph="1"/>
    </row>
    <row r="4622" spans="19:19" ht="26.25">
      <c r="S4622" s="61" ph="1"/>
    </row>
    <row r="4623" spans="19:19" ht="26.25">
      <c r="S4623" s="61" ph="1"/>
    </row>
    <row r="4624" spans="19:19" ht="26.25">
      <c r="S4624" s="61" ph="1"/>
    </row>
    <row r="4625" spans="19:19" ht="26.25">
      <c r="S4625" s="61" ph="1"/>
    </row>
    <row r="4626" spans="19:19" ht="26.25">
      <c r="S4626" s="61" ph="1"/>
    </row>
    <row r="4627" spans="19:19" ht="26.25">
      <c r="S4627" s="61" ph="1"/>
    </row>
    <row r="4628" spans="19:19" ht="26.25">
      <c r="S4628" s="61" ph="1"/>
    </row>
    <row r="4629" spans="19:19" ht="26.25">
      <c r="S4629" s="61" ph="1"/>
    </row>
    <row r="4630" spans="19:19" ht="26.25">
      <c r="S4630" s="61" ph="1"/>
    </row>
    <row r="4631" spans="19:19" ht="26.25">
      <c r="S4631" s="61" ph="1"/>
    </row>
    <row r="4632" spans="19:19" ht="26.25">
      <c r="S4632" s="61" ph="1"/>
    </row>
    <row r="4633" spans="19:19" ht="26.25">
      <c r="S4633" s="61" ph="1"/>
    </row>
    <row r="4634" spans="19:19" ht="26.25">
      <c r="S4634" s="61" ph="1"/>
    </row>
    <row r="4635" spans="19:19" ht="26.25">
      <c r="S4635" s="61" ph="1"/>
    </row>
    <row r="4636" spans="19:19" ht="26.25">
      <c r="S4636" s="61" ph="1"/>
    </row>
    <row r="4637" spans="19:19" ht="26.25">
      <c r="S4637" s="61" ph="1"/>
    </row>
    <row r="4638" spans="19:19" ht="26.25">
      <c r="S4638" s="61" ph="1"/>
    </row>
    <row r="4639" spans="19:19" ht="26.25">
      <c r="S4639" s="61" ph="1"/>
    </row>
    <row r="4640" spans="19:19" ht="26.25">
      <c r="S4640" s="61" ph="1"/>
    </row>
    <row r="4641" spans="19:19" ht="26.25">
      <c r="S4641" s="61" ph="1"/>
    </row>
    <row r="4642" spans="19:19" ht="26.25">
      <c r="S4642" s="61" ph="1"/>
    </row>
    <row r="4643" spans="19:19" ht="26.25">
      <c r="S4643" s="61" ph="1"/>
    </row>
    <row r="4644" spans="19:19" ht="26.25">
      <c r="S4644" s="61" ph="1"/>
    </row>
    <row r="4645" spans="19:19" ht="26.25">
      <c r="S4645" s="61" ph="1"/>
    </row>
    <row r="4646" spans="19:19" ht="26.25">
      <c r="S4646" s="61" ph="1"/>
    </row>
    <row r="4647" spans="19:19" ht="26.25">
      <c r="S4647" s="61" ph="1"/>
    </row>
    <row r="4648" spans="19:19" ht="26.25">
      <c r="S4648" s="61" ph="1"/>
    </row>
    <row r="4649" spans="19:19" ht="26.25">
      <c r="S4649" s="61" ph="1"/>
    </row>
    <row r="4650" spans="19:19" ht="26.25">
      <c r="S4650" s="61" ph="1"/>
    </row>
    <row r="4651" spans="19:19" ht="26.25">
      <c r="S4651" s="61" ph="1"/>
    </row>
    <row r="4652" spans="19:19" ht="26.25">
      <c r="S4652" s="61" ph="1"/>
    </row>
    <row r="4653" spans="19:19" ht="26.25">
      <c r="S4653" s="61" ph="1"/>
    </row>
    <row r="4654" spans="19:19" ht="26.25">
      <c r="S4654" s="61" ph="1"/>
    </row>
    <row r="4655" spans="19:19" ht="26.25">
      <c r="S4655" s="61" ph="1"/>
    </row>
    <row r="4656" spans="19:19" ht="26.25">
      <c r="S4656" s="61" ph="1"/>
    </row>
    <row r="4657" spans="19:19" ht="26.25">
      <c r="S4657" s="61" ph="1"/>
    </row>
    <row r="4658" spans="19:19" ht="26.25">
      <c r="S4658" s="61" ph="1"/>
    </row>
    <row r="4659" spans="19:19" ht="26.25">
      <c r="S4659" s="61" ph="1"/>
    </row>
    <row r="4660" spans="19:19" ht="26.25">
      <c r="S4660" s="61" ph="1"/>
    </row>
    <row r="4661" spans="19:19" ht="26.25">
      <c r="S4661" s="61" ph="1"/>
    </row>
    <row r="4662" spans="19:19" ht="26.25">
      <c r="S4662" s="61" ph="1"/>
    </row>
    <row r="4663" spans="19:19" ht="26.25">
      <c r="S4663" s="61" ph="1"/>
    </row>
    <row r="4664" spans="19:19" ht="26.25">
      <c r="S4664" s="61" ph="1"/>
    </row>
    <row r="4665" spans="19:19" ht="26.25">
      <c r="S4665" s="61" ph="1"/>
    </row>
    <row r="4666" spans="19:19" ht="26.25">
      <c r="S4666" s="61" ph="1"/>
    </row>
    <row r="4667" spans="19:19" ht="26.25">
      <c r="S4667" s="61" ph="1"/>
    </row>
    <row r="4668" spans="19:19" ht="26.25">
      <c r="S4668" s="61" ph="1"/>
    </row>
    <row r="4669" spans="19:19" ht="26.25">
      <c r="S4669" s="61" ph="1"/>
    </row>
    <row r="4670" spans="19:19" ht="26.25">
      <c r="S4670" s="61" ph="1"/>
    </row>
    <row r="4671" spans="19:19" ht="26.25">
      <c r="S4671" s="61" ph="1"/>
    </row>
    <row r="4672" spans="19:19" ht="26.25">
      <c r="S4672" s="61" ph="1"/>
    </row>
    <row r="4673" spans="19:19" ht="26.25">
      <c r="S4673" s="61" ph="1"/>
    </row>
    <row r="4674" spans="19:19" ht="26.25">
      <c r="S4674" s="61" ph="1"/>
    </row>
    <row r="4675" spans="19:19" ht="26.25">
      <c r="S4675" s="61" ph="1"/>
    </row>
    <row r="4676" spans="19:19" ht="26.25">
      <c r="S4676" s="61" ph="1"/>
    </row>
    <row r="4677" spans="19:19" ht="26.25">
      <c r="S4677" s="61" ph="1"/>
    </row>
    <row r="4678" spans="19:19" ht="26.25">
      <c r="S4678" s="61" ph="1"/>
    </row>
    <row r="4679" spans="19:19" ht="26.25">
      <c r="S4679" s="61" ph="1"/>
    </row>
    <row r="4680" spans="19:19" ht="26.25">
      <c r="S4680" s="61" ph="1"/>
    </row>
    <row r="4681" spans="19:19" ht="26.25">
      <c r="S4681" s="61" ph="1"/>
    </row>
    <row r="4682" spans="19:19" ht="26.25">
      <c r="S4682" s="61" ph="1"/>
    </row>
    <row r="4683" spans="19:19" ht="26.25">
      <c r="S4683" s="61" ph="1"/>
    </row>
    <row r="4684" spans="19:19" ht="26.25">
      <c r="S4684" s="61" ph="1"/>
    </row>
    <row r="4685" spans="19:19" ht="26.25">
      <c r="S4685" s="61" ph="1"/>
    </row>
    <row r="4686" spans="19:19" ht="26.25">
      <c r="S4686" s="61" ph="1"/>
    </row>
    <row r="4687" spans="19:19" ht="26.25">
      <c r="S4687" s="61" ph="1"/>
    </row>
    <row r="4688" spans="19:19" ht="26.25">
      <c r="S4688" s="61" ph="1"/>
    </row>
    <row r="4689" spans="19:19" ht="26.25">
      <c r="S4689" s="61" ph="1"/>
    </row>
    <row r="4690" spans="19:19" ht="26.25">
      <c r="S4690" s="61" ph="1"/>
    </row>
    <row r="4691" spans="19:19" ht="26.25">
      <c r="S4691" s="61" ph="1"/>
    </row>
    <row r="4692" spans="19:19" ht="26.25">
      <c r="S4692" s="61" ph="1"/>
    </row>
    <row r="4693" spans="19:19" ht="26.25">
      <c r="S4693" s="61" ph="1"/>
    </row>
    <row r="4694" spans="19:19" ht="26.25">
      <c r="S4694" s="61" ph="1"/>
    </row>
    <row r="4695" spans="19:19" ht="26.25">
      <c r="S4695" s="61" ph="1"/>
    </row>
    <row r="4696" spans="19:19" ht="26.25">
      <c r="S4696" s="61" ph="1"/>
    </row>
    <row r="4697" spans="19:19" ht="26.25">
      <c r="S4697" s="61" ph="1"/>
    </row>
    <row r="4698" spans="19:19" ht="26.25">
      <c r="S4698" s="61" ph="1"/>
    </row>
    <row r="4699" spans="19:19" ht="26.25">
      <c r="S4699" s="61" ph="1"/>
    </row>
    <row r="4700" spans="19:19" ht="26.25">
      <c r="S4700" s="61" ph="1"/>
    </row>
    <row r="4701" spans="19:19" ht="26.25">
      <c r="S4701" s="61" ph="1"/>
    </row>
    <row r="4702" spans="19:19" ht="26.25">
      <c r="S4702" s="61" ph="1"/>
    </row>
    <row r="4703" spans="19:19" ht="26.25">
      <c r="S4703" s="61" ph="1"/>
    </row>
    <row r="4704" spans="19:19" ht="26.25">
      <c r="S4704" s="61" ph="1"/>
    </row>
    <row r="4705" spans="19:19" ht="26.25">
      <c r="S4705" s="61" ph="1"/>
    </row>
    <row r="4706" spans="19:19" ht="26.25">
      <c r="S4706" s="61" ph="1"/>
    </row>
    <row r="4707" spans="19:19" ht="26.25">
      <c r="S4707" s="61" ph="1"/>
    </row>
    <row r="4708" spans="19:19" ht="26.25">
      <c r="S4708" s="61" ph="1"/>
    </row>
    <row r="4709" spans="19:19" ht="26.25">
      <c r="S4709" s="61" ph="1"/>
    </row>
    <row r="4710" spans="19:19" ht="26.25">
      <c r="S4710" s="61" ph="1"/>
    </row>
    <row r="4711" spans="19:19" ht="26.25">
      <c r="S4711" s="61" ph="1"/>
    </row>
    <row r="4712" spans="19:19" ht="26.25">
      <c r="S4712" s="61" ph="1"/>
    </row>
    <row r="4713" spans="19:19" ht="26.25">
      <c r="S4713" s="61" ph="1"/>
    </row>
    <row r="4714" spans="19:19" ht="26.25">
      <c r="S4714" s="61" ph="1"/>
    </row>
    <row r="4715" spans="19:19" ht="26.25">
      <c r="S4715" s="61" ph="1"/>
    </row>
    <row r="4716" spans="19:19" ht="26.25">
      <c r="S4716" s="61" ph="1"/>
    </row>
    <row r="4717" spans="19:19" ht="26.25">
      <c r="S4717" s="61" ph="1"/>
    </row>
    <row r="4718" spans="19:19" ht="26.25">
      <c r="S4718" s="61" ph="1"/>
    </row>
    <row r="4719" spans="19:19" ht="26.25">
      <c r="S4719" s="61" ph="1"/>
    </row>
    <row r="4720" spans="19:19" ht="26.25">
      <c r="S4720" s="61" ph="1"/>
    </row>
    <row r="4721" spans="19:19" ht="26.25">
      <c r="S4721" s="61" ph="1"/>
    </row>
    <row r="4722" spans="19:19" ht="26.25">
      <c r="S4722" s="61" ph="1"/>
    </row>
    <row r="4723" spans="19:19" ht="26.25">
      <c r="S4723" s="61" ph="1"/>
    </row>
    <row r="4724" spans="19:19" ht="26.25">
      <c r="S4724" s="61" ph="1"/>
    </row>
    <row r="4725" spans="19:19" ht="26.25">
      <c r="S4725" s="61" ph="1"/>
    </row>
    <row r="4726" spans="19:19" ht="26.25">
      <c r="S4726" s="61" ph="1"/>
    </row>
    <row r="4727" spans="19:19" ht="26.25">
      <c r="S4727" s="61" ph="1"/>
    </row>
    <row r="4728" spans="19:19" ht="26.25">
      <c r="S4728" s="61" ph="1"/>
    </row>
    <row r="4729" spans="19:19" ht="26.25">
      <c r="S4729" s="61" ph="1"/>
    </row>
    <row r="4730" spans="19:19" ht="26.25">
      <c r="S4730" s="61" ph="1"/>
    </row>
    <row r="4731" spans="19:19" ht="26.25">
      <c r="S4731" s="61" ph="1"/>
    </row>
    <row r="4732" spans="19:19" ht="26.25">
      <c r="S4732" s="61" ph="1"/>
    </row>
    <row r="4733" spans="19:19" ht="26.25">
      <c r="S4733" s="61" ph="1"/>
    </row>
    <row r="4734" spans="19:19" ht="26.25">
      <c r="S4734" s="61" ph="1"/>
    </row>
    <row r="4735" spans="19:19" ht="26.25">
      <c r="S4735" s="61" ph="1"/>
    </row>
    <row r="4736" spans="19:19" ht="26.25">
      <c r="S4736" s="61" ph="1"/>
    </row>
    <row r="4737" spans="19:19" ht="26.25">
      <c r="S4737" s="61" ph="1"/>
    </row>
    <row r="4738" spans="19:19" ht="26.25">
      <c r="S4738" s="61" ph="1"/>
    </row>
    <row r="4739" spans="19:19" ht="26.25">
      <c r="S4739" s="61" ph="1"/>
    </row>
    <row r="4740" spans="19:19" ht="26.25">
      <c r="S4740" s="61" ph="1"/>
    </row>
    <row r="4741" spans="19:19" ht="26.25">
      <c r="S4741" s="61" ph="1"/>
    </row>
    <row r="4742" spans="19:19" ht="26.25">
      <c r="S4742" s="61" ph="1"/>
    </row>
    <row r="4743" spans="19:19" ht="26.25">
      <c r="S4743" s="61" ph="1"/>
    </row>
    <row r="4744" spans="19:19" ht="26.25">
      <c r="S4744" s="61" ph="1"/>
    </row>
    <row r="4745" spans="19:19" ht="26.25">
      <c r="S4745" s="61" ph="1"/>
    </row>
    <row r="4746" spans="19:19" ht="26.25">
      <c r="S4746" s="61" ph="1"/>
    </row>
    <row r="4747" spans="19:19" ht="26.25">
      <c r="S4747" s="61" ph="1"/>
    </row>
    <row r="4748" spans="19:19" ht="26.25">
      <c r="S4748" s="61" ph="1"/>
    </row>
    <row r="4749" spans="19:19" ht="26.25">
      <c r="S4749" s="61" ph="1"/>
    </row>
    <row r="4750" spans="19:19" ht="26.25">
      <c r="S4750" s="61" ph="1"/>
    </row>
    <row r="4751" spans="19:19" ht="26.25">
      <c r="S4751" s="61" ph="1"/>
    </row>
    <row r="4752" spans="19:19" ht="26.25">
      <c r="S4752" s="61" ph="1"/>
    </row>
    <row r="4753" spans="19:19" ht="26.25">
      <c r="S4753" s="61" ph="1"/>
    </row>
    <row r="4754" spans="19:19" ht="26.25">
      <c r="S4754" s="61" ph="1"/>
    </row>
    <row r="4755" spans="19:19" ht="26.25">
      <c r="S4755" s="61" ph="1"/>
    </row>
    <row r="4756" spans="19:19" ht="26.25">
      <c r="S4756" s="61" ph="1"/>
    </row>
    <row r="4757" spans="19:19" ht="26.25">
      <c r="S4757" s="61" ph="1"/>
    </row>
    <row r="4758" spans="19:19" ht="26.25">
      <c r="S4758" s="61" ph="1"/>
    </row>
    <row r="4759" spans="19:19" ht="26.25">
      <c r="S4759" s="61" ph="1"/>
    </row>
    <row r="4760" spans="19:19" ht="26.25">
      <c r="S4760" s="61" ph="1"/>
    </row>
    <row r="4761" spans="19:19" ht="26.25">
      <c r="S4761" s="61" ph="1"/>
    </row>
    <row r="4762" spans="19:19" ht="26.25">
      <c r="S4762" s="61" ph="1"/>
    </row>
    <row r="4763" spans="19:19" ht="26.25">
      <c r="S4763" s="61" ph="1"/>
    </row>
    <row r="4764" spans="19:19" ht="26.25">
      <c r="S4764" s="61" ph="1"/>
    </row>
    <row r="4765" spans="19:19" ht="26.25">
      <c r="S4765" s="61" ph="1"/>
    </row>
    <row r="4766" spans="19:19" ht="26.25">
      <c r="S4766" s="61" ph="1"/>
    </row>
    <row r="4767" spans="19:19" ht="26.25">
      <c r="S4767" s="61" ph="1"/>
    </row>
    <row r="4768" spans="19:19" ht="26.25">
      <c r="S4768" s="61" ph="1"/>
    </row>
    <row r="4769" spans="19:19" ht="26.25">
      <c r="S4769" s="61" ph="1"/>
    </row>
    <row r="4770" spans="19:19" ht="26.25">
      <c r="S4770" s="61" ph="1"/>
    </row>
    <row r="4771" spans="19:19" ht="26.25">
      <c r="S4771" s="61" ph="1"/>
    </row>
    <row r="4772" spans="19:19" ht="26.25">
      <c r="S4772" s="61" ph="1"/>
    </row>
    <row r="4773" spans="19:19" ht="26.25">
      <c r="S4773" s="61" ph="1"/>
    </row>
    <row r="4774" spans="19:19" ht="26.25">
      <c r="S4774" s="61" ph="1"/>
    </row>
    <row r="4775" spans="19:19" ht="26.25">
      <c r="S4775" s="61" ph="1"/>
    </row>
    <row r="4776" spans="19:19" ht="26.25">
      <c r="S4776" s="61" ph="1"/>
    </row>
    <row r="4777" spans="19:19" ht="26.25">
      <c r="S4777" s="61" ph="1"/>
    </row>
    <row r="4778" spans="19:19" ht="26.25">
      <c r="S4778" s="61" ph="1"/>
    </row>
    <row r="4779" spans="19:19" ht="26.25">
      <c r="S4779" s="61" ph="1"/>
    </row>
    <row r="4780" spans="19:19" ht="26.25">
      <c r="S4780" s="61" ph="1"/>
    </row>
    <row r="4781" spans="19:19" ht="26.25">
      <c r="S4781" s="61" ph="1"/>
    </row>
    <row r="4782" spans="19:19" ht="26.25">
      <c r="S4782" s="61" ph="1"/>
    </row>
    <row r="4783" spans="19:19" ht="26.25">
      <c r="S4783" s="61" ph="1"/>
    </row>
    <row r="4784" spans="19:19" ht="26.25">
      <c r="S4784" s="61" ph="1"/>
    </row>
    <row r="4785" spans="19:19" ht="26.25">
      <c r="S4785" s="61" ph="1"/>
    </row>
    <row r="4786" spans="19:19" ht="26.25">
      <c r="S4786" s="61" ph="1"/>
    </row>
    <row r="4787" spans="19:19" ht="26.25">
      <c r="S4787" s="61" ph="1"/>
    </row>
    <row r="4788" spans="19:19" ht="26.25">
      <c r="S4788" s="61" ph="1"/>
    </row>
    <row r="4789" spans="19:19" ht="26.25">
      <c r="S4789" s="61" ph="1"/>
    </row>
    <row r="4790" spans="19:19" ht="26.25">
      <c r="S4790" s="61" ph="1"/>
    </row>
    <row r="4791" spans="19:19" ht="26.25">
      <c r="S4791" s="61" ph="1"/>
    </row>
    <row r="4792" spans="19:19" ht="26.25">
      <c r="S4792" s="61" ph="1"/>
    </row>
    <row r="4793" spans="19:19" ht="26.25">
      <c r="S4793" s="61" ph="1"/>
    </row>
    <row r="4794" spans="19:19" ht="26.25">
      <c r="S4794" s="61" ph="1"/>
    </row>
    <row r="4795" spans="19:19" ht="26.25">
      <c r="S4795" s="61" ph="1"/>
    </row>
    <row r="4796" spans="19:19" ht="26.25">
      <c r="S4796" s="61" ph="1"/>
    </row>
    <row r="4797" spans="19:19" ht="26.25">
      <c r="S4797" s="61" ph="1"/>
    </row>
    <row r="4798" spans="19:19" ht="26.25">
      <c r="S4798" s="61" ph="1"/>
    </row>
    <row r="4799" spans="19:19" ht="26.25">
      <c r="S4799" s="61" ph="1"/>
    </row>
    <row r="4800" spans="19:19" ht="26.25">
      <c r="S4800" s="61" ph="1"/>
    </row>
    <row r="4801" spans="19:19" ht="26.25">
      <c r="S4801" s="61" ph="1"/>
    </row>
    <row r="4802" spans="19:19" ht="26.25">
      <c r="S4802" s="61" ph="1"/>
    </row>
    <row r="4803" spans="19:19" ht="26.25">
      <c r="S4803" s="61" ph="1"/>
    </row>
    <row r="4804" spans="19:19" ht="26.25">
      <c r="S4804" s="61" ph="1"/>
    </row>
    <row r="4805" spans="19:19" ht="26.25">
      <c r="S4805" s="61" ph="1"/>
    </row>
    <row r="4806" spans="19:19" ht="26.25">
      <c r="S4806" s="61" ph="1"/>
    </row>
    <row r="4807" spans="19:19" ht="26.25">
      <c r="S4807" s="61" ph="1"/>
    </row>
    <row r="4808" spans="19:19" ht="26.25">
      <c r="S4808" s="61" ph="1"/>
    </row>
    <row r="4809" spans="19:19" ht="26.25">
      <c r="S4809" s="61" ph="1"/>
    </row>
    <row r="4810" spans="19:19" ht="26.25">
      <c r="S4810" s="61" ph="1"/>
    </row>
    <row r="4811" spans="19:19" ht="26.25">
      <c r="S4811" s="61" ph="1"/>
    </row>
    <row r="4812" spans="19:19" ht="26.25">
      <c r="S4812" s="61" ph="1"/>
    </row>
    <row r="4813" spans="19:19" ht="26.25">
      <c r="S4813" s="61" ph="1"/>
    </row>
    <row r="4814" spans="19:19" ht="26.25">
      <c r="S4814" s="61" ph="1"/>
    </row>
    <row r="4815" spans="19:19" ht="26.25">
      <c r="S4815" s="61" ph="1"/>
    </row>
    <row r="4816" spans="19:19" ht="26.25">
      <c r="S4816" s="61" ph="1"/>
    </row>
    <row r="4817" spans="19:19" ht="26.25">
      <c r="S4817" s="61" ph="1"/>
    </row>
    <row r="4818" spans="19:19" ht="26.25">
      <c r="S4818" s="61" ph="1"/>
    </row>
    <row r="4819" spans="19:19" ht="26.25">
      <c r="S4819" s="61" ph="1"/>
    </row>
    <row r="4820" spans="19:19" ht="26.25">
      <c r="S4820" s="61" ph="1"/>
    </row>
    <row r="4821" spans="19:19" ht="26.25">
      <c r="S4821" s="61" ph="1"/>
    </row>
    <row r="4822" spans="19:19" ht="26.25">
      <c r="S4822" s="61" ph="1"/>
    </row>
    <row r="4823" spans="19:19" ht="26.25">
      <c r="S4823" s="61" ph="1"/>
    </row>
    <row r="4824" spans="19:19" ht="26.25">
      <c r="S4824" s="61" ph="1"/>
    </row>
    <row r="4825" spans="19:19" ht="26.25">
      <c r="S4825" s="61" ph="1"/>
    </row>
    <row r="4826" spans="19:19" ht="26.25">
      <c r="S4826" s="61" ph="1"/>
    </row>
    <row r="4827" spans="19:19" ht="26.25">
      <c r="S4827" s="61" ph="1"/>
    </row>
    <row r="4828" spans="19:19" ht="26.25">
      <c r="S4828" s="61" ph="1"/>
    </row>
    <row r="4829" spans="19:19" ht="26.25">
      <c r="S4829" s="61" ph="1"/>
    </row>
    <row r="4830" spans="19:19" ht="26.25">
      <c r="S4830" s="61" ph="1"/>
    </row>
    <row r="4831" spans="19:19" ht="26.25">
      <c r="S4831" s="61" ph="1"/>
    </row>
    <row r="4832" spans="19:19" ht="26.25">
      <c r="S4832" s="61" ph="1"/>
    </row>
    <row r="4833" spans="19:19" ht="26.25">
      <c r="S4833" s="61" ph="1"/>
    </row>
    <row r="4834" spans="19:19" ht="26.25">
      <c r="S4834" s="61" ph="1"/>
    </row>
    <row r="4835" spans="19:19" ht="26.25">
      <c r="S4835" s="61" ph="1"/>
    </row>
    <row r="4836" spans="19:19" ht="26.25">
      <c r="S4836" s="61" ph="1"/>
    </row>
    <row r="4837" spans="19:19" ht="26.25">
      <c r="S4837" s="61" ph="1"/>
    </row>
    <row r="4838" spans="19:19" ht="26.25">
      <c r="S4838" s="61" ph="1"/>
    </row>
    <row r="4839" spans="19:19" ht="26.25">
      <c r="S4839" s="61" ph="1"/>
    </row>
    <row r="4840" spans="19:19" ht="26.25">
      <c r="S4840" s="61" ph="1"/>
    </row>
    <row r="4841" spans="19:19" ht="26.25">
      <c r="S4841" s="61" ph="1"/>
    </row>
    <row r="4842" spans="19:19" ht="26.25">
      <c r="S4842" s="61" ph="1"/>
    </row>
    <row r="4843" spans="19:19" ht="26.25">
      <c r="S4843" s="61" ph="1"/>
    </row>
    <row r="4844" spans="19:19" ht="26.25">
      <c r="S4844" s="61" ph="1"/>
    </row>
    <row r="4845" spans="19:19" ht="26.25">
      <c r="S4845" s="61" ph="1"/>
    </row>
    <row r="4846" spans="19:19" ht="26.25">
      <c r="S4846" s="61" ph="1"/>
    </row>
    <row r="4847" spans="19:19" ht="26.25">
      <c r="S4847" s="61" ph="1"/>
    </row>
    <row r="4848" spans="19:19" ht="26.25">
      <c r="S4848" s="61" ph="1"/>
    </row>
    <row r="4849" spans="19:19" ht="26.25">
      <c r="S4849" s="61" ph="1"/>
    </row>
    <row r="4850" spans="19:19" ht="26.25">
      <c r="S4850" s="61" ph="1"/>
    </row>
    <row r="4851" spans="19:19" ht="26.25">
      <c r="S4851" s="61" ph="1"/>
    </row>
    <row r="4852" spans="19:19" ht="26.25">
      <c r="S4852" s="61" ph="1"/>
    </row>
    <row r="4853" spans="19:19" ht="26.25">
      <c r="S4853" s="61" ph="1"/>
    </row>
    <row r="4854" spans="19:19" ht="26.25">
      <c r="S4854" s="61" ph="1"/>
    </row>
    <row r="4855" spans="19:19" ht="26.25">
      <c r="S4855" s="61" ph="1"/>
    </row>
    <row r="4856" spans="19:19" ht="26.25">
      <c r="S4856" s="61" ph="1"/>
    </row>
    <row r="4857" spans="19:19" ht="26.25">
      <c r="S4857" s="61" ph="1"/>
    </row>
    <row r="4858" spans="19:19" ht="26.25">
      <c r="S4858" s="61" ph="1"/>
    </row>
    <row r="4859" spans="19:19" ht="26.25">
      <c r="S4859" s="61" ph="1"/>
    </row>
    <row r="4860" spans="19:19" ht="26.25">
      <c r="S4860" s="61" ph="1"/>
    </row>
    <row r="4861" spans="19:19" ht="26.25">
      <c r="S4861" s="61" ph="1"/>
    </row>
    <row r="4862" spans="19:19" ht="26.25">
      <c r="S4862" s="61" ph="1"/>
    </row>
    <row r="4863" spans="19:19" ht="26.25">
      <c r="S4863" s="61" ph="1"/>
    </row>
    <row r="4864" spans="19:19" ht="26.25">
      <c r="S4864" s="61" ph="1"/>
    </row>
    <row r="4865" spans="19:19" ht="26.25">
      <c r="S4865" s="61" ph="1"/>
    </row>
    <row r="4866" spans="19:19" ht="26.25">
      <c r="S4866" s="61" ph="1"/>
    </row>
    <row r="4867" spans="19:19" ht="26.25">
      <c r="S4867" s="61" ph="1"/>
    </row>
    <row r="4868" spans="19:19" ht="26.25">
      <c r="S4868" s="61" ph="1"/>
    </row>
    <row r="4869" spans="19:19" ht="26.25">
      <c r="S4869" s="61" ph="1"/>
    </row>
    <row r="4870" spans="19:19" ht="26.25">
      <c r="S4870" s="61" ph="1"/>
    </row>
    <row r="4871" spans="19:19" ht="26.25">
      <c r="S4871" s="61" ph="1"/>
    </row>
    <row r="4872" spans="19:19" ht="26.25">
      <c r="S4872" s="61" ph="1"/>
    </row>
    <row r="4873" spans="19:19" ht="26.25">
      <c r="S4873" s="61" ph="1"/>
    </row>
    <row r="4874" spans="19:19" ht="26.25">
      <c r="S4874" s="61" ph="1"/>
    </row>
    <row r="4875" spans="19:19" ht="26.25">
      <c r="S4875" s="61" ph="1"/>
    </row>
    <row r="4876" spans="19:19" ht="26.25">
      <c r="S4876" s="61" ph="1"/>
    </row>
    <row r="4877" spans="19:19" ht="26.25">
      <c r="S4877" s="61" ph="1"/>
    </row>
    <row r="4878" spans="19:19" ht="26.25">
      <c r="S4878" s="61" ph="1"/>
    </row>
    <row r="4879" spans="19:19" ht="26.25">
      <c r="S4879" s="61" ph="1"/>
    </row>
    <row r="4880" spans="19:19" ht="26.25">
      <c r="S4880" s="61" ph="1"/>
    </row>
    <row r="4881" spans="19:19" ht="26.25">
      <c r="S4881" s="61" ph="1"/>
    </row>
    <row r="4882" spans="19:19" ht="26.25">
      <c r="S4882" s="61" ph="1"/>
    </row>
    <row r="4883" spans="19:19" ht="26.25">
      <c r="S4883" s="61" ph="1"/>
    </row>
    <row r="4884" spans="19:19" ht="26.25">
      <c r="S4884" s="61" ph="1"/>
    </row>
    <row r="4885" spans="19:19" ht="26.25">
      <c r="S4885" s="61" ph="1"/>
    </row>
    <row r="4886" spans="19:19" ht="26.25">
      <c r="S4886" s="61" ph="1"/>
    </row>
    <row r="4887" spans="19:19" ht="26.25">
      <c r="S4887" s="61" ph="1"/>
    </row>
    <row r="4888" spans="19:19" ht="26.25">
      <c r="S4888" s="61" ph="1"/>
    </row>
    <row r="4889" spans="19:19" ht="26.25">
      <c r="S4889" s="61" ph="1"/>
    </row>
    <row r="4890" spans="19:19" ht="26.25">
      <c r="S4890" s="61" ph="1"/>
    </row>
    <row r="4891" spans="19:19" ht="26.25">
      <c r="S4891" s="61" ph="1"/>
    </row>
    <row r="4892" spans="19:19" ht="26.25">
      <c r="S4892" s="61" ph="1"/>
    </row>
    <row r="4893" spans="19:19" ht="26.25">
      <c r="S4893" s="61" ph="1"/>
    </row>
    <row r="4894" spans="19:19" ht="26.25">
      <c r="S4894" s="61" ph="1"/>
    </row>
    <row r="4895" spans="19:19" ht="26.25">
      <c r="S4895" s="61" ph="1"/>
    </row>
    <row r="4896" spans="19:19" ht="26.25">
      <c r="S4896" s="61" ph="1"/>
    </row>
    <row r="4897" spans="19:19" ht="26.25">
      <c r="S4897" s="61" ph="1"/>
    </row>
    <row r="4898" spans="19:19" ht="26.25">
      <c r="S4898" s="61" ph="1"/>
    </row>
    <row r="4899" spans="19:19" ht="26.25">
      <c r="S4899" s="61" ph="1"/>
    </row>
    <row r="4900" spans="19:19" ht="26.25">
      <c r="S4900" s="61" ph="1"/>
    </row>
    <row r="4901" spans="19:19" ht="26.25">
      <c r="S4901" s="61" ph="1"/>
    </row>
    <row r="4902" spans="19:19" ht="26.25">
      <c r="S4902" s="61" ph="1"/>
    </row>
    <row r="4903" spans="19:19" ht="26.25">
      <c r="S4903" s="61" ph="1"/>
    </row>
    <row r="4904" spans="19:19" ht="26.25">
      <c r="S4904" s="61" ph="1"/>
    </row>
    <row r="4905" spans="19:19" ht="26.25">
      <c r="S4905" s="61" ph="1"/>
    </row>
    <row r="4906" spans="19:19" ht="26.25">
      <c r="S4906" s="61" ph="1"/>
    </row>
    <row r="4907" spans="19:19" ht="26.25">
      <c r="S4907" s="61" ph="1"/>
    </row>
    <row r="4908" spans="19:19" ht="26.25">
      <c r="S4908" s="61" ph="1"/>
    </row>
    <row r="4909" spans="19:19" ht="26.25">
      <c r="S4909" s="61" ph="1"/>
    </row>
    <row r="4910" spans="19:19" ht="26.25">
      <c r="S4910" s="61" ph="1"/>
    </row>
    <row r="4911" spans="19:19" ht="26.25">
      <c r="S4911" s="61" ph="1"/>
    </row>
    <row r="4912" spans="19:19" ht="26.25">
      <c r="S4912" s="61" ph="1"/>
    </row>
    <row r="4913" spans="19:19" ht="26.25">
      <c r="S4913" s="61" ph="1"/>
    </row>
    <row r="4914" spans="19:19" ht="26.25">
      <c r="S4914" s="61" ph="1"/>
    </row>
    <row r="4915" spans="19:19" ht="26.25">
      <c r="S4915" s="61" ph="1"/>
    </row>
    <row r="4916" spans="19:19" ht="26.25">
      <c r="S4916" s="61" ph="1"/>
    </row>
    <row r="4917" spans="19:19" ht="26.25">
      <c r="S4917" s="61" ph="1"/>
    </row>
    <row r="4918" spans="19:19" ht="26.25">
      <c r="S4918" s="61" ph="1"/>
    </row>
    <row r="4919" spans="19:19" ht="26.25">
      <c r="S4919" s="61" ph="1"/>
    </row>
    <row r="4920" spans="19:19" ht="26.25">
      <c r="S4920" s="61" ph="1"/>
    </row>
    <row r="4921" spans="19:19" ht="26.25">
      <c r="S4921" s="61" ph="1"/>
    </row>
    <row r="4922" spans="19:19" ht="26.25">
      <c r="S4922" s="61" ph="1"/>
    </row>
    <row r="4923" spans="19:19" ht="26.25">
      <c r="S4923" s="61" ph="1"/>
    </row>
    <row r="4924" spans="19:19" ht="26.25">
      <c r="S4924" s="61" ph="1"/>
    </row>
    <row r="4925" spans="19:19" ht="26.25">
      <c r="S4925" s="61" ph="1"/>
    </row>
    <row r="4926" spans="19:19" ht="26.25">
      <c r="S4926" s="61" ph="1"/>
    </row>
    <row r="4927" spans="19:19" ht="26.25">
      <c r="S4927" s="61" ph="1"/>
    </row>
    <row r="4928" spans="19:19" ht="26.25">
      <c r="S4928" s="61" ph="1"/>
    </row>
    <row r="4929" spans="19:19" ht="26.25">
      <c r="S4929" s="61" ph="1"/>
    </row>
    <row r="4930" spans="19:19" ht="26.25">
      <c r="S4930" s="61" ph="1"/>
    </row>
    <row r="4931" spans="19:19" ht="26.25">
      <c r="S4931" s="61" ph="1"/>
    </row>
    <row r="4932" spans="19:19" ht="26.25">
      <c r="S4932" s="61" ph="1"/>
    </row>
    <row r="4933" spans="19:19" ht="26.25">
      <c r="S4933" s="61" ph="1"/>
    </row>
    <row r="4934" spans="19:19" ht="26.25">
      <c r="S4934" s="61" ph="1"/>
    </row>
    <row r="4935" spans="19:19" ht="26.25">
      <c r="S4935" s="61" ph="1"/>
    </row>
    <row r="4936" spans="19:19" ht="26.25">
      <c r="S4936" s="61" ph="1"/>
    </row>
    <row r="4937" spans="19:19" ht="26.25">
      <c r="S4937" s="61" ph="1"/>
    </row>
    <row r="4938" spans="19:19" ht="26.25">
      <c r="S4938" s="61" ph="1"/>
    </row>
    <row r="4939" spans="19:19" ht="26.25">
      <c r="S4939" s="61" ph="1"/>
    </row>
    <row r="4940" spans="19:19" ht="26.25">
      <c r="S4940" s="61" ph="1"/>
    </row>
    <row r="4941" spans="19:19" ht="26.25">
      <c r="S4941" s="61" ph="1"/>
    </row>
    <row r="4942" spans="19:19" ht="26.25">
      <c r="S4942" s="61" ph="1"/>
    </row>
    <row r="4943" spans="19:19" ht="26.25">
      <c r="S4943" s="61" ph="1"/>
    </row>
    <row r="4944" spans="19:19" ht="26.25">
      <c r="S4944" s="61" ph="1"/>
    </row>
    <row r="4945" spans="19:19" ht="26.25">
      <c r="S4945" s="61" ph="1"/>
    </row>
    <row r="4946" spans="19:19" ht="26.25">
      <c r="S4946" s="61" ph="1"/>
    </row>
    <row r="4947" spans="19:19" ht="26.25">
      <c r="S4947" s="61" ph="1"/>
    </row>
    <row r="4948" spans="19:19" ht="26.25">
      <c r="S4948" s="61" ph="1"/>
    </row>
    <row r="4949" spans="19:19" ht="26.25">
      <c r="S4949" s="61" ph="1"/>
    </row>
    <row r="4950" spans="19:19" ht="26.25">
      <c r="S4950" s="61" ph="1"/>
    </row>
    <row r="4951" spans="19:19" ht="26.25">
      <c r="S4951" s="61" ph="1"/>
    </row>
    <row r="4952" spans="19:19" ht="26.25">
      <c r="S4952" s="61" ph="1"/>
    </row>
    <row r="4953" spans="19:19" ht="26.25">
      <c r="S4953" s="61" ph="1"/>
    </row>
    <row r="4954" spans="19:19" ht="26.25">
      <c r="S4954" s="61" ph="1"/>
    </row>
    <row r="4955" spans="19:19" ht="26.25">
      <c r="S4955" s="61" ph="1"/>
    </row>
    <row r="4956" spans="19:19" ht="26.25">
      <c r="S4956" s="61" ph="1"/>
    </row>
    <row r="4957" spans="19:19" ht="26.25">
      <c r="S4957" s="61" ph="1"/>
    </row>
    <row r="4958" spans="19:19" ht="26.25">
      <c r="S4958" s="61" ph="1"/>
    </row>
    <row r="4959" spans="19:19" ht="26.25">
      <c r="S4959" s="61" ph="1"/>
    </row>
    <row r="4960" spans="19:19" ht="26.25">
      <c r="S4960" s="61" ph="1"/>
    </row>
    <row r="4961" spans="19:19" ht="26.25">
      <c r="S4961" s="61" ph="1"/>
    </row>
    <row r="4962" spans="19:19" ht="26.25">
      <c r="S4962" s="61" ph="1"/>
    </row>
    <row r="4963" spans="19:19" ht="26.25">
      <c r="S4963" s="61" ph="1"/>
    </row>
    <row r="4964" spans="19:19" ht="26.25">
      <c r="S4964" s="61" ph="1"/>
    </row>
    <row r="4965" spans="19:19" ht="26.25">
      <c r="S4965" s="61" ph="1"/>
    </row>
    <row r="4966" spans="19:19" ht="26.25">
      <c r="S4966" s="61" ph="1"/>
    </row>
    <row r="4967" spans="19:19" ht="26.25">
      <c r="S4967" s="61" ph="1"/>
    </row>
    <row r="4968" spans="19:19" ht="26.25">
      <c r="S4968" s="61" ph="1"/>
    </row>
    <row r="4969" spans="19:19" ht="26.25">
      <c r="S4969" s="61" ph="1"/>
    </row>
    <row r="4970" spans="19:19" ht="26.25">
      <c r="S4970" s="61" ph="1"/>
    </row>
    <row r="4971" spans="19:19" ht="26.25">
      <c r="S4971" s="61" ph="1"/>
    </row>
    <row r="4972" spans="19:19" ht="26.25">
      <c r="S4972" s="61" ph="1"/>
    </row>
    <row r="4973" spans="19:19" ht="26.25">
      <c r="S4973" s="61" ph="1"/>
    </row>
    <row r="4974" spans="19:19" ht="26.25">
      <c r="S4974" s="61" ph="1"/>
    </row>
    <row r="4975" spans="19:19" ht="26.25">
      <c r="S4975" s="61" ph="1"/>
    </row>
    <row r="4976" spans="19:19" ht="26.25">
      <c r="S4976" s="61" ph="1"/>
    </row>
    <row r="4977" spans="19:19" ht="26.25">
      <c r="S4977" s="61" ph="1"/>
    </row>
    <row r="4978" spans="19:19" ht="26.25">
      <c r="S4978" s="61" ph="1"/>
    </row>
    <row r="4979" spans="19:19" ht="26.25">
      <c r="S4979" s="61" ph="1"/>
    </row>
    <row r="4980" spans="19:19" ht="26.25">
      <c r="S4980" s="61" ph="1"/>
    </row>
    <row r="4981" spans="19:19" ht="26.25">
      <c r="S4981" s="61" ph="1"/>
    </row>
    <row r="4982" spans="19:19" ht="26.25">
      <c r="S4982" s="61" ph="1"/>
    </row>
    <row r="4983" spans="19:19" ht="26.25">
      <c r="S4983" s="61" ph="1"/>
    </row>
    <row r="4984" spans="19:19" ht="26.25">
      <c r="S4984" s="61" ph="1"/>
    </row>
    <row r="4985" spans="19:19" ht="26.25">
      <c r="S4985" s="61" ph="1"/>
    </row>
    <row r="4986" spans="19:19" ht="26.25">
      <c r="S4986" s="61" ph="1"/>
    </row>
    <row r="4987" spans="19:19" ht="26.25">
      <c r="S4987" s="61" ph="1"/>
    </row>
    <row r="4988" spans="19:19" ht="26.25">
      <c r="S4988" s="61" ph="1"/>
    </row>
    <row r="4989" spans="19:19" ht="26.25">
      <c r="S4989" s="61" ph="1"/>
    </row>
    <row r="4990" spans="19:19" ht="26.25">
      <c r="S4990" s="61" ph="1"/>
    </row>
    <row r="4991" spans="19:19" ht="26.25">
      <c r="S4991" s="61" ph="1"/>
    </row>
    <row r="4992" spans="19:19" ht="26.25">
      <c r="S4992" s="61" ph="1"/>
    </row>
    <row r="4993" spans="19:19" ht="26.25">
      <c r="S4993" s="61" ph="1"/>
    </row>
    <row r="4994" spans="19:19" ht="26.25">
      <c r="S4994" s="61" ph="1"/>
    </row>
    <row r="4995" spans="19:19" ht="26.25">
      <c r="S4995" s="61" ph="1"/>
    </row>
    <row r="4996" spans="19:19" ht="26.25">
      <c r="S4996" s="61" ph="1"/>
    </row>
    <row r="4997" spans="19:19" ht="26.25">
      <c r="S4997" s="61" ph="1"/>
    </row>
    <row r="4998" spans="19:19" ht="26.25">
      <c r="S4998" s="61" ph="1"/>
    </row>
    <row r="4999" spans="19:19" ht="26.25">
      <c r="S4999" s="61" ph="1"/>
    </row>
    <row r="5000" spans="19:19" ht="26.25">
      <c r="S5000" s="61" ph="1"/>
    </row>
    <row r="5001" spans="19:19" ht="26.25">
      <c r="S5001" s="61" ph="1"/>
    </row>
    <row r="5002" spans="19:19" ht="26.25">
      <c r="S5002" s="61" ph="1"/>
    </row>
    <row r="5003" spans="19:19" ht="26.25">
      <c r="S5003" s="61" ph="1"/>
    </row>
    <row r="5004" spans="19:19" ht="26.25">
      <c r="S5004" s="61" ph="1"/>
    </row>
    <row r="5005" spans="19:19" ht="26.25">
      <c r="S5005" s="61" ph="1"/>
    </row>
    <row r="5006" spans="19:19" ht="26.25">
      <c r="S5006" s="61" ph="1"/>
    </row>
    <row r="5007" spans="19:19" ht="26.25">
      <c r="S5007" s="61" ph="1"/>
    </row>
    <row r="5008" spans="19:19" ht="26.25">
      <c r="S5008" s="61" ph="1"/>
    </row>
    <row r="5009" spans="19:19" ht="26.25">
      <c r="S5009" s="61" ph="1"/>
    </row>
    <row r="5010" spans="19:19" ht="26.25">
      <c r="S5010" s="61" ph="1"/>
    </row>
    <row r="5011" spans="19:19" ht="26.25">
      <c r="S5011" s="61" ph="1"/>
    </row>
    <row r="5012" spans="19:19" ht="26.25">
      <c r="S5012" s="61" ph="1"/>
    </row>
    <row r="5013" spans="19:19" ht="26.25">
      <c r="S5013" s="61" ph="1"/>
    </row>
    <row r="5014" spans="19:19" ht="26.25">
      <c r="S5014" s="61" ph="1"/>
    </row>
    <row r="5015" spans="19:19" ht="26.25">
      <c r="S5015" s="61" ph="1"/>
    </row>
    <row r="5016" spans="19:19" ht="26.25">
      <c r="S5016" s="61" ph="1"/>
    </row>
    <row r="5017" spans="19:19" ht="26.25">
      <c r="S5017" s="61" ph="1"/>
    </row>
    <row r="5018" spans="19:19" ht="26.25">
      <c r="S5018" s="61" ph="1"/>
    </row>
    <row r="5019" spans="19:19" ht="26.25">
      <c r="S5019" s="61" ph="1"/>
    </row>
    <row r="5020" spans="19:19" ht="26.25">
      <c r="S5020" s="61" ph="1"/>
    </row>
    <row r="5021" spans="19:19" ht="26.25">
      <c r="S5021" s="61" ph="1"/>
    </row>
    <row r="5022" spans="19:19" ht="26.25">
      <c r="S5022" s="61" ph="1"/>
    </row>
    <row r="5023" spans="19:19" ht="26.25">
      <c r="S5023" s="61" ph="1"/>
    </row>
    <row r="5024" spans="19:19" ht="26.25">
      <c r="S5024" s="61" ph="1"/>
    </row>
    <row r="5025" spans="19:19" ht="26.25">
      <c r="S5025" s="61" ph="1"/>
    </row>
    <row r="5026" spans="19:19" ht="26.25">
      <c r="S5026" s="61" ph="1"/>
    </row>
    <row r="5027" spans="19:19" ht="26.25">
      <c r="S5027" s="61" ph="1"/>
    </row>
    <row r="5028" spans="19:19" ht="26.25">
      <c r="S5028" s="61" ph="1"/>
    </row>
    <row r="5029" spans="19:19" ht="26.25">
      <c r="S5029" s="61" ph="1"/>
    </row>
    <row r="5030" spans="19:19" ht="26.25">
      <c r="S5030" s="61" ph="1"/>
    </row>
    <row r="5031" spans="19:19" ht="26.25">
      <c r="S5031" s="61" ph="1"/>
    </row>
    <row r="5032" spans="19:19" ht="26.25">
      <c r="S5032" s="61" ph="1"/>
    </row>
    <row r="5033" spans="19:19" ht="26.25">
      <c r="S5033" s="61" ph="1"/>
    </row>
    <row r="5034" spans="19:19" ht="26.25">
      <c r="S5034" s="61" ph="1"/>
    </row>
    <row r="5035" spans="19:19" ht="26.25">
      <c r="S5035" s="61" ph="1"/>
    </row>
    <row r="5036" spans="19:19" ht="26.25">
      <c r="S5036" s="61" ph="1"/>
    </row>
    <row r="5037" spans="19:19" ht="26.25">
      <c r="S5037" s="61" ph="1"/>
    </row>
    <row r="5038" spans="19:19" ht="26.25">
      <c r="S5038" s="61" ph="1"/>
    </row>
    <row r="5039" spans="19:19" ht="26.25">
      <c r="S5039" s="61" ph="1"/>
    </row>
    <row r="5040" spans="19:19" ht="26.25">
      <c r="S5040" s="61" ph="1"/>
    </row>
    <row r="5041" spans="19:19" ht="26.25">
      <c r="S5041" s="61" ph="1"/>
    </row>
    <row r="5042" spans="19:19" ht="26.25">
      <c r="S5042" s="61" ph="1"/>
    </row>
    <row r="5043" spans="19:19" ht="26.25">
      <c r="S5043" s="61" ph="1"/>
    </row>
    <row r="5044" spans="19:19" ht="26.25">
      <c r="S5044" s="61" ph="1"/>
    </row>
    <row r="5045" spans="19:19" ht="26.25">
      <c r="S5045" s="61" ph="1"/>
    </row>
    <row r="5046" spans="19:19" ht="26.25">
      <c r="S5046" s="61" ph="1"/>
    </row>
    <row r="5047" spans="19:19" ht="26.25">
      <c r="S5047" s="61" ph="1"/>
    </row>
    <row r="5048" spans="19:19" ht="26.25">
      <c r="S5048" s="61" ph="1"/>
    </row>
    <row r="5049" spans="19:19" ht="26.25">
      <c r="S5049" s="61" ph="1"/>
    </row>
    <row r="5050" spans="19:19" ht="26.25">
      <c r="S5050" s="61" ph="1"/>
    </row>
    <row r="5051" spans="19:19" ht="26.25">
      <c r="S5051" s="61" ph="1"/>
    </row>
    <row r="5052" spans="19:19" ht="26.25">
      <c r="S5052" s="61" ph="1"/>
    </row>
    <row r="5053" spans="19:19" ht="26.25">
      <c r="S5053" s="61" ph="1"/>
    </row>
    <row r="5054" spans="19:19" ht="26.25">
      <c r="S5054" s="61" ph="1"/>
    </row>
    <row r="5055" spans="19:19" ht="26.25">
      <c r="S5055" s="61" ph="1"/>
    </row>
    <row r="5056" spans="19:19" ht="26.25">
      <c r="S5056" s="61" ph="1"/>
    </row>
    <row r="5057" spans="19:19" ht="26.25">
      <c r="S5057" s="61" ph="1"/>
    </row>
    <row r="5058" spans="19:19" ht="26.25">
      <c r="S5058" s="61" ph="1"/>
    </row>
    <row r="5059" spans="19:19" ht="26.25">
      <c r="S5059" s="61" ph="1"/>
    </row>
    <row r="5060" spans="19:19" ht="26.25">
      <c r="S5060" s="61" ph="1"/>
    </row>
    <row r="5061" spans="19:19" ht="26.25">
      <c r="S5061" s="61" ph="1"/>
    </row>
    <row r="5062" spans="19:19" ht="26.25">
      <c r="S5062" s="61" ph="1"/>
    </row>
    <row r="5063" spans="19:19" ht="26.25">
      <c r="S5063" s="61" ph="1"/>
    </row>
    <row r="5064" spans="19:19" ht="26.25">
      <c r="S5064" s="61" ph="1"/>
    </row>
    <row r="5065" spans="19:19" ht="26.25">
      <c r="S5065" s="61" ph="1"/>
    </row>
    <row r="5066" spans="19:19" ht="26.25">
      <c r="S5066" s="61" ph="1"/>
    </row>
    <row r="5067" spans="19:19" ht="26.25">
      <c r="S5067" s="61" ph="1"/>
    </row>
    <row r="5068" spans="19:19" ht="26.25">
      <c r="S5068" s="61" ph="1"/>
    </row>
    <row r="5069" spans="19:19" ht="26.25">
      <c r="S5069" s="61" ph="1"/>
    </row>
    <row r="5070" spans="19:19" ht="26.25">
      <c r="S5070" s="61" ph="1"/>
    </row>
    <row r="5071" spans="19:19" ht="26.25">
      <c r="S5071" s="61" ph="1"/>
    </row>
    <row r="5072" spans="19:19" ht="26.25">
      <c r="S5072" s="61" ph="1"/>
    </row>
    <row r="5073" spans="19:19" ht="26.25">
      <c r="S5073" s="61" ph="1"/>
    </row>
    <row r="5074" spans="19:19" ht="26.25">
      <c r="S5074" s="61" ph="1"/>
    </row>
    <row r="5075" spans="19:19" ht="26.25">
      <c r="S5075" s="61" ph="1"/>
    </row>
    <row r="5076" spans="19:19" ht="26.25">
      <c r="S5076" s="61" ph="1"/>
    </row>
    <row r="5077" spans="19:19" ht="26.25">
      <c r="S5077" s="61" ph="1"/>
    </row>
    <row r="5078" spans="19:19" ht="26.25">
      <c r="S5078" s="61" ph="1"/>
    </row>
    <row r="5079" spans="19:19" ht="26.25">
      <c r="S5079" s="61" ph="1"/>
    </row>
    <row r="5080" spans="19:19" ht="26.25">
      <c r="S5080" s="61" ph="1"/>
    </row>
    <row r="5081" spans="19:19" ht="26.25">
      <c r="S5081" s="61" ph="1"/>
    </row>
    <row r="5082" spans="19:19" ht="26.25">
      <c r="S5082" s="61" ph="1"/>
    </row>
    <row r="5083" spans="19:19" ht="26.25">
      <c r="S5083" s="61" ph="1"/>
    </row>
    <row r="5084" spans="19:19" ht="26.25">
      <c r="S5084" s="61" ph="1"/>
    </row>
    <row r="5085" spans="19:19" ht="26.25">
      <c r="S5085" s="61" ph="1"/>
    </row>
    <row r="5086" spans="19:19" ht="26.25">
      <c r="S5086" s="61" ph="1"/>
    </row>
    <row r="5087" spans="19:19" ht="26.25">
      <c r="S5087" s="61" ph="1"/>
    </row>
    <row r="5088" spans="19:19" ht="26.25">
      <c r="S5088" s="61" ph="1"/>
    </row>
    <row r="5089" spans="19:19" ht="26.25">
      <c r="S5089" s="61" ph="1"/>
    </row>
    <row r="5090" spans="19:19" ht="26.25">
      <c r="S5090" s="61" ph="1"/>
    </row>
    <row r="5091" spans="19:19" ht="26.25">
      <c r="S5091" s="61" ph="1"/>
    </row>
    <row r="5092" spans="19:19" ht="26.25">
      <c r="S5092" s="61" ph="1"/>
    </row>
    <row r="5093" spans="19:19" ht="26.25">
      <c r="S5093" s="61" ph="1"/>
    </row>
    <row r="5094" spans="19:19" ht="26.25">
      <c r="S5094" s="61" ph="1"/>
    </row>
    <row r="5095" spans="19:19" ht="26.25">
      <c r="S5095" s="61" ph="1"/>
    </row>
    <row r="5096" spans="19:19" ht="26.25">
      <c r="S5096" s="61" ph="1"/>
    </row>
    <row r="5097" spans="19:19" ht="26.25">
      <c r="S5097" s="61" ph="1"/>
    </row>
    <row r="5098" spans="19:19" ht="26.25">
      <c r="S5098" s="61" ph="1"/>
    </row>
    <row r="5099" spans="19:19" ht="26.25">
      <c r="S5099" s="61" ph="1"/>
    </row>
    <row r="5100" spans="19:19" ht="26.25">
      <c r="S5100" s="61" ph="1"/>
    </row>
    <row r="5101" spans="19:19" ht="26.25">
      <c r="S5101" s="61" ph="1"/>
    </row>
    <row r="5102" spans="19:19" ht="26.25">
      <c r="S5102" s="61" ph="1"/>
    </row>
    <row r="5103" spans="19:19" ht="26.25">
      <c r="S5103" s="61" ph="1"/>
    </row>
    <row r="5104" spans="19:19" ht="26.25">
      <c r="S5104" s="61" ph="1"/>
    </row>
    <row r="5105" spans="19:19" ht="26.25">
      <c r="S5105" s="61" ph="1"/>
    </row>
    <row r="5106" spans="19:19" ht="26.25">
      <c r="S5106" s="61" ph="1"/>
    </row>
    <row r="5107" spans="19:19" ht="26.25">
      <c r="S5107" s="61" ph="1"/>
    </row>
    <row r="5108" spans="19:19" ht="26.25">
      <c r="S5108" s="61" ph="1"/>
    </row>
    <row r="5109" spans="19:19" ht="26.25">
      <c r="S5109" s="61" ph="1"/>
    </row>
    <row r="5110" spans="19:19" ht="26.25">
      <c r="S5110" s="61" ph="1"/>
    </row>
    <row r="5111" spans="19:19" ht="26.25">
      <c r="S5111" s="61" ph="1"/>
    </row>
    <row r="5112" spans="19:19" ht="26.25">
      <c r="S5112" s="61" ph="1"/>
    </row>
    <row r="5113" spans="19:19" ht="26.25">
      <c r="S5113" s="61" ph="1"/>
    </row>
    <row r="5114" spans="19:19" ht="26.25">
      <c r="S5114" s="61" ph="1"/>
    </row>
    <row r="5115" spans="19:19" ht="26.25">
      <c r="S5115" s="61" ph="1"/>
    </row>
    <row r="5116" spans="19:19" ht="26.25">
      <c r="S5116" s="61" ph="1"/>
    </row>
    <row r="5117" spans="19:19" ht="26.25">
      <c r="S5117" s="61" ph="1"/>
    </row>
    <row r="5118" spans="19:19" ht="26.25">
      <c r="S5118" s="61" ph="1"/>
    </row>
    <row r="5119" spans="19:19" ht="26.25">
      <c r="S5119" s="61" ph="1"/>
    </row>
    <row r="5120" spans="19:19" ht="26.25">
      <c r="S5120" s="61" ph="1"/>
    </row>
    <row r="5121" spans="19:19" ht="26.25">
      <c r="S5121" s="61" ph="1"/>
    </row>
    <row r="5122" spans="19:19" ht="26.25">
      <c r="S5122" s="61" ph="1"/>
    </row>
    <row r="5123" spans="19:19" ht="26.25">
      <c r="S5123" s="61" ph="1"/>
    </row>
    <row r="5124" spans="19:19" ht="26.25">
      <c r="S5124" s="61" ph="1"/>
    </row>
    <row r="5125" spans="19:19" ht="26.25">
      <c r="S5125" s="61" ph="1"/>
    </row>
    <row r="5126" spans="19:19" ht="26.25">
      <c r="S5126" s="61" ph="1"/>
    </row>
    <row r="5127" spans="19:19" ht="26.25">
      <c r="S5127" s="61" ph="1"/>
    </row>
    <row r="5128" spans="19:19" ht="26.25">
      <c r="S5128" s="61" ph="1"/>
    </row>
    <row r="5129" spans="19:19" ht="26.25">
      <c r="S5129" s="61" ph="1"/>
    </row>
    <row r="5130" spans="19:19" ht="26.25">
      <c r="S5130" s="61" ph="1"/>
    </row>
    <row r="5131" spans="19:19" ht="26.25">
      <c r="S5131" s="61" ph="1"/>
    </row>
    <row r="5132" spans="19:19" ht="26.25">
      <c r="S5132" s="61" ph="1"/>
    </row>
    <row r="5133" spans="19:19" ht="26.25">
      <c r="S5133" s="61" ph="1"/>
    </row>
    <row r="5134" spans="19:19" ht="26.25">
      <c r="S5134" s="61" ph="1"/>
    </row>
    <row r="5135" spans="19:19" ht="26.25">
      <c r="S5135" s="61" ph="1"/>
    </row>
    <row r="5136" spans="19:19" ht="26.25">
      <c r="S5136" s="61" ph="1"/>
    </row>
    <row r="5137" spans="19:19" ht="26.25">
      <c r="S5137" s="61" ph="1"/>
    </row>
    <row r="5138" spans="19:19" ht="26.25">
      <c r="S5138" s="61" ph="1"/>
    </row>
    <row r="5139" spans="19:19" ht="26.25">
      <c r="S5139" s="61" ph="1"/>
    </row>
    <row r="5140" spans="19:19" ht="26.25">
      <c r="S5140" s="61" ph="1"/>
    </row>
    <row r="5141" spans="19:19" ht="26.25">
      <c r="S5141" s="61" ph="1"/>
    </row>
    <row r="5142" spans="19:19" ht="26.25">
      <c r="S5142" s="61" ph="1"/>
    </row>
    <row r="5143" spans="19:19" ht="26.25">
      <c r="S5143" s="61" ph="1"/>
    </row>
    <row r="5144" spans="19:19" ht="26.25">
      <c r="S5144" s="61" ph="1"/>
    </row>
    <row r="5145" spans="19:19" ht="26.25">
      <c r="S5145" s="61" ph="1"/>
    </row>
    <row r="5146" spans="19:19" ht="26.25">
      <c r="S5146" s="61" ph="1"/>
    </row>
    <row r="5147" spans="19:19" ht="26.25">
      <c r="S5147" s="61" ph="1"/>
    </row>
    <row r="5148" spans="19:19" ht="26.25">
      <c r="S5148" s="61" ph="1"/>
    </row>
    <row r="5149" spans="19:19" ht="26.25">
      <c r="S5149" s="61" ph="1"/>
    </row>
    <row r="5150" spans="19:19" ht="26.25">
      <c r="S5150" s="61" ph="1"/>
    </row>
    <row r="5151" spans="19:19" ht="26.25">
      <c r="S5151" s="61" ph="1"/>
    </row>
    <row r="5152" spans="19:19" ht="26.25">
      <c r="S5152" s="61" ph="1"/>
    </row>
    <row r="5153" spans="19:19" ht="26.25">
      <c r="S5153" s="61" ph="1"/>
    </row>
    <row r="5154" spans="19:19" ht="26.25">
      <c r="S5154" s="61" ph="1"/>
    </row>
    <row r="5155" spans="19:19" ht="26.25">
      <c r="S5155" s="61" ph="1"/>
    </row>
    <row r="5156" spans="19:19" ht="26.25">
      <c r="S5156" s="61" ph="1"/>
    </row>
    <row r="5157" spans="19:19" ht="26.25">
      <c r="S5157" s="61" ph="1"/>
    </row>
    <row r="5158" spans="19:19" ht="26.25">
      <c r="S5158" s="61" ph="1"/>
    </row>
    <row r="5159" spans="19:19" ht="26.25">
      <c r="S5159" s="61" ph="1"/>
    </row>
    <row r="5160" spans="19:19" ht="26.25">
      <c r="S5160" s="61" ph="1"/>
    </row>
    <row r="5161" spans="19:19" ht="26.25">
      <c r="S5161" s="61" ph="1"/>
    </row>
    <row r="5162" spans="19:19" ht="26.25">
      <c r="S5162" s="61" ph="1"/>
    </row>
    <row r="5163" spans="19:19" ht="26.25">
      <c r="S5163" s="61" ph="1"/>
    </row>
    <row r="5164" spans="19:19" ht="26.25">
      <c r="S5164" s="61" ph="1"/>
    </row>
    <row r="5165" spans="19:19" ht="26.25">
      <c r="S5165" s="61" ph="1"/>
    </row>
    <row r="5166" spans="19:19" ht="26.25">
      <c r="S5166" s="61" ph="1"/>
    </row>
    <row r="5167" spans="19:19" ht="26.25">
      <c r="S5167" s="61" ph="1"/>
    </row>
    <row r="5168" spans="19:19" ht="26.25">
      <c r="S5168" s="61" ph="1"/>
    </row>
    <row r="5169" spans="19:19" ht="26.25">
      <c r="S5169" s="61" ph="1"/>
    </row>
    <row r="5170" spans="19:19" ht="26.25">
      <c r="S5170" s="61" ph="1"/>
    </row>
    <row r="5171" spans="19:19" ht="26.25">
      <c r="S5171" s="61" ph="1"/>
    </row>
    <row r="5172" spans="19:19" ht="26.25">
      <c r="S5172" s="61" ph="1"/>
    </row>
    <row r="5173" spans="19:19" ht="26.25">
      <c r="S5173" s="61" ph="1"/>
    </row>
    <row r="5174" spans="19:19" ht="26.25">
      <c r="S5174" s="61" ph="1"/>
    </row>
    <row r="5175" spans="19:19" ht="26.25">
      <c r="S5175" s="61" ph="1"/>
    </row>
    <row r="5176" spans="19:19" ht="26.25">
      <c r="S5176" s="61" ph="1"/>
    </row>
    <row r="5177" spans="19:19" ht="26.25">
      <c r="S5177" s="61" ph="1"/>
    </row>
    <row r="5178" spans="19:19" ht="26.25">
      <c r="S5178" s="61" ph="1"/>
    </row>
    <row r="5179" spans="19:19" ht="26.25">
      <c r="S5179" s="61" ph="1"/>
    </row>
    <row r="5180" spans="19:19" ht="26.25">
      <c r="S5180" s="61" ph="1"/>
    </row>
    <row r="5181" spans="19:19" ht="26.25">
      <c r="S5181" s="61" ph="1"/>
    </row>
    <row r="5182" spans="19:19" ht="26.25">
      <c r="S5182" s="61" ph="1"/>
    </row>
    <row r="5183" spans="19:19" ht="26.25">
      <c r="S5183" s="61" ph="1"/>
    </row>
    <row r="5184" spans="19:19" ht="26.25">
      <c r="S5184" s="61" ph="1"/>
    </row>
    <row r="5185" spans="19:19" ht="26.25">
      <c r="S5185" s="61" ph="1"/>
    </row>
    <row r="5186" spans="19:19" ht="26.25">
      <c r="S5186" s="61" ph="1"/>
    </row>
    <row r="5187" spans="19:19" ht="26.25">
      <c r="S5187" s="61" ph="1"/>
    </row>
    <row r="5188" spans="19:19" ht="26.25">
      <c r="S5188" s="61" ph="1"/>
    </row>
    <row r="5189" spans="19:19" ht="26.25">
      <c r="S5189" s="61" ph="1"/>
    </row>
    <row r="5190" spans="19:19" ht="26.25">
      <c r="S5190" s="61" ph="1"/>
    </row>
    <row r="5191" spans="19:19" ht="26.25">
      <c r="S5191" s="61" ph="1"/>
    </row>
    <row r="5192" spans="19:19" ht="26.25">
      <c r="S5192" s="61" ph="1"/>
    </row>
    <row r="5193" spans="19:19" ht="26.25">
      <c r="S5193" s="61" ph="1"/>
    </row>
    <row r="5194" spans="19:19" ht="26.25">
      <c r="S5194" s="61" ph="1"/>
    </row>
    <row r="5195" spans="19:19" ht="26.25">
      <c r="S5195" s="61" ph="1"/>
    </row>
    <row r="5196" spans="19:19" ht="26.25">
      <c r="S5196" s="61" ph="1"/>
    </row>
    <row r="5197" spans="19:19" ht="26.25">
      <c r="S5197" s="61" ph="1"/>
    </row>
    <row r="5198" spans="19:19" ht="26.25">
      <c r="S5198" s="61" ph="1"/>
    </row>
    <row r="5199" spans="19:19" ht="26.25">
      <c r="S5199" s="61" ph="1"/>
    </row>
    <row r="5200" spans="19:19" ht="26.25">
      <c r="S5200" s="61" ph="1"/>
    </row>
    <row r="5201" spans="19:19" ht="26.25">
      <c r="S5201" s="61" ph="1"/>
    </row>
    <row r="5202" spans="19:19" ht="26.25">
      <c r="S5202" s="61" ph="1"/>
    </row>
    <row r="5203" spans="19:19" ht="26.25">
      <c r="S5203" s="61" ph="1"/>
    </row>
    <row r="5204" spans="19:19" ht="26.25">
      <c r="S5204" s="61" ph="1"/>
    </row>
    <row r="5205" spans="19:19" ht="26.25">
      <c r="S5205" s="61" ph="1"/>
    </row>
    <row r="5206" spans="19:19" ht="26.25">
      <c r="S5206" s="61" ph="1"/>
    </row>
    <row r="5207" spans="19:19" ht="26.25">
      <c r="S5207" s="61" ph="1"/>
    </row>
    <row r="5208" spans="19:19" ht="26.25">
      <c r="S5208" s="61" ph="1"/>
    </row>
    <row r="5209" spans="19:19" ht="26.25">
      <c r="S5209" s="61" ph="1"/>
    </row>
    <row r="5210" spans="19:19" ht="26.25">
      <c r="S5210" s="61" ph="1"/>
    </row>
    <row r="5211" spans="19:19" ht="26.25">
      <c r="S5211" s="61" ph="1"/>
    </row>
    <row r="5212" spans="19:19" ht="26.25">
      <c r="S5212" s="61" ph="1"/>
    </row>
    <row r="5213" spans="19:19" ht="26.25">
      <c r="S5213" s="61" ph="1"/>
    </row>
    <row r="5214" spans="19:19" ht="26.25">
      <c r="S5214" s="61" ph="1"/>
    </row>
    <row r="5215" spans="19:19" ht="26.25">
      <c r="S5215" s="61" ph="1"/>
    </row>
    <row r="5216" spans="19:19" ht="26.25">
      <c r="S5216" s="61" ph="1"/>
    </row>
    <row r="5217" spans="19:19" ht="26.25">
      <c r="S5217" s="61" ph="1"/>
    </row>
    <row r="5218" spans="19:19" ht="26.25">
      <c r="S5218" s="61" ph="1"/>
    </row>
    <row r="5219" spans="19:19" ht="26.25">
      <c r="S5219" s="61" ph="1"/>
    </row>
    <row r="5220" spans="19:19" ht="26.25">
      <c r="S5220" s="61" ph="1"/>
    </row>
    <row r="5221" spans="19:19" ht="26.25">
      <c r="S5221" s="61" ph="1"/>
    </row>
    <row r="5222" spans="19:19" ht="26.25">
      <c r="S5222" s="61" ph="1"/>
    </row>
    <row r="5223" spans="19:19" ht="26.25">
      <c r="S5223" s="61" ph="1"/>
    </row>
    <row r="5224" spans="19:19" ht="26.25">
      <c r="S5224" s="61" ph="1"/>
    </row>
    <row r="5225" spans="19:19" ht="26.25">
      <c r="S5225" s="61" ph="1"/>
    </row>
    <row r="5226" spans="19:19" ht="26.25">
      <c r="S5226" s="61" ph="1"/>
    </row>
    <row r="5227" spans="19:19" ht="26.25">
      <c r="S5227" s="61" ph="1"/>
    </row>
    <row r="5228" spans="19:19" ht="26.25">
      <c r="S5228" s="61" ph="1"/>
    </row>
    <row r="5229" spans="19:19" ht="26.25">
      <c r="S5229" s="61" ph="1"/>
    </row>
    <row r="5230" spans="19:19" ht="26.25">
      <c r="S5230" s="61" ph="1"/>
    </row>
    <row r="5231" spans="19:19" ht="26.25">
      <c r="S5231" s="61" ph="1"/>
    </row>
    <row r="5232" spans="19:19" ht="26.25">
      <c r="S5232" s="61" ph="1"/>
    </row>
    <row r="5233" spans="19:19" ht="26.25">
      <c r="S5233" s="61" ph="1"/>
    </row>
    <row r="5234" spans="19:19" ht="26.25">
      <c r="S5234" s="61" ph="1"/>
    </row>
    <row r="5235" spans="19:19" ht="26.25">
      <c r="S5235" s="61" ph="1"/>
    </row>
    <row r="5236" spans="19:19" ht="26.25">
      <c r="S5236" s="61" ph="1"/>
    </row>
    <row r="5237" spans="19:19" ht="26.25">
      <c r="S5237" s="61" ph="1"/>
    </row>
    <row r="5238" spans="19:19" ht="26.25">
      <c r="S5238" s="61" ph="1"/>
    </row>
    <row r="5239" spans="19:19" ht="26.25">
      <c r="S5239" s="61" ph="1"/>
    </row>
    <row r="5240" spans="19:19" ht="26.25">
      <c r="S5240" s="61" ph="1"/>
    </row>
    <row r="5241" spans="19:19" ht="26.25">
      <c r="S5241" s="61" ph="1"/>
    </row>
    <row r="5242" spans="19:19" ht="26.25">
      <c r="S5242" s="61" ph="1"/>
    </row>
    <row r="5243" spans="19:19" ht="26.25">
      <c r="S5243" s="61" ph="1"/>
    </row>
    <row r="5244" spans="19:19" ht="26.25">
      <c r="S5244" s="61" ph="1"/>
    </row>
    <row r="5245" spans="19:19" ht="26.25">
      <c r="S5245" s="61" ph="1"/>
    </row>
    <row r="5246" spans="19:19" ht="26.25">
      <c r="S5246" s="61" ph="1"/>
    </row>
    <row r="5247" spans="19:19" ht="26.25">
      <c r="S5247" s="61" ph="1"/>
    </row>
    <row r="5248" spans="19:19" ht="26.25">
      <c r="S5248" s="61" ph="1"/>
    </row>
    <row r="5249" spans="19:19" ht="26.25">
      <c r="S5249" s="61" ph="1"/>
    </row>
    <row r="5250" spans="19:19" ht="26.25">
      <c r="S5250" s="61" ph="1"/>
    </row>
    <row r="5251" spans="19:19" ht="26.25">
      <c r="S5251" s="61" ph="1"/>
    </row>
    <row r="5252" spans="19:19" ht="26.25">
      <c r="S5252" s="61" ph="1"/>
    </row>
    <row r="5253" spans="19:19" ht="26.25">
      <c r="S5253" s="61" ph="1"/>
    </row>
    <row r="5254" spans="19:19" ht="26.25">
      <c r="S5254" s="61" ph="1"/>
    </row>
    <row r="5255" spans="19:19" ht="26.25">
      <c r="S5255" s="61" ph="1"/>
    </row>
    <row r="5256" spans="19:19" ht="26.25">
      <c r="S5256" s="61" ph="1"/>
    </row>
    <row r="5257" spans="19:19" ht="26.25">
      <c r="S5257" s="61" ph="1"/>
    </row>
    <row r="5258" spans="19:19" ht="26.25">
      <c r="S5258" s="61" ph="1"/>
    </row>
    <row r="5259" spans="19:19" ht="26.25">
      <c r="S5259" s="61" ph="1"/>
    </row>
    <row r="5260" spans="19:19" ht="26.25">
      <c r="S5260" s="61" ph="1"/>
    </row>
    <row r="5261" spans="19:19" ht="26.25">
      <c r="S5261" s="61" ph="1"/>
    </row>
    <row r="5262" spans="19:19" ht="26.25">
      <c r="S5262" s="61" ph="1"/>
    </row>
    <row r="5263" spans="19:19" ht="26.25">
      <c r="S5263" s="61" ph="1"/>
    </row>
    <row r="5264" spans="19:19" ht="26.25">
      <c r="S5264" s="61" ph="1"/>
    </row>
    <row r="5265" spans="19:19" ht="26.25">
      <c r="S5265" s="61" ph="1"/>
    </row>
    <row r="5266" spans="19:19" ht="26.25">
      <c r="S5266" s="61" ph="1"/>
    </row>
    <row r="5267" spans="19:19" ht="26.25">
      <c r="S5267" s="61" ph="1"/>
    </row>
    <row r="5268" spans="19:19" ht="26.25">
      <c r="S5268" s="61" ph="1"/>
    </row>
    <row r="5269" spans="19:19" ht="26.25">
      <c r="S5269" s="61" ph="1"/>
    </row>
    <row r="5270" spans="19:19" ht="26.25">
      <c r="S5270" s="61" ph="1"/>
    </row>
    <row r="5271" spans="19:19" ht="26.25">
      <c r="S5271" s="61" ph="1"/>
    </row>
    <row r="5272" spans="19:19" ht="26.25">
      <c r="S5272" s="61" ph="1"/>
    </row>
    <row r="5273" spans="19:19" ht="26.25">
      <c r="S5273" s="61" ph="1"/>
    </row>
    <row r="5274" spans="19:19" ht="26.25">
      <c r="S5274" s="61" ph="1"/>
    </row>
    <row r="5275" spans="19:19" ht="26.25">
      <c r="S5275" s="61" ph="1"/>
    </row>
    <row r="5276" spans="19:19" ht="26.25">
      <c r="S5276" s="61" ph="1"/>
    </row>
    <row r="5277" spans="19:19" ht="26.25">
      <c r="S5277" s="61" ph="1"/>
    </row>
    <row r="5278" spans="19:19" ht="26.25">
      <c r="S5278" s="61" ph="1"/>
    </row>
    <row r="5279" spans="19:19" ht="26.25">
      <c r="S5279" s="61" ph="1"/>
    </row>
    <row r="5280" spans="19:19" ht="26.25">
      <c r="S5280" s="61" ph="1"/>
    </row>
    <row r="5281" spans="19:19" ht="26.25">
      <c r="S5281" s="61" ph="1"/>
    </row>
    <row r="5282" spans="19:19" ht="26.25">
      <c r="S5282" s="61" ph="1"/>
    </row>
    <row r="5283" spans="19:19" ht="26.25">
      <c r="S5283" s="61" ph="1"/>
    </row>
    <row r="5284" spans="19:19" ht="26.25">
      <c r="S5284" s="61" ph="1"/>
    </row>
    <row r="5285" spans="19:19" ht="26.25">
      <c r="S5285" s="61" ph="1"/>
    </row>
    <row r="5286" spans="19:19" ht="26.25">
      <c r="S5286" s="61" ph="1"/>
    </row>
    <row r="5287" spans="19:19" ht="26.25">
      <c r="S5287" s="61" ph="1"/>
    </row>
    <row r="5288" spans="19:19" ht="26.25">
      <c r="S5288" s="61" ph="1"/>
    </row>
    <row r="5289" spans="19:19" ht="26.25">
      <c r="S5289" s="61" ph="1"/>
    </row>
    <row r="5290" spans="19:19" ht="26.25">
      <c r="S5290" s="61" ph="1"/>
    </row>
    <row r="5291" spans="19:19" ht="26.25">
      <c r="S5291" s="61" ph="1"/>
    </row>
    <row r="5292" spans="19:19" ht="26.25">
      <c r="S5292" s="61" ph="1"/>
    </row>
    <row r="5293" spans="19:19" ht="26.25">
      <c r="S5293" s="61" ph="1"/>
    </row>
    <row r="5294" spans="19:19" ht="26.25">
      <c r="S5294" s="61" ph="1"/>
    </row>
    <row r="5295" spans="19:19" ht="26.25">
      <c r="S5295" s="61" ph="1"/>
    </row>
    <row r="5296" spans="19:19" ht="26.25">
      <c r="S5296" s="61" ph="1"/>
    </row>
    <row r="5297" spans="19:19" ht="26.25">
      <c r="S5297" s="61" ph="1"/>
    </row>
    <row r="5298" spans="19:19" ht="26.25">
      <c r="S5298" s="61" ph="1"/>
    </row>
    <row r="5299" spans="19:19" ht="26.25">
      <c r="S5299" s="61" ph="1"/>
    </row>
    <row r="5300" spans="19:19" ht="26.25">
      <c r="S5300" s="61" ph="1"/>
    </row>
    <row r="5301" spans="19:19" ht="26.25">
      <c r="S5301" s="61" ph="1"/>
    </row>
    <row r="5302" spans="19:19" ht="26.25">
      <c r="S5302" s="61" ph="1"/>
    </row>
    <row r="5303" spans="19:19" ht="26.25">
      <c r="S5303" s="61" ph="1"/>
    </row>
    <row r="5304" spans="19:19" ht="26.25">
      <c r="S5304" s="61" ph="1"/>
    </row>
    <row r="5305" spans="19:19" ht="26.25">
      <c r="S5305" s="61" ph="1"/>
    </row>
    <row r="5306" spans="19:19" ht="26.25">
      <c r="S5306" s="61" ph="1"/>
    </row>
    <row r="5307" spans="19:19" ht="26.25">
      <c r="S5307" s="61" ph="1"/>
    </row>
    <row r="5308" spans="19:19" ht="26.25">
      <c r="S5308" s="61" ph="1"/>
    </row>
    <row r="5309" spans="19:19" ht="26.25">
      <c r="S5309" s="61" ph="1"/>
    </row>
    <row r="5310" spans="19:19" ht="26.25">
      <c r="S5310" s="61" ph="1"/>
    </row>
    <row r="5311" spans="19:19" ht="26.25">
      <c r="S5311" s="61" ph="1"/>
    </row>
    <row r="5312" spans="19:19" ht="26.25">
      <c r="S5312" s="61" ph="1"/>
    </row>
    <row r="5313" spans="19:19" ht="26.25">
      <c r="S5313" s="61" ph="1"/>
    </row>
    <row r="5314" spans="19:19" ht="26.25">
      <c r="S5314" s="61" ph="1"/>
    </row>
    <row r="5315" spans="19:19" ht="26.25">
      <c r="S5315" s="61" ph="1"/>
    </row>
    <row r="5316" spans="19:19" ht="26.25">
      <c r="S5316" s="61" ph="1"/>
    </row>
    <row r="5317" spans="19:19" ht="26.25">
      <c r="S5317" s="61" ph="1"/>
    </row>
    <row r="5318" spans="19:19" ht="26.25">
      <c r="S5318" s="61" ph="1"/>
    </row>
    <row r="5319" spans="19:19" ht="26.25">
      <c r="S5319" s="61" ph="1"/>
    </row>
    <row r="5320" spans="19:19" ht="26.25">
      <c r="S5320" s="61" ph="1"/>
    </row>
    <row r="5321" spans="19:19" ht="26.25">
      <c r="S5321" s="61" ph="1"/>
    </row>
    <row r="5322" spans="19:19" ht="26.25">
      <c r="S5322" s="61" ph="1"/>
    </row>
    <row r="5323" spans="19:19" ht="26.25">
      <c r="S5323" s="61" ph="1"/>
    </row>
    <row r="5324" spans="19:19" ht="26.25">
      <c r="S5324" s="61" ph="1"/>
    </row>
    <row r="5325" spans="19:19" ht="26.25">
      <c r="S5325" s="61" ph="1"/>
    </row>
    <row r="5326" spans="19:19" ht="26.25">
      <c r="S5326" s="61" ph="1"/>
    </row>
    <row r="5327" spans="19:19" ht="26.25">
      <c r="S5327" s="61" ph="1"/>
    </row>
    <row r="5328" spans="19:19" ht="26.25">
      <c r="S5328" s="61" ph="1"/>
    </row>
    <row r="5329" spans="19:19" ht="26.25">
      <c r="S5329" s="61" ph="1"/>
    </row>
    <row r="5330" spans="19:19" ht="26.25">
      <c r="S5330" s="61" ph="1"/>
    </row>
    <row r="5331" spans="19:19" ht="26.25">
      <c r="S5331" s="61" ph="1"/>
    </row>
    <row r="5332" spans="19:19" ht="26.25">
      <c r="S5332" s="61" ph="1"/>
    </row>
    <row r="5333" spans="19:19" ht="26.25">
      <c r="S5333" s="61" ph="1"/>
    </row>
    <row r="5334" spans="19:19" ht="26.25">
      <c r="S5334" s="61" ph="1"/>
    </row>
    <row r="5335" spans="19:19" ht="26.25">
      <c r="S5335" s="61" ph="1"/>
    </row>
    <row r="5336" spans="19:19" ht="26.25">
      <c r="S5336" s="61" ph="1"/>
    </row>
    <row r="5337" spans="19:19" ht="26.25">
      <c r="S5337" s="61" ph="1"/>
    </row>
    <row r="5338" spans="19:19" ht="26.25">
      <c r="S5338" s="61" ph="1"/>
    </row>
    <row r="5339" spans="19:19" ht="26.25">
      <c r="S5339" s="61" ph="1"/>
    </row>
    <row r="5340" spans="19:19" ht="26.25">
      <c r="S5340" s="61" ph="1"/>
    </row>
    <row r="5341" spans="19:19" ht="26.25">
      <c r="S5341" s="61" ph="1"/>
    </row>
    <row r="5342" spans="19:19" ht="26.25">
      <c r="S5342" s="61" ph="1"/>
    </row>
    <row r="5343" spans="19:19" ht="26.25">
      <c r="S5343" s="61" ph="1"/>
    </row>
    <row r="5344" spans="19:19" ht="26.25">
      <c r="S5344" s="61" ph="1"/>
    </row>
    <row r="5345" spans="19:19" ht="26.25">
      <c r="S5345" s="61" ph="1"/>
    </row>
    <row r="5346" spans="19:19" ht="26.25">
      <c r="S5346" s="61" ph="1"/>
    </row>
    <row r="5347" spans="19:19" ht="26.25">
      <c r="S5347" s="61" ph="1"/>
    </row>
    <row r="5348" spans="19:19" ht="26.25">
      <c r="S5348" s="61" ph="1"/>
    </row>
    <row r="5349" spans="19:19" ht="26.25">
      <c r="S5349" s="61" ph="1"/>
    </row>
    <row r="5350" spans="19:19" ht="26.25">
      <c r="S5350" s="61" ph="1"/>
    </row>
    <row r="5351" spans="19:19" ht="26.25">
      <c r="S5351" s="61" ph="1"/>
    </row>
    <row r="5352" spans="19:19" ht="26.25">
      <c r="S5352" s="61" ph="1"/>
    </row>
    <row r="5353" spans="19:19" ht="26.25">
      <c r="S5353" s="61" ph="1"/>
    </row>
    <row r="5354" spans="19:19" ht="26.25">
      <c r="S5354" s="61" ph="1"/>
    </row>
    <row r="5355" spans="19:19" ht="26.25">
      <c r="S5355" s="61" ph="1"/>
    </row>
    <row r="5356" spans="19:19" ht="26.25">
      <c r="S5356" s="61" ph="1"/>
    </row>
    <row r="5357" spans="19:19" ht="26.25">
      <c r="S5357" s="61" ph="1"/>
    </row>
    <row r="5358" spans="19:19" ht="26.25">
      <c r="S5358" s="61" ph="1"/>
    </row>
    <row r="5359" spans="19:19" ht="26.25">
      <c r="S5359" s="61" ph="1"/>
    </row>
    <row r="5360" spans="19:19" ht="26.25">
      <c r="S5360" s="61" ph="1"/>
    </row>
    <row r="5361" spans="19:19" ht="26.25">
      <c r="S5361" s="61" ph="1"/>
    </row>
    <row r="5362" spans="19:19" ht="26.25">
      <c r="S5362" s="61" ph="1"/>
    </row>
    <row r="5363" spans="19:19" ht="26.25">
      <c r="S5363" s="61" ph="1"/>
    </row>
    <row r="5364" spans="19:19" ht="26.25">
      <c r="S5364" s="61" ph="1"/>
    </row>
    <row r="5365" spans="19:19" ht="26.25">
      <c r="S5365" s="61" ph="1"/>
    </row>
    <row r="5366" spans="19:19" ht="26.25">
      <c r="S5366" s="61" ph="1"/>
    </row>
    <row r="5367" spans="19:19" ht="26.25">
      <c r="S5367" s="61" ph="1"/>
    </row>
    <row r="5368" spans="19:19" ht="26.25">
      <c r="S5368" s="61" ph="1"/>
    </row>
    <row r="5369" spans="19:19" ht="26.25">
      <c r="S5369" s="61" ph="1"/>
    </row>
    <row r="5370" spans="19:19" ht="26.25">
      <c r="S5370" s="61" ph="1"/>
    </row>
    <row r="5371" spans="19:19" ht="26.25">
      <c r="S5371" s="61" ph="1"/>
    </row>
    <row r="5372" spans="19:19" ht="26.25">
      <c r="S5372" s="61" ph="1"/>
    </row>
    <row r="5373" spans="19:19" ht="26.25">
      <c r="S5373" s="61" ph="1"/>
    </row>
    <row r="5374" spans="19:19" ht="26.25">
      <c r="S5374" s="61" ph="1"/>
    </row>
    <row r="5375" spans="19:19" ht="26.25">
      <c r="S5375" s="61" ph="1"/>
    </row>
    <row r="5376" spans="19:19" ht="26.25">
      <c r="S5376" s="61" ph="1"/>
    </row>
    <row r="5377" spans="19:19" ht="26.25">
      <c r="S5377" s="61" ph="1"/>
    </row>
    <row r="5378" spans="19:19" ht="26.25">
      <c r="S5378" s="61" ph="1"/>
    </row>
    <row r="5379" spans="19:19" ht="26.25">
      <c r="S5379" s="61" ph="1"/>
    </row>
    <row r="5380" spans="19:19" ht="26.25">
      <c r="S5380" s="61" ph="1"/>
    </row>
    <row r="5381" spans="19:19" ht="26.25">
      <c r="S5381" s="61" ph="1"/>
    </row>
    <row r="5382" spans="19:19" ht="26.25">
      <c r="S5382" s="61" ph="1"/>
    </row>
    <row r="5383" spans="19:19" ht="26.25">
      <c r="S5383" s="61" ph="1"/>
    </row>
    <row r="5384" spans="19:19" ht="26.25">
      <c r="S5384" s="61" ph="1"/>
    </row>
    <row r="5385" spans="19:19" ht="26.25">
      <c r="S5385" s="61" ph="1"/>
    </row>
    <row r="5386" spans="19:19" ht="26.25">
      <c r="S5386" s="61" ph="1"/>
    </row>
    <row r="5387" spans="19:19" ht="26.25">
      <c r="S5387" s="61" ph="1"/>
    </row>
    <row r="5388" spans="19:19" ht="26.25">
      <c r="S5388" s="61" ph="1"/>
    </row>
    <row r="5389" spans="19:19" ht="26.25">
      <c r="S5389" s="61" ph="1"/>
    </row>
    <row r="5390" spans="19:19" ht="26.25">
      <c r="S5390" s="61" ph="1"/>
    </row>
    <row r="5391" spans="19:19" ht="26.25">
      <c r="S5391" s="61" ph="1"/>
    </row>
    <row r="5392" spans="19:19" ht="26.25">
      <c r="S5392" s="61" ph="1"/>
    </row>
    <row r="5393" spans="19:19" ht="26.25">
      <c r="S5393" s="61" ph="1"/>
    </row>
    <row r="5394" spans="19:19" ht="26.25">
      <c r="S5394" s="61" ph="1"/>
    </row>
    <row r="5395" spans="19:19" ht="26.25">
      <c r="S5395" s="61" ph="1"/>
    </row>
    <row r="5396" spans="19:19" ht="26.25">
      <c r="S5396" s="61" ph="1"/>
    </row>
    <row r="5397" spans="19:19" ht="26.25">
      <c r="S5397" s="61" ph="1"/>
    </row>
    <row r="5398" spans="19:19" ht="26.25">
      <c r="S5398" s="61" ph="1"/>
    </row>
    <row r="5399" spans="19:19" ht="26.25">
      <c r="S5399" s="61" ph="1"/>
    </row>
    <row r="5400" spans="19:19" ht="26.25">
      <c r="S5400" s="61" ph="1"/>
    </row>
    <row r="5401" spans="19:19" ht="26.25">
      <c r="S5401" s="61" ph="1"/>
    </row>
    <row r="5402" spans="19:19" ht="26.25">
      <c r="S5402" s="61" ph="1"/>
    </row>
    <row r="5403" spans="19:19" ht="26.25">
      <c r="S5403" s="61" ph="1"/>
    </row>
    <row r="5404" spans="19:19" ht="26.25">
      <c r="S5404" s="61" ph="1"/>
    </row>
    <row r="5405" spans="19:19" ht="26.25">
      <c r="S5405" s="61" ph="1"/>
    </row>
    <row r="5406" spans="19:19" ht="26.25">
      <c r="S5406" s="61" ph="1"/>
    </row>
    <row r="5407" spans="19:19" ht="26.25">
      <c r="S5407" s="61" ph="1"/>
    </row>
    <row r="5408" spans="19:19" ht="26.25">
      <c r="S5408" s="61" ph="1"/>
    </row>
    <row r="5409" spans="19:19" ht="26.25">
      <c r="S5409" s="61" ph="1"/>
    </row>
    <row r="5410" spans="19:19" ht="26.25">
      <c r="S5410" s="61" ph="1"/>
    </row>
    <row r="5411" spans="19:19" ht="26.25">
      <c r="S5411" s="61" ph="1"/>
    </row>
    <row r="5412" spans="19:19" ht="26.25">
      <c r="S5412" s="61" ph="1"/>
    </row>
    <row r="5413" spans="19:19" ht="26.25">
      <c r="S5413" s="61" ph="1"/>
    </row>
    <row r="5414" spans="19:19" ht="26.25">
      <c r="S5414" s="61" ph="1"/>
    </row>
    <row r="5415" spans="19:19" ht="26.25">
      <c r="S5415" s="61" ph="1"/>
    </row>
    <row r="5416" spans="19:19" ht="26.25">
      <c r="S5416" s="61" ph="1"/>
    </row>
    <row r="5417" spans="19:19" ht="26.25">
      <c r="S5417" s="61" ph="1"/>
    </row>
    <row r="5418" spans="19:19" ht="26.25">
      <c r="S5418" s="61" ph="1"/>
    </row>
    <row r="5419" spans="19:19" ht="26.25">
      <c r="S5419" s="61" ph="1"/>
    </row>
    <row r="5420" spans="19:19" ht="26.25">
      <c r="S5420" s="61" ph="1"/>
    </row>
    <row r="5421" spans="19:19" ht="26.25">
      <c r="S5421" s="61" ph="1"/>
    </row>
    <row r="5422" spans="19:19" ht="26.25">
      <c r="S5422" s="61" ph="1"/>
    </row>
    <row r="5423" spans="19:19" ht="26.25">
      <c r="S5423" s="61" ph="1"/>
    </row>
    <row r="5424" spans="19:19" ht="26.25">
      <c r="S5424" s="61" ph="1"/>
    </row>
    <row r="5425" spans="19:19" ht="26.25">
      <c r="S5425" s="61" ph="1"/>
    </row>
    <row r="5426" spans="19:19" ht="26.25">
      <c r="S5426" s="61" ph="1"/>
    </row>
    <row r="5427" spans="19:19" ht="26.25">
      <c r="S5427" s="61" ph="1"/>
    </row>
    <row r="5428" spans="19:19" ht="26.25">
      <c r="S5428" s="61" ph="1"/>
    </row>
    <row r="5429" spans="19:19" ht="26.25">
      <c r="S5429" s="61" ph="1"/>
    </row>
    <row r="5430" spans="19:19" ht="26.25">
      <c r="S5430" s="61" ph="1"/>
    </row>
    <row r="5431" spans="19:19" ht="26.25">
      <c r="S5431" s="61" ph="1"/>
    </row>
    <row r="5432" spans="19:19" ht="26.25">
      <c r="S5432" s="61" ph="1"/>
    </row>
    <row r="5433" spans="19:19" ht="26.25">
      <c r="S5433" s="61" ph="1"/>
    </row>
    <row r="5434" spans="19:19" ht="26.25">
      <c r="S5434" s="61" ph="1"/>
    </row>
    <row r="5435" spans="19:19" ht="26.25">
      <c r="S5435" s="61" ph="1"/>
    </row>
    <row r="5436" spans="19:19" ht="26.25">
      <c r="S5436" s="61" ph="1"/>
    </row>
    <row r="5437" spans="19:19" ht="26.25">
      <c r="S5437" s="61" ph="1"/>
    </row>
    <row r="5438" spans="19:19" ht="26.25">
      <c r="S5438" s="61" ph="1"/>
    </row>
    <row r="5439" spans="19:19" ht="26.25">
      <c r="S5439" s="61" ph="1"/>
    </row>
    <row r="5440" spans="19:19" ht="26.25">
      <c r="S5440" s="61" ph="1"/>
    </row>
    <row r="5441" spans="19:19" ht="26.25">
      <c r="S5441" s="61" ph="1"/>
    </row>
    <row r="5442" spans="19:19" ht="26.25">
      <c r="S5442" s="61" ph="1"/>
    </row>
    <row r="5443" spans="19:19" ht="26.25">
      <c r="S5443" s="61" ph="1"/>
    </row>
    <row r="5444" spans="19:19" ht="26.25">
      <c r="S5444" s="61" ph="1"/>
    </row>
    <row r="5445" spans="19:19" ht="26.25">
      <c r="S5445" s="61" ph="1"/>
    </row>
    <row r="5446" spans="19:19" ht="26.25">
      <c r="S5446" s="61" ph="1"/>
    </row>
    <row r="5447" spans="19:19" ht="26.25">
      <c r="S5447" s="61" ph="1"/>
    </row>
    <row r="5448" spans="19:19" ht="26.25">
      <c r="S5448" s="61" ph="1"/>
    </row>
    <row r="5449" spans="19:19" ht="26.25">
      <c r="S5449" s="61" ph="1"/>
    </row>
    <row r="5450" spans="19:19" ht="26.25">
      <c r="S5450" s="61" ph="1"/>
    </row>
    <row r="5451" spans="19:19" ht="26.25">
      <c r="S5451" s="61" ph="1"/>
    </row>
    <row r="5452" spans="19:19" ht="26.25">
      <c r="S5452" s="61" ph="1"/>
    </row>
    <row r="5453" spans="19:19" ht="26.25">
      <c r="S5453" s="61" ph="1"/>
    </row>
    <row r="5454" spans="19:19" ht="26.25">
      <c r="S5454" s="61" ph="1"/>
    </row>
    <row r="5455" spans="19:19" ht="26.25">
      <c r="S5455" s="61" ph="1"/>
    </row>
    <row r="5456" spans="19:19" ht="26.25">
      <c r="S5456" s="61" ph="1"/>
    </row>
    <row r="5457" spans="19:19" ht="26.25">
      <c r="S5457" s="61" ph="1"/>
    </row>
    <row r="5458" spans="19:19" ht="26.25">
      <c r="S5458" s="61" ph="1"/>
    </row>
    <row r="5459" spans="19:19" ht="26.25">
      <c r="S5459" s="61" ph="1"/>
    </row>
    <row r="5460" spans="19:19" ht="26.25">
      <c r="S5460" s="61" ph="1"/>
    </row>
    <row r="5461" spans="19:19" ht="26.25">
      <c r="S5461" s="61" ph="1"/>
    </row>
    <row r="5462" spans="19:19" ht="26.25">
      <c r="S5462" s="61" ph="1"/>
    </row>
    <row r="5463" spans="19:19" ht="26.25">
      <c r="S5463" s="61" ph="1"/>
    </row>
    <row r="5464" spans="19:19" ht="26.25">
      <c r="S5464" s="61" ph="1"/>
    </row>
    <row r="5465" spans="19:19" ht="26.25">
      <c r="S5465" s="61" ph="1"/>
    </row>
    <row r="5466" spans="19:19" ht="26.25">
      <c r="S5466" s="61" ph="1"/>
    </row>
    <row r="5467" spans="19:19" ht="26.25">
      <c r="S5467" s="61" ph="1"/>
    </row>
    <row r="5468" spans="19:19" ht="26.25">
      <c r="S5468" s="61" ph="1"/>
    </row>
    <row r="5469" spans="19:19" ht="26.25">
      <c r="S5469" s="61" ph="1"/>
    </row>
    <row r="5470" spans="19:19" ht="26.25">
      <c r="S5470" s="61" ph="1"/>
    </row>
    <row r="5471" spans="19:19" ht="26.25">
      <c r="S5471" s="61" ph="1"/>
    </row>
    <row r="5472" spans="19:19" ht="26.25">
      <c r="S5472" s="61" ph="1"/>
    </row>
    <row r="5473" spans="19:19" ht="26.25">
      <c r="S5473" s="61" ph="1"/>
    </row>
    <row r="5474" spans="19:19" ht="26.25">
      <c r="S5474" s="61" ph="1"/>
    </row>
    <row r="5475" spans="19:19" ht="26.25">
      <c r="S5475" s="61" ph="1"/>
    </row>
    <row r="5476" spans="19:19" ht="26.25">
      <c r="S5476" s="61" ph="1"/>
    </row>
    <row r="5477" spans="19:19" ht="26.25">
      <c r="S5477" s="61" ph="1"/>
    </row>
    <row r="5478" spans="19:19" ht="26.25">
      <c r="S5478" s="61" ph="1"/>
    </row>
    <row r="5479" spans="19:19" ht="26.25">
      <c r="S5479" s="61" ph="1"/>
    </row>
    <row r="5480" spans="19:19" ht="26.25">
      <c r="S5480" s="61" ph="1"/>
    </row>
    <row r="5481" spans="19:19" ht="26.25">
      <c r="S5481" s="61" ph="1"/>
    </row>
    <row r="5482" spans="19:19" ht="26.25">
      <c r="S5482" s="61" ph="1"/>
    </row>
    <row r="5483" spans="19:19" ht="26.25">
      <c r="S5483" s="61" ph="1"/>
    </row>
    <row r="5484" spans="19:19" ht="26.25">
      <c r="S5484" s="61" ph="1"/>
    </row>
    <row r="5485" spans="19:19" ht="26.25">
      <c r="S5485" s="61" ph="1"/>
    </row>
    <row r="5486" spans="19:19" ht="26.25">
      <c r="S5486" s="61" ph="1"/>
    </row>
    <row r="5487" spans="19:19" ht="26.25">
      <c r="S5487" s="61" ph="1"/>
    </row>
    <row r="5488" spans="19:19" ht="26.25">
      <c r="S5488" s="61" ph="1"/>
    </row>
    <row r="5489" spans="19:19" ht="26.25">
      <c r="S5489" s="61" ph="1"/>
    </row>
    <row r="5490" spans="19:19" ht="26.25">
      <c r="S5490" s="61" ph="1"/>
    </row>
    <row r="5491" spans="19:19" ht="26.25">
      <c r="S5491" s="61" ph="1"/>
    </row>
    <row r="5492" spans="19:19" ht="26.25">
      <c r="S5492" s="61" ph="1"/>
    </row>
    <row r="5493" spans="19:19" ht="26.25">
      <c r="S5493" s="61" ph="1"/>
    </row>
    <row r="5494" spans="19:19" ht="26.25">
      <c r="S5494" s="61" ph="1"/>
    </row>
    <row r="5495" spans="19:19" ht="26.25">
      <c r="S5495" s="61" ph="1"/>
    </row>
    <row r="5496" spans="19:19" ht="26.25">
      <c r="S5496" s="61" ph="1"/>
    </row>
    <row r="5497" spans="19:19" ht="26.25">
      <c r="S5497" s="61" ph="1"/>
    </row>
    <row r="5498" spans="19:19" ht="26.25">
      <c r="S5498" s="61" ph="1"/>
    </row>
    <row r="5499" spans="19:19" ht="26.25">
      <c r="S5499" s="61" ph="1"/>
    </row>
    <row r="5500" spans="19:19" ht="26.25">
      <c r="S5500" s="61" ph="1"/>
    </row>
    <row r="5501" spans="19:19" ht="26.25">
      <c r="S5501" s="61" ph="1"/>
    </row>
    <row r="5502" spans="19:19" ht="26.25">
      <c r="S5502" s="61" ph="1"/>
    </row>
    <row r="5503" spans="19:19" ht="26.25">
      <c r="S5503" s="61" ph="1"/>
    </row>
    <row r="5504" spans="19:19" ht="26.25">
      <c r="S5504" s="61" ph="1"/>
    </row>
    <row r="5505" spans="19:19" ht="26.25">
      <c r="S5505" s="61" ph="1"/>
    </row>
    <row r="5506" spans="19:19" ht="26.25">
      <c r="S5506" s="61" ph="1"/>
    </row>
    <row r="5507" spans="19:19" ht="26.25">
      <c r="S5507" s="61" ph="1"/>
    </row>
    <row r="5508" spans="19:19" ht="26.25">
      <c r="S5508" s="61" ph="1"/>
    </row>
    <row r="5509" spans="19:19" ht="26.25">
      <c r="S5509" s="61" ph="1"/>
    </row>
    <row r="5510" spans="19:19" ht="26.25">
      <c r="S5510" s="61" ph="1"/>
    </row>
    <row r="5511" spans="19:19" ht="26.25">
      <c r="S5511" s="61" ph="1"/>
    </row>
    <row r="5512" spans="19:19" ht="26.25">
      <c r="S5512" s="61" ph="1"/>
    </row>
    <row r="5513" spans="19:19" ht="26.25">
      <c r="S5513" s="61" ph="1"/>
    </row>
    <row r="5514" spans="19:19" ht="26.25">
      <c r="S5514" s="61" ph="1"/>
    </row>
    <row r="5515" spans="19:19" ht="26.25">
      <c r="S5515" s="61" ph="1"/>
    </row>
    <row r="5516" spans="19:19" ht="26.25">
      <c r="S5516" s="61" ph="1"/>
    </row>
    <row r="5517" spans="19:19" ht="26.25">
      <c r="S5517" s="61" ph="1"/>
    </row>
    <row r="5518" spans="19:19" ht="26.25">
      <c r="S5518" s="61" ph="1"/>
    </row>
    <row r="5519" spans="19:19" ht="26.25">
      <c r="S5519" s="61" ph="1"/>
    </row>
    <row r="5520" spans="19:19" ht="26.25">
      <c r="S5520" s="61" ph="1"/>
    </row>
    <row r="5521" spans="19:19" ht="26.25">
      <c r="S5521" s="61" ph="1"/>
    </row>
    <row r="5522" spans="19:19" ht="26.25">
      <c r="S5522" s="61" ph="1"/>
    </row>
    <row r="5523" spans="19:19" ht="26.25">
      <c r="S5523" s="61" ph="1"/>
    </row>
    <row r="5524" spans="19:19" ht="26.25">
      <c r="S5524" s="61" ph="1"/>
    </row>
    <row r="5525" spans="19:19" ht="26.25">
      <c r="S5525" s="61" ph="1"/>
    </row>
    <row r="5526" spans="19:19" ht="26.25">
      <c r="S5526" s="61" ph="1"/>
    </row>
    <row r="5527" spans="19:19" ht="26.25">
      <c r="S5527" s="61" ph="1"/>
    </row>
    <row r="5528" spans="19:19" ht="26.25">
      <c r="S5528" s="61" ph="1"/>
    </row>
    <row r="5529" spans="19:19" ht="26.25">
      <c r="S5529" s="61" ph="1"/>
    </row>
    <row r="5530" spans="19:19" ht="26.25">
      <c r="S5530" s="61" ph="1"/>
    </row>
    <row r="5531" spans="19:19" ht="26.25">
      <c r="S5531" s="61" ph="1"/>
    </row>
    <row r="5532" spans="19:19" ht="26.25">
      <c r="S5532" s="61" ph="1"/>
    </row>
    <row r="5533" spans="19:19" ht="26.25">
      <c r="S5533" s="61" ph="1"/>
    </row>
    <row r="5534" spans="19:19" ht="26.25">
      <c r="S5534" s="61" ph="1"/>
    </row>
    <row r="5535" spans="19:19" ht="26.25">
      <c r="S5535" s="61" ph="1"/>
    </row>
    <row r="5536" spans="19:19" ht="26.25">
      <c r="S5536" s="61" ph="1"/>
    </row>
    <row r="5537" spans="19:19" ht="26.25">
      <c r="S5537" s="61" ph="1"/>
    </row>
    <row r="5538" spans="19:19" ht="26.25">
      <c r="S5538" s="61" ph="1"/>
    </row>
    <row r="5539" spans="19:19" ht="26.25">
      <c r="S5539" s="61" ph="1"/>
    </row>
    <row r="5540" spans="19:19" ht="26.25">
      <c r="S5540" s="61" ph="1"/>
    </row>
    <row r="5541" spans="19:19" ht="26.25">
      <c r="S5541" s="61" ph="1"/>
    </row>
    <row r="5542" spans="19:19" ht="26.25">
      <c r="S5542" s="61" ph="1"/>
    </row>
    <row r="5543" spans="19:19" ht="26.25">
      <c r="S5543" s="61" ph="1"/>
    </row>
    <row r="5544" spans="19:19" ht="26.25">
      <c r="S5544" s="61" ph="1"/>
    </row>
    <row r="5545" spans="19:19" ht="26.25">
      <c r="S5545" s="61" ph="1"/>
    </row>
    <row r="5546" spans="19:19" ht="26.25">
      <c r="S5546" s="61" ph="1"/>
    </row>
    <row r="5547" spans="19:19" ht="26.25">
      <c r="S5547" s="61" ph="1"/>
    </row>
    <row r="5548" spans="19:19" ht="26.25">
      <c r="S5548" s="61" ph="1"/>
    </row>
    <row r="5549" spans="19:19" ht="26.25">
      <c r="S5549" s="61" ph="1"/>
    </row>
    <row r="5550" spans="19:19" ht="26.25">
      <c r="S5550" s="61" ph="1"/>
    </row>
    <row r="5551" spans="19:19" ht="26.25">
      <c r="S5551" s="61" ph="1"/>
    </row>
    <row r="5552" spans="19:19" ht="26.25">
      <c r="S5552" s="61" ph="1"/>
    </row>
    <row r="5553" spans="19:19" ht="26.25">
      <c r="S5553" s="61" ph="1"/>
    </row>
    <row r="5554" spans="19:19" ht="26.25">
      <c r="S5554" s="61" ph="1"/>
    </row>
    <row r="5555" spans="19:19" ht="26.25">
      <c r="S5555" s="61" ph="1"/>
    </row>
    <row r="5556" spans="19:19" ht="26.25">
      <c r="S5556" s="61" ph="1"/>
    </row>
    <row r="5557" spans="19:19" ht="26.25">
      <c r="S5557" s="61" ph="1"/>
    </row>
    <row r="5558" spans="19:19" ht="26.25">
      <c r="S5558" s="61" ph="1"/>
    </row>
    <row r="5559" spans="19:19" ht="26.25">
      <c r="S5559" s="61" ph="1"/>
    </row>
    <row r="5560" spans="19:19" ht="26.25">
      <c r="S5560" s="61" ph="1"/>
    </row>
    <row r="5561" spans="19:19" ht="26.25">
      <c r="S5561" s="61" ph="1"/>
    </row>
    <row r="5562" spans="19:19" ht="26.25">
      <c r="S5562" s="61" ph="1"/>
    </row>
    <row r="5563" spans="19:19" ht="26.25">
      <c r="S5563" s="61" ph="1"/>
    </row>
    <row r="5564" spans="19:19" ht="26.25">
      <c r="S5564" s="61" ph="1"/>
    </row>
    <row r="5565" spans="19:19" ht="26.25">
      <c r="S5565" s="61" ph="1"/>
    </row>
    <row r="5566" spans="19:19" ht="26.25">
      <c r="S5566" s="61" ph="1"/>
    </row>
    <row r="5567" spans="19:19" ht="26.25">
      <c r="S5567" s="61" ph="1"/>
    </row>
    <row r="5568" spans="19:19" ht="26.25">
      <c r="S5568" s="61" ph="1"/>
    </row>
    <row r="5569" spans="19:19" ht="26.25">
      <c r="S5569" s="61" ph="1"/>
    </row>
    <row r="5570" spans="19:19" ht="26.25">
      <c r="S5570" s="61" ph="1"/>
    </row>
    <row r="5571" spans="19:19" ht="26.25">
      <c r="S5571" s="61" ph="1"/>
    </row>
    <row r="5572" spans="19:19" ht="26.25">
      <c r="S5572" s="61" ph="1"/>
    </row>
    <row r="5573" spans="19:19" ht="26.25">
      <c r="S5573" s="61" ph="1"/>
    </row>
    <row r="5574" spans="19:19" ht="26.25">
      <c r="S5574" s="61" ph="1"/>
    </row>
    <row r="5575" spans="19:19" ht="26.25">
      <c r="S5575" s="61" ph="1"/>
    </row>
    <row r="5576" spans="19:19" ht="26.25">
      <c r="S5576" s="61" ph="1"/>
    </row>
    <row r="5577" spans="19:19" ht="26.25">
      <c r="S5577" s="61" ph="1"/>
    </row>
    <row r="5578" spans="19:19" ht="26.25">
      <c r="S5578" s="61" ph="1"/>
    </row>
    <row r="5579" spans="19:19" ht="26.25">
      <c r="S5579" s="61" ph="1"/>
    </row>
    <row r="5580" spans="19:19" ht="26.25">
      <c r="S5580" s="61" ph="1"/>
    </row>
    <row r="5581" spans="19:19" ht="26.25">
      <c r="S5581" s="61" ph="1"/>
    </row>
    <row r="5582" spans="19:19" ht="26.25">
      <c r="S5582" s="61" ph="1"/>
    </row>
    <row r="5583" spans="19:19" ht="26.25">
      <c r="S5583" s="61" ph="1"/>
    </row>
    <row r="5584" spans="19:19" ht="26.25">
      <c r="S5584" s="61" ph="1"/>
    </row>
    <row r="5585" spans="19:19" ht="26.25">
      <c r="S5585" s="61" ph="1"/>
    </row>
    <row r="5586" spans="19:19" ht="26.25">
      <c r="S5586" s="61" ph="1"/>
    </row>
    <row r="5587" spans="19:19" ht="26.25">
      <c r="S5587" s="61" ph="1"/>
    </row>
    <row r="5588" spans="19:19" ht="26.25">
      <c r="S5588" s="61" ph="1"/>
    </row>
    <row r="5589" spans="19:19" ht="26.25">
      <c r="S5589" s="61" ph="1"/>
    </row>
    <row r="5590" spans="19:19" ht="26.25">
      <c r="S5590" s="61" ph="1"/>
    </row>
    <row r="5591" spans="19:19" ht="26.25">
      <c r="S5591" s="61" ph="1"/>
    </row>
    <row r="5592" spans="19:19" ht="26.25">
      <c r="S5592" s="61" ph="1"/>
    </row>
    <row r="5593" spans="19:19" ht="26.25">
      <c r="S5593" s="61" ph="1"/>
    </row>
    <row r="5594" spans="19:19" ht="26.25">
      <c r="S5594" s="61" ph="1"/>
    </row>
    <row r="5595" spans="19:19" ht="26.25">
      <c r="S5595" s="61" ph="1"/>
    </row>
    <row r="5596" spans="19:19" ht="26.25">
      <c r="S5596" s="61" ph="1"/>
    </row>
    <row r="5597" spans="19:19" ht="26.25">
      <c r="S5597" s="61" ph="1"/>
    </row>
    <row r="5598" spans="19:19" ht="26.25">
      <c r="S5598" s="61" ph="1"/>
    </row>
    <row r="5599" spans="19:19" ht="26.25">
      <c r="S5599" s="61" ph="1"/>
    </row>
    <row r="5600" spans="19:19" ht="26.25">
      <c r="S5600" s="61" ph="1"/>
    </row>
    <row r="5601" spans="19:19" ht="26.25">
      <c r="S5601" s="61" ph="1"/>
    </row>
    <row r="5602" spans="19:19" ht="26.25">
      <c r="S5602" s="61" ph="1"/>
    </row>
    <row r="5603" spans="19:19" ht="26.25">
      <c r="S5603" s="61" ph="1"/>
    </row>
    <row r="5604" spans="19:19" ht="26.25">
      <c r="S5604" s="61" ph="1"/>
    </row>
    <row r="5605" spans="19:19" ht="26.25">
      <c r="S5605" s="61" ph="1"/>
    </row>
    <row r="5606" spans="19:19" ht="26.25">
      <c r="S5606" s="61" ph="1"/>
    </row>
    <row r="5607" spans="19:19" ht="26.25">
      <c r="S5607" s="61" ph="1"/>
    </row>
    <row r="5608" spans="19:19" ht="26.25">
      <c r="S5608" s="61" ph="1"/>
    </row>
    <row r="5609" spans="19:19" ht="26.25">
      <c r="S5609" s="61" ph="1"/>
    </row>
    <row r="5610" spans="19:19" ht="26.25">
      <c r="S5610" s="61" ph="1"/>
    </row>
    <row r="5611" spans="19:19" ht="26.25">
      <c r="S5611" s="61" ph="1"/>
    </row>
    <row r="5612" spans="19:19" ht="26.25">
      <c r="S5612" s="61" ph="1"/>
    </row>
    <row r="5613" spans="19:19" ht="26.25">
      <c r="S5613" s="61" ph="1"/>
    </row>
    <row r="5614" spans="19:19" ht="26.25">
      <c r="S5614" s="61" ph="1"/>
    </row>
    <row r="5615" spans="19:19" ht="26.25">
      <c r="S5615" s="61" ph="1"/>
    </row>
    <row r="5616" spans="19:19" ht="26.25">
      <c r="S5616" s="61" ph="1"/>
    </row>
    <row r="5617" spans="19:19" ht="26.25">
      <c r="S5617" s="61" ph="1"/>
    </row>
    <row r="5618" spans="19:19" ht="26.25">
      <c r="S5618" s="61" ph="1"/>
    </row>
    <row r="5619" spans="19:19" ht="26.25">
      <c r="S5619" s="61" ph="1"/>
    </row>
    <row r="5620" spans="19:19" ht="26.25">
      <c r="S5620" s="61" ph="1"/>
    </row>
    <row r="5621" spans="19:19" ht="26.25">
      <c r="S5621" s="61" ph="1"/>
    </row>
    <row r="5622" spans="19:19" ht="26.25">
      <c r="S5622" s="61" ph="1"/>
    </row>
    <row r="5623" spans="19:19" ht="26.25">
      <c r="S5623" s="61" ph="1"/>
    </row>
    <row r="5624" spans="19:19" ht="26.25">
      <c r="S5624" s="61" ph="1"/>
    </row>
    <row r="5625" spans="19:19" ht="26.25">
      <c r="S5625" s="61" ph="1"/>
    </row>
    <row r="5626" spans="19:19" ht="26.25">
      <c r="S5626" s="61" ph="1"/>
    </row>
    <row r="5627" spans="19:19" ht="26.25">
      <c r="S5627" s="61" ph="1"/>
    </row>
    <row r="5628" spans="19:19" ht="26.25">
      <c r="S5628" s="61" ph="1"/>
    </row>
    <row r="5629" spans="19:19" ht="26.25">
      <c r="S5629" s="61" ph="1"/>
    </row>
    <row r="5630" spans="19:19" ht="26.25">
      <c r="S5630" s="61" ph="1"/>
    </row>
    <row r="5631" spans="19:19" ht="26.25">
      <c r="S5631" s="61" ph="1"/>
    </row>
    <row r="5632" spans="19:19" ht="26.25">
      <c r="S5632" s="61" ph="1"/>
    </row>
    <row r="5633" spans="19:19" ht="26.25">
      <c r="S5633" s="61" ph="1"/>
    </row>
    <row r="5634" spans="19:19" ht="26.25">
      <c r="S5634" s="61" ph="1"/>
    </row>
    <row r="5635" spans="19:19" ht="26.25">
      <c r="S5635" s="61" ph="1"/>
    </row>
    <row r="5636" spans="19:19" ht="26.25">
      <c r="S5636" s="61" ph="1"/>
    </row>
    <row r="5637" spans="19:19" ht="26.25">
      <c r="S5637" s="61" ph="1"/>
    </row>
    <row r="5638" spans="19:19" ht="26.25">
      <c r="S5638" s="61" ph="1"/>
    </row>
    <row r="5639" spans="19:19" ht="26.25">
      <c r="S5639" s="61" ph="1"/>
    </row>
    <row r="5640" spans="19:19" ht="26.25">
      <c r="S5640" s="61" ph="1"/>
    </row>
    <row r="5641" spans="19:19" ht="26.25">
      <c r="S5641" s="61" ph="1"/>
    </row>
    <row r="5642" spans="19:19" ht="26.25">
      <c r="S5642" s="61" ph="1"/>
    </row>
    <row r="5643" spans="19:19" ht="26.25">
      <c r="S5643" s="61" ph="1"/>
    </row>
    <row r="5644" spans="19:19" ht="26.25">
      <c r="S5644" s="61" ph="1"/>
    </row>
    <row r="5645" spans="19:19" ht="26.25">
      <c r="S5645" s="61" ph="1"/>
    </row>
    <row r="5646" spans="19:19" ht="26.25">
      <c r="S5646" s="61" ph="1"/>
    </row>
    <row r="5647" spans="19:19" ht="26.25">
      <c r="S5647" s="61" ph="1"/>
    </row>
    <row r="5648" spans="19:19" ht="26.25">
      <c r="S5648" s="61" ph="1"/>
    </row>
    <row r="5649" spans="19:19" ht="26.25">
      <c r="S5649" s="61" ph="1"/>
    </row>
    <row r="5650" spans="19:19" ht="26.25">
      <c r="S5650" s="61" ph="1"/>
    </row>
    <row r="5651" spans="19:19" ht="26.25">
      <c r="S5651" s="61" ph="1"/>
    </row>
    <row r="5652" spans="19:19" ht="26.25">
      <c r="S5652" s="61" ph="1"/>
    </row>
    <row r="5653" spans="19:19" ht="26.25">
      <c r="S5653" s="61" ph="1"/>
    </row>
    <row r="5654" spans="19:19" ht="26.25">
      <c r="S5654" s="61" ph="1"/>
    </row>
    <row r="5655" spans="19:19" ht="26.25">
      <c r="S5655" s="61" ph="1"/>
    </row>
    <row r="5656" spans="19:19" ht="26.25">
      <c r="S5656" s="61" ph="1"/>
    </row>
    <row r="5657" spans="19:19" ht="26.25">
      <c r="S5657" s="61" ph="1"/>
    </row>
    <row r="5658" spans="19:19" ht="26.25">
      <c r="S5658" s="61" ph="1"/>
    </row>
    <row r="5659" spans="19:19" ht="26.25">
      <c r="S5659" s="61" ph="1"/>
    </row>
    <row r="5660" spans="19:19" ht="26.25">
      <c r="S5660" s="61" ph="1"/>
    </row>
    <row r="5661" spans="19:19" ht="26.25">
      <c r="S5661" s="61" ph="1"/>
    </row>
    <row r="5662" spans="19:19" ht="26.25">
      <c r="S5662" s="61" ph="1"/>
    </row>
    <row r="5663" spans="19:19" ht="26.25">
      <c r="S5663" s="61" ph="1"/>
    </row>
    <row r="5664" spans="19:19" ht="26.25">
      <c r="S5664" s="61" ph="1"/>
    </row>
    <row r="5665" spans="19:19" ht="26.25">
      <c r="S5665" s="61" ph="1"/>
    </row>
    <row r="5666" spans="19:19" ht="26.25">
      <c r="S5666" s="61" ph="1"/>
    </row>
    <row r="5667" spans="19:19" ht="26.25">
      <c r="S5667" s="61" ph="1"/>
    </row>
    <row r="5668" spans="19:19" ht="26.25">
      <c r="S5668" s="61" ph="1"/>
    </row>
    <row r="5669" spans="19:19" ht="26.25">
      <c r="S5669" s="61" ph="1"/>
    </row>
    <row r="5670" spans="19:19" ht="26.25">
      <c r="S5670" s="61" ph="1"/>
    </row>
    <row r="5671" spans="19:19" ht="26.25">
      <c r="S5671" s="61" ph="1"/>
    </row>
    <row r="5672" spans="19:19" ht="26.25">
      <c r="S5672" s="61" ph="1"/>
    </row>
    <row r="5673" spans="19:19" ht="26.25">
      <c r="S5673" s="61" ph="1"/>
    </row>
    <row r="5674" spans="19:19" ht="26.25">
      <c r="S5674" s="61" ph="1"/>
    </row>
    <row r="5675" spans="19:19" ht="26.25">
      <c r="S5675" s="61" ph="1"/>
    </row>
    <row r="5676" spans="19:19" ht="26.25">
      <c r="S5676" s="61" ph="1"/>
    </row>
    <row r="5677" spans="19:19" ht="26.25">
      <c r="S5677" s="61" ph="1"/>
    </row>
    <row r="5678" spans="19:19" ht="26.25">
      <c r="S5678" s="61" ph="1"/>
    </row>
    <row r="5679" spans="19:19" ht="26.25">
      <c r="S5679" s="61" ph="1"/>
    </row>
    <row r="5680" spans="19:19" ht="26.25">
      <c r="S5680" s="61" ph="1"/>
    </row>
    <row r="5681" spans="19:19" ht="26.25">
      <c r="S5681" s="61" ph="1"/>
    </row>
    <row r="5682" spans="19:19" ht="26.25">
      <c r="S5682" s="61" ph="1"/>
    </row>
    <row r="5683" spans="19:19" ht="26.25">
      <c r="S5683" s="61" ph="1"/>
    </row>
    <row r="5684" spans="19:19" ht="26.25">
      <c r="S5684" s="61" ph="1"/>
    </row>
    <row r="5685" spans="19:19" ht="26.25">
      <c r="S5685" s="61" ph="1"/>
    </row>
    <row r="5686" spans="19:19" ht="26.25">
      <c r="S5686" s="61" ph="1"/>
    </row>
    <row r="5687" spans="19:19" ht="26.25">
      <c r="S5687" s="61" ph="1"/>
    </row>
    <row r="5688" spans="19:19" ht="26.25">
      <c r="S5688" s="61" ph="1"/>
    </row>
    <row r="5689" spans="19:19" ht="26.25">
      <c r="S5689" s="61" ph="1"/>
    </row>
    <row r="5690" spans="19:19" ht="26.25">
      <c r="S5690" s="61" ph="1"/>
    </row>
    <row r="5691" spans="19:19" ht="26.25">
      <c r="S5691" s="61" ph="1"/>
    </row>
    <row r="5692" spans="19:19" ht="26.25">
      <c r="S5692" s="61" ph="1"/>
    </row>
    <row r="5693" spans="19:19" ht="26.25">
      <c r="S5693" s="61" ph="1"/>
    </row>
    <row r="5694" spans="19:19" ht="26.25">
      <c r="S5694" s="61" ph="1"/>
    </row>
    <row r="5695" spans="19:19" ht="26.25">
      <c r="S5695" s="61" ph="1"/>
    </row>
    <row r="5696" spans="19:19" ht="26.25">
      <c r="S5696" s="61" ph="1"/>
    </row>
    <row r="5697" spans="19:19" ht="26.25">
      <c r="S5697" s="61" ph="1"/>
    </row>
    <row r="5698" spans="19:19" ht="26.25">
      <c r="S5698" s="61" ph="1"/>
    </row>
    <row r="5699" spans="19:19" ht="26.25">
      <c r="S5699" s="61" ph="1"/>
    </row>
    <row r="5700" spans="19:19" ht="26.25">
      <c r="S5700" s="61" ph="1"/>
    </row>
    <row r="5701" spans="19:19" ht="26.25">
      <c r="S5701" s="61" ph="1"/>
    </row>
    <row r="5702" spans="19:19" ht="26.25">
      <c r="S5702" s="61" ph="1"/>
    </row>
    <row r="5703" spans="19:19" ht="26.25">
      <c r="S5703" s="61" ph="1"/>
    </row>
    <row r="5704" spans="19:19" ht="26.25">
      <c r="S5704" s="61" ph="1"/>
    </row>
    <row r="5705" spans="19:19" ht="26.25">
      <c r="S5705" s="61" ph="1"/>
    </row>
    <row r="5706" spans="19:19" ht="26.25">
      <c r="S5706" s="61" ph="1"/>
    </row>
    <row r="5707" spans="19:19" ht="26.25">
      <c r="S5707" s="61" ph="1"/>
    </row>
    <row r="5708" spans="19:19" ht="26.25">
      <c r="S5708" s="61" ph="1"/>
    </row>
    <row r="5709" spans="19:19" ht="26.25">
      <c r="S5709" s="61" ph="1"/>
    </row>
    <row r="5710" spans="19:19" ht="26.25">
      <c r="S5710" s="61" ph="1"/>
    </row>
    <row r="5711" spans="19:19" ht="26.25">
      <c r="S5711" s="61" ph="1"/>
    </row>
    <row r="5712" spans="19:19" ht="26.25">
      <c r="S5712" s="61" ph="1"/>
    </row>
    <row r="5713" spans="19:19" ht="26.25">
      <c r="S5713" s="61" ph="1"/>
    </row>
    <row r="5714" spans="19:19" ht="26.25">
      <c r="S5714" s="61" ph="1"/>
    </row>
    <row r="5715" spans="19:19" ht="26.25">
      <c r="S5715" s="61" ph="1"/>
    </row>
    <row r="5716" spans="19:19" ht="26.25">
      <c r="S5716" s="61" ph="1"/>
    </row>
    <row r="5717" spans="19:19" ht="26.25">
      <c r="S5717" s="61" ph="1"/>
    </row>
    <row r="5718" spans="19:19" ht="26.25">
      <c r="S5718" s="61" ph="1"/>
    </row>
    <row r="5719" spans="19:19" ht="26.25">
      <c r="S5719" s="61" ph="1"/>
    </row>
    <row r="5720" spans="19:19" ht="26.25">
      <c r="S5720" s="61" ph="1"/>
    </row>
    <row r="5721" spans="19:19" ht="26.25">
      <c r="S5721" s="61" ph="1"/>
    </row>
    <row r="5722" spans="19:19" ht="26.25">
      <c r="S5722" s="61" ph="1"/>
    </row>
    <row r="5723" spans="19:19" ht="26.25">
      <c r="S5723" s="61" ph="1"/>
    </row>
    <row r="5724" spans="19:19" ht="26.25">
      <c r="S5724" s="61" ph="1"/>
    </row>
    <row r="5725" spans="19:19" ht="26.25">
      <c r="S5725" s="61" ph="1"/>
    </row>
    <row r="5726" spans="19:19" ht="26.25">
      <c r="S5726" s="61" ph="1"/>
    </row>
    <row r="5727" spans="19:19" ht="26.25">
      <c r="S5727" s="61" ph="1"/>
    </row>
    <row r="5728" spans="19:19" ht="26.25">
      <c r="S5728" s="61" ph="1"/>
    </row>
    <row r="5729" spans="19:19" ht="26.25">
      <c r="S5729" s="61" ph="1"/>
    </row>
    <row r="5730" spans="19:19" ht="26.25">
      <c r="S5730" s="61" ph="1"/>
    </row>
    <row r="5731" spans="19:19" ht="26.25">
      <c r="S5731" s="61" ph="1"/>
    </row>
    <row r="5732" spans="19:19" ht="26.25">
      <c r="S5732" s="61" ph="1"/>
    </row>
    <row r="5733" spans="19:19" ht="26.25">
      <c r="S5733" s="61" ph="1"/>
    </row>
    <row r="5734" spans="19:19" ht="26.25">
      <c r="S5734" s="61" ph="1"/>
    </row>
    <row r="5735" spans="19:19" ht="26.25">
      <c r="S5735" s="61" ph="1"/>
    </row>
    <row r="5736" spans="19:19" ht="26.25">
      <c r="S5736" s="61" ph="1"/>
    </row>
    <row r="5737" spans="19:19" ht="26.25">
      <c r="S5737" s="61" ph="1"/>
    </row>
    <row r="5738" spans="19:19" ht="26.25">
      <c r="S5738" s="61" ph="1"/>
    </row>
    <row r="5739" spans="19:19" ht="26.25">
      <c r="S5739" s="61" ph="1"/>
    </row>
    <row r="5740" spans="19:19" ht="26.25">
      <c r="S5740" s="61" ph="1"/>
    </row>
    <row r="5741" spans="19:19" ht="26.25">
      <c r="S5741" s="61" ph="1"/>
    </row>
    <row r="5742" spans="19:19" ht="26.25">
      <c r="S5742" s="61" ph="1"/>
    </row>
    <row r="5743" spans="19:19" ht="26.25">
      <c r="S5743" s="61" ph="1"/>
    </row>
    <row r="5744" spans="19:19" ht="26.25">
      <c r="S5744" s="61" ph="1"/>
    </row>
    <row r="5745" spans="19:19" ht="26.25">
      <c r="S5745" s="61" ph="1"/>
    </row>
    <row r="5746" spans="19:19" ht="26.25">
      <c r="S5746" s="61" ph="1"/>
    </row>
    <row r="5747" spans="19:19" ht="26.25">
      <c r="S5747" s="61" ph="1"/>
    </row>
    <row r="5748" spans="19:19" ht="26.25">
      <c r="S5748" s="61" ph="1"/>
    </row>
    <row r="5749" spans="19:19" ht="26.25">
      <c r="S5749" s="61" ph="1"/>
    </row>
    <row r="5750" spans="19:19" ht="26.25">
      <c r="S5750" s="61" ph="1"/>
    </row>
    <row r="5751" spans="19:19" ht="26.25">
      <c r="S5751" s="61" ph="1"/>
    </row>
    <row r="5752" spans="19:19" ht="26.25">
      <c r="S5752" s="61" ph="1"/>
    </row>
    <row r="5753" spans="19:19" ht="26.25">
      <c r="S5753" s="61" ph="1"/>
    </row>
    <row r="5754" spans="19:19" ht="26.25">
      <c r="S5754" s="61" ph="1"/>
    </row>
    <row r="5755" spans="19:19" ht="26.25">
      <c r="S5755" s="61" ph="1"/>
    </row>
    <row r="5756" spans="19:19" ht="26.25">
      <c r="S5756" s="61" ph="1"/>
    </row>
    <row r="5757" spans="19:19" ht="26.25">
      <c r="S5757" s="61" ph="1"/>
    </row>
    <row r="5758" spans="19:19" ht="26.25">
      <c r="S5758" s="61" ph="1"/>
    </row>
    <row r="5759" spans="19:19" ht="26.25">
      <c r="S5759" s="61" ph="1"/>
    </row>
    <row r="5760" spans="19:19" ht="26.25">
      <c r="S5760" s="61" ph="1"/>
    </row>
    <row r="5761" spans="19:19" ht="26.25">
      <c r="S5761" s="61" ph="1"/>
    </row>
    <row r="5762" spans="19:19" ht="26.25">
      <c r="S5762" s="61" ph="1"/>
    </row>
    <row r="5763" spans="19:19" ht="26.25">
      <c r="S5763" s="61" ph="1"/>
    </row>
    <row r="5764" spans="19:19" ht="26.25">
      <c r="S5764" s="61" ph="1"/>
    </row>
    <row r="5765" spans="19:19" ht="26.25">
      <c r="S5765" s="61" ph="1"/>
    </row>
    <row r="5766" spans="19:19" ht="26.25">
      <c r="S5766" s="61" ph="1"/>
    </row>
    <row r="5767" spans="19:19" ht="26.25">
      <c r="S5767" s="61" ph="1"/>
    </row>
    <row r="5768" spans="19:19" ht="26.25">
      <c r="S5768" s="61" ph="1"/>
    </row>
    <row r="5769" spans="19:19" ht="26.25">
      <c r="S5769" s="61" ph="1"/>
    </row>
    <row r="5770" spans="19:19" ht="26.25">
      <c r="S5770" s="61" ph="1"/>
    </row>
    <row r="5771" spans="19:19" ht="26.25">
      <c r="S5771" s="61" ph="1"/>
    </row>
    <row r="5772" spans="19:19" ht="26.25">
      <c r="S5772" s="61" ph="1"/>
    </row>
    <row r="5773" spans="19:19" ht="26.25">
      <c r="S5773" s="61" ph="1"/>
    </row>
    <row r="5774" spans="19:19" ht="26.25">
      <c r="S5774" s="61" ph="1"/>
    </row>
    <row r="5775" spans="19:19" ht="26.25">
      <c r="S5775" s="61" ph="1"/>
    </row>
    <row r="5776" spans="19:19" ht="26.25">
      <c r="S5776" s="61" ph="1"/>
    </row>
    <row r="5777" spans="19:19" ht="26.25">
      <c r="S5777" s="61" ph="1"/>
    </row>
    <row r="5778" spans="19:19" ht="26.25">
      <c r="S5778" s="61" ph="1"/>
    </row>
    <row r="5779" spans="19:19" ht="26.25">
      <c r="S5779" s="61" ph="1"/>
    </row>
    <row r="5780" spans="19:19" ht="26.25">
      <c r="S5780" s="61" ph="1"/>
    </row>
    <row r="5781" spans="19:19" ht="26.25">
      <c r="S5781" s="61" ph="1"/>
    </row>
    <row r="5782" spans="19:19" ht="26.25">
      <c r="S5782" s="61" ph="1"/>
    </row>
    <row r="5783" spans="19:19" ht="26.25">
      <c r="S5783" s="61" ph="1"/>
    </row>
    <row r="5784" spans="19:19" ht="26.25">
      <c r="S5784" s="61" ph="1"/>
    </row>
    <row r="5785" spans="19:19" ht="26.25">
      <c r="S5785" s="61" ph="1"/>
    </row>
    <row r="5786" spans="19:19" ht="26.25">
      <c r="S5786" s="61" ph="1"/>
    </row>
    <row r="5787" spans="19:19" ht="26.25">
      <c r="S5787" s="61" ph="1"/>
    </row>
    <row r="5788" spans="19:19" ht="26.25">
      <c r="S5788" s="61" ph="1"/>
    </row>
    <row r="5789" spans="19:19" ht="26.25">
      <c r="S5789" s="61" ph="1"/>
    </row>
    <row r="5790" spans="19:19" ht="26.25">
      <c r="S5790" s="61" ph="1"/>
    </row>
    <row r="5791" spans="19:19" ht="26.25">
      <c r="S5791" s="61" ph="1"/>
    </row>
    <row r="5792" spans="19:19" ht="26.25">
      <c r="S5792" s="61" ph="1"/>
    </row>
    <row r="5793" spans="19:19" ht="26.25">
      <c r="S5793" s="61" ph="1"/>
    </row>
    <row r="5794" spans="19:19" ht="26.25">
      <c r="S5794" s="61" ph="1"/>
    </row>
    <row r="5795" spans="19:19" ht="26.25">
      <c r="S5795" s="61" ph="1"/>
    </row>
    <row r="5796" spans="19:19" ht="26.25">
      <c r="S5796" s="61" ph="1"/>
    </row>
    <row r="5797" spans="19:19" ht="26.25">
      <c r="S5797" s="61" ph="1"/>
    </row>
    <row r="5798" spans="19:19" ht="26.25">
      <c r="S5798" s="61" ph="1"/>
    </row>
    <row r="5799" spans="19:19" ht="26.25">
      <c r="S5799" s="61" ph="1"/>
    </row>
    <row r="5800" spans="19:19" ht="26.25">
      <c r="S5800" s="61" ph="1"/>
    </row>
    <row r="5801" spans="19:19" ht="26.25">
      <c r="S5801" s="61" ph="1"/>
    </row>
    <row r="5802" spans="19:19" ht="26.25">
      <c r="S5802" s="61" ph="1"/>
    </row>
    <row r="5803" spans="19:19" ht="26.25">
      <c r="S5803" s="61" ph="1"/>
    </row>
    <row r="5804" spans="19:19" ht="26.25">
      <c r="S5804" s="61" ph="1"/>
    </row>
    <row r="5805" spans="19:19" ht="26.25">
      <c r="S5805" s="61" ph="1"/>
    </row>
    <row r="5806" spans="19:19" ht="26.25">
      <c r="S5806" s="61" ph="1"/>
    </row>
    <row r="5807" spans="19:19" ht="26.25">
      <c r="S5807" s="61" ph="1"/>
    </row>
    <row r="5808" spans="19:19" ht="26.25">
      <c r="S5808" s="61" ph="1"/>
    </row>
    <row r="5809" spans="19:19" ht="26.25">
      <c r="S5809" s="61" ph="1"/>
    </row>
    <row r="5810" spans="19:19" ht="26.25">
      <c r="S5810" s="61" ph="1"/>
    </row>
    <row r="5811" spans="19:19" ht="26.25">
      <c r="S5811" s="61" ph="1"/>
    </row>
    <row r="5812" spans="19:19" ht="26.25">
      <c r="S5812" s="61" ph="1"/>
    </row>
    <row r="5813" spans="19:19" ht="26.25">
      <c r="S5813" s="61" ph="1"/>
    </row>
    <row r="5814" spans="19:19" ht="26.25">
      <c r="S5814" s="61" ph="1"/>
    </row>
    <row r="5815" spans="19:19" ht="26.25">
      <c r="S5815" s="61" ph="1"/>
    </row>
    <row r="5816" spans="19:19" ht="26.25">
      <c r="S5816" s="61" ph="1"/>
    </row>
    <row r="5817" spans="19:19" ht="26.25">
      <c r="S5817" s="61" ph="1"/>
    </row>
    <row r="5818" spans="19:19" ht="26.25">
      <c r="S5818" s="61" ph="1"/>
    </row>
    <row r="5819" spans="19:19" ht="26.25">
      <c r="S5819" s="61" ph="1"/>
    </row>
    <row r="5820" spans="19:19" ht="26.25">
      <c r="S5820" s="61" ph="1"/>
    </row>
    <row r="5821" spans="19:19" ht="26.25">
      <c r="S5821" s="61" ph="1"/>
    </row>
    <row r="5822" spans="19:19" ht="26.25">
      <c r="S5822" s="61" ph="1"/>
    </row>
    <row r="5823" spans="19:19" ht="26.25">
      <c r="S5823" s="61" ph="1"/>
    </row>
    <row r="5824" spans="19:19" ht="26.25">
      <c r="S5824" s="61" ph="1"/>
    </row>
    <row r="5825" spans="19:19" ht="26.25">
      <c r="S5825" s="61" ph="1"/>
    </row>
    <row r="5826" spans="19:19" ht="26.25">
      <c r="S5826" s="61" ph="1"/>
    </row>
    <row r="5827" spans="19:19" ht="26.25">
      <c r="S5827" s="61" ph="1"/>
    </row>
    <row r="5828" spans="19:19" ht="26.25">
      <c r="S5828" s="61" ph="1"/>
    </row>
    <row r="5829" spans="19:19" ht="26.25">
      <c r="S5829" s="61" ph="1"/>
    </row>
    <row r="5830" spans="19:19" ht="26.25">
      <c r="S5830" s="61" ph="1"/>
    </row>
    <row r="5831" spans="19:19" ht="26.25">
      <c r="S5831" s="61" ph="1"/>
    </row>
    <row r="5832" spans="19:19" ht="26.25">
      <c r="S5832" s="61" ph="1"/>
    </row>
    <row r="5833" spans="19:19" ht="26.25">
      <c r="S5833" s="61" ph="1"/>
    </row>
    <row r="5834" spans="19:19" ht="26.25">
      <c r="S5834" s="61" ph="1"/>
    </row>
    <row r="5835" spans="19:19" ht="26.25">
      <c r="S5835" s="61" ph="1"/>
    </row>
    <row r="5836" spans="19:19" ht="26.25">
      <c r="S5836" s="61" ph="1"/>
    </row>
    <row r="5837" spans="19:19" ht="26.25">
      <c r="S5837" s="61" ph="1"/>
    </row>
    <row r="5838" spans="19:19" ht="26.25">
      <c r="S5838" s="61" ph="1"/>
    </row>
    <row r="5839" spans="19:19" ht="26.25">
      <c r="S5839" s="61" ph="1"/>
    </row>
    <row r="5840" spans="19:19" ht="26.25">
      <c r="S5840" s="61" ph="1"/>
    </row>
    <row r="5841" spans="19:19" ht="26.25">
      <c r="S5841" s="61" ph="1"/>
    </row>
    <row r="5842" spans="19:19" ht="26.25">
      <c r="S5842" s="61" ph="1"/>
    </row>
    <row r="5843" spans="19:19" ht="26.25">
      <c r="S5843" s="61" ph="1"/>
    </row>
    <row r="5844" spans="19:19" ht="26.25">
      <c r="S5844" s="61" ph="1"/>
    </row>
    <row r="5845" spans="19:19" ht="26.25">
      <c r="S5845" s="61" ph="1"/>
    </row>
    <row r="5846" spans="19:19" ht="26.25">
      <c r="S5846" s="61" ph="1"/>
    </row>
    <row r="5847" spans="19:19" ht="26.25">
      <c r="S5847" s="61" ph="1"/>
    </row>
    <row r="5848" spans="19:19" ht="26.25">
      <c r="S5848" s="61" ph="1"/>
    </row>
    <row r="5849" spans="19:19" ht="26.25">
      <c r="S5849" s="61" ph="1"/>
    </row>
    <row r="5850" spans="19:19" ht="26.25">
      <c r="S5850" s="61" ph="1"/>
    </row>
    <row r="5851" spans="19:19" ht="26.25">
      <c r="S5851" s="61" ph="1"/>
    </row>
    <row r="5852" spans="19:19" ht="26.25">
      <c r="S5852" s="61" ph="1"/>
    </row>
    <row r="5853" spans="19:19" ht="26.25">
      <c r="S5853" s="61" ph="1"/>
    </row>
    <row r="5854" spans="19:19" ht="26.25">
      <c r="S5854" s="61" ph="1"/>
    </row>
    <row r="5855" spans="19:19" ht="26.25">
      <c r="S5855" s="61" ph="1"/>
    </row>
    <row r="5856" spans="19:19" ht="26.25">
      <c r="S5856" s="61" ph="1"/>
    </row>
    <row r="5857" spans="19:19" ht="26.25">
      <c r="S5857" s="61" ph="1"/>
    </row>
    <row r="5858" spans="19:19" ht="26.25">
      <c r="S5858" s="61" ph="1"/>
    </row>
    <row r="5859" spans="19:19" ht="26.25">
      <c r="S5859" s="61" ph="1"/>
    </row>
    <row r="5860" spans="19:19" ht="26.25">
      <c r="S5860" s="61" ph="1"/>
    </row>
    <row r="5861" spans="19:19" ht="26.25">
      <c r="S5861" s="61" ph="1"/>
    </row>
    <row r="5862" spans="19:19" ht="26.25">
      <c r="S5862" s="61" ph="1"/>
    </row>
    <row r="5863" spans="19:19" ht="26.25">
      <c r="S5863" s="61" ph="1"/>
    </row>
    <row r="5864" spans="19:19" ht="26.25">
      <c r="S5864" s="61" ph="1"/>
    </row>
    <row r="5865" spans="19:19" ht="26.25">
      <c r="S5865" s="61" ph="1"/>
    </row>
    <row r="5866" spans="19:19" ht="26.25">
      <c r="S5866" s="61" ph="1"/>
    </row>
    <row r="5867" spans="19:19" ht="26.25">
      <c r="S5867" s="61" ph="1"/>
    </row>
    <row r="5868" spans="19:19" ht="26.25">
      <c r="S5868" s="61" ph="1"/>
    </row>
    <row r="5869" spans="19:19" ht="26.25">
      <c r="S5869" s="61" ph="1"/>
    </row>
    <row r="5870" spans="19:19" ht="26.25">
      <c r="S5870" s="61" ph="1"/>
    </row>
    <row r="5871" spans="19:19" ht="26.25">
      <c r="S5871" s="61" ph="1"/>
    </row>
    <row r="5872" spans="19:19" ht="26.25">
      <c r="S5872" s="61" ph="1"/>
    </row>
    <row r="5873" spans="19:19" ht="26.25">
      <c r="S5873" s="61" ph="1"/>
    </row>
    <row r="5874" spans="19:19" ht="26.25">
      <c r="S5874" s="61" ph="1"/>
    </row>
    <row r="5875" spans="19:19" ht="26.25">
      <c r="S5875" s="61" ph="1"/>
    </row>
    <row r="5876" spans="19:19" ht="26.25">
      <c r="S5876" s="61" ph="1"/>
    </row>
    <row r="5877" spans="19:19" ht="26.25">
      <c r="S5877" s="61" ph="1"/>
    </row>
    <row r="5878" spans="19:19" ht="26.25">
      <c r="S5878" s="61" ph="1"/>
    </row>
    <row r="5879" spans="19:19" ht="26.25">
      <c r="S5879" s="61" ph="1"/>
    </row>
    <row r="5880" spans="19:19" ht="26.25">
      <c r="S5880" s="61" ph="1"/>
    </row>
    <row r="5881" spans="19:19" ht="26.25">
      <c r="S5881" s="61" ph="1"/>
    </row>
    <row r="5882" spans="19:19" ht="26.25">
      <c r="S5882" s="61" ph="1"/>
    </row>
    <row r="5883" spans="19:19" ht="26.25">
      <c r="S5883" s="61" ph="1"/>
    </row>
    <row r="5884" spans="19:19" ht="26.25">
      <c r="S5884" s="61" ph="1"/>
    </row>
    <row r="5885" spans="19:19" ht="26.25">
      <c r="S5885" s="61" ph="1"/>
    </row>
    <row r="5886" spans="19:19" ht="26.25">
      <c r="S5886" s="61" ph="1"/>
    </row>
    <row r="5887" spans="19:19" ht="26.25">
      <c r="S5887" s="61" ph="1"/>
    </row>
    <row r="5888" spans="19:19" ht="26.25">
      <c r="S5888" s="61" ph="1"/>
    </row>
    <row r="5889" spans="19:19" ht="26.25">
      <c r="S5889" s="61" ph="1"/>
    </row>
    <row r="5890" spans="19:19" ht="26.25">
      <c r="S5890" s="61" ph="1"/>
    </row>
    <row r="5891" spans="19:19" ht="26.25">
      <c r="S5891" s="61" ph="1"/>
    </row>
    <row r="5892" spans="19:19" ht="26.25">
      <c r="S5892" s="61" ph="1"/>
    </row>
    <row r="5893" spans="19:19" ht="26.25">
      <c r="S5893" s="61" ph="1"/>
    </row>
    <row r="5894" spans="19:19" ht="26.25">
      <c r="S5894" s="61" ph="1"/>
    </row>
    <row r="5895" spans="19:19" ht="26.25">
      <c r="S5895" s="61" ph="1"/>
    </row>
    <row r="5896" spans="19:19" ht="26.25">
      <c r="S5896" s="61" ph="1"/>
    </row>
    <row r="5897" spans="19:19" ht="26.25">
      <c r="S5897" s="61" ph="1"/>
    </row>
    <row r="5898" spans="19:19" ht="26.25">
      <c r="S5898" s="61" ph="1"/>
    </row>
    <row r="5899" spans="19:19" ht="26.25">
      <c r="S5899" s="61" ph="1"/>
    </row>
    <row r="5900" spans="19:19" ht="26.25">
      <c r="S5900" s="61" ph="1"/>
    </row>
    <row r="5901" spans="19:19" ht="26.25">
      <c r="S5901" s="61" ph="1"/>
    </row>
    <row r="5902" spans="19:19" ht="26.25">
      <c r="S5902" s="61" ph="1"/>
    </row>
    <row r="5903" spans="19:19" ht="26.25">
      <c r="S5903" s="61" ph="1"/>
    </row>
    <row r="5904" spans="19:19" ht="26.25">
      <c r="S5904" s="61" ph="1"/>
    </row>
    <row r="5905" spans="19:19" ht="26.25">
      <c r="S5905" s="61" ph="1"/>
    </row>
    <row r="5906" spans="19:19" ht="26.25">
      <c r="S5906" s="61" ph="1"/>
    </row>
    <row r="5907" spans="19:19" ht="26.25">
      <c r="S5907" s="61" ph="1"/>
    </row>
    <row r="5908" spans="19:19" ht="26.25">
      <c r="S5908" s="61" ph="1"/>
    </row>
    <row r="5909" spans="19:19" ht="26.25">
      <c r="S5909" s="61" ph="1"/>
    </row>
    <row r="5910" spans="19:19" ht="26.25">
      <c r="S5910" s="61" ph="1"/>
    </row>
    <row r="5911" spans="19:19" ht="26.25">
      <c r="S5911" s="61" ph="1"/>
    </row>
    <row r="5912" spans="19:19" ht="26.25">
      <c r="S5912" s="61" ph="1"/>
    </row>
    <row r="5913" spans="19:19" ht="26.25">
      <c r="S5913" s="61" ph="1"/>
    </row>
    <row r="5914" spans="19:19" ht="26.25">
      <c r="S5914" s="61" ph="1"/>
    </row>
    <row r="5915" spans="19:19" ht="26.25">
      <c r="S5915" s="61" ph="1"/>
    </row>
    <row r="5916" spans="19:19" ht="26.25">
      <c r="S5916" s="61" ph="1"/>
    </row>
    <row r="5917" spans="19:19" ht="26.25">
      <c r="S5917" s="61" ph="1"/>
    </row>
    <row r="5918" spans="19:19" ht="26.25">
      <c r="S5918" s="61" ph="1"/>
    </row>
    <row r="5919" spans="19:19" ht="26.25">
      <c r="S5919" s="61" ph="1"/>
    </row>
    <row r="5920" spans="19:19" ht="26.25">
      <c r="S5920" s="61" ph="1"/>
    </row>
    <row r="5921" spans="19:19" ht="26.25">
      <c r="S5921" s="61" ph="1"/>
    </row>
    <row r="5922" spans="19:19" ht="26.25">
      <c r="S5922" s="61" ph="1"/>
    </row>
    <row r="5923" spans="19:19" ht="26.25">
      <c r="S5923" s="61" ph="1"/>
    </row>
    <row r="5924" spans="19:19" ht="26.25">
      <c r="S5924" s="61" ph="1"/>
    </row>
    <row r="5925" spans="19:19" ht="26.25">
      <c r="S5925" s="61" ph="1"/>
    </row>
    <row r="5926" spans="19:19" ht="26.25">
      <c r="S5926" s="61" ph="1"/>
    </row>
    <row r="5927" spans="19:19" ht="26.25">
      <c r="S5927" s="61" ph="1"/>
    </row>
    <row r="5928" spans="19:19" ht="26.25">
      <c r="S5928" s="61" ph="1"/>
    </row>
    <row r="5929" spans="19:19" ht="26.25">
      <c r="S5929" s="61" ph="1"/>
    </row>
    <row r="5930" spans="19:19" ht="26.25">
      <c r="S5930" s="61" ph="1"/>
    </row>
    <row r="5931" spans="19:19" ht="26.25">
      <c r="S5931" s="61" ph="1"/>
    </row>
    <row r="5932" spans="19:19" ht="26.25">
      <c r="S5932" s="61" ph="1"/>
    </row>
    <row r="5933" spans="19:19" ht="26.25">
      <c r="S5933" s="61" ph="1"/>
    </row>
    <row r="5934" spans="19:19" ht="26.25">
      <c r="S5934" s="61" ph="1"/>
    </row>
    <row r="5935" spans="19:19" ht="26.25">
      <c r="S5935" s="61" ph="1"/>
    </row>
    <row r="5936" spans="19:19" ht="26.25">
      <c r="S5936" s="61" ph="1"/>
    </row>
    <row r="5937" spans="19:19" ht="26.25">
      <c r="S5937" s="61" ph="1"/>
    </row>
    <row r="5938" spans="19:19" ht="26.25">
      <c r="S5938" s="61" ph="1"/>
    </row>
    <row r="5939" spans="19:19" ht="26.25">
      <c r="S5939" s="61" ph="1"/>
    </row>
    <row r="5940" spans="19:19" ht="26.25">
      <c r="S5940" s="61" ph="1"/>
    </row>
    <row r="5941" spans="19:19" ht="26.25">
      <c r="S5941" s="61" ph="1"/>
    </row>
    <row r="5942" spans="19:19" ht="26.25">
      <c r="S5942" s="61" ph="1"/>
    </row>
    <row r="5943" spans="19:19" ht="26.25">
      <c r="S5943" s="61" ph="1"/>
    </row>
    <row r="5944" spans="19:19" ht="26.25">
      <c r="S5944" s="61" ph="1"/>
    </row>
    <row r="5945" spans="19:19" ht="26.25">
      <c r="S5945" s="61" ph="1"/>
    </row>
    <row r="5946" spans="19:19" ht="26.25">
      <c r="S5946" s="61" ph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工作表6"/>
  <dimension ref="A1:AL5447"/>
  <sheetViews>
    <sheetView workbookViewId="0">
      <selection activeCell="AB40" sqref="AB40"/>
    </sheetView>
  </sheetViews>
  <sheetFormatPr defaultRowHeight="16.5"/>
  <cols>
    <col min="1" max="1" width="5.7109375" style="130" customWidth="1"/>
    <col min="2" max="5" width="5.7109375" style="92" customWidth="1"/>
    <col min="6" max="6" width="8.7109375" style="63" customWidth="1"/>
    <col min="7" max="7" width="7.7109375" style="19" customWidth="1"/>
    <col min="8" max="8" width="5.7109375" style="12" customWidth="1"/>
    <col min="9" max="9" width="8.7109375" style="9" customWidth="1"/>
    <col min="10" max="10" width="6.7109375" style="31" customWidth="1"/>
    <col min="11" max="11" width="6.7109375" style="320" customWidth="1"/>
    <col min="12" max="12" width="6.7109375" style="73" customWidth="1"/>
    <col min="13" max="13" width="6.7109375" style="318" customWidth="1"/>
    <col min="14" max="14" width="7.7109375" style="320" customWidth="1"/>
    <col min="15" max="15" width="5.7109375" style="26" customWidth="1"/>
    <col min="16" max="16" width="6" style="380" customWidth="1"/>
    <col min="17" max="17" width="2.7109375" style="302" customWidth="1"/>
    <col min="18" max="18" width="7.42578125" style="297" customWidth="1"/>
    <col min="19" max="19" width="7.7109375" style="61" customWidth="1"/>
    <col min="20" max="20" width="6.7109375" style="354" customWidth="1"/>
    <col min="21" max="21" width="7.7109375" style="228" customWidth="1"/>
    <col min="22" max="22" width="9.7109375" style="265" customWidth="1"/>
    <col min="23" max="23" width="9.7109375" style="69" customWidth="1"/>
    <col min="24" max="24" width="9.7109375" style="58" customWidth="1"/>
    <col min="25" max="25" width="8.7109375" style="11" customWidth="1"/>
    <col min="26" max="26" width="6.7109375" style="101" customWidth="1"/>
    <col min="27" max="27" width="3.7109375" style="124" customWidth="1"/>
    <col min="28" max="28" width="3.7109375" style="251" customWidth="1"/>
    <col min="29" max="29" width="4.7109375" style="251" customWidth="1"/>
    <col min="30" max="30" width="8.7109375" style="9" customWidth="1"/>
    <col min="31" max="31" width="11.7109375" style="84" customWidth="1"/>
    <col min="32" max="32" width="11.7109375" style="83" customWidth="1"/>
    <col min="33" max="33" width="3.7109375" style="78" customWidth="1"/>
    <col min="34" max="34" width="8.7109375" style="264" customWidth="1"/>
    <col min="35" max="35" width="7.7109375" style="240" customWidth="1"/>
    <col min="36" max="36" width="7.7109375" style="264" customWidth="1"/>
    <col min="37" max="37" width="7.7109375" style="22" customWidth="1"/>
    <col min="38" max="38" width="2.7109375" style="302" customWidth="1"/>
  </cols>
  <sheetData>
    <row r="1" spans="1:38">
      <c r="A1" s="130" t="s">
        <v>1732</v>
      </c>
      <c r="B1" s="91" t="s">
        <v>1588</v>
      </c>
      <c r="C1" s="91" t="s">
        <v>1589</v>
      </c>
      <c r="D1" s="91" t="s">
        <v>1590</v>
      </c>
      <c r="E1" s="91" t="s">
        <v>1591</v>
      </c>
      <c r="F1" s="8" t="s">
        <v>1066</v>
      </c>
      <c r="G1" s="26" t="s">
        <v>3691</v>
      </c>
      <c r="H1" s="55" t="s">
        <v>322</v>
      </c>
      <c r="I1" s="50" t="s">
        <v>8610</v>
      </c>
      <c r="J1" s="317" t="s">
        <v>1467</v>
      </c>
      <c r="K1" s="317" t="s">
        <v>1157</v>
      </c>
      <c r="L1" s="317" t="s">
        <v>284</v>
      </c>
      <c r="M1" s="317" t="s">
        <v>1059</v>
      </c>
      <c r="N1" s="317" t="s">
        <v>5048</v>
      </c>
      <c r="O1" s="26" t="s">
        <v>5107</v>
      </c>
      <c r="P1" s="379" t="s">
        <v>5059</v>
      </c>
      <c r="Q1" s="303" t="s">
        <v>5087</v>
      </c>
      <c r="R1" s="391" t="s">
        <v>5059</v>
      </c>
      <c r="S1" s="10" t="s">
        <v>66</v>
      </c>
      <c r="T1" s="351" t="s">
        <v>5076</v>
      </c>
      <c r="U1" s="68" t="s">
        <v>3844</v>
      </c>
      <c r="V1" s="28" t="s">
        <v>3860</v>
      </c>
      <c r="W1" s="17" t="s">
        <v>1405</v>
      </c>
      <c r="X1" s="14" t="s">
        <v>5</v>
      </c>
      <c r="Y1" s="21" t="s">
        <v>3</v>
      </c>
      <c r="Z1" s="51" t="s">
        <v>6627</v>
      </c>
      <c r="AA1" s="406" t="s">
        <v>8647</v>
      </c>
      <c r="AB1" s="407" t="s">
        <v>8648</v>
      </c>
      <c r="AC1" s="408" t="s">
        <v>8649</v>
      </c>
      <c r="AD1" s="50" t="s">
        <v>8610</v>
      </c>
      <c r="AE1" s="71" t="s">
        <v>1406</v>
      </c>
      <c r="AF1" s="72" t="s">
        <v>1163</v>
      </c>
      <c r="AG1" s="32" t="s">
        <v>1164</v>
      </c>
      <c r="AH1" s="25" t="s">
        <v>8650</v>
      </c>
      <c r="AI1" s="8" t="s">
        <v>3852</v>
      </c>
      <c r="AJ1" s="50" t="s">
        <v>3586</v>
      </c>
      <c r="AK1" s="22" t="s">
        <v>5038</v>
      </c>
    </row>
    <row r="2" spans="1:38" s="264" customFormat="1">
      <c r="A2" s="130" t="s">
        <v>1692</v>
      </c>
      <c r="B2" s="79">
        <v>15</v>
      </c>
      <c r="C2" s="79">
        <v>14</v>
      </c>
      <c r="D2" s="79">
        <v>17</v>
      </c>
      <c r="E2" s="79">
        <v>33</v>
      </c>
      <c r="F2" s="57">
        <v>40.950000000000003</v>
      </c>
      <c r="G2" s="79">
        <v>2330</v>
      </c>
      <c r="H2" s="17" t="s">
        <v>3254</v>
      </c>
      <c r="I2" s="22" t="s">
        <v>8</v>
      </c>
      <c r="J2" s="326">
        <v>87.19</v>
      </c>
      <c r="K2" s="323">
        <v>74.98</v>
      </c>
      <c r="L2" s="73">
        <v>0.56999999999999995</v>
      </c>
      <c r="M2" s="323">
        <v>6.71</v>
      </c>
      <c r="N2" s="73">
        <f t="shared" ref="N2:N9" si="0">J2+K2+L2+M2</f>
        <v>169.45000000000002</v>
      </c>
      <c r="O2" s="81">
        <f>IFERROR(VLOOKUP($G2,'321買'!A:E,3,0),"'沒有資料'")</f>
        <v>0</v>
      </c>
      <c r="P2" s="380">
        <f>IFERROR(VLOOKUP($G2,'321買'!$A:$G,7,0),"'沒有資料'")</f>
        <v>911</v>
      </c>
      <c r="Q2" s="245" t="s">
        <v>3816</v>
      </c>
      <c r="R2" s="297">
        <f>IFERROR(RANK(VLOOKUP($G2,連買!$A:$D,4,0),連買!$D:$D,0),"'沒有資料'")</f>
        <v>24</v>
      </c>
      <c r="S2" s="6">
        <v>2.75</v>
      </c>
      <c r="T2" s="353">
        <f t="shared" ref="T2:T41" si="1">S2/V2</f>
        <v>4.799301919720768E-3</v>
      </c>
      <c r="U2" s="57">
        <v>23.01</v>
      </c>
      <c r="V2" s="13">
        <f>RTD("money.excel",,"2330","Price")</f>
        <v>573</v>
      </c>
      <c r="W2" s="65">
        <v>567</v>
      </c>
      <c r="X2" s="15">
        <f t="shared" ref="X2:X39" si="2">V2-W2</f>
        <v>6</v>
      </c>
      <c r="Y2" s="3">
        <f t="shared" ref="Y2:Y32" si="3">X2/W2</f>
        <v>1.0582010582010581E-2</v>
      </c>
      <c r="Z2" s="413">
        <v>-17.59</v>
      </c>
      <c r="AA2" s="161">
        <v>0</v>
      </c>
      <c r="AB2" s="409">
        <v>1</v>
      </c>
      <c r="AC2" s="259">
        <f t="shared" ref="AC2:AC41" si="4">AA2-AB2</f>
        <v>-1</v>
      </c>
      <c r="AD2" s="22" t="s">
        <v>8</v>
      </c>
      <c r="AE2" s="84"/>
      <c r="AF2" s="83"/>
      <c r="AG2" s="33">
        <f t="shared" ref="AG2:AG9" si="5">AF2-AE2</f>
        <v>0</v>
      </c>
      <c r="AH2" s="43" t="s">
        <v>2741</v>
      </c>
      <c r="AI2" s="63">
        <f t="shared" ref="AI2:AI41" si="6">AJ2/(A2*10000)</f>
        <v>7.3339760894716548E-4</v>
      </c>
      <c r="AJ2" s="307">
        <f>RTD("money.excel",,$G2,"PredictVolume")</f>
        <v>19017</v>
      </c>
      <c r="AK2" s="339">
        <v>0.66</v>
      </c>
      <c r="AL2" s="302"/>
    </row>
    <row r="3" spans="1:38" s="264" customFormat="1">
      <c r="A3" s="146" t="s">
        <v>1690</v>
      </c>
      <c r="B3" s="79">
        <v>34</v>
      </c>
      <c r="C3" s="79">
        <v>34</v>
      </c>
      <c r="D3" s="79">
        <v>11</v>
      </c>
      <c r="E3" s="79">
        <v>15</v>
      </c>
      <c r="F3" s="6">
        <v>2.4900000000000002</v>
      </c>
      <c r="G3" s="79">
        <v>2317</v>
      </c>
      <c r="H3" s="17" t="s">
        <v>316</v>
      </c>
      <c r="I3" s="22" t="s">
        <v>4</v>
      </c>
      <c r="J3" s="326">
        <v>69.91</v>
      </c>
      <c r="K3" s="323">
        <v>46.31</v>
      </c>
      <c r="L3" s="323">
        <v>1.47</v>
      </c>
      <c r="M3" s="73">
        <v>12.64</v>
      </c>
      <c r="N3" s="73">
        <f t="shared" si="0"/>
        <v>130.32999999999998</v>
      </c>
      <c r="O3" s="81">
        <f>IFERROR(VLOOKUP($G3,'321買'!A:E,3,0),"'沒有資料'")</f>
        <v>0</v>
      </c>
      <c r="P3" s="380">
        <f>IFERROR(VLOOKUP($G3,'321買'!$A:$G,7,0),"'沒有資料'")</f>
        <v>911</v>
      </c>
      <c r="Q3" s="245" t="s">
        <v>3816</v>
      </c>
      <c r="R3" s="297">
        <f>IFERROR(RANK(VLOOKUP($G3,連買!$A:$D,4,0),連買!$D:$D,0),"'沒有資料'")</f>
        <v>173</v>
      </c>
      <c r="S3" s="6">
        <v>5.2</v>
      </c>
      <c r="T3" s="353">
        <f t="shared" si="1"/>
        <v>0.05</v>
      </c>
      <c r="U3" s="57">
        <v>10.050000000000001</v>
      </c>
      <c r="V3" s="13">
        <f>RTD("money.excel",,"2317","Price")</f>
        <v>104</v>
      </c>
      <c r="W3" s="65">
        <v>103</v>
      </c>
      <c r="X3" s="15">
        <f t="shared" si="2"/>
        <v>1</v>
      </c>
      <c r="Y3" s="3">
        <f t="shared" si="3"/>
        <v>9.7087378640776691E-3</v>
      </c>
      <c r="Z3" s="413">
        <v>-14.17</v>
      </c>
      <c r="AA3" s="161">
        <v>1</v>
      </c>
      <c r="AB3" s="409">
        <v>1</v>
      </c>
      <c r="AC3" s="259">
        <f t="shared" si="4"/>
        <v>0</v>
      </c>
      <c r="AD3" s="22" t="s">
        <v>4</v>
      </c>
      <c r="AE3" s="84"/>
      <c r="AF3" s="83"/>
      <c r="AG3" s="33">
        <f t="shared" si="5"/>
        <v>0</v>
      </c>
      <c r="AH3" s="43" t="s">
        <v>2747</v>
      </c>
      <c r="AI3" s="63">
        <f t="shared" si="6"/>
        <v>6.4076479076479072E-4</v>
      </c>
      <c r="AJ3" s="307">
        <f>RTD("money.excel",,$G3,"PredictVolume")</f>
        <v>8881</v>
      </c>
      <c r="AK3" s="339">
        <v>2.3199999999999998</v>
      </c>
      <c r="AL3" s="302"/>
    </row>
    <row r="4" spans="1:38" s="264" customFormat="1">
      <c r="A4" s="130" t="s">
        <v>1965</v>
      </c>
      <c r="B4" s="79">
        <v>169</v>
      </c>
      <c r="C4" s="79">
        <v>149</v>
      </c>
      <c r="D4" s="80">
        <v>-7</v>
      </c>
      <c r="E4" s="79">
        <v>22</v>
      </c>
      <c r="F4" s="57">
        <v>21.9</v>
      </c>
      <c r="G4" s="79">
        <v>2454</v>
      </c>
      <c r="H4" s="8" t="s">
        <v>3254</v>
      </c>
      <c r="I4" s="22" t="s">
        <v>1939</v>
      </c>
      <c r="J4" s="323">
        <v>67.459999999999994</v>
      </c>
      <c r="K4" s="323">
        <v>68.83</v>
      </c>
      <c r="L4" s="73">
        <v>2.09</v>
      </c>
      <c r="M4" s="323">
        <v>2.87</v>
      </c>
      <c r="N4" s="73">
        <f t="shared" si="0"/>
        <v>141.25</v>
      </c>
      <c r="O4" s="81">
        <f>IFERROR(VLOOKUP($G4,'321買'!A:E,3,0),"'沒有資料'")</f>
        <v>0</v>
      </c>
      <c r="P4" s="380">
        <f>IFERROR(VLOOKUP($G4,'321買'!$A:$G,7,0),"'沒有資料'")</f>
        <v>911</v>
      </c>
      <c r="Q4" s="245" t="s">
        <v>3818</v>
      </c>
      <c r="R4" s="297">
        <f>IFERROR(RANK(VLOOKUP($G4,連買!$A:$D,4,0),連買!$D:$D,0),"'沒有資料'")</f>
        <v>12</v>
      </c>
      <c r="S4" s="45">
        <v>73</v>
      </c>
      <c r="T4" s="353">
        <f t="shared" si="1"/>
        <v>8.4785133565621368E-2</v>
      </c>
      <c r="U4" s="57">
        <v>70.599999999999994</v>
      </c>
      <c r="V4" s="155">
        <f>RTD("money.excel",,"2454","Price")</f>
        <v>861</v>
      </c>
      <c r="W4" s="66">
        <v>840</v>
      </c>
      <c r="X4" s="141">
        <f t="shared" si="2"/>
        <v>21</v>
      </c>
      <c r="Y4" s="3">
        <f t="shared" si="3"/>
        <v>2.5000000000000001E-2</v>
      </c>
      <c r="Z4" s="413">
        <v>-30.86</v>
      </c>
      <c r="AA4" s="161">
        <v>0</v>
      </c>
      <c r="AB4" s="409">
        <v>1</v>
      </c>
      <c r="AC4" s="259">
        <f t="shared" si="4"/>
        <v>-1</v>
      </c>
      <c r="AD4" s="22" t="s">
        <v>1939</v>
      </c>
      <c r="AE4" s="84"/>
      <c r="AF4" s="83"/>
      <c r="AG4" s="33">
        <f t="shared" si="5"/>
        <v>0</v>
      </c>
      <c r="AH4" s="120" t="s">
        <v>1056</v>
      </c>
      <c r="AI4" s="63">
        <f t="shared" si="6"/>
        <v>3.9088050314465411E-3</v>
      </c>
      <c r="AJ4" s="307">
        <f>RTD("money.excel",,$G4,"PredictVolume")</f>
        <v>6215</v>
      </c>
      <c r="AK4" s="339">
        <v>1.2</v>
      </c>
      <c r="AL4" s="302"/>
    </row>
    <row r="5" spans="1:38" s="264" customFormat="1">
      <c r="A5" s="130" t="s">
        <v>8611</v>
      </c>
      <c r="B5" s="79">
        <v>102</v>
      </c>
      <c r="C5" s="79">
        <v>137</v>
      </c>
      <c r="D5" s="79">
        <v>6</v>
      </c>
      <c r="E5" s="79">
        <v>33</v>
      </c>
      <c r="F5" s="57">
        <v>24.26</v>
      </c>
      <c r="G5" s="79">
        <v>2303</v>
      </c>
      <c r="H5" s="17" t="s">
        <v>3254</v>
      </c>
      <c r="I5" s="22" t="s">
        <v>1929</v>
      </c>
      <c r="J5" s="323">
        <v>58.67</v>
      </c>
      <c r="K5" s="323">
        <v>34.93</v>
      </c>
      <c r="L5" s="73">
        <v>7.86</v>
      </c>
      <c r="M5" s="323">
        <v>6.83</v>
      </c>
      <c r="N5" s="318">
        <f t="shared" si="0"/>
        <v>108.28999999999999</v>
      </c>
      <c r="O5" s="81">
        <f>IFERROR(VLOOKUP($G5,'321買'!A:E,3,0),"'沒有資料'")</f>
        <v>6</v>
      </c>
      <c r="P5" s="380">
        <f>IFERROR(VLOOKUP($G5,'321買'!$A:$G,7,0),"'沒有資料'")</f>
        <v>499</v>
      </c>
      <c r="Q5" s="245" t="s">
        <v>3816</v>
      </c>
      <c r="R5" s="297">
        <f>IFERROR(RANK(VLOOKUP($G5,連買!$A:$D,4,0),連買!$D:$D,0),"'沒有資料'")</f>
        <v>1565</v>
      </c>
      <c r="S5" s="45">
        <v>3</v>
      </c>
      <c r="T5" s="353">
        <f t="shared" si="1"/>
        <v>6.2176165803108807E-2</v>
      </c>
      <c r="U5" s="57">
        <v>4.57</v>
      </c>
      <c r="V5" s="36">
        <f>RTD("money.excel",,"2303","Price")</f>
        <v>48.25</v>
      </c>
      <c r="W5" s="66">
        <v>50</v>
      </c>
      <c r="X5" s="15">
        <f t="shared" si="2"/>
        <v>-1.75</v>
      </c>
      <c r="Y5" s="3">
        <f t="shared" si="3"/>
        <v>-3.5000000000000003E-2</v>
      </c>
      <c r="Z5" s="413">
        <v>-30.56</v>
      </c>
      <c r="AA5" s="161">
        <v>0</v>
      </c>
      <c r="AB5" s="409">
        <v>2</v>
      </c>
      <c r="AC5" s="259">
        <f t="shared" si="4"/>
        <v>-2</v>
      </c>
      <c r="AD5" s="22" t="s">
        <v>1929</v>
      </c>
      <c r="AE5" s="84"/>
      <c r="AF5" s="83"/>
      <c r="AG5" s="33">
        <f t="shared" si="5"/>
        <v>0</v>
      </c>
      <c r="AH5" s="120" t="s">
        <v>2742</v>
      </c>
      <c r="AI5" s="63">
        <f t="shared" si="6"/>
        <v>5.0839743589743587E-3</v>
      </c>
      <c r="AJ5" s="360">
        <f>RTD("money.excel",,$G5,"PredictVolume")</f>
        <v>63448</v>
      </c>
      <c r="AK5" s="339">
        <v>5.56</v>
      </c>
      <c r="AL5" s="302"/>
    </row>
    <row r="6" spans="1:38" s="264" customFormat="1">
      <c r="A6" s="130" t="s">
        <v>4805</v>
      </c>
      <c r="B6" s="79">
        <v>4</v>
      </c>
      <c r="C6" s="80">
        <v>-1</v>
      </c>
      <c r="D6" s="80">
        <v>-2</v>
      </c>
      <c r="E6" s="79">
        <v>25</v>
      </c>
      <c r="F6" s="57">
        <v>9.9700000000000006</v>
      </c>
      <c r="G6" s="79">
        <v>2308</v>
      </c>
      <c r="H6" s="8" t="s">
        <v>310</v>
      </c>
      <c r="I6" s="22" t="s">
        <v>4806</v>
      </c>
      <c r="J6" s="323">
        <v>81.099999999999994</v>
      </c>
      <c r="K6" s="73">
        <v>68.430000000000007</v>
      </c>
      <c r="L6" s="73">
        <v>0.4</v>
      </c>
      <c r="M6" s="323">
        <v>7.33</v>
      </c>
      <c r="N6" s="73">
        <f t="shared" si="0"/>
        <v>157.26000000000002</v>
      </c>
      <c r="O6" s="81">
        <f>IFERROR(VLOOKUP($G6,'321買'!A:E,3,0),"'沒有資料'")</f>
        <v>0</v>
      </c>
      <c r="P6" s="380">
        <f>IFERROR(VLOOKUP($G6,'321買'!$A:$G,7,0),"'沒有資料'")</f>
        <v>911</v>
      </c>
      <c r="Q6" s="245" t="s">
        <v>3817</v>
      </c>
      <c r="R6" s="297">
        <f>IFERROR(RANK(VLOOKUP($G6,連買!$A:$D,4,0),連買!$D:$D,0),"'沒有資料'")</f>
        <v>56</v>
      </c>
      <c r="S6" s="45">
        <v>5.5</v>
      </c>
      <c r="T6" s="353">
        <f t="shared" si="1"/>
        <v>2.1739130434782608E-2</v>
      </c>
      <c r="U6" s="57">
        <v>10.32</v>
      </c>
      <c r="V6" s="13">
        <f>RTD("money.excel",,"2308","Price")</f>
        <v>253</v>
      </c>
      <c r="W6" s="66">
        <v>261</v>
      </c>
      <c r="X6" s="15">
        <f t="shared" si="2"/>
        <v>-8</v>
      </c>
      <c r="Y6" s="3">
        <f t="shared" si="3"/>
        <v>-3.0651340996168581E-2</v>
      </c>
      <c r="Z6" s="413">
        <v>-22.09</v>
      </c>
      <c r="AA6" s="161">
        <v>1</v>
      </c>
      <c r="AB6" s="409">
        <v>0</v>
      </c>
      <c r="AC6" s="259">
        <f t="shared" si="4"/>
        <v>1</v>
      </c>
      <c r="AD6" s="22" t="s">
        <v>4806</v>
      </c>
      <c r="AE6" s="84"/>
      <c r="AF6" s="83"/>
      <c r="AG6" s="33">
        <f t="shared" si="5"/>
        <v>0</v>
      </c>
      <c r="AH6" s="122" t="s">
        <v>4807</v>
      </c>
      <c r="AI6" s="63">
        <f t="shared" si="6"/>
        <v>1.035907335907336E-3</v>
      </c>
      <c r="AJ6" s="307">
        <f>RTD("money.excel",,$G6,"PredictVolume")</f>
        <v>2683</v>
      </c>
      <c r="AK6" s="339">
        <v>1.52</v>
      </c>
      <c r="AL6" s="302"/>
    </row>
    <row r="7" spans="1:38" s="264" customFormat="1">
      <c r="A7" s="130" t="s">
        <v>8614</v>
      </c>
      <c r="B7" s="79">
        <v>125</v>
      </c>
      <c r="C7" s="79">
        <v>78</v>
      </c>
      <c r="D7" s="80">
        <v>-9</v>
      </c>
      <c r="E7" s="79">
        <v>19</v>
      </c>
      <c r="F7" s="57">
        <v>10.9</v>
      </c>
      <c r="G7" s="79">
        <v>3711</v>
      </c>
      <c r="H7" s="8" t="s">
        <v>3254</v>
      </c>
      <c r="I7" s="22" t="s">
        <v>12</v>
      </c>
      <c r="J7" s="323">
        <v>83.22</v>
      </c>
      <c r="K7" s="323">
        <v>77.84</v>
      </c>
      <c r="L7" s="323">
        <v>0.89</v>
      </c>
      <c r="M7" s="323">
        <v>16.2</v>
      </c>
      <c r="N7" s="73">
        <f t="shared" si="0"/>
        <v>178.14999999999998</v>
      </c>
      <c r="O7" s="81">
        <f>IFERROR(VLOOKUP($G7,'321買'!A:E,3,0),"'沒有資料'")</f>
        <v>0</v>
      </c>
      <c r="P7" s="380">
        <f>IFERROR(VLOOKUP($G7,'321買'!$A:$G,7,0),"'沒有資料'")</f>
        <v>911</v>
      </c>
      <c r="Q7" s="245" t="s">
        <v>3817</v>
      </c>
      <c r="R7" s="297">
        <f>IFERROR(RANK(VLOOKUP($G7,連買!$A:$D,4,0),連買!$D:$D,0),"'沒有資料'")</f>
        <v>124</v>
      </c>
      <c r="S7" s="45">
        <v>7</v>
      </c>
      <c r="T7" s="353">
        <f t="shared" si="1"/>
        <v>7.0351758793969849E-2</v>
      </c>
      <c r="U7" s="57">
        <v>14.83</v>
      </c>
      <c r="V7" s="13">
        <f>RTD("money.excel",,"3711","Price")</f>
        <v>99.5</v>
      </c>
      <c r="W7" s="66">
        <v>100.5</v>
      </c>
      <c r="X7" s="15">
        <f t="shared" si="2"/>
        <v>-1</v>
      </c>
      <c r="Y7" s="3">
        <f t="shared" si="3"/>
        <v>-9.9502487562189053E-3</v>
      </c>
      <c r="Z7" s="413">
        <v>-24.72</v>
      </c>
      <c r="AA7" s="161">
        <v>0</v>
      </c>
      <c r="AB7" s="409">
        <v>0</v>
      </c>
      <c r="AC7" s="259">
        <f t="shared" si="4"/>
        <v>0</v>
      </c>
      <c r="AD7" s="22" t="s">
        <v>12</v>
      </c>
      <c r="AE7" s="84"/>
      <c r="AF7" s="83"/>
      <c r="AG7" s="33">
        <f t="shared" si="5"/>
        <v>0</v>
      </c>
      <c r="AH7" s="120" t="s">
        <v>2573</v>
      </c>
      <c r="AI7" s="63">
        <f t="shared" si="6"/>
        <v>1.7216091954022988E-3</v>
      </c>
      <c r="AJ7" s="307">
        <f>RTD("money.excel",,$G7,"PredictVolume")</f>
        <v>7489</v>
      </c>
      <c r="AK7" s="339">
        <v>2.0699999999999998</v>
      </c>
      <c r="AL7" s="302"/>
    </row>
    <row r="8" spans="1:38" s="264" customFormat="1">
      <c r="A8" s="146" t="s">
        <v>1693</v>
      </c>
      <c r="B8" s="79">
        <v>35</v>
      </c>
      <c r="C8" s="79">
        <v>14</v>
      </c>
      <c r="D8" s="79">
        <v>21</v>
      </c>
      <c r="E8" s="79">
        <v>16</v>
      </c>
      <c r="F8" s="6">
        <v>3.3</v>
      </c>
      <c r="G8" s="79">
        <v>2382</v>
      </c>
      <c r="H8" s="204" t="s">
        <v>1152</v>
      </c>
      <c r="I8" s="22" t="s">
        <v>208</v>
      </c>
      <c r="J8" s="323">
        <v>86.96</v>
      </c>
      <c r="K8" s="323">
        <v>32.58</v>
      </c>
      <c r="L8" s="73">
        <v>0.3</v>
      </c>
      <c r="M8" s="323">
        <v>13.24</v>
      </c>
      <c r="N8" s="73">
        <f t="shared" si="0"/>
        <v>133.07999999999998</v>
      </c>
      <c r="O8" s="81">
        <f>IFERROR(VLOOKUP($G8,'321買'!A:E,3,0),"'沒有資料'")</f>
        <v>0</v>
      </c>
      <c r="P8" s="380">
        <f>IFERROR(VLOOKUP($G8,'321買'!$A:$G,7,0),"'沒有資料'")</f>
        <v>911</v>
      </c>
      <c r="Q8" s="245" t="s">
        <v>3816</v>
      </c>
      <c r="R8" s="297">
        <f>IFERROR(RANK(VLOOKUP($G8,連買!$A:$D,4,0),連買!$D:$D,0),"'沒有資料'")</f>
        <v>85</v>
      </c>
      <c r="S8" s="45">
        <v>6.6</v>
      </c>
      <c r="T8" s="353">
        <f t="shared" si="1"/>
        <v>7.7102803738317752E-2</v>
      </c>
      <c r="U8" s="57">
        <v>8.73</v>
      </c>
      <c r="V8" s="36">
        <f>RTD("money.excel",,"2382","Price")</f>
        <v>85.6</v>
      </c>
      <c r="W8" s="66">
        <v>85.9</v>
      </c>
      <c r="X8" s="15">
        <f t="shared" si="2"/>
        <v>-0.30000000000001137</v>
      </c>
      <c r="Y8" s="3">
        <f t="shared" si="3"/>
        <v>-3.492433061699783E-3</v>
      </c>
      <c r="Z8" s="413">
        <v>-10.52</v>
      </c>
      <c r="AA8" s="161">
        <v>2</v>
      </c>
      <c r="AB8" s="409">
        <v>0</v>
      </c>
      <c r="AC8" s="259">
        <f t="shared" si="4"/>
        <v>2</v>
      </c>
      <c r="AD8" s="22" t="s">
        <v>208</v>
      </c>
      <c r="AE8" s="84"/>
      <c r="AF8" s="83"/>
      <c r="AG8" s="33">
        <f t="shared" si="5"/>
        <v>0</v>
      </c>
      <c r="AH8" s="120" t="s">
        <v>2901</v>
      </c>
      <c r="AI8" s="63">
        <f t="shared" si="6"/>
        <v>2.1336787564766838E-3</v>
      </c>
      <c r="AJ8" s="307">
        <f>RTD("money.excel",,$G8,"PredictVolume")</f>
        <v>8236</v>
      </c>
      <c r="AK8" s="339">
        <v>0.98</v>
      </c>
      <c r="AL8" s="302"/>
    </row>
    <row r="9" spans="1:38" s="264" customFormat="1">
      <c r="A9" s="146" t="s">
        <v>1719</v>
      </c>
      <c r="B9" s="79">
        <v>569</v>
      </c>
      <c r="C9" s="93">
        <v>1892</v>
      </c>
      <c r="D9" s="80">
        <v>-18</v>
      </c>
      <c r="E9" s="79">
        <v>26</v>
      </c>
      <c r="F9" s="6">
        <v>8.9</v>
      </c>
      <c r="G9" s="79">
        <v>6505</v>
      </c>
      <c r="H9" s="17" t="s">
        <v>314</v>
      </c>
      <c r="I9" s="22" t="s">
        <v>5007</v>
      </c>
      <c r="J9" s="326">
        <v>96.68</v>
      </c>
      <c r="K9" s="73">
        <v>7.32</v>
      </c>
      <c r="L9" s="323">
        <v>7.0000000000000007E-2</v>
      </c>
      <c r="M9" s="73">
        <v>75.86</v>
      </c>
      <c r="N9" s="73">
        <f t="shared" si="0"/>
        <v>179.93</v>
      </c>
      <c r="O9" s="81">
        <f>IFERROR(VLOOKUP($G9,'321買'!A:E,3,0),"'沒有資料'")</f>
        <v>0</v>
      </c>
      <c r="P9" s="380">
        <f>IFERROR(VLOOKUP($G9,'321買'!$A:$G,7,0),"'沒有資料'")</f>
        <v>911</v>
      </c>
      <c r="Q9" s="245" t="s">
        <v>3817</v>
      </c>
      <c r="R9" s="297">
        <f>IFERROR(RANK(VLOOKUP($G9,連買!$A:$D,4,0),連買!$D:$D,0),"'沒有資料'")</f>
        <v>157</v>
      </c>
      <c r="S9" s="6">
        <v>3.8</v>
      </c>
      <c r="T9" s="353">
        <f t="shared" si="1"/>
        <v>4.0685224839400423E-2</v>
      </c>
      <c r="U9" s="57">
        <v>5.19</v>
      </c>
      <c r="V9" s="36">
        <f>RTD("money.excel",,"6505","Price")</f>
        <v>93.4</v>
      </c>
      <c r="W9" s="65">
        <v>94.4</v>
      </c>
      <c r="X9" s="15">
        <f t="shared" si="2"/>
        <v>-1</v>
      </c>
      <c r="Y9" s="3">
        <f t="shared" si="3"/>
        <v>-1.059322033898305E-2</v>
      </c>
      <c r="Z9" s="413">
        <v>-19.66</v>
      </c>
      <c r="AA9" s="161">
        <v>0</v>
      </c>
      <c r="AB9" s="409">
        <v>1</v>
      </c>
      <c r="AC9" s="259">
        <f t="shared" si="4"/>
        <v>-1</v>
      </c>
      <c r="AD9" s="22" t="s">
        <v>5007</v>
      </c>
      <c r="AE9" s="84"/>
      <c r="AF9" s="83"/>
      <c r="AG9" s="33">
        <f t="shared" si="5"/>
        <v>0</v>
      </c>
      <c r="AH9" s="43" t="s">
        <v>2781</v>
      </c>
      <c r="AI9" s="63">
        <f t="shared" si="6"/>
        <v>1.6039915966386555E-4</v>
      </c>
      <c r="AJ9" s="307">
        <f>RTD("money.excel",,$G9,"PredictVolume")</f>
        <v>1527</v>
      </c>
      <c r="AK9" s="339">
        <v>0.26</v>
      </c>
      <c r="AL9" s="302"/>
    </row>
    <row r="10" spans="1:38" s="264" customFormat="1">
      <c r="A10" s="130" t="s">
        <v>1680</v>
      </c>
      <c r="B10" s="79">
        <v>256</v>
      </c>
      <c r="C10" s="79">
        <v>251</v>
      </c>
      <c r="D10" s="80">
        <v>-13</v>
      </c>
      <c r="E10" s="79">
        <v>25</v>
      </c>
      <c r="F10" s="57">
        <v>21.99</v>
      </c>
      <c r="G10" s="79">
        <v>1301</v>
      </c>
      <c r="H10" s="17" t="s">
        <v>3551</v>
      </c>
      <c r="I10" s="22" t="s">
        <v>67</v>
      </c>
      <c r="J10" s="201">
        <v>83.62</v>
      </c>
      <c r="K10" s="323">
        <v>38.619999999999997</v>
      </c>
      <c r="L10" s="73">
        <v>0.15</v>
      </c>
      <c r="M10" s="73">
        <v>15.98</v>
      </c>
      <c r="N10" s="73">
        <f>J10+K10+L10+M10</f>
        <v>138.37</v>
      </c>
      <c r="O10" s="81">
        <f>IFERROR(VLOOKUP($G10,'321買'!A:E,3,0),"'沒有資料'")</f>
        <v>0</v>
      </c>
      <c r="P10" s="380">
        <f>IFERROR(VLOOKUP($G10,'321買'!$A:$G,7,0),"'沒有資料'")</f>
        <v>911</v>
      </c>
      <c r="Q10" s="245" t="s">
        <v>3816</v>
      </c>
      <c r="R10" s="297">
        <f>IFERROR(RANK(VLOOKUP($G10,連買!$A:$D,4,0),連買!$D:$D,0),"'沒有資料'")</f>
        <v>140</v>
      </c>
      <c r="S10" s="6">
        <v>8.1999999999999993</v>
      </c>
      <c r="T10" s="353">
        <f t="shared" si="1"/>
        <v>7.772511848341232E-2</v>
      </c>
      <c r="U10" s="57">
        <v>11.21</v>
      </c>
      <c r="V10" s="36">
        <f>RTD("money.excel",,$G10,"Price")</f>
        <v>105.5</v>
      </c>
      <c r="W10" s="65">
        <v>106.5</v>
      </c>
      <c r="X10" s="15">
        <f t="shared" si="2"/>
        <v>-1</v>
      </c>
      <c r="Y10" s="3">
        <f t="shared" si="3"/>
        <v>-9.3896713615023476E-3</v>
      </c>
      <c r="Z10" s="413">
        <v>-11.98</v>
      </c>
      <c r="AA10" s="161">
        <v>1</v>
      </c>
      <c r="AB10" s="409">
        <v>0</v>
      </c>
      <c r="AC10" s="259">
        <f t="shared" si="4"/>
        <v>1</v>
      </c>
      <c r="AD10" s="22" t="s">
        <v>67</v>
      </c>
      <c r="AE10" s="84"/>
      <c r="AF10" s="83"/>
      <c r="AG10" s="33">
        <v>0</v>
      </c>
      <c r="AH10" s="43" t="s">
        <v>3801</v>
      </c>
      <c r="AI10" s="63">
        <f t="shared" si="6"/>
        <v>6.3113207547169808E-4</v>
      </c>
      <c r="AJ10" s="307">
        <f>RTD("money.excel",,$G10,"PredictVolume")</f>
        <v>4014</v>
      </c>
      <c r="AK10" s="339">
        <v>0.7</v>
      </c>
    </row>
    <row r="11" spans="1:38" s="264" customFormat="1">
      <c r="A11" s="130" t="s">
        <v>1681</v>
      </c>
      <c r="B11" s="79">
        <v>215</v>
      </c>
      <c r="C11" s="79">
        <v>281</v>
      </c>
      <c r="D11" s="80">
        <v>-15</v>
      </c>
      <c r="E11" s="79">
        <v>14</v>
      </c>
      <c r="F11" s="57">
        <v>19.68</v>
      </c>
      <c r="G11" s="79">
        <v>1303</v>
      </c>
      <c r="H11" s="17" t="s">
        <v>3551</v>
      </c>
      <c r="I11" s="22" t="s">
        <v>1064</v>
      </c>
      <c r="J11" s="201">
        <v>84.13</v>
      </c>
      <c r="K11" s="323">
        <v>34.1</v>
      </c>
      <c r="L11" s="73">
        <v>7.0000000000000007E-2</v>
      </c>
      <c r="M11" s="73">
        <v>18.28</v>
      </c>
      <c r="N11" s="73">
        <f t="shared" ref="N11:N28" si="7">J11+K11+L11+M11</f>
        <v>136.57999999999998</v>
      </c>
      <c r="O11" s="81">
        <f>IFERROR(VLOOKUP($G11,'321買'!A:E,3,0),"'沒有資料'")</f>
        <v>0</v>
      </c>
      <c r="P11" s="380">
        <f>IFERROR(VLOOKUP($G11,'321買'!$A:$G,7,0),"'沒有資料'")</f>
        <v>911</v>
      </c>
      <c r="Q11" s="245" t="s">
        <v>3817</v>
      </c>
      <c r="R11" s="297">
        <f>IFERROR(RANK(VLOOKUP($G11,連買!$A:$D,4,0),連買!$D:$D,0),"'沒有資料'")</f>
        <v>181</v>
      </c>
      <c r="S11" s="6">
        <v>7.5</v>
      </c>
      <c r="T11" s="353">
        <f t="shared" si="1"/>
        <v>8.3612040133779264E-2</v>
      </c>
      <c r="U11" s="57">
        <v>10.25</v>
      </c>
      <c r="V11" s="36">
        <f>RTD("money.excel",,$G11,"Price")</f>
        <v>89.7</v>
      </c>
      <c r="W11" s="65">
        <v>93.4</v>
      </c>
      <c r="X11" s="15">
        <f t="shared" si="2"/>
        <v>-3.7000000000000028</v>
      </c>
      <c r="Y11" s="3">
        <f t="shared" si="3"/>
        <v>-3.9614561027837288E-2</v>
      </c>
      <c r="Z11" s="413">
        <v>-0.64</v>
      </c>
      <c r="AA11" s="161">
        <v>0</v>
      </c>
      <c r="AB11" s="409">
        <v>0</v>
      </c>
      <c r="AC11" s="259">
        <f t="shared" si="4"/>
        <v>0</v>
      </c>
      <c r="AD11" s="22" t="s">
        <v>1064</v>
      </c>
      <c r="AE11" s="84"/>
      <c r="AF11" s="83"/>
      <c r="AG11" s="33">
        <v>0</v>
      </c>
      <c r="AH11" s="43" t="s">
        <v>2782</v>
      </c>
      <c r="AI11" s="63">
        <f t="shared" si="6"/>
        <v>1.467717528373266E-3</v>
      </c>
      <c r="AJ11" s="307">
        <f>RTD("money.excel",,$G11,"PredictVolume")</f>
        <v>11639</v>
      </c>
      <c r="AK11" s="339">
        <v>0.35</v>
      </c>
    </row>
    <row r="12" spans="1:38" s="264" customFormat="1">
      <c r="A12" s="146" t="s">
        <v>1682</v>
      </c>
      <c r="B12" s="79">
        <v>98</v>
      </c>
      <c r="C12" s="79">
        <v>124</v>
      </c>
      <c r="D12" s="80">
        <v>-5</v>
      </c>
      <c r="E12" s="79">
        <v>13</v>
      </c>
      <c r="F12" s="6">
        <v>9.41</v>
      </c>
      <c r="G12" s="79">
        <v>1326</v>
      </c>
      <c r="H12" s="17" t="s">
        <v>3551</v>
      </c>
      <c r="I12" s="22" t="s">
        <v>3888</v>
      </c>
      <c r="J12" s="326">
        <v>85.51</v>
      </c>
      <c r="K12" s="323">
        <v>35.58</v>
      </c>
      <c r="L12" s="73">
        <v>0.1</v>
      </c>
      <c r="M12" s="73">
        <v>6.5</v>
      </c>
      <c r="N12" s="318">
        <f t="shared" si="7"/>
        <v>127.69</v>
      </c>
      <c r="O12" s="81">
        <f>IFERROR(VLOOKUP($G12,'321買'!A:E,3,0),"'沒有資料'")</f>
        <v>0</v>
      </c>
      <c r="P12" s="380">
        <f>IFERROR(VLOOKUP($G12,'321買'!$A:$G,7,0),"'沒有資料'")</f>
        <v>911</v>
      </c>
      <c r="Q12" s="245" t="s">
        <v>3816</v>
      </c>
      <c r="R12" s="297">
        <f>IFERROR(RANK(VLOOKUP($G12,連買!$A:$D,4,0),連買!$D:$D,0),"'沒有資料'")</f>
        <v>1653</v>
      </c>
      <c r="S12" s="6">
        <v>4.8</v>
      </c>
      <c r="T12" s="353">
        <f t="shared" si="1"/>
        <v>6.0225846925972396E-2</v>
      </c>
      <c r="U12" s="57">
        <v>6.56</v>
      </c>
      <c r="V12" s="36">
        <f>RTD("money.excel",,$G12,"Price")</f>
        <v>79.7</v>
      </c>
      <c r="W12" s="65">
        <v>79.3</v>
      </c>
      <c r="X12" s="15">
        <f t="shared" si="2"/>
        <v>0.40000000000000568</v>
      </c>
      <c r="Y12" s="3">
        <f t="shared" si="3"/>
        <v>5.0441361916772473E-3</v>
      </c>
      <c r="Z12" s="413">
        <v>-13.99</v>
      </c>
      <c r="AA12" s="161">
        <v>1</v>
      </c>
      <c r="AB12" s="409">
        <v>0</v>
      </c>
      <c r="AC12" s="259">
        <f t="shared" si="4"/>
        <v>1</v>
      </c>
      <c r="AD12" s="22" t="s">
        <v>3888</v>
      </c>
      <c r="AE12" s="84"/>
      <c r="AF12" s="83"/>
      <c r="AG12" s="33">
        <v>0</v>
      </c>
      <c r="AH12" s="43" t="s">
        <v>3805</v>
      </c>
      <c r="AI12" s="63">
        <f t="shared" si="6"/>
        <v>4.546075085324232E-4</v>
      </c>
      <c r="AJ12" s="307">
        <f>RTD("money.excel",,$G12,"PredictVolume")</f>
        <v>2664</v>
      </c>
      <c r="AK12" s="339">
        <v>0.41</v>
      </c>
    </row>
    <row r="13" spans="1:38" s="264" customFormat="1">
      <c r="A13" s="146" t="s">
        <v>3743</v>
      </c>
      <c r="B13" s="79">
        <v>61</v>
      </c>
      <c r="C13" s="79"/>
      <c r="D13" s="80">
        <v>-31</v>
      </c>
      <c r="E13" s="79">
        <v>3</v>
      </c>
      <c r="F13" s="6"/>
      <c r="G13" s="79">
        <v>2881</v>
      </c>
      <c r="H13" s="17" t="s">
        <v>306</v>
      </c>
      <c r="I13" s="22" t="s">
        <v>68</v>
      </c>
      <c r="J13" s="201">
        <v>81.260000000000005</v>
      </c>
      <c r="K13" s="323">
        <v>21.97</v>
      </c>
      <c r="L13" s="73">
        <v>0.55000000000000004</v>
      </c>
      <c r="M13" s="73">
        <v>28.57</v>
      </c>
      <c r="N13" s="73">
        <f t="shared" si="7"/>
        <v>132.35</v>
      </c>
      <c r="O13" s="81">
        <f>IFERROR(VLOOKUP($G13,'321買'!A:E,3,0),"'沒有資料'")</f>
        <v>0</v>
      </c>
      <c r="P13" s="380">
        <f>IFERROR(VLOOKUP($G13,'321買'!$A:$G,7,0),"'沒有資料'")</f>
        <v>911</v>
      </c>
      <c r="Q13" s="245" t="s">
        <v>3817</v>
      </c>
      <c r="R13" s="297">
        <f>IFERROR(RANK(VLOOKUP($G13,連買!$A:$D,4,0),連買!$D:$D,0),"'沒有資料'")</f>
        <v>364</v>
      </c>
      <c r="S13" s="220"/>
      <c r="T13" s="353">
        <f t="shared" si="1"/>
        <v>0</v>
      </c>
      <c r="U13" s="57">
        <v>13.44</v>
      </c>
      <c r="V13" s="36">
        <f>RTD("money.excel",,"2881","Price")</f>
        <v>75.599999999999994</v>
      </c>
      <c r="W13" s="65">
        <v>76.3</v>
      </c>
      <c r="X13" s="15">
        <f t="shared" si="2"/>
        <v>-0.70000000000000284</v>
      </c>
      <c r="Y13" s="3">
        <f t="shared" si="3"/>
        <v>-9.1743119266055415E-3</v>
      </c>
      <c r="Z13" s="413">
        <v>-10.97</v>
      </c>
      <c r="AA13" s="161">
        <v>2</v>
      </c>
      <c r="AB13" s="409">
        <v>0</v>
      </c>
      <c r="AC13" s="259">
        <f t="shared" si="4"/>
        <v>2</v>
      </c>
      <c r="AD13" s="22" t="s">
        <v>68</v>
      </c>
      <c r="AE13" s="84"/>
      <c r="AF13" s="83"/>
      <c r="AG13" s="33">
        <f t="shared" ref="AG13:AG29" si="8">AF13-AE13</f>
        <v>0</v>
      </c>
      <c r="AH13" s="43" t="s">
        <v>2784</v>
      </c>
      <c r="AI13" s="63">
        <f t="shared" si="6"/>
        <v>8.5084745762711866E-4</v>
      </c>
      <c r="AJ13" s="307">
        <f>RTD("money.excel",,$G13,"PredictVolume")</f>
        <v>10040</v>
      </c>
      <c r="AK13" s="339">
        <v>1.38</v>
      </c>
      <c r="AL13" s="302"/>
    </row>
    <row r="14" spans="1:38" s="264" customFormat="1">
      <c r="A14" s="146" t="s">
        <v>758</v>
      </c>
      <c r="B14" s="79">
        <v>85</v>
      </c>
      <c r="C14" s="79"/>
      <c r="D14" s="80">
        <v>-22</v>
      </c>
      <c r="E14" s="80">
        <v>-20</v>
      </c>
      <c r="F14" s="6"/>
      <c r="G14" s="79">
        <v>2882</v>
      </c>
      <c r="H14" s="17" t="s">
        <v>306</v>
      </c>
      <c r="I14" s="22" t="s">
        <v>9</v>
      </c>
      <c r="J14" s="201">
        <v>78.89</v>
      </c>
      <c r="K14" s="73">
        <v>26.22</v>
      </c>
      <c r="L14" s="73">
        <v>0.52</v>
      </c>
      <c r="M14" s="323">
        <v>1.66</v>
      </c>
      <c r="N14" s="318">
        <f t="shared" si="7"/>
        <v>107.28999999999999</v>
      </c>
      <c r="O14" s="81">
        <f>IFERROR(VLOOKUP($G14,'321買'!A:E,3,0),"'沒有資料'")</f>
        <v>0</v>
      </c>
      <c r="P14" s="380">
        <f>IFERROR(VLOOKUP($G14,'321買'!$A:$G,7,0),"'沒有資料'")</f>
        <v>911</v>
      </c>
      <c r="Q14" s="245" t="s">
        <v>3816</v>
      </c>
      <c r="R14" s="297">
        <f>IFERROR(RANK(VLOOKUP($G14,連買!$A:$D,4,0),連買!$D:$D,0),"'沒有資料'")</f>
        <v>523</v>
      </c>
      <c r="S14" s="198"/>
      <c r="T14" s="353">
        <f t="shared" si="1"/>
        <v>0</v>
      </c>
      <c r="U14" s="57">
        <v>10.59</v>
      </c>
      <c r="V14" s="36">
        <f>RTD("money.excel",,"2882","Price")</f>
        <v>64.7</v>
      </c>
      <c r="W14" s="65">
        <v>65</v>
      </c>
      <c r="X14" s="15">
        <f t="shared" si="2"/>
        <v>-0.29999999999999716</v>
      </c>
      <c r="Y14" s="3">
        <f t="shared" si="3"/>
        <v>-4.6153846153845716E-3</v>
      </c>
      <c r="Z14" s="413">
        <v>-4.97</v>
      </c>
      <c r="AA14" s="161">
        <v>1</v>
      </c>
      <c r="AB14" s="409">
        <v>0</v>
      </c>
      <c r="AC14" s="259">
        <f t="shared" si="4"/>
        <v>1</v>
      </c>
      <c r="AD14" s="22" t="s">
        <v>9</v>
      </c>
      <c r="AE14" s="84"/>
      <c r="AF14" s="83"/>
      <c r="AG14" s="33">
        <f t="shared" si="8"/>
        <v>0</v>
      </c>
      <c r="AH14" s="43" t="s">
        <v>2783</v>
      </c>
      <c r="AI14" s="63">
        <f t="shared" si="6"/>
        <v>8.1755319148936174E-4</v>
      </c>
      <c r="AJ14" s="307">
        <f>RTD("money.excel",,$G14,"PredictVolume")</f>
        <v>10759</v>
      </c>
      <c r="AK14" s="339">
        <v>1.08</v>
      </c>
      <c r="AL14" s="302"/>
    </row>
    <row r="15" spans="1:38" s="264" customFormat="1">
      <c r="A15" s="146" t="s">
        <v>1697</v>
      </c>
      <c r="B15" s="79">
        <v>26</v>
      </c>
      <c r="C15" s="79"/>
      <c r="D15" s="80">
        <v>-29</v>
      </c>
      <c r="E15" s="79">
        <v>29</v>
      </c>
      <c r="F15" s="6"/>
      <c r="G15" s="79">
        <v>2891</v>
      </c>
      <c r="H15" s="17" t="s">
        <v>306</v>
      </c>
      <c r="I15" s="22" t="s">
        <v>4996</v>
      </c>
      <c r="J15" s="73">
        <v>78.52</v>
      </c>
      <c r="K15" s="73">
        <v>44.29</v>
      </c>
      <c r="L15" s="323">
        <v>0.28999999999999998</v>
      </c>
      <c r="M15" s="323">
        <v>1.93</v>
      </c>
      <c r="N15" s="318">
        <f t="shared" si="7"/>
        <v>125.03000000000002</v>
      </c>
      <c r="O15" s="81">
        <f>IFERROR(VLOOKUP($G15,'321買'!A:E,3,0),"'沒有資料'")</f>
        <v>0</v>
      </c>
      <c r="P15" s="380">
        <f>IFERROR(VLOOKUP($G15,'321買'!$A:$G,7,0),"'沒有資料'")</f>
        <v>911</v>
      </c>
      <c r="Q15" s="245" t="s">
        <v>3816</v>
      </c>
      <c r="R15" s="297">
        <f>IFERROR(RANK(VLOOKUP($G15,連買!$A:$D,4,0),連買!$D:$D,0),"'沒有資料'")</f>
        <v>660</v>
      </c>
      <c r="S15" s="34">
        <v>1.25</v>
      </c>
      <c r="T15" s="353">
        <f t="shared" si="1"/>
        <v>4.2444821731748725E-2</v>
      </c>
      <c r="U15" s="57">
        <v>2.78</v>
      </c>
      <c r="V15" s="36">
        <f>RTD("money.excel",,"2891","Price")</f>
        <v>29.45</v>
      </c>
      <c r="W15" s="66">
        <v>30.5</v>
      </c>
      <c r="X15" s="15">
        <f t="shared" si="2"/>
        <v>-1.0500000000000007</v>
      </c>
      <c r="Y15" s="3">
        <f t="shared" si="3"/>
        <v>-3.4426229508196744E-2</v>
      </c>
      <c r="Z15" s="413">
        <v>-1.45</v>
      </c>
      <c r="AA15" s="161">
        <v>2</v>
      </c>
      <c r="AB15" s="409">
        <v>0</v>
      </c>
      <c r="AC15" s="259">
        <f t="shared" si="4"/>
        <v>2</v>
      </c>
      <c r="AD15" s="22" t="s">
        <v>4996</v>
      </c>
      <c r="AE15" s="84"/>
      <c r="AF15" s="83"/>
      <c r="AG15" s="33">
        <f t="shared" si="8"/>
        <v>0</v>
      </c>
      <c r="AH15" s="120" t="s">
        <v>2805</v>
      </c>
      <c r="AI15" s="63">
        <f t="shared" si="6"/>
        <v>2.8418163160595176E-3</v>
      </c>
      <c r="AJ15" s="307">
        <f>RTD("money.excel",,$G15,"PredictVolume")</f>
        <v>55387</v>
      </c>
      <c r="AK15" s="339">
        <v>0.64</v>
      </c>
      <c r="AL15" s="302"/>
    </row>
    <row r="16" spans="1:38" s="264" customFormat="1">
      <c r="A16" s="146" t="s">
        <v>1696</v>
      </c>
      <c r="B16" s="79">
        <v>2</v>
      </c>
      <c r="C16" s="79"/>
      <c r="D16" s="79">
        <v>19</v>
      </c>
      <c r="E16" s="80">
        <v>-1</v>
      </c>
      <c r="F16" s="6"/>
      <c r="G16" s="79">
        <v>2886</v>
      </c>
      <c r="H16" s="17" t="s">
        <v>306</v>
      </c>
      <c r="I16" s="22" t="s">
        <v>11</v>
      </c>
      <c r="J16" s="73">
        <v>81.08</v>
      </c>
      <c r="K16" s="323">
        <v>25.16</v>
      </c>
      <c r="L16" s="73">
        <v>0.14000000000000001</v>
      </c>
      <c r="M16" s="73">
        <v>20.59</v>
      </c>
      <c r="N16" s="318">
        <f t="shared" si="7"/>
        <v>126.97</v>
      </c>
      <c r="O16" s="81">
        <f>IFERROR(VLOOKUP($G16,'321買'!A:E,3,0),"'沒有資料'")</f>
        <v>0</v>
      </c>
      <c r="P16" s="380">
        <f>IFERROR(VLOOKUP($G16,'321買'!$A:$G,7,0),"'沒有資料'")</f>
        <v>911</v>
      </c>
      <c r="Q16" s="245" t="s">
        <v>3818</v>
      </c>
      <c r="R16" s="297">
        <f>IFERROR(RANK(VLOOKUP($G16,連買!$A:$D,4,0),連買!$D:$D,0),"'沒有資料'")</f>
        <v>407</v>
      </c>
      <c r="S16" s="34"/>
      <c r="T16" s="353">
        <f t="shared" si="1"/>
        <v>0</v>
      </c>
      <c r="U16" s="57">
        <v>1.89</v>
      </c>
      <c r="V16" s="36">
        <f>RTD("money.excel",,"2886","Price")</f>
        <v>43.1</v>
      </c>
      <c r="W16" s="66">
        <v>44.35</v>
      </c>
      <c r="X16" s="15">
        <f t="shared" si="2"/>
        <v>-1.25</v>
      </c>
      <c r="Y16" s="3">
        <f t="shared" si="3"/>
        <v>-2.8184892897406989E-2</v>
      </c>
      <c r="Z16" s="413">
        <v>-2.31</v>
      </c>
      <c r="AA16" s="161">
        <v>2</v>
      </c>
      <c r="AB16" s="409">
        <v>0</v>
      </c>
      <c r="AC16" s="259">
        <f t="shared" si="4"/>
        <v>2</v>
      </c>
      <c r="AD16" s="22" t="s">
        <v>11</v>
      </c>
      <c r="AE16" s="84"/>
      <c r="AF16" s="83"/>
      <c r="AG16" s="33">
        <f t="shared" si="8"/>
        <v>0</v>
      </c>
      <c r="AH16" s="120" t="s">
        <v>2785</v>
      </c>
      <c r="AI16" s="63">
        <f t="shared" si="6"/>
        <v>2.5427520235467255E-3</v>
      </c>
      <c r="AJ16" s="307">
        <f>RTD("money.excel",,$G16,"PredictVolume")</f>
        <v>34556</v>
      </c>
      <c r="AK16" s="339">
        <v>0.75</v>
      </c>
      <c r="AL16" s="302"/>
    </row>
    <row r="17" spans="1:38" s="264" customFormat="1">
      <c r="A17" s="146" t="s">
        <v>8621</v>
      </c>
      <c r="B17" s="79">
        <v>14</v>
      </c>
      <c r="C17" s="79"/>
      <c r="D17" s="79">
        <v>22</v>
      </c>
      <c r="E17" s="80">
        <v>-4</v>
      </c>
      <c r="F17" s="6"/>
      <c r="G17" s="79">
        <v>2884</v>
      </c>
      <c r="H17" s="17" t="s">
        <v>306</v>
      </c>
      <c r="I17" s="22" t="s">
        <v>271</v>
      </c>
      <c r="J17" s="73">
        <v>65.36</v>
      </c>
      <c r="K17" s="73">
        <v>39.49</v>
      </c>
      <c r="L17" s="73">
        <v>0.15</v>
      </c>
      <c r="M17" s="323">
        <v>2.21</v>
      </c>
      <c r="N17" s="318">
        <f t="shared" si="7"/>
        <v>107.21</v>
      </c>
      <c r="O17" s="81">
        <f>IFERROR(VLOOKUP($G17,'321買'!A:E,3,0),"'沒有資料'")</f>
        <v>0</v>
      </c>
      <c r="P17" s="380">
        <f>IFERROR(VLOOKUP($G17,'321買'!$A:$G,7,0),"'沒有資料'")</f>
        <v>911</v>
      </c>
      <c r="Q17" s="245" t="s">
        <v>3817</v>
      </c>
      <c r="R17" s="297">
        <f>IFERROR(RANK(VLOOKUP($G17,連買!$A:$D,4,0),連買!$D:$D,0),"'沒有資料'")</f>
        <v>703</v>
      </c>
      <c r="S17" s="34">
        <v>1.34</v>
      </c>
      <c r="T17" s="353">
        <f t="shared" si="1"/>
        <v>4.0179910044977514E-2</v>
      </c>
      <c r="U17" s="57">
        <v>1.59</v>
      </c>
      <c r="V17" s="36">
        <f>RTD("money.excel",,"2884","Price")</f>
        <v>33.35</v>
      </c>
      <c r="W17" s="66">
        <v>34.85</v>
      </c>
      <c r="X17" s="15">
        <f t="shared" si="2"/>
        <v>-1.5</v>
      </c>
      <c r="Y17" s="3">
        <f t="shared" si="3"/>
        <v>-4.3041606886657098E-2</v>
      </c>
      <c r="Z17" s="413">
        <v>-0.28999999999999998</v>
      </c>
      <c r="AA17" s="161">
        <v>3</v>
      </c>
      <c r="AB17" s="409">
        <v>0</v>
      </c>
      <c r="AC17" s="259">
        <f t="shared" si="4"/>
        <v>3</v>
      </c>
      <c r="AD17" s="22" t="s">
        <v>271</v>
      </c>
      <c r="AE17" s="84"/>
      <c r="AF17" s="83"/>
      <c r="AG17" s="33">
        <f t="shared" si="8"/>
        <v>0</v>
      </c>
      <c r="AH17" s="120" t="s">
        <v>2154</v>
      </c>
      <c r="AI17" s="63">
        <f t="shared" si="6"/>
        <v>5.3489887640449435E-3</v>
      </c>
      <c r="AJ17" s="307">
        <f>RTD("money.excel",,$G17,"PredictVolume")</f>
        <v>71409</v>
      </c>
      <c r="AK17" s="339">
        <v>1.89</v>
      </c>
      <c r="AL17" s="302"/>
    </row>
    <row r="18" spans="1:38" s="264" customFormat="1">
      <c r="A18" s="146" t="s">
        <v>8622</v>
      </c>
      <c r="B18" s="79">
        <v>23</v>
      </c>
      <c r="C18" s="80"/>
      <c r="D18" s="79">
        <v>14</v>
      </c>
      <c r="E18" s="80">
        <v>-7</v>
      </c>
      <c r="F18" s="6"/>
      <c r="G18" s="79">
        <v>5880</v>
      </c>
      <c r="H18" s="17" t="s">
        <v>306</v>
      </c>
      <c r="I18" s="22" t="s">
        <v>4999</v>
      </c>
      <c r="J18" s="323">
        <v>70.81</v>
      </c>
      <c r="K18" s="73">
        <v>19.2</v>
      </c>
      <c r="L18" s="73">
        <v>0.08</v>
      </c>
      <c r="M18" s="73">
        <v>27.68</v>
      </c>
      <c r="N18" s="318">
        <f t="shared" si="7"/>
        <v>117.77000000000001</v>
      </c>
      <c r="O18" s="81">
        <f>IFERROR(VLOOKUP($G18,'321買'!A:E,3,0),"'沒有資料'")</f>
        <v>0</v>
      </c>
      <c r="P18" s="380">
        <f>IFERROR(VLOOKUP($G18,'321買'!$A:$G,7,0),"'沒有資料'")</f>
        <v>911</v>
      </c>
      <c r="Q18" s="245" t="s">
        <v>3817</v>
      </c>
      <c r="R18" s="297">
        <f>IFERROR(RANK(VLOOKUP($G18,連買!$A:$D,4,0),連買!$D:$D,0),"'沒有資料'")</f>
        <v>783</v>
      </c>
      <c r="S18" s="34">
        <v>1.3</v>
      </c>
      <c r="T18" s="353">
        <f t="shared" si="1"/>
        <v>4.3993231810490696E-2</v>
      </c>
      <c r="U18" s="57">
        <v>1.53</v>
      </c>
      <c r="V18" s="36">
        <f>RTD("money.excel",,"5880","Price")</f>
        <v>29.55</v>
      </c>
      <c r="W18" s="66">
        <v>30.55</v>
      </c>
      <c r="X18" s="15">
        <f t="shared" si="2"/>
        <v>-1</v>
      </c>
      <c r="Y18" s="3">
        <f t="shared" si="3"/>
        <v>-3.2733224222585927E-2</v>
      </c>
      <c r="Z18" s="413">
        <v>-1.45</v>
      </c>
      <c r="AA18" s="161">
        <v>1</v>
      </c>
      <c r="AB18" s="409">
        <v>0</v>
      </c>
      <c r="AC18" s="259">
        <f t="shared" si="4"/>
        <v>1</v>
      </c>
      <c r="AD18" s="22" t="s">
        <v>4999</v>
      </c>
      <c r="AE18" s="84"/>
      <c r="AF18" s="83"/>
      <c r="AG18" s="33">
        <f t="shared" si="8"/>
        <v>0</v>
      </c>
      <c r="AH18" s="120" t="s">
        <v>2788</v>
      </c>
      <c r="AI18" s="63">
        <f t="shared" si="6"/>
        <v>1.9533088235294117E-3</v>
      </c>
      <c r="AJ18" s="307">
        <f>RTD("money.excel",,$G18,"PredictVolume")</f>
        <v>26565</v>
      </c>
      <c r="AK18" s="339">
        <v>0.28999999999999998</v>
      </c>
      <c r="AL18" s="302"/>
    </row>
    <row r="19" spans="1:38" s="264" customFormat="1">
      <c r="A19" s="146" t="s">
        <v>8623</v>
      </c>
      <c r="B19" s="79">
        <v>17</v>
      </c>
      <c r="C19" s="79"/>
      <c r="D19" s="80">
        <v>-6</v>
      </c>
      <c r="E19" s="80">
        <v>-3</v>
      </c>
      <c r="F19" s="6"/>
      <c r="G19" s="79">
        <v>2892</v>
      </c>
      <c r="H19" s="17" t="s">
        <v>306</v>
      </c>
      <c r="I19" s="22" t="s">
        <v>274</v>
      </c>
      <c r="J19" s="73">
        <v>66.25</v>
      </c>
      <c r="K19" s="73">
        <v>26.1</v>
      </c>
      <c r="L19" s="73">
        <v>0.09</v>
      </c>
      <c r="M19" s="323">
        <v>19.079999999999998</v>
      </c>
      <c r="N19" s="318">
        <f t="shared" si="7"/>
        <v>111.52</v>
      </c>
      <c r="O19" s="81">
        <f>IFERROR(VLOOKUP($G19,'321買'!A:E,3,0),"'沒有資料'")</f>
        <v>0</v>
      </c>
      <c r="P19" s="380">
        <f>IFERROR(VLOOKUP($G19,'321買'!$A:$G,7,0),"'沒有資料'")</f>
        <v>911</v>
      </c>
      <c r="Q19" s="245" t="s">
        <v>3816</v>
      </c>
      <c r="R19" s="297">
        <f>IFERROR(RANK(VLOOKUP($G19,連買!$A:$D,4,0),連買!$D:$D,0),"'沒有資料'")</f>
        <v>659</v>
      </c>
      <c r="S19" s="34"/>
      <c r="T19" s="353">
        <f t="shared" si="1"/>
        <v>0</v>
      </c>
      <c r="U19" s="57">
        <v>1.53</v>
      </c>
      <c r="V19" s="36">
        <f>RTD("money.excel",,"2892","Price")</f>
        <v>28.6</v>
      </c>
      <c r="W19" s="66">
        <v>29.5</v>
      </c>
      <c r="X19" s="15">
        <f t="shared" si="2"/>
        <v>-0.89999999999999858</v>
      </c>
      <c r="Y19" s="3">
        <f t="shared" si="3"/>
        <v>-3.0508474576271139E-2</v>
      </c>
      <c r="Z19" s="413">
        <v>-1.34</v>
      </c>
      <c r="AA19" s="161">
        <v>0</v>
      </c>
      <c r="AB19" s="409">
        <v>0</v>
      </c>
      <c r="AC19" s="259">
        <f t="shared" si="4"/>
        <v>0</v>
      </c>
      <c r="AD19" s="22" t="s">
        <v>274</v>
      </c>
      <c r="AE19" s="84"/>
      <c r="AF19" s="83"/>
      <c r="AG19" s="33">
        <f t="shared" si="8"/>
        <v>0</v>
      </c>
      <c r="AH19" s="120" t="s">
        <v>1515</v>
      </c>
      <c r="AI19" s="63">
        <f t="shared" si="6"/>
        <v>2.1423611111111109E-3</v>
      </c>
      <c r="AJ19" s="307">
        <f>RTD("money.excel",,$G19,"PredictVolume")</f>
        <v>27765</v>
      </c>
      <c r="AK19" s="339">
        <v>0.86</v>
      </c>
      <c r="AL19" s="302"/>
    </row>
    <row r="20" spans="1:38" s="264" customFormat="1">
      <c r="A20" s="146" t="s">
        <v>8624</v>
      </c>
      <c r="B20" s="79">
        <v>127</v>
      </c>
      <c r="C20" s="79"/>
      <c r="D20" s="80">
        <v>-11</v>
      </c>
      <c r="E20" s="80">
        <v>-26</v>
      </c>
      <c r="F20" s="6"/>
      <c r="G20" s="79">
        <v>2883</v>
      </c>
      <c r="H20" s="17" t="s">
        <v>306</v>
      </c>
      <c r="I20" s="22" t="s">
        <v>4992</v>
      </c>
      <c r="J20" s="73">
        <v>54.44</v>
      </c>
      <c r="K20" s="73">
        <v>23.22</v>
      </c>
      <c r="L20" s="323">
        <v>1.25</v>
      </c>
      <c r="M20" s="323">
        <v>1.43</v>
      </c>
      <c r="N20" s="318">
        <f t="shared" si="7"/>
        <v>80.34</v>
      </c>
      <c r="O20" s="81">
        <f>IFERROR(VLOOKUP($G20,'321買'!A:E,3,0),"'沒有資料'")</f>
        <v>2</v>
      </c>
      <c r="P20" s="380">
        <f>IFERROR(VLOOKUP($G20,'321買'!$A:$G,7,0),"'沒有資料'")</f>
        <v>706</v>
      </c>
      <c r="Q20" s="245" t="s">
        <v>3817</v>
      </c>
      <c r="R20" s="297">
        <f>IFERROR(RANK(VLOOKUP($G20,連買!$A:$D,4,0),連買!$D:$D,0),"'沒有資料'")</f>
        <v>1128</v>
      </c>
      <c r="S20" s="34"/>
      <c r="T20" s="353">
        <f t="shared" si="1"/>
        <v>0</v>
      </c>
      <c r="U20" s="57">
        <v>2.34</v>
      </c>
      <c r="V20" s="36">
        <f>RTD("money.excel",,"2883","Price")</f>
        <v>19.2</v>
      </c>
      <c r="W20" s="66">
        <v>19.8</v>
      </c>
      <c r="X20" s="15">
        <f t="shared" si="2"/>
        <v>-0.60000000000000142</v>
      </c>
      <c r="Y20" s="3">
        <f t="shared" si="3"/>
        <v>-3.0303030303030373E-2</v>
      </c>
      <c r="Z20" s="413">
        <v>-1</v>
      </c>
      <c r="AA20" s="161">
        <v>1</v>
      </c>
      <c r="AB20" s="409">
        <v>0</v>
      </c>
      <c r="AC20" s="259">
        <f t="shared" si="4"/>
        <v>1</v>
      </c>
      <c r="AD20" s="22" t="s">
        <v>4992</v>
      </c>
      <c r="AE20" s="84"/>
      <c r="AF20" s="83"/>
      <c r="AG20" s="33">
        <f t="shared" si="8"/>
        <v>0</v>
      </c>
      <c r="AH20" s="120" t="s">
        <v>2451</v>
      </c>
      <c r="AI20" s="63">
        <f t="shared" si="6"/>
        <v>4.2990692262943574E-3</v>
      </c>
      <c r="AJ20" s="307">
        <f>RTD("money.excel",,$G20,"PredictVolume")</f>
        <v>73901</v>
      </c>
      <c r="AK20" s="339">
        <v>2.9</v>
      </c>
      <c r="AL20" s="302"/>
    </row>
    <row r="21" spans="1:38" s="264" customFormat="1">
      <c r="A21" s="146" t="s">
        <v>8629</v>
      </c>
      <c r="B21" s="79">
        <v>98</v>
      </c>
      <c r="C21" s="79"/>
      <c r="D21" s="80">
        <v>-18</v>
      </c>
      <c r="E21" s="80">
        <v>-3</v>
      </c>
      <c r="F21" s="6"/>
      <c r="G21" s="79">
        <v>2880</v>
      </c>
      <c r="H21" s="17" t="s">
        <v>306</v>
      </c>
      <c r="I21" s="22" t="s">
        <v>4991</v>
      </c>
      <c r="J21" s="323">
        <v>72.56</v>
      </c>
      <c r="K21" s="73">
        <v>18.68</v>
      </c>
      <c r="L21" s="73">
        <v>0.14000000000000001</v>
      </c>
      <c r="M21" s="73">
        <v>25.46</v>
      </c>
      <c r="N21" s="318">
        <f t="shared" si="7"/>
        <v>116.84</v>
      </c>
      <c r="O21" s="81">
        <f>IFERROR(VLOOKUP($G21,'321買'!A:E,3,0),"'沒有資料'")</f>
        <v>0</v>
      </c>
      <c r="P21" s="380">
        <f>IFERROR(VLOOKUP($G21,'321買'!$A:$G,7,0),"'沒有資料'")</f>
        <v>911</v>
      </c>
      <c r="Q21" s="245" t="s">
        <v>3817</v>
      </c>
      <c r="R21" s="297">
        <f>IFERROR(RANK(VLOOKUP($G21,連買!$A:$D,4,0),連買!$D:$D,0),"'沒有資料'")</f>
        <v>829</v>
      </c>
      <c r="S21" s="34"/>
      <c r="T21" s="353">
        <f t="shared" si="1"/>
        <v>0</v>
      </c>
      <c r="U21" s="57">
        <v>1.32</v>
      </c>
      <c r="V21" s="36">
        <f>RTD("money.excel",,"2880","Price")</f>
        <v>24.4</v>
      </c>
      <c r="W21" s="66">
        <v>25.1</v>
      </c>
      <c r="X21" s="15">
        <f t="shared" si="2"/>
        <v>-0.70000000000000284</v>
      </c>
      <c r="Y21" s="3">
        <f t="shared" si="3"/>
        <v>-2.7888446215139553E-2</v>
      </c>
      <c r="Z21" s="413">
        <v>-1.38</v>
      </c>
      <c r="AA21" s="161">
        <v>1</v>
      </c>
      <c r="AB21" s="409">
        <v>0</v>
      </c>
      <c r="AC21" s="259">
        <f t="shared" si="4"/>
        <v>1</v>
      </c>
      <c r="AD21" s="22" t="s">
        <v>4991</v>
      </c>
      <c r="AE21" s="84"/>
      <c r="AF21" s="83"/>
      <c r="AG21" s="33">
        <f t="shared" si="8"/>
        <v>0</v>
      </c>
      <c r="AH21" s="120" t="s">
        <v>1515</v>
      </c>
      <c r="AI21" s="63">
        <f t="shared" si="6"/>
        <v>1.4043214556482184E-3</v>
      </c>
      <c r="AJ21" s="307">
        <f>RTD("money.excel",,$G21,"PredictVolume")</f>
        <v>18523</v>
      </c>
      <c r="AK21" s="339">
        <v>0.39</v>
      </c>
      <c r="AL21" s="302"/>
    </row>
    <row r="22" spans="1:38" s="264" customFormat="1">
      <c r="A22" s="146" t="s">
        <v>777</v>
      </c>
      <c r="B22" s="79">
        <v>43</v>
      </c>
      <c r="C22" s="79"/>
      <c r="D22" s="80">
        <v>-15</v>
      </c>
      <c r="E22" s="80">
        <v>-19</v>
      </c>
      <c r="F22" s="6"/>
      <c r="G22" s="79">
        <v>2885</v>
      </c>
      <c r="H22" s="17" t="s">
        <v>306</v>
      </c>
      <c r="I22" s="22" t="s">
        <v>4993</v>
      </c>
      <c r="J22" s="323">
        <v>79.59</v>
      </c>
      <c r="K22" s="323">
        <v>31.89</v>
      </c>
      <c r="L22" s="73">
        <v>0.18</v>
      </c>
      <c r="M22" s="73">
        <v>4.72</v>
      </c>
      <c r="N22" s="318">
        <f t="shared" si="7"/>
        <v>116.38000000000001</v>
      </c>
      <c r="O22" s="81">
        <f>IFERROR(VLOOKUP($G22,'321買'!A:E,3,0),"'沒有資料'")</f>
        <v>0</v>
      </c>
      <c r="P22" s="380">
        <f>IFERROR(VLOOKUP($G22,'321買'!$A:$G,7,0),"'沒有資料'")</f>
        <v>911</v>
      </c>
      <c r="Q22" s="245" t="s">
        <v>3818</v>
      </c>
      <c r="R22" s="297">
        <f>IFERROR(RANK(VLOOKUP($G22,連買!$A:$D,4,0),連買!$D:$D,0),"'沒有資料'")</f>
        <v>865</v>
      </c>
      <c r="S22" s="34">
        <v>1.8</v>
      </c>
      <c r="T22" s="353">
        <f t="shared" si="1"/>
        <v>6.7796610169491525E-2</v>
      </c>
      <c r="U22" s="57">
        <v>2.87</v>
      </c>
      <c r="V22" s="36">
        <f>RTD("money.excel",,"2885","Price")</f>
        <v>26.55</v>
      </c>
      <c r="W22" s="66">
        <v>26.85</v>
      </c>
      <c r="X22" s="15">
        <f t="shared" si="2"/>
        <v>-0.30000000000000071</v>
      </c>
      <c r="Y22" s="3">
        <f t="shared" si="3"/>
        <v>-1.1173184357541926E-2</v>
      </c>
      <c r="Z22" s="413">
        <v>-3.42</v>
      </c>
      <c r="AA22" s="161">
        <v>0</v>
      </c>
      <c r="AB22" s="409">
        <v>0</v>
      </c>
      <c r="AC22" s="259">
        <f t="shared" si="4"/>
        <v>0</v>
      </c>
      <c r="AD22" s="22" t="s">
        <v>4993</v>
      </c>
      <c r="AE22" s="84"/>
      <c r="AF22" s="83"/>
      <c r="AG22" s="33">
        <f t="shared" si="8"/>
        <v>0</v>
      </c>
      <c r="AH22" s="120" t="s">
        <v>1440</v>
      </c>
      <c r="AI22" s="63">
        <f t="shared" si="6"/>
        <v>1.4049464138499589E-3</v>
      </c>
      <c r="AJ22" s="307">
        <f>RTD("money.excel",,$G22,"PredictVolume")</f>
        <v>17042</v>
      </c>
      <c r="AK22" s="339">
        <v>1.65</v>
      </c>
      <c r="AL22" s="302"/>
    </row>
    <row r="23" spans="1:38" s="264" customFormat="1">
      <c r="A23" s="130" t="s">
        <v>3744</v>
      </c>
      <c r="B23" s="79">
        <v>29</v>
      </c>
      <c r="C23" s="79">
        <v>41</v>
      </c>
      <c r="D23" s="80">
        <v>-6</v>
      </c>
      <c r="E23" s="79">
        <v>16</v>
      </c>
      <c r="F23" s="57">
        <v>46.4</v>
      </c>
      <c r="G23" s="79">
        <v>5871</v>
      </c>
      <c r="H23" s="8" t="s">
        <v>235</v>
      </c>
      <c r="I23" s="22" t="s">
        <v>257</v>
      </c>
      <c r="J23" s="73">
        <v>76.34</v>
      </c>
      <c r="K23" s="323">
        <v>77.95</v>
      </c>
      <c r="L23" s="73">
        <v>0.38</v>
      </c>
      <c r="M23" s="73">
        <v>5.07</v>
      </c>
      <c r="N23" s="73">
        <f t="shared" si="7"/>
        <v>159.74</v>
      </c>
      <c r="O23" s="81">
        <f>IFERROR(VLOOKUP($G23,'321買'!A:E,3,0),"'沒有資料'")</f>
        <v>0</v>
      </c>
      <c r="P23" s="380">
        <f>IFERROR(VLOOKUP($G23,'321買'!$A:$G,7,0),"'沒有資料'")</f>
        <v>911</v>
      </c>
      <c r="Q23" s="245" t="s">
        <v>3817</v>
      </c>
      <c r="R23" s="297">
        <f>IFERROR(RANK(VLOOKUP($G23,連買!$A:$D,4,0),連買!$D:$D,0),"'沒有資料'")</f>
        <v>61</v>
      </c>
      <c r="S23" s="45">
        <v>6.5</v>
      </c>
      <c r="T23" s="353">
        <f t="shared" si="1"/>
        <v>2.5590551181102362E-2</v>
      </c>
      <c r="U23" s="57">
        <v>15.1</v>
      </c>
      <c r="V23" s="13">
        <f>RTD("money.excel",,"5871","Price")</f>
        <v>254</v>
      </c>
      <c r="W23" s="66">
        <v>253</v>
      </c>
      <c r="X23" s="15">
        <f t="shared" si="2"/>
        <v>1</v>
      </c>
      <c r="Y23" s="3">
        <f t="shared" si="3"/>
        <v>3.952569169960474E-3</v>
      </c>
      <c r="Z23" s="413">
        <v>-10.76</v>
      </c>
      <c r="AA23" s="161">
        <v>0</v>
      </c>
      <c r="AB23" s="409">
        <v>0</v>
      </c>
      <c r="AC23" s="259">
        <f t="shared" si="4"/>
        <v>0</v>
      </c>
      <c r="AD23" s="22" t="s">
        <v>257</v>
      </c>
      <c r="AE23" s="84"/>
      <c r="AF23" s="83"/>
      <c r="AG23" s="33">
        <f t="shared" si="8"/>
        <v>0</v>
      </c>
      <c r="AH23" s="120" t="s">
        <v>3006</v>
      </c>
      <c r="AI23" s="63">
        <f t="shared" si="6"/>
        <v>1.113103448275862E-3</v>
      </c>
      <c r="AJ23" s="307">
        <f>RTD("money.excel",,$G23,"PredictVolume")</f>
        <v>1614</v>
      </c>
      <c r="AK23" s="339">
        <v>3.08</v>
      </c>
      <c r="AL23" s="302"/>
    </row>
    <row r="24" spans="1:38" s="264" customFormat="1">
      <c r="A24" s="130" t="s">
        <v>3618</v>
      </c>
      <c r="B24" s="79">
        <v>814</v>
      </c>
      <c r="C24" s="79">
        <v>721</v>
      </c>
      <c r="D24" s="79">
        <v>6</v>
      </c>
      <c r="E24" s="79">
        <v>83</v>
      </c>
      <c r="F24" s="57">
        <v>58.21</v>
      </c>
      <c r="G24" s="79">
        <v>2603</v>
      </c>
      <c r="H24" s="8" t="s">
        <v>304</v>
      </c>
      <c r="I24" s="22" t="s">
        <v>266</v>
      </c>
      <c r="J24" s="323">
        <v>58.58</v>
      </c>
      <c r="K24" s="73">
        <v>29.66</v>
      </c>
      <c r="L24" s="323">
        <v>17.46</v>
      </c>
      <c r="M24" s="323">
        <v>11.16</v>
      </c>
      <c r="N24" s="318">
        <f t="shared" si="7"/>
        <v>116.85999999999999</v>
      </c>
      <c r="O24" s="81">
        <f>IFERROR(VLOOKUP($G24,'321買'!A:E,3,0),"'沒有資料'")</f>
        <v>20</v>
      </c>
      <c r="P24" s="380">
        <f>IFERROR(VLOOKUP($G24,'321買'!$A:$G,7,0),"'沒有資料'")</f>
        <v>250</v>
      </c>
      <c r="Q24" s="245" t="s">
        <v>3816</v>
      </c>
      <c r="R24" s="297">
        <f>IFERROR(RANK(VLOOKUP($G24,連買!$A:$D,4,0),連買!$D:$D,0),"'沒有資料'")</f>
        <v>105</v>
      </c>
      <c r="S24" s="45">
        <v>18</v>
      </c>
      <c r="T24" s="355">
        <f t="shared" si="1"/>
        <v>0.13043478260869565</v>
      </c>
      <c r="U24" s="57">
        <v>45.68</v>
      </c>
      <c r="V24" s="36">
        <f>RTD("money.excel",,"2603","Price")</f>
        <v>138</v>
      </c>
      <c r="W24" s="66">
        <v>135.5</v>
      </c>
      <c r="X24" s="15">
        <f t="shared" si="2"/>
        <v>2.5</v>
      </c>
      <c r="Y24" s="3">
        <f t="shared" si="3"/>
        <v>1.8450184501845018E-2</v>
      </c>
      <c r="Z24" s="413">
        <v>-41.85</v>
      </c>
      <c r="AA24" s="161">
        <v>1</v>
      </c>
      <c r="AB24" s="409">
        <v>0</v>
      </c>
      <c r="AC24" s="259">
        <f t="shared" si="4"/>
        <v>1</v>
      </c>
      <c r="AD24" s="22" t="s">
        <v>266</v>
      </c>
      <c r="AE24" s="84"/>
      <c r="AF24" s="83"/>
      <c r="AG24" s="33">
        <f t="shared" si="8"/>
        <v>0</v>
      </c>
      <c r="AH24" s="120" t="s">
        <v>3486</v>
      </c>
      <c r="AI24" s="63">
        <f t="shared" si="6"/>
        <v>1.3906616257088847E-2</v>
      </c>
      <c r="AJ24" s="360">
        <f>RTD("money.excel",,$G24,"PredictVolume")</f>
        <v>73566</v>
      </c>
      <c r="AK24" s="339">
        <v>19.28</v>
      </c>
      <c r="AL24" s="302"/>
    </row>
    <row r="25" spans="1:38" s="264" customFormat="1">
      <c r="A25" s="130" t="s">
        <v>3671</v>
      </c>
      <c r="B25" s="79">
        <v>810</v>
      </c>
      <c r="C25" s="79">
        <v>898</v>
      </c>
      <c r="D25" s="80">
        <v>-27</v>
      </c>
      <c r="E25" s="79">
        <v>93</v>
      </c>
      <c r="F25" s="57">
        <v>56</v>
      </c>
      <c r="G25" s="79">
        <v>2615</v>
      </c>
      <c r="H25" s="8" t="s">
        <v>304</v>
      </c>
      <c r="I25" s="22" t="s">
        <v>132</v>
      </c>
      <c r="J25" s="323">
        <v>83.53</v>
      </c>
      <c r="K25" s="73">
        <v>43.76</v>
      </c>
      <c r="L25" s="323">
        <v>7.12</v>
      </c>
      <c r="M25" s="73">
        <v>4.53</v>
      </c>
      <c r="N25" s="73">
        <f t="shared" si="7"/>
        <v>138.94</v>
      </c>
      <c r="O25" s="81">
        <f>IFERROR(VLOOKUP($G25,'321買'!A:E,3,0),"'沒有資料'")</f>
        <v>9</v>
      </c>
      <c r="P25" s="380">
        <f>IFERROR(VLOOKUP($G25,'321買'!$A:$G,7,0),"'沒有資料'")</f>
        <v>448</v>
      </c>
      <c r="Q25" s="245" t="s">
        <v>3816</v>
      </c>
      <c r="R25" s="297">
        <f>IFERROR(RANK(VLOOKUP($G25,連買!$A:$D,4,0),連買!$D:$D,0),"'沒有資料'")</f>
        <v>53</v>
      </c>
      <c r="S25" s="45">
        <v>12</v>
      </c>
      <c r="T25" s="353">
        <f t="shared" si="1"/>
        <v>7.7669902912621352E-2</v>
      </c>
      <c r="U25" s="57">
        <v>44.37</v>
      </c>
      <c r="V25" s="13">
        <f>RTD("money.excel",,"2615","Price")</f>
        <v>154.5</v>
      </c>
      <c r="W25" s="66">
        <v>154</v>
      </c>
      <c r="X25" s="15">
        <f t="shared" si="2"/>
        <v>0.5</v>
      </c>
      <c r="Y25" s="3">
        <f t="shared" si="3"/>
        <v>3.246753246753247E-3</v>
      </c>
      <c r="Z25" s="413">
        <v>-56.37</v>
      </c>
      <c r="AA25" s="161">
        <v>0</v>
      </c>
      <c r="AB25" s="409">
        <v>0</v>
      </c>
      <c r="AC25" s="259">
        <f t="shared" si="4"/>
        <v>0</v>
      </c>
      <c r="AD25" s="22" t="s">
        <v>132</v>
      </c>
      <c r="AE25" s="84"/>
      <c r="AF25" s="83"/>
      <c r="AG25" s="33">
        <f t="shared" si="8"/>
        <v>0</v>
      </c>
      <c r="AH25" s="120" t="s">
        <v>2207</v>
      </c>
      <c r="AI25" s="63">
        <f t="shared" si="6"/>
        <v>5.1446721311475411E-3</v>
      </c>
      <c r="AJ25" s="307">
        <f>RTD("money.excel",,$G25,"PredictVolume")</f>
        <v>12553</v>
      </c>
      <c r="AK25" s="339">
        <v>13.5</v>
      </c>
      <c r="AL25" s="302"/>
    </row>
    <row r="26" spans="1:38" s="264" customFormat="1">
      <c r="A26" s="130" t="s">
        <v>3602</v>
      </c>
      <c r="B26" s="93">
        <v>1258</v>
      </c>
      <c r="C26" s="79">
        <v>945</v>
      </c>
      <c r="D26" s="80">
        <v>-6</v>
      </c>
      <c r="E26" s="79">
        <v>59</v>
      </c>
      <c r="F26" s="57">
        <v>60.95</v>
      </c>
      <c r="G26" s="79">
        <v>2609</v>
      </c>
      <c r="H26" s="8" t="s">
        <v>304</v>
      </c>
      <c r="I26" s="22" t="s">
        <v>871</v>
      </c>
      <c r="J26" s="323">
        <v>55.16</v>
      </c>
      <c r="K26" s="73">
        <v>15.57</v>
      </c>
      <c r="L26" s="323">
        <v>18.47</v>
      </c>
      <c r="M26" s="323">
        <v>33.18</v>
      </c>
      <c r="N26" s="318">
        <f t="shared" si="7"/>
        <v>122.38</v>
      </c>
      <c r="O26" s="81">
        <f>IFERROR(VLOOKUP($G26,'321買'!A:E,3,0),"'沒有資料'")</f>
        <v>19</v>
      </c>
      <c r="P26" s="380">
        <f>IFERROR(VLOOKUP($G26,'321買'!$A:$G,7,0),"'沒有資料'")</f>
        <v>265</v>
      </c>
      <c r="Q26" s="245" t="s">
        <v>3816</v>
      </c>
      <c r="R26" s="297">
        <f>IFERROR(RANK(VLOOKUP($G26,連買!$A:$D,4,0),連買!$D:$D,0),"'沒有資料'")</f>
        <v>144</v>
      </c>
      <c r="S26" s="45">
        <v>20</v>
      </c>
      <c r="T26" s="355">
        <f t="shared" si="1"/>
        <v>0.16393442622950818</v>
      </c>
      <c r="U26" s="57">
        <v>49.11</v>
      </c>
      <c r="V26" s="36">
        <f>RTD("money.excel",,"2609","Price")</f>
        <v>122</v>
      </c>
      <c r="W26" s="66">
        <v>124</v>
      </c>
      <c r="X26" s="15">
        <f t="shared" si="2"/>
        <v>-2</v>
      </c>
      <c r="Y26" s="3">
        <f t="shared" si="3"/>
        <v>-1.6129032258064516E-2</v>
      </c>
      <c r="Z26" s="413">
        <v>-47.12</v>
      </c>
      <c r="AA26" s="161">
        <v>1</v>
      </c>
      <c r="AB26" s="409">
        <v>1</v>
      </c>
      <c r="AC26" s="259">
        <f t="shared" si="4"/>
        <v>0</v>
      </c>
      <c r="AD26" s="22" t="s">
        <v>871</v>
      </c>
      <c r="AE26" s="84"/>
      <c r="AF26" s="83"/>
      <c r="AG26" s="33">
        <f t="shared" si="8"/>
        <v>0</v>
      </c>
      <c r="AH26" s="43" t="s">
        <v>3486</v>
      </c>
      <c r="AI26" s="63">
        <f t="shared" si="6"/>
        <v>1.213352435530086E-2</v>
      </c>
      <c r="AJ26" s="360">
        <f>RTD("money.excel",,$G26,"PredictVolume")</f>
        <v>42346</v>
      </c>
      <c r="AK26" s="339">
        <v>23.94</v>
      </c>
      <c r="AL26" s="302"/>
    </row>
    <row r="27" spans="1:38" s="264" customFormat="1">
      <c r="A27" s="130" t="s">
        <v>4654</v>
      </c>
      <c r="B27" s="79">
        <v>7</v>
      </c>
      <c r="C27" s="79">
        <v>6</v>
      </c>
      <c r="D27" s="80">
        <v>-4</v>
      </c>
      <c r="E27" s="80">
        <v>-1</v>
      </c>
      <c r="F27" s="57">
        <v>21.35</v>
      </c>
      <c r="G27" s="79">
        <v>2412</v>
      </c>
      <c r="H27" s="17" t="s">
        <v>313</v>
      </c>
      <c r="I27" s="22" t="s">
        <v>4655</v>
      </c>
      <c r="J27" s="201">
        <v>79.56</v>
      </c>
      <c r="K27" s="73">
        <v>18.27</v>
      </c>
      <c r="L27" s="323">
        <v>0.01</v>
      </c>
      <c r="M27" s="73">
        <v>35.29</v>
      </c>
      <c r="N27" s="73">
        <f t="shared" si="7"/>
        <v>133.13</v>
      </c>
      <c r="O27" s="81">
        <f>IFERROR(VLOOKUP($G27,'321買'!A:E,3,0),"'沒有資料'")</f>
        <v>0</v>
      </c>
      <c r="P27" s="380">
        <f>IFERROR(VLOOKUP($G27,'321買'!$A:$G,7,0),"'沒有資料'")</f>
        <v>911</v>
      </c>
      <c r="Q27" s="245" t="s">
        <v>3818</v>
      </c>
      <c r="R27" s="297">
        <f>IFERROR(RANK(VLOOKUP($G27,連買!$A:$D,4,0),連買!$D:$D,0),"'沒有資料'")</f>
        <v>125</v>
      </c>
      <c r="S27" s="6">
        <v>4.6100000000000003</v>
      </c>
      <c r="T27" s="353">
        <f t="shared" si="1"/>
        <v>3.5461538461538461E-2</v>
      </c>
      <c r="U27" s="57">
        <v>4.6100000000000003</v>
      </c>
      <c r="V27" s="36">
        <f>RTD("money.excel",,"2412","Price")</f>
        <v>130</v>
      </c>
      <c r="W27" s="65">
        <v>128</v>
      </c>
      <c r="X27" s="15">
        <f t="shared" si="2"/>
        <v>2</v>
      </c>
      <c r="Y27" s="3">
        <f t="shared" si="3"/>
        <v>1.5625E-2</v>
      </c>
      <c r="Z27" s="413">
        <v>0</v>
      </c>
      <c r="AA27" s="161">
        <v>3</v>
      </c>
      <c r="AB27" s="409">
        <v>0</v>
      </c>
      <c r="AC27" s="259">
        <f t="shared" si="4"/>
        <v>3</v>
      </c>
      <c r="AD27" s="22" t="s">
        <v>4655</v>
      </c>
      <c r="AE27" s="84"/>
      <c r="AF27" s="83"/>
      <c r="AG27" s="33">
        <f t="shared" si="8"/>
        <v>0</v>
      </c>
      <c r="AH27" s="120" t="s">
        <v>4656</v>
      </c>
      <c r="AI27" s="63">
        <f t="shared" si="6"/>
        <v>9.7122580645161289E-4</v>
      </c>
      <c r="AJ27" s="307">
        <f>RTD("money.excel",,$G27,"PredictVolume")</f>
        <v>7527</v>
      </c>
      <c r="AK27" s="339">
        <v>0.49</v>
      </c>
      <c r="AL27" s="302"/>
    </row>
    <row r="28" spans="1:38" s="264" customFormat="1">
      <c r="A28" s="130" t="s">
        <v>4672</v>
      </c>
      <c r="B28" s="79">
        <v>3</v>
      </c>
      <c r="C28" s="80">
        <v>-1</v>
      </c>
      <c r="D28" s="80">
        <v>-13</v>
      </c>
      <c r="E28" s="79">
        <v>10</v>
      </c>
      <c r="F28" s="57">
        <v>10.28</v>
      </c>
      <c r="G28" s="79">
        <v>3045</v>
      </c>
      <c r="H28" s="8" t="s">
        <v>313</v>
      </c>
      <c r="I28" s="22" t="s">
        <v>4673</v>
      </c>
      <c r="J28" s="323">
        <v>89.14</v>
      </c>
      <c r="K28" s="73">
        <v>17.510000000000002</v>
      </c>
      <c r="L28" s="323">
        <v>0.04</v>
      </c>
      <c r="M28" s="323">
        <v>11.3</v>
      </c>
      <c r="N28" s="318">
        <f t="shared" si="7"/>
        <v>117.99000000000001</v>
      </c>
      <c r="O28" s="81">
        <f>IFERROR(VLOOKUP($G28,'321買'!A:E,3,0),"'沒有資料'")</f>
        <v>0</v>
      </c>
      <c r="P28" s="380">
        <f>IFERROR(VLOOKUP($G28,'321買'!$A:$G,7,0),"'沒有資料'")</f>
        <v>911</v>
      </c>
      <c r="Q28" s="245" t="s">
        <v>3818</v>
      </c>
      <c r="R28" s="297">
        <f>IFERROR(RANK(VLOOKUP($G28,連買!$A:$D,4,0),連買!$D:$D,0),"'沒有資料'")</f>
        <v>164</v>
      </c>
      <c r="S28" s="66"/>
      <c r="T28" s="353">
        <f t="shared" si="1"/>
        <v>0</v>
      </c>
      <c r="U28" s="57">
        <v>3.91</v>
      </c>
      <c r="V28" s="36">
        <f>RTD("money.excel",,"3045","Price")</f>
        <v>106</v>
      </c>
      <c r="W28" s="66">
        <v>106</v>
      </c>
      <c r="X28" s="15">
        <f t="shared" si="2"/>
        <v>0</v>
      </c>
      <c r="Y28" s="3">
        <f t="shared" si="3"/>
        <v>0</v>
      </c>
      <c r="Z28" s="413">
        <v>-3.2</v>
      </c>
      <c r="AA28" s="161">
        <v>2</v>
      </c>
      <c r="AB28" s="409">
        <v>0</v>
      </c>
      <c r="AC28" s="259">
        <f t="shared" si="4"/>
        <v>2</v>
      </c>
      <c r="AD28" s="22" t="s">
        <v>4673</v>
      </c>
      <c r="AE28" s="84"/>
      <c r="AF28" s="83"/>
      <c r="AG28" s="33">
        <f t="shared" si="8"/>
        <v>0</v>
      </c>
      <c r="AH28" s="120" t="s">
        <v>4674</v>
      </c>
      <c r="AI28" s="63">
        <f t="shared" si="6"/>
        <v>3.772079772079772E-4</v>
      </c>
      <c r="AJ28" s="307">
        <f>RTD("money.excel",,$G28,"PredictVolume")</f>
        <v>1324</v>
      </c>
      <c r="AK28" s="339">
        <v>0.52</v>
      </c>
      <c r="AL28" s="302"/>
    </row>
    <row r="29" spans="1:38" s="264" customFormat="1">
      <c r="A29" s="130" t="s">
        <v>4236</v>
      </c>
      <c r="B29" s="93">
        <v>2951</v>
      </c>
      <c r="C29" s="93">
        <v>3373</v>
      </c>
      <c r="D29" s="80">
        <v>-16</v>
      </c>
      <c r="E29" s="79">
        <v>11</v>
      </c>
      <c r="F29" s="57">
        <v>17.03</v>
      </c>
      <c r="G29" s="79">
        <v>2002</v>
      </c>
      <c r="H29" s="8" t="s">
        <v>301</v>
      </c>
      <c r="I29" s="22" t="s">
        <v>4237</v>
      </c>
      <c r="J29" s="323">
        <v>63.24</v>
      </c>
      <c r="K29" s="73">
        <v>24.19</v>
      </c>
      <c r="L29" s="73">
        <v>1.31</v>
      </c>
      <c r="M29" s="73">
        <v>20.170000000000002</v>
      </c>
      <c r="N29" s="318">
        <f>J29+K29+L29+M29</f>
        <v>108.91000000000001</v>
      </c>
      <c r="O29" s="81">
        <f>IFERROR(VLOOKUP($G29,'321買'!A:E,3,0),"'沒有資料'")</f>
        <v>8</v>
      </c>
      <c r="P29" s="380">
        <f>IFERROR(VLOOKUP($G29,'321買'!$A:$G,7,0),"'沒有資料'")</f>
        <v>475</v>
      </c>
      <c r="Q29" s="245" t="s">
        <v>5063</v>
      </c>
      <c r="R29" s="297">
        <f>IFERROR(RANK(VLOOKUP($G29,連買!$A:$D,4,0),連買!$D:$D,0),"'沒有資料'")</f>
        <v>545</v>
      </c>
      <c r="S29" s="45">
        <v>3.1</v>
      </c>
      <c r="T29" s="353">
        <f t="shared" si="1"/>
        <v>7.848101265822785E-2</v>
      </c>
      <c r="U29" s="57">
        <v>4.03</v>
      </c>
      <c r="V29" s="36">
        <f>RTD("money.excel",,"2002","Price")</f>
        <v>39.5</v>
      </c>
      <c r="W29" s="66">
        <v>39.200000000000003</v>
      </c>
      <c r="X29" s="15">
        <f t="shared" si="2"/>
        <v>0.29999999999999716</v>
      </c>
      <c r="Y29" s="3">
        <f t="shared" si="3"/>
        <v>7.6530612244897229E-3</v>
      </c>
      <c r="Z29" s="413">
        <v>-16.149999999999999</v>
      </c>
      <c r="AA29" s="161">
        <v>2</v>
      </c>
      <c r="AB29" s="409">
        <v>0</v>
      </c>
      <c r="AC29" s="259">
        <f t="shared" si="4"/>
        <v>2</v>
      </c>
      <c r="AD29" s="22" t="s">
        <v>4237</v>
      </c>
      <c r="AE29" s="84"/>
      <c r="AF29" s="83"/>
      <c r="AG29" s="33">
        <f t="shared" si="8"/>
        <v>0</v>
      </c>
      <c r="AH29" s="120" t="s">
        <v>301</v>
      </c>
      <c r="AI29" s="63">
        <f t="shared" si="6"/>
        <v>1.4556897647806739E-3</v>
      </c>
      <c r="AJ29" s="307">
        <f>RTD("money.excel",,$G29,"PredictVolume")</f>
        <v>22898</v>
      </c>
      <c r="AK29" s="339">
        <v>5.14</v>
      </c>
      <c r="AL29" s="302"/>
    </row>
    <row r="30" spans="1:38" s="264" customFormat="1">
      <c r="A30" s="146" t="s">
        <v>1678</v>
      </c>
      <c r="B30" s="80">
        <v>-6</v>
      </c>
      <c r="C30" s="80">
        <v>-4</v>
      </c>
      <c r="D30" s="80">
        <v>-29</v>
      </c>
      <c r="E30" s="79">
        <v>7</v>
      </c>
      <c r="F30" s="6">
        <v>6</v>
      </c>
      <c r="G30" s="79">
        <v>1216</v>
      </c>
      <c r="H30" s="8" t="s">
        <v>294</v>
      </c>
      <c r="I30" s="158" t="s">
        <v>10</v>
      </c>
      <c r="J30" s="323">
        <v>85.28</v>
      </c>
      <c r="K30" s="73">
        <v>42.74</v>
      </c>
      <c r="L30" s="73">
        <v>0.09</v>
      </c>
      <c r="M30" s="73">
        <v>15.87</v>
      </c>
      <c r="N30" s="73">
        <f t="shared" ref="N30:N39" si="9">J30+K30+L30+M30</f>
        <v>143.98000000000002</v>
      </c>
      <c r="O30" s="81">
        <f>IFERROR(VLOOKUP($G30,'321買'!A:E,3,0),"'沒有資料'")</f>
        <v>0</v>
      </c>
      <c r="P30" s="380">
        <f>IFERROR(VLOOKUP($G30,'321買'!$A:$G,7,0),"'沒有資料'")</f>
        <v>911</v>
      </c>
      <c r="Q30" s="245" t="s">
        <v>3818</v>
      </c>
      <c r="R30" s="297">
        <f>IFERROR(RANK(VLOOKUP($G30,連買!$A:$D,4,0),連買!$D:$D,0),"'沒有資料'")</f>
        <v>1588</v>
      </c>
      <c r="S30" s="197">
        <v>2.7</v>
      </c>
      <c r="T30" s="353">
        <f t="shared" si="1"/>
        <v>4.072398190045249E-2</v>
      </c>
      <c r="U30" s="57">
        <v>3.5</v>
      </c>
      <c r="V30" s="13">
        <f>RTD("money.excel",,$G30,"Price")</f>
        <v>66.3</v>
      </c>
      <c r="W30" s="66">
        <v>66</v>
      </c>
      <c r="X30" s="15">
        <f t="shared" si="2"/>
        <v>0.29999999999999716</v>
      </c>
      <c r="Y30" s="3">
        <f t="shared" si="3"/>
        <v>4.5454545454545027E-3</v>
      </c>
      <c r="Z30" s="413">
        <v>-14.17</v>
      </c>
      <c r="AA30" s="161">
        <v>1</v>
      </c>
      <c r="AB30" s="409">
        <v>1</v>
      </c>
      <c r="AC30" s="259">
        <f t="shared" si="4"/>
        <v>0</v>
      </c>
      <c r="AD30" s="158" t="s">
        <v>10</v>
      </c>
      <c r="AE30" s="84"/>
      <c r="AF30" s="83"/>
      <c r="AG30" s="33">
        <v>0</v>
      </c>
      <c r="AH30" s="120" t="s">
        <v>294</v>
      </c>
      <c r="AI30" s="63">
        <f t="shared" si="6"/>
        <v>7.6602112676056339E-4</v>
      </c>
      <c r="AJ30" s="307">
        <f>RTD("money.excel",,$G30,"PredictVolume")</f>
        <v>4351</v>
      </c>
      <c r="AK30" s="339">
        <v>0.4</v>
      </c>
      <c r="AL30" s="302"/>
    </row>
    <row r="31" spans="1:38" s="264" customFormat="1">
      <c r="A31" s="130" t="s">
        <v>8664</v>
      </c>
      <c r="B31" s="79">
        <v>18</v>
      </c>
      <c r="C31" s="79">
        <v>15</v>
      </c>
      <c r="D31" s="79">
        <v>27</v>
      </c>
      <c r="E31" s="80">
        <v>-5</v>
      </c>
      <c r="F31" s="57">
        <v>10.81</v>
      </c>
      <c r="G31" s="79">
        <v>2207</v>
      </c>
      <c r="H31" s="8" t="s">
        <v>303</v>
      </c>
      <c r="I31" s="22" t="s">
        <v>14</v>
      </c>
      <c r="J31" s="73">
        <v>83.64</v>
      </c>
      <c r="K31" s="73">
        <v>24.05</v>
      </c>
      <c r="L31" s="323">
        <v>0.05</v>
      </c>
      <c r="M31" s="73">
        <v>19.43</v>
      </c>
      <c r="N31" s="318">
        <f t="shared" si="9"/>
        <v>127.16999999999999</v>
      </c>
      <c r="O31" s="81">
        <f>IFERROR(VLOOKUP($G31,'321買'!A:E,3,0),"'沒有資料'")</f>
        <v>0</v>
      </c>
      <c r="P31" s="380">
        <f>IFERROR(VLOOKUP($G31,'321買'!$A:$G,7,0),"'沒有資料'")</f>
        <v>911</v>
      </c>
      <c r="Q31" s="245" t="s">
        <v>3816</v>
      </c>
      <c r="R31" s="297">
        <f>IFERROR(RANK(VLOOKUP($G31,連買!$A:$D,4,0),連買!$D:$D,0),"'沒有資料'")</f>
        <v>17</v>
      </c>
      <c r="S31" s="45">
        <v>20</v>
      </c>
      <c r="T31" s="353">
        <f t="shared" si="1"/>
        <v>3.3840947546531303E-2</v>
      </c>
      <c r="U31" s="57">
        <v>29.83</v>
      </c>
      <c r="V31" s="36">
        <f>RTD("money.excel",,"2207","Price")</f>
        <v>591</v>
      </c>
      <c r="W31" s="66">
        <v>594</v>
      </c>
      <c r="X31" s="15">
        <f t="shared" si="2"/>
        <v>-3</v>
      </c>
      <c r="Y31" s="3">
        <f t="shared" si="3"/>
        <v>-5.0505050505050509E-3</v>
      </c>
      <c r="Z31" s="413">
        <v>-11.21</v>
      </c>
      <c r="AA31" s="161">
        <v>0</v>
      </c>
      <c r="AB31" s="409">
        <v>0</v>
      </c>
      <c r="AC31" s="259">
        <f t="shared" si="4"/>
        <v>0</v>
      </c>
      <c r="AD31" s="22" t="s">
        <v>14</v>
      </c>
      <c r="AE31" s="84"/>
      <c r="AF31" s="83"/>
      <c r="AG31" s="33">
        <f t="shared" ref="AG31" si="10">AF31-AE31</f>
        <v>0</v>
      </c>
      <c r="AH31" s="120" t="s">
        <v>2806</v>
      </c>
      <c r="AI31" s="63">
        <f t="shared" si="6"/>
        <v>1.9780219780219781E-4</v>
      </c>
      <c r="AJ31" s="307">
        <f>RTD("money.excel",,$G31,"PredictVolume")</f>
        <v>108</v>
      </c>
      <c r="AK31" s="339">
        <v>0.23</v>
      </c>
      <c r="AL31" s="302"/>
    </row>
    <row r="32" spans="1:38" s="264" customFormat="1">
      <c r="A32" s="130" t="s">
        <v>1718</v>
      </c>
      <c r="B32" s="80">
        <v>-9</v>
      </c>
      <c r="C32" s="79">
        <v>15</v>
      </c>
      <c r="D32" s="79">
        <v>7</v>
      </c>
      <c r="E32" s="79">
        <v>0</v>
      </c>
      <c r="F32" s="57">
        <v>28.94</v>
      </c>
      <c r="G32" s="79">
        <v>6488</v>
      </c>
      <c r="H32" s="204" t="s">
        <v>3254</v>
      </c>
      <c r="I32" s="16" t="s">
        <v>34</v>
      </c>
      <c r="J32" s="323">
        <v>73.569999999999993</v>
      </c>
      <c r="K32" s="323">
        <v>29.88</v>
      </c>
      <c r="L32" s="323">
        <v>3.9</v>
      </c>
      <c r="M32" s="73">
        <v>51.56</v>
      </c>
      <c r="N32" s="73">
        <f t="shared" si="9"/>
        <v>158.91</v>
      </c>
      <c r="O32" s="81">
        <f>IFERROR(VLOOKUP($G32,'321買'!A:E,3,0),"'沒有資料'")</f>
        <v>1</v>
      </c>
      <c r="P32" s="380">
        <f>IFERROR(VLOOKUP($G32,'321買'!$A:$G,7,0),"'沒有資料'")</f>
        <v>783</v>
      </c>
      <c r="Q32" s="245" t="s">
        <v>3817</v>
      </c>
      <c r="R32" s="297">
        <f>IFERROR(RANK(VLOOKUP($G32,連買!$A:$D,4,0),連買!$D:$D,0),"'沒有資料'")</f>
        <v>28</v>
      </c>
      <c r="S32" s="45">
        <v>8</v>
      </c>
      <c r="T32" s="353">
        <f t="shared" si="1"/>
        <v>1.2841091492776886E-2</v>
      </c>
      <c r="U32" s="57">
        <v>27.27</v>
      </c>
      <c r="V32" s="36">
        <f>RTD("money.excel",,"6488","Price")</f>
        <v>623</v>
      </c>
      <c r="W32" s="66">
        <v>654</v>
      </c>
      <c r="X32" s="15">
        <f t="shared" si="2"/>
        <v>-31</v>
      </c>
      <c r="Y32" s="3">
        <f t="shared" si="3"/>
        <v>-4.7400611620795105E-2</v>
      </c>
      <c r="Z32" s="413">
        <v>-32.72</v>
      </c>
      <c r="AA32" s="161">
        <v>1</v>
      </c>
      <c r="AB32" s="409">
        <v>0</v>
      </c>
      <c r="AC32" s="259">
        <f t="shared" si="4"/>
        <v>1</v>
      </c>
      <c r="AD32" s="16" t="s">
        <v>34</v>
      </c>
      <c r="AE32" s="84"/>
      <c r="AF32" s="83"/>
      <c r="AG32" s="33">
        <f t="shared" ref="AG32:AG39" si="11">AF32-AE32</f>
        <v>0</v>
      </c>
      <c r="AH32" s="121" t="s">
        <v>2337</v>
      </c>
      <c r="AI32" s="63">
        <f t="shared" si="6"/>
        <v>2.7848970251716249E-3</v>
      </c>
      <c r="AJ32" s="307">
        <f>RTD("money.excel",,$G32,"PredictVolume")</f>
        <v>1217</v>
      </c>
      <c r="AK32" s="339"/>
      <c r="AL32" s="302"/>
    </row>
    <row r="33" spans="1:38" s="264" customFormat="1">
      <c r="A33" s="130" t="s">
        <v>4631</v>
      </c>
      <c r="B33" s="79">
        <v>41</v>
      </c>
      <c r="C33" s="79">
        <v>63</v>
      </c>
      <c r="D33" s="79">
        <v>81</v>
      </c>
      <c r="E33" s="79">
        <v>53</v>
      </c>
      <c r="F33" s="57">
        <v>15.39</v>
      </c>
      <c r="G33" s="79">
        <v>8069</v>
      </c>
      <c r="H33" s="149" t="s">
        <v>1985</v>
      </c>
      <c r="I33" s="16" t="s">
        <v>4632</v>
      </c>
      <c r="J33" s="323">
        <v>72.92</v>
      </c>
      <c r="K33" s="323">
        <v>41.39</v>
      </c>
      <c r="L33" s="73">
        <v>5.46</v>
      </c>
      <c r="M33" s="323">
        <v>11.19</v>
      </c>
      <c r="N33" s="73">
        <f t="shared" si="9"/>
        <v>130.96</v>
      </c>
      <c r="O33" s="81">
        <f>IFERROR(VLOOKUP($G33,'321買'!A:E,3,0),"'沒有資料'")</f>
        <v>14</v>
      </c>
      <c r="P33" s="380">
        <f>IFERROR(VLOOKUP($G33,'321買'!$A:$G,7,0),"'沒有資料'")</f>
        <v>348</v>
      </c>
      <c r="Q33" s="245" t="s">
        <v>3816</v>
      </c>
      <c r="R33" s="297">
        <f>IFERROR(RANK(VLOOKUP($G33,連買!$A:$D,4,0),連買!$D:$D,0),"'沒有資料'")</f>
        <v>217</v>
      </c>
      <c r="S33" s="45">
        <v>3.2</v>
      </c>
      <c r="T33" s="353">
        <f t="shared" si="1"/>
        <v>1.7827298050139277E-2</v>
      </c>
      <c r="U33" s="57">
        <v>4.53</v>
      </c>
      <c r="V33" s="13">
        <f>RTD("money.excel",,"8069","Price")</f>
        <v>179.5</v>
      </c>
      <c r="W33" s="66">
        <v>174.5</v>
      </c>
      <c r="X33" s="15">
        <f t="shared" si="2"/>
        <v>5</v>
      </c>
      <c r="Y33" s="3">
        <f t="shared" ref="Y33:Y39" si="12">X33/W33</f>
        <v>2.865329512893983E-2</v>
      </c>
      <c r="Z33" s="413">
        <v>-10.97</v>
      </c>
      <c r="AA33" s="161">
        <v>1</v>
      </c>
      <c r="AB33" s="409">
        <v>0</v>
      </c>
      <c r="AC33" s="259">
        <f t="shared" si="4"/>
        <v>1</v>
      </c>
      <c r="AD33" s="16" t="s">
        <v>4632</v>
      </c>
      <c r="AE33" s="84"/>
      <c r="AF33" s="83"/>
      <c r="AG33" s="33">
        <f t="shared" si="11"/>
        <v>0</v>
      </c>
      <c r="AH33" s="120" t="s">
        <v>4633</v>
      </c>
      <c r="AI33" s="63">
        <f t="shared" si="6"/>
        <v>2.3542105263157895E-2</v>
      </c>
      <c r="AJ33" s="307">
        <f>RTD("money.excel",,$G33,"PredictVolume")</f>
        <v>26838</v>
      </c>
      <c r="AK33" s="339">
        <v>9.06</v>
      </c>
      <c r="AL33" s="302"/>
    </row>
    <row r="34" spans="1:38" s="264" customFormat="1">
      <c r="A34" s="130" t="s">
        <v>1709</v>
      </c>
      <c r="B34" s="79">
        <v>87</v>
      </c>
      <c r="C34" s="79">
        <v>90</v>
      </c>
      <c r="D34" s="79">
        <v>19</v>
      </c>
      <c r="E34" s="79">
        <v>41</v>
      </c>
      <c r="F34" s="57">
        <v>32.090000000000003</v>
      </c>
      <c r="G34" s="79">
        <v>5347</v>
      </c>
      <c r="H34" s="149" t="s">
        <v>3254</v>
      </c>
      <c r="I34" s="16" t="s">
        <v>33</v>
      </c>
      <c r="J34" s="323">
        <v>84.33</v>
      </c>
      <c r="K34" s="323">
        <v>33.909999999999997</v>
      </c>
      <c r="L34" s="73">
        <v>1.28</v>
      </c>
      <c r="M34" s="323">
        <v>45.36</v>
      </c>
      <c r="N34" s="73">
        <f t="shared" si="9"/>
        <v>164.88</v>
      </c>
      <c r="O34" s="81">
        <f>IFERROR(VLOOKUP($G34,'321買'!A:E,3,0),"'沒有資料'")</f>
        <v>2</v>
      </c>
      <c r="P34" s="380">
        <f>IFERROR(VLOOKUP($G34,'321買'!$A:$G,7,0),"'沒有資料'")</f>
        <v>706</v>
      </c>
      <c r="Q34" s="245" t="s">
        <v>3817</v>
      </c>
      <c r="R34" s="297">
        <f>IFERROR(RANK(VLOOKUP($G34,連買!$A:$D,4,0),連買!$D:$D,0),"'沒有資料'")</f>
        <v>1623</v>
      </c>
      <c r="S34" s="45">
        <v>4.5</v>
      </c>
      <c r="T34" s="353">
        <f t="shared" si="1"/>
        <v>4.0178571428571432E-2</v>
      </c>
      <c r="U34" s="57">
        <v>7.21</v>
      </c>
      <c r="V34" s="36">
        <f>RTD("money.excel",,"5347","Price")</f>
        <v>112</v>
      </c>
      <c r="W34" s="66">
        <v>116.5</v>
      </c>
      <c r="X34" s="15">
        <f t="shared" si="2"/>
        <v>-4.5</v>
      </c>
      <c r="Y34" s="3">
        <f t="shared" si="12"/>
        <v>-3.8626609442060089E-2</v>
      </c>
      <c r="Z34" s="413">
        <v>-34.18</v>
      </c>
      <c r="AA34" s="161">
        <v>1</v>
      </c>
      <c r="AB34" s="409">
        <v>1</v>
      </c>
      <c r="AC34" s="259">
        <f t="shared" si="4"/>
        <v>0</v>
      </c>
      <c r="AD34" s="16" t="s">
        <v>33</v>
      </c>
      <c r="AE34" s="84"/>
      <c r="AF34" s="83"/>
      <c r="AG34" s="33">
        <f t="shared" si="11"/>
        <v>0</v>
      </c>
      <c r="AH34" s="120" t="s">
        <v>1459</v>
      </c>
      <c r="AI34" s="63">
        <f t="shared" si="6"/>
        <v>3.6300613496932513E-3</v>
      </c>
      <c r="AJ34" s="307">
        <f>RTD("money.excel",,$G34,"PredictVolume")</f>
        <v>5917</v>
      </c>
      <c r="AK34" s="339">
        <v>3.26</v>
      </c>
      <c r="AL34" s="302"/>
    </row>
    <row r="35" spans="1:38" s="264" customFormat="1">
      <c r="A35" s="130" t="s">
        <v>1662</v>
      </c>
      <c r="B35" s="79">
        <v>54</v>
      </c>
      <c r="C35" s="79">
        <v>54</v>
      </c>
      <c r="D35" s="80">
        <v>-75</v>
      </c>
      <c r="E35" s="79">
        <v>9</v>
      </c>
      <c r="F35" s="57">
        <v>53.68</v>
      </c>
      <c r="G35" s="79">
        <v>3529</v>
      </c>
      <c r="H35" s="149" t="s">
        <v>3254</v>
      </c>
      <c r="I35" s="16" t="s">
        <v>36</v>
      </c>
      <c r="J35" s="73">
        <v>35.26</v>
      </c>
      <c r="K35" s="323">
        <v>73.77</v>
      </c>
      <c r="L35" s="73">
        <v>4.5</v>
      </c>
      <c r="M35" s="73">
        <v>8.83</v>
      </c>
      <c r="N35" s="318">
        <f t="shared" si="9"/>
        <v>122.36</v>
      </c>
      <c r="O35" s="81">
        <f>IFERROR(VLOOKUP($G35,'321買'!A:E,3,0),"'沒有資料'")</f>
        <v>5</v>
      </c>
      <c r="P35" s="380">
        <f>IFERROR(VLOOKUP($G35,'321買'!$A:$G,7,0),"'沒有資料'")</f>
        <v>558</v>
      </c>
      <c r="Q35" s="245" t="s">
        <v>3817</v>
      </c>
      <c r="R35" s="297">
        <f>IFERROR(RANK(VLOOKUP($G35,連買!$A:$D,4,0),連買!$D:$D,0),"'沒有資料'")</f>
        <v>5</v>
      </c>
      <c r="S35" s="45">
        <v>14</v>
      </c>
      <c r="T35" s="353">
        <f t="shared" si="1"/>
        <v>9.5890410958904115E-3</v>
      </c>
      <c r="U35" s="95">
        <v>14.78</v>
      </c>
      <c r="V35" s="155">
        <f>RTD("money.excel",,"3529","Price")</f>
        <v>1460</v>
      </c>
      <c r="W35" s="66">
        <v>1570</v>
      </c>
      <c r="X35" s="141">
        <f t="shared" si="2"/>
        <v>-110</v>
      </c>
      <c r="Y35" s="3">
        <f t="shared" si="12"/>
        <v>-7.0063694267515922E-2</v>
      </c>
      <c r="Z35" s="413">
        <v>-37.700000000000003</v>
      </c>
      <c r="AA35" s="161">
        <v>0</v>
      </c>
      <c r="AB35" s="409">
        <v>0</v>
      </c>
      <c r="AC35" s="259">
        <f t="shared" si="4"/>
        <v>0</v>
      </c>
      <c r="AD35" s="16" t="s">
        <v>36</v>
      </c>
      <c r="AE35" s="84"/>
      <c r="AF35" s="83"/>
      <c r="AG35" s="33">
        <f t="shared" si="11"/>
        <v>0</v>
      </c>
      <c r="AH35" s="120" t="s">
        <v>3110</v>
      </c>
      <c r="AI35" s="63">
        <f t="shared" si="6"/>
        <v>5.9132720105124839E-3</v>
      </c>
      <c r="AJ35" s="307">
        <f>RTD("money.excel",,$G35,"PredictVolume")</f>
        <v>450</v>
      </c>
      <c r="AK35" s="339">
        <v>8.49</v>
      </c>
      <c r="AL35" s="302"/>
    </row>
    <row r="36" spans="1:38" s="264" customFormat="1">
      <c r="A36" s="130" t="s">
        <v>1663</v>
      </c>
      <c r="B36" s="79">
        <v>30</v>
      </c>
      <c r="C36" s="79">
        <v>30</v>
      </c>
      <c r="D36" s="79">
        <v>29</v>
      </c>
      <c r="E36" s="79">
        <v>66</v>
      </c>
      <c r="F36" s="57">
        <v>45.42</v>
      </c>
      <c r="G36" s="79">
        <v>5274</v>
      </c>
      <c r="H36" s="149" t="s">
        <v>3254</v>
      </c>
      <c r="I36" s="16" t="s">
        <v>217</v>
      </c>
      <c r="J36" s="323">
        <v>21.33</v>
      </c>
      <c r="K36" s="323">
        <v>69.25</v>
      </c>
      <c r="L36" s="73">
        <v>1.01</v>
      </c>
      <c r="M36" s="323">
        <v>21.79</v>
      </c>
      <c r="N36" s="318">
        <f t="shared" si="9"/>
        <v>113.38</v>
      </c>
      <c r="O36" s="81">
        <f>IFERROR(VLOOKUP($G36,'321買'!A:E,3,0),"'沒有資料'")</f>
        <v>12</v>
      </c>
      <c r="P36" s="380">
        <f>IFERROR(VLOOKUP($G36,'321買'!$A:$G,7,0),"'沒有資料'")</f>
        <v>387</v>
      </c>
      <c r="Q36" s="245" t="s">
        <v>3816</v>
      </c>
      <c r="R36" s="297">
        <f>IFERROR(RANK(VLOOKUP($G36,連買!$A:$D,4,0),連買!$D:$D,0),"'沒有資料'")</f>
        <v>1</v>
      </c>
      <c r="S36" s="45">
        <v>36</v>
      </c>
      <c r="T36" s="353">
        <f t="shared" si="1"/>
        <v>1.0827067669172932E-2</v>
      </c>
      <c r="U36" s="95">
        <v>38.32</v>
      </c>
      <c r="V36" s="155">
        <f>RTD("money.excel",,"5274","Price")</f>
        <v>3325</v>
      </c>
      <c r="W36" s="66">
        <v>3015</v>
      </c>
      <c r="X36" s="141">
        <f t="shared" si="2"/>
        <v>310</v>
      </c>
      <c r="Y36" s="3">
        <f t="shared" si="12"/>
        <v>0.10281923714759536</v>
      </c>
      <c r="Z36" s="413">
        <v>-17.55</v>
      </c>
      <c r="AA36" s="161">
        <v>2</v>
      </c>
      <c r="AB36" s="409">
        <v>0</v>
      </c>
      <c r="AC36" s="259">
        <f t="shared" si="4"/>
        <v>2</v>
      </c>
      <c r="AD36" s="16" t="s">
        <v>217</v>
      </c>
      <c r="AE36" s="84"/>
      <c r="AF36" s="83"/>
      <c r="AG36" s="33">
        <f t="shared" si="11"/>
        <v>0</v>
      </c>
      <c r="AH36" s="120" t="s">
        <v>2541</v>
      </c>
      <c r="AI36" s="63">
        <f t="shared" si="6"/>
        <v>6.0465116279069765E-3</v>
      </c>
      <c r="AJ36" s="307">
        <f>RTD("money.excel",,$G36,"PredictVolume")</f>
        <v>208</v>
      </c>
      <c r="AK36" s="339">
        <v>3.92</v>
      </c>
      <c r="AL36" s="302"/>
    </row>
    <row r="37" spans="1:38" s="264" customFormat="1">
      <c r="A37" s="130" t="s">
        <v>1701</v>
      </c>
      <c r="B37" s="80">
        <v>-19</v>
      </c>
      <c r="C37" s="80">
        <v>-17</v>
      </c>
      <c r="D37" s="79">
        <v>3</v>
      </c>
      <c r="E37" s="80">
        <v>-7</v>
      </c>
      <c r="F37" s="57">
        <v>24.53</v>
      </c>
      <c r="G37" s="79">
        <v>3105</v>
      </c>
      <c r="H37" s="149" t="s">
        <v>3254</v>
      </c>
      <c r="I37" s="16" t="s">
        <v>260</v>
      </c>
      <c r="J37" s="323">
        <v>58.11</v>
      </c>
      <c r="K37" s="323">
        <v>46.36</v>
      </c>
      <c r="L37" s="73">
        <v>4.49</v>
      </c>
      <c r="M37" s="323">
        <v>6.62</v>
      </c>
      <c r="N37" s="318">
        <f t="shared" si="9"/>
        <v>115.58</v>
      </c>
      <c r="O37" s="81">
        <f>IFERROR(VLOOKUP($G37,'321買'!A:E,3,0),"'沒有資料'")</f>
        <v>10</v>
      </c>
      <c r="P37" s="380">
        <f>IFERROR(VLOOKUP($G37,'321買'!$A:$G,7,0),"'沒有資料'")</f>
        <v>408</v>
      </c>
      <c r="Q37" s="245" t="s">
        <v>3816</v>
      </c>
      <c r="R37" s="297">
        <f>IFERROR(RANK(VLOOKUP($G37,連買!$A:$D,4,0),連買!$D:$D,0),"'沒有資料'")</f>
        <v>113</v>
      </c>
      <c r="S37" s="45">
        <v>8</v>
      </c>
      <c r="T37" s="353">
        <f t="shared" si="1"/>
        <v>3.4782608695652174E-2</v>
      </c>
      <c r="U37" s="57">
        <v>12.9</v>
      </c>
      <c r="V37" s="13">
        <f>RTD("money.excel",,"3105","Price")</f>
        <v>230</v>
      </c>
      <c r="W37" s="66">
        <v>240.5</v>
      </c>
      <c r="X37" s="15">
        <f t="shared" si="2"/>
        <v>-10.5</v>
      </c>
      <c r="Y37" s="3">
        <f t="shared" si="12"/>
        <v>-4.3659043659043661E-2</v>
      </c>
      <c r="Z37" s="413">
        <v>-40.17</v>
      </c>
      <c r="AA37" s="161">
        <v>0</v>
      </c>
      <c r="AB37" s="409">
        <v>0</v>
      </c>
      <c r="AC37" s="259">
        <f t="shared" si="4"/>
        <v>0</v>
      </c>
      <c r="AD37" s="16" t="s">
        <v>260</v>
      </c>
      <c r="AE37" s="84"/>
      <c r="AF37" s="83"/>
      <c r="AG37" s="33">
        <f t="shared" si="11"/>
        <v>0</v>
      </c>
      <c r="AH37" s="120" t="s">
        <v>2508</v>
      </c>
      <c r="AI37" s="63">
        <f t="shared" si="6"/>
        <v>4.7806603773584908E-3</v>
      </c>
      <c r="AJ37" s="307">
        <f>RTD("money.excel",,$G37,"PredictVolume")</f>
        <v>2027</v>
      </c>
      <c r="AK37" s="339">
        <v>6.32</v>
      </c>
      <c r="AL37" s="302"/>
    </row>
    <row r="38" spans="1:38" s="264" customFormat="1">
      <c r="A38" s="130" t="s">
        <v>1712</v>
      </c>
      <c r="B38" s="80">
        <v>-1</v>
      </c>
      <c r="C38" s="79">
        <v>21</v>
      </c>
      <c r="D38" s="79">
        <v>8</v>
      </c>
      <c r="E38" s="79">
        <v>8</v>
      </c>
      <c r="F38" s="57">
        <v>26.26</v>
      </c>
      <c r="G38" s="79">
        <v>5483</v>
      </c>
      <c r="H38" s="149" t="s">
        <v>3254</v>
      </c>
      <c r="I38" s="16" t="s">
        <v>145</v>
      </c>
      <c r="J38" s="323">
        <v>56.84</v>
      </c>
      <c r="K38" s="323">
        <v>27.28</v>
      </c>
      <c r="L38" s="73">
        <v>8.84</v>
      </c>
      <c r="M38" s="323">
        <v>5.49</v>
      </c>
      <c r="N38" s="318">
        <f t="shared" si="9"/>
        <v>98.45</v>
      </c>
      <c r="O38" s="81">
        <f>IFERROR(VLOOKUP($G38,'321買'!A:E,3,0),"'沒有資料'")</f>
        <v>19</v>
      </c>
      <c r="P38" s="380">
        <f>IFERROR(VLOOKUP($G38,'321買'!$A:$G,7,0),"'沒有資料'")</f>
        <v>258</v>
      </c>
      <c r="Q38" s="245" t="s">
        <v>3817</v>
      </c>
      <c r="R38" s="297">
        <f>IFERROR(RANK(VLOOKUP($G38,連買!$A:$D,4,0),連買!$D:$D,0),"'沒有資料'")</f>
        <v>1532</v>
      </c>
      <c r="S38" s="45">
        <v>3.5</v>
      </c>
      <c r="T38" s="353">
        <f t="shared" si="1"/>
        <v>2.1671826625386997E-2</v>
      </c>
      <c r="U38" s="57">
        <v>12.22</v>
      </c>
      <c r="V38" s="36">
        <f>RTD("money.excel",,"5483","Price")</f>
        <v>161.5</v>
      </c>
      <c r="W38" s="66">
        <v>172</v>
      </c>
      <c r="X38" s="15">
        <f t="shared" si="2"/>
        <v>-10.5</v>
      </c>
      <c r="Y38" s="3">
        <f t="shared" si="12"/>
        <v>-6.1046511627906974E-2</v>
      </c>
      <c r="Z38" s="413">
        <v>-30.92</v>
      </c>
      <c r="AA38" s="161">
        <v>0</v>
      </c>
      <c r="AB38" s="409">
        <v>1</v>
      </c>
      <c r="AC38" s="259">
        <f t="shared" si="4"/>
        <v>-1</v>
      </c>
      <c r="AD38" s="16" t="s">
        <v>145</v>
      </c>
      <c r="AE38" s="84"/>
      <c r="AF38" s="83"/>
      <c r="AG38" s="33">
        <f t="shared" si="11"/>
        <v>0</v>
      </c>
      <c r="AH38" s="120" t="s">
        <v>2534</v>
      </c>
      <c r="AI38" s="63">
        <f t="shared" si="6"/>
        <v>4.1774744027303756E-3</v>
      </c>
      <c r="AJ38" s="307">
        <f>RTD("money.excel",,$G38,"PredictVolume")</f>
        <v>2448</v>
      </c>
      <c r="AK38" s="339">
        <v>12.91</v>
      </c>
      <c r="AL38" s="302"/>
    </row>
    <row r="39" spans="1:38" s="264" customFormat="1">
      <c r="A39" s="146" t="s">
        <v>2453</v>
      </c>
      <c r="B39" s="80">
        <v>-44</v>
      </c>
      <c r="C39" s="80">
        <v>-64</v>
      </c>
      <c r="D39" s="79">
        <v>140</v>
      </c>
      <c r="E39" s="79">
        <v>301</v>
      </c>
      <c r="F39" s="73">
        <v>-429.91</v>
      </c>
      <c r="G39" s="79">
        <v>6446</v>
      </c>
      <c r="H39" s="8" t="s">
        <v>311</v>
      </c>
      <c r="I39" s="16" t="s">
        <v>620</v>
      </c>
      <c r="J39" s="73">
        <v>44.9</v>
      </c>
      <c r="K39" s="73">
        <v>6.03</v>
      </c>
      <c r="L39" s="73"/>
      <c r="M39" s="323">
        <v>17.739999999999998</v>
      </c>
      <c r="N39" s="318">
        <f t="shared" si="9"/>
        <v>68.67</v>
      </c>
      <c r="O39" s="81" t="str">
        <f>IFERROR(VLOOKUP($G39,'321買'!A:E,3,0),"'沒有資料'")</f>
        <v>'沒有資料'</v>
      </c>
      <c r="P39" s="380" t="str">
        <f>IFERROR(VLOOKUP($G39,'321買'!$A:$G,7,0),"'沒有資料'")</f>
        <v>'沒有資料'</v>
      </c>
      <c r="Q39" s="245"/>
      <c r="R39" s="297">
        <f>IFERROR(RANK(VLOOKUP($G39,連買!$A:$D,4,0),連買!$D:$D,0),"'沒有資料'")</f>
        <v>123</v>
      </c>
      <c r="S39" s="34">
        <v>0</v>
      </c>
      <c r="T39" s="353">
        <f t="shared" si="1"/>
        <v>0</v>
      </c>
      <c r="U39" s="412">
        <v>-10.79</v>
      </c>
      <c r="V39" s="36">
        <f>RTD("money.excel",,"6446","Price")</f>
        <v>312</v>
      </c>
      <c r="W39" s="66">
        <v>325</v>
      </c>
      <c r="X39" s="15">
        <f t="shared" si="2"/>
        <v>-13</v>
      </c>
      <c r="Y39" s="3">
        <f t="shared" si="12"/>
        <v>-0.04</v>
      </c>
      <c r="Z39" s="413">
        <v>-22.99</v>
      </c>
      <c r="AA39" s="161"/>
      <c r="AB39" s="409"/>
      <c r="AC39" s="259">
        <f t="shared" si="4"/>
        <v>0</v>
      </c>
      <c r="AD39" s="16" t="s">
        <v>620</v>
      </c>
      <c r="AE39" s="84"/>
      <c r="AF39" s="83"/>
      <c r="AG39" s="33">
        <f t="shared" si="11"/>
        <v>0</v>
      </c>
      <c r="AH39" s="43" t="s">
        <v>4135</v>
      </c>
      <c r="AI39" s="63">
        <f t="shared" si="6"/>
        <v>1.6064981949458484E-3</v>
      </c>
      <c r="AJ39" s="307">
        <f>RTD("money.excel",,$G39,"PredictVolume")</f>
        <v>445</v>
      </c>
      <c r="AK39" s="339">
        <v>3.11</v>
      </c>
      <c r="AL39" s="302"/>
    </row>
    <row r="40" spans="1:38" s="264" customFormat="1">
      <c r="A40" s="130" t="s">
        <v>1725</v>
      </c>
      <c r="B40" s="80">
        <v>-6</v>
      </c>
      <c r="C40" s="79">
        <v>133</v>
      </c>
      <c r="D40" s="80">
        <v>-2</v>
      </c>
      <c r="E40" s="79">
        <v>45</v>
      </c>
      <c r="F40" s="57">
        <v>14.52</v>
      </c>
      <c r="G40" s="79">
        <v>8299</v>
      </c>
      <c r="H40" s="204" t="s">
        <v>3254</v>
      </c>
      <c r="I40" s="16" t="s">
        <v>4398</v>
      </c>
      <c r="J40" s="323">
        <v>37.380000000000003</v>
      </c>
      <c r="K40" s="323">
        <v>44.4</v>
      </c>
      <c r="L40" s="73">
        <v>14.28</v>
      </c>
      <c r="M40" s="323">
        <v>18.940000000000001</v>
      </c>
      <c r="N40" s="318">
        <f>J40+K40+L40+M40</f>
        <v>115</v>
      </c>
      <c r="O40" s="81">
        <f>IFERROR(VLOOKUP($G40,'321買'!A:E,3,0),"'沒有資料'")</f>
        <v>21</v>
      </c>
      <c r="P40" s="380">
        <f>IFERROR(VLOOKUP($G40,'321買'!$A:$G,7,0),"'沒有資料'")</f>
        <v>250</v>
      </c>
      <c r="Q40" s="245" t="s">
        <v>3817</v>
      </c>
      <c r="R40" s="297">
        <f>IFERROR(RANK(VLOOKUP($G40,連買!$A:$D,4,0),連買!$D:$D,0),"'沒有資料'")</f>
        <v>19</v>
      </c>
      <c r="S40" s="45">
        <v>13</v>
      </c>
      <c r="T40" s="353">
        <f t="shared" si="1"/>
        <v>3.0660377358490566E-2</v>
      </c>
      <c r="U40" s="95">
        <v>51.35</v>
      </c>
      <c r="V40" s="13">
        <f>RTD("money.excel",,"8299","Price")</f>
        <v>424</v>
      </c>
      <c r="W40" s="66">
        <v>444.5</v>
      </c>
      <c r="X40" s="15">
        <f>V40-W40</f>
        <v>-20.5</v>
      </c>
      <c r="Y40" s="3">
        <f>X40/W40</f>
        <v>-4.6119235095613047E-2</v>
      </c>
      <c r="Z40" s="413">
        <v>-19.91</v>
      </c>
      <c r="AA40" s="161">
        <v>0</v>
      </c>
      <c r="AB40" s="409">
        <v>2</v>
      </c>
      <c r="AC40" s="259">
        <f t="shared" si="4"/>
        <v>-2</v>
      </c>
      <c r="AD40" s="16" t="s">
        <v>4398</v>
      </c>
      <c r="AE40" s="84"/>
      <c r="AF40" s="83"/>
      <c r="AG40" s="33">
        <f>AF40-AE40</f>
        <v>0</v>
      </c>
      <c r="AH40" s="120" t="s">
        <v>2289</v>
      </c>
      <c r="AI40" s="63">
        <f t="shared" si="6"/>
        <v>1.482741116751269E-2</v>
      </c>
      <c r="AJ40" s="307">
        <f>RTD("money.excel",,$G40,"PredictVolume")</f>
        <v>2921</v>
      </c>
      <c r="AK40" s="339">
        <v>9.6300000000000008</v>
      </c>
      <c r="AL40" s="302"/>
    </row>
    <row r="41" spans="1:38" s="264" customFormat="1">
      <c r="A41" s="146" t="s">
        <v>8638</v>
      </c>
      <c r="B41" s="80">
        <v>-64</v>
      </c>
      <c r="C41" s="80">
        <v>-30</v>
      </c>
      <c r="D41" s="79">
        <v>70</v>
      </c>
      <c r="E41" s="79">
        <v>93</v>
      </c>
      <c r="F41" s="47">
        <v>-1335</v>
      </c>
      <c r="G41" s="79">
        <v>4743</v>
      </c>
      <c r="H41" s="8" t="s">
        <v>311</v>
      </c>
      <c r="I41" s="16" t="s">
        <v>288</v>
      </c>
      <c r="J41" s="73">
        <v>49.96</v>
      </c>
      <c r="K41" s="323">
        <v>12.74</v>
      </c>
      <c r="L41" s="323"/>
      <c r="M41" s="323">
        <v>20.83</v>
      </c>
      <c r="N41" s="318">
        <f t="shared" ref="N41" si="13">J41+K41+L41+M41</f>
        <v>83.53</v>
      </c>
      <c r="O41" s="81" t="str">
        <f>IFERROR(VLOOKUP($G41,'321買'!A:E,3,0),"'沒有資料'")</f>
        <v>'沒有資料'</v>
      </c>
      <c r="P41" s="380" t="str">
        <f>IFERROR(VLOOKUP($G41,'321買'!$A:$G,7,0),"'沒有資料'")</f>
        <v>'沒有資料'</v>
      </c>
      <c r="Q41" s="245"/>
      <c r="R41" s="297">
        <f>IFERROR(RANK(VLOOKUP($G41,連買!$A:$D,4,0),連買!$D:$D,0),"'沒有資料'")</f>
        <v>47</v>
      </c>
      <c r="S41" s="34">
        <v>0</v>
      </c>
      <c r="T41" s="353">
        <f t="shared" si="1"/>
        <v>0</v>
      </c>
      <c r="U41" s="57">
        <v>-2.4500000000000002</v>
      </c>
      <c r="V41" s="36">
        <f>RTD("money.excel",,"4743","Price")</f>
        <v>200.5</v>
      </c>
      <c r="W41" s="66">
        <v>207</v>
      </c>
      <c r="X41" s="15">
        <f t="shared" ref="X41" si="14">V41-W41</f>
        <v>-6.5</v>
      </c>
      <c r="Y41" s="3">
        <f t="shared" ref="Y41" si="15">X41/W41</f>
        <v>-3.140096618357488E-2</v>
      </c>
      <c r="Z41" s="413">
        <v>-38.76</v>
      </c>
      <c r="AA41" s="161"/>
      <c r="AB41" s="409"/>
      <c r="AC41" s="259">
        <f t="shared" si="4"/>
        <v>0</v>
      </c>
      <c r="AD41" s="16" t="s">
        <v>288</v>
      </c>
      <c r="AE41" s="84"/>
      <c r="AF41" s="83"/>
      <c r="AG41" s="33">
        <f t="shared" ref="AG41" si="16">AF41-AE41</f>
        <v>0</v>
      </c>
      <c r="AH41" s="43" t="s">
        <v>4120</v>
      </c>
      <c r="AI41" s="63">
        <f t="shared" si="6"/>
        <v>4.7818181818181822E-3</v>
      </c>
      <c r="AJ41" s="307">
        <f>RTD("money.excel",,$G41,"PredictVolume")</f>
        <v>1841</v>
      </c>
      <c r="AK41" s="339">
        <v>7.48</v>
      </c>
      <c r="AL41" s="302"/>
    </row>
    <row r="42" spans="1:38">
      <c r="B42" s="91"/>
      <c r="C42" s="91"/>
      <c r="D42" s="91"/>
      <c r="E42" s="91"/>
      <c r="F42" s="8"/>
      <c r="G42" s="26"/>
      <c r="H42" s="55"/>
      <c r="I42" s="50"/>
      <c r="J42" s="317"/>
      <c r="K42" s="317"/>
      <c r="L42" s="317"/>
      <c r="M42" s="317"/>
      <c r="N42" s="317"/>
      <c r="P42" s="379"/>
      <c r="Q42" s="303"/>
      <c r="R42" s="391"/>
      <c r="S42" s="10"/>
      <c r="T42" s="351"/>
      <c r="U42" s="68"/>
      <c r="V42" s="28"/>
      <c r="W42" s="17"/>
      <c r="X42" s="14"/>
      <c r="Y42" s="21"/>
      <c r="Z42" s="51"/>
      <c r="AA42" s="406"/>
      <c r="AB42" s="407"/>
      <c r="AC42" s="408"/>
      <c r="AD42" s="50"/>
      <c r="AE42" s="71"/>
      <c r="AF42" s="72"/>
      <c r="AG42" s="32"/>
      <c r="AH42" s="25"/>
      <c r="AI42" s="8"/>
      <c r="AJ42" s="50"/>
    </row>
    <row r="43" spans="1:38">
      <c r="B43" s="91"/>
      <c r="C43" s="91"/>
      <c r="D43" s="91"/>
      <c r="E43" s="91"/>
      <c r="F43" s="8"/>
      <c r="G43" s="26"/>
      <c r="H43" s="55"/>
      <c r="I43" s="50"/>
      <c r="J43" s="317"/>
      <c r="K43" s="317"/>
      <c r="L43" s="317"/>
      <c r="M43" s="317"/>
      <c r="N43" s="317"/>
      <c r="P43" s="379"/>
      <c r="Q43" s="303"/>
      <c r="R43" s="391"/>
      <c r="S43" s="10"/>
      <c r="T43" s="351"/>
      <c r="U43" s="68"/>
      <c r="V43" s="28"/>
      <c r="W43" s="17"/>
      <c r="X43" s="14"/>
      <c r="Y43" s="21"/>
      <c r="Z43" s="51"/>
      <c r="AA43" s="126"/>
      <c r="AD43" s="50"/>
      <c r="AE43" s="71"/>
      <c r="AF43" s="72"/>
      <c r="AG43" s="32"/>
      <c r="AH43" s="249"/>
      <c r="AI43" s="8"/>
      <c r="AJ43" s="50"/>
    </row>
    <row r="44" spans="1:38">
      <c r="B44" s="80"/>
      <c r="C44" s="80"/>
      <c r="D44" s="80"/>
      <c r="E44" s="79"/>
      <c r="F44" s="57"/>
      <c r="G44" s="80"/>
      <c r="H44" s="8"/>
      <c r="I44" s="22"/>
      <c r="J44" s="323"/>
      <c r="K44" s="73"/>
      <c r="L44" s="323"/>
      <c r="M44" s="73"/>
      <c r="N44" s="318"/>
      <c r="O44" s="81"/>
      <c r="Q44" s="303"/>
      <c r="S44" s="45"/>
      <c r="T44" s="353"/>
      <c r="U44" s="95"/>
      <c r="V44" s="36"/>
      <c r="W44" s="66"/>
      <c r="X44" s="15"/>
      <c r="Y44" s="3"/>
      <c r="Z44" s="173"/>
      <c r="AA44" s="126"/>
      <c r="AD44" s="22"/>
      <c r="AG44" s="33"/>
      <c r="AH44" s="120"/>
      <c r="AI44" s="63"/>
      <c r="AJ44" s="307"/>
      <c r="AK44" s="339"/>
    </row>
    <row r="45" spans="1:38">
      <c r="B45" s="79"/>
      <c r="C45" s="79"/>
      <c r="D45" s="80"/>
      <c r="E45" s="79"/>
      <c r="F45" s="57"/>
      <c r="G45" s="79"/>
      <c r="H45" s="8"/>
      <c r="I45" s="16"/>
      <c r="J45" s="73"/>
      <c r="K45" s="73"/>
      <c r="M45" s="323"/>
      <c r="N45" s="318"/>
      <c r="O45" s="81"/>
      <c r="Q45" s="303"/>
      <c r="S45" s="45"/>
      <c r="T45" s="353"/>
      <c r="U45" s="95"/>
      <c r="V45" s="36"/>
      <c r="W45" s="66"/>
      <c r="X45" s="15"/>
      <c r="Y45" s="3"/>
      <c r="Z45" s="173"/>
      <c r="AA45" s="126"/>
      <c r="AD45" s="16"/>
      <c r="AG45" s="33"/>
      <c r="AH45" s="43"/>
      <c r="AI45" s="63"/>
      <c r="AJ45" s="307"/>
    </row>
    <row r="46" spans="1:38">
      <c r="B46" s="79"/>
      <c r="C46" s="79"/>
      <c r="D46" s="80"/>
      <c r="E46" s="79"/>
      <c r="F46" s="57"/>
      <c r="G46" s="79"/>
      <c r="H46" s="8"/>
      <c r="I46" s="16"/>
      <c r="J46" s="73"/>
      <c r="K46" s="73"/>
      <c r="M46" s="73"/>
      <c r="N46" s="318"/>
      <c r="O46" s="81"/>
      <c r="Q46" s="303"/>
      <c r="S46" s="45"/>
      <c r="T46" s="353"/>
      <c r="U46" s="95"/>
      <c r="V46" s="36"/>
      <c r="W46" s="66"/>
      <c r="X46" s="15"/>
      <c r="Y46" s="3"/>
      <c r="Z46" s="173"/>
      <c r="AA46" s="126"/>
      <c r="AD46" s="16"/>
      <c r="AG46" s="33"/>
      <c r="AH46" s="43"/>
      <c r="AI46" s="63"/>
      <c r="AJ46" s="307"/>
      <c r="AK46" s="339"/>
    </row>
    <row r="47" spans="1:38">
      <c r="A47" s="146"/>
      <c r="B47" s="79"/>
      <c r="C47" s="79"/>
      <c r="D47" s="79"/>
      <c r="E47" s="79"/>
      <c r="F47" s="6"/>
      <c r="G47" s="79"/>
      <c r="H47" s="8"/>
      <c r="I47" s="22"/>
      <c r="J47" s="73"/>
      <c r="K47" s="73"/>
      <c r="M47" s="323"/>
      <c r="N47" s="318"/>
      <c r="O47" s="81"/>
      <c r="Q47" s="303"/>
      <c r="S47" s="45"/>
      <c r="T47" s="353"/>
      <c r="U47" s="95"/>
      <c r="V47" s="36"/>
      <c r="W47" s="66"/>
      <c r="X47" s="15"/>
      <c r="Y47" s="3"/>
      <c r="Z47" s="173"/>
      <c r="AA47" s="126"/>
      <c r="AD47" s="22"/>
      <c r="AG47" s="33"/>
      <c r="AH47" s="120"/>
      <c r="AI47" s="63"/>
      <c r="AJ47" s="307"/>
      <c r="AK47" s="339"/>
    </row>
    <row r="48" spans="1:38">
      <c r="B48" s="79"/>
      <c r="C48" s="79"/>
      <c r="D48" s="80"/>
      <c r="E48" s="79"/>
      <c r="F48" s="57"/>
      <c r="G48" s="79"/>
      <c r="H48" s="8"/>
      <c r="I48" s="22"/>
      <c r="J48" s="323"/>
      <c r="K48" s="73"/>
      <c r="L48" s="323"/>
      <c r="M48" s="323"/>
      <c r="N48" s="318"/>
      <c r="O48" s="81"/>
      <c r="Q48" s="303"/>
      <c r="S48" s="45"/>
      <c r="T48" s="353"/>
      <c r="U48" s="95"/>
      <c r="V48" s="13"/>
      <c r="W48" s="66"/>
      <c r="X48" s="15"/>
      <c r="Y48" s="3"/>
      <c r="Z48" s="173"/>
      <c r="AA48" s="126"/>
      <c r="AD48" s="22"/>
      <c r="AG48" s="33"/>
      <c r="AH48" s="120"/>
      <c r="AI48" s="63"/>
      <c r="AJ48" s="307"/>
      <c r="AK48" s="339"/>
    </row>
    <row r="49" spans="1:38">
      <c r="B49" s="80"/>
      <c r="C49" s="80"/>
      <c r="D49" s="80"/>
      <c r="E49" s="79"/>
      <c r="F49" s="57"/>
      <c r="G49" s="79"/>
      <c r="H49" s="8"/>
      <c r="I49" s="16"/>
      <c r="J49" s="73"/>
      <c r="K49" s="73"/>
      <c r="L49" s="323"/>
      <c r="M49" s="73"/>
      <c r="N49" s="318"/>
      <c r="O49" s="81"/>
      <c r="Q49" s="303"/>
      <c r="S49" s="34"/>
      <c r="T49" s="353"/>
      <c r="U49" s="95"/>
      <c r="V49" s="36"/>
      <c r="W49" s="66"/>
      <c r="X49" s="15"/>
      <c r="Y49" s="3"/>
      <c r="Z49" s="173"/>
      <c r="AA49" s="126"/>
      <c r="AD49" s="16"/>
      <c r="AG49" s="33"/>
      <c r="AH49" s="120"/>
      <c r="AI49" s="63"/>
      <c r="AJ49" s="307"/>
      <c r="AK49" s="339"/>
    </row>
    <row r="50" spans="1:38">
      <c r="A50" s="146"/>
      <c r="B50" s="79"/>
      <c r="C50" s="79"/>
      <c r="D50" s="79"/>
      <c r="E50" s="79"/>
      <c r="F50" s="6"/>
      <c r="G50" s="79"/>
      <c r="H50" s="8"/>
      <c r="I50" s="22"/>
      <c r="J50" s="73"/>
      <c r="K50" s="73"/>
      <c r="M50" s="323"/>
      <c r="N50" s="318"/>
      <c r="O50" s="81"/>
      <c r="Q50" s="303"/>
      <c r="S50" s="45"/>
      <c r="T50" s="353"/>
      <c r="U50" s="95"/>
      <c r="V50" s="36"/>
      <c r="W50" s="66"/>
      <c r="X50" s="15"/>
      <c r="Y50" s="3"/>
      <c r="Z50" s="173"/>
      <c r="AA50" s="126"/>
      <c r="AD50" s="22"/>
      <c r="AG50" s="33"/>
      <c r="AH50" s="120"/>
      <c r="AI50" s="63"/>
      <c r="AJ50" s="307"/>
      <c r="AK50" s="339"/>
    </row>
    <row r="51" spans="1:38">
      <c r="B51" s="79"/>
      <c r="C51" s="79"/>
      <c r="D51" s="80"/>
      <c r="E51" s="79"/>
      <c r="F51" s="57"/>
      <c r="G51" s="79"/>
      <c r="H51" s="8"/>
      <c r="I51" s="22"/>
      <c r="J51" s="73"/>
      <c r="K51" s="73"/>
      <c r="L51" s="323"/>
      <c r="M51" s="323"/>
      <c r="N51" s="73"/>
      <c r="O51" s="81"/>
      <c r="Q51" s="303"/>
      <c r="S51" s="45"/>
      <c r="T51" s="353"/>
      <c r="U51" s="95"/>
      <c r="V51" s="36"/>
      <c r="W51" s="66"/>
      <c r="X51" s="15"/>
      <c r="Y51" s="3"/>
      <c r="Z51" s="173"/>
      <c r="AA51" s="126"/>
      <c r="AD51" s="22"/>
      <c r="AG51" s="33"/>
      <c r="AH51" s="120"/>
      <c r="AI51" s="63"/>
      <c r="AJ51" s="307"/>
      <c r="AK51" s="339"/>
    </row>
    <row r="52" spans="1:38">
      <c r="A52" s="146"/>
      <c r="B52" s="80"/>
      <c r="C52" s="80"/>
      <c r="D52" s="80"/>
      <c r="E52" s="79"/>
      <c r="F52" s="6"/>
      <c r="G52" s="79"/>
      <c r="H52" s="8"/>
      <c r="I52" s="22"/>
      <c r="J52" s="323"/>
      <c r="K52" s="73"/>
      <c r="M52" s="323"/>
      <c r="N52" s="318"/>
      <c r="O52" s="81"/>
      <c r="Q52" s="303"/>
      <c r="S52" s="34"/>
      <c r="T52" s="353"/>
      <c r="U52" s="95"/>
      <c r="V52" s="36"/>
      <c r="W52" s="66"/>
      <c r="X52" s="15"/>
      <c r="Y52" s="3"/>
      <c r="Z52" s="173"/>
      <c r="AA52" s="126"/>
      <c r="AD52" s="22"/>
      <c r="AG52" s="33"/>
      <c r="AH52" s="43"/>
      <c r="AI52" s="63"/>
      <c r="AJ52" s="307"/>
      <c r="AK52" s="339"/>
    </row>
    <row r="53" spans="1:38">
      <c r="B53" s="79"/>
      <c r="C53" s="79"/>
      <c r="D53" s="79"/>
      <c r="E53" s="79"/>
      <c r="F53" s="57"/>
      <c r="G53" s="80"/>
      <c r="H53" s="149"/>
      <c r="I53" s="16"/>
      <c r="J53" s="73"/>
      <c r="K53" s="73"/>
      <c r="L53" s="323"/>
      <c r="M53" s="323"/>
      <c r="N53" s="318"/>
      <c r="O53" s="81"/>
      <c r="Q53" s="303"/>
      <c r="S53" s="45"/>
      <c r="T53" s="353"/>
      <c r="U53" s="95"/>
      <c r="V53" s="36"/>
      <c r="W53" s="66"/>
      <c r="X53" s="15"/>
      <c r="Y53" s="3"/>
      <c r="Z53" s="173"/>
      <c r="AA53" s="126"/>
      <c r="AD53" s="16"/>
      <c r="AG53" s="33"/>
      <c r="AH53" s="43"/>
      <c r="AI53" s="63"/>
      <c r="AJ53" s="307"/>
      <c r="AK53" s="339"/>
    </row>
    <row r="54" spans="1:38">
      <c r="A54" s="146"/>
      <c r="B54" s="79"/>
      <c r="C54" s="79"/>
      <c r="D54" s="79"/>
      <c r="E54" s="79"/>
      <c r="F54" s="6"/>
      <c r="G54" s="79"/>
      <c r="H54" s="195"/>
      <c r="I54" s="16"/>
      <c r="J54" s="73"/>
      <c r="K54" s="73"/>
      <c r="M54" s="73"/>
      <c r="N54" s="318"/>
      <c r="O54" s="81"/>
      <c r="Q54" s="303"/>
      <c r="S54" s="45"/>
      <c r="T54" s="353"/>
      <c r="U54" s="95"/>
      <c r="V54" s="36"/>
      <c r="W54" s="66"/>
      <c r="X54" s="15"/>
      <c r="Y54" s="3"/>
      <c r="Z54" s="173"/>
      <c r="AA54" s="126"/>
      <c r="AD54" s="16"/>
      <c r="AG54" s="33"/>
      <c r="AH54" s="120"/>
      <c r="AI54" s="63"/>
      <c r="AJ54" s="307"/>
      <c r="AK54" s="339"/>
    </row>
    <row r="55" spans="1:38">
      <c r="B55" s="79"/>
      <c r="C55" s="79"/>
      <c r="D55" s="79"/>
      <c r="E55" s="79"/>
      <c r="F55" s="57"/>
      <c r="G55" s="79"/>
      <c r="H55" s="8"/>
      <c r="I55" s="22"/>
      <c r="J55" s="73"/>
      <c r="K55" s="73"/>
      <c r="L55" s="323"/>
      <c r="M55" s="323"/>
      <c r="N55" s="318"/>
      <c r="O55" s="81"/>
      <c r="Q55" s="303"/>
      <c r="S55" s="45"/>
      <c r="T55" s="353"/>
      <c r="U55" s="95"/>
      <c r="V55" s="13"/>
      <c r="W55" s="66"/>
      <c r="X55" s="15"/>
      <c r="Y55" s="3"/>
      <c r="Z55" s="173"/>
      <c r="AA55" s="126"/>
      <c r="AD55" s="22"/>
      <c r="AG55" s="33"/>
      <c r="AH55" s="120"/>
      <c r="AI55" s="63"/>
      <c r="AJ55" s="307"/>
      <c r="AK55" s="339"/>
    </row>
    <row r="56" spans="1:38">
      <c r="B56" s="79"/>
      <c r="C56" s="79"/>
      <c r="D56" s="79"/>
      <c r="E56" s="79"/>
      <c r="F56" s="57"/>
      <c r="G56" s="79"/>
      <c r="H56" s="8"/>
      <c r="I56" s="22"/>
      <c r="J56" s="323"/>
      <c r="K56" s="73"/>
      <c r="M56" s="323"/>
      <c r="N56" s="318"/>
      <c r="O56" s="81"/>
      <c r="Q56" s="303"/>
      <c r="S56" s="45"/>
      <c r="T56" s="353"/>
      <c r="U56" s="95"/>
      <c r="V56" s="36"/>
      <c r="W56" s="66"/>
      <c r="X56" s="15"/>
      <c r="Y56" s="3"/>
      <c r="Z56" s="173"/>
      <c r="AA56" s="126"/>
      <c r="AD56" s="22"/>
      <c r="AG56" s="33"/>
      <c r="AH56" s="120"/>
      <c r="AI56" s="63"/>
      <c r="AJ56" s="307"/>
      <c r="AK56" s="339"/>
    </row>
    <row r="57" spans="1:38">
      <c r="A57" s="146"/>
      <c r="B57" s="79"/>
      <c r="C57" s="79"/>
      <c r="D57" s="79"/>
      <c r="E57" s="79"/>
      <c r="F57" s="6"/>
      <c r="G57" s="79"/>
      <c r="H57" s="149"/>
      <c r="I57" s="16"/>
      <c r="J57" s="73"/>
      <c r="K57" s="73"/>
      <c r="M57" s="73"/>
      <c r="N57" s="318"/>
      <c r="O57" s="81"/>
      <c r="Q57" s="303"/>
      <c r="S57" s="45"/>
      <c r="T57" s="353"/>
      <c r="U57" s="95"/>
      <c r="V57" s="36"/>
      <c r="W57" s="66"/>
      <c r="X57" s="15"/>
      <c r="Y57" s="3"/>
      <c r="Z57" s="173"/>
      <c r="AA57" s="126"/>
      <c r="AD57" s="16"/>
      <c r="AG57" s="33"/>
      <c r="AH57" s="120"/>
      <c r="AI57" s="63"/>
      <c r="AJ57" s="307"/>
      <c r="AK57" s="339"/>
    </row>
    <row r="58" spans="1:38">
      <c r="B58" s="79"/>
      <c r="C58" s="79"/>
      <c r="D58" s="79"/>
      <c r="E58" s="79"/>
      <c r="F58" s="57"/>
      <c r="G58" s="80"/>
      <c r="H58" s="149"/>
      <c r="I58" s="16"/>
      <c r="J58" s="73"/>
      <c r="K58" s="323"/>
      <c r="M58" s="323"/>
      <c r="N58" s="318"/>
      <c r="O58" s="81"/>
      <c r="Q58" s="303"/>
      <c r="S58" s="45"/>
      <c r="T58" s="353"/>
      <c r="U58" s="95"/>
      <c r="V58" s="36"/>
      <c r="W58" s="66"/>
      <c r="X58" s="15"/>
      <c r="Y58" s="3"/>
      <c r="Z58" s="173"/>
      <c r="AA58" s="126"/>
      <c r="AD58" s="16"/>
      <c r="AG58" s="33"/>
      <c r="AH58" s="43"/>
      <c r="AI58" s="63"/>
      <c r="AJ58" s="307"/>
      <c r="AK58" s="339"/>
    </row>
    <row r="59" spans="1:38">
      <c r="B59" s="79"/>
      <c r="C59" s="79"/>
      <c r="D59" s="79"/>
      <c r="E59" s="79"/>
      <c r="F59" s="57"/>
      <c r="G59" s="79"/>
      <c r="H59" s="8"/>
      <c r="I59" s="22"/>
      <c r="J59" s="323"/>
      <c r="K59" s="73"/>
      <c r="M59" s="323"/>
      <c r="N59" s="318"/>
      <c r="O59" s="81"/>
      <c r="Q59" s="303"/>
      <c r="S59" s="45"/>
      <c r="T59" s="353"/>
      <c r="U59" s="95"/>
      <c r="V59" s="36"/>
      <c r="W59" s="66"/>
      <c r="X59" s="15"/>
      <c r="Y59" s="35"/>
      <c r="Z59" s="173"/>
      <c r="AA59" s="126"/>
      <c r="AD59" s="22"/>
      <c r="AG59" s="33"/>
      <c r="AH59" s="122"/>
      <c r="AI59" s="63"/>
      <c r="AJ59" s="307"/>
      <c r="AK59" s="339"/>
    </row>
    <row r="60" spans="1:38">
      <c r="A60" s="146"/>
      <c r="B60" s="79"/>
      <c r="C60" s="79"/>
      <c r="D60" s="80"/>
      <c r="E60" s="79"/>
      <c r="F60" s="6"/>
      <c r="G60" s="79"/>
      <c r="H60" s="5"/>
      <c r="I60" s="22"/>
      <c r="J60" s="323"/>
      <c r="K60" s="73"/>
      <c r="M60" s="73"/>
      <c r="N60" s="318"/>
      <c r="O60" s="81"/>
      <c r="Q60" s="303"/>
      <c r="S60" s="45"/>
      <c r="T60" s="353"/>
      <c r="U60" s="57"/>
      <c r="V60" s="36"/>
      <c r="W60" s="66"/>
      <c r="X60" s="15"/>
      <c r="Y60" s="3"/>
      <c r="Z60" s="173"/>
      <c r="AA60" s="126"/>
      <c r="AD60" s="22"/>
      <c r="AG60" s="33"/>
      <c r="AH60" s="43"/>
      <c r="AI60" s="63"/>
      <c r="AJ60" s="307"/>
      <c r="AK60" s="339"/>
    </row>
    <row r="61" spans="1:38">
      <c r="A61" s="146"/>
      <c r="B61" s="80"/>
      <c r="C61" s="80"/>
      <c r="D61" s="79"/>
      <c r="E61" s="79"/>
      <c r="F61" s="6"/>
      <c r="G61" s="80"/>
      <c r="H61" s="18"/>
      <c r="I61" s="22"/>
      <c r="J61" s="73"/>
      <c r="K61" s="323"/>
      <c r="M61" s="73"/>
      <c r="N61" s="318"/>
      <c r="O61" s="81"/>
      <c r="Q61" s="303"/>
      <c r="S61" s="45"/>
      <c r="T61" s="353"/>
      <c r="U61" s="57"/>
      <c r="V61" s="36"/>
      <c r="W61" s="66"/>
      <c r="X61" s="15"/>
      <c r="Y61" s="3"/>
      <c r="Z61" s="173"/>
      <c r="AA61" s="126"/>
      <c r="AD61" s="22"/>
      <c r="AG61" s="33"/>
      <c r="AH61" s="43"/>
      <c r="AI61" s="63"/>
      <c r="AJ61" s="307"/>
      <c r="AK61" s="340"/>
    </row>
    <row r="62" spans="1:38">
      <c r="B62" s="79"/>
      <c r="C62" s="79"/>
      <c r="D62" s="80"/>
      <c r="E62" s="79"/>
      <c r="F62" s="57"/>
      <c r="G62" s="79"/>
      <c r="H62" s="8"/>
      <c r="I62" s="16"/>
      <c r="J62" s="73"/>
      <c r="K62" s="323"/>
      <c r="M62" s="323"/>
      <c r="N62" s="318"/>
      <c r="O62" s="81"/>
      <c r="Q62" s="303"/>
      <c r="S62" s="45"/>
      <c r="T62" s="353"/>
      <c r="U62" s="95"/>
      <c r="V62" s="36"/>
      <c r="W62" s="66"/>
      <c r="X62" s="15"/>
      <c r="Y62" s="3"/>
      <c r="Z62" s="173"/>
      <c r="AA62" s="126"/>
      <c r="AD62" s="16"/>
      <c r="AG62" s="33"/>
      <c r="AH62" s="43"/>
      <c r="AI62" s="63"/>
      <c r="AJ62" s="307"/>
      <c r="AK62" s="339"/>
    </row>
    <row r="63" spans="1:38">
      <c r="A63" s="145"/>
      <c r="B63" s="79"/>
      <c r="C63" s="79"/>
      <c r="D63" s="79"/>
      <c r="E63" s="79"/>
      <c r="F63" s="6"/>
      <c r="G63" s="41"/>
      <c r="H63" s="8"/>
      <c r="I63" s="158"/>
      <c r="J63" s="323"/>
      <c r="K63" s="323"/>
      <c r="L63" s="323"/>
      <c r="N63" s="318"/>
      <c r="O63" s="306"/>
      <c r="S63" s="197"/>
      <c r="T63" s="353"/>
      <c r="U63" s="95"/>
      <c r="V63" s="349"/>
      <c r="W63" s="331"/>
      <c r="X63" s="243"/>
      <c r="Y63" s="163"/>
      <c r="Z63" s="384"/>
      <c r="AA63" s="168"/>
      <c r="AB63" s="268"/>
      <c r="AC63" s="268"/>
      <c r="AD63" s="244"/>
      <c r="AE63" s="6"/>
      <c r="AG63" s="33"/>
      <c r="AH63" s="46"/>
      <c r="AI63" s="268"/>
      <c r="AJ63" s="268"/>
      <c r="AK63" s="268"/>
      <c r="AL63" s="268"/>
    </row>
    <row r="64" spans="1:38">
      <c r="A64" s="146"/>
      <c r="B64" s="80"/>
      <c r="C64" s="80"/>
      <c r="D64" s="79"/>
      <c r="E64" s="79"/>
      <c r="F64" s="6"/>
      <c r="G64" s="79"/>
      <c r="H64" s="17"/>
      <c r="I64" s="22"/>
      <c r="J64" s="323"/>
      <c r="K64" s="323"/>
      <c r="L64" s="323"/>
      <c r="M64" s="323"/>
      <c r="N64" s="318"/>
      <c r="S64" s="66"/>
      <c r="T64" s="353"/>
      <c r="U64" s="57"/>
      <c r="V64" s="36"/>
      <c r="W64" s="66"/>
      <c r="X64" s="15"/>
      <c r="Y64" s="3"/>
      <c r="Z64" s="173"/>
      <c r="AA64" s="126"/>
      <c r="AD64" s="22"/>
      <c r="AG64" s="33"/>
      <c r="AH64" s="43"/>
      <c r="AI64" s="63"/>
      <c r="AJ64" s="307"/>
      <c r="AK64" s="259"/>
    </row>
    <row r="65" spans="1:38">
      <c r="B65" s="347"/>
      <c r="C65" s="177"/>
      <c r="D65" s="177"/>
      <c r="E65" s="177"/>
      <c r="F65" s="178"/>
      <c r="G65" s="356"/>
      <c r="H65" s="181"/>
      <c r="I65" s="250"/>
      <c r="J65" s="319"/>
      <c r="K65" s="319"/>
      <c r="L65" s="324"/>
      <c r="M65" s="325"/>
      <c r="N65" s="319"/>
      <c r="P65" s="379"/>
      <c r="R65" s="391"/>
      <c r="S65" s="178"/>
      <c r="T65" s="351"/>
      <c r="U65" s="4"/>
      <c r="V65" s="4"/>
      <c r="W65" s="10"/>
      <c r="X65" s="182"/>
      <c r="Z65" s="385"/>
      <c r="AA65" s="126"/>
      <c r="AD65" s="250"/>
      <c r="AF65" s="338"/>
      <c r="AG65" s="185"/>
      <c r="AH65" s="363"/>
      <c r="AI65" s="250"/>
      <c r="AJ65" s="250"/>
    </row>
    <row r="66" spans="1:38">
      <c r="B66" s="91"/>
      <c r="C66" s="91"/>
      <c r="D66" s="91"/>
      <c r="E66" s="91"/>
      <c r="F66" s="8"/>
      <c r="G66" s="26"/>
      <c r="H66" s="55"/>
      <c r="I66" s="50"/>
      <c r="J66" s="317"/>
      <c r="K66" s="317"/>
      <c r="L66" s="317"/>
      <c r="M66" s="317"/>
      <c r="N66" s="317"/>
      <c r="P66" s="379"/>
      <c r="Q66" s="303"/>
      <c r="R66" s="391"/>
      <c r="S66" s="10"/>
      <c r="T66" s="351"/>
      <c r="U66" s="68"/>
      <c r="V66" s="28"/>
      <c r="W66" s="17"/>
      <c r="X66" s="14"/>
      <c r="Y66" s="21"/>
      <c r="Z66" s="51"/>
      <c r="AA66" s="126"/>
      <c r="AD66" s="50"/>
      <c r="AE66" s="71"/>
      <c r="AF66" s="72"/>
      <c r="AG66" s="32"/>
      <c r="AH66" s="249"/>
      <c r="AI66" s="8"/>
      <c r="AJ66" s="50"/>
    </row>
    <row r="67" spans="1:38">
      <c r="B67" s="91"/>
      <c r="C67" s="91"/>
      <c r="D67" s="91"/>
      <c r="E67" s="91"/>
      <c r="F67" s="8"/>
      <c r="G67" s="26"/>
      <c r="H67" s="55"/>
      <c r="I67" s="50"/>
      <c r="J67" s="317"/>
      <c r="K67" s="317"/>
      <c r="L67" s="317"/>
      <c r="M67" s="317"/>
      <c r="N67" s="317"/>
      <c r="P67" s="379"/>
      <c r="Q67" s="303"/>
      <c r="R67" s="391"/>
      <c r="S67" s="10"/>
      <c r="T67" s="351"/>
      <c r="U67" s="68"/>
      <c r="V67" s="28"/>
      <c r="W67" s="17"/>
      <c r="X67" s="14"/>
      <c r="Y67" s="21"/>
      <c r="Z67" s="51"/>
      <c r="AA67" s="126"/>
      <c r="AD67" s="50"/>
      <c r="AE67" s="71"/>
      <c r="AF67" s="72"/>
      <c r="AG67" s="32"/>
      <c r="AH67" s="249"/>
      <c r="AI67" s="8"/>
      <c r="AJ67" s="50"/>
    </row>
    <row r="68" spans="1:38">
      <c r="B68" s="80"/>
      <c r="C68" s="80"/>
      <c r="D68" s="79"/>
      <c r="E68" s="79"/>
      <c r="F68" s="57"/>
      <c r="G68" s="80"/>
      <c r="H68" s="8"/>
      <c r="I68" s="22"/>
      <c r="J68" s="323"/>
      <c r="K68" s="73"/>
      <c r="M68" s="73"/>
      <c r="N68" s="318"/>
      <c r="O68" s="81"/>
      <c r="Q68" s="388"/>
      <c r="S68" s="45"/>
      <c r="T68" s="353"/>
      <c r="U68" s="95"/>
      <c r="V68" s="13"/>
      <c r="W68" s="66"/>
      <c r="X68" s="15"/>
      <c r="Y68" s="3"/>
      <c r="Z68" s="173"/>
      <c r="AA68" s="126"/>
      <c r="AD68" s="22"/>
      <c r="AG68" s="33"/>
      <c r="AH68" s="43"/>
      <c r="AI68" s="63"/>
      <c r="AJ68" s="307"/>
      <c r="AK68" s="339"/>
    </row>
    <row r="69" spans="1:38">
      <c r="A69" s="145"/>
      <c r="B69" s="79"/>
      <c r="C69" s="79"/>
      <c r="D69" s="79"/>
      <c r="E69" s="79"/>
      <c r="F69" s="6"/>
      <c r="G69" s="41"/>
      <c r="H69" s="8"/>
      <c r="I69" s="158"/>
      <c r="J69" s="323"/>
      <c r="K69" s="323"/>
      <c r="L69" s="323"/>
      <c r="N69" s="318"/>
      <c r="O69" s="306"/>
      <c r="P69" s="374"/>
      <c r="Q69" s="389"/>
      <c r="R69" s="151"/>
      <c r="S69" s="197"/>
      <c r="T69" s="351"/>
      <c r="U69" s="95"/>
      <c r="V69" s="349"/>
      <c r="W69" s="331"/>
      <c r="X69" s="167"/>
      <c r="Y69" s="163"/>
      <c r="Z69" s="384"/>
      <c r="AA69" s="168"/>
      <c r="AB69" s="268"/>
      <c r="AC69" s="268"/>
      <c r="AD69" s="244"/>
      <c r="AE69" s="6"/>
      <c r="AG69" s="33"/>
      <c r="AH69" s="46"/>
      <c r="AI69" s="268"/>
      <c r="AJ69" s="268"/>
      <c r="AK69" s="268"/>
      <c r="AL69" s="268"/>
    </row>
    <row r="70" spans="1:38">
      <c r="B70" s="91"/>
      <c r="C70" s="91"/>
      <c r="D70" s="91"/>
      <c r="E70" s="91"/>
      <c r="F70" s="8"/>
      <c r="G70" s="26"/>
      <c r="H70" s="55"/>
      <c r="I70" s="50"/>
      <c r="J70" s="317"/>
      <c r="K70" s="317"/>
      <c r="L70" s="317"/>
      <c r="M70" s="317"/>
      <c r="N70" s="317"/>
      <c r="P70" s="379"/>
      <c r="Q70" s="303"/>
      <c r="R70" s="391"/>
      <c r="S70" s="10"/>
      <c r="T70" s="351"/>
      <c r="U70" s="68"/>
      <c r="V70" s="28"/>
      <c r="W70" s="17"/>
      <c r="X70" s="14"/>
      <c r="Y70" s="21"/>
      <c r="Z70" s="51"/>
      <c r="AA70" s="126"/>
      <c r="AD70" s="50"/>
      <c r="AE70" s="71"/>
      <c r="AF70" s="72"/>
      <c r="AG70" s="32"/>
      <c r="AH70" s="249"/>
      <c r="AI70" s="8"/>
      <c r="AJ70" s="50"/>
    </row>
    <row r="71" spans="1:38">
      <c r="B71" s="79"/>
      <c r="C71" s="79"/>
      <c r="D71" s="80"/>
      <c r="E71" s="79"/>
      <c r="F71" s="57"/>
      <c r="G71" s="79"/>
      <c r="H71" s="149"/>
      <c r="I71" s="16"/>
      <c r="J71" s="73"/>
      <c r="K71" s="73"/>
      <c r="M71" s="323"/>
      <c r="N71" s="73"/>
      <c r="O71" s="81"/>
      <c r="Q71" s="303"/>
      <c r="S71" s="45"/>
      <c r="T71" s="353"/>
      <c r="U71" s="57"/>
      <c r="V71" s="13"/>
      <c r="W71" s="66"/>
      <c r="X71" s="15"/>
      <c r="Y71" s="63"/>
      <c r="Z71" s="173"/>
      <c r="AA71" s="126"/>
      <c r="AD71" s="16"/>
      <c r="AG71" s="33"/>
      <c r="AH71" s="43"/>
      <c r="AI71" s="63"/>
      <c r="AJ71" s="307"/>
      <c r="AK71" s="339"/>
    </row>
    <row r="72" spans="1:38">
      <c r="B72" s="79"/>
      <c r="C72" s="79"/>
      <c r="D72" s="79"/>
      <c r="E72" s="79"/>
      <c r="F72" s="57"/>
      <c r="G72" s="79"/>
      <c r="H72" s="8"/>
      <c r="I72" s="22"/>
      <c r="J72" s="73"/>
      <c r="K72" s="73"/>
      <c r="M72" s="73"/>
      <c r="N72" s="318"/>
      <c r="O72" s="81"/>
      <c r="Q72" s="303"/>
      <c r="S72" s="34"/>
      <c r="T72" s="353"/>
      <c r="U72" s="95"/>
      <c r="V72" s="36"/>
      <c r="W72" s="66"/>
      <c r="X72" s="15"/>
      <c r="Y72" s="63"/>
      <c r="Z72" s="173"/>
      <c r="AA72" s="126"/>
      <c r="AD72" s="22"/>
      <c r="AG72" s="33"/>
      <c r="AH72" s="43"/>
      <c r="AI72" s="63"/>
      <c r="AJ72" s="307"/>
      <c r="AK72" s="339"/>
    </row>
    <row r="73" spans="1:38">
      <c r="B73" s="79"/>
      <c r="C73" s="79"/>
      <c r="D73" s="80"/>
      <c r="E73" s="79"/>
      <c r="F73" s="57"/>
      <c r="G73" s="79"/>
      <c r="H73" s="8"/>
      <c r="I73" s="22"/>
      <c r="J73" s="73"/>
      <c r="K73" s="73"/>
      <c r="M73" s="323"/>
      <c r="N73" s="318"/>
      <c r="O73" s="81"/>
      <c r="Q73" s="303"/>
      <c r="S73" s="34"/>
      <c r="T73" s="353"/>
      <c r="U73" s="95"/>
      <c r="V73" s="36"/>
      <c r="W73" s="66"/>
      <c r="X73" s="15"/>
      <c r="Y73" s="63"/>
      <c r="Z73" s="173"/>
      <c r="AA73" s="126"/>
      <c r="AD73" s="22"/>
      <c r="AG73" s="33"/>
      <c r="AH73" s="43"/>
      <c r="AI73" s="63"/>
      <c r="AJ73" s="307"/>
      <c r="AK73" s="339"/>
    </row>
    <row r="74" spans="1:38">
      <c r="B74" s="79"/>
      <c r="C74" s="79"/>
      <c r="D74" s="80"/>
      <c r="E74" s="79"/>
      <c r="F74" s="57"/>
      <c r="G74" s="79"/>
      <c r="H74" s="8"/>
      <c r="I74" s="16"/>
      <c r="J74" s="323"/>
      <c r="K74" s="73"/>
      <c r="M74" s="323"/>
      <c r="N74" s="318"/>
      <c r="O74" s="81"/>
      <c r="Q74" s="303"/>
      <c r="S74" s="45"/>
      <c r="T74" s="353"/>
      <c r="U74" s="95"/>
      <c r="V74" s="36"/>
      <c r="W74" s="66"/>
      <c r="X74" s="15"/>
      <c r="Y74" s="63"/>
      <c r="Z74" s="173"/>
      <c r="AA74" s="126"/>
      <c r="AD74" s="16"/>
      <c r="AG74" s="33"/>
      <c r="AH74" s="120"/>
      <c r="AI74" s="63"/>
      <c r="AJ74" s="307"/>
      <c r="AK74" s="339"/>
    </row>
    <row r="75" spans="1:38">
      <c r="A75" s="146"/>
      <c r="B75" s="79"/>
      <c r="C75" s="79"/>
      <c r="D75" s="80"/>
      <c r="E75" s="79"/>
      <c r="F75" s="6"/>
      <c r="G75" s="79"/>
      <c r="H75" s="208"/>
      <c r="I75" s="16"/>
      <c r="J75" s="323"/>
      <c r="K75" s="73"/>
      <c r="M75" s="323"/>
      <c r="N75" s="318"/>
      <c r="O75" s="81"/>
      <c r="Q75" s="303"/>
      <c r="S75" s="45"/>
      <c r="T75" s="355"/>
      <c r="U75" s="95"/>
      <c r="V75" s="36"/>
      <c r="W75" s="66"/>
      <c r="X75" s="15"/>
      <c r="Y75" s="63"/>
      <c r="Z75" s="173"/>
      <c r="AA75" s="126"/>
      <c r="AD75" s="16"/>
      <c r="AF75" s="86"/>
      <c r="AG75" s="33"/>
      <c r="AH75" s="120"/>
      <c r="AI75" s="63"/>
      <c r="AJ75" s="307"/>
      <c r="AK75" s="339"/>
    </row>
    <row r="76" spans="1:38">
      <c r="B76" s="79"/>
      <c r="C76" s="79"/>
      <c r="D76" s="80"/>
      <c r="E76" s="79"/>
      <c r="F76" s="57"/>
      <c r="G76" s="80"/>
      <c r="H76" s="17"/>
      <c r="I76" s="22"/>
      <c r="J76" s="323"/>
      <c r="K76" s="73"/>
      <c r="M76" s="323"/>
      <c r="N76" s="318"/>
      <c r="O76" s="81"/>
      <c r="Q76" s="303"/>
      <c r="S76" s="45"/>
      <c r="T76" s="353"/>
      <c r="U76" s="95"/>
      <c r="V76" s="36"/>
      <c r="W76" s="66"/>
      <c r="X76" s="15"/>
      <c r="Y76" s="63"/>
      <c r="Z76" s="173"/>
      <c r="AA76" s="126"/>
      <c r="AD76" s="22"/>
      <c r="AG76" s="33"/>
      <c r="AH76" s="43"/>
      <c r="AI76" s="63"/>
      <c r="AJ76" s="307"/>
      <c r="AK76" s="339"/>
    </row>
    <row r="77" spans="1:38">
      <c r="B77" s="79"/>
      <c r="C77" s="79"/>
      <c r="D77" s="80"/>
      <c r="E77" s="79"/>
      <c r="F77" s="57"/>
      <c r="G77" s="80"/>
      <c r="H77" s="8"/>
      <c r="I77" s="16"/>
      <c r="J77" s="323"/>
      <c r="K77" s="73"/>
      <c r="L77" s="323"/>
      <c r="M77" s="323"/>
      <c r="N77" s="318"/>
      <c r="O77" s="81"/>
      <c r="Q77" s="303"/>
      <c r="S77" s="34"/>
      <c r="T77" s="353"/>
      <c r="U77" s="95"/>
      <c r="V77" s="36"/>
      <c r="W77" s="66"/>
      <c r="X77" s="15"/>
      <c r="Y77" s="63"/>
      <c r="Z77" s="173"/>
      <c r="AA77" s="126"/>
      <c r="AD77" s="16"/>
      <c r="AG77" s="33"/>
      <c r="AH77" s="120"/>
      <c r="AI77" s="63"/>
      <c r="AJ77" s="307"/>
      <c r="AK77" s="339"/>
    </row>
    <row r="78" spans="1:38">
      <c r="B78" s="80"/>
      <c r="C78" s="80"/>
      <c r="D78" s="80"/>
      <c r="E78" s="79"/>
      <c r="F78" s="57"/>
      <c r="G78" s="79"/>
      <c r="H78" s="8"/>
      <c r="I78" s="16"/>
      <c r="J78" s="73"/>
      <c r="K78" s="73"/>
      <c r="L78" s="323"/>
      <c r="M78" s="73"/>
      <c r="N78" s="318"/>
      <c r="O78" s="81"/>
      <c r="Q78" s="303"/>
      <c r="S78" s="34"/>
      <c r="T78" s="353"/>
      <c r="U78" s="95"/>
      <c r="V78" s="36"/>
      <c r="W78" s="66"/>
      <c r="X78" s="15"/>
      <c r="Y78" s="63"/>
      <c r="Z78" s="173"/>
      <c r="AA78" s="126"/>
      <c r="AD78" s="16"/>
      <c r="AG78" s="33"/>
      <c r="AH78" s="120"/>
      <c r="AI78" s="63"/>
      <c r="AJ78" s="307"/>
      <c r="AK78" s="339"/>
    </row>
    <row r="79" spans="1:38">
      <c r="B79" s="79"/>
      <c r="C79" s="79"/>
      <c r="D79" s="80"/>
      <c r="E79" s="79"/>
      <c r="F79" s="57"/>
      <c r="G79" s="79"/>
      <c r="H79" s="8"/>
      <c r="I79" s="16"/>
      <c r="J79" s="73"/>
      <c r="K79" s="73"/>
      <c r="M79" s="323"/>
      <c r="N79" s="73"/>
      <c r="O79" s="81"/>
      <c r="Q79" s="303"/>
      <c r="S79" s="34"/>
      <c r="T79" s="353"/>
      <c r="U79" s="57"/>
      <c r="V79" s="13"/>
      <c r="W79" s="66"/>
      <c r="X79" s="15"/>
      <c r="Y79" s="63"/>
      <c r="Z79" s="173"/>
      <c r="AA79" s="126"/>
      <c r="AD79" s="16"/>
      <c r="AF79" s="86"/>
      <c r="AG79" s="33"/>
      <c r="AH79" s="43"/>
      <c r="AI79" s="63"/>
      <c r="AJ79" s="307"/>
      <c r="AK79" s="339"/>
    </row>
    <row r="80" spans="1:38">
      <c r="B80" s="93"/>
      <c r="C80" s="93"/>
      <c r="D80" s="80"/>
      <c r="E80" s="79"/>
      <c r="F80" s="57"/>
      <c r="G80" s="79"/>
      <c r="H80" s="17"/>
      <c r="I80" s="16"/>
      <c r="J80" s="323"/>
      <c r="K80" s="73"/>
      <c r="L80" s="323"/>
      <c r="M80" s="323"/>
      <c r="N80" s="318"/>
      <c r="O80" s="81"/>
      <c r="Q80" s="303"/>
      <c r="S80" s="45"/>
      <c r="T80" s="353"/>
      <c r="U80" s="95"/>
      <c r="V80" s="36"/>
      <c r="W80" s="66"/>
      <c r="X80" s="15"/>
      <c r="Y80" s="63"/>
      <c r="Z80" s="173"/>
      <c r="AA80" s="126"/>
      <c r="AD80" s="16"/>
      <c r="AF80" s="86"/>
      <c r="AG80" s="33"/>
      <c r="AH80" s="43"/>
      <c r="AI80" s="63"/>
      <c r="AJ80" s="307"/>
      <c r="AK80" s="339"/>
    </row>
    <row r="81" spans="1:37">
      <c r="B81" s="79"/>
      <c r="C81" s="79"/>
      <c r="D81" s="79"/>
      <c r="E81" s="79"/>
      <c r="F81" s="57"/>
      <c r="G81" s="80"/>
      <c r="H81" s="5"/>
      <c r="I81" s="22"/>
      <c r="J81" s="73"/>
      <c r="K81" s="73"/>
      <c r="L81" s="323"/>
      <c r="M81" s="73"/>
      <c r="N81" s="318"/>
      <c r="O81" s="81"/>
      <c r="Q81" s="303"/>
      <c r="S81" s="45"/>
      <c r="T81" s="353"/>
      <c r="U81" s="95"/>
      <c r="V81" s="155"/>
      <c r="W81" s="66"/>
      <c r="X81" s="141"/>
      <c r="Y81" s="63"/>
      <c r="Z81" s="173"/>
      <c r="AA81" s="126"/>
      <c r="AD81" s="22"/>
      <c r="AG81" s="33"/>
      <c r="AH81" s="43"/>
      <c r="AI81" s="63"/>
      <c r="AJ81" s="307"/>
      <c r="AK81" s="339"/>
    </row>
    <row r="82" spans="1:37">
      <c r="A82" s="146"/>
      <c r="B82" s="79"/>
      <c r="C82" s="79"/>
      <c r="D82" s="79"/>
      <c r="E82" s="79"/>
      <c r="F82" s="6"/>
      <c r="G82" s="79"/>
      <c r="H82" s="8"/>
      <c r="I82" s="22"/>
      <c r="J82" s="73"/>
      <c r="K82" s="73"/>
      <c r="M82" s="323"/>
      <c r="N82" s="318"/>
      <c r="O82" s="81"/>
      <c r="Q82" s="303"/>
      <c r="S82" s="45"/>
      <c r="T82" s="353"/>
      <c r="U82" s="95"/>
      <c r="V82" s="36"/>
      <c r="W82" s="66"/>
      <c r="X82" s="15"/>
      <c r="Y82" s="63"/>
      <c r="Z82" s="173"/>
      <c r="AA82" s="126"/>
      <c r="AD82" s="22"/>
      <c r="AG82" s="33"/>
      <c r="AH82" s="120"/>
      <c r="AI82" s="63"/>
      <c r="AJ82" s="307"/>
      <c r="AK82" s="339"/>
    </row>
    <row r="83" spans="1:37">
      <c r="B83" s="79"/>
      <c r="C83" s="79"/>
      <c r="D83" s="79"/>
      <c r="E83" s="79"/>
      <c r="F83" s="57"/>
      <c r="G83" s="79"/>
      <c r="H83" s="8"/>
      <c r="I83" s="16"/>
      <c r="J83" s="323"/>
      <c r="K83" s="323"/>
      <c r="M83" s="73"/>
      <c r="N83" s="318"/>
      <c r="O83" s="81"/>
      <c r="Q83" s="303"/>
      <c r="S83" s="45"/>
      <c r="T83" s="353"/>
      <c r="U83" s="95"/>
      <c r="V83" s="36"/>
      <c r="W83" s="66"/>
      <c r="X83" s="15"/>
      <c r="Y83" s="63"/>
      <c r="Z83" s="173"/>
      <c r="AA83" s="126"/>
      <c r="AD83" s="16"/>
      <c r="AG83" s="33"/>
      <c r="AH83" s="43"/>
      <c r="AI83" s="63"/>
      <c r="AJ83" s="307"/>
      <c r="AK83" s="339"/>
    </row>
    <row r="84" spans="1:37">
      <c r="B84" s="79"/>
      <c r="C84" s="79"/>
      <c r="D84" s="80"/>
      <c r="E84" s="79"/>
      <c r="F84" s="57"/>
      <c r="G84" s="79"/>
      <c r="H84" s="195"/>
      <c r="I84" s="16"/>
      <c r="J84" s="323"/>
      <c r="K84" s="73"/>
      <c r="L84" s="323"/>
      <c r="M84" s="323"/>
      <c r="N84" s="73"/>
      <c r="O84" s="81"/>
      <c r="Q84" s="303"/>
      <c r="S84" s="45"/>
      <c r="T84" s="353"/>
      <c r="U84" s="57"/>
      <c r="V84" s="13"/>
      <c r="W84" s="66"/>
      <c r="X84" s="15"/>
      <c r="Y84" s="63"/>
      <c r="Z84" s="173"/>
      <c r="AA84" s="126"/>
      <c r="AD84" s="16"/>
      <c r="AG84" s="33"/>
      <c r="AH84" s="43"/>
      <c r="AI84" s="63"/>
      <c r="AJ84" s="307"/>
      <c r="AK84" s="339"/>
    </row>
    <row r="85" spans="1:37">
      <c r="B85" s="79"/>
      <c r="C85" s="79"/>
      <c r="D85" s="79"/>
      <c r="E85" s="79"/>
      <c r="F85" s="57"/>
      <c r="G85" s="79"/>
      <c r="H85" s="5"/>
      <c r="I85" s="16"/>
      <c r="J85" s="73"/>
      <c r="K85" s="73"/>
      <c r="M85" s="73"/>
      <c r="N85" s="318"/>
      <c r="O85" s="81"/>
      <c r="Q85" s="303"/>
      <c r="S85" s="45"/>
      <c r="T85" s="353"/>
      <c r="U85" s="95"/>
      <c r="V85" s="36"/>
      <c r="W85" s="66"/>
      <c r="X85" s="15"/>
      <c r="Y85" s="63"/>
      <c r="Z85" s="173"/>
      <c r="AA85" s="126"/>
      <c r="AD85" s="16"/>
      <c r="AG85" s="33"/>
      <c r="AH85" s="43"/>
      <c r="AI85" s="63"/>
      <c r="AJ85" s="307"/>
      <c r="AK85" s="339"/>
    </row>
    <row r="86" spans="1:37">
      <c r="B86" s="79"/>
      <c r="C86" s="80"/>
      <c r="D86" s="80"/>
      <c r="E86" s="79"/>
      <c r="F86" s="57"/>
      <c r="G86" s="79"/>
      <c r="H86" s="149"/>
      <c r="I86" s="16"/>
      <c r="J86" s="323"/>
      <c r="K86" s="73"/>
      <c r="M86" s="73"/>
      <c r="N86" s="318"/>
      <c r="O86" s="81"/>
      <c r="Q86" s="303"/>
      <c r="S86" s="45"/>
      <c r="T86" s="353"/>
      <c r="U86" s="95"/>
      <c r="V86" s="36"/>
      <c r="W86" s="66"/>
      <c r="X86" s="15"/>
      <c r="Y86" s="63"/>
      <c r="Z86" s="173"/>
      <c r="AA86" s="126"/>
      <c r="AD86" s="16"/>
      <c r="AF86" s="86"/>
      <c r="AG86" s="33"/>
      <c r="AH86" s="120"/>
      <c r="AI86" s="63"/>
      <c r="AJ86" s="307"/>
      <c r="AK86" s="339"/>
    </row>
    <row r="87" spans="1:37">
      <c r="B87" s="79"/>
      <c r="C87" s="79"/>
      <c r="D87" s="80"/>
      <c r="E87" s="79"/>
      <c r="F87" s="57"/>
      <c r="G87" s="79"/>
      <c r="H87" s="8"/>
      <c r="I87" s="16"/>
      <c r="J87" s="73"/>
      <c r="K87" s="73"/>
      <c r="L87" s="323"/>
      <c r="M87" s="323"/>
      <c r="N87" s="318"/>
      <c r="O87" s="81"/>
      <c r="Q87" s="303"/>
      <c r="S87" s="45"/>
      <c r="T87" s="353"/>
      <c r="U87" s="95"/>
      <c r="V87" s="36"/>
      <c r="W87" s="66"/>
      <c r="X87" s="15"/>
      <c r="Y87" s="63"/>
      <c r="Z87" s="173"/>
      <c r="AA87" s="126"/>
      <c r="AD87" s="16"/>
      <c r="AG87" s="33"/>
      <c r="AH87" s="120"/>
      <c r="AI87" s="63"/>
      <c r="AJ87" s="307"/>
      <c r="AK87" s="339"/>
    </row>
    <row r="88" spans="1:37">
      <c r="B88" s="79"/>
      <c r="C88" s="79"/>
      <c r="D88" s="80"/>
      <c r="E88" s="79"/>
      <c r="F88" s="57"/>
      <c r="G88" s="79"/>
      <c r="H88" s="8"/>
      <c r="I88" s="22"/>
      <c r="J88" s="323"/>
      <c r="K88" s="73"/>
      <c r="L88" s="323"/>
      <c r="M88" s="323"/>
      <c r="N88" s="318"/>
      <c r="O88" s="81"/>
      <c r="Q88" s="303"/>
      <c r="S88" s="45"/>
      <c r="T88" s="353"/>
      <c r="U88" s="95"/>
      <c r="V88" s="36"/>
      <c r="W88" s="66"/>
      <c r="X88" s="15"/>
      <c r="Y88" s="63"/>
      <c r="Z88" s="173"/>
      <c r="AA88" s="126"/>
      <c r="AD88" s="22"/>
      <c r="AG88" s="33"/>
      <c r="AH88" s="120"/>
      <c r="AI88" s="63"/>
      <c r="AJ88" s="307"/>
      <c r="AK88" s="339"/>
    </row>
    <row r="89" spans="1:37">
      <c r="B89" s="79"/>
      <c r="C89" s="79"/>
      <c r="D89" s="80"/>
      <c r="E89" s="79"/>
      <c r="F89" s="57"/>
      <c r="G89" s="79"/>
      <c r="H89" s="8"/>
      <c r="I89" s="22"/>
      <c r="J89" s="323"/>
      <c r="K89" s="73"/>
      <c r="M89" s="323"/>
      <c r="N89" s="318"/>
      <c r="O89" s="81"/>
      <c r="Q89" s="303"/>
      <c r="S89" s="45"/>
      <c r="T89" s="353"/>
      <c r="U89" s="95"/>
      <c r="V89" s="36"/>
      <c r="W89" s="66"/>
      <c r="X89" s="15"/>
      <c r="Y89" s="63"/>
      <c r="Z89" s="173"/>
      <c r="AA89" s="126"/>
      <c r="AD89" s="22"/>
      <c r="AG89" s="33"/>
      <c r="AH89" s="43"/>
      <c r="AI89" s="63"/>
      <c r="AJ89" s="307"/>
      <c r="AK89" s="339"/>
    </row>
    <row r="90" spans="1:37">
      <c r="B90" s="79"/>
      <c r="C90" s="79"/>
      <c r="D90" s="80"/>
      <c r="E90" s="79"/>
      <c r="F90" s="57"/>
      <c r="G90" s="79"/>
      <c r="H90" s="8"/>
      <c r="I90" s="16"/>
      <c r="J90" s="73"/>
      <c r="K90" s="73"/>
      <c r="M90" s="323"/>
      <c r="N90" s="318"/>
      <c r="O90" s="81"/>
      <c r="Q90" s="303"/>
      <c r="S90" s="45"/>
      <c r="T90" s="353"/>
      <c r="U90" s="95"/>
      <c r="V90" s="36"/>
      <c r="W90" s="66"/>
      <c r="X90" s="15"/>
      <c r="Y90" s="63"/>
      <c r="Z90" s="173"/>
      <c r="AA90" s="126"/>
      <c r="AD90" s="16"/>
      <c r="AG90" s="33"/>
      <c r="AH90" s="120"/>
      <c r="AI90" s="63"/>
      <c r="AJ90" s="307"/>
      <c r="AK90" s="339"/>
    </row>
    <row r="91" spans="1:37">
      <c r="B91" s="79"/>
      <c r="C91" s="79"/>
      <c r="D91" s="80"/>
      <c r="E91" s="79"/>
      <c r="F91" s="57"/>
      <c r="G91" s="79"/>
      <c r="H91" s="8"/>
      <c r="I91" s="22"/>
      <c r="J91" s="73"/>
      <c r="K91" s="73"/>
      <c r="L91" s="323"/>
      <c r="M91" s="73"/>
      <c r="N91" s="318"/>
      <c r="O91" s="81"/>
      <c r="Q91" s="303"/>
      <c r="S91" s="45"/>
      <c r="T91" s="353"/>
      <c r="U91" s="95"/>
      <c r="V91" s="36"/>
      <c r="W91" s="66"/>
      <c r="X91" s="15"/>
      <c r="Y91" s="63"/>
      <c r="Z91" s="173"/>
      <c r="AA91" s="264"/>
      <c r="AD91" s="22"/>
      <c r="AG91" s="33"/>
      <c r="AH91" s="43"/>
      <c r="AI91" s="63"/>
      <c r="AJ91" s="307"/>
      <c r="AK91" s="339"/>
    </row>
    <row r="92" spans="1:37">
      <c r="B92" s="80"/>
      <c r="C92" s="80"/>
      <c r="D92" s="79"/>
      <c r="E92" s="79"/>
      <c r="F92" s="57"/>
      <c r="G92" s="79"/>
      <c r="H92" s="8"/>
      <c r="I92" s="22"/>
      <c r="J92" s="323"/>
      <c r="K92" s="73"/>
      <c r="M92" s="323"/>
      <c r="N92" s="318"/>
      <c r="O92" s="81"/>
      <c r="Q92" s="303"/>
      <c r="S92" s="45"/>
      <c r="T92" s="353"/>
      <c r="U92" s="95"/>
      <c r="V92" s="36"/>
      <c r="W92" s="66"/>
      <c r="X92" s="15"/>
      <c r="Y92" s="63"/>
      <c r="Z92" s="173"/>
      <c r="AA92" s="126"/>
      <c r="AD92" s="22"/>
      <c r="AG92" s="33"/>
      <c r="AH92" s="120"/>
      <c r="AI92" s="63"/>
      <c r="AJ92" s="307"/>
      <c r="AK92" s="339"/>
    </row>
    <row r="93" spans="1:37">
      <c r="B93" s="79"/>
      <c r="C93" s="79"/>
      <c r="D93" s="80"/>
      <c r="E93" s="79"/>
      <c r="F93" s="57"/>
      <c r="G93" s="79"/>
      <c r="H93" s="8"/>
      <c r="I93" s="22"/>
      <c r="J93" s="73"/>
      <c r="K93" s="73"/>
      <c r="L93" s="323"/>
      <c r="M93" s="73"/>
      <c r="N93" s="318"/>
      <c r="O93" s="81"/>
      <c r="Q93" s="303"/>
      <c r="S93" s="45"/>
      <c r="T93" s="353"/>
      <c r="U93" s="95"/>
      <c r="V93" s="36"/>
      <c r="W93" s="66"/>
      <c r="X93" s="15"/>
      <c r="Y93" s="63"/>
      <c r="Z93" s="173"/>
      <c r="AA93" s="264"/>
      <c r="AD93" s="22"/>
      <c r="AF93" s="86"/>
      <c r="AG93" s="33"/>
      <c r="AH93" s="43"/>
      <c r="AI93" s="63"/>
      <c r="AJ93" s="307"/>
      <c r="AK93" s="339"/>
    </row>
    <row r="94" spans="1:37">
      <c r="B94" s="79"/>
      <c r="C94" s="79"/>
      <c r="D94" s="80"/>
      <c r="E94" s="79"/>
      <c r="F94" s="57"/>
      <c r="G94" s="79"/>
      <c r="H94" s="8"/>
      <c r="I94" s="16"/>
      <c r="J94" s="73"/>
      <c r="K94" s="73"/>
      <c r="M94" s="323"/>
      <c r="N94" s="73"/>
      <c r="O94" s="81"/>
      <c r="Q94" s="303"/>
      <c r="S94" s="34"/>
      <c r="T94" s="353"/>
      <c r="U94" s="57"/>
      <c r="V94" s="13"/>
      <c r="W94" s="66"/>
      <c r="X94" s="15"/>
      <c r="Y94" s="63"/>
      <c r="Z94" s="173"/>
      <c r="AA94" s="126"/>
      <c r="AD94" s="16"/>
      <c r="AF94" s="86"/>
      <c r="AG94" s="33"/>
      <c r="AH94" s="43"/>
      <c r="AI94" s="63"/>
      <c r="AJ94" s="307"/>
      <c r="AK94" s="339"/>
    </row>
    <row r="95" spans="1:37">
      <c r="B95" s="79"/>
      <c r="C95" s="79"/>
      <c r="D95" s="80"/>
      <c r="E95" s="79"/>
      <c r="F95" s="57"/>
      <c r="G95" s="80"/>
      <c r="H95" s="5"/>
      <c r="I95" s="16"/>
      <c r="J95" s="323"/>
      <c r="K95" s="323"/>
      <c r="M95" s="323"/>
      <c r="N95" s="318"/>
      <c r="O95" s="81"/>
      <c r="Q95" s="303"/>
      <c r="S95" s="34"/>
      <c r="T95" s="353"/>
      <c r="U95" s="95"/>
      <c r="V95" s="36"/>
      <c r="W95" s="66"/>
      <c r="X95" s="15"/>
      <c r="Y95" s="63"/>
      <c r="Z95" s="173"/>
      <c r="AA95" s="126"/>
      <c r="AD95" s="16"/>
      <c r="AG95" s="33"/>
      <c r="AH95" s="120"/>
      <c r="AI95" s="63"/>
      <c r="AJ95" s="307"/>
      <c r="AK95" s="339"/>
    </row>
    <row r="96" spans="1:37">
      <c r="B96" s="79"/>
      <c r="C96" s="79"/>
      <c r="D96" s="80"/>
      <c r="E96" s="79"/>
      <c r="F96" s="57"/>
      <c r="G96" s="79"/>
      <c r="H96" s="5"/>
      <c r="I96" s="22"/>
      <c r="J96" s="323"/>
      <c r="K96" s="73"/>
      <c r="L96" s="323"/>
      <c r="M96" s="323"/>
      <c r="N96" s="318"/>
      <c r="O96" s="81"/>
      <c r="Q96" s="303"/>
      <c r="S96" s="45"/>
      <c r="T96" s="353"/>
      <c r="U96" s="95"/>
      <c r="V96" s="13"/>
      <c r="W96" s="66"/>
      <c r="X96" s="15"/>
      <c r="Y96" s="63"/>
      <c r="Z96" s="173"/>
      <c r="AA96" s="126"/>
      <c r="AD96" s="22"/>
      <c r="AG96" s="33"/>
      <c r="AH96" s="120"/>
      <c r="AI96" s="63"/>
      <c r="AJ96" s="307"/>
      <c r="AK96" s="339"/>
    </row>
    <row r="97" spans="1:37">
      <c r="B97" s="79"/>
      <c r="C97" s="79"/>
      <c r="D97" s="80"/>
      <c r="E97" s="79"/>
      <c r="F97" s="57"/>
      <c r="G97" s="79"/>
      <c r="H97" s="149"/>
      <c r="I97" s="16"/>
      <c r="J97" s="323"/>
      <c r="K97" s="73"/>
      <c r="M97" s="73"/>
      <c r="N97" s="318"/>
      <c r="O97" s="81"/>
      <c r="Q97" s="303"/>
      <c r="S97" s="45"/>
      <c r="T97" s="353"/>
      <c r="U97" s="95"/>
      <c r="V97" s="36"/>
      <c r="W97" s="66"/>
      <c r="X97" s="15"/>
      <c r="Y97" s="63"/>
      <c r="Z97" s="173"/>
      <c r="AA97" s="126"/>
      <c r="AD97" s="16"/>
      <c r="AG97" s="33"/>
      <c r="AH97" s="43"/>
      <c r="AI97" s="63"/>
      <c r="AJ97" s="307"/>
      <c r="AK97" s="221"/>
    </row>
    <row r="98" spans="1:37">
      <c r="B98" s="79"/>
      <c r="C98" s="79"/>
      <c r="D98" s="80"/>
      <c r="E98" s="79"/>
      <c r="F98" s="57"/>
      <c r="G98" s="80"/>
      <c r="H98" s="5"/>
      <c r="I98" s="16"/>
      <c r="J98" s="323"/>
      <c r="K98" s="73"/>
      <c r="L98" s="323"/>
      <c r="M98" s="323"/>
      <c r="N98" s="73"/>
      <c r="O98" s="81"/>
      <c r="Q98" s="303"/>
      <c r="S98" s="34"/>
      <c r="T98" s="353"/>
      <c r="U98" s="57"/>
      <c r="V98" s="13"/>
      <c r="W98" s="66"/>
      <c r="X98" s="15"/>
      <c r="Y98" s="63"/>
      <c r="Z98" s="173"/>
      <c r="AA98" s="126"/>
      <c r="AD98" s="16"/>
      <c r="AG98" s="33"/>
      <c r="AH98" s="43"/>
      <c r="AI98" s="63"/>
      <c r="AJ98" s="307"/>
      <c r="AK98" s="339"/>
    </row>
    <row r="99" spans="1:37">
      <c r="B99" s="79"/>
      <c r="C99" s="80"/>
      <c r="D99" s="80"/>
      <c r="E99" s="79"/>
      <c r="F99" s="57"/>
      <c r="G99" s="79"/>
      <c r="H99" s="149"/>
      <c r="I99" s="16"/>
      <c r="J99" s="323"/>
      <c r="K99" s="73"/>
      <c r="L99" s="323"/>
      <c r="M99" s="73"/>
      <c r="N99" s="318"/>
      <c r="O99" s="81"/>
      <c r="Q99" s="303"/>
      <c r="S99" s="34"/>
      <c r="T99" s="353"/>
      <c r="U99" s="95"/>
      <c r="V99" s="36"/>
      <c r="W99" s="66"/>
      <c r="X99" s="15"/>
      <c r="Y99" s="63"/>
      <c r="Z99" s="173"/>
      <c r="AA99" s="126"/>
      <c r="AD99" s="16"/>
      <c r="AG99" s="33"/>
      <c r="AH99" s="120"/>
      <c r="AI99" s="63"/>
      <c r="AJ99" s="307"/>
      <c r="AK99" s="339"/>
    </row>
    <row r="100" spans="1:37">
      <c r="B100" s="79"/>
      <c r="C100" s="79"/>
      <c r="D100" s="80"/>
      <c r="E100" s="79"/>
      <c r="F100" s="57"/>
      <c r="G100" s="79"/>
      <c r="H100" s="8"/>
      <c r="I100" s="22"/>
      <c r="J100" s="73"/>
      <c r="K100" s="73"/>
      <c r="M100" s="323"/>
      <c r="N100" s="318"/>
      <c r="O100" s="81"/>
      <c r="Q100" s="303"/>
      <c r="S100" s="45"/>
      <c r="T100" s="353"/>
      <c r="U100" s="95"/>
      <c r="V100" s="36"/>
      <c r="W100" s="66"/>
      <c r="X100" s="15"/>
      <c r="Y100" s="63"/>
      <c r="Z100" s="173"/>
      <c r="AA100" s="126"/>
      <c r="AD100" s="22"/>
      <c r="AG100" s="33"/>
      <c r="AH100" s="120"/>
      <c r="AI100" s="63"/>
      <c r="AJ100" s="307"/>
      <c r="AK100" s="339"/>
    </row>
    <row r="101" spans="1:37">
      <c r="B101" s="79"/>
      <c r="C101" s="79"/>
      <c r="D101" s="80"/>
      <c r="E101" s="79"/>
      <c r="F101" s="57"/>
      <c r="G101" s="79"/>
      <c r="H101" s="8"/>
      <c r="I101" s="22"/>
      <c r="J101" s="323"/>
      <c r="K101" s="73"/>
      <c r="L101" s="323"/>
      <c r="M101" s="323"/>
      <c r="N101" s="318"/>
      <c r="O101" s="81"/>
      <c r="Q101" s="303"/>
      <c r="S101" s="45"/>
      <c r="T101" s="353"/>
      <c r="U101" s="95"/>
      <c r="V101" s="36"/>
      <c r="W101" s="66"/>
      <c r="X101" s="15"/>
      <c r="Y101" s="63"/>
      <c r="Z101" s="173"/>
      <c r="AA101" s="126"/>
      <c r="AD101" s="22"/>
      <c r="AG101" s="33"/>
      <c r="AH101" s="120"/>
      <c r="AI101" s="63"/>
      <c r="AJ101" s="307"/>
      <c r="AK101" s="339"/>
    </row>
    <row r="102" spans="1:37">
      <c r="B102" s="79"/>
      <c r="C102" s="79"/>
      <c r="D102" s="79"/>
      <c r="E102" s="79"/>
      <c r="F102" s="57"/>
      <c r="G102" s="79"/>
      <c r="H102" s="5"/>
      <c r="I102" s="16"/>
      <c r="J102" s="73"/>
      <c r="K102" s="73"/>
      <c r="L102" s="323"/>
      <c r="M102" s="73"/>
      <c r="N102" s="318"/>
      <c r="O102" s="81"/>
      <c r="Q102" s="303"/>
      <c r="S102" s="45"/>
      <c r="T102" s="353"/>
      <c r="U102" s="95"/>
      <c r="V102" s="36"/>
      <c r="W102" s="66"/>
      <c r="X102" s="15"/>
      <c r="Y102" s="63"/>
      <c r="Z102" s="173"/>
      <c r="AA102" s="126"/>
      <c r="AD102" s="16"/>
      <c r="AG102" s="33"/>
      <c r="AH102" s="43"/>
      <c r="AI102" s="63"/>
      <c r="AJ102" s="307"/>
      <c r="AK102" s="339"/>
    </row>
    <row r="103" spans="1:37">
      <c r="B103" s="79"/>
      <c r="C103" s="79"/>
      <c r="D103" s="80"/>
      <c r="E103" s="79"/>
      <c r="F103" s="57"/>
      <c r="G103" s="79"/>
      <c r="H103" s="5"/>
      <c r="I103" s="22"/>
      <c r="J103" s="323"/>
      <c r="K103" s="73"/>
      <c r="L103" s="323"/>
      <c r="M103" s="73"/>
      <c r="N103" s="318"/>
      <c r="O103" s="81"/>
      <c r="Q103" s="303"/>
      <c r="S103" s="45"/>
      <c r="T103" s="353"/>
      <c r="U103" s="95"/>
      <c r="V103" s="36"/>
      <c r="W103" s="66"/>
      <c r="X103" s="15"/>
      <c r="Y103" s="63"/>
      <c r="Z103" s="173"/>
      <c r="AA103" s="264"/>
      <c r="AD103" s="22"/>
      <c r="AG103" s="33"/>
      <c r="AH103" s="43"/>
      <c r="AI103" s="63"/>
      <c r="AJ103" s="307"/>
      <c r="AK103" s="339"/>
    </row>
    <row r="104" spans="1:37">
      <c r="B104" s="79"/>
      <c r="C104" s="79"/>
      <c r="D104" s="79"/>
      <c r="E104" s="79"/>
      <c r="F104" s="57"/>
      <c r="G104" s="79"/>
      <c r="H104" s="149"/>
      <c r="I104" s="16"/>
      <c r="J104" s="323"/>
      <c r="K104" s="73"/>
      <c r="M104" s="73"/>
      <c r="N104" s="318"/>
      <c r="O104" s="81"/>
      <c r="Q104" s="303"/>
      <c r="S104" s="45"/>
      <c r="T104" s="353"/>
      <c r="U104" s="95"/>
      <c r="V104" s="36"/>
      <c r="W104" s="66"/>
      <c r="X104" s="15"/>
      <c r="Y104" s="63"/>
      <c r="Z104" s="173"/>
      <c r="AA104" s="126"/>
      <c r="AD104" s="16"/>
      <c r="AG104" s="33"/>
      <c r="AH104" s="43"/>
      <c r="AI104" s="63"/>
      <c r="AJ104" s="307"/>
      <c r="AK104" s="221"/>
    </row>
    <row r="105" spans="1:37">
      <c r="B105" s="80"/>
      <c r="C105" s="80"/>
      <c r="D105" s="80"/>
      <c r="E105" s="79"/>
      <c r="F105" s="57"/>
      <c r="G105" s="79"/>
      <c r="H105" s="5"/>
      <c r="I105" s="16"/>
      <c r="J105" s="323"/>
      <c r="K105" s="73"/>
      <c r="L105" s="323"/>
      <c r="M105" s="323"/>
      <c r="N105" s="318"/>
      <c r="O105" s="81"/>
      <c r="Q105" s="303"/>
      <c r="S105" s="45"/>
      <c r="T105" s="353"/>
      <c r="U105" s="95"/>
      <c r="V105" s="36"/>
      <c r="W105" s="66"/>
      <c r="X105" s="15"/>
      <c r="Y105" s="63"/>
      <c r="Z105" s="173"/>
      <c r="AA105" s="126"/>
      <c r="AD105" s="16"/>
      <c r="AF105" s="86"/>
      <c r="AG105" s="33"/>
      <c r="AH105" s="120"/>
      <c r="AI105" s="63"/>
      <c r="AJ105" s="307"/>
      <c r="AK105" s="339"/>
    </row>
    <row r="106" spans="1:37">
      <c r="A106" s="146"/>
      <c r="B106" s="79"/>
      <c r="C106" s="79"/>
      <c r="D106" s="79"/>
      <c r="E106" s="79"/>
      <c r="F106" s="6"/>
      <c r="G106" s="79"/>
      <c r="H106" s="8"/>
      <c r="I106" s="22"/>
      <c r="J106" s="73"/>
      <c r="K106" s="73"/>
      <c r="M106" s="323"/>
      <c r="N106" s="318"/>
      <c r="O106" s="81"/>
      <c r="Q106" s="303"/>
      <c r="S106" s="45"/>
      <c r="T106" s="353"/>
      <c r="U106" s="95"/>
      <c r="V106" s="36"/>
      <c r="W106" s="66"/>
      <c r="X106" s="15"/>
      <c r="Y106" s="63"/>
      <c r="Z106" s="173"/>
      <c r="AA106" s="126"/>
      <c r="AD106" s="22"/>
      <c r="AG106" s="33"/>
      <c r="AH106" s="120"/>
      <c r="AI106" s="63"/>
      <c r="AJ106" s="307"/>
      <c r="AK106" s="339"/>
    </row>
    <row r="107" spans="1:37">
      <c r="B107" s="79"/>
      <c r="C107" s="79"/>
      <c r="D107" s="80"/>
      <c r="E107" s="79"/>
      <c r="F107" s="57"/>
      <c r="G107" s="79"/>
      <c r="H107" s="149"/>
      <c r="I107" s="16"/>
      <c r="J107" s="323"/>
      <c r="K107" s="73"/>
      <c r="L107" s="323"/>
      <c r="M107" s="323"/>
      <c r="N107" s="73"/>
      <c r="O107" s="81"/>
      <c r="Q107" s="303"/>
      <c r="S107" s="45"/>
      <c r="T107" s="353"/>
      <c r="U107" s="57"/>
      <c r="V107" s="13"/>
      <c r="W107" s="66"/>
      <c r="X107" s="15"/>
      <c r="Y107" s="63"/>
      <c r="Z107" s="173"/>
      <c r="AA107" s="126"/>
      <c r="AD107" s="16"/>
      <c r="AG107" s="33"/>
      <c r="AH107" s="43"/>
      <c r="AI107" s="63"/>
      <c r="AJ107" s="307"/>
      <c r="AK107" s="339"/>
    </row>
    <row r="108" spans="1:37">
      <c r="B108" s="80"/>
      <c r="C108" s="80"/>
      <c r="D108" s="79"/>
      <c r="E108" s="79"/>
      <c r="F108" s="57"/>
      <c r="G108" s="80"/>
      <c r="H108" s="5"/>
      <c r="I108" s="16"/>
      <c r="J108" s="323"/>
      <c r="K108" s="73"/>
      <c r="M108" s="323"/>
      <c r="N108" s="318"/>
      <c r="O108" s="81"/>
      <c r="Q108" s="303"/>
      <c r="S108" s="45"/>
      <c r="T108" s="353"/>
      <c r="U108" s="95"/>
      <c r="V108" s="36"/>
      <c r="W108" s="66"/>
      <c r="X108" s="15"/>
      <c r="Y108" s="63"/>
      <c r="Z108" s="173"/>
      <c r="AA108" s="126"/>
      <c r="AD108" s="16"/>
      <c r="AF108" s="86"/>
      <c r="AG108" s="33"/>
      <c r="AH108" s="120"/>
      <c r="AI108" s="63"/>
      <c r="AJ108" s="307"/>
      <c r="AK108" s="339"/>
    </row>
    <row r="109" spans="1:37">
      <c r="B109" s="79"/>
      <c r="C109" s="79"/>
      <c r="D109" s="80"/>
      <c r="E109" s="79"/>
      <c r="F109" s="57"/>
      <c r="G109" s="79"/>
      <c r="H109" s="5"/>
      <c r="I109" s="22"/>
      <c r="J109" s="323"/>
      <c r="K109" s="73"/>
      <c r="M109" s="323"/>
      <c r="N109" s="318"/>
      <c r="O109" s="81"/>
      <c r="Q109" s="303"/>
      <c r="S109" s="45"/>
      <c r="T109" s="353"/>
      <c r="U109" s="95"/>
      <c r="V109" s="36"/>
      <c r="W109" s="66"/>
      <c r="X109" s="15"/>
      <c r="Y109" s="63"/>
      <c r="Z109" s="173"/>
      <c r="AA109" s="126"/>
      <c r="AD109" s="22"/>
      <c r="AG109" s="33"/>
      <c r="AH109" s="120"/>
      <c r="AI109" s="63"/>
      <c r="AJ109" s="307"/>
      <c r="AK109" s="339"/>
    </row>
    <row r="110" spans="1:37">
      <c r="A110" s="146"/>
      <c r="B110" s="79"/>
      <c r="C110" s="79"/>
      <c r="D110" s="79"/>
      <c r="E110" s="79"/>
      <c r="F110" s="6"/>
      <c r="G110" s="79"/>
      <c r="H110" s="8"/>
      <c r="I110" s="22"/>
      <c r="J110" s="73"/>
      <c r="K110" s="73"/>
      <c r="M110" s="323"/>
      <c r="N110" s="318"/>
      <c r="O110" s="81"/>
      <c r="Q110" s="303"/>
      <c r="S110" s="45"/>
      <c r="T110" s="353"/>
      <c r="U110" s="95"/>
      <c r="V110" s="36"/>
      <c r="W110" s="66"/>
      <c r="X110" s="15"/>
      <c r="Y110" s="63"/>
      <c r="Z110" s="173"/>
      <c r="AA110" s="126"/>
      <c r="AD110" s="22"/>
      <c r="AG110" s="33"/>
      <c r="AH110" s="120"/>
      <c r="AI110" s="63"/>
      <c r="AJ110" s="307"/>
      <c r="AK110" s="339"/>
    </row>
    <row r="111" spans="1:37">
      <c r="B111" s="79"/>
      <c r="C111" s="79"/>
      <c r="D111" s="80"/>
      <c r="E111" s="79"/>
      <c r="F111" s="57"/>
      <c r="G111" s="79"/>
      <c r="H111" s="8"/>
      <c r="I111" s="22"/>
      <c r="J111" s="73"/>
      <c r="K111" s="73"/>
      <c r="M111" s="323"/>
      <c r="N111" s="318"/>
      <c r="O111" s="81"/>
      <c r="Q111" s="303"/>
      <c r="S111" s="34"/>
      <c r="T111" s="353"/>
      <c r="U111" s="95"/>
      <c r="V111" s="36"/>
      <c r="W111" s="66"/>
      <c r="X111" s="15"/>
      <c r="Y111" s="63"/>
      <c r="Z111" s="173"/>
      <c r="AA111" s="126"/>
      <c r="AD111" s="22"/>
      <c r="AG111" s="33"/>
      <c r="AH111" s="120"/>
      <c r="AI111" s="63"/>
      <c r="AJ111" s="307"/>
      <c r="AK111" s="339"/>
    </row>
    <row r="112" spans="1:37">
      <c r="B112" s="79"/>
      <c r="C112" s="79"/>
      <c r="D112" s="79"/>
      <c r="E112" s="79"/>
      <c r="F112" s="57"/>
      <c r="G112" s="79"/>
      <c r="H112" s="5"/>
      <c r="I112" s="22"/>
      <c r="J112" s="323"/>
      <c r="K112" s="73"/>
      <c r="L112" s="323"/>
      <c r="M112" s="323"/>
      <c r="N112" s="318"/>
      <c r="O112" s="81"/>
      <c r="Q112" s="303"/>
      <c r="S112" s="45"/>
      <c r="T112" s="353"/>
      <c r="U112" s="95"/>
      <c r="V112" s="36"/>
      <c r="W112" s="66"/>
      <c r="X112" s="15"/>
      <c r="Y112" s="63"/>
      <c r="Z112" s="173"/>
      <c r="AA112" s="264"/>
      <c r="AD112" s="22"/>
      <c r="AG112" s="33"/>
      <c r="AH112" s="43"/>
      <c r="AI112" s="63"/>
      <c r="AJ112" s="307"/>
      <c r="AK112" s="339"/>
    </row>
    <row r="113" spans="1:38">
      <c r="B113" s="79"/>
      <c r="C113" s="79"/>
      <c r="D113" s="79"/>
      <c r="E113" s="79"/>
      <c r="F113" s="57"/>
      <c r="G113" s="80"/>
      <c r="H113" s="195"/>
      <c r="I113" s="16"/>
      <c r="J113" s="73"/>
      <c r="K113" s="73"/>
      <c r="M113" s="323"/>
      <c r="N113" s="318"/>
      <c r="O113" s="81"/>
      <c r="Q113" s="303"/>
      <c r="S113" s="34"/>
      <c r="T113" s="353"/>
      <c r="U113" s="95"/>
      <c r="V113" s="36"/>
      <c r="W113" s="66"/>
      <c r="X113" s="15"/>
      <c r="Y113" s="63"/>
      <c r="Z113" s="173"/>
      <c r="AA113" s="126"/>
      <c r="AD113" s="16"/>
      <c r="AG113" s="33"/>
      <c r="AH113" s="43"/>
      <c r="AI113" s="63"/>
      <c r="AJ113" s="307"/>
      <c r="AK113" s="339"/>
    </row>
    <row r="114" spans="1:38">
      <c r="B114" s="79"/>
      <c r="C114" s="79"/>
      <c r="D114" s="79"/>
      <c r="E114" s="79"/>
      <c r="F114" s="57"/>
      <c r="G114" s="80"/>
      <c r="H114" s="149"/>
      <c r="I114" s="16"/>
      <c r="J114" s="323"/>
      <c r="K114" s="73"/>
      <c r="L114" s="323"/>
      <c r="M114" s="323"/>
      <c r="N114" s="318"/>
      <c r="O114" s="81"/>
      <c r="Q114" s="303"/>
      <c r="S114" s="34"/>
      <c r="T114" s="353"/>
      <c r="U114" s="95"/>
      <c r="V114" s="36"/>
      <c r="W114" s="66"/>
      <c r="X114" s="15"/>
      <c r="Y114" s="63"/>
      <c r="Z114" s="173"/>
      <c r="AA114" s="126"/>
      <c r="AD114" s="16"/>
      <c r="AG114" s="33"/>
      <c r="AH114" s="43"/>
      <c r="AI114" s="63"/>
      <c r="AJ114" s="307"/>
      <c r="AK114" s="339"/>
    </row>
    <row r="115" spans="1:38">
      <c r="B115" s="80"/>
      <c r="C115" s="80"/>
      <c r="D115" s="79"/>
      <c r="E115" s="79"/>
      <c r="F115" s="57"/>
      <c r="G115" s="79"/>
      <c r="H115" s="5"/>
      <c r="I115" s="16"/>
      <c r="J115" s="323"/>
      <c r="K115" s="73"/>
      <c r="M115" s="323"/>
      <c r="N115" s="318"/>
      <c r="O115" s="81"/>
      <c r="Q115" s="303"/>
      <c r="S115" s="45"/>
      <c r="T115" s="353"/>
      <c r="U115" s="95"/>
      <c r="V115" s="36"/>
      <c r="W115" s="66"/>
      <c r="X115" s="15"/>
      <c r="Y115" s="63"/>
      <c r="Z115" s="173"/>
      <c r="AA115" s="126"/>
      <c r="AD115" s="16"/>
      <c r="AG115" s="33"/>
      <c r="AH115" s="120"/>
      <c r="AI115" s="63"/>
      <c r="AJ115" s="307"/>
      <c r="AK115" s="339"/>
    </row>
    <row r="116" spans="1:38">
      <c r="B116" s="80"/>
      <c r="C116" s="80"/>
      <c r="D116" s="79"/>
      <c r="E116" s="79"/>
      <c r="F116" s="57"/>
      <c r="G116" s="79"/>
      <c r="H116" s="8"/>
      <c r="I116" s="16"/>
      <c r="J116" s="323"/>
      <c r="K116" s="323"/>
      <c r="M116" s="323"/>
      <c r="N116" s="318"/>
      <c r="O116" s="81"/>
      <c r="Q116" s="303"/>
      <c r="S116" s="45"/>
      <c r="T116" s="353"/>
      <c r="U116" s="95"/>
      <c r="V116" s="36"/>
      <c r="W116" s="66"/>
      <c r="X116" s="15"/>
      <c r="Y116" s="63"/>
      <c r="Z116" s="173"/>
      <c r="AA116" s="126"/>
      <c r="AD116" s="16"/>
      <c r="AG116" s="33"/>
      <c r="AH116" s="120"/>
      <c r="AI116" s="63"/>
      <c r="AJ116" s="307"/>
      <c r="AK116" s="339"/>
    </row>
    <row r="117" spans="1:38">
      <c r="B117" s="79"/>
      <c r="C117" s="79"/>
      <c r="D117" s="79"/>
      <c r="E117" s="79"/>
      <c r="F117" s="57"/>
      <c r="G117" s="79"/>
      <c r="H117" s="149"/>
      <c r="I117" s="16"/>
      <c r="J117" s="323"/>
      <c r="K117" s="73"/>
      <c r="M117" s="73"/>
      <c r="N117" s="318"/>
      <c r="O117" s="81"/>
      <c r="Q117" s="303"/>
      <c r="S117" s="45"/>
      <c r="T117" s="353"/>
      <c r="U117" s="95"/>
      <c r="V117" s="36"/>
      <c r="W117" s="66"/>
      <c r="X117" s="15"/>
      <c r="Y117" s="63"/>
      <c r="Z117" s="173"/>
      <c r="AA117" s="126"/>
      <c r="AD117" s="16"/>
      <c r="AG117" s="33"/>
      <c r="AH117" s="43"/>
      <c r="AI117" s="63"/>
      <c r="AJ117" s="307"/>
      <c r="AK117" s="221"/>
    </row>
    <row r="118" spans="1:38">
      <c r="B118" s="79"/>
      <c r="C118" s="79"/>
      <c r="D118" s="79"/>
      <c r="E118" s="79"/>
      <c r="F118" s="57"/>
      <c r="G118" s="79"/>
      <c r="H118" s="149"/>
      <c r="I118" s="16"/>
      <c r="J118" s="73"/>
      <c r="K118" s="73"/>
      <c r="L118" s="323"/>
      <c r="M118" s="73"/>
      <c r="N118" s="318"/>
      <c r="O118" s="81"/>
      <c r="Q118" s="303"/>
      <c r="S118" s="45"/>
      <c r="T118" s="353"/>
      <c r="U118" s="95"/>
      <c r="V118" s="36"/>
      <c r="W118" s="66"/>
      <c r="X118" s="15"/>
      <c r="Y118" s="76"/>
      <c r="Z118" s="173"/>
      <c r="AA118" s="126"/>
      <c r="AD118" s="16"/>
      <c r="AG118" s="33"/>
      <c r="AH118" s="43"/>
      <c r="AI118" s="63"/>
      <c r="AJ118" s="307"/>
      <c r="AK118" s="221"/>
    </row>
    <row r="119" spans="1:38">
      <c r="B119" s="79"/>
      <c r="C119" s="79"/>
      <c r="D119" s="79"/>
      <c r="E119" s="79"/>
      <c r="F119" s="57"/>
      <c r="G119" s="79"/>
      <c r="H119" s="8"/>
      <c r="I119" s="16"/>
      <c r="J119" s="73"/>
      <c r="K119" s="73"/>
      <c r="M119" s="73"/>
      <c r="N119" s="318"/>
      <c r="O119" s="81"/>
      <c r="Q119" s="303"/>
      <c r="S119" s="45"/>
      <c r="T119" s="353"/>
      <c r="U119" s="95"/>
      <c r="V119" s="36"/>
      <c r="W119" s="66"/>
      <c r="X119" s="15"/>
      <c r="Y119" s="63"/>
      <c r="Z119" s="173"/>
      <c r="AA119" s="126"/>
      <c r="AD119" s="16"/>
      <c r="AG119" s="33"/>
      <c r="AH119" s="43"/>
      <c r="AI119" s="63"/>
      <c r="AJ119" s="307"/>
      <c r="AK119" s="339"/>
    </row>
    <row r="120" spans="1:38">
      <c r="A120" s="145"/>
      <c r="B120" s="79"/>
      <c r="C120" s="79"/>
      <c r="D120" s="79"/>
      <c r="E120" s="79"/>
      <c r="F120" s="6"/>
      <c r="G120" s="41"/>
      <c r="H120" s="8"/>
      <c r="I120" s="158"/>
      <c r="J120" s="323"/>
      <c r="K120" s="323"/>
      <c r="L120" s="323"/>
      <c r="N120" s="318"/>
      <c r="O120" s="306"/>
      <c r="S120" s="107"/>
      <c r="T120" s="351"/>
      <c r="U120" s="95"/>
      <c r="V120" s="349"/>
      <c r="W120" s="331"/>
      <c r="X120" s="167"/>
      <c r="Y120" s="163"/>
      <c r="Z120" s="384"/>
      <c r="AA120" s="168"/>
      <c r="AB120" s="268"/>
      <c r="AC120" s="268"/>
      <c r="AD120" s="244"/>
      <c r="AE120" s="6"/>
      <c r="AG120" s="33"/>
      <c r="AH120" s="46"/>
      <c r="AI120" s="268"/>
      <c r="AJ120" s="268"/>
      <c r="AK120" s="268"/>
      <c r="AL120" s="268"/>
    </row>
    <row r="121" spans="1:38">
      <c r="B121" s="79"/>
      <c r="C121" s="79"/>
      <c r="D121" s="79"/>
      <c r="E121" s="79"/>
      <c r="F121" s="57"/>
      <c r="G121" s="79"/>
      <c r="H121" s="8"/>
      <c r="I121" s="16"/>
      <c r="J121" s="73"/>
      <c r="K121" s="73"/>
      <c r="M121" s="73"/>
      <c r="N121" s="318"/>
      <c r="Q121" s="303"/>
      <c r="S121" s="45"/>
      <c r="T121" s="353"/>
      <c r="U121" s="95"/>
      <c r="V121" s="36"/>
      <c r="W121" s="66"/>
      <c r="X121" s="15"/>
      <c r="Y121" s="63"/>
      <c r="Z121" s="173"/>
      <c r="AA121" s="126"/>
      <c r="AD121" s="16"/>
      <c r="AG121" s="33"/>
      <c r="AH121" s="43"/>
      <c r="AI121" s="63"/>
      <c r="AJ121" s="307"/>
      <c r="AK121" s="339"/>
    </row>
    <row r="122" spans="1:38">
      <c r="B122" s="79"/>
      <c r="C122" s="79"/>
      <c r="D122" s="79"/>
      <c r="E122" s="79"/>
      <c r="F122" s="57"/>
      <c r="G122" s="79"/>
      <c r="H122" s="8"/>
      <c r="I122" s="22"/>
      <c r="J122" s="323"/>
      <c r="K122" s="73"/>
      <c r="L122" s="323"/>
      <c r="M122" s="323"/>
      <c r="N122" s="318"/>
      <c r="O122" s="81"/>
      <c r="Q122" s="303"/>
      <c r="S122" s="45"/>
      <c r="T122" s="353"/>
      <c r="U122" s="95"/>
      <c r="V122" s="13"/>
      <c r="W122" s="66"/>
      <c r="X122" s="15"/>
      <c r="Y122" s="63"/>
      <c r="Z122" s="173"/>
      <c r="AA122" s="126"/>
      <c r="AD122" s="22"/>
      <c r="AG122" s="33"/>
      <c r="AH122" s="120"/>
      <c r="AI122" s="63"/>
      <c r="AJ122" s="307"/>
      <c r="AK122" s="339"/>
    </row>
    <row r="123" spans="1:38">
      <c r="B123" s="79"/>
      <c r="C123" s="79"/>
      <c r="D123" s="80"/>
      <c r="E123" s="79"/>
      <c r="F123" s="57"/>
      <c r="G123" s="79"/>
      <c r="H123" s="8"/>
      <c r="I123" s="16"/>
      <c r="J123" s="73"/>
      <c r="K123" s="73"/>
      <c r="M123" s="73"/>
      <c r="N123" s="318"/>
      <c r="O123" s="81"/>
      <c r="Q123" s="303"/>
      <c r="S123" s="45"/>
      <c r="T123" s="353"/>
      <c r="U123" s="95"/>
      <c r="V123" s="36"/>
      <c r="W123" s="66"/>
      <c r="X123" s="15"/>
      <c r="Y123" s="63"/>
      <c r="Z123" s="173"/>
      <c r="AA123" s="126"/>
      <c r="AD123" s="16"/>
      <c r="AG123" s="33"/>
      <c r="AH123" s="120"/>
      <c r="AI123" s="63"/>
      <c r="AJ123" s="307"/>
      <c r="AK123" s="339"/>
    </row>
    <row r="124" spans="1:38">
      <c r="B124" s="79"/>
      <c r="C124" s="79"/>
      <c r="D124" s="79"/>
      <c r="E124" s="79"/>
      <c r="F124" s="57"/>
      <c r="G124" s="79"/>
      <c r="H124" s="204"/>
      <c r="I124" s="16"/>
      <c r="J124" s="73"/>
      <c r="K124" s="73"/>
      <c r="L124" s="323"/>
      <c r="M124" s="73"/>
      <c r="N124" s="318"/>
      <c r="O124" s="81"/>
      <c r="Q124" s="303"/>
      <c r="S124" s="45"/>
      <c r="T124" s="353"/>
      <c r="U124" s="95"/>
      <c r="V124" s="13"/>
      <c r="W124" s="66"/>
      <c r="X124" s="15"/>
      <c r="Y124" s="63"/>
      <c r="Z124" s="173"/>
      <c r="AA124" s="126"/>
      <c r="AD124" s="16"/>
      <c r="AF124" s="86"/>
      <c r="AG124" s="33"/>
      <c r="AH124" s="120"/>
      <c r="AI124" s="63"/>
      <c r="AJ124" s="307"/>
      <c r="AK124" s="339"/>
    </row>
    <row r="125" spans="1:38">
      <c r="B125" s="93"/>
      <c r="C125" s="234"/>
      <c r="D125" s="79"/>
      <c r="E125" s="79"/>
      <c r="F125" s="57"/>
      <c r="G125" s="79"/>
      <c r="H125" s="8"/>
      <c r="I125" s="16"/>
      <c r="J125" s="73"/>
      <c r="K125" s="73"/>
      <c r="M125" s="73"/>
      <c r="N125" s="318"/>
      <c r="O125" s="81"/>
      <c r="Q125" s="303"/>
      <c r="S125" s="34"/>
      <c r="T125" s="353"/>
      <c r="U125" s="95"/>
      <c r="V125" s="36"/>
      <c r="W125" s="66"/>
      <c r="X125" s="15"/>
      <c r="Y125" s="63"/>
      <c r="Z125" s="173"/>
      <c r="AA125" s="126"/>
      <c r="AD125" s="16"/>
      <c r="AG125" s="33"/>
      <c r="AH125" s="43"/>
      <c r="AI125" s="63"/>
      <c r="AJ125" s="307"/>
      <c r="AK125" s="339"/>
    </row>
    <row r="126" spans="1:38">
      <c r="B126" s="80"/>
      <c r="C126" s="80"/>
      <c r="D126" s="80"/>
      <c r="E126" s="79"/>
      <c r="F126" s="57"/>
      <c r="G126" s="79"/>
      <c r="H126" s="8"/>
      <c r="I126" s="16"/>
      <c r="J126" s="73"/>
      <c r="K126" s="73"/>
      <c r="L126" s="323"/>
      <c r="M126" s="323"/>
      <c r="N126" s="318"/>
      <c r="O126" s="81"/>
      <c r="Q126" s="303"/>
      <c r="S126" s="45"/>
      <c r="T126" s="353"/>
      <c r="U126" s="95"/>
      <c r="V126" s="36"/>
      <c r="W126" s="66"/>
      <c r="X126" s="15"/>
      <c r="Y126" s="63"/>
      <c r="Z126" s="173"/>
      <c r="AA126" s="126"/>
      <c r="AD126" s="16"/>
      <c r="AG126" s="33"/>
      <c r="AH126" s="43"/>
      <c r="AI126" s="63"/>
      <c r="AJ126" s="307"/>
      <c r="AK126" s="339"/>
    </row>
    <row r="127" spans="1:38">
      <c r="B127" s="79"/>
      <c r="C127" s="79"/>
      <c r="D127" s="79"/>
      <c r="E127" s="79"/>
      <c r="F127" s="57"/>
      <c r="G127" s="79"/>
      <c r="H127" s="149"/>
      <c r="I127" s="16"/>
      <c r="J127" s="323"/>
      <c r="K127" s="73"/>
      <c r="L127" s="323"/>
      <c r="M127" s="323"/>
      <c r="N127" s="73"/>
      <c r="O127" s="81"/>
      <c r="Q127" s="303"/>
      <c r="S127" s="34"/>
      <c r="T127" s="353"/>
      <c r="U127" s="57"/>
      <c r="V127" s="13"/>
      <c r="W127" s="66"/>
      <c r="X127" s="15"/>
      <c r="Y127" s="63"/>
      <c r="Z127" s="173"/>
      <c r="AA127" s="126"/>
      <c r="AD127" s="16"/>
      <c r="AG127" s="33"/>
      <c r="AH127" s="43"/>
      <c r="AI127" s="63"/>
      <c r="AJ127" s="307"/>
      <c r="AK127" s="339"/>
    </row>
    <row r="128" spans="1:38">
      <c r="B128" s="79"/>
      <c r="C128" s="79"/>
      <c r="D128" s="79"/>
      <c r="E128" s="79"/>
      <c r="F128" s="57"/>
      <c r="G128" s="79"/>
      <c r="H128" s="204"/>
      <c r="I128" s="16"/>
      <c r="J128" s="73"/>
      <c r="K128" s="73"/>
      <c r="L128" s="323"/>
      <c r="M128" s="73"/>
      <c r="N128" s="318"/>
      <c r="O128" s="81"/>
      <c r="Q128" s="303"/>
      <c r="S128" s="45"/>
      <c r="T128" s="353"/>
      <c r="U128" s="95"/>
      <c r="V128" s="13"/>
      <c r="W128" s="66"/>
      <c r="X128" s="15"/>
      <c r="Y128" s="63"/>
      <c r="Z128" s="173"/>
      <c r="AA128" s="126"/>
      <c r="AD128" s="16"/>
      <c r="AG128" s="33"/>
      <c r="AH128" s="120"/>
      <c r="AI128" s="63"/>
      <c r="AJ128" s="307"/>
      <c r="AK128" s="339"/>
    </row>
    <row r="129" spans="1:37">
      <c r="B129" s="79"/>
      <c r="C129" s="79"/>
      <c r="D129" s="79"/>
      <c r="E129" s="79"/>
      <c r="F129" s="57"/>
      <c r="G129" s="79"/>
      <c r="H129" s="204"/>
      <c r="I129" s="16"/>
      <c r="J129" s="73"/>
      <c r="K129" s="73"/>
      <c r="M129" s="73"/>
      <c r="N129" s="318"/>
      <c r="O129" s="81"/>
      <c r="Q129" s="303"/>
      <c r="S129" s="45"/>
      <c r="T129" s="353"/>
      <c r="U129" s="95"/>
      <c r="V129" s="13"/>
      <c r="W129" s="66"/>
      <c r="X129" s="15"/>
      <c r="Y129" s="63"/>
      <c r="Z129" s="173"/>
      <c r="AA129" s="126"/>
      <c r="AD129" s="16"/>
      <c r="AG129" s="33"/>
      <c r="AH129" s="120"/>
      <c r="AI129" s="63"/>
      <c r="AJ129" s="307"/>
      <c r="AK129" s="339"/>
    </row>
    <row r="130" spans="1:37">
      <c r="A130" s="146"/>
      <c r="B130" s="79"/>
      <c r="C130" s="79"/>
      <c r="D130" s="79"/>
      <c r="E130" s="79"/>
      <c r="F130" s="6"/>
      <c r="G130" s="79"/>
      <c r="H130" s="149"/>
      <c r="I130" s="16"/>
      <c r="J130" s="73"/>
      <c r="K130" s="73"/>
      <c r="M130" s="73"/>
      <c r="N130" s="318"/>
      <c r="O130" s="81"/>
      <c r="Q130" s="303"/>
      <c r="S130" s="45"/>
      <c r="T130" s="353"/>
      <c r="U130" s="95"/>
      <c r="V130" s="36"/>
      <c r="W130" s="66"/>
      <c r="X130" s="15"/>
      <c r="Y130" s="63"/>
      <c r="Z130" s="173"/>
      <c r="AA130" s="126"/>
      <c r="AD130" s="16"/>
      <c r="AG130" s="33"/>
      <c r="AH130" s="120"/>
      <c r="AI130" s="63"/>
      <c r="AJ130" s="307"/>
      <c r="AK130" s="339"/>
    </row>
    <row r="131" spans="1:37">
      <c r="B131" s="93"/>
      <c r="C131" s="234"/>
      <c r="D131" s="80"/>
      <c r="E131" s="79"/>
      <c r="F131" s="57"/>
      <c r="G131" s="80"/>
      <c r="H131" s="8"/>
      <c r="I131" s="16"/>
      <c r="J131" s="73"/>
      <c r="K131" s="73"/>
      <c r="L131" s="323"/>
      <c r="M131" s="73"/>
      <c r="N131" s="318"/>
      <c r="O131" s="81"/>
      <c r="Q131" s="303"/>
      <c r="S131" s="34"/>
      <c r="T131" s="353"/>
      <c r="U131" s="95"/>
      <c r="V131" s="36"/>
      <c r="W131" s="66"/>
      <c r="X131" s="15"/>
      <c r="Y131" s="63"/>
      <c r="Z131" s="173"/>
      <c r="AA131" s="126"/>
      <c r="AD131" s="16"/>
      <c r="AG131" s="33"/>
      <c r="AH131" s="43"/>
      <c r="AI131" s="63"/>
      <c r="AJ131" s="307"/>
      <c r="AK131" s="339"/>
    </row>
    <row r="132" spans="1:37">
      <c r="B132" s="79"/>
      <c r="C132" s="79"/>
      <c r="D132" s="79"/>
      <c r="E132" s="79"/>
      <c r="F132" s="57"/>
      <c r="G132" s="79"/>
      <c r="H132" s="8"/>
      <c r="I132" s="22"/>
      <c r="J132" s="73"/>
      <c r="K132" s="73"/>
      <c r="M132" s="323"/>
      <c r="N132" s="318"/>
      <c r="O132" s="81"/>
      <c r="Q132" s="303"/>
      <c r="S132" s="45"/>
      <c r="T132" s="353"/>
      <c r="U132" s="95"/>
      <c r="V132" s="36"/>
      <c r="W132" s="66"/>
      <c r="X132" s="15"/>
      <c r="Y132" s="63"/>
      <c r="Z132" s="173"/>
      <c r="AA132" s="126"/>
      <c r="AD132" s="22"/>
      <c r="AF132" s="86"/>
      <c r="AG132" s="33"/>
      <c r="AH132" s="120"/>
      <c r="AI132" s="63"/>
      <c r="AJ132" s="307"/>
      <c r="AK132" s="339"/>
    </row>
    <row r="133" spans="1:37">
      <c r="B133" s="79"/>
      <c r="C133" s="79"/>
      <c r="D133" s="79"/>
      <c r="E133" s="79"/>
      <c r="F133" s="57"/>
      <c r="G133" s="79"/>
      <c r="H133" s="149"/>
      <c r="I133" s="16"/>
      <c r="J133" s="73"/>
      <c r="K133" s="73"/>
      <c r="M133" s="323"/>
      <c r="N133" s="318"/>
      <c r="O133" s="81"/>
      <c r="Q133" s="303"/>
      <c r="S133" s="45"/>
      <c r="T133" s="353"/>
      <c r="U133" s="95"/>
      <c r="V133" s="36"/>
      <c r="W133" s="66"/>
      <c r="X133" s="15"/>
      <c r="Y133" s="63"/>
      <c r="Z133" s="173"/>
      <c r="AA133" s="126"/>
      <c r="AD133" s="16"/>
      <c r="AF133" s="86"/>
      <c r="AG133" s="33"/>
      <c r="AH133" s="43"/>
      <c r="AI133" s="63"/>
      <c r="AJ133" s="307"/>
      <c r="AK133" s="339"/>
    </row>
    <row r="134" spans="1:37">
      <c r="B134" s="79"/>
      <c r="C134" s="79"/>
      <c r="D134" s="79"/>
      <c r="E134" s="79"/>
      <c r="F134" s="57"/>
      <c r="G134" s="79"/>
      <c r="H134" s="149"/>
      <c r="I134" s="16"/>
      <c r="J134" s="73"/>
      <c r="K134" s="73"/>
      <c r="M134" s="323"/>
      <c r="N134" s="318"/>
      <c r="O134" s="81"/>
      <c r="Q134" s="303"/>
      <c r="S134" s="45"/>
      <c r="T134" s="353"/>
      <c r="U134" s="95"/>
      <c r="V134" s="36"/>
      <c r="W134" s="66"/>
      <c r="X134" s="15"/>
      <c r="Y134" s="63"/>
      <c r="Z134" s="173"/>
      <c r="AA134" s="126"/>
      <c r="AD134" s="16"/>
      <c r="AF134" s="86"/>
      <c r="AG134" s="33"/>
      <c r="AH134" s="43"/>
      <c r="AI134" s="63"/>
      <c r="AJ134" s="307"/>
      <c r="AK134" s="221"/>
    </row>
    <row r="135" spans="1:37">
      <c r="B135" s="79"/>
      <c r="C135" s="79"/>
      <c r="D135" s="79"/>
      <c r="E135" s="79"/>
      <c r="F135" s="57"/>
      <c r="G135" s="79"/>
      <c r="H135" s="149"/>
      <c r="I135" s="16"/>
      <c r="J135" s="73"/>
      <c r="K135" s="73"/>
      <c r="M135" s="323"/>
      <c r="N135" s="318"/>
      <c r="O135" s="81"/>
      <c r="Q135" s="303"/>
      <c r="S135" s="45"/>
      <c r="T135" s="353"/>
      <c r="U135" s="95"/>
      <c r="V135" s="36"/>
      <c r="W135" s="66"/>
      <c r="X135" s="15"/>
      <c r="Y135" s="76"/>
      <c r="Z135" s="173"/>
      <c r="AA135" s="126"/>
      <c r="AD135" s="16"/>
      <c r="AG135" s="33"/>
      <c r="AH135" s="43"/>
      <c r="AI135" s="63"/>
      <c r="AJ135" s="307"/>
      <c r="AK135" s="221"/>
    </row>
    <row r="136" spans="1:37">
      <c r="A136" s="146"/>
      <c r="B136" s="79"/>
      <c r="C136" s="79"/>
      <c r="D136" s="79"/>
      <c r="E136" s="79"/>
      <c r="F136" s="6"/>
      <c r="G136" s="79"/>
      <c r="H136" s="8"/>
      <c r="I136" s="16"/>
      <c r="J136" s="73"/>
      <c r="K136" s="73"/>
      <c r="M136" s="323"/>
      <c r="N136" s="318"/>
      <c r="O136" s="81"/>
      <c r="Q136" s="303"/>
      <c r="S136" s="45"/>
      <c r="T136" s="353"/>
      <c r="U136" s="95"/>
      <c r="V136" s="36"/>
      <c r="W136" s="66"/>
      <c r="X136" s="15"/>
      <c r="Y136" s="63"/>
      <c r="Z136" s="173"/>
      <c r="AA136" s="126"/>
      <c r="AD136" s="16"/>
      <c r="AG136" s="33"/>
      <c r="AH136" s="120"/>
      <c r="AI136" s="63"/>
      <c r="AJ136" s="307"/>
      <c r="AK136" s="339"/>
    </row>
    <row r="137" spans="1:37">
      <c r="B137" s="79"/>
      <c r="C137" s="79"/>
      <c r="D137" s="79"/>
      <c r="E137" s="79"/>
      <c r="F137" s="57"/>
      <c r="G137" s="79"/>
      <c r="H137" s="5"/>
      <c r="I137" s="22"/>
      <c r="J137" s="323"/>
      <c r="K137" s="73"/>
      <c r="L137" s="323"/>
      <c r="M137" s="323"/>
      <c r="N137" s="318"/>
      <c r="O137" s="81"/>
      <c r="Q137" s="303"/>
      <c r="S137" s="45"/>
      <c r="T137" s="353"/>
      <c r="U137" s="95"/>
      <c r="V137" s="36"/>
      <c r="W137" s="66"/>
      <c r="X137" s="15"/>
      <c r="Y137" s="63"/>
      <c r="Z137" s="173"/>
      <c r="AA137" s="126"/>
      <c r="AD137" s="22"/>
      <c r="AF137" s="86"/>
      <c r="AG137" s="33"/>
      <c r="AH137" s="122"/>
      <c r="AI137" s="63"/>
      <c r="AJ137" s="307"/>
      <c r="AK137" s="339"/>
    </row>
    <row r="138" spans="1:37">
      <c r="B138" s="79"/>
      <c r="C138" s="79"/>
      <c r="D138" s="79"/>
      <c r="E138" s="79"/>
      <c r="F138" s="57"/>
      <c r="G138" s="79"/>
      <c r="H138" s="5"/>
      <c r="I138" s="16"/>
      <c r="J138" s="323"/>
      <c r="K138" s="73"/>
      <c r="M138" s="323"/>
      <c r="N138" s="318"/>
      <c r="O138" s="81"/>
      <c r="Q138" s="303"/>
      <c r="S138" s="45"/>
      <c r="T138" s="353"/>
      <c r="U138" s="95"/>
      <c r="V138" s="36"/>
      <c r="W138" s="66"/>
      <c r="X138" s="15"/>
      <c r="Y138" s="63"/>
      <c r="Z138" s="173"/>
      <c r="AA138" s="126"/>
      <c r="AD138" s="16"/>
      <c r="AF138" s="86"/>
      <c r="AG138" s="33"/>
      <c r="AH138" s="43"/>
      <c r="AI138" s="63"/>
      <c r="AJ138" s="307"/>
    </row>
    <row r="139" spans="1:37">
      <c r="A139" s="146"/>
      <c r="B139" s="80"/>
      <c r="C139" s="80"/>
      <c r="D139" s="79"/>
      <c r="E139" s="79"/>
      <c r="F139" s="6"/>
      <c r="G139" s="79"/>
      <c r="H139" s="8"/>
      <c r="I139" s="16"/>
      <c r="J139" s="73"/>
      <c r="K139" s="73"/>
      <c r="L139" s="323"/>
      <c r="M139" s="73"/>
      <c r="N139" s="318"/>
      <c r="O139" s="81"/>
      <c r="Q139" s="303"/>
      <c r="S139" s="34"/>
      <c r="T139" s="353"/>
      <c r="U139" s="95"/>
      <c r="V139" s="36"/>
      <c r="W139" s="66"/>
      <c r="X139" s="15"/>
      <c r="Y139" s="63"/>
      <c r="Z139" s="173"/>
      <c r="AA139" s="126"/>
      <c r="AD139" s="16"/>
      <c r="AF139" s="86"/>
      <c r="AG139" s="33"/>
      <c r="AH139" s="120"/>
      <c r="AI139" s="63"/>
      <c r="AJ139" s="307"/>
      <c r="AK139" s="339"/>
    </row>
    <row r="140" spans="1:37">
      <c r="B140" s="79"/>
      <c r="C140" s="79"/>
      <c r="D140" s="79"/>
      <c r="E140" s="79"/>
      <c r="F140" s="57"/>
      <c r="G140" s="79"/>
      <c r="H140" s="8"/>
      <c r="I140" s="16"/>
      <c r="J140" s="73"/>
      <c r="K140" s="73"/>
      <c r="M140" s="73"/>
      <c r="N140" s="318"/>
      <c r="O140" s="81"/>
      <c r="Q140" s="303"/>
      <c r="S140" s="34"/>
      <c r="T140" s="353"/>
      <c r="U140" s="57"/>
      <c r="V140" s="36"/>
      <c r="W140" s="66"/>
      <c r="X140" s="15"/>
      <c r="Y140" s="63"/>
      <c r="Z140" s="173"/>
      <c r="AA140" s="126"/>
      <c r="AD140" s="16"/>
      <c r="AG140" s="33"/>
      <c r="AH140" s="43"/>
      <c r="AI140" s="63"/>
      <c r="AJ140" s="307"/>
      <c r="AK140" s="339"/>
    </row>
    <row r="141" spans="1:37">
      <c r="B141" s="79"/>
      <c r="C141" s="79"/>
      <c r="D141" s="80"/>
      <c r="E141" s="79"/>
      <c r="F141" s="57"/>
      <c r="G141" s="79"/>
      <c r="H141" s="8"/>
      <c r="I141" s="16"/>
      <c r="J141" s="73"/>
      <c r="K141" s="323"/>
      <c r="M141" s="323"/>
      <c r="N141" s="318"/>
      <c r="O141" s="81"/>
      <c r="Q141" s="303"/>
      <c r="S141" s="45"/>
      <c r="T141" s="353"/>
      <c r="U141" s="95"/>
      <c r="V141" s="36"/>
      <c r="W141" s="66"/>
      <c r="X141" s="15"/>
      <c r="Y141" s="63"/>
      <c r="Z141" s="173"/>
      <c r="AD141" s="16"/>
      <c r="AG141" s="33"/>
      <c r="AH141" s="120"/>
      <c r="AI141" s="63"/>
      <c r="AJ141" s="307"/>
      <c r="AK141" s="344"/>
    </row>
    <row r="142" spans="1:37">
      <c r="B142" s="79"/>
      <c r="C142" s="79"/>
      <c r="D142" s="79"/>
      <c r="E142" s="79"/>
      <c r="F142" s="57"/>
      <c r="G142" s="79"/>
      <c r="H142" s="5"/>
      <c r="I142" s="22"/>
      <c r="J142" s="323"/>
      <c r="K142" s="73"/>
      <c r="M142" s="323"/>
      <c r="N142" s="318"/>
      <c r="O142" s="81"/>
      <c r="Q142" s="303"/>
      <c r="S142" s="45"/>
      <c r="T142" s="353"/>
      <c r="U142" s="95"/>
      <c r="V142" s="36"/>
      <c r="W142" s="66"/>
      <c r="X142" s="15"/>
      <c r="Y142" s="63"/>
      <c r="Z142" s="173"/>
      <c r="AA142" s="126"/>
      <c r="AD142" s="22"/>
      <c r="AF142" s="86"/>
      <c r="AG142" s="33"/>
      <c r="AH142" s="122"/>
      <c r="AI142" s="63"/>
      <c r="AJ142" s="307"/>
      <c r="AK142" s="339"/>
    </row>
    <row r="143" spans="1:37">
      <c r="B143" s="79"/>
      <c r="C143" s="79"/>
      <c r="D143" s="79"/>
      <c r="E143" s="79"/>
      <c r="F143" s="57"/>
      <c r="G143" s="79"/>
      <c r="H143" s="149"/>
      <c r="I143" s="16"/>
      <c r="J143" s="73"/>
      <c r="K143" s="73"/>
      <c r="M143" s="323"/>
      <c r="N143" s="318"/>
      <c r="O143" s="81"/>
      <c r="Q143" s="303"/>
      <c r="S143" s="45"/>
      <c r="T143" s="353"/>
      <c r="U143" s="95"/>
      <c r="V143" s="36"/>
      <c r="W143" s="66"/>
      <c r="X143" s="15"/>
      <c r="Y143" s="63"/>
      <c r="Z143" s="173"/>
      <c r="AA143" s="126"/>
      <c r="AD143" s="16"/>
      <c r="AF143" s="86"/>
      <c r="AG143" s="33"/>
      <c r="AH143" s="43"/>
      <c r="AI143" s="63"/>
      <c r="AJ143" s="307"/>
      <c r="AK143" s="221"/>
    </row>
    <row r="144" spans="1:37">
      <c r="A144" s="146"/>
      <c r="B144" s="80"/>
      <c r="C144" s="80"/>
      <c r="D144" s="79"/>
      <c r="E144" s="79"/>
      <c r="F144" s="6"/>
      <c r="G144" s="79"/>
      <c r="H144" s="5"/>
      <c r="I144" s="16"/>
      <c r="J144" s="73"/>
      <c r="K144" s="73"/>
      <c r="M144" s="73"/>
      <c r="N144" s="318"/>
      <c r="O144" s="81"/>
      <c r="Q144" s="303"/>
      <c r="S144" s="34"/>
      <c r="T144" s="353"/>
      <c r="U144" s="95"/>
      <c r="V144" s="36"/>
      <c r="W144" s="66"/>
      <c r="X144" s="15"/>
      <c r="Y144" s="63"/>
      <c r="Z144" s="173"/>
      <c r="AA144" s="126"/>
      <c r="AD144" s="16"/>
      <c r="AF144" s="86"/>
      <c r="AG144" s="33"/>
      <c r="AH144" s="120"/>
      <c r="AI144" s="63"/>
      <c r="AJ144" s="307"/>
      <c r="AK144" s="339"/>
    </row>
    <row r="145" spans="1:38">
      <c r="B145" s="79"/>
      <c r="C145" s="79"/>
      <c r="D145" s="79"/>
      <c r="E145" s="79"/>
      <c r="F145" s="57"/>
      <c r="G145" s="80"/>
      <c r="H145" s="204"/>
      <c r="I145" s="16"/>
      <c r="J145" s="323"/>
      <c r="K145" s="73"/>
      <c r="L145" s="323"/>
      <c r="M145" s="323"/>
      <c r="N145" s="73"/>
      <c r="O145" s="81"/>
      <c r="Q145" s="303"/>
      <c r="S145" s="45"/>
      <c r="T145" s="353"/>
      <c r="U145" s="57"/>
      <c r="V145" s="36"/>
      <c r="W145" s="66"/>
      <c r="X145" s="15"/>
      <c r="Y145" s="63"/>
      <c r="Z145" s="173"/>
      <c r="AA145" s="126"/>
      <c r="AD145" s="16"/>
      <c r="AG145" s="33"/>
      <c r="AH145" s="120"/>
      <c r="AI145" s="63"/>
      <c r="AJ145" s="307"/>
      <c r="AK145" s="339"/>
    </row>
    <row r="146" spans="1:38">
      <c r="B146" s="79"/>
      <c r="C146" s="79"/>
      <c r="D146" s="80"/>
      <c r="E146" s="79"/>
      <c r="F146" s="57"/>
      <c r="G146" s="79"/>
      <c r="H146" s="8"/>
      <c r="I146" s="16"/>
      <c r="J146" s="73"/>
      <c r="K146" s="73"/>
      <c r="L146" s="323"/>
      <c r="M146" s="323"/>
      <c r="N146" s="318"/>
      <c r="O146" s="81"/>
      <c r="Q146" s="303"/>
      <c r="S146" s="45"/>
      <c r="T146" s="353"/>
      <c r="U146" s="95"/>
      <c r="V146" s="36"/>
      <c r="W146" s="66"/>
      <c r="X146" s="15"/>
      <c r="Y146" s="63"/>
      <c r="Z146" s="173"/>
      <c r="AD146" s="16"/>
      <c r="AF146" s="86"/>
      <c r="AG146" s="33"/>
      <c r="AH146" s="120"/>
      <c r="AI146" s="63"/>
      <c r="AJ146" s="307"/>
      <c r="AK146" s="344"/>
    </row>
    <row r="147" spans="1:38">
      <c r="B147" s="80"/>
      <c r="C147" s="80"/>
      <c r="D147" s="79"/>
      <c r="E147" s="79"/>
      <c r="F147" s="57"/>
      <c r="G147" s="79"/>
      <c r="H147" s="8"/>
      <c r="I147" s="16"/>
      <c r="J147" s="323"/>
      <c r="K147" s="73"/>
      <c r="L147" s="323"/>
      <c r="M147" s="323"/>
      <c r="N147" s="318"/>
      <c r="O147" s="81"/>
      <c r="Q147" s="303"/>
      <c r="S147" s="45"/>
      <c r="T147" s="353"/>
      <c r="U147" s="95"/>
      <c r="V147" s="36"/>
      <c r="W147" s="66"/>
      <c r="X147" s="15"/>
      <c r="Y147" s="63"/>
      <c r="Z147" s="173"/>
      <c r="AA147" s="126"/>
      <c r="AD147" s="16"/>
      <c r="AF147" s="86"/>
      <c r="AG147" s="33"/>
      <c r="AH147" s="120"/>
      <c r="AI147" s="63"/>
      <c r="AJ147" s="307"/>
      <c r="AK147" s="339"/>
    </row>
    <row r="148" spans="1:38">
      <c r="A148" s="146"/>
      <c r="B148" s="80"/>
      <c r="C148" s="80"/>
      <c r="D148" s="79"/>
      <c r="E148" s="79"/>
      <c r="F148" s="6"/>
      <c r="G148" s="79"/>
      <c r="H148" s="5"/>
      <c r="I148" s="16"/>
      <c r="J148" s="73"/>
      <c r="K148" s="73"/>
      <c r="L148" s="323"/>
      <c r="M148" s="73"/>
      <c r="N148" s="318"/>
      <c r="O148" s="81"/>
      <c r="Q148" s="303"/>
      <c r="S148" s="45"/>
      <c r="T148" s="353"/>
      <c r="U148" s="95"/>
      <c r="V148" s="36"/>
      <c r="W148" s="66"/>
      <c r="X148" s="15"/>
      <c r="Y148" s="63"/>
      <c r="Z148" s="173"/>
      <c r="AA148" s="126"/>
      <c r="AD148" s="16"/>
      <c r="AF148" s="86"/>
      <c r="AG148" s="33"/>
      <c r="AH148" s="43"/>
      <c r="AI148" s="63"/>
      <c r="AJ148" s="307"/>
      <c r="AK148" s="339"/>
    </row>
    <row r="149" spans="1:38">
      <c r="A149" s="146"/>
      <c r="B149" s="79"/>
      <c r="C149" s="79"/>
      <c r="D149" s="79"/>
      <c r="E149" s="79"/>
      <c r="F149" s="6"/>
      <c r="G149" s="79"/>
      <c r="H149" s="204"/>
      <c r="I149" s="22"/>
      <c r="J149" s="323"/>
      <c r="K149" s="73"/>
      <c r="L149" s="323"/>
      <c r="M149" s="323"/>
      <c r="N149" s="318"/>
      <c r="O149" s="81"/>
      <c r="Q149" s="303"/>
      <c r="S149" s="45"/>
      <c r="T149" s="353"/>
      <c r="U149" s="57"/>
      <c r="V149" s="13"/>
      <c r="W149" s="66"/>
      <c r="X149" s="15"/>
      <c r="Y149" s="63"/>
      <c r="Z149" s="173"/>
      <c r="AA149" s="126"/>
      <c r="AD149" s="22"/>
      <c r="AG149" s="33"/>
      <c r="AH149" s="120"/>
      <c r="AI149" s="63"/>
      <c r="AJ149" s="307"/>
      <c r="AK149" s="339"/>
    </row>
    <row r="150" spans="1:38">
      <c r="A150" s="145"/>
      <c r="B150" s="79"/>
      <c r="C150" s="79"/>
      <c r="D150" s="79"/>
      <c r="E150" s="79"/>
      <c r="F150" s="6"/>
      <c r="G150" s="41"/>
      <c r="H150" s="8"/>
      <c r="I150" s="158"/>
      <c r="J150" s="323"/>
      <c r="K150" s="323"/>
      <c r="L150" s="323"/>
      <c r="N150" s="318"/>
      <c r="O150" s="306"/>
      <c r="S150" s="107"/>
      <c r="T150" s="353"/>
      <c r="U150" s="95"/>
      <c r="V150" s="349"/>
      <c r="W150" s="331"/>
      <c r="X150" s="167"/>
      <c r="Y150" s="163"/>
      <c r="Z150" s="384"/>
      <c r="AA150" s="168"/>
      <c r="AB150" s="268"/>
      <c r="AC150" s="268"/>
      <c r="AD150" s="244"/>
      <c r="AE150" s="6"/>
      <c r="AG150" s="33"/>
      <c r="AH150" s="46"/>
      <c r="AI150" s="268"/>
      <c r="AJ150" s="268"/>
      <c r="AK150" s="268"/>
      <c r="AL150" s="268"/>
    </row>
    <row r="151" spans="1:38">
      <c r="B151" s="91"/>
      <c r="C151" s="91"/>
      <c r="D151" s="91"/>
      <c r="E151" s="91"/>
      <c r="F151" s="8"/>
      <c r="G151" s="26"/>
      <c r="H151" s="55"/>
      <c r="I151" s="50"/>
      <c r="J151" s="317"/>
      <c r="K151" s="317"/>
      <c r="L151" s="317"/>
      <c r="M151" s="317"/>
      <c r="N151" s="317"/>
      <c r="Q151" s="303"/>
      <c r="S151" s="10"/>
      <c r="T151" s="351"/>
      <c r="U151" s="68"/>
      <c r="V151" s="28"/>
      <c r="W151" s="17"/>
      <c r="X151" s="14"/>
      <c r="Y151" s="21"/>
      <c r="Z151" s="384"/>
      <c r="AA151" s="126"/>
      <c r="AD151" s="50"/>
      <c r="AE151" s="71"/>
      <c r="AF151" s="72"/>
      <c r="AG151" s="32"/>
      <c r="AH151" s="249"/>
      <c r="AI151" s="8"/>
      <c r="AJ151" s="50"/>
    </row>
    <row r="152" spans="1:38">
      <c r="A152" s="146"/>
      <c r="B152" s="79"/>
      <c r="C152" s="79"/>
      <c r="D152" s="79"/>
      <c r="E152" s="79"/>
      <c r="F152" s="6"/>
      <c r="G152" s="79"/>
      <c r="H152" s="204"/>
      <c r="I152" s="22"/>
      <c r="J152" s="323"/>
      <c r="K152" s="73"/>
      <c r="L152" s="323"/>
      <c r="M152" s="323"/>
      <c r="N152" s="318"/>
      <c r="O152" s="81"/>
      <c r="Q152" s="303"/>
      <c r="S152" s="45"/>
      <c r="T152" s="353"/>
      <c r="U152" s="57"/>
      <c r="V152" s="13"/>
      <c r="W152" s="66"/>
      <c r="X152" s="15"/>
      <c r="Y152" s="63"/>
      <c r="Z152" s="173"/>
      <c r="AA152" s="126"/>
      <c r="AD152" s="22"/>
      <c r="AF152" s="86"/>
      <c r="AG152" s="33"/>
      <c r="AH152" s="120"/>
      <c r="AI152" s="63"/>
      <c r="AJ152" s="307"/>
      <c r="AK152" s="339"/>
    </row>
    <row r="153" spans="1:38">
      <c r="B153" s="79"/>
      <c r="C153" s="79"/>
      <c r="D153" s="79"/>
      <c r="E153" s="79"/>
      <c r="F153" s="57"/>
      <c r="G153" s="80"/>
      <c r="H153" s="255"/>
      <c r="I153" s="16"/>
      <c r="J153" s="323"/>
      <c r="K153" s="73"/>
      <c r="L153" s="323"/>
      <c r="M153" s="323"/>
      <c r="N153" s="318"/>
      <c r="O153" s="81"/>
      <c r="Q153" s="303"/>
      <c r="S153" s="34"/>
      <c r="T153" s="353"/>
      <c r="U153" s="95"/>
      <c r="V153" s="36"/>
      <c r="W153" s="66"/>
      <c r="X153" s="15"/>
      <c r="Y153" s="63"/>
      <c r="Z153" s="173"/>
      <c r="AA153" s="264"/>
      <c r="AD153" s="16"/>
      <c r="AF153" s="86"/>
      <c r="AG153" s="33"/>
      <c r="AH153" s="120"/>
      <c r="AI153" s="63"/>
      <c r="AJ153" s="307"/>
      <c r="AK153" s="339"/>
    </row>
    <row r="154" spans="1:38">
      <c r="A154" s="145"/>
      <c r="B154" s="79"/>
      <c r="C154" s="79"/>
      <c r="D154" s="79"/>
      <c r="E154" s="79"/>
      <c r="F154" s="6"/>
      <c r="G154" s="41"/>
      <c r="H154" s="8"/>
      <c r="I154" s="158"/>
      <c r="J154" s="323"/>
      <c r="K154" s="323"/>
      <c r="L154" s="323"/>
      <c r="N154" s="318"/>
      <c r="O154" s="306"/>
      <c r="S154" s="197"/>
      <c r="T154" s="353"/>
      <c r="U154" s="95"/>
      <c r="V154" s="349"/>
      <c r="W154" s="331"/>
      <c r="X154" s="167"/>
      <c r="Y154" s="163"/>
      <c r="Z154" s="384"/>
      <c r="AA154" s="168"/>
      <c r="AB154" s="268"/>
      <c r="AC154" s="268"/>
      <c r="AD154" s="244"/>
      <c r="AE154" s="6"/>
      <c r="AG154" s="33"/>
      <c r="AH154" s="46"/>
      <c r="AI154" s="268"/>
      <c r="AJ154" s="268"/>
      <c r="AK154" s="268"/>
      <c r="AL154" s="268"/>
    </row>
    <row r="155" spans="1:38">
      <c r="A155" s="145"/>
      <c r="B155" s="79"/>
      <c r="C155" s="79"/>
      <c r="D155" s="79"/>
      <c r="E155" s="79"/>
      <c r="F155" s="6"/>
      <c r="G155" s="41"/>
      <c r="H155" s="8"/>
      <c r="I155" s="158"/>
      <c r="J155" s="323"/>
      <c r="K155" s="323"/>
      <c r="L155" s="323"/>
      <c r="N155" s="318"/>
      <c r="O155" s="306"/>
      <c r="S155" s="197"/>
      <c r="T155" s="353"/>
      <c r="U155" s="95"/>
      <c r="V155" s="349"/>
      <c r="W155" s="331"/>
      <c r="X155" s="167"/>
      <c r="Y155" s="163"/>
      <c r="Z155" s="384"/>
      <c r="AA155" s="168"/>
      <c r="AB155" s="268"/>
      <c r="AC155" s="268"/>
      <c r="AD155" s="244"/>
      <c r="AE155" s="6"/>
      <c r="AG155" s="33"/>
      <c r="AH155" s="212"/>
      <c r="AI155" s="268"/>
      <c r="AJ155" s="268"/>
      <c r="AK155" s="268"/>
      <c r="AL155" s="268"/>
    </row>
    <row r="156" spans="1:38">
      <c r="T156" s="355"/>
      <c r="AA156" s="126"/>
    </row>
    <row r="157" spans="1:38">
      <c r="T157" s="351"/>
      <c r="AA157" s="264"/>
    </row>
    <row r="158" spans="1:38">
      <c r="T158" s="351"/>
      <c r="AA158" s="126"/>
    </row>
    <row r="159" spans="1:38">
      <c r="T159" s="351"/>
      <c r="AA159" s="126"/>
    </row>
    <row r="160" spans="1:38">
      <c r="T160" s="351"/>
      <c r="AA160" s="126"/>
    </row>
    <row r="161" spans="20:38">
      <c r="T161" s="353"/>
      <c r="AA161" s="126"/>
    </row>
    <row r="162" spans="20:38">
      <c r="T162" s="353"/>
      <c r="AA162" s="264"/>
    </row>
    <row r="163" spans="20:38">
      <c r="T163" s="353"/>
      <c r="AA163" s="126"/>
    </row>
    <row r="164" spans="20:38">
      <c r="T164" s="353"/>
      <c r="AA164" s="126"/>
    </row>
    <row r="165" spans="20:38">
      <c r="T165" s="353"/>
      <c r="AA165" s="126"/>
    </row>
    <row r="166" spans="20:38">
      <c r="T166" s="353"/>
      <c r="AA166" s="264"/>
    </row>
    <row r="167" spans="20:38">
      <c r="T167" s="353"/>
      <c r="AA167" s="126"/>
    </row>
    <row r="168" spans="20:38">
      <c r="T168" s="353"/>
      <c r="AA168" s="126"/>
      <c r="AL168" s="303"/>
    </row>
    <row r="169" spans="20:38">
      <c r="T169" s="353"/>
      <c r="AA169" s="126"/>
      <c r="AL169" s="264"/>
    </row>
    <row r="170" spans="20:38">
      <c r="T170" s="353"/>
      <c r="AA170" s="126"/>
      <c r="AL170" s="264"/>
    </row>
    <row r="171" spans="20:38">
      <c r="T171" s="353"/>
      <c r="AA171" s="126"/>
      <c r="AL171" s="264"/>
    </row>
    <row r="172" spans="20:38">
      <c r="T172" s="353"/>
      <c r="AA172" s="264"/>
      <c r="AL172" s="264"/>
    </row>
    <row r="173" spans="20:38">
      <c r="T173" s="353"/>
      <c r="AA173" s="264"/>
      <c r="AK173" s="180"/>
      <c r="AL173" s="264"/>
    </row>
    <row r="174" spans="20:38">
      <c r="T174" s="353"/>
      <c r="AA174" s="126"/>
      <c r="AL174" s="264"/>
    </row>
    <row r="175" spans="20:38">
      <c r="T175" s="353"/>
      <c r="AA175" s="126"/>
      <c r="AL175" s="264"/>
    </row>
    <row r="176" spans="20:38">
      <c r="AA176" s="126"/>
      <c r="AL176" s="264"/>
    </row>
    <row r="177" spans="20:38">
      <c r="AA177" s="126"/>
      <c r="AL177" s="264"/>
    </row>
    <row r="178" spans="20:38">
      <c r="AA178" s="126"/>
      <c r="AL178" s="264"/>
    </row>
    <row r="179" spans="20:38">
      <c r="AA179" s="126"/>
      <c r="AL179" s="264"/>
    </row>
    <row r="180" spans="20:38">
      <c r="AA180" s="126"/>
      <c r="AL180" s="264"/>
    </row>
    <row r="181" spans="20:38">
      <c r="AA181" s="126"/>
      <c r="AL181" s="264"/>
    </row>
    <row r="182" spans="20:38">
      <c r="AA182" s="126"/>
      <c r="AL182" s="264"/>
    </row>
    <row r="183" spans="20:38">
      <c r="AL183" s="264"/>
    </row>
    <row r="184" spans="20:38">
      <c r="T184" s="351"/>
      <c r="AA184" s="126"/>
      <c r="AL184" s="264"/>
    </row>
    <row r="185" spans="20:38">
      <c r="T185" s="353"/>
      <c r="AA185" s="126"/>
      <c r="AL185" s="264"/>
    </row>
    <row r="186" spans="20:38">
      <c r="T186" s="353"/>
      <c r="AA186" s="126"/>
    </row>
    <row r="187" spans="20:38">
      <c r="T187" s="353"/>
      <c r="AA187" s="264"/>
    </row>
    <row r="188" spans="20:38">
      <c r="T188" s="353"/>
      <c r="AA188" s="126"/>
    </row>
    <row r="189" spans="20:38">
      <c r="T189" s="353"/>
      <c r="AA189" s="264"/>
    </row>
    <row r="190" spans="20:38">
      <c r="T190" s="353"/>
      <c r="AA190" s="126"/>
    </row>
    <row r="191" spans="20:38">
      <c r="T191" s="353"/>
      <c r="AA191" s="264"/>
    </row>
    <row r="192" spans="20:38">
      <c r="T192" s="353"/>
      <c r="AA192" s="126"/>
    </row>
    <row r="193" spans="20:38">
      <c r="T193" s="353"/>
      <c r="AA193" s="126"/>
    </row>
    <row r="194" spans="20:38">
      <c r="AA194" s="126"/>
      <c r="AL194" s="303"/>
    </row>
    <row r="195" spans="20:38">
      <c r="AA195" s="126"/>
      <c r="AL195" s="264"/>
    </row>
    <row r="196" spans="20:38">
      <c r="T196" s="351"/>
      <c r="AA196" s="126"/>
      <c r="AL196" s="264"/>
    </row>
    <row r="197" spans="20:38">
      <c r="T197" s="353"/>
      <c r="AA197" s="126"/>
      <c r="AL197" s="264"/>
    </row>
    <row r="198" spans="20:38">
      <c r="T198" s="353"/>
      <c r="AA198" s="126"/>
      <c r="AL198" s="264"/>
    </row>
    <row r="199" spans="20:38">
      <c r="T199" s="353"/>
      <c r="AA199" s="126"/>
      <c r="AL199" s="264"/>
    </row>
    <row r="200" spans="20:38">
      <c r="T200" s="353"/>
      <c r="AA200" s="126"/>
      <c r="AL200" s="264"/>
    </row>
    <row r="201" spans="20:38">
      <c r="T201" s="353"/>
      <c r="AA201" s="264"/>
    </row>
    <row r="202" spans="20:38">
      <c r="T202" s="353"/>
      <c r="AA202" s="126"/>
    </row>
    <row r="203" spans="20:38">
      <c r="AA203" s="126"/>
    </row>
    <row r="204" spans="20:38">
      <c r="AA204" s="126"/>
      <c r="AL204" s="303"/>
    </row>
    <row r="205" spans="20:38">
      <c r="AA205" s="126"/>
    </row>
    <row r="206" spans="20:38">
      <c r="AA206" s="126"/>
    </row>
    <row r="207" spans="20:38">
      <c r="AA207" s="264"/>
    </row>
    <row r="208" spans="20:38">
      <c r="AA208" s="126"/>
    </row>
    <row r="209" spans="27:38">
      <c r="AA209" s="126"/>
    </row>
    <row r="210" spans="27:38">
      <c r="AA210" s="264"/>
      <c r="AL210" s="303"/>
    </row>
    <row r="211" spans="27:38">
      <c r="AA211" s="126"/>
    </row>
    <row r="212" spans="27:38">
      <c r="AA212" s="126"/>
    </row>
    <row r="213" spans="27:38">
      <c r="AA213" s="126"/>
    </row>
    <row r="214" spans="27:38">
      <c r="AA214" s="126"/>
      <c r="AK214" s="48"/>
    </row>
    <row r="215" spans="27:38">
      <c r="AA215" s="126"/>
    </row>
    <row r="216" spans="27:38">
      <c r="AA216" s="126"/>
    </row>
    <row r="217" spans="27:38">
      <c r="AA217" s="126"/>
    </row>
    <row r="218" spans="27:38">
      <c r="AA218" s="126"/>
    </row>
    <row r="219" spans="27:38">
      <c r="AA219" s="126"/>
    </row>
    <row r="220" spans="27:38">
      <c r="AA220" s="126"/>
    </row>
    <row r="221" spans="27:38">
      <c r="AA221" s="126"/>
    </row>
    <row r="222" spans="27:38">
      <c r="AA222" s="126"/>
    </row>
    <row r="223" spans="27:38">
      <c r="AA223" s="126"/>
    </row>
    <row r="224" spans="27:38">
      <c r="AA224" s="126"/>
    </row>
    <row r="225" spans="27:27">
      <c r="AA225" s="126"/>
    </row>
    <row r="226" spans="27:27">
      <c r="AA226" s="126"/>
    </row>
    <row r="227" spans="27:27">
      <c r="AA227" s="126"/>
    </row>
    <row r="228" spans="27:27">
      <c r="AA228" s="126"/>
    </row>
    <row r="229" spans="27:27">
      <c r="AA229" s="126"/>
    </row>
    <row r="230" spans="27:27">
      <c r="AA230" s="126"/>
    </row>
    <row r="231" spans="27:27">
      <c r="AA231" s="126"/>
    </row>
    <row r="232" spans="27:27">
      <c r="AA232" s="126"/>
    </row>
    <row r="233" spans="27:27">
      <c r="AA233" s="126"/>
    </row>
    <row r="234" spans="27:27">
      <c r="AA234" s="126"/>
    </row>
    <row r="235" spans="27:27">
      <c r="AA235" s="126"/>
    </row>
    <row r="236" spans="27:27">
      <c r="AA236" s="126"/>
    </row>
    <row r="237" spans="27:27">
      <c r="AA237" s="126"/>
    </row>
    <row r="238" spans="27:27">
      <c r="AA238" s="126"/>
    </row>
    <row r="239" spans="27:27">
      <c r="AA239" s="126"/>
    </row>
    <row r="240" spans="27:27">
      <c r="AA240" s="126"/>
    </row>
    <row r="241" spans="27:27">
      <c r="AA241" s="126"/>
    </row>
    <row r="242" spans="27:27">
      <c r="AA242" s="126"/>
    </row>
    <row r="243" spans="27:27">
      <c r="AA243" s="126"/>
    </row>
    <row r="244" spans="27:27">
      <c r="AA244" s="126"/>
    </row>
    <row r="245" spans="27:27">
      <c r="AA245" s="126"/>
    </row>
    <row r="246" spans="27:27">
      <c r="AA246" s="126"/>
    </row>
    <row r="247" spans="27:27">
      <c r="AA247" s="264"/>
    </row>
    <row r="248" spans="27:27">
      <c r="AA248" s="126"/>
    </row>
    <row r="249" spans="27:27">
      <c r="AA249" s="126"/>
    </row>
    <row r="250" spans="27:27">
      <c r="AA250" s="126"/>
    </row>
    <row r="251" spans="27:27">
      <c r="AA251" s="126"/>
    </row>
    <row r="252" spans="27:27">
      <c r="AA252" s="126"/>
    </row>
    <row r="253" spans="27:27">
      <c r="AA253" s="126"/>
    </row>
    <row r="254" spans="27:27">
      <c r="AA254" s="126"/>
    </row>
    <row r="255" spans="27:27">
      <c r="AA255" s="126"/>
    </row>
    <row r="256" spans="27:27">
      <c r="AA256" s="126"/>
    </row>
    <row r="257" spans="27:27">
      <c r="AA257" s="126"/>
    </row>
    <row r="258" spans="27:27">
      <c r="AA258" s="126"/>
    </row>
    <row r="259" spans="27:27">
      <c r="AA259" s="126"/>
    </row>
    <row r="260" spans="27:27">
      <c r="AA260" s="126"/>
    </row>
    <row r="261" spans="27:27">
      <c r="AA261" s="126"/>
    </row>
    <row r="262" spans="27:27">
      <c r="AA262" s="126"/>
    </row>
    <row r="263" spans="27:27">
      <c r="AA263" s="126"/>
    </row>
    <row r="264" spans="27:27">
      <c r="AA264" s="126"/>
    </row>
    <row r="265" spans="27:27">
      <c r="AA265" s="126"/>
    </row>
    <row r="266" spans="27:27">
      <c r="AA266" s="126"/>
    </row>
    <row r="267" spans="27:27">
      <c r="AA267" s="126"/>
    </row>
    <row r="268" spans="27:27">
      <c r="AA268" s="126"/>
    </row>
    <row r="269" spans="27:27">
      <c r="AA269" s="126"/>
    </row>
    <row r="270" spans="27:27">
      <c r="AA270" s="126"/>
    </row>
    <row r="271" spans="27:27">
      <c r="AA271" s="126"/>
    </row>
    <row r="272" spans="27:27">
      <c r="AA272" s="126"/>
    </row>
    <row r="273" spans="27:27">
      <c r="AA273" s="126"/>
    </row>
    <row r="274" spans="27:27">
      <c r="AA274" s="126"/>
    </row>
    <row r="275" spans="27:27">
      <c r="AA275" s="126"/>
    </row>
    <row r="277" spans="27:27">
      <c r="AA277" s="126"/>
    </row>
    <row r="278" spans="27:27">
      <c r="AA278" s="126"/>
    </row>
    <row r="279" spans="27:27">
      <c r="AA279" s="126"/>
    </row>
    <row r="280" spans="27:27">
      <c r="AA280" s="126"/>
    </row>
    <row r="281" spans="27:27">
      <c r="AA281" s="126"/>
    </row>
    <row r="283" spans="27:27">
      <c r="AA283" s="126"/>
    </row>
    <row r="284" spans="27:27">
      <c r="AA284" s="126"/>
    </row>
    <row r="285" spans="27:27">
      <c r="AA285" s="126"/>
    </row>
    <row r="286" spans="27:27">
      <c r="AA286" s="126"/>
    </row>
    <row r="287" spans="27:27">
      <c r="AA287" s="126"/>
    </row>
    <row r="288" spans="27:27">
      <c r="AA288" s="126"/>
    </row>
    <row r="289" spans="27:27">
      <c r="AA289" s="126"/>
    </row>
    <row r="290" spans="27:27">
      <c r="AA290" s="126"/>
    </row>
    <row r="291" spans="27:27">
      <c r="AA291" s="126"/>
    </row>
    <row r="292" spans="27:27">
      <c r="AA292" s="126"/>
    </row>
    <row r="293" spans="27:27">
      <c r="AA293" s="126"/>
    </row>
    <row r="294" spans="27:27">
      <c r="AA294" s="264"/>
    </row>
    <row r="295" spans="27:27">
      <c r="AA295" s="126"/>
    </row>
    <row r="297" spans="27:27">
      <c r="AA297" s="126"/>
    </row>
    <row r="298" spans="27:27">
      <c r="AA298" s="126"/>
    </row>
    <row r="299" spans="27:27">
      <c r="AA299" s="126"/>
    </row>
    <row r="300" spans="27:27">
      <c r="AA300" s="126"/>
    </row>
    <row r="301" spans="27:27">
      <c r="AA301" s="126"/>
    </row>
    <row r="302" spans="27:27">
      <c r="AA302" s="126"/>
    </row>
    <row r="303" spans="27:27">
      <c r="AA303" s="126"/>
    </row>
    <row r="304" spans="27:27">
      <c r="AA304" s="126"/>
    </row>
    <row r="305" spans="27:27">
      <c r="AA305" s="126"/>
    </row>
    <row r="306" spans="27:27">
      <c r="AA306" s="126"/>
    </row>
    <row r="307" spans="27:27">
      <c r="AA307" s="126"/>
    </row>
    <row r="309" spans="27:27">
      <c r="AA309" s="126"/>
    </row>
    <row r="310" spans="27:27">
      <c r="AA310" s="126"/>
    </row>
    <row r="311" spans="27:27">
      <c r="AA311" s="126"/>
    </row>
    <row r="312" spans="27:27">
      <c r="AA312" s="126"/>
    </row>
    <row r="313" spans="27:27">
      <c r="AA313" s="126"/>
    </row>
    <row r="314" spans="27:27">
      <c r="AA314" s="126"/>
    </row>
    <row r="315" spans="27:27">
      <c r="AA315" s="126"/>
    </row>
    <row r="316" spans="27:27">
      <c r="AA316" s="126"/>
    </row>
    <row r="317" spans="27:27">
      <c r="AA317" s="126"/>
    </row>
    <row r="318" spans="27:27">
      <c r="AA318" s="126"/>
    </row>
    <row r="319" spans="27:27">
      <c r="AA319" s="126"/>
    </row>
    <row r="320" spans="27:27">
      <c r="AA320" s="126"/>
    </row>
    <row r="321" spans="27:37">
      <c r="AA321" s="126"/>
    </row>
    <row r="322" spans="27:37">
      <c r="AA322" s="126"/>
    </row>
    <row r="323" spans="27:37">
      <c r="AA323" s="126"/>
    </row>
    <row r="324" spans="27:37">
      <c r="AA324" s="126"/>
      <c r="AK324" s="48"/>
    </row>
    <row r="325" spans="27:37">
      <c r="AA325" s="126"/>
      <c r="AK325" s="48"/>
    </row>
    <row r="326" spans="27:37">
      <c r="AA326" s="126"/>
    </row>
    <row r="327" spans="27:37">
      <c r="AA327" s="126"/>
    </row>
    <row r="328" spans="27:37">
      <c r="AA328" s="126"/>
    </row>
    <row r="329" spans="27:37">
      <c r="AA329" s="126"/>
    </row>
    <row r="330" spans="27:37">
      <c r="AA330" s="126"/>
    </row>
    <row r="331" spans="27:37">
      <c r="AA331" s="126"/>
      <c r="AK331" s="48"/>
    </row>
    <row r="332" spans="27:37">
      <c r="AA332" s="126"/>
    </row>
    <row r="333" spans="27:37">
      <c r="AA333" s="126"/>
    </row>
    <row r="334" spans="27:37">
      <c r="AA334" s="126"/>
    </row>
    <row r="335" spans="27:37">
      <c r="AA335" s="126"/>
      <c r="AK335" s="23"/>
    </row>
    <row r="336" spans="27:37">
      <c r="AA336" s="126"/>
      <c r="AK336" s="23"/>
    </row>
    <row r="337" spans="27:27">
      <c r="AA337" s="126"/>
    </row>
    <row r="338" spans="27:27">
      <c r="AA338" s="126"/>
    </row>
    <row r="339" spans="27:27">
      <c r="AA339" s="126"/>
    </row>
    <row r="340" spans="27:27">
      <c r="AA340" s="126"/>
    </row>
    <row r="341" spans="27:27">
      <c r="AA341" s="126"/>
    </row>
    <row r="342" spans="27:27">
      <c r="AA342" s="126"/>
    </row>
    <row r="343" spans="27:27">
      <c r="AA343" s="126"/>
    </row>
    <row r="344" spans="27:27">
      <c r="AA344" s="126"/>
    </row>
    <row r="345" spans="27:27">
      <c r="AA345" s="126"/>
    </row>
    <row r="346" spans="27:27">
      <c r="AA346" s="126"/>
    </row>
    <row r="347" spans="27:27">
      <c r="AA347" s="126"/>
    </row>
    <row r="348" spans="27:27">
      <c r="AA348" s="126"/>
    </row>
    <row r="349" spans="27:27">
      <c r="AA349" s="126"/>
    </row>
    <row r="350" spans="27:27">
      <c r="AA350" s="126"/>
    </row>
    <row r="351" spans="27:27">
      <c r="AA351" s="126"/>
    </row>
    <row r="352" spans="27:27">
      <c r="AA352" s="126"/>
    </row>
    <row r="353" spans="27:27">
      <c r="AA353" s="126"/>
    </row>
    <row r="354" spans="27:27">
      <c r="AA354" s="126"/>
    </row>
    <row r="355" spans="27:27">
      <c r="AA355" s="126"/>
    </row>
    <row r="356" spans="27:27">
      <c r="AA356" s="126"/>
    </row>
    <row r="357" spans="27:27">
      <c r="AA357" s="126"/>
    </row>
    <row r="358" spans="27:27">
      <c r="AA358" s="126"/>
    </row>
    <row r="359" spans="27:27">
      <c r="AA359" s="126"/>
    </row>
    <row r="360" spans="27:27">
      <c r="AA360" s="126"/>
    </row>
    <row r="361" spans="27:27">
      <c r="AA361" s="126"/>
    </row>
    <row r="362" spans="27:27">
      <c r="AA362" s="126"/>
    </row>
    <row r="363" spans="27:27">
      <c r="AA363" s="126"/>
    </row>
    <row r="364" spans="27:27">
      <c r="AA364" s="126"/>
    </row>
    <row r="365" spans="27:27">
      <c r="AA365" s="126"/>
    </row>
    <row r="366" spans="27:27">
      <c r="AA366" s="126"/>
    </row>
    <row r="367" spans="27:27">
      <c r="AA367" s="126"/>
    </row>
    <row r="368" spans="27:27">
      <c r="AA368" s="126"/>
    </row>
    <row r="369" spans="27:37">
      <c r="AA369" s="126"/>
    </row>
    <row r="370" spans="27:37">
      <c r="AA370" s="264"/>
    </row>
    <row r="371" spans="27:37">
      <c r="AA371" s="126"/>
    </row>
    <row r="372" spans="27:37">
      <c r="AA372" s="126"/>
      <c r="AK372" s="48"/>
    </row>
    <row r="373" spans="27:37">
      <c r="AA373" s="126"/>
      <c r="AK373" s="48"/>
    </row>
    <row r="374" spans="27:37">
      <c r="AA374" s="126"/>
    </row>
    <row r="375" spans="27:37">
      <c r="AA375" s="126"/>
    </row>
    <row r="376" spans="27:37">
      <c r="AA376" s="126"/>
    </row>
    <row r="377" spans="27:37">
      <c r="AA377" s="126"/>
    </row>
    <row r="378" spans="27:37">
      <c r="AA378" s="51"/>
    </row>
    <row r="379" spans="27:37">
      <c r="AA379" s="126"/>
    </row>
    <row r="380" spans="27:37">
      <c r="AA380" s="126"/>
    </row>
    <row r="381" spans="27:37">
      <c r="AA381" s="126"/>
    </row>
    <row r="382" spans="27:37">
      <c r="AA382" s="126"/>
    </row>
    <row r="383" spans="27:37">
      <c r="AA383" s="126"/>
    </row>
    <row r="384" spans="27:37">
      <c r="AA384" s="126"/>
    </row>
    <row r="385" spans="27:27">
      <c r="AA385" s="126"/>
    </row>
    <row r="386" spans="27:27">
      <c r="AA386" s="126"/>
    </row>
    <row r="387" spans="27:27">
      <c r="AA387" s="126"/>
    </row>
    <row r="388" spans="27:27">
      <c r="AA388" s="126"/>
    </row>
    <row r="389" spans="27:27">
      <c r="AA389" s="126"/>
    </row>
    <row r="390" spans="27:27">
      <c r="AA390" s="126"/>
    </row>
    <row r="391" spans="27:27">
      <c r="AA391" s="126"/>
    </row>
    <row r="392" spans="27:27">
      <c r="AA392" s="126"/>
    </row>
    <row r="393" spans="27:27">
      <c r="AA393" s="126"/>
    </row>
    <row r="394" spans="27:27">
      <c r="AA394" s="126"/>
    </row>
    <row r="395" spans="27:27">
      <c r="AA395" s="126"/>
    </row>
    <row r="396" spans="27:27">
      <c r="AA396" s="126"/>
    </row>
    <row r="397" spans="27:27">
      <c r="AA397" s="126"/>
    </row>
    <row r="398" spans="27:27">
      <c r="AA398" s="126"/>
    </row>
    <row r="399" spans="27:27">
      <c r="AA399" s="126"/>
    </row>
    <row r="400" spans="27:27">
      <c r="AA400" s="126"/>
    </row>
    <row r="401" spans="27:27">
      <c r="AA401" s="126"/>
    </row>
    <row r="402" spans="27:27">
      <c r="AA402" s="126"/>
    </row>
    <row r="403" spans="27:27">
      <c r="AA403" s="126"/>
    </row>
    <row r="404" spans="27:27">
      <c r="AA404" s="126"/>
    </row>
    <row r="405" spans="27:27">
      <c r="AA405" s="126"/>
    </row>
    <row r="406" spans="27:27">
      <c r="AA406" s="126"/>
    </row>
    <row r="407" spans="27:27">
      <c r="AA407" s="126"/>
    </row>
    <row r="408" spans="27:27">
      <c r="AA408" s="264"/>
    </row>
    <row r="409" spans="27:27">
      <c r="AA409" s="126"/>
    </row>
    <row r="411" spans="27:27">
      <c r="AA411" s="126"/>
    </row>
    <row r="412" spans="27:27">
      <c r="AA412" s="126"/>
    </row>
    <row r="413" spans="27:27">
      <c r="AA413" s="126"/>
    </row>
    <row r="414" spans="27:27">
      <c r="AA414" s="126"/>
    </row>
    <row r="415" spans="27:27">
      <c r="AA415" s="126"/>
    </row>
    <row r="416" spans="27:27">
      <c r="AA416" s="126"/>
    </row>
    <row r="417" spans="27:27">
      <c r="AA417" s="126"/>
    </row>
    <row r="418" spans="27:27">
      <c r="AA418" s="126"/>
    </row>
    <row r="419" spans="27:27">
      <c r="AA419" s="126"/>
    </row>
    <row r="420" spans="27:27">
      <c r="AA420" s="126"/>
    </row>
    <row r="421" spans="27:27">
      <c r="AA421" s="126"/>
    </row>
    <row r="422" spans="27:27">
      <c r="AA422" s="126"/>
    </row>
    <row r="423" spans="27:27">
      <c r="AA423" s="126"/>
    </row>
    <row r="424" spans="27:27">
      <c r="AA424" s="126"/>
    </row>
    <row r="425" spans="27:27">
      <c r="AA425" s="126"/>
    </row>
    <row r="426" spans="27:27">
      <c r="AA426" s="264"/>
    </row>
    <row r="427" spans="27:27">
      <c r="AA427" s="126"/>
    </row>
    <row r="428" spans="27:27">
      <c r="AA428" s="126"/>
    </row>
    <row r="429" spans="27:27">
      <c r="AA429" s="126"/>
    </row>
    <row r="430" spans="27:27">
      <c r="AA430" s="126"/>
    </row>
    <row r="431" spans="27:27">
      <c r="AA431" s="126"/>
    </row>
    <row r="432" spans="27:27">
      <c r="AA432" s="126"/>
    </row>
    <row r="433" spans="27:27">
      <c r="AA433" s="126"/>
    </row>
    <row r="434" spans="27:27">
      <c r="AA434" s="126"/>
    </row>
    <row r="435" spans="27:27">
      <c r="AA435" s="126"/>
    </row>
    <row r="436" spans="27:27">
      <c r="AA436" s="126"/>
    </row>
    <row r="437" spans="27:27">
      <c r="AA437" s="126"/>
    </row>
    <row r="438" spans="27:27">
      <c r="AA438" s="126"/>
    </row>
    <row r="439" spans="27:27">
      <c r="AA439" s="126"/>
    </row>
    <row r="440" spans="27:27">
      <c r="AA440" s="126"/>
    </row>
    <row r="441" spans="27:27">
      <c r="AA441" s="126"/>
    </row>
    <row r="442" spans="27:27">
      <c r="AA442" s="126"/>
    </row>
    <row r="443" spans="27:27">
      <c r="AA443" s="126"/>
    </row>
    <row r="444" spans="27:27">
      <c r="AA444" s="126"/>
    </row>
    <row r="445" spans="27:27">
      <c r="AA445" s="126"/>
    </row>
    <row r="446" spans="27:27">
      <c r="AA446" s="126"/>
    </row>
    <row r="447" spans="27:27">
      <c r="AA447" s="126"/>
    </row>
    <row r="448" spans="27:27">
      <c r="AA448" s="126"/>
    </row>
    <row r="449" spans="27:27">
      <c r="AA449" s="126"/>
    </row>
    <row r="450" spans="27:27">
      <c r="AA450" s="126"/>
    </row>
    <row r="451" spans="27:27">
      <c r="AA451" s="126"/>
    </row>
    <row r="452" spans="27:27">
      <c r="AA452" s="126"/>
    </row>
    <row r="453" spans="27:27">
      <c r="AA453" s="126"/>
    </row>
    <row r="454" spans="27:27">
      <c r="AA454" s="264"/>
    </row>
    <row r="455" spans="27:27">
      <c r="AA455" s="126"/>
    </row>
    <row r="456" spans="27:27">
      <c r="AA456" s="126"/>
    </row>
    <row r="457" spans="27:27">
      <c r="AA457" s="126"/>
    </row>
    <row r="458" spans="27:27">
      <c r="AA458" s="126"/>
    </row>
    <row r="459" spans="27:27">
      <c r="AA459" s="126"/>
    </row>
    <row r="460" spans="27:27">
      <c r="AA460" s="126"/>
    </row>
    <row r="461" spans="27:27">
      <c r="AA461" s="126"/>
    </row>
    <row r="462" spans="27:27">
      <c r="AA462" s="126"/>
    </row>
    <row r="463" spans="27:27">
      <c r="AA463" s="126"/>
    </row>
    <row r="464" spans="27:27">
      <c r="AA464" s="126"/>
    </row>
    <row r="465" spans="27:27">
      <c r="AA465" s="126"/>
    </row>
    <row r="466" spans="27:27">
      <c r="AA466" s="126"/>
    </row>
    <row r="467" spans="27:27">
      <c r="AA467" s="126"/>
    </row>
    <row r="468" spans="27:27">
      <c r="AA468" s="126"/>
    </row>
    <row r="469" spans="27:27">
      <c r="AA469" s="126"/>
    </row>
    <row r="470" spans="27:27">
      <c r="AA470" s="126"/>
    </row>
    <row r="471" spans="27:27">
      <c r="AA471" s="126"/>
    </row>
    <row r="472" spans="27:27">
      <c r="AA472" s="264"/>
    </row>
    <row r="473" spans="27:27">
      <c r="AA473" s="126"/>
    </row>
    <row r="474" spans="27:27">
      <c r="AA474" s="264"/>
    </row>
    <row r="475" spans="27:27">
      <c r="AA475" s="126"/>
    </row>
    <row r="476" spans="27:27">
      <c r="AA476" s="126"/>
    </row>
    <row r="477" spans="27:27">
      <c r="AA477" s="126"/>
    </row>
    <row r="478" spans="27:27">
      <c r="AA478" s="126"/>
    </row>
    <row r="479" spans="27:27">
      <c r="AA479" s="126"/>
    </row>
    <row r="480" spans="27:27">
      <c r="AA480" s="126"/>
    </row>
    <row r="481" spans="27:27">
      <c r="AA481" s="126"/>
    </row>
    <row r="482" spans="27:27">
      <c r="AA482" s="126"/>
    </row>
    <row r="483" spans="27:27">
      <c r="AA483" s="126"/>
    </row>
    <row r="484" spans="27:27">
      <c r="AA484" s="126"/>
    </row>
    <row r="485" spans="27:27">
      <c r="AA485" s="126"/>
    </row>
    <row r="486" spans="27:27">
      <c r="AA486" s="126"/>
    </row>
    <row r="487" spans="27:27">
      <c r="AA487" s="126"/>
    </row>
    <row r="488" spans="27:27">
      <c r="AA488" s="126"/>
    </row>
    <row r="489" spans="27:27">
      <c r="AA489" s="126"/>
    </row>
    <row r="490" spans="27:27">
      <c r="AA490" s="126"/>
    </row>
    <row r="491" spans="27:27">
      <c r="AA491" s="126"/>
    </row>
    <row r="492" spans="27:27">
      <c r="AA492" s="126"/>
    </row>
    <row r="493" spans="27:27">
      <c r="AA493" s="126"/>
    </row>
    <row r="494" spans="27:27">
      <c r="AA494" s="126"/>
    </row>
    <row r="495" spans="27:27">
      <c r="AA495" s="126"/>
    </row>
    <row r="496" spans="27:27">
      <c r="AA496" s="126"/>
    </row>
    <row r="497" spans="27:27">
      <c r="AA497" s="126"/>
    </row>
    <row r="498" spans="27:27">
      <c r="AA498" s="126"/>
    </row>
    <row r="499" spans="27:27">
      <c r="AA499" s="126"/>
    </row>
    <row r="500" spans="27:27">
      <c r="AA500" s="126"/>
    </row>
    <row r="501" spans="27:27">
      <c r="AA501" s="126"/>
    </row>
    <row r="502" spans="27:27">
      <c r="AA502" s="126"/>
    </row>
    <row r="503" spans="27:27">
      <c r="AA503" s="126"/>
    </row>
    <row r="504" spans="27:27">
      <c r="AA504" s="126"/>
    </row>
    <row r="505" spans="27:27">
      <c r="AA505" s="126"/>
    </row>
    <row r="506" spans="27:27">
      <c r="AA506" s="126"/>
    </row>
    <row r="507" spans="27:27">
      <c r="AA507" s="126"/>
    </row>
    <row r="508" spans="27:27">
      <c r="AA508" s="126"/>
    </row>
    <row r="509" spans="27:27">
      <c r="AA509" s="264"/>
    </row>
    <row r="510" spans="27:27">
      <c r="AA510" s="126"/>
    </row>
    <row r="511" spans="27:27">
      <c r="AA511" s="126"/>
    </row>
    <row r="512" spans="27:27">
      <c r="AA512" s="126"/>
    </row>
    <row r="513" spans="27:27">
      <c r="AA513" s="126"/>
    </row>
    <row r="514" spans="27:27">
      <c r="AA514" s="126"/>
    </row>
    <row r="515" spans="27:27">
      <c r="AA515" s="126"/>
    </row>
    <row r="516" spans="27:27">
      <c r="AA516" s="126"/>
    </row>
    <row r="517" spans="27:27">
      <c r="AA517" s="126"/>
    </row>
    <row r="518" spans="27:27">
      <c r="AA518" s="126"/>
    </row>
    <row r="519" spans="27:27">
      <c r="AA519" s="126"/>
    </row>
    <row r="520" spans="27:27">
      <c r="AA520" s="126"/>
    </row>
    <row r="521" spans="27:27">
      <c r="AA521" s="126"/>
    </row>
    <row r="522" spans="27:27">
      <c r="AA522" s="126"/>
    </row>
    <row r="523" spans="27:27">
      <c r="AA523" s="126"/>
    </row>
    <row r="524" spans="27:27">
      <c r="AA524" s="126"/>
    </row>
    <row r="525" spans="27:27">
      <c r="AA525" s="126"/>
    </row>
    <row r="526" spans="27:27">
      <c r="AA526" s="126"/>
    </row>
    <row r="527" spans="27:27">
      <c r="AA527" s="126"/>
    </row>
    <row r="528" spans="27:27">
      <c r="AA528" s="126"/>
    </row>
    <row r="529" spans="27:27">
      <c r="AA529" s="126"/>
    </row>
    <row r="530" spans="27:27">
      <c r="AA530" s="126"/>
    </row>
    <row r="531" spans="27:27">
      <c r="AA531" s="126"/>
    </row>
    <row r="532" spans="27:27">
      <c r="AA532" s="126"/>
    </row>
    <row r="533" spans="27:27">
      <c r="AA533" s="126"/>
    </row>
    <row r="534" spans="27:27">
      <c r="AA534" s="126"/>
    </row>
    <row r="535" spans="27:27">
      <c r="AA535" s="126"/>
    </row>
    <row r="536" spans="27:27">
      <c r="AA536" s="126"/>
    </row>
    <row r="537" spans="27:27">
      <c r="AA537" s="126"/>
    </row>
    <row r="538" spans="27:27">
      <c r="AA538" s="126"/>
    </row>
    <row r="539" spans="27:27">
      <c r="AA539" s="126"/>
    </row>
    <row r="540" spans="27:27">
      <c r="AA540" s="126"/>
    </row>
    <row r="541" spans="27:27">
      <c r="AA541" s="126"/>
    </row>
    <row r="542" spans="27:27">
      <c r="AA542" s="126"/>
    </row>
    <row r="543" spans="27:27">
      <c r="AA543" s="126"/>
    </row>
    <row r="544" spans="27:27">
      <c r="AA544" s="126"/>
    </row>
    <row r="545" spans="27:27">
      <c r="AA545" s="126"/>
    </row>
    <row r="546" spans="27:27">
      <c r="AA546" s="126"/>
    </row>
    <row r="547" spans="27:27">
      <c r="AA547" s="126"/>
    </row>
    <row r="548" spans="27:27">
      <c r="AA548" s="126"/>
    </row>
    <row r="549" spans="27:27">
      <c r="AA549" s="126"/>
    </row>
    <row r="550" spans="27:27">
      <c r="AA550" s="126"/>
    </row>
    <row r="551" spans="27:27">
      <c r="AA551" s="126"/>
    </row>
    <row r="552" spans="27:27">
      <c r="AA552" s="126"/>
    </row>
    <row r="553" spans="27:27">
      <c r="AA553" s="126"/>
    </row>
    <row r="554" spans="27:27">
      <c r="AA554" s="266"/>
    </row>
    <row r="555" spans="27:27">
      <c r="AA555" s="126"/>
    </row>
    <row r="556" spans="27:27">
      <c r="AA556" s="126"/>
    </row>
    <row r="557" spans="27:27">
      <c r="AA557" s="126"/>
    </row>
    <row r="558" spans="27:27">
      <c r="AA558" s="126"/>
    </row>
    <row r="559" spans="27:27">
      <c r="AA559" s="126"/>
    </row>
    <row r="560" spans="27:27">
      <c r="AA560" s="126"/>
    </row>
    <row r="561" spans="27:27">
      <c r="AA561" s="126"/>
    </row>
    <row r="562" spans="27:27">
      <c r="AA562" s="126"/>
    </row>
    <row r="563" spans="27:27">
      <c r="AA563" s="126"/>
    </row>
    <row r="564" spans="27:27">
      <c r="AA564" s="126"/>
    </row>
    <row r="565" spans="27:27">
      <c r="AA565" s="126"/>
    </row>
    <row r="566" spans="27:27">
      <c r="AA566" s="126"/>
    </row>
    <row r="567" spans="27:27">
      <c r="AA567" s="126"/>
    </row>
    <row r="568" spans="27:27">
      <c r="AA568" s="126"/>
    </row>
    <row r="569" spans="27:27">
      <c r="AA569" s="126"/>
    </row>
    <row r="570" spans="27:27">
      <c r="AA570" s="126"/>
    </row>
    <row r="571" spans="27:27">
      <c r="AA571" s="126"/>
    </row>
    <row r="572" spans="27:27">
      <c r="AA572" s="126"/>
    </row>
    <row r="573" spans="27:27">
      <c r="AA573" s="126"/>
    </row>
    <row r="574" spans="27:27">
      <c r="AA574" s="126"/>
    </row>
    <row r="575" spans="27:27">
      <c r="AA575" s="126"/>
    </row>
    <row r="576" spans="27:27">
      <c r="AA576" s="126"/>
    </row>
    <row r="577" spans="27:27">
      <c r="AA577" s="126"/>
    </row>
    <row r="578" spans="27:27">
      <c r="AA578" s="126"/>
    </row>
    <row r="579" spans="27:27">
      <c r="AA579" s="126"/>
    </row>
    <row r="580" spans="27:27">
      <c r="AA580" s="126"/>
    </row>
    <row r="581" spans="27:27">
      <c r="AA581" s="126"/>
    </row>
    <row r="582" spans="27:27">
      <c r="AA582" s="126"/>
    </row>
    <row r="583" spans="27:27">
      <c r="AA583" s="126"/>
    </row>
    <row r="584" spans="27:27">
      <c r="AA584" s="126"/>
    </row>
    <row r="585" spans="27:27">
      <c r="AA585" s="126"/>
    </row>
    <row r="586" spans="27:27">
      <c r="AA586" s="126"/>
    </row>
    <row r="587" spans="27:27">
      <c r="AA587" s="126"/>
    </row>
    <row r="588" spans="27:27">
      <c r="AA588" s="126"/>
    </row>
    <row r="589" spans="27:27">
      <c r="AA589" s="126"/>
    </row>
    <row r="590" spans="27:27">
      <c r="AA590" s="126"/>
    </row>
    <row r="591" spans="27:27">
      <c r="AA591" s="126"/>
    </row>
    <row r="592" spans="27:27">
      <c r="AA592" s="126"/>
    </row>
    <row r="593" spans="27:27">
      <c r="AA593" s="126"/>
    </row>
    <row r="594" spans="27:27">
      <c r="AA594" s="126"/>
    </row>
    <row r="595" spans="27:27">
      <c r="AA595" s="33"/>
    </row>
    <row r="596" spans="27:27">
      <c r="AA596" s="126"/>
    </row>
    <row r="597" spans="27:27">
      <c r="AA597" s="126"/>
    </row>
    <row r="598" spans="27:27">
      <c r="AA598" s="264"/>
    </row>
    <row r="599" spans="27:27">
      <c r="AA599" s="126"/>
    </row>
    <row r="600" spans="27:27">
      <c r="AA600" s="126"/>
    </row>
    <row r="601" spans="27:27">
      <c r="AA601" s="126"/>
    </row>
    <row r="602" spans="27:27">
      <c r="AA602" s="126"/>
    </row>
    <row r="603" spans="27:27">
      <c r="AA603" s="126"/>
    </row>
    <row r="604" spans="27:27">
      <c r="AA604" s="264"/>
    </row>
    <row r="605" spans="27:27">
      <c r="AA605" s="126"/>
    </row>
    <row r="606" spans="27:27">
      <c r="AA606" s="126"/>
    </row>
    <row r="607" spans="27:27">
      <c r="AA607" s="126"/>
    </row>
    <row r="608" spans="27:27">
      <c r="AA608" s="126"/>
    </row>
    <row r="609" spans="27:27">
      <c r="AA609" s="126"/>
    </row>
    <row r="610" spans="27:27">
      <c r="AA610" s="126"/>
    </row>
    <row r="611" spans="27:27">
      <c r="AA611" s="126"/>
    </row>
    <row r="612" spans="27:27">
      <c r="AA612" s="126"/>
    </row>
    <row r="613" spans="27:27">
      <c r="AA613" s="126"/>
    </row>
    <row r="614" spans="27:27">
      <c r="AA614" s="126"/>
    </row>
    <row r="615" spans="27:27">
      <c r="AA615" s="264"/>
    </row>
    <row r="616" spans="27:27">
      <c r="AA616" s="126"/>
    </row>
    <row r="617" spans="27:27">
      <c r="AA617" s="126"/>
    </row>
    <row r="618" spans="27:27">
      <c r="AA618" s="126"/>
    </row>
    <row r="619" spans="27:27">
      <c r="AA619" s="126"/>
    </row>
    <row r="620" spans="27:27">
      <c r="AA620" s="126"/>
    </row>
    <row r="621" spans="27:27">
      <c r="AA621" s="126"/>
    </row>
    <row r="622" spans="27:27">
      <c r="AA622" s="126"/>
    </row>
    <row r="623" spans="27:27">
      <c r="AA623" s="126"/>
    </row>
    <row r="624" spans="27:27">
      <c r="AA624" s="126"/>
    </row>
    <row r="625" spans="27:27">
      <c r="AA625" s="264"/>
    </row>
    <row r="626" spans="27:27">
      <c r="AA626" s="126"/>
    </row>
    <row r="627" spans="27:27">
      <c r="AA627" s="126"/>
    </row>
    <row r="628" spans="27:27">
      <c r="AA628" s="126"/>
    </row>
    <row r="629" spans="27:27">
      <c r="AA629" s="126"/>
    </row>
    <row r="630" spans="27:27">
      <c r="AA630" s="126"/>
    </row>
    <row r="631" spans="27:27">
      <c r="AA631" s="126"/>
    </row>
    <row r="632" spans="27:27">
      <c r="AA632" s="126"/>
    </row>
    <row r="633" spans="27:27">
      <c r="AA633" s="264"/>
    </row>
    <row r="634" spans="27:27">
      <c r="AA634" s="126"/>
    </row>
    <row r="635" spans="27:27">
      <c r="AA635" s="126"/>
    </row>
    <row r="636" spans="27:27">
      <c r="AA636" s="126"/>
    </row>
    <row r="637" spans="27:27">
      <c r="AA637" s="126"/>
    </row>
    <row r="638" spans="27:27">
      <c r="AA638" s="126"/>
    </row>
    <row r="639" spans="27:27">
      <c r="AA639" s="126"/>
    </row>
    <row r="640" spans="27:27">
      <c r="AA640" s="126"/>
    </row>
    <row r="641" spans="27:27">
      <c r="AA641" s="126"/>
    </row>
    <row r="642" spans="27:27">
      <c r="AA642" s="126"/>
    </row>
    <row r="643" spans="27:27">
      <c r="AA643" s="264"/>
    </row>
    <row r="644" spans="27:27">
      <c r="AA644" s="126"/>
    </row>
    <row r="645" spans="27:27">
      <c r="AA645" s="126"/>
    </row>
    <row r="646" spans="27:27">
      <c r="AA646" s="126"/>
    </row>
    <row r="647" spans="27:27">
      <c r="AA647" s="126"/>
    </row>
    <row r="648" spans="27:27">
      <c r="AA648" s="126"/>
    </row>
    <row r="649" spans="27:27">
      <c r="AA649" s="126"/>
    </row>
    <row r="650" spans="27:27">
      <c r="AA650" s="126"/>
    </row>
    <row r="651" spans="27:27">
      <c r="AA651" s="126"/>
    </row>
    <row r="652" spans="27:27">
      <c r="AA652" s="126"/>
    </row>
    <row r="653" spans="27:27">
      <c r="AA653" s="126"/>
    </row>
    <row r="654" spans="27:27">
      <c r="AA654" s="126"/>
    </row>
    <row r="655" spans="27:27">
      <c r="AA655" s="126"/>
    </row>
    <row r="656" spans="27:27">
      <c r="AA656" s="126"/>
    </row>
    <row r="657" spans="27:27">
      <c r="AA657" s="126"/>
    </row>
    <row r="658" spans="27:27">
      <c r="AA658" s="126"/>
    </row>
    <row r="659" spans="27:27">
      <c r="AA659" s="126"/>
    </row>
    <row r="660" spans="27:27">
      <c r="AA660" s="126"/>
    </row>
    <row r="661" spans="27:27">
      <c r="AA661" s="126"/>
    </row>
    <row r="662" spans="27:27">
      <c r="AA662" s="126"/>
    </row>
    <row r="663" spans="27:27">
      <c r="AA663" s="126"/>
    </row>
    <row r="664" spans="27:27">
      <c r="AA664" s="264"/>
    </row>
    <row r="665" spans="27:27">
      <c r="AA665" s="126"/>
    </row>
    <row r="666" spans="27:27">
      <c r="AA666" s="126"/>
    </row>
    <row r="667" spans="27:27">
      <c r="AA667" s="126"/>
    </row>
    <row r="669" spans="27:27">
      <c r="AA669" s="126"/>
    </row>
    <row r="670" spans="27:27">
      <c r="AA670" s="126"/>
    </row>
    <row r="671" spans="27:27">
      <c r="AA671" s="126"/>
    </row>
    <row r="672" spans="27:27">
      <c r="AA672" s="126"/>
    </row>
    <row r="673" spans="27:27">
      <c r="AA673" s="126"/>
    </row>
    <row r="674" spans="27:27">
      <c r="AA674" s="126"/>
    </row>
    <row r="675" spans="27:27">
      <c r="AA675" s="126"/>
    </row>
    <row r="676" spans="27:27">
      <c r="AA676" s="126"/>
    </row>
    <row r="677" spans="27:27">
      <c r="AA677" s="264"/>
    </row>
    <row r="678" spans="27:27">
      <c r="AA678" s="126"/>
    </row>
    <row r="679" spans="27:27">
      <c r="AA679" s="126"/>
    </row>
    <row r="680" spans="27:27">
      <c r="AA680" s="126"/>
    </row>
    <row r="681" spans="27:27">
      <c r="AA681" s="264"/>
    </row>
    <row r="682" spans="27:27">
      <c r="AA682" s="126"/>
    </row>
    <row r="683" spans="27:27">
      <c r="AA683" s="126"/>
    </row>
    <row r="684" spans="27:27">
      <c r="AA684" s="126"/>
    </row>
    <row r="685" spans="27:27">
      <c r="AA685" s="126"/>
    </row>
    <row r="686" spans="27:27">
      <c r="AA686" s="126"/>
    </row>
    <row r="687" spans="27:27">
      <c r="AA687" s="126"/>
    </row>
    <row r="688" spans="27:27">
      <c r="AA688" s="126"/>
    </row>
    <row r="689" spans="27:27">
      <c r="AA689" s="126"/>
    </row>
    <row r="690" spans="27:27">
      <c r="AA690" s="126"/>
    </row>
    <row r="691" spans="27:27">
      <c r="AA691" s="126"/>
    </row>
    <row r="692" spans="27:27">
      <c r="AA692" s="126"/>
    </row>
    <row r="693" spans="27:27">
      <c r="AA693" s="126"/>
    </row>
    <row r="694" spans="27:27">
      <c r="AA694" s="126"/>
    </row>
    <row r="695" spans="27:27">
      <c r="AA695" s="126"/>
    </row>
    <row r="696" spans="27:27">
      <c r="AA696" s="126"/>
    </row>
    <row r="697" spans="27:27">
      <c r="AA697" s="126"/>
    </row>
    <row r="698" spans="27:27">
      <c r="AA698" s="126"/>
    </row>
    <row r="699" spans="27:27">
      <c r="AA699" s="126"/>
    </row>
    <row r="700" spans="27:27">
      <c r="AA700" s="126"/>
    </row>
    <row r="701" spans="27:27">
      <c r="AA701" s="126"/>
    </row>
    <row r="702" spans="27:27">
      <c r="AA702" s="126"/>
    </row>
    <row r="703" spans="27:27">
      <c r="AA703" s="126"/>
    </row>
    <row r="704" spans="27:27">
      <c r="AA704" s="126"/>
    </row>
    <row r="705" spans="27:27">
      <c r="AA705" s="126"/>
    </row>
    <row r="706" spans="27:27">
      <c r="AA706" s="126"/>
    </row>
    <row r="707" spans="27:27">
      <c r="AA707" s="126"/>
    </row>
    <row r="708" spans="27:27">
      <c r="AA708" s="126"/>
    </row>
    <row r="709" spans="27:27">
      <c r="AA709" s="126"/>
    </row>
    <row r="710" spans="27:27">
      <c r="AA710" s="126"/>
    </row>
    <row r="711" spans="27:27">
      <c r="AA711" s="126"/>
    </row>
    <row r="712" spans="27:27">
      <c r="AA712" s="126"/>
    </row>
    <row r="713" spans="27:27">
      <c r="AA713" s="126"/>
    </row>
    <row r="714" spans="27:27">
      <c r="AA714" s="126"/>
    </row>
    <row r="715" spans="27:27">
      <c r="AA715" s="126"/>
    </row>
    <row r="716" spans="27:27">
      <c r="AA716" s="126"/>
    </row>
    <row r="717" spans="27:27">
      <c r="AA717" s="126"/>
    </row>
    <row r="718" spans="27:27">
      <c r="AA718" s="126"/>
    </row>
    <row r="719" spans="27:27">
      <c r="AA719" s="126"/>
    </row>
    <row r="720" spans="27:27">
      <c r="AA720" s="126"/>
    </row>
    <row r="721" spans="27:27">
      <c r="AA721" s="126"/>
    </row>
    <row r="722" spans="27:27">
      <c r="AA722" s="126"/>
    </row>
    <row r="723" spans="27:27">
      <c r="AA723" s="126"/>
    </row>
    <row r="724" spans="27:27">
      <c r="AA724" s="126"/>
    </row>
    <row r="725" spans="27:27">
      <c r="AA725" s="126"/>
    </row>
    <row r="726" spans="27:27">
      <c r="AA726" s="27"/>
    </row>
    <row r="727" spans="27:27">
      <c r="AA727" s="126"/>
    </row>
    <row r="728" spans="27:27">
      <c r="AA728" s="126"/>
    </row>
    <row r="729" spans="27:27">
      <c r="AA729" s="126"/>
    </row>
    <row r="730" spans="27:27">
      <c r="AA730" s="126"/>
    </row>
    <row r="731" spans="27:27">
      <c r="AA731" s="126"/>
    </row>
    <row r="732" spans="27:27">
      <c r="AA732" s="126"/>
    </row>
    <row r="733" spans="27:27">
      <c r="AA733" s="126"/>
    </row>
    <row r="734" spans="27:27">
      <c r="AA734" s="126"/>
    </row>
    <row r="735" spans="27:27">
      <c r="AA735" s="126"/>
    </row>
    <row r="736" spans="27:27">
      <c r="AA736" s="126"/>
    </row>
    <row r="737" spans="27:27">
      <c r="AA737" s="126"/>
    </row>
    <row r="738" spans="27:27">
      <c r="AA738" s="126"/>
    </row>
    <row r="739" spans="27:27">
      <c r="AA739" s="126"/>
    </row>
    <row r="740" spans="27:27">
      <c r="AA740" s="126"/>
    </row>
    <row r="741" spans="27:27">
      <c r="AA741" s="126"/>
    </row>
    <row r="742" spans="27:27">
      <c r="AA742" s="126"/>
    </row>
    <row r="743" spans="27:27">
      <c r="AA743" s="126"/>
    </row>
    <row r="744" spans="27:27">
      <c r="AA744" s="126"/>
    </row>
    <row r="745" spans="27:27">
      <c r="AA745" s="126"/>
    </row>
    <row r="746" spans="27:27">
      <c r="AA746" s="126"/>
    </row>
    <row r="747" spans="27:27">
      <c r="AA747" s="126"/>
    </row>
    <row r="748" spans="27:27">
      <c r="AA748" s="126"/>
    </row>
    <row r="749" spans="27:27">
      <c r="AA749" s="126"/>
    </row>
    <row r="750" spans="27:27">
      <c r="AA750" s="126"/>
    </row>
    <row r="751" spans="27:27">
      <c r="AA751" s="126"/>
    </row>
    <row r="752" spans="27:27">
      <c r="AA752" s="126"/>
    </row>
    <row r="753" spans="27:27">
      <c r="AA753" s="126"/>
    </row>
    <row r="754" spans="27:27">
      <c r="AA754" s="126"/>
    </row>
    <row r="755" spans="27:27">
      <c r="AA755" s="126"/>
    </row>
    <row r="756" spans="27:27">
      <c r="AA756" s="126"/>
    </row>
    <row r="757" spans="27:27">
      <c r="AA757" s="126"/>
    </row>
    <row r="758" spans="27:27">
      <c r="AA758" s="126"/>
    </row>
    <row r="759" spans="27:27">
      <c r="AA759" s="264"/>
    </row>
    <row r="760" spans="27:27">
      <c r="AA760" s="264"/>
    </row>
    <row r="761" spans="27:27">
      <c r="AA761" s="126"/>
    </row>
    <row r="762" spans="27:27">
      <c r="AA762" s="126"/>
    </row>
    <row r="763" spans="27:27">
      <c r="AA763" s="126"/>
    </row>
    <row r="764" spans="27:27">
      <c r="AA764" s="126"/>
    </row>
    <row r="765" spans="27:27">
      <c r="AA765" s="126"/>
    </row>
    <row r="766" spans="27:27">
      <c r="AA766" s="126"/>
    </row>
    <row r="767" spans="27:27">
      <c r="AA767" s="126"/>
    </row>
    <row r="768" spans="27:27">
      <c r="AA768" s="126"/>
    </row>
    <row r="769" spans="27:27">
      <c r="AA769" s="126"/>
    </row>
    <row r="770" spans="27:27">
      <c r="AA770" s="126"/>
    </row>
    <row r="771" spans="27:27">
      <c r="AA771" s="126"/>
    </row>
    <row r="772" spans="27:27">
      <c r="AA772" s="126"/>
    </row>
    <row r="773" spans="27:27">
      <c r="AA773" s="126"/>
    </row>
    <row r="774" spans="27:27">
      <c r="AA774" s="126"/>
    </row>
    <row r="775" spans="27:27">
      <c r="AA775" s="126"/>
    </row>
    <row r="776" spans="27:27">
      <c r="AA776" s="126"/>
    </row>
    <row r="777" spans="27:27">
      <c r="AA777" s="126"/>
    </row>
    <row r="778" spans="27:27">
      <c r="AA778" s="126"/>
    </row>
    <row r="779" spans="27:27">
      <c r="AA779" s="126"/>
    </row>
    <row r="780" spans="27:27">
      <c r="AA780" s="126"/>
    </row>
    <row r="781" spans="27:27">
      <c r="AA781" s="126"/>
    </row>
    <row r="782" spans="27:27">
      <c r="AA782" s="126"/>
    </row>
    <row r="783" spans="27:27">
      <c r="AA783" s="126"/>
    </row>
    <row r="784" spans="27:27">
      <c r="AA784" s="126"/>
    </row>
    <row r="785" spans="27:27">
      <c r="AA785" s="126"/>
    </row>
    <row r="786" spans="27:27">
      <c r="AA786" s="126"/>
    </row>
    <row r="787" spans="27:27">
      <c r="AA787" s="126"/>
    </row>
    <row r="788" spans="27:27">
      <c r="AA788" s="126"/>
    </row>
    <row r="789" spans="27:27">
      <c r="AA789" s="126"/>
    </row>
    <row r="790" spans="27:27">
      <c r="AA790" s="126"/>
    </row>
    <row r="791" spans="27:27">
      <c r="AA791" s="126"/>
    </row>
    <row r="792" spans="27:27">
      <c r="AA792" s="126"/>
    </row>
    <row r="793" spans="27:27">
      <c r="AA793" s="126"/>
    </row>
    <row r="794" spans="27:27">
      <c r="AA794" s="126"/>
    </row>
    <row r="795" spans="27:27">
      <c r="AA795" s="126"/>
    </row>
    <row r="796" spans="27:27">
      <c r="AA796" s="126"/>
    </row>
    <row r="797" spans="27:27">
      <c r="AA797" s="126"/>
    </row>
    <row r="798" spans="27:27">
      <c r="AA798" s="126"/>
    </row>
    <row r="799" spans="27:27">
      <c r="AA799" s="264"/>
    </row>
    <row r="800" spans="27:27">
      <c r="AA800" s="126"/>
    </row>
    <row r="801" spans="27:27">
      <c r="AA801" s="126"/>
    </row>
    <row r="802" spans="27:27">
      <c r="AA802" s="126"/>
    </row>
    <row r="803" spans="27:27">
      <c r="AA803" s="126"/>
    </row>
    <row r="804" spans="27:27">
      <c r="AA804" s="126"/>
    </row>
    <row r="805" spans="27:27">
      <c r="AA805" s="126"/>
    </row>
    <row r="806" spans="27:27">
      <c r="AA806" s="126"/>
    </row>
    <row r="807" spans="27:27">
      <c r="AA807" s="126"/>
    </row>
    <row r="808" spans="27:27">
      <c r="AA808" s="126"/>
    </row>
    <row r="809" spans="27:27">
      <c r="AA809" s="126"/>
    </row>
    <row r="810" spans="27:27">
      <c r="AA810" s="126"/>
    </row>
    <row r="811" spans="27:27">
      <c r="AA811" s="126"/>
    </row>
    <row r="812" spans="27:27">
      <c r="AA812" s="126"/>
    </row>
    <row r="813" spans="27:27">
      <c r="AA813" s="126"/>
    </row>
    <row r="814" spans="27:27">
      <c r="AA814" s="126"/>
    </row>
    <row r="815" spans="27:27">
      <c r="AA815" s="126"/>
    </row>
    <row r="816" spans="27:27">
      <c r="AA816" s="126"/>
    </row>
    <row r="817" spans="27:27">
      <c r="AA817" s="126"/>
    </row>
    <row r="818" spans="27:27">
      <c r="AA818" s="126"/>
    </row>
    <row r="819" spans="27:27">
      <c r="AA819" s="126"/>
    </row>
    <row r="820" spans="27:27">
      <c r="AA820" s="126"/>
    </row>
    <row r="821" spans="27:27">
      <c r="AA821" s="126"/>
    </row>
    <row r="822" spans="27:27">
      <c r="AA822" s="126"/>
    </row>
    <row r="823" spans="27:27">
      <c r="AA823" s="126"/>
    </row>
    <row r="824" spans="27:27">
      <c r="AA824" s="126"/>
    </row>
    <row r="825" spans="27:27">
      <c r="AA825" s="126"/>
    </row>
    <row r="826" spans="27:27">
      <c r="AA826" s="126"/>
    </row>
    <row r="827" spans="27:27">
      <c r="AA827" s="126"/>
    </row>
    <row r="828" spans="27:27">
      <c r="AA828" s="126"/>
    </row>
    <row r="829" spans="27:27">
      <c r="AA829" s="126"/>
    </row>
    <row r="830" spans="27:27">
      <c r="AA830" s="126"/>
    </row>
    <row r="831" spans="27:27">
      <c r="AA831" s="126"/>
    </row>
    <row r="832" spans="27:27">
      <c r="AA832" s="126"/>
    </row>
    <row r="833" spans="27:27">
      <c r="AA833" s="126"/>
    </row>
    <row r="834" spans="27:27">
      <c r="AA834" s="126"/>
    </row>
    <row r="835" spans="27:27">
      <c r="AA835" s="126"/>
    </row>
    <row r="836" spans="27:27">
      <c r="AA836" s="126"/>
    </row>
    <row r="837" spans="27:27">
      <c r="AA837" s="126"/>
    </row>
    <row r="838" spans="27:27">
      <c r="AA838" s="126"/>
    </row>
    <row r="839" spans="27:27">
      <c r="AA839" s="126"/>
    </row>
    <row r="840" spans="27:27">
      <c r="AA840" s="126"/>
    </row>
    <row r="841" spans="27:27">
      <c r="AA841" s="126"/>
    </row>
    <row r="842" spans="27:27">
      <c r="AA842" s="126"/>
    </row>
    <row r="843" spans="27:27">
      <c r="AA843" s="126"/>
    </row>
    <row r="844" spans="27:27">
      <c r="AA844" s="126"/>
    </row>
    <row r="845" spans="27:27">
      <c r="AA845" s="126"/>
    </row>
    <row r="846" spans="27:27">
      <c r="AA846" s="126"/>
    </row>
    <row r="847" spans="27:27">
      <c r="AA847" s="126"/>
    </row>
    <row r="848" spans="27:27">
      <c r="AA848" s="126"/>
    </row>
    <row r="849" spans="27:27">
      <c r="AA849" s="126"/>
    </row>
    <row r="850" spans="27:27">
      <c r="AA850" s="126"/>
    </row>
    <row r="851" spans="27:27">
      <c r="AA851" s="126"/>
    </row>
    <row r="852" spans="27:27">
      <c r="AA852" s="126"/>
    </row>
    <row r="853" spans="27:27">
      <c r="AA853" s="126"/>
    </row>
    <row r="854" spans="27:27">
      <c r="AA854" s="126"/>
    </row>
    <row r="855" spans="27:27">
      <c r="AA855" s="126"/>
    </row>
    <row r="856" spans="27:27">
      <c r="AA856" s="126"/>
    </row>
    <row r="857" spans="27:27">
      <c r="AA857" s="264"/>
    </row>
    <row r="858" spans="27:27">
      <c r="AA858" s="126"/>
    </row>
    <row r="859" spans="27:27">
      <c r="AA859" s="126"/>
    </row>
    <row r="860" spans="27:27">
      <c r="AA860" s="126"/>
    </row>
    <row r="861" spans="27:27">
      <c r="AA861" s="126"/>
    </row>
    <row r="862" spans="27:27">
      <c r="AA862" s="126"/>
    </row>
    <row r="863" spans="27:27">
      <c r="AA863" s="126"/>
    </row>
    <row r="864" spans="27:27">
      <c r="AA864" s="126"/>
    </row>
    <row r="865" spans="27:27">
      <c r="AA865" s="126"/>
    </row>
    <row r="866" spans="27:27">
      <c r="AA866" s="126"/>
    </row>
    <row r="867" spans="27:27">
      <c r="AA867" s="126"/>
    </row>
    <row r="868" spans="27:27">
      <c r="AA868" s="126"/>
    </row>
    <row r="869" spans="27:27">
      <c r="AA869" s="126"/>
    </row>
    <row r="870" spans="27:27">
      <c r="AA870" s="126"/>
    </row>
    <row r="871" spans="27:27">
      <c r="AA871" s="126"/>
    </row>
    <row r="872" spans="27:27">
      <c r="AA872" s="126"/>
    </row>
    <row r="873" spans="27:27">
      <c r="AA873" s="126"/>
    </row>
    <row r="874" spans="27:27">
      <c r="AA874" s="126"/>
    </row>
    <row r="875" spans="27:27">
      <c r="AA875" s="126"/>
    </row>
    <row r="876" spans="27:27">
      <c r="AA876" s="126"/>
    </row>
    <row r="877" spans="27:27">
      <c r="AA877" s="126"/>
    </row>
    <row r="878" spans="27:27">
      <c r="AA878" s="126"/>
    </row>
    <row r="879" spans="27:27">
      <c r="AA879" s="126"/>
    </row>
    <row r="880" spans="27:27">
      <c r="AA880" s="126"/>
    </row>
    <row r="881" spans="27:27">
      <c r="AA881" s="126"/>
    </row>
    <row r="882" spans="27:27">
      <c r="AA882" s="126"/>
    </row>
    <row r="883" spans="27:27">
      <c r="AA883" s="126"/>
    </row>
    <row r="884" spans="27:27">
      <c r="AA884" s="126"/>
    </row>
    <row r="885" spans="27:27">
      <c r="AA885" s="126"/>
    </row>
    <row r="886" spans="27:27">
      <c r="AA886" s="126"/>
    </row>
    <row r="887" spans="27:27">
      <c r="AA887" s="126"/>
    </row>
    <row r="888" spans="27:27">
      <c r="AA888" s="126"/>
    </row>
    <row r="889" spans="27:27">
      <c r="AA889" s="126"/>
    </row>
    <row r="890" spans="27:27">
      <c r="AA890" s="126"/>
    </row>
    <row r="891" spans="27:27">
      <c r="AA891" s="126"/>
    </row>
    <row r="892" spans="27:27">
      <c r="AA892" s="126"/>
    </row>
    <row r="893" spans="27:27">
      <c r="AA893" s="126"/>
    </row>
    <row r="894" spans="27:27">
      <c r="AA894" s="126"/>
    </row>
    <row r="895" spans="27:27">
      <c r="AA895" s="126"/>
    </row>
    <row r="896" spans="27:27">
      <c r="AA896" s="126"/>
    </row>
    <row r="897" spans="27:27">
      <c r="AA897" s="126"/>
    </row>
    <row r="898" spans="27:27">
      <c r="AA898" s="126"/>
    </row>
    <row r="899" spans="27:27">
      <c r="AA899" s="126"/>
    </row>
    <row r="900" spans="27:27">
      <c r="AA900" s="126"/>
    </row>
    <row r="901" spans="27:27">
      <c r="AA901" s="126"/>
    </row>
    <row r="902" spans="27:27">
      <c r="AA902" s="126"/>
    </row>
    <row r="903" spans="27:27">
      <c r="AA903" s="126"/>
    </row>
    <row r="904" spans="27:27">
      <c r="AA904" s="126"/>
    </row>
    <row r="905" spans="27:27">
      <c r="AA905" s="126"/>
    </row>
    <row r="906" spans="27:27">
      <c r="AA906" s="126"/>
    </row>
    <row r="907" spans="27:27">
      <c r="AA907" s="126"/>
    </row>
    <row r="908" spans="27:27">
      <c r="AA908" s="126"/>
    </row>
    <row r="909" spans="27:27">
      <c r="AA909" s="126"/>
    </row>
    <row r="910" spans="27:27">
      <c r="AA910" s="126"/>
    </row>
    <row r="911" spans="27:27">
      <c r="AA911" s="126"/>
    </row>
    <row r="912" spans="27:27">
      <c r="AA912" s="126"/>
    </row>
    <row r="913" spans="27:27">
      <c r="AA913" s="126"/>
    </row>
    <row r="914" spans="27:27">
      <c r="AA914" s="264"/>
    </row>
    <row r="915" spans="27:27">
      <c r="AA915" s="126"/>
    </row>
    <row r="916" spans="27:27">
      <c r="AA916" s="126"/>
    </row>
    <row r="917" spans="27:27">
      <c r="AA917" s="126"/>
    </row>
    <row r="918" spans="27:27">
      <c r="AA918" s="126"/>
    </row>
    <row r="919" spans="27:27">
      <c r="AA919" s="126"/>
    </row>
    <row r="920" spans="27:27">
      <c r="AA920" s="126"/>
    </row>
    <row r="921" spans="27:27">
      <c r="AA921" s="126"/>
    </row>
    <row r="922" spans="27:27">
      <c r="AA922" s="126"/>
    </row>
    <row r="923" spans="27:27">
      <c r="AA923" s="126"/>
    </row>
    <row r="924" spans="27:27">
      <c r="AA924" s="126"/>
    </row>
    <row r="925" spans="27:27">
      <c r="AA925" s="126"/>
    </row>
    <row r="926" spans="27:27">
      <c r="AA926" s="126"/>
    </row>
    <row r="927" spans="27:27">
      <c r="AA927" s="126"/>
    </row>
    <row r="928" spans="27:27">
      <c r="AA928" s="126"/>
    </row>
    <row r="929" spans="27:27">
      <c r="AA929" s="126"/>
    </row>
    <row r="930" spans="27:27">
      <c r="AA930" s="126"/>
    </row>
    <row r="931" spans="27:27">
      <c r="AA931" s="126"/>
    </row>
    <row r="932" spans="27:27">
      <c r="AA932" s="126"/>
    </row>
    <row r="933" spans="27:27">
      <c r="AA933" s="126"/>
    </row>
    <row r="934" spans="27:27">
      <c r="AA934" s="126"/>
    </row>
    <row r="935" spans="27:27">
      <c r="AA935" s="126"/>
    </row>
    <row r="936" spans="27:27">
      <c r="AA936" s="126"/>
    </row>
    <row r="937" spans="27:27">
      <c r="AA937" s="126"/>
    </row>
    <row r="938" spans="27:27">
      <c r="AA938" s="126"/>
    </row>
    <row r="939" spans="27:27">
      <c r="AA939" s="126"/>
    </row>
    <row r="940" spans="27:27">
      <c r="AA940" s="126"/>
    </row>
    <row r="941" spans="27:27">
      <c r="AA941" s="126"/>
    </row>
    <row r="942" spans="27:27">
      <c r="AA942" s="241"/>
    </row>
    <row r="943" spans="27:27">
      <c r="AA943" s="126"/>
    </row>
    <row r="944" spans="27:27">
      <c r="AA944" s="126"/>
    </row>
    <row r="945" spans="27:27">
      <c r="AA945" s="126"/>
    </row>
    <row r="946" spans="27:27">
      <c r="AA946" s="126"/>
    </row>
    <row r="947" spans="27:27">
      <c r="AA947" s="126"/>
    </row>
    <row r="948" spans="27:27">
      <c r="AA948" s="126"/>
    </row>
    <row r="949" spans="27:27">
      <c r="AA949" s="126"/>
    </row>
    <row r="950" spans="27:27">
      <c r="AA950" s="126"/>
    </row>
    <row r="951" spans="27:27">
      <c r="AA951" s="126"/>
    </row>
    <row r="952" spans="27:27">
      <c r="AA952" s="126"/>
    </row>
    <row r="953" spans="27:27">
      <c r="AA953" s="126"/>
    </row>
    <row r="954" spans="27:27">
      <c r="AA954" s="126"/>
    </row>
    <row r="955" spans="27:27">
      <c r="AA955" s="126"/>
    </row>
    <row r="956" spans="27:27">
      <c r="AA956" s="264"/>
    </row>
    <row r="957" spans="27:27">
      <c r="AA957" s="126"/>
    </row>
    <row r="958" spans="27:27">
      <c r="AA958" s="126"/>
    </row>
    <row r="959" spans="27:27">
      <c r="AA959" s="126"/>
    </row>
    <row r="960" spans="27:27">
      <c r="AA960" s="126"/>
    </row>
    <row r="961" spans="27:27">
      <c r="AA961" s="126"/>
    </row>
    <row r="962" spans="27:27">
      <c r="AA962" s="126"/>
    </row>
    <row r="963" spans="27:27">
      <c r="AA963" s="126"/>
    </row>
    <row r="964" spans="27:27">
      <c r="AA964" s="126"/>
    </row>
    <row r="966" spans="27:27">
      <c r="AA966" s="126"/>
    </row>
    <row r="967" spans="27:27">
      <c r="AA967" s="126"/>
    </row>
    <row r="968" spans="27:27">
      <c r="AA968" s="264"/>
    </row>
    <row r="969" spans="27:27">
      <c r="AA969" s="126"/>
    </row>
    <row r="970" spans="27:27">
      <c r="AA970" s="264"/>
    </row>
    <row r="971" spans="27:27">
      <c r="AA971" s="126"/>
    </row>
    <row r="972" spans="27:27">
      <c r="AA972" s="126"/>
    </row>
    <row r="973" spans="27:27">
      <c r="AA973" s="126"/>
    </row>
    <row r="974" spans="27:27">
      <c r="AA974" s="264"/>
    </row>
    <row r="975" spans="27:27">
      <c r="AA975" s="123"/>
    </row>
    <row r="977" spans="27:27">
      <c r="AA977" s="126"/>
    </row>
    <row r="978" spans="27:27">
      <c r="AA978" s="264"/>
    </row>
    <row r="979" spans="27:27">
      <c r="AA979" s="126"/>
    </row>
    <row r="980" spans="27:27">
      <c r="AA980" s="126"/>
    </row>
    <row r="981" spans="27:27">
      <c r="AA981" s="264"/>
    </row>
    <row r="982" spans="27:27">
      <c r="AA982" s="126"/>
    </row>
    <row r="983" spans="27:27">
      <c r="AA983" s="126"/>
    </row>
    <row r="984" spans="27:27">
      <c r="AA984" s="126"/>
    </row>
    <row r="985" spans="27:27">
      <c r="AA985" s="126"/>
    </row>
    <row r="986" spans="27:27">
      <c r="AA986" s="126"/>
    </row>
    <row r="987" spans="27:27">
      <c r="AA987" s="264"/>
    </row>
    <row r="988" spans="27:27">
      <c r="AA988" s="126"/>
    </row>
    <row r="989" spans="27:27">
      <c r="AA989" s="126"/>
    </row>
    <row r="990" spans="27:27">
      <c r="AA990" s="126"/>
    </row>
    <row r="991" spans="27:27">
      <c r="AA991" s="126"/>
    </row>
    <row r="993" spans="27:27">
      <c r="AA993" s="264"/>
    </row>
    <row r="994" spans="27:27">
      <c r="AA994" s="126"/>
    </row>
    <row r="995" spans="27:27">
      <c r="AA995" s="126"/>
    </row>
    <row r="996" spans="27:27">
      <c r="AA996" s="126"/>
    </row>
    <row r="997" spans="27:27">
      <c r="AA997" s="126"/>
    </row>
    <row r="998" spans="27:27">
      <c r="AA998" s="126"/>
    </row>
    <row r="999" spans="27:27">
      <c r="AA999" s="126"/>
    </row>
    <row r="1000" spans="27:27">
      <c r="AA1000" s="126"/>
    </row>
    <row r="1001" spans="27:27">
      <c r="AA1001" s="126"/>
    </row>
    <row r="1002" spans="27:27">
      <c r="AA1002" s="26"/>
    </row>
    <row r="1003" spans="27:27">
      <c r="AA1003" s="126"/>
    </row>
    <row r="1004" spans="27:27">
      <c r="AA1004" s="126"/>
    </row>
    <row r="1005" spans="27:27">
      <c r="AA1005" s="126"/>
    </row>
    <row r="1006" spans="27:27">
      <c r="AA1006" s="126"/>
    </row>
    <row r="1007" spans="27:27">
      <c r="AA1007" s="126"/>
    </row>
    <row r="1008" spans="27:27">
      <c r="AA1008" s="126"/>
    </row>
    <row r="1009" spans="27:27">
      <c r="AA1009" s="126"/>
    </row>
    <row r="1010" spans="27:27">
      <c r="AA1010" s="264"/>
    </row>
    <row r="1011" spans="27:27">
      <c r="AA1011" s="126"/>
    </row>
    <row r="1012" spans="27:27">
      <c r="AA1012" s="126"/>
    </row>
    <row r="1013" spans="27:27">
      <c r="AA1013" s="126"/>
    </row>
    <row r="1014" spans="27:27">
      <c r="AA1014" s="126"/>
    </row>
    <row r="1015" spans="27:27">
      <c r="AA1015" s="126"/>
    </row>
    <row r="1016" spans="27:27">
      <c r="AA1016" s="126"/>
    </row>
    <row r="1017" spans="27:27">
      <c r="AA1017" s="264"/>
    </row>
    <row r="1018" spans="27:27">
      <c r="AA1018" s="126"/>
    </row>
    <row r="1019" spans="27:27">
      <c r="AA1019" s="126"/>
    </row>
    <row r="1020" spans="27:27">
      <c r="AA1020" s="126"/>
    </row>
    <row r="1021" spans="27:27">
      <c r="AA1021" s="126"/>
    </row>
    <row r="1022" spans="27:27">
      <c r="AA1022" s="126"/>
    </row>
    <row r="1023" spans="27:27">
      <c r="AA1023" s="126"/>
    </row>
    <row r="1024" spans="27:27">
      <c r="AA1024" s="126"/>
    </row>
    <row r="1025" spans="27:27">
      <c r="AA1025" s="264"/>
    </row>
    <row r="1026" spans="27:27">
      <c r="AA1026" s="126"/>
    </row>
    <row r="1027" spans="27:27">
      <c r="AA1027" s="126"/>
    </row>
    <row r="1028" spans="27:27">
      <c r="AA1028" s="126"/>
    </row>
    <row r="1029" spans="27:27">
      <c r="AA1029" s="126"/>
    </row>
    <row r="1030" spans="27:27">
      <c r="AA1030" s="126"/>
    </row>
    <row r="1031" spans="27:27">
      <c r="AA1031" s="126"/>
    </row>
    <row r="1032" spans="27:27">
      <c r="AA1032" s="126"/>
    </row>
    <row r="1033" spans="27:27">
      <c r="AA1033" s="126"/>
    </row>
    <row r="1034" spans="27:27">
      <c r="AA1034" s="126"/>
    </row>
    <row r="1035" spans="27:27">
      <c r="AA1035" s="123"/>
    </row>
    <row r="1036" spans="27:27">
      <c r="AA1036" s="123"/>
    </row>
    <row r="1037" spans="27:27">
      <c r="AA1037" s="126"/>
    </row>
    <row r="1038" spans="27:27">
      <c r="AA1038" s="126"/>
    </row>
    <row r="1039" spans="27:27">
      <c r="AA1039" s="126"/>
    </row>
    <row r="1040" spans="27:27">
      <c r="AA1040" s="126"/>
    </row>
    <row r="1041" spans="27:27">
      <c r="AA1041" s="126"/>
    </row>
    <row r="1042" spans="27:27">
      <c r="AA1042" s="126"/>
    </row>
    <row r="1043" spans="27:27">
      <c r="AA1043" s="126"/>
    </row>
    <row r="1044" spans="27:27">
      <c r="AA1044" s="126"/>
    </row>
    <row r="1045" spans="27:27">
      <c r="AA1045" s="126"/>
    </row>
    <row r="1046" spans="27:27">
      <c r="AA1046" s="126"/>
    </row>
    <row r="1047" spans="27:27">
      <c r="AA1047" s="126"/>
    </row>
    <row r="1048" spans="27:27">
      <c r="AA1048" s="264"/>
    </row>
    <row r="1049" spans="27:27">
      <c r="AA1049" s="126"/>
    </row>
    <row r="1050" spans="27:27">
      <c r="AA1050" s="126"/>
    </row>
    <row r="1051" spans="27:27">
      <c r="AA1051" s="264"/>
    </row>
    <row r="1052" spans="27:27">
      <c r="AA1052" s="126"/>
    </row>
    <row r="1053" spans="27:27">
      <c r="AA1053" s="126"/>
    </row>
    <row r="1054" spans="27:27">
      <c r="AA1054" s="126"/>
    </row>
    <row r="1055" spans="27:27">
      <c r="AA1055" s="43"/>
    </row>
    <row r="1057" spans="27:27">
      <c r="AA1057" s="126"/>
    </row>
    <row r="1058" spans="27:27">
      <c r="AA1058" s="126"/>
    </row>
    <row r="1059" spans="27:27">
      <c r="AA1059" s="126"/>
    </row>
    <row r="1060" spans="27:27">
      <c r="AA1060" s="126"/>
    </row>
    <row r="1061" spans="27:27">
      <c r="AA1061" s="126"/>
    </row>
    <row r="1062" spans="27:27">
      <c r="AA1062" s="126"/>
    </row>
    <row r="1063" spans="27:27">
      <c r="AA1063" s="126"/>
    </row>
    <row r="1064" spans="27:27">
      <c r="AA1064" s="126"/>
    </row>
    <row r="1065" spans="27:27">
      <c r="AA1065" s="123"/>
    </row>
    <row r="1066" spans="27:27">
      <c r="AA1066" s="126"/>
    </row>
    <row r="1067" spans="27:27">
      <c r="AA1067" s="126"/>
    </row>
    <row r="1068" spans="27:27">
      <c r="AA1068" s="126"/>
    </row>
    <row r="1069" spans="27:27">
      <c r="AA1069" s="126"/>
    </row>
    <row r="1070" spans="27:27">
      <c r="AA1070" s="126"/>
    </row>
    <row r="1071" spans="27:27">
      <c r="AA1071" s="126"/>
    </row>
    <row r="1072" spans="27:27">
      <c r="AA1072" s="126"/>
    </row>
    <row r="1073" spans="27:27">
      <c r="AA1073" s="126"/>
    </row>
    <row r="1075" spans="27:27">
      <c r="AA1075" s="126"/>
    </row>
    <row r="1076" spans="27:27">
      <c r="AA1076" s="126"/>
    </row>
    <row r="1077" spans="27:27">
      <c r="AA1077" s="126"/>
    </row>
    <row r="1078" spans="27:27">
      <c r="AA1078" s="126"/>
    </row>
    <row r="1079" spans="27:27">
      <c r="AA1079" s="264"/>
    </row>
    <row r="1080" spans="27:27">
      <c r="AA1080" s="126"/>
    </row>
    <row r="1081" spans="27:27">
      <c r="AA1081" s="126"/>
    </row>
    <row r="1082" spans="27:27">
      <c r="AA1082" s="126"/>
    </row>
    <row r="1083" spans="27:27">
      <c r="AA1083" s="126"/>
    </row>
    <row r="1084" spans="27:27">
      <c r="AA1084" s="126"/>
    </row>
    <row r="1085" spans="27:27">
      <c r="AA1085" s="126"/>
    </row>
    <row r="1086" spans="27:27">
      <c r="AA1086" s="123"/>
    </row>
    <row r="1087" spans="27:27">
      <c r="AA1087" s="126"/>
    </row>
    <row r="1088" spans="27:27">
      <c r="AA1088" s="264"/>
    </row>
    <row r="1089" spans="27:27">
      <c r="AA1089" s="126"/>
    </row>
    <row r="1090" spans="27:27">
      <c r="AA1090" s="126"/>
    </row>
    <row r="1091" spans="27:27">
      <c r="AA1091" s="126"/>
    </row>
    <row r="1092" spans="27:27">
      <c r="AA1092" s="126"/>
    </row>
    <row r="1093" spans="27:27">
      <c r="AA1093" s="126"/>
    </row>
    <row r="1094" spans="27:27">
      <c r="AA1094" s="126"/>
    </row>
    <row r="1095" spans="27:27">
      <c r="AA1095" s="126"/>
    </row>
    <row r="1096" spans="27:27">
      <c r="AA1096" s="126"/>
    </row>
    <row r="1097" spans="27:27">
      <c r="AA1097" s="126"/>
    </row>
    <row r="1098" spans="27:27">
      <c r="AA1098" s="126"/>
    </row>
    <row r="1099" spans="27:27">
      <c r="AA1099" s="126"/>
    </row>
    <row r="1100" spans="27:27">
      <c r="AA1100" s="126"/>
    </row>
    <row r="1101" spans="27:27">
      <c r="AA1101" s="126"/>
    </row>
    <row r="1102" spans="27:27">
      <c r="AA1102" s="126"/>
    </row>
    <row r="1103" spans="27:27">
      <c r="AA1103" s="126"/>
    </row>
    <row r="1104" spans="27:27">
      <c r="AA1104" s="126"/>
    </row>
    <row r="1105" spans="27:27">
      <c r="AA1105" s="126"/>
    </row>
    <row r="1106" spans="27:27">
      <c r="AA1106" s="126"/>
    </row>
    <row r="1107" spans="27:27">
      <c r="AA1107" s="123"/>
    </row>
    <row r="1108" spans="27:27">
      <c r="AA1108" s="126"/>
    </row>
    <row r="1109" spans="27:27">
      <c r="AA1109" s="126"/>
    </row>
    <row r="1110" spans="27:27">
      <c r="AA1110" s="126"/>
    </row>
    <row r="1111" spans="27:27">
      <c r="AA1111" s="126"/>
    </row>
    <row r="1112" spans="27:27">
      <c r="AA1112" s="126"/>
    </row>
    <row r="1113" spans="27:27">
      <c r="AA1113" s="27"/>
    </row>
    <row r="1114" spans="27:27">
      <c r="AA1114" s="123"/>
    </row>
    <row r="1115" spans="27:27">
      <c r="AA1115" s="264"/>
    </row>
    <row r="1116" spans="27:27">
      <c r="AA1116" s="264"/>
    </row>
    <row r="1117" spans="27:27">
      <c r="AA1117" s="126"/>
    </row>
    <row r="1118" spans="27:27">
      <c r="AA1118" s="123"/>
    </row>
    <row r="1119" spans="27:27">
      <c r="AA1119" s="126"/>
    </row>
    <row r="1120" spans="27:27">
      <c r="AA1120" s="126"/>
    </row>
    <row r="1121" spans="27:27">
      <c r="AA1121" s="126"/>
    </row>
    <row r="1122" spans="27:27">
      <c r="AA1122" s="43"/>
    </row>
    <row r="1123" spans="27:27">
      <c r="AA1123" s="126"/>
    </row>
    <row r="1125" spans="27:27">
      <c r="AA1125" s="126"/>
    </row>
    <row r="1126" spans="27:27">
      <c r="AA1126" s="123"/>
    </row>
    <row r="1127" spans="27:27">
      <c r="AA1127" s="126"/>
    </row>
    <row r="1128" spans="27:27">
      <c r="AA1128" s="126"/>
    </row>
    <row r="1129" spans="27:27">
      <c r="AA1129" s="123"/>
    </row>
    <row r="1130" spans="27:27">
      <c r="AA1130" s="126"/>
    </row>
    <row r="1131" spans="27:27">
      <c r="AA1131" s="126"/>
    </row>
    <row r="1132" spans="27:27">
      <c r="AA1132" s="126"/>
    </row>
    <row r="1133" spans="27:27">
      <c r="AA1133" s="126"/>
    </row>
    <row r="1134" spans="27:27">
      <c r="AA1134" s="126"/>
    </row>
    <row r="1135" spans="27:27">
      <c r="AA1135" s="126"/>
    </row>
    <row r="1136" spans="27:27">
      <c r="AA1136" s="126"/>
    </row>
    <row r="1137" spans="27:29">
      <c r="AA1137" s="126"/>
    </row>
    <row r="1138" spans="27:29">
      <c r="AA1138" s="126"/>
    </row>
    <row r="1139" spans="27:29">
      <c r="AA1139" s="126"/>
    </row>
    <row r="1140" spans="27:29">
      <c r="AA1140" s="264"/>
    </row>
    <row r="1141" spans="27:29">
      <c r="AA1141" s="126"/>
    </row>
    <row r="1142" spans="27:29">
      <c r="AA1142" s="126"/>
    </row>
    <row r="1143" spans="27:29">
      <c r="AA1143" s="126"/>
    </row>
    <row r="1144" spans="27:29">
      <c r="AA1144" s="126"/>
    </row>
    <row r="1145" spans="27:29">
      <c r="AA1145" s="126"/>
      <c r="AB1145" s="251" t="s">
        <v>3545</v>
      </c>
      <c r="AC1145" s="251" t="s">
        <v>3545</v>
      </c>
    </row>
    <row r="1146" spans="27:29">
      <c r="AA1146" s="126"/>
    </row>
    <row r="1147" spans="27:29">
      <c r="AA1147" s="123"/>
    </row>
    <row r="1148" spans="27:29">
      <c r="AA1148" s="126"/>
    </row>
    <row r="1149" spans="27:29">
      <c r="AA1149" s="126"/>
    </row>
    <row r="1150" spans="27:29">
      <c r="AA1150" s="126"/>
    </row>
    <row r="1151" spans="27:29">
      <c r="AA1151" s="126"/>
    </row>
    <row r="1152" spans="27:29">
      <c r="AA1152" s="264"/>
    </row>
    <row r="1154" spans="27:27">
      <c r="AA1154" s="126"/>
    </row>
    <row r="1155" spans="27:27">
      <c r="AA1155" s="126"/>
    </row>
    <row r="1156" spans="27:27">
      <c r="AA1156" s="126"/>
    </row>
    <row r="1157" spans="27:27">
      <c r="AA1157" s="27"/>
    </row>
    <row r="1158" spans="27:27">
      <c r="AA1158" s="126"/>
    </row>
    <row r="1159" spans="27:27">
      <c r="AA1159" s="264"/>
    </row>
    <row r="1160" spans="27:27">
      <c r="AA1160" s="123"/>
    </row>
    <row r="1161" spans="27:27">
      <c r="AA1161" s="126"/>
    </row>
    <row r="1162" spans="27:27">
      <c r="AA1162" s="126"/>
    </row>
    <row r="1163" spans="27:27">
      <c r="AA1163" s="126"/>
    </row>
    <row r="1164" spans="27:27">
      <c r="AA1164" s="126"/>
    </row>
    <row r="1165" spans="27:27">
      <c r="AA1165" s="126"/>
    </row>
    <row r="1166" spans="27:27">
      <c r="AA1166" s="126"/>
    </row>
    <row r="1167" spans="27:27">
      <c r="AA1167" s="126"/>
    </row>
    <row r="1168" spans="27:27">
      <c r="AA1168" s="126"/>
    </row>
    <row r="1169" spans="27:27">
      <c r="AA1169" s="126"/>
    </row>
    <row r="1170" spans="27:27">
      <c r="AA1170" s="126"/>
    </row>
    <row r="1171" spans="27:27">
      <c r="AA1171" s="126"/>
    </row>
    <row r="1172" spans="27:27">
      <c r="AA1172" s="126"/>
    </row>
    <row r="1173" spans="27:27">
      <c r="AA1173" s="126"/>
    </row>
    <row r="1174" spans="27:27">
      <c r="AA1174" s="264"/>
    </row>
    <row r="1176" spans="27:27">
      <c r="AA1176" s="126"/>
    </row>
    <row r="1177" spans="27:27">
      <c r="AA1177" s="126"/>
    </row>
    <row r="1178" spans="27:27">
      <c r="AA1178" s="126"/>
    </row>
    <row r="1179" spans="27:27">
      <c r="AA1179" s="126"/>
    </row>
    <row r="1180" spans="27:27">
      <c r="AA1180" s="126"/>
    </row>
    <row r="1181" spans="27:27">
      <c r="AA1181" s="126"/>
    </row>
    <row r="1182" spans="27:27">
      <c r="AA1182" s="126"/>
    </row>
    <row r="1183" spans="27:27">
      <c r="AA1183" s="126"/>
    </row>
    <row r="1184" spans="27:27">
      <c r="AA1184" s="126"/>
    </row>
    <row r="1185" spans="27:27">
      <c r="AA1185" s="126"/>
    </row>
    <row r="1186" spans="27:27">
      <c r="AA1186" s="126"/>
    </row>
    <row r="1187" spans="27:27">
      <c r="AA1187" s="126"/>
    </row>
    <row r="1188" spans="27:27">
      <c r="AA1188" s="126"/>
    </row>
    <row r="1189" spans="27:27">
      <c r="AA1189" s="126"/>
    </row>
    <row r="1191" spans="27:27">
      <c r="AA1191" s="126"/>
    </row>
    <row r="1192" spans="27:27">
      <c r="AA1192" s="123"/>
    </row>
    <row r="1193" spans="27:27">
      <c r="AA1193" s="126"/>
    </row>
    <row r="1194" spans="27:27">
      <c r="AA1194" s="126"/>
    </row>
    <row r="1195" spans="27:27">
      <c r="AA1195" s="126"/>
    </row>
    <row r="1196" spans="27:27">
      <c r="AA1196" s="126"/>
    </row>
    <row r="1197" spans="27:27">
      <c r="AA1197" s="126"/>
    </row>
    <row r="1198" spans="27:27">
      <c r="AA1198" s="126"/>
    </row>
    <row r="1200" spans="27:27">
      <c r="AA1200" s="126"/>
    </row>
    <row r="1201" spans="27:27">
      <c r="AA1201" s="126"/>
    </row>
    <row r="1202" spans="27:27">
      <c r="AA1202" s="126"/>
    </row>
    <row r="1203" spans="27:27">
      <c r="AA1203" s="126"/>
    </row>
    <row r="1204" spans="27:27">
      <c r="AA1204" s="126"/>
    </row>
    <row r="1205" spans="27:27">
      <c r="AA1205" s="126"/>
    </row>
    <row r="1206" spans="27:27">
      <c r="AA1206" s="126"/>
    </row>
    <row r="1207" spans="27:27">
      <c r="AA1207" s="126"/>
    </row>
    <row r="1208" spans="27:27">
      <c r="AA1208" s="126"/>
    </row>
    <row r="1209" spans="27:27">
      <c r="AA1209" s="123"/>
    </row>
    <row r="1210" spans="27:27">
      <c r="AA1210" s="126"/>
    </row>
    <row r="1211" spans="27:27">
      <c r="AA1211" s="126"/>
    </row>
    <row r="1212" spans="27:27">
      <c r="AA1212" s="126"/>
    </row>
    <row r="1214" spans="27:27">
      <c r="AA1214" s="126"/>
    </row>
    <row r="1215" spans="27:27">
      <c r="AA1215" s="126"/>
    </row>
    <row r="1216" spans="27:27">
      <c r="AA1216" s="264"/>
    </row>
    <row r="1217" spans="27:27">
      <c r="AA1217" s="126"/>
    </row>
    <row r="1218" spans="27:27">
      <c r="AA1218" s="264"/>
    </row>
    <row r="1219" spans="27:27">
      <c r="AA1219" s="126"/>
    </row>
    <row r="1220" spans="27:27">
      <c r="AA1220" s="126"/>
    </row>
    <row r="1221" spans="27:27">
      <c r="AA1221" s="126"/>
    </row>
    <row r="1222" spans="27:27">
      <c r="AA1222" s="264"/>
    </row>
    <row r="1223" spans="27:27">
      <c r="AA1223" s="264"/>
    </row>
    <row r="1224" spans="27:27">
      <c r="AA1224" s="126"/>
    </row>
    <row r="1225" spans="27:27">
      <c r="AA1225" s="126"/>
    </row>
    <row r="1226" spans="27:27">
      <c r="AA1226" s="126"/>
    </row>
    <row r="1227" spans="27:27">
      <c r="AA1227" s="126"/>
    </row>
    <row r="1228" spans="27:27">
      <c r="AA1228" s="264"/>
    </row>
    <row r="1229" spans="27:27">
      <c r="AA1229" s="126"/>
    </row>
    <row r="1230" spans="27:27">
      <c r="AA1230" s="264"/>
    </row>
    <row r="1231" spans="27:27">
      <c r="AA1231" s="126"/>
    </row>
    <row r="1232" spans="27:27">
      <c r="AA1232" s="264"/>
    </row>
    <row r="1233" spans="27:27">
      <c r="AA1233" s="126"/>
    </row>
    <row r="1234" spans="27:27">
      <c r="AA1234" s="126"/>
    </row>
    <row r="1235" spans="27:27">
      <c r="AA1235" s="126"/>
    </row>
    <row r="1236" spans="27:27">
      <c r="AA1236" s="126"/>
    </row>
    <row r="1237" spans="27:27">
      <c r="AA1237" s="126"/>
    </row>
    <row r="1238" spans="27:27">
      <c r="AA1238" s="126"/>
    </row>
    <row r="1239" spans="27:27">
      <c r="AA1239" s="126"/>
    </row>
    <row r="1240" spans="27:27">
      <c r="AA1240" s="126"/>
    </row>
    <row r="1241" spans="27:27">
      <c r="AA1241" s="126"/>
    </row>
    <row r="1242" spans="27:27">
      <c r="AA1242" s="126"/>
    </row>
    <row r="1243" spans="27:27">
      <c r="AA1243" s="126"/>
    </row>
    <row r="1244" spans="27:27">
      <c r="AA1244" s="126"/>
    </row>
    <row r="1245" spans="27:27">
      <c r="AA1245" s="126"/>
    </row>
    <row r="1246" spans="27:27">
      <c r="AA1246" s="126"/>
    </row>
    <row r="1247" spans="27:27">
      <c r="AA1247" s="126"/>
    </row>
    <row r="1248" spans="27:27">
      <c r="AA1248" s="126"/>
    </row>
    <row r="1249" spans="27:27">
      <c r="AA1249" s="264"/>
    </row>
    <row r="1250" spans="27:27">
      <c r="AA1250" s="126"/>
    </row>
    <row r="1251" spans="27:27">
      <c r="AA1251" s="126"/>
    </row>
    <row r="1252" spans="27:27">
      <c r="AA1252" s="126"/>
    </row>
    <row r="1253" spans="27:27">
      <c r="AA1253" s="126"/>
    </row>
    <row r="1254" spans="27:27">
      <c r="AA1254" s="126"/>
    </row>
    <row r="1255" spans="27:27">
      <c r="AA1255" s="126"/>
    </row>
    <row r="1256" spans="27:27">
      <c r="AA1256" s="126"/>
    </row>
    <row r="1257" spans="27:27">
      <c r="AA1257" s="264"/>
    </row>
    <row r="1258" spans="27:27">
      <c r="AA1258" s="126"/>
    </row>
    <row r="1259" spans="27:27">
      <c r="AA1259" s="126"/>
    </row>
    <row r="1260" spans="27:27">
      <c r="AA1260" s="126"/>
    </row>
    <row r="1261" spans="27:27">
      <c r="AA1261" s="126"/>
    </row>
    <row r="1262" spans="27:27">
      <c r="AA1262" s="126"/>
    </row>
    <row r="1263" spans="27:27">
      <c r="AA1263" s="126"/>
    </row>
    <row r="1264" spans="27:27">
      <c r="AA1264" s="126"/>
    </row>
    <row r="1265" spans="27:27">
      <c r="AA1265" s="126"/>
    </row>
    <row r="1266" spans="27:27">
      <c r="AA1266" s="126"/>
    </row>
    <row r="1267" spans="27:27">
      <c r="AA1267" s="126"/>
    </row>
    <row r="1268" spans="27:27">
      <c r="AA1268" s="123"/>
    </row>
    <row r="1269" spans="27:27">
      <c r="AA1269" s="126"/>
    </row>
    <row r="1270" spans="27:27">
      <c r="AA1270" s="126"/>
    </row>
    <row r="1271" spans="27:27">
      <c r="AA1271" s="264"/>
    </row>
    <row r="1272" spans="27:27">
      <c r="AA1272" s="126"/>
    </row>
    <row r="1273" spans="27:27">
      <c r="AA1273" s="126"/>
    </row>
    <row r="1274" spans="27:27">
      <c r="AA1274" s="126"/>
    </row>
    <row r="1275" spans="27:27">
      <c r="AA1275" s="126"/>
    </row>
    <row r="1276" spans="27:27">
      <c r="AA1276" s="126"/>
    </row>
    <row r="1277" spans="27:27">
      <c r="AA1277" s="126"/>
    </row>
    <row r="1278" spans="27:27">
      <c r="AA1278" s="126"/>
    </row>
    <row r="1279" spans="27:27">
      <c r="AA1279" s="264"/>
    </row>
    <row r="1280" spans="27:27">
      <c r="AA1280" s="264"/>
    </row>
    <row r="1281" spans="27:27">
      <c r="AA1281" s="126"/>
    </row>
    <row r="1282" spans="27:27">
      <c r="AA1282" s="264"/>
    </row>
    <row r="1283" spans="27:27">
      <c r="AA1283" s="126"/>
    </row>
    <row r="1284" spans="27:27">
      <c r="AA1284" s="126"/>
    </row>
    <row r="1285" spans="27:27">
      <c r="AA1285" s="126"/>
    </row>
    <row r="1286" spans="27:27">
      <c r="AA1286" s="126"/>
    </row>
    <row r="1287" spans="27:27">
      <c r="AA1287" s="126"/>
    </row>
    <row r="1288" spans="27:27">
      <c r="AA1288" s="126"/>
    </row>
    <row r="1289" spans="27:27">
      <c r="AA1289" s="126"/>
    </row>
    <row r="1290" spans="27:27">
      <c r="AA1290" s="264"/>
    </row>
    <row r="1291" spans="27:27">
      <c r="AA1291" s="126"/>
    </row>
    <row r="1292" spans="27:27">
      <c r="AA1292" s="126"/>
    </row>
    <row r="1293" spans="27:27">
      <c r="AA1293" s="126"/>
    </row>
    <row r="1294" spans="27:27">
      <c r="AA1294" s="126"/>
    </row>
    <row r="1295" spans="27:27">
      <c r="AA1295" s="126"/>
    </row>
    <row r="1296" spans="27:27">
      <c r="AA1296" s="126"/>
    </row>
    <row r="1297" spans="27:27">
      <c r="AA1297" s="126"/>
    </row>
    <row r="1298" spans="27:27">
      <c r="AA1298" s="126"/>
    </row>
    <row r="1299" spans="27:27">
      <c r="AA1299" s="126"/>
    </row>
    <row r="1300" spans="27:27">
      <c r="AA1300" s="126"/>
    </row>
    <row r="1301" spans="27:27">
      <c r="AA1301" s="126"/>
    </row>
    <row r="1302" spans="27:27">
      <c r="AA1302" s="127"/>
    </row>
    <row r="1303" spans="27:27">
      <c r="AA1303" s="126"/>
    </row>
    <row r="1304" spans="27:27">
      <c r="AA1304" s="126"/>
    </row>
    <row r="1305" spans="27:27">
      <c r="AA1305" s="126"/>
    </row>
    <row r="1306" spans="27:27">
      <c r="AA1306" s="126"/>
    </row>
    <row r="1307" spans="27:27">
      <c r="AA1307" s="126"/>
    </row>
    <row r="1308" spans="27:27">
      <c r="AA1308" s="126"/>
    </row>
    <row r="1309" spans="27:27">
      <c r="AA1309" s="126"/>
    </row>
    <row r="1310" spans="27:27">
      <c r="AA1310" s="264"/>
    </row>
    <row r="1311" spans="27:27">
      <c r="AA1311" s="126"/>
    </row>
    <row r="1312" spans="27:27">
      <c r="AA1312" s="126"/>
    </row>
    <row r="1313" spans="27:27">
      <c r="AA1313" s="126"/>
    </row>
    <row r="1314" spans="27:27">
      <c r="AA1314" s="126"/>
    </row>
    <row r="1315" spans="27:27">
      <c r="AA1315" s="126"/>
    </row>
    <row r="1316" spans="27:27">
      <c r="AA1316" s="126"/>
    </row>
    <row r="1317" spans="27:27">
      <c r="AA1317" s="126"/>
    </row>
    <row r="1318" spans="27:27">
      <c r="AA1318" s="126"/>
    </row>
    <row r="1319" spans="27:27">
      <c r="AA1319" s="126"/>
    </row>
    <row r="1320" spans="27:27">
      <c r="AA1320" s="126"/>
    </row>
    <row r="1321" spans="27:27">
      <c r="AA1321" s="126"/>
    </row>
    <row r="1322" spans="27:27">
      <c r="AA1322" s="126"/>
    </row>
    <row r="1323" spans="27:27">
      <c r="AA1323" s="126"/>
    </row>
    <row r="1324" spans="27:27">
      <c r="AA1324" s="126"/>
    </row>
    <row r="1325" spans="27:27">
      <c r="AA1325" s="264"/>
    </row>
    <row r="1326" spans="27:27">
      <c r="AA1326" s="264"/>
    </row>
    <row r="1327" spans="27:27">
      <c r="AA1327" s="126"/>
    </row>
    <row r="1328" spans="27:27">
      <c r="AA1328" s="126"/>
    </row>
    <row r="1329" spans="27:27">
      <c r="AA1329" s="126"/>
    </row>
    <row r="1330" spans="27:27">
      <c r="AA1330" s="126"/>
    </row>
    <row r="1331" spans="27:27">
      <c r="AA1331" s="126"/>
    </row>
    <row r="1332" spans="27:27">
      <c r="AA1332" s="126"/>
    </row>
    <row r="1333" spans="27:27">
      <c r="AA1333" s="126"/>
    </row>
    <row r="1334" spans="27:27">
      <c r="AA1334" s="126"/>
    </row>
    <row r="1335" spans="27:27">
      <c r="AA1335" s="126"/>
    </row>
    <row r="1336" spans="27:27">
      <c r="AA1336" s="264"/>
    </row>
    <row r="1337" spans="27:27">
      <c r="AA1337" s="126"/>
    </row>
    <row r="1338" spans="27:27">
      <c r="AA1338" s="126"/>
    </row>
    <row r="1339" spans="27:27">
      <c r="AA1339" s="126"/>
    </row>
    <row r="1340" spans="27:27">
      <c r="AA1340" s="126"/>
    </row>
    <row r="1341" spans="27:27">
      <c r="AA1341" s="126"/>
    </row>
    <row r="1342" spans="27:27">
      <c r="AA1342" s="126"/>
    </row>
    <row r="1343" spans="27:27">
      <c r="AA1343" s="123"/>
    </row>
    <row r="1344" spans="27:27">
      <c r="AA1344" s="126"/>
    </row>
    <row r="1346" spans="27:27">
      <c r="AA1346" s="126"/>
    </row>
    <row r="1347" spans="27:27">
      <c r="AA1347" s="264"/>
    </row>
    <row r="1348" spans="27:27">
      <c r="AA1348" s="126"/>
    </row>
    <row r="1349" spans="27:27">
      <c r="AA1349" s="126"/>
    </row>
    <row r="1350" spans="27:27">
      <c r="AA1350" s="126"/>
    </row>
    <row r="1351" spans="27:27">
      <c r="AA1351" s="126"/>
    </row>
    <row r="1352" spans="27:27">
      <c r="AA1352" s="126"/>
    </row>
    <row r="1353" spans="27:27">
      <c r="AA1353" s="126"/>
    </row>
    <row r="1354" spans="27:27">
      <c r="AA1354" s="126"/>
    </row>
    <row r="1355" spans="27:27">
      <c r="AA1355" s="126"/>
    </row>
    <row r="1356" spans="27:27">
      <c r="AA1356" s="126"/>
    </row>
    <row r="1357" spans="27:27">
      <c r="AA1357" s="126"/>
    </row>
    <row r="1358" spans="27:27">
      <c r="AA1358" s="126"/>
    </row>
    <row r="1359" spans="27:27">
      <c r="AA1359" s="126"/>
    </row>
    <row r="1360" spans="27:27">
      <c r="AA1360" s="126"/>
    </row>
    <row r="1361" spans="27:27">
      <c r="AA1361" s="126"/>
    </row>
    <row r="1362" spans="27:27">
      <c r="AA1362" s="126"/>
    </row>
    <row r="1363" spans="27:27">
      <c r="AA1363" s="126"/>
    </row>
    <row r="1364" spans="27:27">
      <c r="AA1364" s="126"/>
    </row>
    <row r="1365" spans="27:27">
      <c r="AA1365" s="126"/>
    </row>
    <row r="1366" spans="27:27">
      <c r="AA1366" s="126"/>
    </row>
    <row r="1367" spans="27:27">
      <c r="AA1367" s="126"/>
    </row>
    <row r="1368" spans="27:27">
      <c r="AA1368" s="126"/>
    </row>
    <row r="1369" spans="27:27">
      <c r="AA1369" s="126"/>
    </row>
    <row r="1370" spans="27:27">
      <c r="AA1370" s="126"/>
    </row>
    <row r="1372" spans="27:27">
      <c r="AA1372" s="126"/>
    </row>
    <row r="1373" spans="27:27">
      <c r="AA1373" s="126"/>
    </row>
    <row r="1374" spans="27:27">
      <c r="AA1374" s="126"/>
    </row>
    <row r="1375" spans="27:27">
      <c r="AA1375" s="126"/>
    </row>
    <row r="1376" spans="27:27">
      <c r="AA1376" s="126"/>
    </row>
    <row r="1377" spans="1:33">
      <c r="AA1377" s="126"/>
    </row>
    <row r="1378" spans="1:33">
      <c r="AA1378" s="126"/>
    </row>
    <row r="1379" spans="1:33">
      <c r="AA1379" s="126"/>
    </row>
    <row r="1380" spans="1:33">
      <c r="AA1380" s="51"/>
    </row>
    <row r="1381" spans="1:33">
      <c r="AA1381" s="126"/>
    </row>
    <row r="1382" spans="1:33">
      <c r="AA1382" s="126"/>
    </row>
    <row r="1383" spans="1:33">
      <c r="AA1383" s="126"/>
    </row>
    <row r="1384" spans="1:33">
      <c r="AA1384" s="126"/>
    </row>
    <row r="1385" spans="1:33">
      <c r="AA1385" s="126"/>
    </row>
    <row r="1386" spans="1:33">
      <c r="AA1386" s="126"/>
    </row>
    <row r="1387" spans="1:33">
      <c r="AA1387" s="126"/>
    </row>
    <row r="1388" spans="1:33">
      <c r="AA1388" s="126"/>
    </row>
    <row r="1389" spans="1:33">
      <c r="AA1389" s="126"/>
    </row>
    <row r="1390" spans="1:33" ht="26.25">
      <c r="A1390" s="264"/>
      <c r="B1390" s="264"/>
      <c r="C1390" s="264"/>
      <c r="D1390" s="264"/>
      <c r="E1390" s="264"/>
      <c r="F1390" s="264"/>
      <c r="H1390" s="264"/>
      <c r="I1390" s="264"/>
      <c r="J1390" s="327"/>
      <c r="K1390" s="327"/>
      <c r="L1390" s="327"/>
      <c r="M1390" s="321"/>
      <c r="N1390" s="321"/>
      <c r="P1390" s="381"/>
      <c r="R1390" s="392"/>
      <c r="S1390" s="61" ph="1"/>
      <c r="U1390" s="229"/>
      <c r="X1390" s="264"/>
      <c r="Y1390" s="264"/>
      <c r="Z1390" s="386"/>
      <c r="AA1390" s="126"/>
      <c r="AD1390" s="264"/>
      <c r="AE1390" s="264"/>
      <c r="AF1390" s="264"/>
      <c r="AG1390" s="7"/>
    </row>
    <row r="1391" spans="1:33">
      <c r="A1391" s="264"/>
      <c r="V1391" s="264"/>
      <c r="W1391" s="199"/>
      <c r="AA1391" s="264"/>
    </row>
    <row r="1392" spans="1:33">
      <c r="AA1392" s="26"/>
    </row>
    <row r="1393" spans="1:33">
      <c r="AA1393" s="264"/>
    </row>
    <row r="1394" spans="1:33">
      <c r="AA1394" s="126"/>
    </row>
    <row r="1395" spans="1:33">
      <c r="AA1395" s="126"/>
    </row>
    <row r="1396" spans="1:33">
      <c r="AA1396" s="126"/>
    </row>
    <row r="1397" spans="1:33">
      <c r="A1397" s="264"/>
      <c r="G1397" s="264"/>
      <c r="AA1397" s="126"/>
    </row>
    <row r="1398" spans="1:33">
      <c r="AA1398" s="126"/>
    </row>
    <row r="1399" spans="1:33">
      <c r="AA1399" s="126"/>
    </row>
    <row r="1400" spans="1:33" ht="26.25">
      <c r="A1400" s="264"/>
      <c r="B1400" s="264"/>
      <c r="C1400" s="264"/>
      <c r="D1400" s="264"/>
      <c r="E1400" s="264"/>
      <c r="F1400" s="264"/>
      <c r="H1400" s="264"/>
      <c r="I1400" s="264"/>
      <c r="J1400" s="327"/>
      <c r="K1400" s="327"/>
      <c r="L1400" s="327"/>
      <c r="M1400" s="321"/>
      <c r="N1400" s="321"/>
      <c r="P1400" s="381"/>
      <c r="R1400" s="392"/>
      <c r="S1400" s="61" ph="1"/>
      <c r="U1400" s="229"/>
      <c r="X1400" s="264"/>
      <c r="Y1400" s="264"/>
      <c r="Z1400" s="386"/>
      <c r="AA1400" s="126"/>
      <c r="AD1400" s="264"/>
      <c r="AE1400" s="264"/>
      <c r="AF1400" s="264"/>
      <c r="AG1400" s="7"/>
    </row>
    <row r="1401" spans="1:33">
      <c r="A1401" s="264"/>
      <c r="V1401" s="264"/>
      <c r="W1401" s="199"/>
      <c r="AA1401" s="126"/>
    </row>
    <row r="1402" spans="1:33">
      <c r="O1402" s="364"/>
      <c r="AA1402" s="126"/>
    </row>
    <row r="1403" spans="1:33">
      <c r="AA1403" s="126"/>
    </row>
    <row r="1404" spans="1:33" ht="26.25">
      <c r="A1404" s="264"/>
      <c r="B1404" s="264"/>
      <c r="C1404" s="264"/>
      <c r="D1404" s="264"/>
      <c r="E1404" s="264"/>
      <c r="F1404" s="264"/>
      <c r="H1404" s="264"/>
      <c r="I1404" s="264"/>
      <c r="J1404" s="327"/>
      <c r="K1404" s="327"/>
      <c r="L1404" s="327"/>
      <c r="M1404" s="321"/>
      <c r="N1404" s="321"/>
      <c r="P1404" s="381"/>
      <c r="R1404" s="392"/>
      <c r="S1404" s="61" ph="1"/>
      <c r="U1404" s="229"/>
      <c r="X1404" s="264"/>
      <c r="Y1404" s="264"/>
      <c r="Z1404" s="386"/>
      <c r="AA1404" s="126"/>
      <c r="AD1404" s="264"/>
      <c r="AE1404" s="264"/>
      <c r="AF1404" s="264"/>
      <c r="AG1404" s="7"/>
    </row>
    <row r="1405" spans="1:33">
      <c r="A1405" s="264"/>
      <c r="V1405" s="264"/>
      <c r="W1405" s="199"/>
      <c r="AA1405" s="126"/>
    </row>
    <row r="1406" spans="1:33">
      <c r="AA1406" s="126"/>
    </row>
    <row r="1407" spans="1:33">
      <c r="A1407" s="264"/>
      <c r="G1407" s="264"/>
      <c r="AA1407" s="126"/>
    </row>
    <row r="1408" spans="1:33">
      <c r="AA1408" s="126"/>
    </row>
    <row r="1409" spans="1:33" ht="26.25">
      <c r="A1409" s="264"/>
      <c r="B1409" s="264"/>
      <c r="C1409" s="264"/>
      <c r="D1409" s="264"/>
      <c r="E1409" s="264"/>
      <c r="F1409" s="264"/>
      <c r="H1409" s="264"/>
      <c r="I1409" s="264"/>
      <c r="J1409" s="327"/>
      <c r="K1409" s="327"/>
      <c r="L1409" s="327"/>
      <c r="M1409" s="321"/>
      <c r="N1409" s="321"/>
      <c r="P1409" s="381"/>
      <c r="R1409" s="392"/>
      <c r="S1409" s="61" ph="1"/>
      <c r="U1409" s="229"/>
      <c r="X1409" s="264"/>
      <c r="Y1409" s="264"/>
      <c r="Z1409" s="386"/>
      <c r="AA1409" s="126"/>
      <c r="AD1409" s="264"/>
      <c r="AE1409" s="264"/>
      <c r="AF1409" s="264"/>
      <c r="AG1409" s="7"/>
    </row>
    <row r="1410" spans="1:33" ht="26.25">
      <c r="A1410" s="264"/>
      <c r="B1410" s="264"/>
      <c r="C1410" s="264"/>
      <c r="D1410" s="264"/>
      <c r="E1410" s="264"/>
      <c r="F1410" s="264"/>
      <c r="H1410" s="264"/>
      <c r="I1410" s="264"/>
      <c r="J1410" s="327"/>
      <c r="K1410" s="327"/>
      <c r="L1410" s="327"/>
      <c r="M1410" s="321"/>
      <c r="N1410" s="321"/>
      <c r="P1410" s="381"/>
      <c r="R1410" s="392"/>
      <c r="S1410" s="61" ph="1"/>
      <c r="U1410" s="229"/>
      <c r="V1410" s="264"/>
      <c r="W1410" s="199"/>
      <c r="X1410" s="264"/>
      <c r="Y1410" s="264"/>
      <c r="Z1410" s="386"/>
      <c r="AA1410" s="126"/>
      <c r="AD1410" s="264"/>
      <c r="AE1410" s="264"/>
      <c r="AF1410" s="264"/>
      <c r="AG1410" s="7"/>
    </row>
    <row r="1411" spans="1:33" ht="26.25">
      <c r="A1411" s="264"/>
      <c r="B1411" s="264"/>
      <c r="C1411" s="264"/>
      <c r="D1411" s="264"/>
      <c r="E1411" s="264"/>
      <c r="F1411" s="264"/>
      <c r="G1411" s="264"/>
      <c r="H1411" s="264"/>
      <c r="I1411" s="264"/>
      <c r="J1411" s="327"/>
      <c r="K1411" s="327"/>
      <c r="L1411" s="327"/>
      <c r="M1411" s="321"/>
      <c r="N1411" s="321"/>
      <c r="P1411" s="381"/>
      <c r="R1411" s="392"/>
      <c r="S1411" s="61" ph="1"/>
      <c r="U1411" s="229"/>
      <c r="V1411" s="264"/>
      <c r="W1411" s="199"/>
      <c r="X1411" s="264"/>
      <c r="Y1411" s="264"/>
      <c r="Z1411" s="386"/>
      <c r="AA1411" s="126"/>
      <c r="AD1411" s="264"/>
      <c r="AE1411" s="264"/>
      <c r="AF1411" s="264"/>
      <c r="AG1411" s="7"/>
    </row>
    <row r="1412" spans="1:33">
      <c r="A1412" s="264"/>
      <c r="O1412" s="364"/>
      <c r="V1412" s="264"/>
      <c r="W1412" s="199"/>
      <c r="AA1412" s="126"/>
    </row>
    <row r="1413" spans="1:33" ht="26.25">
      <c r="A1413" s="264"/>
      <c r="B1413" s="264"/>
      <c r="C1413" s="264"/>
      <c r="D1413" s="264"/>
      <c r="E1413" s="264"/>
      <c r="F1413" s="264"/>
      <c r="H1413" s="264"/>
      <c r="I1413" s="264"/>
      <c r="J1413" s="327"/>
      <c r="K1413" s="327"/>
      <c r="L1413" s="327"/>
      <c r="M1413" s="321"/>
      <c r="N1413" s="321"/>
      <c r="P1413" s="381"/>
      <c r="R1413" s="392"/>
      <c r="S1413" s="61" ph="1"/>
      <c r="U1413" s="229"/>
      <c r="X1413" s="264"/>
      <c r="Y1413" s="264"/>
      <c r="Z1413" s="386"/>
      <c r="AA1413" s="126"/>
      <c r="AD1413" s="264"/>
      <c r="AE1413" s="264"/>
      <c r="AF1413" s="264"/>
      <c r="AG1413" s="7"/>
    </row>
    <row r="1414" spans="1:33" ht="26.25">
      <c r="A1414" s="264"/>
      <c r="B1414" s="264"/>
      <c r="C1414" s="264"/>
      <c r="D1414" s="264"/>
      <c r="E1414" s="264"/>
      <c r="F1414" s="264"/>
      <c r="H1414" s="264"/>
      <c r="I1414" s="264"/>
      <c r="J1414" s="327"/>
      <c r="K1414" s="327"/>
      <c r="L1414" s="327"/>
      <c r="M1414" s="321"/>
      <c r="N1414" s="321"/>
      <c r="P1414" s="381"/>
      <c r="R1414" s="392"/>
      <c r="S1414" s="61" ph="1"/>
      <c r="U1414" s="229"/>
      <c r="V1414" s="264"/>
      <c r="W1414" s="199"/>
      <c r="X1414" s="264"/>
      <c r="Y1414" s="264"/>
      <c r="Z1414" s="386"/>
      <c r="AA1414" s="126"/>
      <c r="AD1414" s="264"/>
      <c r="AE1414" s="264"/>
      <c r="AF1414" s="264"/>
      <c r="AG1414" s="7"/>
    </row>
    <row r="1415" spans="1:33">
      <c r="A1415" s="264"/>
      <c r="V1415" s="264"/>
      <c r="W1415" s="199"/>
      <c r="AA1415" s="264"/>
    </row>
    <row r="1416" spans="1:33" ht="26.25">
      <c r="A1416" s="264"/>
      <c r="B1416" s="264"/>
      <c r="C1416" s="264"/>
      <c r="D1416" s="264"/>
      <c r="E1416" s="264"/>
      <c r="F1416" s="264"/>
      <c r="G1416" s="264"/>
      <c r="H1416" s="264"/>
      <c r="I1416" s="264"/>
      <c r="J1416" s="327"/>
      <c r="K1416" s="327"/>
      <c r="L1416" s="327"/>
      <c r="M1416" s="321"/>
      <c r="N1416" s="321"/>
      <c r="O1416" s="364"/>
      <c r="P1416" s="381"/>
      <c r="R1416" s="392"/>
      <c r="S1416" s="61" ph="1"/>
      <c r="U1416" s="229"/>
      <c r="X1416" s="264"/>
      <c r="Y1416" s="264"/>
      <c r="Z1416" s="386"/>
      <c r="AA1416" s="264"/>
      <c r="AD1416" s="264"/>
      <c r="AE1416" s="264"/>
      <c r="AF1416" s="264"/>
      <c r="AG1416" s="7"/>
    </row>
    <row r="1417" spans="1:33">
      <c r="A1417" s="264"/>
      <c r="G1417" s="264"/>
      <c r="V1417" s="264"/>
      <c r="W1417" s="199"/>
      <c r="AA1417" s="27"/>
    </row>
    <row r="1418" spans="1:33" ht="26.25">
      <c r="A1418" s="264"/>
      <c r="B1418" s="264"/>
      <c r="C1418" s="264"/>
      <c r="D1418" s="264"/>
      <c r="E1418" s="264"/>
      <c r="F1418" s="264"/>
      <c r="G1418" s="264"/>
      <c r="H1418" s="264"/>
      <c r="I1418" s="264"/>
      <c r="J1418" s="327"/>
      <c r="K1418" s="327"/>
      <c r="L1418" s="327"/>
      <c r="M1418" s="321"/>
      <c r="N1418" s="321"/>
      <c r="P1418" s="381"/>
      <c r="R1418" s="392"/>
      <c r="S1418" s="61" ph="1"/>
      <c r="U1418" s="229"/>
      <c r="X1418" s="264"/>
      <c r="Y1418" s="264"/>
      <c r="Z1418" s="386"/>
      <c r="AA1418" s="126"/>
      <c r="AD1418" s="264"/>
      <c r="AE1418" s="264"/>
      <c r="AF1418" s="264"/>
      <c r="AG1418" s="7"/>
    </row>
    <row r="1419" spans="1:33" ht="26.25">
      <c r="A1419" s="264"/>
      <c r="B1419" s="264"/>
      <c r="C1419" s="264"/>
      <c r="D1419" s="264"/>
      <c r="E1419" s="264"/>
      <c r="F1419" s="264"/>
      <c r="H1419" s="264"/>
      <c r="I1419" s="264"/>
      <c r="J1419" s="327"/>
      <c r="K1419" s="327"/>
      <c r="L1419" s="327"/>
      <c r="M1419" s="321"/>
      <c r="N1419" s="321"/>
      <c r="P1419" s="381"/>
      <c r="R1419" s="392"/>
      <c r="S1419" s="61" ph="1"/>
      <c r="U1419" s="229"/>
      <c r="V1419" s="264"/>
      <c r="W1419" s="199"/>
      <c r="X1419" s="264"/>
      <c r="Y1419" s="264"/>
      <c r="Z1419" s="386"/>
      <c r="AA1419" s="126"/>
      <c r="AD1419" s="264"/>
      <c r="AE1419" s="264"/>
      <c r="AF1419" s="264"/>
      <c r="AG1419" s="7"/>
    </row>
    <row r="1420" spans="1:33" ht="26.25">
      <c r="A1420" s="264"/>
      <c r="B1420" s="264"/>
      <c r="C1420" s="264"/>
      <c r="D1420" s="264"/>
      <c r="E1420" s="264"/>
      <c r="F1420" s="264"/>
      <c r="G1420" s="264"/>
      <c r="H1420" s="264"/>
      <c r="I1420" s="264"/>
      <c r="J1420" s="327"/>
      <c r="K1420" s="327"/>
      <c r="L1420" s="327"/>
      <c r="M1420" s="321"/>
      <c r="N1420" s="321"/>
      <c r="P1420" s="381"/>
      <c r="R1420" s="392"/>
      <c r="S1420" s="61" ph="1"/>
      <c r="U1420" s="229"/>
      <c r="V1420" s="264"/>
      <c r="W1420" s="199"/>
      <c r="X1420" s="264"/>
      <c r="Y1420" s="264"/>
      <c r="Z1420" s="386"/>
      <c r="AA1420" s="126"/>
      <c r="AD1420" s="264"/>
      <c r="AE1420" s="264"/>
      <c r="AF1420" s="264"/>
      <c r="AG1420" s="7"/>
    </row>
    <row r="1421" spans="1:33" ht="26.25">
      <c r="A1421" s="264"/>
      <c r="B1421" s="264"/>
      <c r="C1421" s="264"/>
      <c r="D1421" s="264"/>
      <c r="E1421" s="264"/>
      <c r="F1421" s="264"/>
      <c r="G1421" s="264"/>
      <c r="H1421" s="264"/>
      <c r="I1421" s="264"/>
      <c r="J1421" s="327"/>
      <c r="K1421" s="327"/>
      <c r="L1421" s="327"/>
      <c r="M1421" s="321"/>
      <c r="N1421" s="321"/>
      <c r="O1421" s="364"/>
      <c r="P1421" s="381"/>
      <c r="R1421" s="392"/>
      <c r="S1421" s="61" ph="1"/>
      <c r="U1421" s="229"/>
      <c r="V1421" s="264"/>
      <c r="W1421" s="199"/>
      <c r="X1421" s="264"/>
      <c r="Y1421" s="264"/>
      <c r="Z1421" s="386"/>
      <c r="AA1421" s="126"/>
      <c r="AD1421" s="264"/>
      <c r="AE1421" s="264"/>
      <c r="AF1421" s="264"/>
      <c r="AG1421" s="7"/>
    </row>
    <row r="1422" spans="1:33" ht="26.25">
      <c r="A1422" s="264"/>
      <c r="B1422" s="264"/>
      <c r="C1422" s="264"/>
      <c r="D1422" s="264"/>
      <c r="E1422" s="264"/>
      <c r="F1422" s="264"/>
      <c r="H1422" s="264"/>
      <c r="I1422" s="264"/>
      <c r="J1422" s="327"/>
      <c r="K1422" s="327"/>
      <c r="L1422" s="327"/>
      <c r="M1422" s="321"/>
      <c r="N1422" s="321"/>
      <c r="O1422" s="364"/>
      <c r="P1422" s="381"/>
      <c r="R1422" s="392"/>
      <c r="S1422" s="61" ph="1"/>
      <c r="U1422" s="229"/>
      <c r="V1422" s="264"/>
      <c r="W1422" s="199"/>
      <c r="X1422" s="264"/>
      <c r="Y1422" s="264"/>
      <c r="Z1422" s="386"/>
      <c r="AA1422" s="126"/>
      <c r="AD1422" s="264"/>
      <c r="AE1422" s="264"/>
      <c r="AF1422" s="264"/>
      <c r="AG1422" s="7"/>
    </row>
    <row r="1423" spans="1:33" ht="26.25">
      <c r="A1423" s="264"/>
      <c r="B1423" s="264"/>
      <c r="C1423" s="264"/>
      <c r="D1423" s="264"/>
      <c r="E1423" s="264"/>
      <c r="F1423" s="264"/>
      <c r="G1423" s="264"/>
      <c r="H1423" s="264"/>
      <c r="I1423" s="264"/>
      <c r="J1423" s="327"/>
      <c r="K1423" s="327"/>
      <c r="L1423" s="327"/>
      <c r="M1423" s="321"/>
      <c r="N1423" s="321"/>
      <c r="O1423" s="364"/>
      <c r="P1423" s="381"/>
      <c r="R1423" s="392"/>
      <c r="S1423" s="61" ph="1"/>
      <c r="U1423" s="229"/>
      <c r="V1423" s="264"/>
      <c r="W1423" s="199"/>
      <c r="X1423" s="264"/>
      <c r="Y1423" s="264"/>
      <c r="Z1423" s="386"/>
      <c r="AA1423" s="126"/>
      <c r="AD1423" s="264"/>
      <c r="AE1423" s="264"/>
      <c r="AF1423" s="264"/>
      <c r="AG1423" s="7"/>
    </row>
    <row r="1424" spans="1:33" ht="26.25">
      <c r="A1424" s="264"/>
      <c r="B1424" s="264"/>
      <c r="C1424" s="264"/>
      <c r="D1424" s="264"/>
      <c r="E1424" s="264"/>
      <c r="F1424" s="264"/>
      <c r="H1424" s="264"/>
      <c r="I1424" s="264"/>
      <c r="J1424" s="327"/>
      <c r="K1424" s="327"/>
      <c r="L1424" s="327"/>
      <c r="M1424" s="321"/>
      <c r="N1424" s="321"/>
      <c r="P1424" s="381"/>
      <c r="R1424" s="392"/>
      <c r="S1424" s="61" ph="1"/>
      <c r="U1424" s="229"/>
      <c r="V1424" s="264"/>
      <c r="W1424" s="199"/>
      <c r="X1424" s="264"/>
      <c r="Y1424" s="264"/>
      <c r="Z1424" s="386"/>
      <c r="AA1424" s="126"/>
      <c r="AD1424" s="264"/>
      <c r="AE1424" s="264"/>
      <c r="AF1424" s="264"/>
      <c r="AG1424" s="7"/>
    </row>
    <row r="1425" spans="1:33" ht="26.25">
      <c r="A1425" s="264"/>
      <c r="B1425" s="264"/>
      <c r="C1425" s="264"/>
      <c r="D1425" s="264"/>
      <c r="E1425" s="264"/>
      <c r="F1425" s="264"/>
      <c r="G1425" s="264"/>
      <c r="H1425" s="264"/>
      <c r="I1425" s="264"/>
      <c r="J1425" s="327"/>
      <c r="K1425" s="327"/>
      <c r="L1425" s="327"/>
      <c r="M1425" s="321"/>
      <c r="N1425" s="321"/>
      <c r="O1425" s="364"/>
      <c r="P1425" s="381"/>
      <c r="R1425" s="392"/>
      <c r="S1425" s="61" ph="1"/>
      <c r="U1425" s="229"/>
      <c r="V1425" s="264"/>
      <c r="W1425" s="199"/>
      <c r="X1425" s="264"/>
      <c r="Y1425" s="264"/>
      <c r="Z1425" s="386"/>
      <c r="AA1425" s="126"/>
      <c r="AD1425" s="264"/>
      <c r="AE1425" s="264"/>
      <c r="AF1425" s="264"/>
      <c r="AG1425" s="7"/>
    </row>
    <row r="1426" spans="1:33" ht="26.25">
      <c r="A1426" s="264"/>
      <c r="G1426" s="264"/>
      <c r="O1426" s="364"/>
      <c r="S1426" s="61" ph="1"/>
      <c r="V1426" s="264"/>
      <c r="W1426" s="199"/>
      <c r="AA1426" s="126"/>
    </row>
    <row r="1427" spans="1:33" ht="26.25">
      <c r="A1427" s="264"/>
      <c r="G1427" s="264"/>
      <c r="S1427" s="61" ph="1"/>
      <c r="AA1427" s="126"/>
    </row>
    <row r="1428" spans="1:33">
      <c r="A1428" s="264"/>
      <c r="G1428" s="264"/>
      <c r="O1428" s="364"/>
      <c r="AA1428" s="126"/>
    </row>
    <row r="1429" spans="1:33" ht="26.25">
      <c r="A1429" s="264"/>
      <c r="G1429" s="264"/>
      <c r="S1429" s="61" ph="1"/>
      <c r="AA1429" s="126"/>
    </row>
    <row r="1430" spans="1:33" ht="26.25">
      <c r="A1430" s="264"/>
      <c r="G1430" s="264"/>
      <c r="O1430" s="364"/>
      <c r="S1430" s="61" ph="1"/>
      <c r="AA1430" s="126"/>
    </row>
    <row r="1431" spans="1:33" ht="26.25">
      <c r="A1431" s="264"/>
      <c r="G1431" s="264"/>
      <c r="O1431" s="364"/>
      <c r="S1431" s="61" ph="1"/>
      <c r="AA1431" s="264"/>
    </row>
    <row r="1432" spans="1:33" ht="26.25">
      <c r="A1432" s="264"/>
      <c r="G1432" s="264"/>
      <c r="O1432" s="364"/>
      <c r="S1432" s="61" ph="1"/>
      <c r="AA1432" s="126"/>
    </row>
    <row r="1433" spans="1:33" ht="26.25">
      <c r="A1433" s="264"/>
      <c r="O1433" s="364"/>
      <c r="S1433" s="61" ph="1"/>
      <c r="AA1433" s="126"/>
    </row>
    <row r="1434" spans="1:33" ht="26.25">
      <c r="A1434" s="264"/>
      <c r="B1434" s="264"/>
      <c r="C1434" s="264"/>
      <c r="D1434" s="264"/>
      <c r="E1434" s="264"/>
      <c r="F1434" s="264"/>
      <c r="G1434" s="264"/>
      <c r="H1434" s="264"/>
      <c r="I1434" s="264"/>
      <c r="J1434" s="327"/>
      <c r="K1434" s="327"/>
      <c r="L1434" s="327"/>
      <c r="M1434" s="321"/>
      <c r="N1434" s="321"/>
      <c r="O1434" s="364"/>
      <c r="P1434" s="381"/>
      <c r="R1434" s="392"/>
      <c r="S1434" s="61" ph="1"/>
      <c r="U1434" s="229"/>
      <c r="V1434" s="264"/>
      <c r="W1434" s="199"/>
      <c r="X1434" s="264"/>
      <c r="Y1434" s="264"/>
      <c r="Z1434" s="386"/>
      <c r="AA1434" s="126"/>
      <c r="AD1434" s="264"/>
      <c r="AE1434" s="264"/>
      <c r="AF1434" s="264"/>
      <c r="AG1434" s="264"/>
    </row>
    <row r="1435" spans="1:33" ht="26.25">
      <c r="A1435" s="264"/>
      <c r="B1435" s="264"/>
      <c r="C1435" s="264"/>
      <c r="D1435" s="264"/>
      <c r="E1435" s="264"/>
      <c r="F1435" s="264"/>
      <c r="G1435" s="264"/>
      <c r="H1435" s="264"/>
      <c r="I1435" s="264"/>
      <c r="J1435" s="327"/>
      <c r="K1435" s="327"/>
      <c r="L1435" s="327"/>
      <c r="M1435" s="321"/>
      <c r="N1435" s="321"/>
      <c r="O1435" s="364"/>
      <c r="P1435" s="381"/>
      <c r="R1435" s="392"/>
      <c r="S1435" s="61" ph="1"/>
      <c r="U1435" s="229"/>
      <c r="V1435" s="264"/>
      <c r="W1435" s="199"/>
      <c r="X1435" s="264"/>
      <c r="Y1435" s="264"/>
      <c r="Z1435" s="386"/>
      <c r="AA1435" s="126"/>
      <c r="AD1435" s="264"/>
      <c r="AE1435" s="264"/>
      <c r="AF1435" s="264"/>
      <c r="AG1435" s="264"/>
    </row>
    <row r="1436" spans="1:33" ht="26.25">
      <c r="A1436" s="264"/>
      <c r="B1436" s="264"/>
      <c r="C1436" s="264"/>
      <c r="D1436" s="264"/>
      <c r="E1436" s="264"/>
      <c r="F1436" s="264"/>
      <c r="G1436" s="264"/>
      <c r="H1436" s="264"/>
      <c r="I1436" s="264"/>
      <c r="J1436" s="327"/>
      <c r="K1436" s="327"/>
      <c r="L1436" s="327"/>
      <c r="M1436" s="321"/>
      <c r="N1436" s="321"/>
      <c r="O1436" s="364"/>
      <c r="P1436" s="381"/>
      <c r="R1436" s="392"/>
      <c r="S1436" s="61" ph="1"/>
      <c r="U1436" s="229"/>
      <c r="V1436" s="264"/>
      <c r="W1436" s="199"/>
      <c r="X1436" s="264"/>
      <c r="Y1436" s="264"/>
      <c r="Z1436" s="386"/>
      <c r="AA1436" s="126"/>
      <c r="AD1436" s="264"/>
      <c r="AE1436" s="264"/>
      <c r="AF1436" s="264"/>
      <c r="AG1436" s="264"/>
    </row>
    <row r="1437" spans="1:33">
      <c r="O1437" s="364"/>
      <c r="AA1437" s="126"/>
    </row>
    <row r="1438" spans="1:33" ht="26.25">
      <c r="A1438" s="264"/>
      <c r="B1438" s="264"/>
      <c r="C1438" s="264"/>
      <c r="D1438" s="264"/>
      <c r="E1438" s="264"/>
      <c r="F1438" s="264"/>
      <c r="G1438" s="264"/>
      <c r="H1438" s="264"/>
      <c r="I1438" s="264"/>
      <c r="J1438" s="327"/>
      <c r="K1438" s="327"/>
      <c r="L1438" s="327"/>
      <c r="M1438" s="321"/>
      <c r="N1438" s="321"/>
      <c r="P1438" s="381"/>
      <c r="R1438" s="392"/>
      <c r="S1438" s="61" ph="1"/>
      <c r="U1438" s="229"/>
      <c r="V1438" s="264"/>
      <c r="W1438" s="199"/>
      <c r="X1438" s="264"/>
      <c r="Y1438" s="264"/>
      <c r="Z1438" s="386"/>
      <c r="AA1438" s="126"/>
      <c r="AD1438" s="264"/>
      <c r="AE1438" s="264"/>
      <c r="AF1438" s="264"/>
      <c r="AG1438" s="264"/>
    </row>
    <row r="1439" spans="1:33" ht="26.25">
      <c r="A1439" s="264"/>
      <c r="B1439" s="264"/>
      <c r="C1439" s="264"/>
      <c r="D1439" s="264"/>
      <c r="E1439" s="264"/>
      <c r="F1439" s="264"/>
      <c r="G1439" s="264"/>
      <c r="H1439" s="264"/>
      <c r="I1439" s="264"/>
      <c r="J1439" s="327"/>
      <c r="K1439" s="327"/>
      <c r="L1439" s="327"/>
      <c r="M1439" s="321"/>
      <c r="N1439" s="321"/>
      <c r="P1439" s="381"/>
      <c r="R1439" s="392"/>
      <c r="S1439" s="61" ph="1"/>
      <c r="U1439" s="229"/>
      <c r="V1439" s="264"/>
      <c r="W1439" s="199"/>
      <c r="X1439" s="264"/>
      <c r="Y1439" s="264"/>
      <c r="Z1439" s="386"/>
      <c r="AA1439" s="126"/>
      <c r="AD1439" s="264"/>
      <c r="AE1439" s="264"/>
      <c r="AF1439" s="264"/>
      <c r="AG1439" s="264"/>
    </row>
    <row r="1440" spans="1:33" ht="26.25">
      <c r="A1440" s="264"/>
      <c r="B1440" s="264"/>
      <c r="C1440" s="264"/>
      <c r="D1440" s="264"/>
      <c r="E1440" s="264"/>
      <c r="F1440" s="264"/>
      <c r="G1440" s="264"/>
      <c r="H1440" s="264"/>
      <c r="I1440" s="264"/>
      <c r="J1440" s="327"/>
      <c r="K1440" s="327"/>
      <c r="L1440" s="327"/>
      <c r="M1440" s="321"/>
      <c r="N1440" s="321"/>
      <c r="P1440" s="381"/>
      <c r="R1440" s="392"/>
      <c r="S1440" s="61" ph="1"/>
      <c r="U1440" s="229"/>
      <c r="V1440" s="264"/>
      <c r="W1440" s="199"/>
      <c r="X1440" s="264"/>
      <c r="Y1440" s="264"/>
      <c r="Z1440" s="386"/>
      <c r="AA1440" s="126"/>
      <c r="AD1440" s="264"/>
      <c r="AE1440" s="264"/>
      <c r="AF1440" s="264"/>
      <c r="AG1440" s="264"/>
    </row>
    <row r="1441" spans="1:33" ht="26.25">
      <c r="A1441" s="264"/>
      <c r="B1441" s="264"/>
      <c r="C1441" s="264"/>
      <c r="D1441" s="264"/>
      <c r="E1441" s="264"/>
      <c r="F1441" s="264"/>
      <c r="G1441" s="264"/>
      <c r="H1441" s="264"/>
      <c r="I1441" s="264"/>
      <c r="J1441" s="327"/>
      <c r="K1441" s="327"/>
      <c r="L1441" s="327"/>
      <c r="M1441" s="321"/>
      <c r="N1441" s="321"/>
      <c r="P1441" s="381"/>
      <c r="R1441" s="392"/>
      <c r="S1441" s="61" ph="1"/>
      <c r="U1441" s="229"/>
      <c r="V1441" s="264"/>
      <c r="W1441" s="199"/>
      <c r="X1441" s="264"/>
      <c r="Y1441" s="264"/>
      <c r="Z1441" s="386"/>
      <c r="AA1441" s="126"/>
      <c r="AD1441" s="264"/>
      <c r="AE1441" s="264"/>
      <c r="AF1441" s="264"/>
      <c r="AG1441" s="264"/>
    </row>
    <row r="1442" spans="1:33">
      <c r="AA1442" s="126"/>
    </row>
    <row r="1443" spans="1:33">
      <c r="AA1443" s="27"/>
    </row>
    <row r="1444" spans="1:33">
      <c r="AA1444" s="126"/>
    </row>
    <row r="1445" spans="1:33">
      <c r="AA1445" s="126"/>
    </row>
    <row r="1446" spans="1:33">
      <c r="O1446" s="364"/>
      <c r="AA1446" s="126"/>
    </row>
    <row r="1447" spans="1:33">
      <c r="O1447" s="364"/>
      <c r="AA1447" s="126"/>
    </row>
    <row r="1448" spans="1:33">
      <c r="O1448" s="364"/>
      <c r="AA1448" s="126"/>
    </row>
    <row r="1449" spans="1:33">
      <c r="AA1449" s="126"/>
    </row>
    <row r="1450" spans="1:33">
      <c r="O1450" s="364"/>
      <c r="AA1450" s="123"/>
    </row>
    <row r="1451" spans="1:33">
      <c r="O1451" s="364"/>
      <c r="AA1451" s="126"/>
    </row>
    <row r="1452" spans="1:33">
      <c r="O1452" s="364"/>
      <c r="AA1452" s="126"/>
    </row>
    <row r="1453" spans="1:33">
      <c r="O1453" s="364"/>
      <c r="AA1453" s="126"/>
    </row>
    <row r="1454" spans="1:33">
      <c r="AA1454" s="126"/>
    </row>
    <row r="1455" spans="1:33">
      <c r="AA1455" s="126"/>
    </row>
    <row r="1456" spans="1:33">
      <c r="AA1456" s="126"/>
    </row>
    <row r="1457" spans="27:27">
      <c r="AA1457" s="126"/>
    </row>
    <row r="1458" spans="27:27">
      <c r="AA1458" s="126"/>
    </row>
    <row r="1459" spans="27:27">
      <c r="AA1459" s="126"/>
    </row>
    <row r="1460" spans="27:27">
      <c r="AA1460" s="126"/>
    </row>
    <row r="1461" spans="27:27">
      <c r="AA1461" s="126"/>
    </row>
    <row r="1462" spans="27:27">
      <c r="AA1462" s="126"/>
    </row>
    <row r="1463" spans="27:27">
      <c r="AA1463" s="126"/>
    </row>
    <row r="1464" spans="27:27">
      <c r="AA1464" s="126"/>
    </row>
    <row r="1465" spans="27:27">
      <c r="AA1465" s="126"/>
    </row>
    <row r="1466" spans="27:27">
      <c r="AA1466" s="126"/>
    </row>
    <row r="1467" spans="27:27">
      <c r="AA1467" s="126"/>
    </row>
    <row r="1468" spans="27:27">
      <c r="AA1468" s="126"/>
    </row>
    <row r="1469" spans="27:27">
      <c r="AA1469" s="126"/>
    </row>
    <row r="1470" spans="27:27">
      <c r="AA1470" s="126"/>
    </row>
    <row r="1471" spans="27:27">
      <c r="AA1471" s="126"/>
    </row>
    <row r="1472" spans="27:27">
      <c r="AA1472" s="126"/>
    </row>
    <row r="1473" spans="27:27">
      <c r="AA1473" s="126"/>
    </row>
    <row r="1474" spans="27:27">
      <c r="AA1474" s="126"/>
    </row>
    <row r="1475" spans="27:27">
      <c r="AA1475" s="126"/>
    </row>
    <row r="1476" spans="27:27">
      <c r="AA1476" s="126"/>
    </row>
    <row r="1477" spans="27:27">
      <c r="AA1477" s="126"/>
    </row>
    <row r="1478" spans="27:27">
      <c r="AA1478" s="126"/>
    </row>
    <row r="1479" spans="27:27">
      <c r="AA1479" s="126"/>
    </row>
    <row r="1480" spans="27:27">
      <c r="AA1480" s="126"/>
    </row>
    <row r="1481" spans="27:27">
      <c r="AA1481" s="126"/>
    </row>
    <row r="1482" spans="27:27">
      <c r="AA1482" s="126"/>
    </row>
    <row r="1483" spans="27:27">
      <c r="AA1483" s="126"/>
    </row>
    <row r="1484" spans="27:27">
      <c r="AA1484" s="126"/>
    </row>
    <row r="1485" spans="27:27">
      <c r="AA1485" s="126"/>
    </row>
    <row r="1486" spans="27:27">
      <c r="AA1486" s="126"/>
    </row>
    <row r="1487" spans="27:27">
      <c r="AA1487" s="126"/>
    </row>
    <row r="1488" spans="27:27">
      <c r="AA1488" s="126"/>
    </row>
    <row r="1489" spans="27:27">
      <c r="AA1489" s="126"/>
    </row>
    <row r="1490" spans="27:27">
      <c r="AA1490" s="264"/>
    </row>
    <row r="1491" spans="27:27">
      <c r="AA1491" s="126"/>
    </row>
    <row r="1492" spans="27:27">
      <c r="AA1492" s="126"/>
    </row>
    <row r="1493" spans="27:27">
      <c r="AA1493" s="126"/>
    </row>
    <row r="1494" spans="27:27">
      <c r="AA1494" s="126"/>
    </row>
    <row r="1495" spans="27:27">
      <c r="AA1495" s="266"/>
    </row>
    <row r="1496" spans="27:27">
      <c r="AA1496" s="126"/>
    </row>
    <row r="1497" spans="27:27">
      <c r="AA1497" s="126"/>
    </row>
    <row r="1498" spans="27:27">
      <c r="AA1498" s="126"/>
    </row>
    <row r="1499" spans="27:27">
      <c r="AA1499" s="126"/>
    </row>
    <row r="1500" spans="27:27">
      <c r="AA1500" s="126"/>
    </row>
    <row r="1501" spans="27:27">
      <c r="AA1501" s="126"/>
    </row>
    <row r="1502" spans="27:27">
      <c r="AA1502" s="224"/>
    </row>
    <row r="1503" spans="27:27">
      <c r="AA1503" s="126"/>
    </row>
    <row r="1504" spans="27:27">
      <c r="AA1504" s="126"/>
    </row>
    <row r="1505" spans="27:27">
      <c r="AA1505" s="126"/>
    </row>
    <row r="1506" spans="27:27">
      <c r="AA1506" s="126"/>
    </row>
    <row r="1507" spans="27:27">
      <c r="AA1507" s="126"/>
    </row>
    <row r="1508" spans="27:27">
      <c r="AA1508" s="126"/>
    </row>
    <row r="1509" spans="27:27">
      <c r="AA1509" s="126"/>
    </row>
    <row r="1510" spans="27:27">
      <c r="AA1510" s="126"/>
    </row>
    <row r="1511" spans="27:27">
      <c r="AA1511" s="126"/>
    </row>
    <row r="1512" spans="27:27">
      <c r="AA1512" s="126"/>
    </row>
    <row r="1513" spans="27:27">
      <c r="AA1513" s="264"/>
    </row>
    <row r="1514" spans="27:27">
      <c r="AA1514" s="126"/>
    </row>
    <row r="1515" spans="27:27">
      <c r="AA1515" s="126"/>
    </row>
    <row r="1516" spans="27:27">
      <c r="AA1516" s="126"/>
    </row>
    <row r="1517" spans="27:27">
      <c r="AA1517" s="126"/>
    </row>
    <row r="1518" spans="27:27">
      <c r="AA1518" s="126"/>
    </row>
    <row r="1519" spans="27:27">
      <c r="AA1519" s="126"/>
    </row>
    <row r="1520" spans="27:27">
      <c r="AA1520" s="126"/>
    </row>
    <row r="1521" spans="27:27">
      <c r="AA1521" s="126"/>
    </row>
    <row r="1522" spans="27:27">
      <c r="AA1522" s="126"/>
    </row>
    <row r="1523" spans="27:27">
      <c r="AA1523" s="126"/>
    </row>
    <row r="1524" spans="27:27">
      <c r="AA1524" s="126"/>
    </row>
    <row r="1525" spans="27:27">
      <c r="AA1525" s="264"/>
    </row>
    <row r="1526" spans="27:27">
      <c r="AA1526" s="126"/>
    </row>
    <row r="1527" spans="27:27">
      <c r="AA1527" s="27"/>
    </row>
    <row r="1528" spans="27:27">
      <c r="AA1528" s="264"/>
    </row>
    <row r="1529" spans="27:27">
      <c r="AA1529" s="126"/>
    </row>
    <row r="1530" spans="27:27">
      <c r="AA1530" s="126"/>
    </row>
    <row r="1531" spans="27:27">
      <c r="AA1531" s="126"/>
    </row>
    <row r="1532" spans="27:27">
      <c r="AA1532" s="126"/>
    </row>
    <row r="1533" spans="27:27">
      <c r="AA1533" s="264"/>
    </row>
    <row r="1534" spans="27:27">
      <c r="AA1534" s="126"/>
    </row>
    <row r="1535" spans="27:27">
      <c r="AA1535" s="126"/>
    </row>
    <row r="1536" spans="27:27">
      <c r="AA1536" s="126"/>
    </row>
    <row r="1537" spans="27:27">
      <c r="AA1537" s="126"/>
    </row>
    <row r="1538" spans="27:27">
      <c r="AA1538" s="126"/>
    </row>
    <row r="1539" spans="27:27">
      <c r="AA1539" s="126"/>
    </row>
    <row r="1540" spans="27:27">
      <c r="AA1540" s="126"/>
    </row>
    <row r="1541" spans="27:27">
      <c r="AA1541" s="126"/>
    </row>
    <row r="1542" spans="27:27">
      <c r="AA1542" s="126"/>
    </row>
    <row r="1543" spans="27:27">
      <c r="AA1543" s="126"/>
    </row>
    <row r="1544" spans="27:27">
      <c r="AA1544" s="126"/>
    </row>
    <row r="1545" spans="27:27">
      <c r="AA1545" s="126"/>
    </row>
    <row r="1546" spans="27:27">
      <c r="AA1546" s="126"/>
    </row>
    <row r="1547" spans="27:27">
      <c r="AA1547" s="126"/>
    </row>
    <row r="1548" spans="27:27">
      <c r="AA1548" s="126"/>
    </row>
    <row r="1549" spans="27:27">
      <c r="AA1549" s="126"/>
    </row>
    <row r="1550" spans="27:27">
      <c r="AA1550" s="126"/>
    </row>
    <row r="1551" spans="27:27">
      <c r="AA1551" s="126"/>
    </row>
    <row r="1552" spans="27:27">
      <c r="AA1552" s="126"/>
    </row>
    <row r="1553" spans="1:33">
      <c r="AA1553" s="264"/>
    </row>
    <row r="1554" spans="1:33">
      <c r="AA1554" s="126"/>
    </row>
    <row r="1555" spans="1:33">
      <c r="AA1555" s="126"/>
    </row>
    <row r="1556" spans="1:33">
      <c r="AA1556" s="126"/>
    </row>
    <row r="1557" spans="1:33">
      <c r="AA1557" s="126"/>
    </row>
    <row r="1558" spans="1:33">
      <c r="AA1558" s="126"/>
    </row>
    <row r="1559" spans="1:33">
      <c r="AA1559" s="126"/>
    </row>
    <row r="1560" spans="1:33">
      <c r="AA1560" s="126"/>
    </row>
    <row r="1561" spans="1:33">
      <c r="AA1561" s="126"/>
    </row>
    <row r="1562" spans="1:33">
      <c r="AA1562" s="126"/>
    </row>
    <row r="1563" spans="1:33">
      <c r="AA1563" s="126"/>
    </row>
    <row r="1564" spans="1:33">
      <c r="AA1564" s="126"/>
    </row>
    <row r="1565" spans="1:33">
      <c r="AA1565" s="126"/>
    </row>
    <row r="1566" spans="1:33">
      <c r="AA1566" s="126"/>
    </row>
    <row r="1567" spans="1:33" ht="26.25">
      <c r="A1567" s="264"/>
      <c r="B1567" s="264"/>
      <c r="C1567" s="264"/>
      <c r="D1567" s="264"/>
      <c r="E1567" s="264"/>
      <c r="F1567" s="264"/>
      <c r="G1567" s="264"/>
      <c r="H1567" s="264"/>
      <c r="I1567" s="264"/>
      <c r="J1567" s="327"/>
      <c r="K1567" s="327"/>
      <c r="L1567" s="327"/>
      <c r="M1567" s="321"/>
      <c r="N1567" s="321"/>
      <c r="P1567" s="381"/>
      <c r="R1567" s="392"/>
      <c r="S1567" s="61" ph="1"/>
      <c r="U1567" s="229"/>
      <c r="V1567" s="264"/>
      <c r="W1567" s="199"/>
      <c r="X1567" s="264"/>
      <c r="Y1567" s="264"/>
      <c r="Z1567" s="386"/>
      <c r="AA1567" s="126"/>
      <c r="AD1567" s="264"/>
      <c r="AE1567" s="264"/>
      <c r="AF1567" s="264"/>
      <c r="AG1567" s="264"/>
    </row>
    <row r="1568" spans="1:33">
      <c r="AA1568" s="126"/>
    </row>
    <row r="1569" spans="1:33">
      <c r="AA1569" s="126"/>
    </row>
    <row r="1570" spans="1:33">
      <c r="AA1570" s="126"/>
    </row>
    <row r="1571" spans="1:33">
      <c r="AA1571" s="126"/>
    </row>
    <row r="1572" spans="1:33">
      <c r="AA1572" s="126"/>
    </row>
    <row r="1573" spans="1:33">
      <c r="AA1573" s="126"/>
    </row>
    <row r="1574" spans="1:33">
      <c r="AA1574" s="126"/>
    </row>
    <row r="1575" spans="1:33">
      <c r="AA1575" s="126"/>
    </row>
    <row r="1576" spans="1:33">
      <c r="AA1576" s="126"/>
    </row>
    <row r="1577" spans="1:33" ht="26.25">
      <c r="A1577" s="264"/>
      <c r="B1577" s="264"/>
      <c r="C1577" s="264"/>
      <c r="D1577" s="264"/>
      <c r="E1577" s="264"/>
      <c r="F1577" s="264"/>
      <c r="G1577" s="264"/>
      <c r="H1577" s="264"/>
      <c r="I1577" s="264"/>
      <c r="J1577" s="327"/>
      <c r="K1577" s="327"/>
      <c r="L1577" s="327"/>
      <c r="M1577" s="321"/>
      <c r="N1577" s="321"/>
      <c r="P1577" s="381"/>
      <c r="R1577" s="392"/>
      <c r="S1577" s="61" ph="1"/>
      <c r="U1577" s="229"/>
      <c r="V1577" s="264"/>
      <c r="W1577" s="199"/>
      <c r="X1577" s="264"/>
      <c r="Y1577" s="264"/>
      <c r="Z1577" s="386"/>
      <c r="AA1577" s="126"/>
      <c r="AD1577" s="264"/>
      <c r="AE1577" s="264"/>
      <c r="AF1577" s="264"/>
      <c r="AG1577" s="264"/>
    </row>
    <row r="1578" spans="1:33">
      <c r="AA1578" s="126"/>
    </row>
    <row r="1579" spans="1:33">
      <c r="O1579" s="364"/>
      <c r="AA1579" s="126"/>
    </row>
    <row r="1580" spans="1:33">
      <c r="AA1580" s="126"/>
    </row>
    <row r="1581" spans="1:33" ht="26.25">
      <c r="A1581" s="264"/>
      <c r="B1581" s="264"/>
      <c r="C1581" s="264"/>
      <c r="D1581" s="264"/>
      <c r="E1581" s="264"/>
      <c r="F1581" s="264"/>
      <c r="G1581" s="264"/>
      <c r="H1581" s="264"/>
      <c r="I1581" s="264"/>
      <c r="J1581" s="327"/>
      <c r="K1581" s="327"/>
      <c r="L1581" s="327"/>
      <c r="M1581" s="321"/>
      <c r="N1581" s="321"/>
      <c r="P1581" s="381"/>
      <c r="R1581" s="392"/>
      <c r="S1581" s="61" ph="1"/>
      <c r="U1581" s="229"/>
      <c r="V1581" s="264"/>
      <c r="W1581" s="199"/>
      <c r="X1581" s="264"/>
      <c r="Y1581" s="264"/>
      <c r="Z1581" s="386"/>
      <c r="AA1581" s="126"/>
      <c r="AD1581" s="264"/>
      <c r="AE1581" s="264"/>
      <c r="AF1581" s="264"/>
      <c r="AG1581" s="264"/>
    </row>
    <row r="1582" spans="1:33">
      <c r="AA1582" s="126"/>
    </row>
    <row r="1583" spans="1:33">
      <c r="AA1583" s="126"/>
    </row>
    <row r="1584" spans="1:33">
      <c r="AA1584" s="126"/>
    </row>
    <row r="1585" spans="1:33">
      <c r="AA1585" s="126"/>
    </row>
    <row r="1586" spans="1:33" ht="26.25">
      <c r="A1586" s="264"/>
      <c r="B1586" s="264"/>
      <c r="C1586" s="264"/>
      <c r="D1586" s="264"/>
      <c r="E1586" s="264"/>
      <c r="F1586" s="264"/>
      <c r="G1586" s="264"/>
      <c r="H1586" s="264"/>
      <c r="I1586" s="264"/>
      <c r="J1586" s="327"/>
      <c r="K1586" s="327"/>
      <c r="L1586" s="327"/>
      <c r="M1586" s="321"/>
      <c r="N1586" s="321"/>
      <c r="P1586" s="381"/>
      <c r="R1586" s="392"/>
      <c r="S1586" s="61" ph="1"/>
      <c r="U1586" s="229"/>
      <c r="V1586" s="264"/>
      <c r="W1586" s="199"/>
      <c r="X1586" s="264"/>
      <c r="Y1586" s="264"/>
      <c r="Z1586" s="386"/>
      <c r="AA1586" s="126"/>
      <c r="AD1586" s="264"/>
      <c r="AE1586" s="264"/>
      <c r="AF1586" s="264"/>
      <c r="AG1586" s="264"/>
    </row>
    <row r="1587" spans="1:33" ht="26.25">
      <c r="A1587" s="264"/>
      <c r="B1587" s="264"/>
      <c r="C1587" s="264"/>
      <c r="D1587" s="264"/>
      <c r="E1587" s="264"/>
      <c r="F1587" s="264"/>
      <c r="G1587" s="264"/>
      <c r="H1587" s="264"/>
      <c r="I1587" s="264"/>
      <c r="J1587" s="327"/>
      <c r="K1587" s="327"/>
      <c r="L1587" s="327"/>
      <c r="M1587" s="321"/>
      <c r="N1587" s="321"/>
      <c r="P1587" s="381"/>
      <c r="R1587" s="392"/>
      <c r="S1587" s="61" ph="1"/>
      <c r="U1587" s="229"/>
      <c r="V1587" s="264"/>
      <c r="W1587" s="199"/>
      <c r="X1587" s="264"/>
      <c r="Y1587" s="264"/>
      <c r="Z1587" s="386"/>
      <c r="AA1587" s="126"/>
      <c r="AD1587" s="264"/>
      <c r="AE1587" s="264"/>
      <c r="AF1587" s="264"/>
      <c r="AG1587" s="264"/>
    </row>
    <row r="1588" spans="1:33" ht="26.25">
      <c r="A1588" s="264"/>
      <c r="B1588" s="264"/>
      <c r="C1588" s="264"/>
      <c r="D1588" s="264"/>
      <c r="E1588" s="264"/>
      <c r="F1588" s="264"/>
      <c r="G1588" s="264"/>
      <c r="H1588" s="264"/>
      <c r="I1588" s="264"/>
      <c r="J1588" s="327"/>
      <c r="K1588" s="327"/>
      <c r="L1588" s="327"/>
      <c r="M1588" s="321"/>
      <c r="N1588" s="321"/>
      <c r="P1588" s="381"/>
      <c r="R1588" s="392"/>
      <c r="S1588" s="61" ph="1"/>
      <c r="U1588" s="229"/>
      <c r="V1588" s="264"/>
      <c r="W1588" s="199"/>
      <c r="X1588" s="264"/>
      <c r="Y1588" s="264"/>
      <c r="Z1588" s="386"/>
      <c r="AA1588" s="126"/>
      <c r="AD1588" s="264"/>
      <c r="AE1588" s="264"/>
      <c r="AF1588" s="264"/>
      <c r="AG1588" s="264"/>
    </row>
    <row r="1589" spans="1:33">
      <c r="O1589" s="364"/>
      <c r="AA1589" s="126"/>
    </row>
    <row r="1590" spans="1:33" ht="26.25">
      <c r="A1590" s="264"/>
      <c r="B1590" s="264"/>
      <c r="C1590" s="264"/>
      <c r="D1590" s="264"/>
      <c r="E1590" s="264"/>
      <c r="F1590" s="264"/>
      <c r="G1590" s="264"/>
      <c r="H1590" s="264"/>
      <c r="I1590" s="264"/>
      <c r="J1590" s="327"/>
      <c r="K1590" s="327"/>
      <c r="L1590" s="327"/>
      <c r="M1590" s="321"/>
      <c r="N1590" s="321"/>
      <c r="P1590" s="381"/>
      <c r="R1590" s="392"/>
      <c r="S1590" s="61" ph="1"/>
      <c r="U1590" s="229"/>
      <c r="V1590" s="264"/>
      <c r="W1590" s="199"/>
      <c r="X1590" s="264"/>
      <c r="Y1590" s="264"/>
      <c r="Z1590" s="386"/>
      <c r="AA1590" s="126"/>
      <c r="AD1590" s="264"/>
      <c r="AE1590" s="264"/>
      <c r="AF1590" s="264"/>
      <c r="AG1590" s="264"/>
    </row>
    <row r="1591" spans="1:33" ht="26.25">
      <c r="A1591" s="264"/>
      <c r="B1591" s="264"/>
      <c r="C1591" s="264"/>
      <c r="D1591" s="264"/>
      <c r="E1591" s="264"/>
      <c r="F1591" s="264"/>
      <c r="G1591" s="264"/>
      <c r="H1591" s="264"/>
      <c r="I1591" s="264"/>
      <c r="J1591" s="327"/>
      <c r="K1591" s="327"/>
      <c r="L1591" s="327"/>
      <c r="M1591" s="321"/>
      <c r="N1591" s="321"/>
      <c r="P1591" s="381"/>
      <c r="R1591" s="392"/>
      <c r="S1591" s="61" ph="1"/>
      <c r="U1591" s="229"/>
      <c r="V1591" s="264"/>
      <c r="W1591" s="199"/>
      <c r="X1591" s="264"/>
      <c r="Y1591" s="264"/>
      <c r="Z1591" s="386"/>
      <c r="AA1591" s="126"/>
      <c r="AD1591" s="264"/>
      <c r="AE1591" s="264"/>
      <c r="AF1591" s="264"/>
      <c r="AG1591" s="264"/>
    </row>
    <row r="1592" spans="1:33">
      <c r="AA1592" s="264"/>
    </row>
    <row r="1593" spans="1:33" ht="26.25">
      <c r="A1593" s="264"/>
      <c r="B1593" s="264"/>
      <c r="C1593" s="264"/>
      <c r="D1593" s="264"/>
      <c r="E1593" s="264"/>
      <c r="F1593" s="264"/>
      <c r="G1593" s="264"/>
      <c r="H1593" s="264"/>
      <c r="I1593" s="264"/>
      <c r="J1593" s="327"/>
      <c r="K1593" s="327"/>
      <c r="L1593" s="327"/>
      <c r="M1593" s="321"/>
      <c r="N1593" s="321"/>
      <c r="O1593" s="364"/>
      <c r="P1593" s="381"/>
      <c r="R1593" s="392"/>
      <c r="S1593" s="61" ph="1"/>
      <c r="U1593" s="229"/>
      <c r="V1593" s="264"/>
      <c r="W1593" s="199"/>
      <c r="X1593" s="264"/>
      <c r="Y1593" s="264"/>
      <c r="Z1593" s="386"/>
      <c r="AA1593" s="126"/>
      <c r="AD1593" s="264"/>
      <c r="AE1593" s="264"/>
      <c r="AF1593" s="264"/>
      <c r="AG1593" s="264"/>
    </row>
    <row r="1594" spans="1:33">
      <c r="AA1594" s="126"/>
    </row>
    <row r="1595" spans="1:33" ht="26.25">
      <c r="A1595" s="264"/>
      <c r="B1595" s="264"/>
      <c r="C1595" s="264"/>
      <c r="D1595" s="264"/>
      <c r="E1595" s="264"/>
      <c r="F1595" s="264"/>
      <c r="G1595" s="264"/>
      <c r="H1595" s="264"/>
      <c r="I1595" s="264"/>
      <c r="J1595" s="327"/>
      <c r="K1595" s="327"/>
      <c r="L1595" s="327"/>
      <c r="M1595" s="321"/>
      <c r="N1595" s="321"/>
      <c r="P1595" s="381"/>
      <c r="R1595" s="392"/>
      <c r="S1595" s="61" ph="1"/>
      <c r="U1595" s="229"/>
      <c r="V1595" s="264"/>
      <c r="W1595" s="199"/>
      <c r="X1595" s="264"/>
      <c r="Y1595" s="264"/>
      <c r="Z1595" s="386"/>
      <c r="AA1595" s="126"/>
      <c r="AD1595" s="264"/>
      <c r="AE1595" s="264"/>
      <c r="AF1595" s="264"/>
      <c r="AG1595" s="264"/>
    </row>
    <row r="1596" spans="1:33" ht="26.25">
      <c r="A1596" s="264"/>
      <c r="B1596" s="264"/>
      <c r="C1596" s="264"/>
      <c r="D1596" s="264"/>
      <c r="E1596" s="264"/>
      <c r="F1596" s="264"/>
      <c r="G1596" s="264"/>
      <c r="H1596" s="264"/>
      <c r="I1596" s="264"/>
      <c r="J1596" s="327"/>
      <c r="K1596" s="327"/>
      <c r="L1596" s="327"/>
      <c r="M1596" s="321"/>
      <c r="N1596" s="321"/>
      <c r="P1596" s="381"/>
      <c r="R1596" s="392"/>
      <c r="S1596" s="61" ph="1"/>
      <c r="U1596" s="229"/>
      <c r="V1596" s="264"/>
      <c r="W1596" s="199"/>
      <c r="X1596" s="264"/>
      <c r="Y1596" s="264"/>
      <c r="Z1596" s="386"/>
      <c r="AA1596" s="126"/>
      <c r="AD1596" s="264"/>
      <c r="AE1596" s="264"/>
      <c r="AF1596" s="264"/>
      <c r="AG1596" s="264"/>
    </row>
    <row r="1597" spans="1:33" ht="26.25">
      <c r="A1597" s="264"/>
      <c r="B1597" s="264"/>
      <c r="C1597" s="264"/>
      <c r="D1597" s="264"/>
      <c r="E1597" s="264"/>
      <c r="F1597" s="264"/>
      <c r="G1597" s="264"/>
      <c r="H1597" s="264"/>
      <c r="I1597" s="264"/>
      <c r="J1597" s="327"/>
      <c r="K1597" s="327"/>
      <c r="L1597" s="327"/>
      <c r="M1597" s="321"/>
      <c r="N1597" s="321"/>
      <c r="P1597" s="381"/>
      <c r="R1597" s="392"/>
      <c r="S1597" s="61" ph="1"/>
      <c r="U1597" s="229"/>
      <c r="V1597" s="264"/>
      <c r="W1597" s="199"/>
      <c r="X1597" s="264"/>
      <c r="Y1597" s="264"/>
      <c r="Z1597" s="386"/>
      <c r="AA1597" s="126"/>
      <c r="AD1597" s="264"/>
      <c r="AE1597" s="264"/>
      <c r="AF1597" s="264"/>
      <c r="AG1597" s="264"/>
    </row>
    <row r="1598" spans="1:33" ht="26.25">
      <c r="A1598" s="264"/>
      <c r="B1598" s="264"/>
      <c r="C1598" s="264"/>
      <c r="D1598" s="264"/>
      <c r="E1598" s="264"/>
      <c r="F1598" s="264"/>
      <c r="G1598" s="264"/>
      <c r="H1598" s="264"/>
      <c r="I1598" s="264"/>
      <c r="J1598" s="327"/>
      <c r="K1598" s="327"/>
      <c r="L1598" s="327"/>
      <c r="M1598" s="321"/>
      <c r="N1598" s="321"/>
      <c r="O1598" s="364"/>
      <c r="P1598" s="381"/>
      <c r="R1598" s="392"/>
      <c r="S1598" s="61" ph="1"/>
      <c r="U1598" s="229"/>
      <c r="V1598" s="264"/>
      <c r="W1598" s="199"/>
      <c r="X1598" s="264"/>
      <c r="Y1598" s="264"/>
      <c r="Z1598" s="386"/>
      <c r="AA1598" s="126"/>
      <c r="AD1598" s="264"/>
      <c r="AE1598" s="264"/>
      <c r="AF1598" s="264"/>
      <c r="AG1598" s="264"/>
    </row>
    <row r="1599" spans="1:33" ht="26.25">
      <c r="A1599" s="264"/>
      <c r="B1599" s="264"/>
      <c r="C1599" s="264"/>
      <c r="D1599" s="264"/>
      <c r="E1599" s="264"/>
      <c r="F1599" s="264"/>
      <c r="G1599" s="264"/>
      <c r="H1599" s="264"/>
      <c r="I1599" s="264"/>
      <c r="J1599" s="327"/>
      <c r="K1599" s="327"/>
      <c r="L1599" s="327"/>
      <c r="M1599" s="321"/>
      <c r="N1599" s="321"/>
      <c r="O1599" s="364"/>
      <c r="P1599" s="381"/>
      <c r="R1599" s="392"/>
      <c r="S1599" s="61" ph="1"/>
      <c r="U1599" s="229"/>
      <c r="V1599" s="264"/>
      <c r="W1599" s="199"/>
      <c r="X1599" s="264"/>
      <c r="Y1599" s="264"/>
      <c r="Z1599" s="386"/>
      <c r="AA1599" s="126"/>
      <c r="AD1599" s="264"/>
      <c r="AE1599" s="264"/>
      <c r="AF1599" s="264"/>
      <c r="AG1599" s="264"/>
    </row>
    <row r="1600" spans="1:33" ht="26.25">
      <c r="A1600" s="264"/>
      <c r="B1600" s="264"/>
      <c r="C1600" s="264"/>
      <c r="D1600" s="264"/>
      <c r="E1600" s="264"/>
      <c r="F1600" s="264"/>
      <c r="G1600" s="264"/>
      <c r="H1600" s="264"/>
      <c r="I1600" s="264"/>
      <c r="J1600" s="327"/>
      <c r="K1600" s="327"/>
      <c r="L1600" s="327"/>
      <c r="M1600" s="321"/>
      <c r="N1600" s="321"/>
      <c r="O1600" s="364"/>
      <c r="P1600" s="381"/>
      <c r="R1600" s="392"/>
      <c r="S1600" s="61" ph="1"/>
      <c r="U1600" s="229"/>
      <c r="V1600" s="264"/>
      <c r="W1600" s="199"/>
      <c r="X1600" s="264"/>
      <c r="Y1600" s="264"/>
      <c r="Z1600" s="386"/>
      <c r="AA1600" s="126"/>
      <c r="AD1600" s="264"/>
      <c r="AE1600" s="264"/>
      <c r="AF1600" s="264"/>
      <c r="AG1600" s="264"/>
    </row>
    <row r="1601" spans="1:33" ht="26.25">
      <c r="A1601" s="264"/>
      <c r="B1601" s="264"/>
      <c r="C1601" s="264"/>
      <c r="D1601" s="264"/>
      <c r="E1601" s="264"/>
      <c r="F1601" s="264"/>
      <c r="G1601" s="264"/>
      <c r="H1601" s="264"/>
      <c r="I1601" s="264"/>
      <c r="J1601" s="327"/>
      <c r="K1601" s="327"/>
      <c r="L1601" s="327"/>
      <c r="M1601" s="321"/>
      <c r="N1601" s="321"/>
      <c r="P1601" s="381"/>
      <c r="R1601" s="392"/>
      <c r="S1601" s="61" ph="1"/>
      <c r="U1601" s="229"/>
      <c r="V1601" s="264"/>
      <c r="W1601" s="199"/>
      <c r="X1601" s="264"/>
      <c r="Y1601" s="264"/>
      <c r="Z1601" s="386"/>
      <c r="AA1601" s="126"/>
      <c r="AD1601" s="264"/>
      <c r="AE1601" s="264"/>
      <c r="AF1601" s="264"/>
      <c r="AG1601" s="264"/>
    </row>
    <row r="1602" spans="1:33" ht="26.25">
      <c r="A1602" s="264"/>
      <c r="B1602" s="264"/>
      <c r="C1602" s="264"/>
      <c r="D1602" s="264"/>
      <c r="E1602" s="264"/>
      <c r="F1602" s="264"/>
      <c r="G1602" s="264"/>
      <c r="H1602" s="264"/>
      <c r="I1602" s="264"/>
      <c r="J1602" s="327"/>
      <c r="K1602" s="327"/>
      <c r="L1602" s="327"/>
      <c r="M1602" s="321"/>
      <c r="N1602" s="321"/>
      <c r="O1602" s="364"/>
      <c r="P1602" s="381"/>
      <c r="R1602" s="392"/>
      <c r="S1602" s="61" ph="1"/>
      <c r="U1602" s="229"/>
      <c r="V1602" s="264"/>
      <c r="W1602" s="199"/>
      <c r="X1602" s="264"/>
      <c r="Y1602" s="264"/>
      <c r="Z1602" s="386"/>
      <c r="AA1602" s="126"/>
      <c r="AD1602" s="264"/>
      <c r="AE1602" s="264"/>
      <c r="AF1602" s="264"/>
      <c r="AG1602" s="264"/>
    </row>
    <row r="1603" spans="1:33" ht="26.25">
      <c r="A1603" s="264"/>
      <c r="B1603" s="264"/>
      <c r="C1603" s="264"/>
      <c r="D1603" s="264"/>
      <c r="E1603" s="264"/>
      <c r="F1603" s="264"/>
      <c r="G1603" s="264"/>
      <c r="H1603" s="264"/>
      <c r="I1603" s="264"/>
      <c r="J1603" s="327"/>
      <c r="K1603" s="327"/>
      <c r="L1603" s="327"/>
      <c r="M1603" s="321"/>
      <c r="N1603" s="321"/>
      <c r="O1603" s="364"/>
      <c r="P1603" s="381"/>
      <c r="R1603" s="392"/>
      <c r="S1603" s="61" ph="1"/>
      <c r="U1603" s="229"/>
      <c r="V1603" s="264"/>
      <c r="W1603" s="199"/>
      <c r="X1603" s="264"/>
      <c r="Y1603" s="264"/>
      <c r="Z1603" s="386"/>
      <c r="AA1603" s="126"/>
      <c r="AD1603" s="264"/>
      <c r="AE1603" s="264"/>
      <c r="AF1603" s="264"/>
      <c r="AG1603" s="264"/>
    </row>
    <row r="1604" spans="1:33" ht="26.25">
      <c r="A1604" s="264"/>
      <c r="B1604" s="264"/>
      <c r="C1604" s="264"/>
      <c r="D1604" s="264"/>
      <c r="E1604" s="264"/>
      <c r="F1604" s="264"/>
      <c r="G1604" s="264"/>
      <c r="H1604" s="264"/>
      <c r="I1604" s="264"/>
      <c r="J1604" s="327"/>
      <c r="K1604" s="327"/>
      <c r="L1604" s="327"/>
      <c r="M1604" s="321"/>
      <c r="N1604" s="321"/>
      <c r="P1604" s="381"/>
      <c r="R1604" s="392"/>
      <c r="S1604" s="61" ph="1"/>
      <c r="U1604" s="229"/>
      <c r="V1604" s="264"/>
      <c r="W1604" s="199"/>
      <c r="X1604" s="264"/>
      <c r="Y1604" s="264"/>
      <c r="Z1604" s="386"/>
      <c r="AA1604" s="126"/>
      <c r="AD1604" s="264"/>
      <c r="AE1604" s="264"/>
      <c r="AF1604" s="264"/>
      <c r="AG1604" s="264"/>
    </row>
    <row r="1605" spans="1:33">
      <c r="O1605" s="364"/>
      <c r="AA1605" s="126"/>
    </row>
    <row r="1606" spans="1:33" ht="26.25">
      <c r="A1606" s="264"/>
      <c r="B1606" s="264"/>
      <c r="C1606" s="264"/>
      <c r="D1606" s="264"/>
      <c r="E1606" s="264"/>
      <c r="F1606" s="264"/>
      <c r="G1606" s="264"/>
      <c r="H1606" s="264"/>
      <c r="I1606" s="264"/>
      <c r="J1606" s="327"/>
      <c r="K1606" s="327"/>
      <c r="L1606" s="327"/>
      <c r="M1606" s="321"/>
      <c r="N1606" s="321"/>
      <c r="P1606" s="381"/>
      <c r="R1606" s="392"/>
      <c r="S1606" s="61" ph="1"/>
      <c r="U1606" s="229"/>
      <c r="V1606" s="264"/>
      <c r="W1606" s="199"/>
      <c r="X1606" s="264"/>
      <c r="Y1606" s="264"/>
      <c r="Z1606" s="386"/>
      <c r="AA1606" s="126"/>
      <c r="AD1606" s="264"/>
      <c r="AE1606" s="264"/>
      <c r="AF1606" s="264"/>
      <c r="AG1606" s="264"/>
    </row>
    <row r="1607" spans="1:33" ht="26.25">
      <c r="A1607" s="264"/>
      <c r="B1607" s="264"/>
      <c r="C1607" s="264"/>
      <c r="D1607" s="264"/>
      <c r="E1607" s="264"/>
      <c r="F1607" s="264"/>
      <c r="G1607" s="264"/>
      <c r="H1607" s="264"/>
      <c r="I1607" s="264"/>
      <c r="J1607" s="327"/>
      <c r="K1607" s="327"/>
      <c r="L1607" s="327"/>
      <c r="M1607" s="321"/>
      <c r="N1607" s="321"/>
      <c r="O1607" s="364"/>
      <c r="P1607" s="381"/>
      <c r="R1607" s="392"/>
      <c r="S1607" s="61" ph="1"/>
      <c r="U1607" s="229"/>
      <c r="V1607" s="264"/>
      <c r="W1607" s="199"/>
      <c r="X1607" s="264"/>
      <c r="Y1607" s="264"/>
      <c r="Z1607" s="386"/>
      <c r="AA1607" s="126"/>
      <c r="AD1607" s="264"/>
      <c r="AE1607" s="264"/>
      <c r="AF1607" s="264"/>
      <c r="AG1607" s="264"/>
    </row>
    <row r="1608" spans="1:33" ht="26.25">
      <c r="A1608" s="264"/>
      <c r="B1608" s="264"/>
      <c r="C1608" s="264"/>
      <c r="D1608" s="264"/>
      <c r="E1608" s="264"/>
      <c r="F1608" s="264"/>
      <c r="G1608" s="264"/>
      <c r="H1608" s="264"/>
      <c r="I1608" s="264"/>
      <c r="J1608" s="327"/>
      <c r="K1608" s="327"/>
      <c r="L1608" s="327"/>
      <c r="M1608" s="321"/>
      <c r="N1608" s="321"/>
      <c r="O1608" s="364"/>
      <c r="P1608" s="381"/>
      <c r="R1608" s="392"/>
      <c r="S1608" s="61" ph="1"/>
      <c r="U1608" s="229"/>
      <c r="V1608" s="264"/>
      <c r="W1608" s="199"/>
      <c r="X1608" s="264"/>
      <c r="Y1608" s="264"/>
      <c r="Z1608" s="386"/>
      <c r="AA1608" s="126"/>
      <c r="AD1608" s="264"/>
      <c r="AE1608" s="264"/>
      <c r="AF1608" s="264"/>
      <c r="AG1608" s="264"/>
    </row>
    <row r="1609" spans="1:33" ht="26.25">
      <c r="A1609" s="264"/>
      <c r="B1609" s="264"/>
      <c r="C1609" s="264"/>
      <c r="D1609" s="264"/>
      <c r="E1609" s="264"/>
      <c r="F1609" s="264"/>
      <c r="G1609" s="264"/>
      <c r="H1609" s="264"/>
      <c r="I1609" s="264"/>
      <c r="J1609" s="327"/>
      <c r="K1609" s="327"/>
      <c r="L1609" s="327"/>
      <c r="M1609" s="321"/>
      <c r="N1609" s="321"/>
      <c r="O1609" s="364"/>
      <c r="P1609" s="381"/>
      <c r="R1609" s="392"/>
      <c r="S1609" s="61" ph="1"/>
      <c r="U1609" s="229"/>
      <c r="V1609" s="264"/>
      <c r="W1609" s="199"/>
      <c r="X1609" s="264"/>
      <c r="Y1609" s="264"/>
      <c r="Z1609" s="386"/>
      <c r="AA1609" s="126"/>
      <c r="AD1609" s="264"/>
      <c r="AE1609" s="264"/>
      <c r="AF1609" s="264"/>
      <c r="AG1609" s="264"/>
    </row>
    <row r="1610" spans="1:33" ht="26.25">
      <c r="A1610" s="264"/>
      <c r="B1610" s="264"/>
      <c r="C1610" s="264"/>
      <c r="D1610" s="264"/>
      <c r="E1610" s="264"/>
      <c r="F1610" s="264"/>
      <c r="G1610" s="264"/>
      <c r="H1610" s="264"/>
      <c r="I1610" s="264"/>
      <c r="J1610" s="327"/>
      <c r="K1610" s="327"/>
      <c r="L1610" s="327"/>
      <c r="M1610" s="321"/>
      <c r="N1610" s="321"/>
      <c r="O1610" s="364"/>
      <c r="P1610" s="381"/>
      <c r="R1610" s="392"/>
      <c r="S1610" s="61" ph="1"/>
      <c r="U1610" s="229"/>
      <c r="V1610" s="264"/>
      <c r="W1610" s="199"/>
      <c r="X1610" s="264"/>
      <c r="Y1610" s="264"/>
      <c r="Z1610" s="386"/>
      <c r="AA1610" s="126"/>
      <c r="AD1610" s="264"/>
      <c r="AE1610" s="264"/>
      <c r="AF1610" s="264"/>
      <c r="AG1610" s="264"/>
    </row>
    <row r="1611" spans="1:33" ht="26.25">
      <c r="A1611" s="264"/>
      <c r="B1611" s="264"/>
      <c r="C1611" s="264"/>
      <c r="D1611" s="264"/>
      <c r="E1611" s="264"/>
      <c r="F1611" s="264"/>
      <c r="G1611" s="264"/>
      <c r="H1611" s="264"/>
      <c r="I1611" s="264"/>
      <c r="J1611" s="327"/>
      <c r="K1611" s="327"/>
      <c r="L1611" s="327"/>
      <c r="M1611" s="321"/>
      <c r="N1611" s="321"/>
      <c r="O1611" s="364"/>
      <c r="P1611" s="381"/>
      <c r="R1611" s="392"/>
      <c r="S1611" s="61" ph="1"/>
      <c r="U1611" s="229"/>
      <c r="V1611" s="264"/>
      <c r="W1611" s="199"/>
      <c r="X1611" s="264"/>
      <c r="Y1611" s="264"/>
      <c r="Z1611" s="386"/>
      <c r="AA1611" s="126"/>
      <c r="AD1611" s="264"/>
      <c r="AE1611" s="264"/>
      <c r="AF1611" s="264"/>
      <c r="AG1611" s="264"/>
    </row>
    <row r="1612" spans="1:33" ht="26.25">
      <c r="A1612" s="264"/>
      <c r="B1612" s="264"/>
      <c r="C1612" s="264"/>
      <c r="D1612" s="264"/>
      <c r="E1612" s="264"/>
      <c r="F1612" s="264"/>
      <c r="G1612" s="264"/>
      <c r="H1612" s="264"/>
      <c r="I1612" s="264"/>
      <c r="J1612" s="327"/>
      <c r="K1612" s="327"/>
      <c r="L1612" s="327"/>
      <c r="M1612" s="321"/>
      <c r="N1612" s="321"/>
      <c r="O1612" s="364"/>
      <c r="P1612" s="381"/>
      <c r="R1612" s="392"/>
      <c r="S1612" s="61" ph="1"/>
      <c r="U1612" s="229"/>
      <c r="V1612" s="264"/>
      <c r="W1612" s="199"/>
      <c r="X1612" s="264"/>
      <c r="Y1612" s="264"/>
      <c r="Z1612" s="386"/>
      <c r="AA1612" s="126"/>
      <c r="AD1612" s="264"/>
      <c r="AE1612" s="264"/>
      <c r="AF1612" s="264"/>
      <c r="AG1612" s="264"/>
    </row>
    <row r="1613" spans="1:33" ht="26.25">
      <c r="A1613" s="264"/>
      <c r="B1613" s="264"/>
      <c r="C1613" s="264"/>
      <c r="D1613" s="264"/>
      <c r="E1613" s="264"/>
      <c r="F1613" s="264"/>
      <c r="G1613" s="264"/>
      <c r="H1613" s="264"/>
      <c r="I1613" s="264"/>
      <c r="J1613" s="327"/>
      <c r="K1613" s="327"/>
      <c r="L1613" s="327"/>
      <c r="M1613" s="321"/>
      <c r="N1613" s="321"/>
      <c r="O1613" s="364"/>
      <c r="P1613" s="381"/>
      <c r="R1613" s="392"/>
      <c r="S1613" s="61" ph="1"/>
      <c r="U1613" s="229"/>
      <c r="V1613" s="264"/>
      <c r="W1613" s="199"/>
      <c r="X1613" s="264"/>
      <c r="Y1613" s="264"/>
      <c r="Z1613" s="386"/>
      <c r="AA1613" s="126"/>
      <c r="AD1613" s="264"/>
      <c r="AE1613" s="264"/>
      <c r="AF1613" s="264"/>
      <c r="AG1613" s="264"/>
    </row>
    <row r="1614" spans="1:33">
      <c r="O1614" s="364"/>
      <c r="AA1614" s="126"/>
    </row>
    <row r="1615" spans="1:33" ht="26.25">
      <c r="A1615" s="264"/>
      <c r="B1615" s="264"/>
      <c r="C1615" s="264"/>
      <c r="D1615" s="264"/>
      <c r="E1615" s="264"/>
      <c r="F1615" s="264"/>
      <c r="G1615" s="264"/>
      <c r="H1615" s="264"/>
      <c r="I1615" s="264"/>
      <c r="J1615" s="327"/>
      <c r="K1615" s="327"/>
      <c r="L1615" s="327"/>
      <c r="M1615" s="321"/>
      <c r="N1615" s="321"/>
      <c r="O1615" s="364"/>
      <c r="P1615" s="381"/>
      <c r="R1615" s="392"/>
      <c r="S1615" s="61" ph="1"/>
      <c r="U1615" s="229"/>
      <c r="V1615" s="264"/>
      <c r="W1615" s="199"/>
      <c r="X1615" s="264"/>
      <c r="Y1615" s="264"/>
      <c r="Z1615" s="386"/>
      <c r="AA1615" s="126"/>
      <c r="AD1615" s="264"/>
      <c r="AE1615" s="264"/>
      <c r="AF1615" s="264"/>
      <c r="AG1615" s="264"/>
    </row>
    <row r="1616" spans="1:33" ht="26.25">
      <c r="A1616" s="264"/>
      <c r="B1616" s="264"/>
      <c r="C1616" s="264"/>
      <c r="D1616" s="264"/>
      <c r="E1616" s="264"/>
      <c r="F1616" s="264"/>
      <c r="G1616" s="264"/>
      <c r="H1616" s="264"/>
      <c r="I1616" s="264"/>
      <c r="J1616" s="327"/>
      <c r="K1616" s="327"/>
      <c r="L1616" s="327"/>
      <c r="M1616" s="321"/>
      <c r="N1616" s="321"/>
      <c r="O1616" s="364"/>
      <c r="P1616" s="381"/>
      <c r="R1616" s="392"/>
      <c r="S1616" s="61" ph="1"/>
      <c r="U1616" s="229"/>
      <c r="V1616" s="264"/>
      <c r="W1616" s="199"/>
      <c r="X1616" s="264"/>
      <c r="Y1616" s="264"/>
      <c r="Z1616" s="386"/>
      <c r="AA1616" s="126"/>
      <c r="AD1616" s="264"/>
      <c r="AE1616" s="264"/>
      <c r="AF1616" s="264"/>
      <c r="AG1616" s="264"/>
    </row>
    <row r="1617" spans="1:33" ht="26.25">
      <c r="A1617" s="264"/>
      <c r="B1617" s="264"/>
      <c r="C1617" s="264"/>
      <c r="D1617" s="264"/>
      <c r="E1617" s="264"/>
      <c r="F1617" s="264"/>
      <c r="G1617" s="264"/>
      <c r="H1617" s="264"/>
      <c r="I1617" s="264"/>
      <c r="J1617" s="327"/>
      <c r="K1617" s="327"/>
      <c r="L1617" s="327"/>
      <c r="M1617" s="321"/>
      <c r="N1617" s="321"/>
      <c r="P1617" s="381"/>
      <c r="R1617" s="392"/>
      <c r="S1617" s="61" ph="1"/>
      <c r="U1617" s="229"/>
      <c r="V1617" s="264"/>
      <c r="W1617" s="199"/>
      <c r="X1617" s="264"/>
      <c r="Y1617" s="264"/>
      <c r="Z1617" s="386"/>
      <c r="AA1617" s="126"/>
      <c r="AD1617" s="264"/>
      <c r="AE1617" s="264"/>
      <c r="AF1617" s="264"/>
      <c r="AG1617" s="264"/>
    </row>
    <row r="1618" spans="1:33" ht="26.25">
      <c r="A1618" s="264"/>
      <c r="B1618" s="264"/>
      <c r="C1618" s="264"/>
      <c r="D1618" s="264"/>
      <c r="E1618" s="264"/>
      <c r="F1618" s="264"/>
      <c r="G1618" s="264"/>
      <c r="H1618" s="264"/>
      <c r="I1618" s="264"/>
      <c r="J1618" s="327"/>
      <c r="K1618" s="327"/>
      <c r="L1618" s="327"/>
      <c r="M1618" s="321"/>
      <c r="N1618" s="321"/>
      <c r="O1618" s="364"/>
      <c r="P1618" s="381"/>
      <c r="R1618" s="392"/>
      <c r="S1618" s="61" ph="1"/>
      <c r="U1618" s="229"/>
      <c r="V1618" s="264"/>
      <c r="W1618" s="199"/>
      <c r="X1618" s="264"/>
      <c r="Y1618" s="264"/>
      <c r="Z1618" s="386"/>
      <c r="AA1618" s="126"/>
      <c r="AD1618" s="264"/>
      <c r="AE1618" s="264"/>
      <c r="AF1618" s="264"/>
      <c r="AG1618" s="264"/>
    </row>
    <row r="1619" spans="1:33" ht="26.25">
      <c r="A1619" s="264"/>
      <c r="B1619" s="264"/>
      <c r="C1619" s="264"/>
      <c r="D1619" s="264"/>
      <c r="E1619" s="264"/>
      <c r="F1619" s="264"/>
      <c r="G1619" s="264"/>
      <c r="H1619" s="264"/>
      <c r="I1619" s="264"/>
      <c r="J1619" s="327"/>
      <c r="K1619" s="327"/>
      <c r="L1619" s="327"/>
      <c r="M1619" s="321"/>
      <c r="N1619" s="321"/>
      <c r="O1619" s="364"/>
      <c r="P1619" s="381"/>
      <c r="R1619" s="392"/>
      <c r="S1619" s="61" ph="1"/>
      <c r="U1619" s="229"/>
      <c r="V1619" s="264"/>
      <c r="W1619" s="199"/>
      <c r="X1619" s="264"/>
      <c r="Y1619" s="264"/>
      <c r="Z1619" s="386"/>
      <c r="AA1619" s="126"/>
      <c r="AD1619" s="264"/>
      <c r="AE1619" s="264"/>
      <c r="AF1619" s="264"/>
      <c r="AG1619" s="264"/>
    </row>
    <row r="1620" spans="1:33" ht="26.25">
      <c r="A1620" s="264"/>
      <c r="B1620" s="264"/>
      <c r="C1620" s="264"/>
      <c r="D1620" s="264"/>
      <c r="E1620" s="264"/>
      <c r="F1620" s="264"/>
      <c r="G1620" s="264"/>
      <c r="H1620" s="264"/>
      <c r="I1620" s="264"/>
      <c r="J1620" s="327"/>
      <c r="K1620" s="327"/>
      <c r="L1620" s="327"/>
      <c r="M1620" s="321"/>
      <c r="N1620" s="321"/>
      <c r="O1620" s="364"/>
      <c r="P1620" s="381"/>
      <c r="R1620" s="392"/>
      <c r="S1620" s="61" ph="1"/>
      <c r="U1620" s="229"/>
      <c r="V1620" s="264"/>
      <c r="W1620" s="199"/>
      <c r="X1620" s="264"/>
      <c r="Y1620" s="264"/>
      <c r="Z1620" s="386"/>
      <c r="AA1620" s="126"/>
      <c r="AD1620" s="264"/>
      <c r="AE1620" s="264"/>
      <c r="AF1620" s="264"/>
      <c r="AG1620" s="264"/>
    </row>
    <row r="1621" spans="1:33" ht="26.25">
      <c r="A1621" s="264"/>
      <c r="B1621" s="264"/>
      <c r="C1621" s="264"/>
      <c r="D1621" s="264"/>
      <c r="E1621" s="264"/>
      <c r="F1621" s="264"/>
      <c r="G1621" s="264"/>
      <c r="H1621" s="264"/>
      <c r="I1621" s="264"/>
      <c r="J1621" s="327"/>
      <c r="K1621" s="327"/>
      <c r="L1621" s="327"/>
      <c r="M1621" s="321"/>
      <c r="N1621" s="321"/>
      <c r="O1621" s="364"/>
      <c r="P1621" s="381"/>
      <c r="R1621" s="392"/>
      <c r="S1621" s="61" ph="1"/>
      <c r="U1621" s="229"/>
      <c r="V1621" s="264"/>
      <c r="W1621" s="199"/>
      <c r="X1621" s="264"/>
      <c r="Y1621" s="264"/>
      <c r="Z1621" s="386"/>
      <c r="AA1621" s="126"/>
      <c r="AD1621" s="264"/>
      <c r="AE1621" s="264"/>
      <c r="AF1621" s="264"/>
      <c r="AG1621" s="264"/>
    </row>
    <row r="1622" spans="1:33" ht="26.25">
      <c r="A1622" s="264"/>
      <c r="B1622" s="264"/>
      <c r="C1622" s="264"/>
      <c r="D1622" s="264"/>
      <c r="E1622" s="264"/>
      <c r="F1622" s="264"/>
      <c r="G1622" s="264"/>
      <c r="H1622" s="264"/>
      <c r="I1622" s="264"/>
      <c r="J1622" s="327"/>
      <c r="K1622" s="327"/>
      <c r="L1622" s="327"/>
      <c r="M1622" s="321"/>
      <c r="N1622" s="321"/>
      <c r="O1622" s="364"/>
      <c r="P1622" s="381"/>
      <c r="R1622" s="392"/>
      <c r="S1622" s="61" ph="1"/>
      <c r="U1622" s="229"/>
      <c r="V1622" s="264"/>
      <c r="W1622" s="199"/>
      <c r="X1622" s="264"/>
      <c r="Y1622" s="264"/>
      <c r="Z1622" s="386"/>
      <c r="AA1622" s="126"/>
      <c r="AD1622" s="264"/>
      <c r="AE1622" s="264"/>
      <c r="AF1622" s="264"/>
      <c r="AG1622" s="264"/>
    </row>
    <row r="1623" spans="1:33" ht="26.25">
      <c r="A1623" s="264"/>
      <c r="B1623" s="264"/>
      <c r="C1623" s="264"/>
      <c r="D1623" s="264"/>
      <c r="E1623" s="264"/>
      <c r="F1623" s="264"/>
      <c r="G1623" s="264"/>
      <c r="H1623" s="264"/>
      <c r="I1623" s="264"/>
      <c r="J1623" s="327"/>
      <c r="K1623" s="327"/>
      <c r="L1623" s="327"/>
      <c r="M1623" s="321"/>
      <c r="N1623" s="321"/>
      <c r="O1623" s="364"/>
      <c r="P1623" s="381"/>
      <c r="R1623" s="392"/>
      <c r="S1623" s="61" ph="1"/>
      <c r="U1623" s="229"/>
      <c r="V1623" s="264"/>
      <c r="W1623" s="199"/>
      <c r="X1623" s="264"/>
      <c r="Y1623" s="264"/>
      <c r="Z1623" s="386"/>
      <c r="AA1623" s="126"/>
      <c r="AD1623" s="264"/>
      <c r="AE1623" s="264"/>
      <c r="AF1623" s="264"/>
      <c r="AG1623" s="264"/>
    </row>
    <row r="1624" spans="1:33" ht="26.25">
      <c r="A1624" s="264"/>
      <c r="B1624" s="264"/>
      <c r="C1624" s="264"/>
      <c r="D1624" s="264"/>
      <c r="E1624" s="264"/>
      <c r="F1624" s="264"/>
      <c r="G1624" s="264"/>
      <c r="H1624" s="264"/>
      <c r="I1624" s="264"/>
      <c r="J1624" s="327"/>
      <c r="K1624" s="327"/>
      <c r="L1624" s="327"/>
      <c r="M1624" s="321"/>
      <c r="N1624" s="321"/>
      <c r="O1624" s="364"/>
      <c r="P1624" s="381"/>
      <c r="R1624" s="392"/>
      <c r="S1624" s="61" ph="1"/>
      <c r="U1624" s="229"/>
      <c r="V1624" s="264"/>
      <c r="W1624" s="199"/>
      <c r="X1624" s="264"/>
      <c r="Y1624" s="264"/>
      <c r="Z1624" s="386"/>
      <c r="AA1624" s="126"/>
      <c r="AD1624" s="264"/>
      <c r="AE1624" s="264"/>
      <c r="AF1624" s="264"/>
      <c r="AG1624" s="264"/>
    </row>
    <row r="1625" spans="1:33" ht="26.25">
      <c r="A1625" s="264"/>
      <c r="B1625" s="264"/>
      <c r="C1625" s="264"/>
      <c r="D1625" s="264"/>
      <c r="E1625" s="264"/>
      <c r="F1625" s="264"/>
      <c r="G1625" s="264"/>
      <c r="H1625" s="264"/>
      <c r="I1625" s="264"/>
      <c r="J1625" s="327"/>
      <c r="K1625" s="327"/>
      <c r="L1625" s="327"/>
      <c r="M1625" s="321"/>
      <c r="N1625" s="321"/>
      <c r="O1625" s="364"/>
      <c r="P1625" s="381"/>
      <c r="R1625" s="392"/>
      <c r="S1625" s="61" ph="1"/>
      <c r="U1625" s="229"/>
      <c r="V1625" s="264"/>
      <c r="W1625" s="199"/>
      <c r="X1625" s="264"/>
      <c r="Y1625" s="264"/>
      <c r="Z1625" s="386"/>
      <c r="AA1625" s="123"/>
      <c r="AD1625" s="264"/>
      <c r="AE1625" s="264"/>
      <c r="AF1625" s="264"/>
      <c r="AG1625" s="264"/>
    </row>
    <row r="1626" spans="1:33">
      <c r="AA1626" s="126"/>
    </row>
    <row r="1627" spans="1:33" ht="26.25">
      <c r="A1627" s="264"/>
      <c r="B1627" s="264"/>
      <c r="C1627" s="264"/>
      <c r="D1627" s="264"/>
      <c r="E1627" s="264"/>
      <c r="F1627" s="264"/>
      <c r="G1627" s="264"/>
      <c r="H1627" s="264"/>
      <c r="I1627" s="264"/>
      <c r="J1627" s="327"/>
      <c r="K1627" s="327"/>
      <c r="L1627" s="327"/>
      <c r="M1627" s="321"/>
      <c r="N1627" s="321"/>
      <c r="O1627" s="364"/>
      <c r="P1627" s="381"/>
      <c r="R1627" s="392"/>
      <c r="S1627" s="61" ph="1"/>
      <c r="U1627" s="229"/>
      <c r="V1627" s="264"/>
      <c r="W1627" s="199"/>
      <c r="X1627" s="264"/>
      <c r="Y1627" s="264"/>
      <c r="Z1627" s="386"/>
      <c r="AA1627" s="126"/>
      <c r="AD1627" s="264"/>
      <c r="AE1627" s="264"/>
      <c r="AF1627" s="264"/>
      <c r="AG1627" s="264"/>
    </row>
    <row r="1628" spans="1:33" ht="26.25">
      <c r="A1628" s="264"/>
      <c r="B1628" s="264"/>
      <c r="C1628" s="264"/>
      <c r="D1628" s="264"/>
      <c r="E1628" s="264"/>
      <c r="F1628" s="264"/>
      <c r="G1628" s="264"/>
      <c r="H1628" s="264"/>
      <c r="I1628" s="264"/>
      <c r="J1628" s="327"/>
      <c r="K1628" s="327"/>
      <c r="L1628" s="327"/>
      <c r="M1628" s="321"/>
      <c r="N1628" s="321"/>
      <c r="O1628" s="364"/>
      <c r="P1628" s="381"/>
      <c r="R1628" s="392"/>
      <c r="S1628" s="61" ph="1"/>
      <c r="U1628" s="229"/>
      <c r="V1628" s="264"/>
      <c r="W1628" s="199"/>
      <c r="X1628" s="264"/>
      <c r="Y1628" s="264"/>
      <c r="Z1628" s="386"/>
      <c r="AA1628" s="126"/>
      <c r="AD1628" s="264"/>
      <c r="AE1628" s="264"/>
      <c r="AF1628" s="264"/>
      <c r="AG1628" s="264"/>
    </row>
    <row r="1629" spans="1:33" ht="26.25">
      <c r="A1629" s="264"/>
      <c r="B1629" s="264"/>
      <c r="C1629" s="264"/>
      <c r="D1629" s="264"/>
      <c r="E1629" s="264"/>
      <c r="F1629" s="264"/>
      <c r="G1629" s="264"/>
      <c r="H1629" s="264"/>
      <c r="I1629" s="264"/>
      <c r="J1629" s="327"/>
      <c r="K1629" s="327"/>
      <c r="L1629" s="327"/>
      <c r="M1629" s="321"/>
      <c r="N1629" s="321"/>
      <c r="O1629" s="364"/>
      <c r="P1629" s="381"/>
      <c r="R1629" s="392"/>
      <c r="S1629" s="61" ph="1"/>
      <c r="U1629" s="229"/>
      <c r="V1629" s="264"/>
      <c r="W1629" s="199"/>
      <c r="X1629" s="264"/>
      <c r="Y1629" s="264"/>
      <c r="Z1629" s="386"/>
      <c r="AA1629" s="126"/>
      <c r="AD1629" s="264"/>
      <c r="AE1629" s="264"/>
      <c r="AF1629" s="264"/>
      <c r="AG1629" s="264"/>
    </row>
    <row r="1630" spans="1:33" ht="26.25">
      <c r="A1630" s="264"/>
      <c r="B1630" s="264"/>
      <c r="C1630" s="264"/>
      <c r="D1630" s="264"/>
      <c r="E1630" s="264"/>
      <c r="F1630" s="264"/>
      <c r="G1630" s="264"/>
      <c r="H1630" s="264"/>
      <c r="I1630" s="264"/>
      <c r="J1630" s="327"/>
      <c r="K1630" s="327"/>
      <c r="L1630" s="327"/>
      <c r="M1630" s="321"/>
      <c r="N1630" s="321"/>
      <c r="O1630" s="364"/>
      <c r="P1630" s="381"/>
      <c r="R1630" s="392"/>
      <c r="S1630" s="61" ph="1"/>
      <c r="U1630" s="229"/>
      <c r="V1630" s="264"/>
      <c r="W1630" s="199"/>
      <c r="X1630" s="264"/>
      <c r="Y1630" s="264"/>
      <c r="Z1630" s="386"/>
      <c r="AA1630" s="126"/>
      <c r="AD1630" s="264"/>
      <c r="AE1630" s="264"/>
      <c r="AF1630" s="264"/>
      <c r="AG1630" s="264"/>
    </row>
    <row r="1631" spans="1:33" ht="26.25">
      <c r="A1631" s="264"/>
      <c r="B1631" s="264"/>
      <c r="C1631" s="264"/>
      <c r="D1631" s="264"/>
      <c r="E1631" s="264"/>
      <c r="F1631" s="264"/>
      <c r="G1631" s="264"/>
      <c r="H1631" s="264"/>
      <c r="I1631" s="264"/>
      <c r="J1631" s="327"/>
      <c r="K1631" s="327"/>
      <c r="L1631" s="327"/>
      <c r="M1631" s="321"/>
      <c r="N1631" s="321"/>
      <c r="O1631" s="364"/>
      <c r="P1631" s="381"/>
      <c r="R1631" s="392"/>
      <c r="S1631" s="61" ph="1"/>
      <c r="U1631" s="229"/>
      <c r="V1631" s="264"/>
      <c r="W1631" s="199"/>
      <c r="X1631" s="264"/>
      <c r="Y1631" s="264"/>
      <c r="Z1631" s="386"/>
      <c r="AA1631" s="126"/>
      <c r="AD1631" s="264"/>
      <c r="AE1631" s="264"/>
      <c r="AF1631" s="264"/>
      <c r="AG1631" s="264"/>
    </row>
    <row r="1632" spans="1:33" ht="26.25">
      <c r="A1632" s="264"/>
      <c r="B1632" s="264"/>
      <c r="C1632" s="264"/>
      <c r="D1632" s="264"/>
      <c r="E1632" s="264"/>
      <c r="F1632" s="264"/>
      <c r="G1632" s="264"/>
      <c r="H1632" s="264"/>
      <c r="I1632" s="264"/>
      <c r="J1632" s="327"/>
      <c r="K1632" s="327"/>
      <c r="L1632" s="327"/>
      <c r="M1632" s="321"/>
      <c r="N1632" s="321"/>
      <c r="O1632" s="364"/>
      <c r="P1632" s="381"/>
      <c r="R1632" s="392"/>
      <c r="S1632" s="61" ph="1"/>
      <c r="U1632" s="229"/>
      <c r="V1632" s="264"/>
      <c r="W1632" s="199"/>
      <c r="X1632" s="264"/>
      <c r="Y1632" s="264"/>
      <c r="Z1632" s="386"/>
      <c r="AA1632" s="126"/>
      <c r="AD1632" s="264"/>
      <c r="AE1632" s="264"/>
      <c r="AF1632" s="264"/>
      <c r="AG1632" s="264"/>
    </row>
    <row r="1633" spans="1:33" ht="26.25">
      <c r="A1633" s="264"/>
      <c r="B1633" s="264"/>
      <c r="C1633" s="264"/>
      <c r="D1633" s="264"/>
      <c r="E1633" s="264"/>
      <c r="F1633" s="264"/>
      <c r="G1633" s="264"/>
      <c r="H1633" s="264"/>
      <c r="I1633" s="264"/>
      <c r="J1633" s="327"/>
      <c r="K1633" s="327"/>
      <c r="L1633" s="327"/>
      <c r="M1633" s="321"/>
      <c r="N1633" s="321"/>
      <c r="O1633" s="364"/>
      <c r="P1633" s="381"/>
      <c r="R1633" s="392"/>
      <c r="S1633" s="61" ph="1"/>
      <c r="U1633" s="229"/>
      <c r="V1633" s="264"/>
      <c r="W1633" s="199"/>
      <c r="X1633" s="264"/>
      <c r="Y1633" s="264"/>
      <c r="Z1633" s="386"/>
      <c r="AA1633" s="126"/>
      <c r="AD1633" s="264"/>
      <c r="AE1633" s="264"/>
      <c r="AF1633" s="264"/>
      <c r="AG1633" s="264"/>
    </row>
    <row r="1634" spans="1:33" ht="26.25">
      <c r="A1634" s="264"/>
      <c r="B1634" s="264"/>
      <c r="C1634" s="264"/>
      <c r="D1634" s="264"/>
      <c r="E1634" s="264"/>
      <c r="F1634" s="264"/>
      <c r="G1634" s="264"/>
      <c r="H1634" s="264"/>
      <c r="I1634" s="264"/>
      <c r="J1634" s="327"/>
      <c r="K1634" s="327"/>
      <c r="L1634" s="327"/>
      <c r="M1634" s="321"/>
      <c r="N1634" s="321"/>
      <c r="O1634" s="364"/>
      <c r="P1634" s="381"/>
      <c r="R1634" s="392"/>
      <c r="S1634" s="61" ph="1"/>
      <c r="U1634" s="229"/>
      <c r="V1634" s="264"/>
      <c r="W1634" s="199"/>
      <c r="X1634" s="264"/>
      <c r="Y1634" s="264"/>
      <c r="Z1634" s="386"/>
      <c r="AA1634" s="126"/>
      <c r="AD1634" s="264"/>
      <c r="AE1634" s="264"/>
      <c r="AF1634" s="264"/>
      <c r="AG1634" s="264"/>
    </row>
    <row r="1635" spans="1:33">
      <c r="O1635" s="364"/>
      <c r="AA1635" s="126"/>
    </row>
    <row r="1636" spans="1:33" ht="26.25">
      <c r="A1636" s="264"/>
      <c r="B1636" s="264"/>
      <c r="C1636" s="264"/>
      <c r="D1636" s="264"/>
      <c r="E1636" s="264"/>
      <c r="F1636" s="264"/>
      <c r="G1636" s="264"/>
      <c r="H1636" s="264"/>
      <c r="I1636" s="264"/>
      <c r="J1636" s="327"/>
      <c r="K1636" s="327"/>
      <c r="L1636" s="327"/>
      <c r="M1636" s="321"/>
      <c r="N1636" s="321"/>
      <c r="O1636" s="364"/>
      <c r="P1636" s="381"/>
      <c r="R1636" s="392"/>
      <c r="S1636" s="61" ph="1"/>
      <c r="U1636" s="229"/>
      <c r="V1636" s="264"/>
      <c r="W1636" s="199"/>
      <c r="X1636" s="264"/>
      <c r="Y1636" s="264"/>
      <c r="Z1636" s="386"/>
      <c r="AA1636" s="126"/>
      <c r="AD1636" s="264"/>
      <c r="AE1636" s="264"/>
      <c r="AF1636" s="264"/>
      <c r="AG1636" s="264"/>
    </row>
    <row r="1637" spans="1:33" ht="26.25">
      <c r="A1637" s="264"/>
      <c r="B1637" s="264"/>
      <c r="C1637" s="264"/>
      <c r="D1637" s="264"/>
      <c r="E1637" s="264"/>
      <c r="F1637" s="264"/>
      <c r="G1637" s="264"/>
      <c r="H1637" s="264"/>
      <c r="I1637" s="264"/>
      <c r="J1637" s="327"/>
      <c r="K1637" s="327"/>
      <c r="L1637" s="327"/>
      <c r="M1637" s="321"/>
      <c r="N1637" s="321"/>
      <c r="O1637" s="364"/>
      <c r="P1637" s="381"/>
      <c r="R1637" s="392"/>
      <c r="S1637" s="61" ph="1"/>
      <c r="U1637" s="229"/>
      <c r="V1637" s="264"/>
      <c r="W1637" s="199"/>
      <c r="X1637" s="264"/>
      <c r="Y1637" s="264"/>
      <c r="Z1637" s="386"/>
      <c r="AA1637" s="126"/>
      <c r="AD1637" s="264"/>
      <c r="AE1637" s="264"/>
      <c r="AF1637" s="264"/>
      <c r="AG1637" s="264"/>
    </row>
    <row r="1638" spans="1:33" ht="26.25">
      <c r="A1638" s="264"/>
      <c r="B1638" s="264"/>
      <c r="C1638" s="264"/>
      <c r="D1638" s="264"/>
      <c r="E1638" s="264"/>
      <c r="F1638" s="264"/>
      <c r="G1638" s="264"/>
      <c r="H1638" s="264"/>
      <c r="I1638" s="264"/>
      <c r="J1638" s="327"/>
      <c r="K1638" s="327"/>
      <c r="L1638" s="327"/>
      <c r="M1638" s="321"/>
      <c r="N1638" s="321"/>
      <c r="P1638" s="381"/>
      <c r="R1638" s="392"/>
      <c r="S1638" s="61" ph="1"/>
      <c r="U1638" s="229"/>
      <c r="V1638" s="264"/>
      <c r="W1638" s="199"/>
      <c r="X1638" s="264"/>
      <c r="Y1638" s="264"/>
      <c r="Z1638" s="386"/>
      <c r="AA1638" s="126"/>
      <c r="AD1638" s="264"/>
      <c r="AE1638" s="264"/>
      <c r="AF1638" s="264"/>
      <c r="AG1638" s="264"/>
    </row>
    <row r="1639" spans="1:33" ht="26.25">
      <c r="A1639" s="264"/>
      <c r="B1639" s="264"/>
      <c r="C1639" s="264"/>
      <c r="D1639" s="264"/>
      <c r="E1639" s="264"/>
      <c r="F1639" s="264"/>
      <c r="G1639" s="264"/>
      <c r="H1639" s="264"/>
      <c r="I1639" s="264"/>
      <c r="J1639" s="327"/>
      <c r="K1639" s="327"/>
      <c r="L1639" s="327"/>
      <c r="M1639" s="321"/>
      <c r="N1639" s="321"/>
      <c r="O1639" s="364"/>
      <c r="P1639" s="381"/>
      <c r="R1639" s="392"/>
      <c r="S1639" s="61" ph="1"/>
      <c r="U1639" s="229"/>
      <c r="V1639" s="264"/>
      <c r="W1639" s="199"/>
      <c r="X1639" s="264"/>
      <c r="Y1639" s="264"/>
      <c r="Z1639" s="386"/>
      <c r="AA1639" s="264"/>
      <c r="AD1639" s="264"/>
      <c r="AE1639" s="264"/>
      <c r="AF1639" s="264"/>
      <c r="AG1639" s="264"/>
    </row>
    <row r="1640" spans="1:33" ht="26.25">
      <c r="A1640" s="264"/>
      <c r="B1640" s="264"/>
      <c r="C1640" s="264"/>
      <c r="D1640" s="264"/>
      <c r="E1640" s="264"/>
      <c r="F1640" s="264"/>
      <c r="G1640" s="264"/>
      <c r="H1640" s="264"/>
      <c r="I1640" s="264"/>
      <c r="J1640" s="327"/>
      <c r="K1640" s="327"/>
      <c r="L1640" s="327"/>
      <c r="M1640" s="321"/>
      <c r="N1640" s="321"/>
      <c r="O1640" s="364"/>
      <c r="P1640" s="381"/>
      <c r="R1640" s="392"/>
      <c r="S1640" s="61" ph="1"/>
      <c r="U1640" s="229"/>
      <c r="V1640" s="264"/>
      <c r="W1640" s="199"/>
      <c r="X1640" s="264"/>
      <c r="Y1640" s="264"/>
      <c r="Z1640" s="386"/>
      <c r="AA1640" s="126"/>
      <c r="AD1640" s="264"/>
      <c r="AE1640" s="264"/>
      <c r="AF1640" s="264"/>
      <c r="AG1640" s="264"/>
    </row>
    <row r="1641" spans="1:33" ht="26.25">
      <c r="A1641" s="264"/>
      <c r="B1641" s="264"/>
      <c r="C1641" s="264"/>
      <c r="D1641" s="264"/>
      <c r="E1641" s="264"/>
      <c r="F1641" s="264"/>
      <c r="G1641" s="264"/>
      <c r="H1641" s="264"/>
      <c r="I1641" s="264"/>
      <c r="J1641" s="327"/>
      <c r="K1641" s="327"/>
      <c r="L1641" s="327"/>
      <c r="M1641" s="321"/>
      <c r="N1641" s="321"/>
      <c r="O1641" s="364"/>
      <c r="P1641" s="381"/>
      <c r="R1641" s="392"/>
      <c r="S1641" s="61" ph="1"/>
      <c r="U1641" s="229"/>
      <c r="V1641" s="264"/>
      <c r="W1641" s="199"/>
      <c r="X1641" s="264"/>
      <c r="Y1641" s="264"/>
      <c r="Z1641" s="386"/>
      <c r="AA1641" s="126"/>
      <c r="AD1641" s="264"/>
      <c r="AE1641" s="264"/>
      <c r="AF1641" s="264"/>
      <c r="AG1641" s="264"/>
    </row>
    <row r="1642" spans="1:33" ht="26.25">
      <c r="A1642" s="264"/>
      <c r="B1642" s="264"/>
      <c r="C1642" s="264"/>
      <c r="D1642" s="264"/>
      <c r="E1642" s="264"/>
      <c r="F1642" s="264"/>
      <c r="G1642" s="264"/>
      <c r="H1642" s="264"/>
      <c r="I1642" s="264"/>
      <c r="J1642" s="327"/>
      <c r="K1642" s="327"/>
      <c r="L1642" s="327"/>
      <c r="M1642" s="321"/>
      <c r="N1642" s="321"/>
      <c r="O1642" s="364"/>
      <c r="P1642" s="381"/>
      <c r="R1642" s="392"/>
      <c r="S1642" s="61" ph="1"/>
      <c r="U1642" s="229"/>
      <c r="V1642" s="264"/>
      <c r="W1642" s="199"/>
      <c r="X1642" s="264"/>
      <c r="Y1642" s="264"/>
      <c r="Z1642" s="386"/>
      <c r="AA1642" s="126"/>
      <c r="AD1642" s="264"/>
      <c r="AE1642" s="264"/>
      <c r="AF1642" s="264"/>
      <c r="AG1642" s="264"/>
    </row>
    <row r="1643" spans="1:33" ht="26.25">
      <c r="A1643" s="264"/>
      <c r="B1643" s="264"/>
      <c r="C1643" s="264"/>
      <c r="D1643" s="264"/>
      <c r="E1643" s="264"/>
      <c r="F1643" s="264"/>
      <c r="G1643" s="264"/>
      <c r="H1643" s="264"/>
      <c r="I1643" s="264"/>
      <c r="J1643" s="327"/>
      <c r="K1643" s="327"/>
      <c r="L1643" s="327"/>
      <c r="M1643" s="321"/>
      <c r="N1643" s="321"/>
      <c r="O1643" s="364"/>
      <c r="P1643" s="381"/>
      <c r="R1643" s="392"/>
      <c r="S1643" s="61" ph="1"/>
      <c r="U1643" s="229"/>
      <c r="V1643" s="264"/>
      <c r="W1643" s="199"/>
      <c r="X1643" s="264"/>
      <c r="Y1643" s="264"/>
      <c r="Z1643" s="386"/>
      <c r="AA1643" s="126"/>
      <c r="AD1643" s="264"/>
      <c r="AE1643" s="264"/>
      <c r="AF1643" s="264"/>
      <c r="AG1643" s="264"/>
    </row>
    <row r="1644" spans="1:33" ht="26.25">
      <c r="A1644" s="264"/>
      <c r="B1644" s="264"/>
      <c r="C1644" s="264"/>
      <c r="D1644" s="264"/>
      <c r="E1644" s="264"/>
      <c r="F1644" s="264"/>
      <c r="G1644" s="264"/>
      <c r="H1644" s="264"/>
      <c r="I1644" s="264"/>
      <c r="J1644" s="327"/>
      <c r="K1644" s="327"/>
      <c r="L1644" s="327"/>
      <c r="M1644" s="321"/>
      <c r="N1644" s="321"/>
      <c r="O1644" s="364"/>
      <c r="P1644" s="381"/>
      <c r="R1644" s="392"/>
      <c r="S1644" s="61" ph="1"/>
      <c r="U1644" s="229"/>
      <c r="V1644" s="264"/>
      <c r="W1644" s="199"/>
      <c r="X1644" s="264"/>
      <c r="Y1644" s="264"/>
      <c r="Z1644" s="386"/>
      <c r="AA1644" s="126"/>
      <c r="AD1644" s="264"/>
      <c r="AE1644" s="264"/>
      <c r="AF1644" s="264"/>
      <c r="AG1644" s="264"/>
    </row>
    <row r="1645" spans="1:33" ht="26.25">
      <c r="A1645" s="264"/>
      <c r="B1645" s="264"/>
      <c r="C1645" s="264"/>
      <c r="D1645" s="264"/>
      <c r="E1645" s="264"/>
      <c r="F1645" s="264"/>
      <c r="G1645" s="264"/>
      <c r="H1645" s="264"/>
      <c r="I1645" s="264"/>
      <c r="J1645" s="327"/>
      <c r="K1645" s="327"/>
      <c r="L1645" s="327"/>
      <c r="M1645" s="321"/>
      <c r="N1645" s="321"/>
      <c r="O1645" s="364"/>
      <c r="P1645" s="381"/>
      <c r="R1645" s="392"/>
      <c r="S1645" s="61" ph="1"/>
      <c r="U1645" s="229"/>
      <c r="V1645" s="264"/>
      <c r="W1645" s="199"/>
      <c r="X1645" s="264"/>
      <c r="Y1645" s="264"/>
      <c r="Z1645" s="386"/>
      <c r="AA1645" s="126"/>
      <c r="AD1645" s="264"/>
      <c r="AE1645" s="264"/>
      <c r="AF1645" s="264"/>
      <c r="AG1645" s="264"/>
    </row>
    <row r="1646" spans="1:33" ht="26.25">
      <c r="A1646" s="264"/>
      <c r="B1646" s="264"/>
      <c r="C1646" s="264"/>
      <c r="D1646" s="264"/>
      <c r="E1646" s="264"/>
      <c r="F1646" s="264"/>
      <c r="G1646" s="264"/>
      <c r="H1646" s="264"/>
      <c r="I1646" s="264"/>
      <c r="J1646" s="327"/>
      <c r="K1646" s="327"/>
      <c r="L1646" s="327"/>
      <c r="M1646" s="321"/>
      <c r="N1646" s="321"/>
      <c r="O1646" s="364"/>
      <c r="P1646" s="381"/>
      <c r="R1646" s="392"/>
      <c r="S1646" s="61" ph="1"/>
      <c r="U1646" s="229"/>
      <c r="V1646" s="264"/>
      <c r="W1646" s="199"/>
      <c r="X1646" s="264"/>
      <c r="Y1646" s="264"/>
      <c r="Z1646" s="386"/>
      <c r="AA1646" s="126"/>
      <c r="AD1646" s="264"/>
      <c r="AE1646" s="264"/>
      <c r="AF1646" s="264"/>
      <c r="AG1646" s="264"/>
    </row>
    <row r="1647" spans="1:33" ht="26.25">
      <c r="A1647" s="264"/>
      <c r="B1647" s="264"/>
      <c r="C1647" s="264"/>
      <c r="D1647" s="264"/>
      <c r="E1647" s="264"/>
      <c r="F1647" s="264"/>
      <c r="G1647" s="264"/>
      <c r="H1647" s="264"/>
      <c r="I1647" s="264"/>
      <c r="J1647" s="327"/>
      <c r="K1647" s="327"/>
      <c r="L1647" s="327"/>
      <c r="M1647" s="321"/>
      <c r="N1647" s="321"/>
      <c r="P1647" s="381"/>
      <c r="R1647" s="392"/>
      <c r="S1647" s="61" ph="1"/>
      <c r="U1647" s="229"/>
      <c r="V1647" s="264"/>
      <c r="W1647" s="199"/>
      <c r="X1647" s="264"/>
      <c r="Y1647" s="264"/>
      <c r="Z1647" s="386"/>
      <c r="AA1647" s="126"/>
      <c r="AD1647" s="264"/>
      <c r="AE1647" s="264"/>
      <c r="AF1647" s="264"/>
      <c r="AG1647" s="264"/>
    </row>
    <row r="1648" spans="1:33" ht="26.25">
      <c r="A1648" s="264"/>
      <c r="B1648" s="264"/>
      <c r="C1648" s="264"/>
      <c r="D1648" s="264"/>
      <c r="E1648" s="264"/>
      <c r="F1648" s="264"/>
      <c r="G1648" s="264"/>
      <c r="H1648" s="264"/>
      <c r="I1648" s="264"/>
      <c r="J1648" s="327"/>
      <c r="K1648" s="327"/>
      <c r="L1648" s="327"/>
      <c r="M1648" s="321"/>
      <c r="N1648" s="321"/>
      <c r="O1648" s="364"/>
      <c r="P1648" s="381"/>
      <c r="R1648" s="392"/>
      <c r="S1648" s="61" ph="1"/>
      <c r="U1648" s="229"/>
      <c r="V1648" s="264"/>
      <c r="W1648" s="199"/>
      <c r="X1648" s="264"/>
      <c r="Y1648" s="264"/>
      <c r="Z1648" s="386"/>
      <c r="AA1648" s="126"/>
      <c r="AD1648" s="264"/>
      <c r="AE1648" s="264"/>
      <c r="AF1648" s="264"/>
      <c r="AG1648" s="264"/>
    </row>
    <row r="1649" spans="1:33" ht="26.25">
      <c r="A1649" s="264"/>
      <c r="B1649" s="264"/>
      <c r="C1649" s="264"/>
      <c r="D1649" s="264"/>
      <c r="E1649" s="264"/>
      <c r="F1649" s="264"/>
      <c r="G1649" s="264"/>
      <c r="H1649" s="264"/>
      <c r="I1649" s="264"/>
      <c r="J1649" s="327"/>
      <c r="K1649" s="327"/>
      <c r="L1649" s="327"/>
      <c r="M1649" s="321"/>
      <c r="N1649" s="321"/>
      <c r="O1649" s="364"/>
      <c r="P1649" s="381"/>
      <c r="R1649" s="392"/>
      <c r="S1649" s="61" ph="1"/>
      <c r="U1649" s="229"/>
      <c r="V1649" s="264"/>
      <c r="W1649" s="199"/>
      <c r="X1649" s="264"/>
      <c r="Y1649" s="264"/>
      <c r="Z1649" s="386"/>
      <c r="AA1649" s="126"/>
      <c r="AD1649" s="264"/>
      <c r="AE1649" s="264"/>
      <c r="AF1649" s="264"/>
      <c r="AG1649" s="264"/>
    </row>
    <row r="1650" spans="1:33" ht="26.25">
      <c r="A1650" s="264"/>
      <c r="B1650" s="264"/>
      <c r="C1650" s="264"/>
      <c r="D1650" s="264"/>
      <c r="E1650" s="264"/>
      <c r="F1650" s="264"/>
      <c r="G1650" s="264"/>
      <c r="H1650" s="264"/>
      <c r="I1650" s="264"/>
      <c r="J1650" s="327"/>
      <c r="K1650" s="327"/>
      <c r="L1650" s="327"/>
      <c r="M1650" s="321"/>
      <c r="N1650" s="321"/>
      <c r="O1650" s="364"/>
      <c r="P1650" s="381"/>
      <c r="R1650" s="392"/>
      <c r="S1650" s="61" ph="1"/>
      <c r="U1650" s="229"/>
      <c r="V1650" s="264"/>
      <c r="W1650" s="199"/>
      <c r="X1650" s="264"/>
      <c r="Y1650" s="264"/>
      <c r="Z1650" s="386"/>
      <c r="AA1650" s="126"/>
      <c r="AD1650" s="264"/>
      <c r="AE1650" s="264"/>
      <c r="AF1650" s="264"/>
      <c r="AG1650" s="264"/>
    </row>
    <row r="1651" spans="1:33" ht="26.25">
      <c r="A1651" s="264"/>
      <c r="B1651" s="264"/>
      <c r="C1651" s="264"/>
      <c r="D1651" s="264"/>
      <c r="E1651" s="264"/>
      <c r="F1651" s="264"/>
      <c r="G1651" s="264"/>
      <c r="H1651" s="264"/>
      <c r="I1651" s="264"/>
      <c r="J1651" s="327"/>
      <c r="K1651" s="327"/>
      <c r="L1651" s="327"/>
      <c r="M1651" s="321"/>
      <c r="N1651" s="321"/>
      <c r="O1651" s="364"/>
      <c r="P1651" s="381"/>
      <c r="R1651" s="392"/>
      <c r="S1651" s="61" ph="1"/>
      <c r="U1651" s="229"/>
      <c r="V1651" s="264"/>
      <c r="W1651" s="199"/>
      <c r="X1651" s="264"/>
      <c r="Y1651" s="264"/>
      <c r="Z1651" s="386"/>
      <c r="AA1651" s="126"/>
      <c r="AD1651" s="264"/>
      <c r="AE1651" s="264"/>
      <c r="AF1651" s="264"/>
      <c r="AG1651" s="264"/>
    </row>
    <row r="1652" spans="1:33" ht="26.25">
      <c r="A1652" s="264"/>
      <c r="B1652" s="264"/>
      <c r="C1652" s="264"/>
      <c r="D1652" s="264"/>
      <c r="E1652" s="264"/>
      <c r="F1652" s="264"/>
      <c r="G1652" s="264"/>
      <c r="H1652" s="264"/>
      <c r="I1652" s="264"/>
      <c r="J1652" s="327"/>
      <c r="K1652" s="327"/>
      <c r="L1652" s="327"/>
      <c r="M1652" s="321"/>
      <c r="N1652" s="321"/>
      <c r="O1652" s="364"/>
      <c r="P1652" s="381"/>
      <c r="R1652" s="392"/>
      <c r="S1652" s="61" ph="1"/>
      <c r="U1652" s="229"/>
      <c r="V1652" s="264"/>
      <c r="W1652" s="199"/>
      <c r="X1652" s="264"/>
      <c r="Y1652" s="264"/>
      <c r="Z1652" s="386"/>
      <c r="AA1652" s="126"/>
      <c r="AD1652" s="264"/>
      <c r="AE1652" s="264"/>
      <c r="AF1652" s="264"/>
      <c r="AG1652" s="264"/>
    </row>
    <row r="1653" spans="1:33" ht="26.25">
      <c r="A1653" s="264"/>
      <c r="B1653" s="264"/>
      <c r="C1653" s="264"/>
      <c r="D1653" s="264"/>
      <c r="E1653" s="264"/>
      <c r="F1653" s="264"/>
      <c r="G1653" s="264"/>
      <c r="H1653" s="264"/>
      <c r="I1653" s="264"/>
      <c r="J1653" s="327"/>
      <c r="K1653" s="327"/>
      <c r="L1653" s="327"/>
      <c r="M1653" s="321"/>
      <c r="N1653" s="321"/>
      <c r="O1653" s="364"/>
      <c r="P1653" s="381"/>
      <c r="R1653" s="392"/>
      <c r="S1653" s="61" ph="1"/>
      <c r="U1653" s="229"/>
      <c r="V1653" s="264"/>
      <c r="W1653" s="199"/>
      <c r="X1653" s="264"/>
      <c r="Y1653" s="264"/>
      <c r="Z1653" s="386"/>
      <c r="AA1653" s="126"/>
      <c r="AD1653" s="264"/>
      <c r="AE1653" s="264"/>
      <c r="AF1653" s="264"/>
      <c r="AG1653" s="264"/>
    </row>
    <row r="1654" spans="1:33" ht="26.25">
      <c r="A1654" s="264"/>
      <c r="B1654" s="264"/>
      <c r="C1654" s="264"/>
      <c r="D1654" s="264"/>
      <c r="E1654" s="264"/>
      <c r="F1654" s="264"/>
      <c r="G1654" s="264"/>
      <c r="H1654" s="264"/>
      <c r="I1654" s="264"/>
      <c r="J1654" s="327"/>
      <c r="K1654" s="327"/>
      <c r="L1654" s="327"/>
      <c r="M1654" s="321"/>
      <c r="N1654" s="321"/>
      <c r="O1654" s="364"/>
      <c r="P1654" s="381"/>
      <c r="R1654" s="392"/>
      <c r="S1654" s="61" ph="1"/>
      <c r="U1654" s="229"/>
      <c r="V1654" s="264"/>
      <c r="W1654" s="199"/>
      <c r="X1654" s="264"/>
      <c r="Y1654" s="264"/>
      <c r="Z1654" s="386"/>
      <c r="AA1654" s="27"/>
      <c r="AD1654" s="264"/>
      <c r="AE1654" s="264"/>
      <c r="AF1654" s="264"/>
      <c r="AG1654" s="264"/>
    </row>
    <row r="1655" spans="1:33" ht="26.25">
      <c r="A1655" s="264"/>
      <c r="B1655" s="264"/>
      <c r="C1655" s="264"/>
      <c r="D1655" s="264"/>
      <c r="E1655" s="264"/>
      <c r="F1655" s="264"/>
      <c r="G1655" s="264"/>
      <c r="H1655" s="264"/>
      <c r="I1655" s="264"/>
      <c r="J1655" s="327"/>
      <c r="K1655" s="327"/>
      <c r="L1655" s="327"/>
      <c r="M1655" s="321"/>
      <c r="N1655" s="321"/>
      <c r="O1655" s="364"/>
      <c r="P1655" s="381"/>
      <c r="R1655" s="392"/>
      <c r="S1655" s="61" ph="1"/>
      <c r="U1655" s="229"/>
      <c r="V1655" s="264"/>
      <c r="W1655" s="199"/>
      <c r="X1655" s="264"/>
      <c r="Y1655" s="264"/>
      <c r="Z1655" s="386"/>
      <c r="AA1655" s="126"/>
      <c r="AD1655" s="264"/>
      <c r="AE1655" s="264"/>
      <c r="AF1655" s="264"/>
      <c r="AG1655" s="264"/>
    </row>
    <row r="1656" spans="1:33" ht="26.25">
      <c r="A1656" s="264"/>
      <c r="B1656" s="264"/>
      <c r="C1656" s="264"/>
      <c r="D1656" s="264"/>
      <c r="E1656" s="264"/>
      <c r="F1656" s="264"/>
      <c r="G1656" s="264"/>
      <c r="H1656" s="264"/>
      <c r="I1656" s="264"/>
      <c r="J1656" s="327"/>
      <c r="K1656" s="327"/>
      <c r="L1656" s="327"/>
      <c r="M1656" s="321"/>
      <c r="N1656" s="321"/>
      <c r="O1656" s="364"/>
      <c r="P1656" s="381"/>
      <c r="R1656" s="392"/>
      <c r="S1656" s="61" ph="1"/>
      <c r="U1656" s="229"/>
      <c r="V1656" s="264"/>
      <c r="W1656" s="199"/>
      <c r="X1656" s="264"/>
      <c r="Y1656" s="264"/>
      <c r="Z1656" s="386"/>
      <c r="AA1656" s="126"/>
      <c r="AD1656" s="264"/>
      <c r="AE1656" s="264"/>
      <c r="AF1656" s="264"/>
      <c r="AG1656" s="264"/>
    </row>
    <row r="1657" spans="1:33" ht="26.25">
      <c r="A1657" s="264"/>
      <c r="B1657" s="264"/>
      <c r="C1657" s="264"/>
      <c r="D1657" s="264"/>
      <c r="E1657" s="264"/>
      <c r="F1657" s="264"/>
      <c r="G1657" s="264"/>
      <c r="H1657" s="264"/>
      <c r="I1657" s="264"/>
      <c r="J1657" s="327"/>
      <c r="K1657" s="327"/>
      <c r="L1657" s="327"/>
      <c r="M1657" s="321"/>
      <c r="N1657" s="321"/>
      <c r="O1657" s="364"/>
      <c r="P1657" s="381"/>
      <c r="R1657" s="392"/>
      <c r="S1657" s="61" ph="1"/>
      <c r="U1657" s="229"/>
      <c r="V1657" s="264"/>
      <c r="W1657" s="199"/>
      <c r="X1657" s="264"/>
      <c r="Y1657" s="264"/>
      <c r="Z1657" s="386"/>
      <c r="AA1657" s="126"/>
      <c r="AD1657" s="264"/>
      <c r="AE1657" s="264"/>
      <c r="AF1657" s="264"/>
      <c r="AG1657" s="264"/>
    </row>
    <row r="1658" spans="1:33" ht="26.25">
      <c r="A1658" s="264"/>
      <c r="B1658" s="264"/>
      <c r="C1658" s="264"/>
      <c r="D1658" s="264"/>
      <c r="E1658" s="264"/>
      <c r="F1658" s="264"/>
      <c r="G1658" s="264"/>
      <c r="H1658" s="264"/>
      <c r="I1658" s="264"/>
      <c r="J1658" s="327"/>
      <c r="K1658" s="327"/>
      <c r="L1658" s="327"/>
      <c r="M1658" s="321"/>
      <c r="N1658" s="321"/>
      <c r="O1658" s="364"/>
      <c r="P1658" s="381"/>
      <c r="R1658" s="392"/>
      <c r="S1658" s="61" ph="1"/>
      <c r="U1658" s="229"/>
      <c r="V1658" s="264"/>
      <c r="W1658" s="199"/>
      <c r="X1658" s="264"/>
      <c r="Y1658" s="264"/>
      <c r="Z1658" s="386"/>
      <c r="AA1658" s="126"/>
      <c r="AD1658" s="264"/>
      <c r="AE1658" s="264"/>
      <c r="AF1658" s="264"/>
      <c r="AG1658" s="264"/>
    </row>
    <row r="1659" spans="1:33" ht="26.25">
      <c r="A1659" s="264"/>
      <c r="B1659" s="264"/>
      <c r="C1659" s="264"/>
      <c r="D1659" s="264"/>
      <c r="E1659" s="264"/>
      <c r="F1659" s="264"/>
      <c r="G1659" s="264"/>
      <c r="H1659" s="264"/>
      <c r="I1659" s="264"/>
      <c r="J1659" s="327"/>
      <c r="K1659" s="327"/>
      <c r="L1659" s="327"/>
      <c r="M1659" s="321"/>
      <c r="N1659" s="321"/>
      <c r="O1659" s="364"/>
      <c r="P1659" s="381"/>
      <c r="R1659" s="392"/>
      <c r="S1659" s="61" ph="1"/>
      <c r="U1659" s="229"/>
      <c r="V1659" s="264"/>
      <c r="W1659" s="199"/>
      <c r="X1659" s="264"/>
      <c r="Y1659" s="264"/>
      <c r="Z1659" s="386"/>
      <c r="AA1659" s="126"/>
      <c r="AD1659" s="264"/>
      <c r="AE1659" s="264"/>
      <c r="AF1659" s="264"/>
      <c r="AG1659" s="264"/>
    </row>
    <row r="1660" spans="1:33" ht="26.25">
      <c r="A1660" s="264"/>
      <c r="B1660" s="264"/>
      <c r="C1660" s="264"/>
      <c r="D1660" s="264"/>
      <c r="E1660" s="264"/>
      <c r="F1660" s="264"/>
      <c r="G1660" s="264"/>
      <c r="H1660" s="264"/>
      <c r="I1660" s="264"/>
      <c r="J1660" s="327"/>
      <c r="K1660" s="327"/>
      <c r="L1660" s="327"/>
      <c r="M1660" s="321"/>
      <c r="N1660" s="321"/>
      <c r="O1660" s="364"/>
      <c r="P1660" s="381"/>
      <c r="R1660" s="392"/>
      <c r="S1660" s="61" ph="1"/>
      <c r="U1660" s="229"/>
      <c r="V1660" s="264"/>
      <c r="W1660" s="199"/>
      <c r="X1660" s="264"/>
      <c r="Y1660" s="264"/>
      <c r="Z1660" s="386"/>
      <c r="AA1660" s="126"/>
      <c r="AD1660" s="264"/>
      <c r="AE1660" s="264"/>
      <c r="AF1660" s="264"/>
      <c r="AG1660" s="264"/>
    </row>
    <row r="1661" spans="1:33" ht="26.25">
      <c r="A1661" s="264"/>
      <c r="B1661" s="264"/>
      <c r="C1661" s="264"/>
      <c r="D1661" s="264"/>
      <c r="E1661" s="264"/>
      <c r="F1661" s="264"/>
      <c r="G1661" s="264"/>
      <c r="H1661" s="264"/>
      <c r="I1661" s="264"/>
      <c r="J1661" s="327"/>
      <c r="K1661" s="327"/>
      <c r="L1661" s="327"/>
      <c r="M1661" s="321"/>
      <c r="N1661" s="321"/>
      <c r="O1661" s="364"/>
      <c r="P1661" s="381"/>
      <c r="R1661" s="392"/>
      <c r="S1661" s="61" ph="1"/>
      <c r="U1661" s="229"/>
      <c r="V1661" s="264"/>
      <c r="W1661" s="199"/>
      <c r="X1661" s="264"/>
      <c r="Y1661" s="264"/>
      <c r="Z1661" s="386"/>
      <c r="AA1661" s="126"/>
      <c r="AD1661" s="264"/>
      <c r="AE1661" s="264"/>
      <c r="AF1661" s="264"/>
      <c r="AG1661" s="264"/>
    </row>
    <row r="1662" spans="1:33" ht="26.25">
      <c r="A1662" s="264"/>
      <c r="B1662" s="264"/>
      <c r="C1662" s="264"/>
      <c r="D1662" s="264"/>
      <c r="E1662" s="264"/>
      <c r="F1662" s="264"/>
      <c r="G1662" s="264"/>
      <c r="H1662" s="264"/>
      <c r="I1662" s="264"/>
      <c r="J1662" s="327"/>
      <c r="K1662" s="327"/>
      <c r="L1662" s="327"/>
      <c r="M1662" s="321"/>
      <c r="N1662" s="321"/>
      <c r="O1662" s="364"/>
      <c r="P1662" s="381"/>
      <c r="R1662" s="392"/>
      <c r="S1662" s="61" ph="1"/>
      <c r="U1662" s="229"/>
      <c r="V1662" s="264"/>
      <c r="W1662" s="199"/>
      <c r="X1662" s="264"/>
      <c r="Y1662" s="264"/>
      <c r="Z1662" s="386"/>
      <c r="AA1662" s="126"/>
      <c r="AD1662" s="264"/>
      <c r="AE1662" s="264"/>
      <c r="AF1662" s="264"/>
      <c r="AG1662" s="264"/>
    </row>
    <row r="1663" spans="1:33" ht="26.25">
      <c r="A1663" s="264"/>
      <c r="B1663" s="264"/>
      <c r="C1663" s="264"/>
      <c r="D1663" s="264"/>
      <c r="E1663" s="264"/>
      <c r="F1663" s="264"/>
      <c r="G1663" s="264"/>
      <c r="H1663" s="264"/>
      <c r="I1663" s="264"/>
      <c r="J1663" s="327"/>
      <c r="K1663" s="327"/>
      <c r="L1663" s="327"/>
      <c r="M1663" s="321"/>
      <c r="N1663" s="321"/>
      <c r="O1663" s="364"/>
      <c r="P1663" s="381"/>
      <c r="R1663" s="392"/>
      <c r="S1663" s="61" ph="1"/>
      <c r="U1663" s="229"/>
      <c r="V1663" s="264"/>
      <c r="W1663" s="199"/>
      <c r="X1663" s="264"/>
      <c r="Y1663" s="264"/>
      <c r="Z1663" s="386"/>
      <c r="AA1663" s="126"/>
      <c r="AD1663" s="264"/>
      <c r="AE1663" s="264"/>
      <c r="AF1663" s="264"/>
      <c r="AG1663" s="264"/>
    </row>
    <row r="1664" spans="1:33" ht="26.25">
      <c r="A1664" s="264"/>
      <c r="B1664" s="264"/>
      <c r="C1664" s="264"/>
      <c r="D1664" s="264"/>
      <c r="E1664" s="264"/>
      <c r="F1664" s="264"/>
      <c r="G1664" s="264"/>
      <c r="H1664" s="264"/>
      <c r="I1664" s="264"/>
      <c r="J1664" s="327"/>
      <c r="K1664" s="327"/>
      <c r="L1664" s="327"/>
      <c r="M1664" s="321"/>
      <c r="N1664" s="321"/>
      <c r="O1664" s="364"/>
      <c r="P1664" s="381"/>
      <c r="R1664" s="392"/>
      <c r="S1664" s="61" ph="1"/>
      <c r="U1664" s="229"/>
      <c r="V1664" s="264"/>
      <c r="W1664" s="199"/>
      <c r="X1664" s="264"/>
      <c r="Y1664" s="264"/>
      <c r="Z1664" s="386"/>
      <c r="AA1664" s="126"/>
      <c r="AD1664" s="264"/>
      <c r="AE1664" s="264"/>
      <c r="AF1664" s="264"/>
      <c r="AG1664" s="264"/>
    </row>
    <row r="1665" spans="1:33" ht="26.25">
      <c r="A1665" s="264"/>
      <c r="B1665" s="264"/>
      <c r="C1665" s="264"/>
      <c r="D1665" s="264"/>
      <c r="E1665" s="264"/>
      <c r="F1665" s="264"/>
      <c r="G1665" s="264"/>
      <c r="H1665" s="264"/>
      <c r="I1665" s="264"/>
      <c r="J1665" s="327"/>
      <c r="K1665" s="327"/>
      <c r="L1665" s="327"/>
      <c r="M1665" s="321"/>
      <c r="N1665" s="321"/>
      <c r="O1665" s="364"/>
      <c r="P1665" s="381"/>
      <c r="R1665" s="392"/>
      <c r="S1665" s="61" ph="1"/>
      <c r="U1665" s="229"/>
      <c r="V1665" s="264"/>
      <c r="W1665" s="199"/>
      <c r="X1665" s="264"/>
      <c r="Y1665" s="264"/>
      <c r="Z1665" s="386"/>
      <c r="AA1665" s="126"/>
      <c r="AD1665" s="264"/>
      <c r="AE1665" s="264"/>
      <c r="AF1665" s="264"/>
      <c r="AG1665" s="264"/>
    </row>
    <row r="1666" spans="1:33" ht="26.25">
      <c r="A1666" s="264"/>
      <c r="B1666" s="264"/>
      <c r="C1666" s="264"/>
      <c r="D1666" s="264"/>
      <c r="E1666" s="264"/>
      <c r="F1666" s="264"/>
      <c r="G1666" s="264"/>
      <c r="H1666" s="264"/>
      <c r="I1666" s="264"/>
      <c r="J1666" s="327"/>
      <c r="K1666" s="327"/>
      <c r="L1666" s="327"/>
      <c r="M1666" s="321"/>
      <c r="N1666" s="321"/>
      <c r="O1666" s="364"/>
      <c r="P1666" s="381"/>
      <c r="R1666" s="392"/>
      <c r="S1666" s="61" ph="1"/>
      <c r="U1666" s="229"/>
      <c r="V1666" s="264"/>
      <c r="W1666" s="199"/>
      <c r="X1666" s="264"/>
      <c r="Y1666" s="264"/>
      <c r="Z1666" s="386"/>
      <c r="AA1666" s="126"/>
      <c r="AD1666" s="264"/>
      <c r="AE1666" s="264"/>
      <c r="AF1666" s="264"/>
      <c r="AG1666" s="264"/>
    </row>
    <row r="1667" spans="1:33" ht="26.25">
      <c r="A1667" s="264"/>
      <c r="B1667" s="264"/>
      <c r="C1667" s="264"/>
      <c r="D1667" s="264"/>
      <c r="E1667" s="264"/>
      <c r="F1667" s="264"/>
      <c r="G1667" s="264"/>
      <c r="H1667" s="264"/>
      <c r="I1667" s="264"/>
      <c r="J1667" s="327"/>
      <c r="K1667" s="327"/>
      <c r="L1667" s="327"/>
      <c r="M1667" s="321"/>
      <c r="N1667" s="321"/>
      <c r="O1667" s="364"/>
      <c r="P1667" s="381"/>
      <c r="R1667" s="392"/>
      <c r="S1667" s="61" ph="1"/>
      <c r="U1667" s="229"/>
      <c r="V1667" s="264"/>
      <c r="W1667" s="199"/>
      <c r="X1667" s="264"/>
      <c r="Y1667" s="264"/>
      <c r="Z1667" s="386"/>
      <c r="AA1667" s="126"/>
      <c r="AD1667" s="264"/>
      <c r="AE1667" s="264"/>
      <c r="AF1667" s="264"/>
      <c r="AG1667" s="264"/>
    </row>
    <row r="1668" spans="1:33" ht="26.25">
      <c r="A1668" s="264"/>
      <c r="B1668" s="264"/>
      <c r="C1668" s="264"/>
      <c r="D1668" s="264"/>
      <c r="E1668" s="264"/>
      <c r="F1668" s="264"/>
      <c r="G1668" s="264"/>
      <c r="H1668" s="264"/>
      <c r="I1668" s="264"/>
      <c r="J1668" s="327"/>
      <c r="K1668" s="327"/>
      <c r="L1668" s="327"/>
      <c r="M1668" s="321"/>
      <c r="N1668" s="321"/>
      <c r="O1668" s="364"/>
      <c r="P1668" s="381"/>
      <c r="R1668" s="392"/>
      <c r="S1668" s="61" ph="1"/>
      <c r="U1668" s="229"/>
      <c r="V1668" s="264"/>
      <c r="W1668" s="199"/>
      <c r="X1668" s="264"/>
      <c r="Y1668" s="264"/>
      <c r="Z1668" s="386"/>
      <c r="AA1668" s="264"/>
      <c r="AD1668" s="264"/>
      <c r="AE1668" s="264"/>
      <c r="AF1668" s="264"/>
      <c r="AG1668" s="264"/>
    </row>
    <row r="1669" spans="1:33" ht="26.25">
      <c r="A1669" s="264"/>
      <c r="B1669" s="264"/>
      <c r="C1669" s="264"/>
      <c r="D1669" s="264"/>
      <c r="E1669" s="264"/>
      <c r="F1669" s="264"/>
      <c r="G1669" s="264"/>
      <c r="H1669" s="264"/>
      <c r="I1669" s="264"/>
      <c r="J1669" s="327"/>
      <c r="K1669" s="327"/>
      <c r="L1669" s="327"/>
      <c r="M1669" s="321"/>
      <c r="N1669" s="321"/>
      <c r="O1669" s="364"/>
      <c r="P1669" s="381"/>
      <c r="R1669" s="392"/>
      <c r="S1669" s="61" ph="1"/>
      <c r="U1669" s="229"/>
      <c r="V1669" s="264"/>
      <c r="W1669" s="199"/>
      <c r="X1669" s="264"/>
      <c r="Y1669" s="264"/>
      <c r="Z1669" s="386"/>
      <c r="AA1669" s="126"/>
      <c r="AD1669" s="264"/>
      <c r="AE1669" s="264"/>
      <c r="AF1669" s="264"/>
      <c r="AG1669" s="264"/>
    </row>
    <row r="1670" spans="1:33" ht="26.25">
      <c r="A1670" s="264"/>
      <c r="B1670" s="264"/>
      <c r="C1670" s="264"/>
      <c r="D1670" s="264"/>
      <c r="E1670" s="264"/>
      <c r="F1670" s="264"/>
      <c r="G1670" s="264"/>
      <c r="H1670" s="264"/>
      <c r="I1670" s="264"/>
      <c r="J1670" s="327"/>
      <c r="K1670" s="327"/>
      <c r="L1670" s="327"/>
      <c r="M1670" s="321"/>
      <c r="N1670" s="321"/>
      <c r="O1670" s="364"/>
      <c r="P1670" s="381"/>
      <c r="R1670" s="392"/>
      <c r="S1670" s="61" ph="1"/>
      <c r="U1670" s="229"/>
      <c r="V1670" s="264"/>
      <c r="W1670" s="199"/>
      <c r="X1670" s="264"/>
      <c r="Y1670" s="264"/>
      <c r="Z1670" s="386"/>
      <c r="AA1670" s="126"/>
      <c r="AD1670" s="264"/>
      <c r="AE1670" s="264"/>
      <c r="AF1670" s="264"/>
      <c r="AG1670" s="264"/>
    </row>
    <row r="1671" spans="1:33" ht="26.25">
      <c r="A1671" s="264"/>
      <c r="B1671" s="264"/>
      <c r="C1671" s="264"/>
      <c r="D1671" s="264"/>
      <c r="E1671" s="264"/>
      <c r="F1671" s="264"/>
      <c r="G1671" s="264"/>
      <c r="H1671" s="264"/>
      <c r="I1671" s="264"/>
      <c r="J1671" s="327"/>
      <c r="K1671" s="327"/>
      <c r="L1671" s="327"/>
      <c r="M1671" s="321"/>
      <c r="N1671" s="321"/>
      <c r="O1671" s="364"/>
      <c r="P1671" s="381"/>
      <c r="R1671" s="392"/>
      <c r="S1671" s="61" ph="1"/>
      <c r="U1671" s="229"/>
      <c r="V1671" s="264"/>
      <c r="W1671" s="199"/>
      <c r="X1671" s="264"/>
      <c r="Y1671" s="264"/>
      <c r="Z1671" s="386"/>
      <c r="AA1671" s="126"/>
      <c r="AD1671" s="264"/>
      <c r="AE1671" s="264"/>
      <c r="AF1671" s="264"/>
      <c r="AG1671" s="264"/>
    </row>
    <row r="1672" spans="1:33" ht="26.25">
      <c r="A1672" s="264"/>
      <c r="B1672" s="264"/>
      <c r="C1672" s="264"/>
      <c r="D1672" s="264"/>
      <c r="E1672" s="264"/>
      <c r="F1672" s="264"/>
      <c r="G1672" s="264"/>
      <c r="H1672" s="264"/>
      <c r="I1672" s="264"/>
      <c r="J1672" s="327"/>
      <c r="K1672" s="327"/>
      <c r="L1672" s="327"/>
      <c r="M1672" s="321"/>
      <c r="N1672" s="321"/>
      <c r="O1672" s="364"/>
      <c r="P1672" s="381"/>
      <c r="R1672" s="392"/>
      <c r="S1672" s="61" ph="1"/>
      <c r="U1672" s="229"/>
      <c r="V1672" s="264"/>
      <c r="W1672" s="199"/>
      <c r="X1672" s="264"/>
      <c r="Y1672" s="264"/>
      <c r="Z1672" s="386"/>
      <c r="AA1672" s="126"/>
      <c r="AD1672" s="264"/>
      <c r="AE1672" s="264"/>
      <c r="AF1672" s="264"/>
      <c r="AG1672" s="264"/>
    </row>
    <row r="1673" spans="1:33" ht="26.25">
      <c r="A1673" s="264"/>
      <c r="B1673" s="264"/>
      <c r="C1673" s="264"/>
      <c r="D1673" s="264"/>
      <c r="E1673" s="264"/>
      <c r="F1673" s="264"/>
      <c r="G1673" s="264"/>
      <c r="H1673" s="264"/>
      <c r="I1673" s="264"/>
      <c r="J1673" s="327"/>
      <c r="K1673" s="327"/>
      <c r="L1673" s="327"/>
      <c r="M1673" s="321"/>
      <c r="N1673" s="321"/>
      <c r="O1673" s="364"/>
      <c r="P1673" s="381"/>
      <c r="R1673" s="392"/>
      <c r="S1673" s="61" ph="1"/>
      <c r="U1673" s="229"/>
      <c r="V1673" s="264"/>
      <c r="W1673" s="199"/>
      <c r="X1673" s="264"/>
      <c r="Y1673" s="264"/>
      <c r="Z1673" s="386"/>
      <c r="AA1673" s="126"/>
      <c r="AD1673" s="264"/>
      <c r="AE1673" s="264"/>
      <c r="AF1673" s="264"/>
      <c r="AG1673" s="264"/>
    </row>
    <row r="1674" spans="1:33" ht="26.25">
      <c r="A1674" s="264"/>
      <c r="B1674" s="264"/>
      <c r="C1674" s="264"/>
      <c r="D1674" s="264"/>
      <c r="E1674" s="264"/>
      <c r="F1674" s="264"/>
      <c r="G1674" s="264"/>
      <c r="H1674" s="264"/>
      <c r="I1674" s="264"/>
      <c r="J1674" s="327"/>
      <c r="K1674" s="327"/>
      <c r="L1674" s="327"/>
      <c r="M1674" s="321"/>
      <c r="N1674" s="321"/>
      <c r="O1674" s="364"/>
      <c r="P1674" s="381"/>
      <c r="R1674" s="392"/>
      <c r="S1674" s="61" ph="1"/>
      <c r="U1674" s="229"/>
      <c r="V1674" s="264"/>
      <c r="W1674" s="199"/>
      <c r="X1674" s="264"/>
      <c r="Y1674" s="264"/>
      <c r="Z1674" s="386"/>
      <c r="AA1674" s="126"/>
      <c r="AD1674" s="264"/>
      <c r="AE1674" s="264"/>
      <c r="AF1674" s="264"/>
      <c r="AG1674" s="264"/>
    </row>
    <row r="1675" spans="1:33" ht="26.25">
      <c r="A1675" s="264"/>
      <c r="B1675" s="264"/>
      <c r="C1675" s="264"/>
      <c r="D1675" s="264"/>
      <c r="E1675" s="264"/>
      <c r="F1675" s="264"/>
      <c r="G1675" s="264"/>
      <c r="H1675" s="264"/>
      <c r="I1675" s="264"/>
      <c r="J1675" s="327"/>
      <c r="K1675" s="327"/>
      <c r="L1675" s="327"/>
      <c r="M1675" s="321"/>
      <c r="N1675" s="321"/>
      <c r="O1675" s="364"/>
      <c r="P1675" s="381"/>
      <c r="R1675" s="392"/>
      <c r="S1675" s="61" ph="1"/>
      <c r="U1675" s="229"/>
      <c r="V1675" s="264"/>
      <c r="W1675" s="199"/>
      <c r="X1675" s="264"/>
      <c r="Y1675" s="264"/>
      <c r="Z1675" s="386"/>
      <c r="AA1675" s="126"/>
      <c r="AD1675" s="264"/>
      <c r="AE1675" s="264"/>
      <c r="AF1675" s="264"/>
      <c r="AG1675" s="264"/>
    </row>
    <row r="1676" spans="1:33" ht="26.25">
      <c r="A1676" s="264"/>
      <c r="B1676" s="264"/>
      <c r="C1676" s="264"/>
      <c r="D1676" s="264"/>
      <c r="E1676" s="264"/>
      <c r="F1676" s="264"/>
      <c r="G1676" s="264"/>
      <c r="H1676" s="264"/>
      <c r="I1676" s="264"/>
      <c r="J1676" s="327"/>
      <c r="K1676" s="327"/>
      <c r="L1676" s="327"/>
      <c r="M1676" s="321"/>
      <c r="N1676" s="321"/>
      <c r="O1676" s="364"/>
      <c r="P1676" s="381"/>
      <c r="R1676" s="392"/>
      <c r="S1676" s="61" ph="1"/>
      <c r="U1676" s="229"/>
      <c r="V1676" s="264"/>
      <c r="W1676" s="199"/>
      <c r="X1676" s="264"/>
      <c r="Y1676" s="264"/>
      <c r="Z1676" s="386"/>
      <c r="AA1676" s="126"/>
      <c r="AD1676" s="264"/>
      <c r="AE1676" s="264"/>
      <c r="AF1676" s="264"/>
      <c r="AG1676" s="264"/>
    </row>
    <row r="1677" spans="1:33" ht="26.25">
      <c r="A1677" s="264"/>
      <c r="B1677" s="264"/>
      <c r="C1677" s="264"/>
      <c r="D1677" s="264"/>
      <c r="E1677" s="264"/>
      <c r="F1677" s="264"/>
      <c r="G1677" s="264"/>
      <c r="H1677" s="264"/>
      <c r="I1677" s="264"/>
      <c r="J1677" s="327"/>
      <c r="K1677" s="327"/>
      <c r="L1677" s="327"/>
      <c r="M1677" s="321"/>
      <c r="N1677" s="321"/>
      <c r="O1677" s="364"/>
      <c r="P1677" s="381"/>
      <c r="R1677" s="392"/>
      <c r="S1677" s="61" ph="1"/>
      <c r="U1677" s="229"/>
      <c r="V1677" s="264"/>
      <c r="W1677" s="199"/>
      <c r="X1677" s="264"/>
      <c r="Y1677" s="264"/>
      <c r="Z1677" s="386"/>
      <c r="AA1677" s="126"/>
      <c r="AD1677" s="264"/>
      <c r="AE1677" s="264"/>
      <c r="AF1677" s="264"/>
      <c r="AG1677" s="264"/>
    </row>
    <row r="1678" spans="1:33" ht="26.25">
      <c r="A1678" s="264"/>
      <c r="B1678" s="264"/>
      <c r="C1678" s="264"/>
      <c r="D1678" s="264"/>
      <c r="E1678" s="264"/>
      <c r="F1678" s="264"/>
      <c r="G1678" s="264"/>
      <c r="H1678" s="264"/>
      <c r="I1678" s="264"/>
      <c r="J1678" s="327"/>
      <c r="K1678" s="327"/>
      <c r="L1678" s="327"/>
      <c r="M1678" s="321"/>
      <c r="N1678" s="321"/>
      <c r="O1678" s="364"/>
      <c r="P1678" s="381"/>
      <c r="R1678" s="392"/>
      <c r="S1678" s="61" ph="1"/>
      <c r="U1678" s="229"/>
      <c r="V1678" s="264"/>
      <c r="W1678" s="199"/>
      <c r="X1678" s="264"/>
      <c r="Y1678" s="264"/>
      <c r="Z1678" s="386"/>
      <c r="AA1678" s="126"/>
      <c r="AD1678" s="264"/>
      <c r="AE1678" s="264"/>
      <c r="AF1678" s="264"/>
      <c r="AG1678" s="264"/>
    </row>
    <row r="1679" spans="1:33" ht="26.25">
      <c r="A1679" s="264"/>
      <c r="B1679" s="264"/>
      <c r="C1679" s="264"/>
      <c r="D1679" s="264"/>
      <c r="E1679" s="264"/>
      <c r="F1679" s="264"/>
      <c r="G1679" s="264"/>
      <c r="H1679" s="264"/>
      <c r="I1679" s="264"/>
      <c r="J1679" s="327"/>
      <c r="K1679" s="327"/>
      <c r="L1679" s="327"/>
      <c r="M1679" s="321"/>
      <c r="N1679" s="321"/>
      <c r="O1679" s="364"/>
      <c r="P1679" s="381"/>
      <c r="R1679" s="392"/>
      <c r="S1679" s="61" ph="1"/>
      <c r="U1679" s="229"/>
      <c r="V1679" s="264"/>
      <c r="W1679" s="199"/>
      <c r="X1679" s="264"/>
      <c r="Y1679" s="264"/>
      <c r="Z1679" s="386"/>
      <c r="AA1679" s="264"/>
      <c r="AD1679" s="264"/>
      <c r="AE1679" s="264"/>
      <c r="AF1679" s="264"/>
      <c r="AG1679" s="264"/>
    </row>
    <row r="1680" spans="1:33" ht="26.25">
      <c r="A1680" s="264"/>
      <c r="B1680" s="264"/>
      <c r="C1680" s="264"/>
      <c r="D1680" s="264"/>
      <c r="E1680" s="264"/>
      <c r="F1680" s="264"/>
      <c r="G1680" s="264"/>
      <c r="H1680" s="264"/>
      <c r="I1680" s="264"/>
      <c r="J1680" s="327"/>
      <c r="K1680" s="327"/>
      <c r="L1680" s="327"/>
      <c r="M1680" s="321"/>
      <c r="N1680" s="321"/>
      <c r="O1680" s="364"/>
      <c r="P1680" s="381"/>
      <c r="R1680" s="392"/>
      <c r="S1680" s="61" ph="1"/>
      <c r="U1680" s="229"/>
      <c r="V1680" s="264"/>
      <c r="W1680" s="199"/>
      <c r="X1680" s="264"/>
      <c r="Y1680" s="264"/>
      <c r="Z1680" s="386"/>
      <c r="AA1680" s="126"/>
      <c r="AD1680" s="264"/>
      <c r="AE1680" s="264"/>
      <c r="AF1680" s="264"/>
      <c r="AG1680" s="264"/>
    </row>
    <row r="1681" spans="1:33" ht="26.25">
      <c r="A1681" s="264"/>
      <c r="B1681" s="264"/>
      <c r="C1681" s="264"/>
      <c r="D1681" s="264"/>
      <c r="E1681" s="264"/>
      <c r="F1681" s="264"/>
      <c r="G1681" s="264"/>
      <c r="H1681" s="264"/>
      <c r="I1681" s="264"/>
      <c r="J1681" s="327"/>
      <c r="K1681" s="327"/>
      <c r="L1681" s="327"/>
      <c r="M1681" s="321"/>
      <c r="N1681" s="321"/>
      <c r="O1681" s="364"/>
      <c r="P1681" s="381"/>
      <c r="R1681" s="392"/>
      <c r="S1681" s="61" ph="1"/>
      <c r="U1681" s="229"/>
      <c r="V1681" s="264"/>
      <c r="W1681" s="199"/>
      <c r="X1681" s="264"/>
      <c r="Y1681" s="264"/>
      <c r="Z1681" s="386"/>
      <c r="AA1681" s="126"/>
      <c r="AD1681" s="264"/>
      <c r="AE1681" s="264"/>
      <c r="AF1681" s="264"/>
      <c r="AG1681" s="264"/>
    </row>
    <row r="1682" spans="1:33" ht="26.25">
      <c r="A1682" s="264"/>
      <c r="B1682" s="264"/>
      <c r="C1682" s="264"/>
      <c r="D1682" s="264"/>
      <c r="E1682" s="264"/>
      <c r="F1682" s="264"/>
      <c r="G1682" s="264"/>
      <c r="H1682" s="264"/>
      <c r="I1682" s="264"/>
      <c r="J1682" s="327"/>
      <c r="K1682" s="327"/>
      <c r="L1682" s="327"/>
      <c r="M1682" s="321"/>
      <c r="N1682" s="321"/>
      <c r="O1682" s="364"/>
      <c r="P1682" s="381"/>
      <c r="R1682" s="392"/>
      <c r="S1682" s="61" ph="1"/>
      <c r="U1682" s="229"/>
      <c r="V1682" s="264"/>
      <c r="W1682" s="199"/>
      <c r="X1682" s="264"/>
      <c r="Y1682" s="264"/>
      <c r="Z1682" s="386"/>
      <c r="AA1682" s="264"/>
      <c r="AD1682" s="264"/>
      <c r="AE1682" s="264"/>
      <c r="AF1682" s="264"/>
      <c r="AG1682" s="264"/>
    </row>
    <row r="1683" spans="1:33" ht="26.25">
      <c r="A1683" s="264"/>
      <c r="B1683" s="264"/>
      <c r="C1683" s="264"/>
      <c r="D1683" s="264"/>
      <c r="E1683" s="264"/>
      <c r="F1683" s="264"/>
      <c r="G1683" s="264"/>
      <c r="H1683" s="264"/>
      <c r="I1683" s="264"/>
      <c r="J1683" s="327"/>
      <c r="K1683" s="327"/>
      <c r="L1683" s="327"/>
      <c r="M1683" s="321"/>
      <c r="N1683" s="321"/>
      <c r="O1683" s="364"/>
      <c r="P1683" s="381"/>
      <c r="R1683" s="392"/>
      <c r="S1683" s="61" ph="1"/>
      <c r="U1683" s="229"/>
      <c r="V1683" s="264"/>
      <c r="W1683" s="199"/>
      <c r="X1683" s="264"/>
      <c r="Y1683" s="264"/>
      <c r="Z1683" s="386"/>
      <c r="AA1683" s="126"/>
      <c r="AD1683" s="264"/>
      <c r="AE1683" s="264"/>
      <c r="AF1683" s="264"/>
      <c r="AG1683" s="264"/>
    </row>
    <row r="1684" spans="1:33" ht="26.25">
      <c r="A1684" s="264"/>
      <c r="B1684" s="264"/>
      <c r="C1684" s="264"/>
      <c r="D1684" s="264"/>
      <c r="E1684" s="264"/>
      <c r="F1684" s="264"/>
      <c r="G1684" s="264"/>
      <c r="H1684" s="264"/>
      <c r="I1684" s="264"/>
      <c r="J1684" s="327"/>
      <c r="K1684" s="327"/>
      <c r="L1684" s="327"/>
      <c r="M1684" s="321"/>
      <c r="N1684" s="321"/>
      <c r="O1684" s="364"/>
      <c r="P1684" s="381"/>
      <c r="R1684" s="392"/>
      <c r="S1684" s="61" ph="1"/>
      <c r="U1684" s="229"/>
      <c r="V1684" s="264"/>
      <c r="W1684" s="199"/>
      <c r="X1684" s="264"/>
      <c r="Y1684" s="264"/>
      <c r="Z1684" s="386"/>
      <c r="AA1684" s="126"/>
      <c r="AD1684" s="264"/>
      <c r="AE1684" s="264"/>
      <c r="AF1684" s="264"/>
      <c r="AG1684" s="264"/>
    </row>
    <row r="1685" spans="1:33" ht="26.25">
      <c r="A1685" s="264"/>
      <c r="B1685" s="264"/>
      <c r="C1685" s="264"/>
      <c r="D1685" s="264"/>
      <c r="E1685" s="264"/>
      <c r="F1685" s="264"/>
      <c r="G1685" s="264"/>
      <c r="H1685" s="264"/>
      <c r="I1685" s="264"/>
      <c r="J1685" s="327"/>
      <c r="K1685" s="327"/>
      <c r="L1685" s="327"/>
      <c r="M1685" s="321"/>
      <c r="N1685" s="321"/>
      <c r="O1685" s="364"/>
      <c r="P1685" s="381"/>
      <c r="R1685" s="392"/>
      <c r="S1685" s="61" ph="1"/>
      <c r="U1685" s="229"/>
      <c r="V1685" s="264"/>
      <c r="W1685" s="199"/>
      <c r="X1685" s="264"/>
      <c r="Y1685" s="264"/>
      <c r="Z1685" s="386"/>
      <c r="AA1685" s="126"/>
      <c r="AD1685" s="264"/>
      <c r="AE1685" s="264"/>
      <c r="AF1685" s="264"/>
      <c r="AG1685" s="264"/>
    </row>
    <row r="1686" spans="1:33" ht="26.25">
      <c r="A1686" s="264"/>
      <c r="B1686" s="264"/>
      <c r="C1686" s="264"/>
      <c r="D1686" s="264"/>
      <c r="E1686" s="264"/>
      <c r="F1686" s="264"/>
      <c r="G1686" s="264"/>
      <c r="H1686" s="264"/>
      <c r="I1686" s="264"/>
      <c r="J1686" s="327"/>
      <c r="K1686" s="327"/>
      <c r="L1686" s="327"/>
      <c r="M1686" s="321"/>
      <c r="N1686" s="321"/>
      <c r="O1686" s="364"/>
      <c r="P1686" s="381"/>
      <c r="R1686" s="392"/>
      <c r="S1686" s="61" ph="1"/>
      <c r="U1686" s="229"/>
      <c r="V1686" s="264"/>
      <c r="W1686" s="199"/>
      <c r="X1686" s="264"/>
      <c r="Y1686" s="264"/>
      <c r="Z1686" s="386"/>
      <c r="AA1686" s="126"/>
      <c r="AD1686" s="264"/>
      <c r="AE1686" s="264"/>
      <c r="AF1686" s="264"/>
      <c r="AG1686" s="264"/>
    </row>
    <row r="1687" spans="1:33" ht="26.25">
      <c r="A1687" s="264"/>
      <c r="B1687" s="264"/>
      <c r="C1687" s="264"/>
      <c r="D1687" s="264"/>
      <c r="E1687" s="264"/>
      <c r="F1687" s="264"/>
      <c r="G1687" s="264"/>
      <c r="H1687" s="264"/>
      <c r="I1687" s="264"/>
      <c r="J1687" s="327"/>
      <c r="K1687" s="327"/>
      <c r="L1687" s="327"/>
      <c r="M1687" s="321"/>
      <c r="N1687" s="321"/>
      <c r="O1687" s="364"/>
      <c r="P1687" s="381"/>
      <c r="R1687" s="392"/>
      <c r="S1687" s="61" ph="1"/>
      <c r="U1687" s="229"/>
      <c r="V1687" s="264"/>
      <c r="W1687" s="199"/>
      <c r="X1687" s="264"/>
      <c r="Y1687" s="264"/>
      <c r="Z1687" s="386"/>
      <c r="AA1687" s="126"/>
      <c r="AD1687" s="264"/>
      <c r="AE1687" s="264"/>
      <c r="AF1687" s="264"/>
      <c r="AG1687" s="264"/>
    </row>
    <row r="1688" spans="1:33" ht="26.25">
      <c r="A1688" s="264"/>
      <c r="B1688" s="264"/>
      <c r="C1688" s="264"/>
      <c r="D1688" s="264"/>
      <c r="E1688" s="264"/>
      <c r="F1688" s="264"/>
      <c r="G1688" s="264"/>
      <c r="H1688" s="264"/>
      <c r="I1688" s="264"/>
      <c r="J1688" s="327"/>
      <c r="K1688" s="327"/>
      <c r="L1688" s="327"/>
      <c r="M1688" s="321"/>
      <c r="N1688" s="321"/>
      <c r="O1688" s="364"/>
      <c r="P1688" s="381"/>
      <c r="R1688" s="392"/>
      <c r="S1688" s="61" ph="1"/>
      <c r="U1688" s="229"/>
      <c r="V1688" s="264"/>
      <c r="W1688" s="199"/>
      <c r="X1688" s="264"/>
      <c r="Y1688" s="264"/>
      <c r="Z1688" s="386"/>
      <c r="AA1688" s="126"/>
      <c r="AD1688" s="264"/>
      <c r="AE1688" s="264"/>
      <c r="AF1688" s="264"/>
      <c r="AG1688" s="264"/>
    </row>
    <row r="1689" spans="1:33" ht="26.25">
      <c r="A1689" s="264"/>
      <c r="B1689" s="264"/>
      <c r="C1689" s="264"/>
      <c r="D1689" s="264"/>
      <c r="E1689" s="264"/>
      <c r="F1689" s="264"/>
      <c r="G1689" s="264"/>
      <c r="H1689" s="264"/>
      <c r="I1689" s="264"/>
      <c r="J1689" s="327"/>
      <c r="K1689" s="327"/>
      <c r="L1689" s="327"/>
      <c r="M1689" s="321"/>
      <c r="N1689" s="321"/>
      <c r="O1689" s="364"/>
      <c r="P1689" s="381"/>
      <c r="R1689" s="392"/>
      <c r="S1689" s="61" ph="1"/>
      <c r="U1689" s="229"/>
      <c r="V1689" s="264"/>
      <c r="W1689" s="199"/>
      <c r="X1689" s="264"/>
      <c r="Y1689" s="264"/>
      <c r="Z1689" s="386"/>
      <c r="AA1689" s="126"/>
      <c r="AD1689" s="264"/>
      <c r="AE1689" s="264"/>
      <c r="AF1689" s="264"/>
      <c r="AG1689" s="264"/>
    </row>
    <row r="1690" spans="1:33" ht="26.25">
      <c r="A1690" s="264"/>
      <c r="B1690" s="264"/>
      <c r="C1690" s="264"/>
      <c r="D1690" s="264"/>
      <c r="E1690" s="264"/>
      <c r="F1690" s="264"/>
      <c r="G1690" s="264"/>
      <c r="H1690" s="264"/>
      <c r="I1690" s="264"/>
      <c r="J1690" s="327"/>
      <c r="K1690" s="327"/>
      <c r="L1690" s="327"/>
      <c r="M1690" s="321"/>
      <c r="N1690" s="321"/>
      <c r="O1690" s="364"/>
      <c r="P1690" s="381"/>
      <c r="R1690" s="392"/>
      <c r="S1690" s="61" ph="1"/>
      <c r="U1690" s="229"/>
      <c r="V1690" s="264"/>
      <c r="W1690" s="199"/>
      <c r="X1690" s="264"/>
      <c r="Y1690" s="264"/>
      <c r="Z1690" s="386"/>
      <c r="AA1690" s="126"/>
      <c r="AD1690" s="264"/>
      <c r="AE1690" s="264"/>
      <c r="AF1690" s="264"/>
      <c r="AG1690" s="264"/>
    </row>
    <row r="1691" spans="1:33" ht="26.25">
      <c r="A1691" s="264"/>
      <c r="B1691" s="264"/>
      <c r="C1691" s="264"/>
      <c r="D1691" s="264"/>
      <c r="E1691" s="264"/>
      <c r="F1691" s="264"/>
      <c r="G1691" s="264"/>
      <c r="H1691" s="264"/>
      <c r="I1691" s="264"/>
      <c r="J1691" s="327"/>
      <c r="K1691" s="327"/>
      <c r="L1691" s="327"/>
      <c r="M1691" s="321"/>
      <c r="N1691" s="321"/>
      <c r="O1691" s="364"/>
      <c r="P1691" s="381"/>
      <c r="R1691" s="392"/>
      <c r="S1691" s="61" ph="1"/>
      <c r="U1691" s="229"/>
      <c r="V1691" s="264"/>
      <c r="W1691" s="199"/>
      <c r="X1691" s="264"/>
      <c r="Y1691" s="264"/>
      <c r="Z1691" s="386"/>
      <c r="AA1691" s="126"/>
      <c r="AD1691" s="264"/>
      <c r="AE1691" s="264"/>
      <c r="AF1691" s="264"/>
      <c r="AG1691" s="264"/>
    </row>
    <row r="1692" spans="1:33" ht="26.25">
      <c r="A1692" s="264"/>
      <c r="B1692" s="264"/>
      <c r="C1692" s="264"/>
      <c r="D1692" s="264"/>
      <c r="E1692" s="264"/>
      <c r="F1692" s="264"/>
      <c r="G1692" s="264"/>
      <c r="H1692" s="264"/>
      <c r="I1692" s="264"/>
      <c r="J1692" s="327"/>
      <c r="K1692" s="327"/>
      <c r="L1692" s="327"/>
      <c r="M1692" s="321"/>
      <c r="N1692" s="321"/>
      <c r="O1692" s="364"/>
      <c r="P1692" s="381"/>
      <c r="R1692" s="392"/>
      <c r="S1692" s="61" ph="1"/>
      <c r="U1692" s="229"/>
      <c r="V1692" s="264"/>
      <c r="W1692" s="199"/>
      <c r="X1692" s="264"/>
      <c r="Y1692" s="264"/>
      <c r="Z1692" s="386"/>
      <c r="AA1692" s="126"/>
      <c r="AD1692" s="264"/>
      <c r="AE1692" s="264"/>
      <c r="AF1692" s="264"/>
      <c r="AG1692" s="264"/>
    </row>
    <row r="1693" spans="1:33" ht="26.25">
      <c r="A1693" s="264"/>
      <c r="B1693" s="264"/>
      <c r="C1693" s="264"/>
      <c r="D1693" s="264"/>
      <c r="E1693" s="264"/>
      <c r="F1693" s="264"/>
      <c r="G1693" s="264"/>
      <c r="H1693" s="264"/>
      <c r="I1693" s="264"/>
      <c r="J1693" s="327"/>
      <c r="K1693" s="327"/>
      <c r="L1693" s="327"/>
      <c r="M1693" s="321"/>
      <c r="N1693" s="321"/>
      <c r="O1693" s="364"/>
      <c r="P1693" s="381"/>
      <c r="R1693" s="392"/>
      <c r="S1693" s="61" ph="1"/>
      <c r="U1693" s="229"/>
      <c r="V1693" s="264"/>
      <c r="W1693" s="199"/>
      <c r="X1693" s="264"/>
      <c r="Y1693" s="264"/>
      <c r="Z1693" s="386"/>
      <c r="AA1693" s="126"/>
      <c r="AD1693" s="264"/>
      <c r="AE1693" s="264"/>
      <c r="AF1693" s="264"/>
      <c r="AG1693" s="264"/>
    </row>
    <row r="1694" spans="1:33" ht="26.25">
      <c r="A1694" s="264"/>
      <c r="B1694" s="264"/>
      <c r="C1694" s="264"/>
      <c r="D1694" s="264"/>
      <c r="E1694" s="264"/>
      <c r="F1694" s="264"/>
      <c r="G1694" s="264"/>
      <c r="H1694" s="264"/>
      <c r="I1694" s="264"/>
      <c r="J1694" s="327"/>
      <c r="K1694" s="327"/>
      <c r="L1694" s="327"/>
      <c r="M1694" s="321"/>
      <c r="N1694" s="321"/>
      <c r="O1694" s="364"/>
      <c r="P1694" s="381"/>
      <c r="R1694" s="392"/>
      <c r="S1694" s="61" ph="1"/>
      <c r="U1694" s="229"/>
      <c r="V1694" s="264"/>
      <c r="W1694" s="199"/>
      <c r="X1694" s="264"/>
      <c r="Y1694" s="264"/>
      <c r="Z1694" s="386"/>
      <c r="AA1694" s="126"/>
      <c r="AD1694" s="264"/>
      <c r="AE1694" s="264"/>
      <c r="AF1694" s="264"/>
      <c r="AG1694" s="264"/>
    </row>
    <row r="1695" spans="1:33" ht="26.25">
      <c r="A1695" s="264"/>
      <c r="B1695" s="264"/>
      <c r="C1695" s="264"/>
      <c r="D1695" s="264"/>
      <c r="E1695" s="264"/>
      <c r="F1695" s="264"/>
      <c r="G1695" s="264"/>
      <c r="H1695" s="264"/>
      <c r="I1695" s="264"/>
      <c r="J1695" s="327"/>
      <c r="K1695" s="327"/>
      <c r="L1695" s="327"/>
      <c r="M1695" s="321"/>
      <c r="N1695" s="321"/>
      <c r="O1695" s="364"/>
      <c r="P1695" s="381"/>
      <c r="R1695" s="392"/>
      <c r="S1695" s="61" ph="1"/>
      <c r="U1695" s="229"/>
      <c r="V1695" s="264"/>
      <c r="W1695" s="199"/>
      <c r="X1695" s="264"/>
      <c r="Y1695" s="264"/>
      <c r="Z1695" s="386"/>
      <c r="AA1695" s="126"/>
      <c r="AD1695" s="264"/>
      <c r="AE1695" s="264"/>
      <c r="AF1695" s="264"/>
      <c r="AG1695" s="264"/>
    </row>
    <row r="1696" spans="1:33" ht="26.25">
      <c r="A1696" s="264"/>
      <c r="B1696" s="264"/>
      <c r="C1696" s="264"/>
      <c r="D1696" s="264"/>
      <c r="E1696" s="264"/>
      <c r="F1696" s="264"/>
      <c r="G1696" s="264"/>
      <c r="H1696" s="264"/>
      <c r="I1696" s="264"/>
      <c r="J1696" s="327"/>
      <c r="K1696" s="327"/>
      <c r="L1696" s="327"/>
      <c r="M1696" s="321"/>
      <c r="N1696" s="321"/>
      <c r="O1696" s="364"/>
      <c r="P1696" s="381"/>
      <c r="R1696" s="392"/>
      <c r="S1696" s="61" ph="1"/>
      <c r="U1696" s="229"/>
      <c r="V1696" s="264"/>
      <c r="W1696" s="199"/>
      <c r="X1696" s="264"/>
      <c r="Y1696" s="264"/>
      <c r="Z1696" s="386"/>
      <c r="AA1696" s="126"/>
      <c r="AD1696" s="264"/>
      <c r="AE1696" s="264"/>
      <c r="AF1696" s="264"/>
      <c r="AG1696" s="264"/>
    </row>
    <row r="1697" spans="1:33" ht="26.25">
      <c r="A1697" s="264"/>
      <c r="B1697" s="264"/>
      <c r="C1697" s="264"/>
      <c r="D1697" s="264"/>
      <c r="E1697" s="264"/>
      <c r="F1697" s="264"/>
      <c r="G1697" s="264"/>
      <c r="H1697" s="264"/>
      <c r="I1697" s="264"/>
      <c r="J1697" s="327"/>
      <c r="K1697" s="327"/>
      <c r="L1697" s="327"/>
      <c r="M1697" s="321"/>
      <c r="N1697" s="321"/>
      <c r="O1697" s="364"/>
      <c r="P1697" s="381"/>
      <c r="R1697" s="392"/>
      <c r="S1697" s="61" ph="1"/>
      <c r="U1697" s="229"/>
      <c r="V1697" s="264"/>
      <c r="W1697" s="199"/>
      <c r="X1697" s="264"/>
      <c r="Y1697" s="264"/>
      <c r="Z1697" s="386"/>
      <c r="AA1697" s="126"/>
      <c r="AD1697" s="264"/>
      <c r="AE1697" s="264"/>
      <c r="AF1697" s="264"/>
      <c r="AG1697" s="264"/>
    </row>
    <row r="1698" spans="1:33" ht="26.25">
      <c r="A1698" s="264"/>
      <c r="B1698" s="264"/>
      <c r="C1698" s="264"/>
      <c r="D1698" s="264"/>
      <c r="E1698" s="264"/>
      <c r="F1698" s="264"/>
      <c r="G1698" s="264"/>
      <c r="H1698" s="264"/>
      <c r="I1698" s="264"/>
      <c r="J1698" s="327"/>
      <c r="K1698" s="327"/>
      <c r="L1698" s="327"/>
      <c r="M1698" s="321"/>
      <c r="N1698" s="321"/>
      <c r="O1698" s="364"/>
      <c r="P1698" s="381"/>
      <c r="R1698" s="392"/>
      <c r="S1698" s="61" ph="1"/>
      <c r="U1698" s="229"/>
      <c r="V1698" s="264"/>
      <c r="W1698" s="199"/>
      <c r="X1698" s="264"/>
      <c r="Y1698" s="264"/>
      <c r="Z1698" s="386"/>
      <c r="AA1698" s="126"/>
      <c r="AD1698" s="264"/>
      <c r="AE1698" s="264"/>
      <c r="AF1698" s="264"/>
      <c r="AG1698" s="264"/>
    </row>
    <row r="1699" spans="1:33" ht="26.25">
      <c r="A1699" s="264"/>
      <c r="B1699" s="264"/>
      <c r="C1699" s="264"/>
      <c r="D1699" s="264"/>
      <c r="E1699" s="264"/>
      <c r="F1699" s="264"/>
      <c r="G1699" s="264"/>
      <c r="H1699" s="264"/>
      <c r="I1699" s="264"/>
      <c r="J1699" s="327"/>
      <c r="K1699" s="327"/>
      <c r="L1699" s="327"/>
      <c r="M1699" s="321"/>
      <c r="N1699" s="321"/>
      <c r="O1699" s="364"/>
      <c r="P1699" s="381"/>
      <c r="R1699" s="392"/>
      <c r="S1699" s="61" ph="1"/>
      <c r="U1699" s="229"/>
      <c r="V1699" s="264"/>
      <c r="W1699" s="199"/>
      <c r="X1699" s="264"/>
      <c r="Y1699" s="264"/>
      <c r="Z1699" s="386"/>
      <c r="AA1699" s="126"/>
      <c r="AD1699" s="264"/>
      <c r="AE1699" s="264"/>
      <c r="AF1699" s="264"/>
      <c r="AG1699" s="264"/>
    </row>
    <row r="1700" spans="1:33" ht="26.25">
      <c r="A1700" s="264"/>
      <c r="B1700" s="264"/>
      <c r="C1700" s="264"/>
      <c r="D1700" s="264"/>
      <c r="E1700" s="264"/>
      <c r="F1700" s="264"/>
      <c r="G1700" s="264"/>
      <c r="H1700" s="264"/>
      <c r="I1700" s="264"/>
      <c r="J1700" s="327"/>
      <c r="K1700" s="327"/>
      <c r="L1700" s="327"/>
      <c r="M1700" s="321"/>
      <c r="N1700" s="321"/>
      <c r="O1700" s="364"/>
      <c r="P1700" s="381"/>
      <c r="R1700" s="392"/>
      <c r="S1700" s="61" ph="1"/>
      <c r="U1700" s="229"/>
      <c r="V1700" s="264"/>
      <c r="W1700" s="199"/>
      <c r="X1700" s="264"/>
      <c r="Y1700" s="264"/>
      <c r="Z1700" s="386"/>
      <c r="AA1700" s="126"/>
      <c r="AD1700" s="264"/>
      <c r="AE1700" s="264"/>
      <c r="AF1700" s="264"/>
      <c r="AG1700" s="264"/>
    </row>
    <row r="1701" spans="1:33" ht="26.25">
      <c r="A1701" s="264"/>
      <c r="B1701" s="264"/>
      <c r="C1701" s="264"/>
      <c r="D1701" s="264"/>
      <c r="E1701" s="264"/>
      <c r="F1701" s="264"/>
      <c r="G1701" s="264"/>
      <c r="H1701" s="264"/>
      <c r="I1701" s="264"/>
      <c r="J1701" s="327"/>
      <c r="K1701" s="327"/>
      <c r="L1701" s="327"/>
      <c r="M1701" s="321"/>
      <c r="N1701" s="321"/>
      <c r="O1701" s="364"/>
      <c r="P1701" s="381"/>
      <c r="R1701" s="392"/>
      <c r="S1701" s="61" ph="1"/>
      <c r="U1701" s="229"/>
      <c r="V1701" s="264"/>
      <c r="W1701" s="199"/>
      <c r="X1701" s="264"/>
      <c r="Y1701" s="264"/>
      <c r="Z1701" s="386"/>
      <c r="AA1701" s="126"/>
      <c r="AD1701" s="264"/>
      <c r="AE1701" s="264"/>
      <c r="AF1701" s="264"/>
      <c r="AG1701" s="264"/>
    </row>
    <row r="1702" spans="1:33" ht="26.25">
      <c r="A1702" s="264"/>
      <c r="B1702" s="264"/>
      <c r="C1702" s="264"/>
      <c r="D1702" s="264"/>
      <c r="E1702" s="264"/>
      <c r="F1702" s="264"/>
      <c r="G1702" s="264"/>
      <c r="H1702" s="264"/>
      <c r="I1702" s="264"/>
      <c r="J1702" s="327"/>
      <c r="K1702" s="327"/>
      <c r="L1702" s="327"/>
      <c r="M1702" s="321"/>
      <c r="N1702" s="321"/>
      <c r="O1702" s="364"/>
      <c r="P1702" s="381"/>
      <c r="R1702" s="392"/>
      <c r="S1702" s="61" ph="1"/>
      <c r="U1702" s="229"/>
      <c r="V1702" s="264"/>
      <c r="W1702" s="199"/>
      <c r="X1702" s="264"/>
      <c r="Y1702" s="264"/>
      <c r="Z1702" s="386"/>
      <c r="AA1702" s="126"/>
      <c r="AD1702" s="264"/>
      <c r="AE1702" s="264"/>
      <c r="AF1702" s="264"/>
      <c r="AG1702" s="264"/>
    </row>
    <row r="1703" spans="1:33" ht="26.25">
      <c r="A1703" s="264"/>
      <c r="B1703" s="264"/>
      <c r="C1703" s="264"/>
      <c r="D1703" s="264"/>
      <c r="E1703" s="264"/>
      <c r="F1703" s="264"/>
      <c r="G1703" s="264"/>
      <c r="H1703" s="264"/>
      <c r="I1703" s="264"/>
      <c r="J1703" s="327"/>
      <c r="K1703" s="327"/>
      <c r="L1703" s="327"/>
      <c r="M1703" s="321"/>
      <c r="N1703" s="321"/>
      <c r="O1703" s="364"/>
      <c r="P1703" s="381"/>
      <c r="R1703" s="392"/>
      <c r="S1703" s="61" ph="1"/>
      <c r="U1703" s="229"/>
      <c r="V1703" s="264"/>
      <c r="W1703" s="199"/>
      <c r="X1703" s="264"/>
      <c r="Y1703" s="264"/>
      <c r="Z1703" s="386"/>
      <c r="AA1703" s="126"/>
      <c r="AD1703" s="264"/>
      <c r="AE1703" s="264"/>
      <c r="AF1703" s="264"/>
      <c r="AG1703" s="264"/>
    </row>
    <row r="1704" spans="1:33" ht="26.25">
      <c r="A1704" s="264"/>
      <c r="B1704" s="264"/>
      <c r="C1704" s="264"/>
      <c r="D1704" s="264"/>
      <c r="E1704" s="264"/>
      <c r="F1704" s="264"/>
      <c r="G1704" s="264"/>
      <c r="H1704" s="264"/>
      <c r="I1704" s="264"/>
      <c r="J1704" s="327"/>
      <c r="K1704" s="327"/>
      <c r="L1704" s="327"/>
      <c r="M1704" s="321"/>
      <c r="N1704" s="321"/>
      <c r="O1704" s="364"/>
      <c r="P1704" s="381"/>
      <c r="R1704" s="392"/>
      <c r="S1704" s="61" ph="1"/>
      <c r="U1704" s="229"/>
      <c r="V1704" s="264"/>
      <c r="W1704" s="199"/>
      <c r="X1704" s="264"/>
      <c r="Y1704" s="264"/>
      <c r="Z1704" s="386"/>
      <c r="AA1704" s="126"/>
      <c r="AD1704" s="264"/>
      <c r="AE1704" s="264"/>
      <c r="AF1704" s="264"/>
      <c r="AG1704" s="264"/>
    </row>
    <row r="1705" spans="1:33" ht="26.25">
      <c r="A1705" s="264"/>
      <c r="B1705" s="264"/>
      <c r="C1705" s="264"/>
      <c r="D1705" s="264"/>
      <c r="E1705" s="264"/>
      <c r="F1705" s="264"/>
      <c r="G1705" s="264"/>
      <c r="H1705" s="264"/>
      <c r="I1705" s="264"/>
      <c r="J1705" s="327"/>
      <c r="K1705" s="327"/>
      <c r="L1705" s="327"/>
      <c r="M1705" s="321"/>
      <c r="N1705" s="321"/>
      <c r="O1705" s="364"/>
      <c r="P1705" s="381"/>
      <c r="R1705" s="392"/>
      <c r="S1705" s="61" ph="1"/>
      <c r="U1705" s="229"/>
      <c r="V1705" s="264"/>
      <c r="W1705" s="199"/>
      <c r="X1705" s="264"/>
      <c r="Y1705" s="264"/>
      <c r="Z1705" s="386"/>
      <c r="AA1705" s="264"/>
      <c r="AD1705" s="264"/>
      <c r="AE1705" s="264"/>
      <c r="AF1705" s="264"/>
      <c r="AG1705" s="264"/>
    </row>
    <row r="1706" spans="1:33" ht="26.25">
      <c r="A1706" s="264"/>
      <c r="B1706" s="264"/>
      <c r="C1706" s="264"/>
      <c r="D1706" s="264"/>
      <c r="E1706" s="264"/>
      <c r="F1706" s="264"/>
      <c r="G1706" s="264"/>
      <c r="H1706" s="264"/>
      <c r="I1706" s="264"/>
      <c r="J1706" s="327"/>
      <c r="K1706" s="327"/>
      <c r="L1706" s="327"/>
      <c r="M1706" s="321"/>
      <c r="N1706" s="321"/>
      <c r="O1706" s="364"/>
      <c r="P1706" s="381"/>
      <c r="R1706" s="392"/>
      <c r="S1706" s="61" ph="1"/>
      <c r="U1706" s="229"/>
      <c r="V1706" s="264"/>
      <c r="W1706" s="199"/>
      <c r="X1706" s="264"/>
      <c r="Y1706" s="264"/>
      <c r="Z1706" s="386"/>
      <c r="AA1706" s="126"/>
      <c r="AD1706" s="264"/>
      <c r="AE1706" s="264"/>
      <c r="AF1706" s="264"/>
      <c r="AG1706" s="264"/>
    </row>
    <row r="1707" spans="1:33" ht="26.25">
      <c r="A1707" s="264"/>
      <c r="B1707" s="264"/>
      <c r="C1707" s="264"/>
      <c r="D1707" s="264"/>
      <c r="E1707" s="264"/>
      <c r="F1707" s="264"/>
      <c r="G1707" s="264"/>
      <c r="H1707" s="264"/>
      <c r="I1707" s="264"/>
      <c r="J1707" s="327"/>
      <c r="K1707" s="327"/>
      <c r="L1707" s="327"/>
      <c r="M1707" s="321"/>
      <c r="N1707" s="321"/>
      <c r="O1707" s="364"/>
      <c r="P1707" s="381"/>
      <c r="R1707" s="392"/>
      <c r="S1707" s="61" ph="1"/>
      <c r="U1707" s="229"/>
      <c r="V1707" s="264"/>
      <c r="W1707" s="199"/>
      <c r="X1707" s="264"/>
      <c r="Y1707" s="264"/>
      <c r="Z1707" s="386"/>
      <c r="AA1707" s="126"/>
      <c r="AD1707" s="264"/>
      <c r="AE1707" s="264"/>
      <c r="AF1707" s="264"/>
      <c r="AG1707" s="264"/>
    </row>
    <row r="1708" spans="1:33" ht="26.25">
      <c r="A1708" s="264"/>
      <c r="B1708" s="264"/>
      <c r="C1708" s="264"/>
      <c r="D1708" s="264"/>
      <c r="E1708" s="264"/>
      <c r="F1708" s="264"/>
      <c r="G1708" s="264"/>
      <c r="H1708" s="264"/>
      <c r="I1708" s="264"/>
      <c r="J1708" s="327"/>
      <c r="K1708" s="327"/>
      <c r="L1708" s="327"/>
      <c r="M1708" s="321"/>
      <c r="N1708" s="321"/>
      <c r="O1708" s="364"/>
      <c r="P1708" s="381"/>
      <c r="R1708" s="392"/>
      <c r="S1708" s="61" ph="1"/>
      <c r="U1708" s="229"/>
      <c r="V1708" s="264"/>
      <c r="W1708" s="199"/>
      <c r="X1708" s="264"/>
      <c r="Y1708" s="264"/>
      <c r="Z1708" s="386"/>
      <c r="AA1708" s="126"/>
      <c r="AD1708" s="264"/>
      <c r="AE1708" s="264"/>
      <c r="AF1708" s="264"/>
      <c r="AG1708" s="264"/>
    </row>
    <row r="1709" spans="1:33" ht="26.25">
      <c r="A1709" s="264"/>
      <c r="B1709" s="264"/>
      <c r="C1709" s="264"/>
      <c r="D1709" s="264"/>
      <c r="E1709" s="264"/>
      <c r="F1709" s="264"/>
      <c r="G1709" s="264"/>
      <c r="H1709" s="264"/>
      <c r="I1709" s="264"/>
      <c r="J1709" s="327"/>
      <c r="K1709" s="327"/>
      <c r="L1709" s="327"/>
      <c r="M1709" s="321"/>
      <c r="N1709" s="321"/>
      <c r="O1709" s="364"/>
      <c r="P1709" s="381"/>
      <c r="R1709" s="392"/>
      <c r="S1709" s="61" ph="1"/>
      <c r="U1709" s="229"/>
      <c r="V1709" s="264"/>
      <c r="W1709" s="199"/>
      <c r="X1709" s="264"/>
      <c r="Y1709" s="264"/>
      <c r="Z1709" s="386"/>
      <c r="AA1709" s="126"/>
      <c r="AD1709" s="264"/>
      <c r="AE1709" s="264"/>
      <c r="AF1709" s="264"/>
      <c r="AG1709" s="264"/>
    </row>
    <row r="1710" spans="1:33" ht="26.25">
      <c r="A1710" s="264"/>
      <c r="B1710" s="264"/>
      <c r="C1710" s="264"/>
      <c r="D1710" s="264"/>
      <c r="E1710" s="264"/>
      <c r="F1710" s="264"/>
      <c r="G1710" s="264"/>
      <c r="H1710" s="264"/>
      <c r="I1710" s="264"/>
      <c r="J1710" s="327"/>
      <c r="K1710" s="327"/>
      <c r="L1710" s="327"/>
      <c r="M1710" s="321"/>
      <c r="N1710" s="321"/>
      <c r="O1710" s="364"/>
      <c r="P1710" s="381"/>
      <c r="R1710" s="392"/>
      <c r="S1710" s="61" ph="1"/>
      <c r="U1710" s="229"/>
      <c r="V1710" s="264"/>
      <c r="W1710" s="199"/>
      <c r="X1710" s="264"/>
      <c r="Y1710" s="264"/>
      <c r="Z1710" s="386"/>
      <c r="AA1710" s="126"/>
      <c r="AD1710" s="264"/>
      <c r="AE1710" s="264"/>
      <c r="AF1710" s="264"/>
      <c r="AG1710" s="264"/>
    </row>
    <row r="1711" spans="1:33" ht="26.25">
      <c r="A1711" s="264"/>
      <c r="B1711" s="264"/>
      <c r="C1711" s="264"/>
      <c r="D1711" s="264"/>
      <c r="E1711" s="264"/>
      <c r="F1711" s="264"/>
      <c r="G1711" s="264"/>
      <c r="H1711" s="264"/>
      <c r="I1711" s="264"/>
      <c r="J1711" s="327"/>
      <c r="K1711" s="327"/>
      <c r="L1711" s="327"/>
      <c r="M1711" s="321"/>
      <c r="N1711" s="321"/>
      <c r="O1711" s="364"/>
      <c r="P1711" s="381"/>
      <c r="R1711" s="392"/>
      <c r="S1711" s="61" ph="1"/>
      <c r="U1711" s="229"/>
      <c r="V1711" s="264"/>
      <c r="W1711" s="199"/>
      <c r="X1711" s="264"/>
      <c r="Y1711" s="264"/>
      <c r="Z1711" s="386"/>
      <c r="AA1711" s="126"/>
      <c r="AD1711" s="264"/>
      <c r="AE1711" s="264"/>
      <c r="AF1711" s="264"/>
      <c r="AG1711" s="264"/>
    </row>
    <row r="1712" spans="1:33" ht="26.25">
      <c r="A1712" s="264"/>
      <c r="B1712" s="264"/>
      <c r="C1712" s="264"/>
      <c r="D1712" s="264"/>
      <c r="E1712" s="264"/>
      <c r="F1712" s="264"/>
      <c r="G1712" s="264"/>
      <c r="H1712" s="264"/>
      <c r="I1712" s="264"/>
      <c r="J1712" s="327"/>
      <c r="K1712" s="327"/>
      <c r="L1712" s="327"/>
      <c r="M1712" s="321"/>
      <c r="N1712" s="321"/>
      <c r="O1712" s="364"/>
      <c r="P1712" s="381"/>
      <c r="R1712" s="392"/>
      <c r="S1712" s="61" ph="1"/>
      <c r="U1712" s="229"/>
      <c r="V1712" s="264"/>
      <c r="W1712" s="199"/>
      <c r="X1712" s="264"/>
      <c r="Y1712" s="264"/>
      <c r="Z1712" s="386"/>
      <c r="AA1712" s="126"/>
      <c r="AD1712" s="264"/>
      <c r="AE1712" s="264"/>
      <c r="AF1712" s="264"/>
      <c r="AG1712" s="264"/>
    </row>
    <row r="1713" spans="1:33" ht="26.25">
      <c r="A1713" s="264"/>
      <c r="B1713" s="264"/>
      <c r="C1713" s="264"/>
      <c r="D1713" s="264"/>
      <c r="E1713" s="264"/>
      <c r="F1713" s="264"/>
      <c r="G1713" s="264"/>
      <c r="H1713" s="264"/>
      <c r="I1713" s="264"/>
      <c r="J1713" s="327"/>
      <c r="K1713" s="327"/>
      <c r="L1713" s="327"/>
      <c r="M1713" s="321"/>
      <c r="N1713" s="321"/>
      <c r="O1713" s="364"/>
      <c r="P1713" s="381"/>
      <c r="R1713" s="392"/>
      <c r="S1713" s="61" ph="1"/>
      <c r="U1713" s="229"/>
      <c r="V1713" s="264"/>
      <c r="W1713" s="199"/>
      <c r="X1713" s="264"/>
      <c r="Y1713" s="264"/>
      <c r="Z1713" s="386"/>
      <c r="AA1713" s="126"/>
      <c r="AD1713" s="264"/>
      <c r="AE1713" s="264"/>
      <c r="AF1713" s="264"/>
      <c r="AG1713" s="264"/>
    </row>
    <row r="1714" spans="1:33" ht="26.25">
      <c r="A1714" s="264"/>
      <c r="B1714" s="264"/>
      <c r="C1714" s="264"/>
      <c r="D1714" s="264"/>
      <c r="E1714" s="264"/>
      <c r="F1714" s="264"/>
      <c r="G1714" s="264"/>
      <c r="H1714" s="264"/>
      <c r="I1714" s="264"/>
      <c r="J1714" s="327"/>
      <c r="K1714" s="327"/>
      <c r="L1714" s="327"/>
      <c r="M1714" s="321"/>
      <c r="N1714" s="321"/>
      <c r="O1714" s="364"/>
      <c r="P1714" s="381"/>
      <c r="R1714" s="392"/>
      <c r="S1714" s="61" ph="1"/>
      <c r="U1714" s="229"/>
      <c r="V1714" s="264"/>
      <c r="W1714" s="199"/>
      <c r="X1714" s="264"/>
      <c r="Y1714" s="264"/>
      <c r="Z1714" s="386"/>
      <c r="AA1714" s="126"/>
      <c r="AD1714" s="264"/>
      <c r="AE1714" s="264"/>
      <c r="AF1714" s="264"/>
      <c r="AG1714" s="264"/>
    </row>
    <row r="1715" spans="1:33" ht="26.25">
      <c r="A1715" s="264"/>
      <c r="B1715" s="264"/>
      <c r="C1715" s="264"/>
      <c r="D1715" s="264"/>
      <c r="E1715" s="264"/>
      <c r="F1715" s="264"/>
      <c r="G1715" s="264"/>
      <c r="H1715" s="264"/>
      <c r="I1715" s="264"/>
      <c r="J1715" s="327"/>
      <c r="K1715" s="327"/>
      <c r="L1715" s="327"/>
      <c r="M1715" s="321"/>
      <c r="N1715" s="321"/>
      <c r="O1715" s="364"/>
      <c r="P1715" s="381"/>
      <c r="R1715" s="392"/>
      <c r="S1715" s="61" ph="1"/>
      <c r="U1715" s="229"/>
      <c r="V1715" s="264"/>
      <c r="W1715" s="199"/>
      <c r="X1715" s="264"/>
      <c r="Y1715" s="264"/>
      <c r="Z1715" s="386"/>
      <c r="AA1715" s="126"/>
      <c r="AD1715" s="264"/>
      <c r="AE1715" s="264"/>
      <c r="AF1715" s="264"/>
      <c r="AG1715" s="264"/>
    </row>
    <row r="1716" spans="1:33" ht="26.25">
      <c r="A1716" s="264"/>
      <c r="B1716" s="264"/>
      <c r="C1716" s="264"/>
      <c r="D1716" s="264"/>
      <c r="E1716" s="264"/>
      <c r="F1716" s="264"/>
      <c r="G1716" s="264"/>
      <c r="H1716" s="264"/>
      <c r="I1716" s="264"/>
      <c r="J1716" s="327"/>
      <c r="K1716" s="327"/>
      <c r="L1716" s="327"/>
      <c r="M1716" s="321"/>
      <c r="N1716" s="321"/>
      <c r="O1716" s="364"/>
      <c r="P1716" s="381"/>
      <c r="R1716" s="392"/>
      <c r="S1716" s="61" ph="1"/>
      <c r="U1716" s="229"/>
      <c r="V1716" s="264"/>
      <c r="W1716" s="199"/>
      <c r="X1716" s="264"/>
      <c r="Y1716" s="264"/>
      <c r="Z1716" s="386"/>
      <c r="AA1716" s="126"/>
      <c r="AD1716" s="264"/>
      <c r="AE1716" s="264"/>
      <c r="AF1716" s="264"/>
      <c r="AG1716" s="264"/>
    </row>
    <row r="1717" spans="1:33" ht="26.25">
      <c r="A1717" s="264"/>
      <c r="B1717" s="264"/>
      <c r="C1717" s="264"/>
      <c r="D1717" s="264"/>
      <c r="E1717" s="264"/>
      <c r="F1717" s="264"/>
      <c r="G1717" s="264"/>
      <c r="H1717" s="264"/>
      <c r="I1717" s="264"/>
      <c r="J1717" s="327"/>
      <c r="K1717" s="327"/>
      <c r="L1717" s="327"/>
      <c r="M1717" s="321"/>
      <c r="N1717" s="321"/>
      <c r="O1717" s="364"/>
      <c r="P1717" s="381"/>
      <c r="R1717" s="392"/>
      <c r="S1717" s="61" ph="1"/>
      <c r="U1717" s="229"/>
      <c r="V1717" s="264"/>
      <c r="W1717" s="199"/>
      <c r="X1717" s="264"/>
      <c r="Y1717" s="264"/>
      <c r="Z1717" s="386"/>
      <c r="AA1717" s="126"/>
      <c r="AD1717" s="264"/>
      <c r="AE1717" s="264"/>
      <c r="AF1717" s="264"/>
      <c r="AG1717" s="264"/>
    </row>
    <row r="1718" spans="1:33" ht="26.25">
      <c r="A1718" s="264"/>
      <c r="B1718" s="264"/>
      <c r="C1718" s="264"/>
      <c r="D1718" s="264"/>
      <c r="E1718" s="264"/>
      <c r="F1718" s="264"/>
      <c r="G1718" s="264"/>
      <c r="H1718" s="264"/>
      <c r="I1718" s="264"/>
      <c r="J1718" s="327"/>
      <c r="K1718" s="327"/>
      <c r="L1718" s="327"/>
      <c r="M1718" s="321"/>
      <c r="N1718" s="321"/>
      <c r="O1718" s="364"/>
      <c r="P1718" s="381"/>
      <c r="R1718" s="392"/>
      <c r="S1718" s="61" ph="1"/>
      <c r="U1718" s="229"/>
      <c r="V1718" s="264"/>
      <c r="W1718" s="199"/>
      <c r="X1718" s="264"/>
      <c r="Y1718" s="264"/>
      <c r="Z1718" s="386"/>
      <c r="AA1718" s="126"/>
      <c r="AD1718" s="264"/>
      <c r="AE1718" s="264"/>
      <c r="AF1718" s="264"/>
      <c r="AG1718" s="264"/>
    </row>
    <row r="1719" spans="1:33" ht="26.25">
      <c r="A1719" s="264"/>
      <c r="B1719" s="264"/>
      <c r="C1719" s="264"/>
      <c r="D1719" s="264"/>
      <c r="E1719" s="264"/>
      <c r="F1719" s="264"/>
      <c r="G1719" s="264"/>
      <c r="H1719" s="264"/>
      <c r="I1719" s="264"/>
      <c r="J1719" s="327"/>
      <c r="K1719" s="327"/>
      <c r="L1719" s="327"/>
      <c r="M1719" s="321"/>
      <c r="N1719" s="321"/>
      <c r="O1719" s="364"/>
      <c r="P1719" s="381"/>
      <c r="R1719" s="392"/>
      <c r="S1719" s="61" ph="1"/>
      <c r="U1719" s="229"/>
      <c r="V1719" s="264"/>
      <c r="W1719" s="199"/>
      <c r="X1719" s="264"/>
      <c r="Y1719" s="264"/>
      <c r="Z1719" s="386"/>
      <c r="AA1719" s="126"/>
      <c r="AD1719" s="264"/>
      <c r="AE1719" s="264"/>
      <c r="AF1719" s="264"/>
      <c r="AG1719" s="264"/>
    </row>
    <row r="1720" spans="1:33" ht="26.25">
      <c r="A1720" s="264"/>
      <c r="B1720" s="264"/>
      <c r="C1720" s="264"/>
      <c r="D1720" s="264"/>
      <c r="E1720" s="264"/>
      <c r="F1720" s="264"/>
      <c r="G1720" s="264"/>
      <c r="H1720" s="264"/>
      <c r="I1720" s="264"/>
      <c r="J1720" s="327"/>
      <c r="K1720" s="327"/>
      <c r="L1720" s="327"/>
      <c r="M1720" s="321"/>
      <c r="N1720" s="321"/>
      <c r="O1720" s="364"/>
      <c r="P1720" s="381"/>
      <c r="R1720" s="392"/>
      <c r="S1720" s="61" ph="1"/>
      <c r="U1720" s="229"/>
      <c r="V1720" s="264"/>
      <c r="W1720" s="199"/>
      <c r="X1720" s="264"/>
      <c r="Y1720" s="264"/>
      <c r="Z1720" s="386"/>
      <c r="AA1720" s="126"/>
      <c r="AD1720" s="264"/>
      <c r="AE1720" s="264"/>
      <c r="AF1720" s="264"/>
      <c r="AG1720" s="264"/>
    </row>
    <row r="1721" spans="1:33" ht="26.25">
      <c r="A1721" s="264"/>
      <c r="B1721" s="264"/>
      <c r="C1721" s="264"/>
      <c r="D1721" s="264"/>
      <c r="E1721" s="264"/>
      <c r="F1721" s="264"/>
      <c r="G1721" s="264"/>
      <c r="H1721" s="264"/>
      <c r="I1721" s="264"/>
      <c r="J1721" s="327"/>
      <c r="K1721" s="327"/>
      <c r="L1721" s="327"/>
      <c r="M1721" s="321"/>
      <c r="N1721" s="321"/>
      <c r="O1721" s="364"/>
      <c r="P1721" s="381"/>
      <c r="R1721" s="392"/>
      <c r="S1721" s="61" ph="1"/>
      <c r="U1721" s="229"/>
      <c r="V1721" s="264"/>
      <c r="W1721" s="199"/>
      <c r="X1721" s="264"/>
      <c r="Y1721" s="264"/>
      <c r="Z1721" s="386"/>
      <c r="AA1721" s="126"/>
      <c r="AD1721" s="264"/>
      <c r="AE1721" s="264"/>
      <c r="AF1721" s="264"/>
      <c r="AG1721" s="264"/>
    </row>
    <row r="1722" spans="1:33" ht="26.25">
      <c r="A1722" s="264"/>
      <c r="B1722" s="264"/>
      <c r="C1722" s="264"/>
      <c r="D1722" s="264"/>
      <c r="E1722" s="264"/>
      <c r="F1722" s="264"/>
      <c r="G1722" s="264"/>
      <c r="H1722" s="264"/>
      <c r="I1722" s="264"/>
      <c r="J1722" s="327"/>
      <c r="K1722" s="327"/>
      <c r="L1722" s="327"/>
      <c r="M1722" s="321"/>
      <c r="N1722" s="321"/>
      <c r="O1722" s="364"/>
      <c r="P1722" s="381"/>
      <c r="R1722" s="392"/>
      <c r="S1722" s="61" ph="1"/>
      <c r="U1722" s="229"/>
      <c r="V1722" s="264"/>
      <c r="W1722" s="199"/>
      <c r="X1722" s="264"/>
      <c r="Y1722" s="264"/>
      <c r="Z1722" s="386"/>
      <c r="AA1722" s="126"/>
      <c r="AD1722" s="264"/>
      <c r="AE1722" s="264"/>
      <c r="AF1722" s="264"/>
      <c r="AG1722" s="264"/>
    </row>
    <row r="1723" spans="1:33" ht="26.25">
      <c r="A1723" s="264"/>
      <c r="B1723" s="264"/>
      <c r="C1723" s="264"/>
      <c r="D1723" s="264"/>
      <c r="E1723" s="264"/>
      <c r="F1723" s="264"/>
      <c r="G1723" s="264"/>
      <c r="H1723" s="264"/>
      <c r="I1723" s="264"/>
      <c r="J1723" s="327"/>
      <c r="K1723" s="327"/>
      <c r="L1723" s="327"/>
      <c r="M1723" s="321"/>
      <c r="N1723" s="321"/>
      <c r="O1723" s="364"/>
      <c r="P1723" s="381"/>
      <c r="R1723" s="392"/>
      <c r="S1723" s="61" ph="1"/>
      <c r="U1723" s="229"/>
      <c r="V1723" s="264"/>
      <c r="W1723" s="199"/>
      <c r="X1723" s="264"/>
      <c r="Y1723" s="264"/>
      <c r="Z1723" s="386"/>
      <c r="AA1723" s="126"/>
      <c r="AD1723" s="264"/>
      <c r="AE1723" s="264"/>
      <c r="AF1723" s="264"/>
      <c r="AG1723" s="264"/>
    </row>
    <row r="1724" spans="1:33" ht="26.25">
      <c r="A1724" s="264"/>
      <c r="B1724" s="264"/>
      <c r="C1724" s="264"/>
      <c r="D1724" s="264"/>
      <c r="E1724" s="264"/>
      <c r="F1724" s="264"/>
      <c r="G1724" s="264"/>
      <c r="H1724" s="264"/>
      <c r="I1724" s="264"/>
      <c r="J1724" s="327"/>
      <c r="K1724" s="327"/>
      <c r="L1724" s="327"/>
      <c r="M1724" s="321"/>
      <c r="N1724" s="321"/>
      <c r="O1724" s="364"/>
      <c r="P1724" s="381"/>
      <c r="R1724" s="392"/>
      <c r="S1724" s="61" ph="1"/>
      <c r="U1724" s="229"/>
      <c r="V1724" s="264"/>
      <c r="W1724" s="199"/>
      <c r="X1724" s="264"/>
      <c r="Y1724" s="264"/>
      <c r="Z1724" s="386"/>
      <c r="AA1724" s="126"/>
      <c r="AD1724" s="264"/>
      <c r="AE1724" s="264"/>
      <c r="AF1724" s="264"/>
      <c r="AG1724" s="264"/>
    </row>
    <row r="1725" spans="1:33" ht="26.25">
      <c r="A1725" s="264"/>
      <c r="B1725" s="264"/>
      <c r="C1725" s="264"/>
      <c r="D1725" s="264"/>
      <c r="E1725" s="264"/>
      <c r="F1725" s="264"/>
      <c r="G1725" s="264"/>
      <c r="H1725" s="264"/>
      <c r="I1725" s="264"/>
      <c r="J1725" s="327"/>
      <c r="K1725" s="327"/>
      <c r="L1725" s="327"/>
      <c r="M1725" s="321"/>
      <c r="N1725" s="321"/>
      <c r="O1725" s="364"/>
      <c r="P1725" s="381"/>
      <c r="R1725" s="392"/>
      <c r="S1725" s="61" ph="1"/>
      <c r="U1725" s="229"/>
      <c r="V1725" s="264"/>
      <c r="W1725" s="199"/>
      <c r="X1725" s="264"/>
      <c r="Y1725" s="264"/>
      <c r="Z1725" s="386"/>
      <c r="AA1725" s="126"/>
      <c r="AD1725" s="264"/>
      <c r="AE1725" s="264"/>
      <c r="AF1725" s="264"/>
      <c r="AG1725" s="264"/>
    </row>
    <row r="1726" spans="1:33" ht="26.25">
      <c r="A1726" s="264"/>
      <c r="B1726" s="264"/>
      <c r="C1726" s="264"/>
      <c r="D1726" s="264"/>
      <c r="E1726" s="264"/>
      <c r="F1726" s="264"/>
      <c r="G1726" s="264"/>
      <c r="H1726" s="264"/>
      <c r="I1726" s="264"/>
      <c r="J1726" s="327"/>
      <c r="K1726" s="327"/>
      <c r="L1726" s="327"/>
      <c r="M1726" s="321"/>
      <c r="N1726" s="321"/>
      <c r="O1726" s="364"/>
      <c r="P1726" s="381"/>
      <c r="R1726" s="392"/>
      <c r="S1726" s="61" ph="1"/>
      <c r="U1726" s="229"/>
      <c r="V1726" s="264"/>
      <c r="W1726" s="199"/>
      <c r="X1726" s="264"/>
      <c r="Y1726" s="264"/>
      <c r="Z1726" s="386"/>
      <c r="AA1726" s="126"/>
      <c r="AD1726" s="264"/>
      <c r="AE1726" s="264"/>
      <c r="AF1726" s="264"/>
      <c r="AG1726" s="264"/>
    </row>
    <row r="1727" spans="1:33" ht="26.25">
      <c r="A1727" s="264"/>
      <c r="B1727" s="264"/>
      <c r="C1727" s="264"/>
      <c r="D1727" s="264"/>
      <c r="E1727" s="264"/>
      <c r="F1727" s="264"/>
      <c r="G1727" s="264"/>
      <c r="H1727" s="264"/>
      <c r="I1727" s="264"/>
      <c r="J1727" s="327"/>
      <c r="K1727" s="327"/>
      <c r="L1727" s="327"/>
      <c r="M1727" s="321"/>
      <c r="N1727" s="321"/>
      <c r="O1727" s="364"/>
      <c r="P1727" s="381"/>
      <c r="R1727" s="392"/>
      <c r="S1727" s="61" ph="1"/>
      <c r="U1727" s="229"/>
      <c r="V1727" s="264"/>
      <c r="W1727" s="199"/>
      <c r="X1727" s="264"/>
      <c r="Y1727" s="264"/>
      <c r="Z1727" s="386"/>
      <c r="AA1727" s="126"/>
      <c r="AD1727" s="264"/>
      <c r="AE1727" s="264"/>
      <c r="AF1727" s="264"/>
      <c r="AG1727" s="264"/>
    </row>
    <row r="1728" spans="1:33" ht="26.25">
      <c r="A1728" s="264"/>
      <c r="B1728" s="264"/>
      <c r="C1728" s="264"/>
      <c r="D1728" s="264"/>
      <c r="E1728" s="264"/>
      <c r="F1728" s="264"/>
      <c r="G1728" s="264"/>
      <c r="H1728" s="264"/>
      <c r="I1728" s="264"/>
      <c r="J1728" s="327"/>
      <c r="K1728" s="327"/>
      <c r="L1728" s="327"/>
      <c r="M1728" s="321"/>
      <c r="N1728" s="321"/>
      <c r="O1728" s="364"/>
      <c r="P1728" s="381"/>
      <c r="R1728" s="392"/>
      <c r="S1728" s="61" ph="1"/>
      <c r="U1728" s="229"/>
      <c r="V1728" s="264"/>
      <c r="W1728" s="199"/>
      <c r="X1728" s="264"/>
      <c r="Y1728" s="264"/>
      <c r="Z1728" s="386"/>
      <c r="AA1728" s="126"/>
      <c r="AD1728" s="264"/>
      <c r="AE1728" s="264"/>
      <c r="AF1728" s="264"/>
      <c r="AG1728" s="264"/>
    </row>
    <row r="1729" spans="1:33" ht="26.25">
      <c r="A1729" s="264"/>
      <c r="B1729" s="264"/>
      <c r="C1729" s="264"/>
      <c r="D1729" s="264"/>
      <c r="E1729" s="264"/>
      <c r="F1729" s="264"/>
      <c r="G1729" s="264"/>
      <c r="H1729" s="264"/>
      <c r="I1729" s="264"/>
      <c r="J1729" s="327"/>
      <c r="K1729" s="327"/>
      <c r="L1729" s="327"/>
      <c r="M1729" s="321"/>
      <c r="N1729" s="321"/>
      <c r="O1729" s="364"/>
      <c r="P1729" s="381"/>
      <c r="R1729" s="392"/>
      <c r="S1729" s="61" ph="1"/>
      <c r="U1729" s="229"/>
      <c r="V1729" s="264"/>
      <c r="W1729" s="199"/>
      <c r="X1729" s="264"/>
      <c r="Y1729" s="264"/>
      <c r="Z1729" s="386"/>
      <c r="AA1729" s="126"/>
      <c r="AD1729" s="264"/>
      <c r="AE1729" s="264"/>
      <c r="AF1729" s="264"/>
      <c r="AG1729" s="264"/>
    </row>
    <row r="1730" spans="1:33" ht="26.25">
      <c r="A1730" s="264"/>
      <c r="B1730" s="264"/>
      <c r="C1730" s="264"/>
      <c r="D1730" s="264"/>
      <c r="E1730" s="264"/>
      <c r="F1730" s="264"/>
      <c r="G1730" s="264"/>
      <c r="H1730" s="264"/>
      <c r="I1730" s="264"/>
      <c r="J1730" s="327"/>
      <c r="K1730" s="327"/>
      <c r="L1730" s="327"/>
      <c r="M1730" s="321"/>
      <c r="N1730" s="321"/>
      <c r="O1730" s="364"/>
      <c r="P1730" s="381"/>
      <c r="R1730" s="392"/>
      <c r="S1730" s="61" ph="1"/>
      <c r="U1730" s="229"/>
      <c r="V1730" s="264"/>
      <c r="W1730" s="199"/>
      <c r="X1730" s="264"/>
      <c r="Y1730" s="264"/>
      <c r="Z1730" s="386"/>
      <c r="AA1730" s="126"/>
      <c r="AD1730" s="264"/>
      <c r="AE1730" s="264"/>
      <c r="AF1730" s="264"/>
      <c r="AG1730" s="264"/>
    </row>
    <row r="1731" spans="1:33" ht="26.25">
      <c r="A1731" s="264"/>
      <c r="B1731" s="264"/>
      <c r="C1731" s="264"/>
      <c r="D1731" s="264"/>
      <c r="E1731" s="264"/>
      <c r="F1731" s="264"/>
      <c r="G1731" s="264"/>
      <c r="H1731" s="264"/>
      <c r="I1731" s="264"/>
      <c r="J1731" s="327"/>
      <c r="K1731" s="327"/>
      <c r="L1731" s="327"/>
      <c r="M1731" s="321"/>
      <c r="N1731" s="321"/>
      <c r="O1731" s="364"/>
      <c r="P1731" s="381"/>
      <c r="R1731" s="392"/>
      <c r="S1731" s="61" ph="1"/>
      <c r="U1731" s="229"/>
      <c r="V1731" s="264"/>
      <c r="W1731" s="199"/>
      <c r="X1731" s="264"/>
      <c r="Y1731" s="264"/>
      <c r="Z1731" s="386"/>
      <c r="AA1731" s="126"/>
      <c r="AD1731" s="264"/>
      <c r="AE1731" s="264"/>
      <c r="AF1731" s="264"/>
      <c r="AG1731" s="264"/>
    </row>
    <row r="1732" spans="1:33" ht="26.25">
      <c r="A1732" s="264"/>
      <c r="B1732" s="264"/>
      <c r="C1732" s="264"/>
      <c r="D1732" s="264"/>
      <c r="E1732" s="264"/>
      <c r="F1732" s="264"/>
      <c r="G1732" s="264"/>
      <c r="H1732" s="264"/>
      <c r="I1732" s="264"/>
      <c r="J1732" s="327"/>
      <c r="K1732" s="327"/>
      <c r="L1732" s="327"/>
      <c r="M1732" s="321"/>
      <c r="N1732" s="321"/>
      <c r="O1732" s="364"/>
      <c r="P1732" s="381"/>
      <c r="R1732" s="392"/>
      <c r="S1732" s="61" ph="1"/>
      <c r="U1732" s="229"/>
      <c r="V1732" s="264"/>
      <c r="W1732" s="199"/>
      <c r="X1732" s="264"/>
      <c r="Y1732" s="264"/>
      <c r="Z1732" s="386"/>
      <c r="AA1732" s="126"/>
      <c r="AD1732" s="264"/>
      <c r="AE1732" s="264"/>
      <c r="AF1732" s="264"/>
      <c r="AG1732" s="264"/>
    </row>
    <row r="1733" spans="1:33" ht="26.25">
      <c r="A1733" s="264"/>
      <c r="B1733" s="264"/>
      <c r="C1733" s="264"/>
      <c r="D1733" s="264"/>
      <c r="E1733" s="264"/>
      <c r="F1733" s="264"/>
      <c r="G1733" s="264"/>
      <c r="H1733" s="264"/>
      <c r="I1733" s="264"/>
      <c r="J1733" s="327"/>
      <c r="K1733" s="327"/>
      <c r="L1733" s="327"/>
      <c r="M1733" s="321"/>
      <c r="N1733" s="321"/>
      <c r="O1733" s="364"/>
      <c r="P1733" s="381"/>
      <c r="R1733" s="392"/>
      <c r="S1733" s="61" ph="1"/>
      <c r="U1733" s="229"/>
      <c r="V1733" s="264"/>
      <c r="W1733" s="199"/>
      <c r="X1733" s="264"/>
      <c r="Y1733" s="264"/>
      <c r="Z1733" s="386"/>
      <c r="AA1733" s="126"/>
      <c r="AD1733" s="264"/>
      <c r="AE1733" s="264"/>
      <c r="AF1733" s="264"/>
      <c r="AG1733" s="264"/>
    </row>
    <row r="1734" spans="1:33" ht="26.25">
      <c r="A1734" s="264"/>
      <c r="B1734" s="264"/>
      <c r="C1734" s="264"/>
      <c r="D1734" s="264"/>
      <c r="E1734" s="264"/>
      <c r="F1734" s="264"/>
      <c r="G1734" s="264"/>
      <c r="H1734" s="264"/>
      <c r="I1734" s="264"/>
      <c r="J1734" s="327"/>
      <c r="K1734" s="327"/>
      <c r="L1734" s="327"/>
      <c r="M1734" s="321"/>
      <c r="N1734" s="321"/>
      <c r="O1734" s="364"/>
      <c r="P1734" s="381"/>
      <c r="R1734" s="392"/>
      <c r="S1734" s="61" ph="1"/>
      <c r="U1734" s="229"/>
      <c r="V1734" s="264"/>
      <c r="W1734" s="199"/>
      <c r="X1734" s="264"/>
      <c r="Y1734" s="264"/>
      <c r="Z1734" s="386"/>
      <c r="AA1734" s="126"/>
      <c r="AD1734" s="264"/>
      <c r="AE1734" s="264"/>
      <c r="AF1734" s="264"/>
      <c r="AG1734" s="264"/>
    </row>
    <row r="1735" spans="1:33" ht="26.25">
      <c r="A1735" s="264"/>
      <c r="B1735" s="264"/>
      <c r="C1735" s="264"/>
      <c r="D1735" s="264"/>
      <c r="E1735" s="264"/>
      <c r="F1735" s="264"/>
      <c r="G1735" s="264"/>
      <c r="H1735" s="264"/>
      <c r="I1735" s="264"/>
      <c r="J1735" s="327"/>
      <c r="K1735" s="327"/>
      <c r="L1735" s="327"/>
      <c r="M1735" s="321"/>
      <c r="N1735" s="321"/>
      <c r="O1735" s="364"/>
      <c r="P1735" s="381"/>
      <c r="R1735" s="392"/>
      <c r="S1735" s="61" ph="1"/>
      <c r="U1735" s="229"/>
      <c r="V1735" s="264"/>
      <c r="W1735" s="199"/>
      <c r="X1735" s="264"/>
      <c r="Y1735" s="264"/>
      <c r="Z1735" s="386"/>
      <c r="AA1735" s="126"/>
      <c r="AD1735" s="264"/>
      <c r="AE1735" s="264"/>
      <c r="AF1735" s="264"/>
      <c r="AG1735" s="264"/>
    </row>
    <row r="1736" spans="1:33" ht="26.25">
      <c r="A1736" s="264"/>
      <c r="B1736" s="264"/>
      <c r="C1736" s="264"/>
      <c r="D1736" s="264"/>
      <c r="E1736" s="264"/>
      <c r="F1736" s="264"/>
      <c r="G1736" s="264"/>
      <c r="H1736" s="264"/>
      <c r="I1736" s="264"/>
      <c r="J1736" s="327"/>
      <c r="K1736" s="327"/>
      <c r="L1736" s="327"/>
      <c r="M1736" s="321"/>
      <c r="N1736" s="321"/>
      <c r="O1736" s="364"/>
      <c r="P1736" s="381"/>
      <c r="R1736" s="392"/>
      <c r="S1736" s="61" ph="1"/>
      <c r="U1736" s="229"/>
      <c r="V1736" s="264"/>
      <c r="W1736" s="199"/>
      <c r="X1736" s="264"/>
      <c r="Y1736" s="264"/>
      <c r="Z1736" s="386"/>
      <c r="AA1736" s="126"/>
      <c r="AD1736" s="264"/>
      <c r="AE1736" s="264"/>
      <c r="AF1736" s="264"/>
      <c r="AG1736" s="264"/>
    </row>
    <row r="1737" spans="1:33" ht="26.25">
      <c r="A1737" s="264"/>
      <c r="B1737" s="264"/>
      <c r="C1737" s="264"/>
      <c r="D1737" s="264"/>
      <c r="E1737" s="264"/>
      <c r="F1737" s="264"/>
      <c r="G1737" s="264"/>
      <c r="H1737" s="264"/>
      <c r="I1737" s="264"/>
      <c r="J1737" s="327"/>
      <c r="K1737" s="327"/>
      <c r="L1737" s="327"/>
      <c r="M1737" s="321"/>
      <c r="N1737" s="321"/>
      <c r="O1737" s="364"/>
      <c r="P1737" s="381"/>
      <c r="R1737" s="392"/>
      <c r="S1737" s="61" ph="1"/>
      <c r="U1737" s="229"/>
      <c r="V1737" s="264"/>
      <c r="W1737" s="199"/>
      <c r="X1737" s="264"/>
      <c r="Y1737" s="264"/>
      <c r="Z1737" s="386"/>
      <c r="AA1737" s="126"/>
      <c r="AD1737" s="264"/>
      <c r="AE1737" s="264"/>
      <c r="AF1737" s="264"/>
      <c r="AG1737" s="264"/>
    </row>
    <row r="1738" spans="1:33" ht="26.25">
      <c r="A1738" s="264"/>
      <c r="B1738" s="264"/>
      <c r="C1738" s="264"/>
      <c r="D1738" s="264"/>
      <c r="E1738" s="264"/>
      <c r="F1738" s="264"/>
      <c r="G1738" s="264"/>
      <c r="H1738" s="264"/>
      <c r="I1738" s="264"/>
      <c r="J1738" s="327"/>
      <c r="K1738" s="327"/>
      <c r="L1738" s="327"/>
      <c r="M1738" s="321"/>
      <c r="N1738" s="321"/>
      <c r="O1738" s="364"/>
      <c r="P1738" s="381"/>
      <c r="R1738" s="392"/>
      <c r="S1738" s="61" ph="1"/>
      <c r="U1738" s="229"/>
      <c r="V1738" s="264"/>
      <c r="W1738" s="199"/>
      <c r="X1738" s="264"/>
      <c r="Y1738" s="264"/>
      <c r="Z1738" s="386"/>
      <c r="AA1738" s="264"/>
      <c r="AD1738" s="264"/>
      <c r="AE1738" s="264"/>
      <c r="AF1738" s="264"/>
      <c r="AG1738" s="264"/>
    </row>
    <row r="1739" spans="1:33" ht="26.25">
      <c r="A1739" s="264"/>
      <c r="B1739" s="264"/>
      <c r="C1739" s="264"/>
      <c r="D1739" s="264"/>
      <c r="E1739" s="264"/>
      <c r="F1739" s="264"/>
      <c r="G1739" s="264"/>
      <c r="H1739" s="264"/>
      <c r="I1739" s="264"/>
      <c r="J1739" s="327"/>
      <c r="K1739" s="327"/>
      <c r="L1739" s="327"/>
      <c r="M1739" s="321"/>
      <c r="N1739" s="321"/>
      <c r="O1739" s="364"/>
      <c r="P1739" s="381"/>
      <c r="R1739" s="392"/>
      <c r="S1739" s="61" ph="1"/>
      <c r="U1739" s="229"/>
      <c r="V1739" s="264"/>
      <c r="W1739" s="199"/>
      <c r="X1739" s="264"/>
      <c r="Y1739" s="264"/>
      <c r="Z1739" s="386"/>
      <c r="AA1739" s="264"/>
      <c r="AD1739" s="264"/>
      <c r="AE1739" s="264"/>
      <c r="AF1739" s="264"/>
      <c r="AG1739" s="264"/>
    </row>
    <row r="1740" spans="1:33" ht="26.25">
      <c r="A1740" s="264"/>
      <c r="B1740" s="264"/>
      <c r="C1740" s="264"/>
      <c r="D1740" s="264"/>
      <c r="E1740" s="264"/>
      <c r="F1740" s="264"/>
      <c r="G1740" s="264"/>
      <c r="H1740" s="264"/>
      <c r="I1740" s="264"/>
      <c r="J1740" s="327"/>
      <c r="K1740" s="327"/>
      <c r="L1740" s="327"/>
      <c r="M1740" s="321"/>
      <c r="N1740" s="321"/>
      <c r="O1740" s="364"/>
      <c r="P1740" s="381"/>
      <c r="R1740" s="392"/>
      <c r="S1740" s="61" ph="1"/>
      <c r="U1740" s="229"/>
      <c r="V1740" s="264"/>
      <c r="W1740" s="199"/>
      <c r="X1740" s="264"/>
      <c r="Y1740" s="264"/>
      <c r="Z1740" s="386"/>
      <c r="AA1740" s="126"/>
      <c r="AD1740" s="264"/>
      <c r="AE1740" s="264"/>
      <c r="AF1740" s="264"/>
      <c r="AG1740" s="264"/>
    </row>
    <row r="1741" spans="1:33" ht="26.25">
      <c r="A1741" s="264"/>
      <c r="B1741" s="264"/>
      <c r="C1741" s="264"/>
      <c r="D1741" s="264"/>
      <c r="E1741" s="264"/>
      <c r="F1741" s="264"/>
      <c r="G1741" s="264"/>
      <c r="H1741" s="264"/>
      <c r="I1741" s="264"/>
      <c r="J1741" s="327"/>
      <c r="K1741" s="327"/>
      <c r="L1741" s="327"/>
      <c r="M1741" s="321"/>
      <c r="N1741" s="321"/>
      <c r="O1741" s="364"/>
      <c r="P1741" s="381"/>
      <c r="R1741" s="392"/>
      <c r="S1741" s="61" ph="1"/>
      <c r="U1741" s="229"/>
      <c r="V1741" s="264"/>
      <c r="W1741" s="199"/>
      <c r="X1741" s="264"/>
      <c r="Y1741" s="264"/>
      <c r="Z1741" s="386"/>
      <c r="AA1741" s="126"/>
      <c r="AD1741" s="264"/>
      <c r="AE1741" s="264"/>
      <c r="AF1741" s="264"/>
      <c r="AG1741" s="264"/>
    </row>
    <row r="1742" spans="1:33" ht="26.25">
      <c r="A1742" s="264"/>
      <c r="B1742" s="264"/>
      <c r="C1742" s="264"/>
      <c r="D1742" s="264"/>
      <c r="E1742" s="264"/>
      <c r="F1742" s="264"/>
      <c r="G1742" s="264"/>
      <c r="H1742" s="264"/>
      <c r="I1742" s="264"/>
      <c r="J1742" s="327"/>
      <c r="K1742" s="327"/>
      <c r="L1742" s="327"/>
      <c r="M1742" s="321"/>
      <c r="N1742" s="321"/>
      <c r="O1742" s="364"/>
      <c r="P1742" s="381"/>
      <c r="R1742" s="392"/>
      <c r="S1742" s="61" ph="1"/>
      <c r="U1742" s="229"/>
      <c r="V1742" s="264"/>
      <c r="W1742" s="199"/>
      <c r="X1742" s="264"/>
      <c r="Y1742" s="264"/>
      <c r="Z1742" s="386"/>
      <c r="AA1742" s="126"/>
      <c r="AD1742" s="264"/>
      <c r="AE1742" s="264"/>
      <c r="AF1742" s="264"/>
      <c r="AG1742" s="264"/>
    </row>
    <row r="1743" spans="1:33" ht="26.25">
      <c r="A1743" s="264"/>
      <c r="B1743" s="264"/>
      <c r="C1743" s="264"/>
      <c r="D1743" s="264"/>
      <c r="E1743" s="264"/>
      <c r="F1743" s="264"/>
      <c r="G1743" s="264"/>
      <c r="H1743" s="264"/>
      <c r="I1743" s="264"/>
      <c r="J1743" s="327"/>
      <c r="K1743" s="327"/>
      <c r="L1743" s="327"/>
      <c r="M1743" s="321"/>
      <c r="N1743" s="321"/>
      <c r="O1743" s="364"/>
      <c r="P1743" s="381"/>
      <c r="R1743" s="392"/>
      <c r="S1743" s="61" ph="1"/>
      <c r="U1743" s="229"/>
      <c r="V1743" s="264"/>
      <c r="W1743" s="199"/>
      <c r="X1743" s="264"/>
      <c r="Y1743" s="264"/>
      <c r="Z1743" s="386"/>
      <c r="AA1743" s="126"/>
      <c r="AD1743" s="264"/>
      <c r="AE1743" s="264"/>
      <c r="AF1743" s="264"/>
      <c r="AG1743" s="264"/>
    </row>
    <row r="1744" spans="1:33" ht="26.25">
      <c r="A1744" s="264"/>
      <c r="B1744" s="264"/>
      <c r="C1744" s="264"/>
      <c r="D1744" s="264"/>
      <c r="E1744" s="264"/>
      <c r="F1744" s="264"/>
      <c r="G1744" s="264"/>
      <c r="H1744" s="264"/>
      <c r="I1744" s="264"/>
      <c r="J1744" s="327"/>
      <c r="K1744" s="327"/>
      <c r="L1744" s="327"/>
      <c r="M1744" s="321"/>
      <c r="N1744" s="321"/>
      <c r="O1744" s="364"/>
      <c r="P1744" s="381"/>
      <c r="R1744" s="392"/>
      <c r="S1744" s="61" ph="1"/>
      <c r="U1744" s="229"/>
      <c r="V1744" s="264"/>
      <c r="W1744" s="199"/>
      <c r="X1744" s="264"/>
      <c r="Y1744" s="264"/>
      <c r="Z1744" s="386"/>
      <c r="AA1744" s="126"/>
      <c r="AD1744" s="264"/>
      <c r="AE1744" s="264"/>
      <c r="AF1744" s="264"/>
      <c r="AG1744" s="264"/>
    </row>
    <row r="1745" spans="1:33" ht="26.25">
      <c r="A1745" s="264"/>
      <c r="B1745" s="264"/>
      <c r="C1745" s="264"/>
      <c r="D1745" s="264"/>
      <c r="E1745" s="264"/>
      <c r="F1745" s="264"/>
      <c r="G1745" s="264"/>
      <c r="H1745" s="264"/>
      <c r="I1745" s="264"/>
      <c r="J1745" s="327"/>
      <c r="K1745" s="327"/>
      <c r="L1745" s="327"/>
      <c r="M1745" s="321"/>
      <c r="N1745" s="321"/>
      <c r="O1745" s="364"/>
      <c r="P1745" s="381"/>
      <c r="R1745" s="392"/>
      <c r="S1745" s="61" ph="1"/>
      <c r="U1745" s="229"/>
      <c r="V1745" s="264"/>
      <c r="W1745" s="199"/>
      <c r="X1745" s="264"/>
      <c r="Y1745" s="264"/>
      <c r="Z1745" s="386"/>
      <c r="AA1745" s="126"/>
      <c r="AD1745" s="264"/>
      <c r="AE1745" s="264"/>
      <c r="AF1745" s="264"/>
      <c r="AG1745" s="264"/>
    </row>
    <row r="1746" spans="1:33" ht="26.25">
      <c r="A1746" s="264"/>
      <c r="B1746" s="264"/>
      <c r="C1746" s="264"/>
      <c r="D1746" s="264"/>
      <c r="E1746" s="264"/>
      <c r="F1746" s="264"/>
      <c r="G1746" s="264"/>
      <c r="H1746" s="264"/>
      <c r="I1746" s="264"/>
      <c r="J1746" s="327"/>
      <c r="K1746" s="327"/>
      <c r="L1746" s="327"/>
      <c r="M1746" s="321"/>
      <c r="N1746" s="321"/>
      <c r="O1746" s="364"/>
      <c r="P1746" s="381"/>
      <c r="R1746" s="392"/>
      <c r="S1746" s="61" ph="1"/>
      <c r="U1746" s="229"/>
      <c r="V1746" s="264"/>
      <c r="W1746" s="199"/>
      <c r="X1746" s="264"/>
      <c r="Y1746" s="264"/>
      <c r="Z1746" s="386"/>
      <c r="AA1746" s="126"/>
      <c r="AD1746" s="264"/>
      <c r="AE1746" s="264"/>
      <c r="AF1746" s="264"/>
      <c r="AG1746" s="264"/>
    </row>
    <row r="1747" spans="1:33" ht="26.25">
      <c r="A1747" s="264"/>
      <c r="B1747" s="264"/>
      <c r="C1747" s="264"/>
      <c r="D1747" s="264"/>
      <c r="E1747" s="264"/>
      <c r="F1747" s="264"/>
      <c r="G1747" s="264"/>
      <c r="H1747" s="264"/>
      <c r="I1747" s="264"/>
      <c r="J1747" s="327"/>
      <c r="K1747" s="327"/>
      <c r="L1747" s="327"/>
      <c r="M1747" s="321"/>
      <c r="N1747" s="321"/>
      <c r="O1747" s="364"/>
      <c r="P1747" s="381"/>
      <c r="R1747" s="392"/>
      <c r="S1747" s="61" ph="1"/>
      <c r="U1747" s="229"/>
      <c r="V1747" s="264"/>
      <c r="W1747" s="199"/>
      <c r="X1747" s="264"/>
      <c r="Y1747" s="264"/>
      <c r="Z1747" s="386"/>
      <c r="AA1747" s="126"/>
      <c r="AD1747" s="264"/>
      <c r="AE1747" s="264"/>
      <c r="AF1747" s="264"/>
      <c r="AG1747" s="264"/>
    </row>
    <row r="1748" spans="1:33" ht="26.25">
      <c r="A1748" s="264"/>
      <c r="B1748" s="264"/>
      <c r="C1748" s="264"/>
      <c r="D1748" s="264"/>
      <c r="E1748" s="264"/>
      <c r="F1748" s="264"/>
      <c r="G1748" s="264"/>
      <c r="H1748" s="264"/>
      <c r="I1748" s="264"/>
      <c r="J1748" s="327"/>
      <c r="K1748" s="327"/>
      <c r="L1748" s="327"/>
      <c r="M1748" s="321"/>
      <c r="N1748" s="321"/>
      <c r="O1748" s="364"/>
      <c r="P1748" s="381"/>
      <c r="R1748" s="392"/>
      <c r="S1748" s="61" ph="1"/>
      <c r="U1748" s="229"/>
      <c r="V1748" s="264"/>
      <c r="W1748" s="199"/>
      <c r="X1748" s="264"/>
      <c r="Y1748" s="264"/>
      <c r="Z1748" s="386"/>
      <c r="AA1748" s="264"/>
      <c r="AD1748" s="264"/>
      <c r="AE1748" s="264"/>
      <c r="AF1748" s="264"/>
      <c r="AG1748" s="264"/>
    </row>
    <row r="1749" spans="1:33" ht="26.25">
      <c r="A1749" s="264"/>
      <c r="B1749" s="264"/>
      <c r="C1749" s="264"/>
      <c r="D1749" s="264"/>
      <c r="E1749" s="264"/>
      <c r="F1749" s="264"/>
      <c r="G1749" s="264"/>
      <c r="H1749" s="264"/>
      <c r="I1749" s="264"/>
      <c r="J1749" s="327"/>
      <c r="K1749" s="327"/>
      <c r="L1749" s="327"/>
      <c r="M1749" s="321"/>
      <c r="N1749" s="321"/>
      <c r="O1749" s="364"/>
      <c r="P1749" s="381"/>
      <c r="R1749" s="392"/>
      <c r="S1749" s="61" ph="1"/>
      <c r="U1749" s="229"/>
      <c r="V1749" s="264"/>
      <c r="W1749" s="199"/>
      <c r="X1749" s="264"/>
      <c r="Y1749" s="264"/>
      <c r="Z1749" s="386"/>
      <c r="AA1749" s="126"/>
      <c r="AD1749" s="264"/>
      <c r="AE1749" s="264"/>
      <c r="AF1749" s="264"/>
      <c r="AG1749" s="264"/>
    </row>
    <row r="1750" spans="1:33" ht="26.25">
      <c r="A1750" s="264"/>
      <c r="B1750" s="264"/>
      <c r="C1750" s="264"/>
      <c r="D1750" s="264"/>
      <c r="E1750" s="264"/>
      <c r="F1750" s="264"/>
      <c r="G1750" s="264"/>
      <c r="H1750" s="264"/>
      <c r="I1750" s="264"/>
      <c r="J1750" s="327"/>
      <c r="K1750" s="327"/>
      <c r="L1750" s="327"/>
      <c r="M1750" s="321"/>
      <c r="N1750" s="321"/>
      <c r="O1750" s="364"/>
      <c r="P1750" s="381"/>
      <c r="R1750" s="392"/>
      <c r="S1750" s="61" ph="1"/>
      <c r="U1750" s="229"/>
      <c r="V1750" s="264"/>
      <c r="W1750" s="199"/>
      <c r="X1750" s="264"/>
      <c r="Y1750" s="264"/>
      <c r="Z1750" s="386"/>
      <c r="AA1750" s="126"/>
      <c r="AD1750" s="264"/>
      <c r="AE1750" s="264"/>
      <c r="AF1750" s="264"/>
      <c r="AG1750" s="264"/>
    </row>
    <row r="1751" spans="1:33" ht="26.25">
      <c r="A1751" s="264"/>
      <c r="B1751" s="264"/>
      <c r="C1751" s="264"/>
      <c r="D1751" s="264"/>
      <c r="E1751" s="264"/>
      <c r="F1751" s="264"/>
      <c r="G1751" s="264"/>
      <c r="H1751" s="264"/>
      <c r="I1751" s="264"/>
      <c r="J1751" s="327"/>
      <c r="K1751" s="327"/>
      <c r="L1751" s="327"/>
      <c r="M1751" s="321"/>
      <c r="N1751" s="321"/>
      <c r="O1751" s="364"/>
      <c r="P1751" s="381"/>
      <c r="R1751" s="392"/>
      <c r="S1751" s="61" ph="1"/>
      <c r="U1751" s="229"/>
      <c r="V1751" s="264"/>
      <c r="W1751" s="199"/>
      <c r="X1751" s="264"/>
      <c r="Y1751" s="264"/>
      <c r="Z1751" s="386"/>
      <c r="AA1751" s="126"/>
      <c r="AD1751" s="264"/>
      <c r="AE1751" s="264"/>
      <c r="AF1751" s="264"/>
      <c r="AG1751" s="264"/>
    </row>
    <row r="1752" spans="1:33" ht="26.25">
      <c r="A1752" s="264"/>
      <c r="B1752" s="264"/>
      <c r="C1752" s="264"/>
      <c r="D1752" s="264"/>
      <c r="E1752" s="264"/>
      <c r="F1752" s="264"/>
      <c r="G1752" s="264"/>
      <c r="H1752" s="264"/>
      <c r="I1752" s="264"/>
      <c r="J1752" s="327"/>
      <c r="K1752" s="327"/>
      <c r="L1752" s="327"/>
      <c r="M1752" s="321"/>
      <c r="N1752" s="321"/>
      <c r="O1752" s="364"/>
      <c r="P1752" s="381"/>
      <c r="R1752" s="392"/>
      <c r="S1752" s="61" ph="1"/>
      <c r="U1752" s="229"/>
      <c r="V1752" s="264"/>
      <c r="W1752" s="199"/>
      <c r="X1752" s="264"/>
      <c r="Y1752" s="264"/>
      <c r="Z1752" s="386"/>
      <c r="AA1752" s="126"/>
      <c r="AD1752" s="264"/>
      <c r="AE1752" s="264"/>
      <c r="AF1752" s="264"/>
      <c r="AG1752" s="264"/>
    </row>
    <row r="1753" spans="1:33" ht="26.25">
      <c r="A1753" s="264"/>
      <c r="B1753" s="264"/>
      <c r="C1753" s="264"/>
      <c r="D1753" s="264"/>
      <c r="E1753" s="264"/>
      <c r="F1753" s="264"/>
      <c r="G1753" s="264"/>
      <c r="H1753" s="264"/>
      <c r="I1753" s="264"/>
      <c r="J1753" s="327"/>
      <c r="K1753" s="327"/>
      <c r="L1753" s="327"/>
      <c r="M1753" s="321"/>
      <c r="N1753" s="321"/>
      <c r="O1753" s="364"/>
      <c r="P1753" s="381"/>
      <c r="R1753" s="392"/>
      <c r="S1753" s="61" ph="1"/>
      <c r="U1753" s="229"/>
      <c r="V1753" s="264"/>
      <c r="W1753" s="199"/>
      <c r="X1753" s="264"/>
      <c r="Y1753" s="264"/>
      <c r="Z1753" s="386"/>
      <c r="AA1753" s="126"/>
      <c r="AD1753" s="264"/>
      <c r="AE1753" s="264"/>
      <c r="AF1753" s="264"/>
      <c r="AG1753" s="264"/>
    </row>
    <row r="1754" spans="1:33" ht="26.25">
      <c r="A1754" s="264"/>
      <c r="B1754" s="264"/>
      <c r="C1754" s="264"/>
      <c r="D1754" s="264"/>
      <c r="E1754" s="264"/>
      <c r="F1754" s="264"/>
      <c r="G1754" s="264"/>
      <c r="H1754" s="264"/>
      <c r="I1754" s="264"/>
      <c r="J1754" s="327"/>
      <c r="K1754" s="327"/>
      <c r="L1754" s="327"/>
      <c r="M1754" s="321"/>
      <c r="N1754" s="321"/>
      <c r="O1754" s="364"/>
      <c r="P1754" s="381"/>
      <c r="R1754" s="392"/>
      <c r="S1754" s="61" ph="1"/>
      <c r="U1754" s="229"/>
      <c r="V1754" s="264"/>
      <c r="W1754" s="199"/>
      <c r="X1754" s="264"/>
      <c r="Y1754" s="264"/>
      <c r="Z1754" s="386"/>
      <c r="AA1754" s="126"/>
      <c r="AD1754" s="264"/>
      <c r="AE1754" s="264"/>
      <c r="AF1754" s="264"/>
      <c r="AG1754" s="264"/>
    </row>
    <row r="1755" spans="1:33" ht="26.25">
      <c r="A1755" s="264"/>
      <c r="B1755" s="264"/>
      <c r="C1755" s="264"/>
      <c r="D1755" s="264"/>
      <c r="E1755" s="264"/>
      <c r="F1755" s="264"/>
      <c r="G1755" s="264"/>
      <c r="H1755" s="264"/>
      <c r="I1755" s="264"/>
      <c r="J1755" s="327"/>
      <c r="K1755" s="327"/>
      <c r="L1755" s="327"/>
      <c r="M1755" s="321"/>
      <c r="N1755" s="321"/>
      <c r="O1755" s="364"/>
      <c r="P1755" s="381"/>
      <c r="R1755" s="392"/>
      <c r="S1755" s="61" ph="1"/>
      <c r="U1755" s="229"/>
      <c r="V1755" s="264"/>
      <c r="W1755" s="199"/>
      <c r="X1755" s="264"/>
      <c r="Y1755" s="264"/>
      <c r="Z1755" s="386"/>
      <c r="AA1755" s="126"/>
      <c r="AD1755" s="264"/>
      <c r="AE1755" s="264"/>
      <c r="AF1755" s="264"/>
      <c r="AG1755" s="264"/>
    </row>
    <row r="1756" spans="1:33" ht="26.25">
      <c r="A1756" s="264"/>
      <c r="B1756" s="264"/>
      <c r="C1756" s="264"/>
      <c r="D1756" s="264"/>
      <c r="E1756" s="264"/>
      <c r="F1756" s="264"/>
      <c r="G1756" s="264"/>
      <c r="H1756" s="264"/>
      <c r="I1756" s="264"/>
      <c r="J1756" s="327"/>
      <c r="K1756" s="327"/>
      <c r="L1756" s="327"/>
      <c r="M1756" s="321"/>
      <c r="N1756" s="321"/>
      <c r="O1756" s="364"/>
      <c r="P1756" s="381"/>
      <c r="R1756" s="392"/>
      <c r="S1756" s="61" ph="1"/>
      <c r="U1756" s="229"/>
      <c r="V1756" s="264"/>
      <c r="W1756" s="199"/>
      <c r="X1756" s="264"/>
      <c r="Y1756" s="264"/>
      <c r="Z1756" s="386"/>
      <c r="AA1756" s="126"/>
      <c r="AD1756" s="264"/>
      <c r="AE1756" s="264"/>
      <c r="AF1756" s="264"/>
      <c r="AG1756" s="264"/>
    </row>
    <row r="1757" spans="1:33" ht="26.25">
      <c r="A1757" s="264"/>
      <c r="B1757" s="264"/>
      <c r="C1757" s="264"/>
      <c r="D1757" s="264"/>
      <c r="E1757" s="264"/>
      <c r="F1757" s="264"/>
      <c r="G1757" s="264"/>
      <c r="H1757" s="264"/>
      <c r="I1757" s="264"/>
      <c r="J1757" s="327"/>
      <c r="K1757" s="327"/>
      <c r="L1757" s="327"/>
      <c r="M1757" s="321"/>
      <c r="N1757" s="321"/>
      <c r="O1757" s="364"/>
      <c r="P1757" s="381"/>
      <c r="R1757" s="392"/>
      <c r="S1757" s="61" ph="1"/>
      <c r="U1757" s="229"/>
      <c r="V1757" s="264"/>
      <c r="W1757" s="199"/>
      <c r="X1757" s="264"/>
      <c r="Y1757" s="264"/>
      <c r="Z1757" s="386"/>
      <c r="AA1757" s="126"/>
      <c r="AD1757" s="264"/>
      <c r="AE1757" s="264"/>
      <c r="AF1757" s="264"/>
      <c r="AG1757" s="264"/>
    </row>
    <row r="1758" spans="1:33" ht="26.25">
      <c r="A1758" s="264"/>
      <c r="B1758" s="264"/>
      <c r="C1758" s="264"/>
      <c r="D1758" s="264"/>
      <c r="E1758" s="264"/>
      <c r="F1758" s="264"/>
      <c r="G1758" s="264"/>
      <c r="H1758" s="264"/>
      <c r="I1758" s="264"/>
      <c r="J1758" s="327"/>
      <c r="K1758" s="327"/>
      <c r="L1758" s="327"/>
      <c r="M1758" s="321"/>
      <c r="N1758" s="321"/>
      <c r="O1758" s="364"/>
      <c r="P1758" s="381"/>
      <c r="R1758" s="392"/>
      <c r="S1758" s="61" ph="1"/>
      <c r="U1758" s="229"/>
      <c r="V1758" s="264"/>
      <c r="W1758" s="199"/>
      <c r="X1758" s="264"/>
      <c r="Y1758" s="264"/>
      <c r="Z1758" s="386"/>
      <c r="AA1758" s="264"/>
      <c r="AD1758" s="264"/>
      <c r="AE1758" s="264"/>
      <c r="AF1758" s="264"/>
      <c r="AG1758" s="264"/>
    </row>
    <row r="1759" spans="1:33" ht="26.25">
      <c r="A1759" s="264"/>
      <c r="B1759" s="264"/>
      <c r="C1759" s="264"/>
      <c r="D1759" s="264"/>
      <c r="E1759" s="264"/>
      <c r="F1759" s="264"/>
      <c r="G1759" s="264"/>
      <c r="H1759" s="264"/>
      <c r="I1759" s="264"/>
      <c r="J1759" s="327"/>
      <c r="K1759" s="327"/>
      <c r="L1759" s="327"/>
      <c r="M1759" s="321"/>
      <c r="N1759" s="321"/>
      <c r="O1759" s="364"/>
      <c r="P1759" s="381"/>
      <c r="R1759" s="392"/>
      <c r="S1759" s="61" ph="1"/>
      <c r="U1759" s="229"/>
      <c r="V1759" s="264"/>
      <c r="W1759" s="199"/>
      <c r="X1759" s="264"/>
      <c r="Y1759" s="264"/>
      <c r="Z1759" s="386"/>
      <c r="AA1759" s="126"/>
      <c r="AD1759" s="264"/>
      <c r="AE1759" s="264"/>
      <c r="AF1759" s="264"/>
      <c r="AG1759" s="264"/>
    </row>
    <row r="1760" spans="1:33" ht="26.25">
      <c r="A1760" s="264"/>
      <c r="B1760" s="264"/>
      <c r="C1760" s="264"/>
      <c r="D1760" s="264"/>
      <c r="E1760" s="264"/>
      <c r="F1760" s="264"/>
      <c r="G1760" s="264"/>
      <c r="H1760" s="264"/>
      <c r="I1760" s="264"/>
      <c r="J1760" s="327"/>
      <c r="K1760" s="327"/>
      <c r="L1760" s="327"/>
      <c r="M1760" s="321"/>
      <c r="N1760" s="321"/>
      <c r="O1760" s="364"/>
      <c r="P1760" s="381"/>
      <c r="R1760" s="392"/>
      <c r="S1760" s="61" ph="1"/>
      <c r="U1760" s="229"/>
      <c r="V1760" s="264"/>
      <c r="W1760" s="199"/>
      <c r="X1760" s="264"/>
      <c r="Y1760" s="264"/>
      <c r="Z1760" s="386"/>
      <c r="AA1760" s="126"/>
      <c r="AD1760" s="264"/>
      <c r="AE1760" s="264"/>
      <c r="AF1760" s="264"/>
      <c r="AG1760" s="264"/>
    </row>
    <row r="1761" spans="1:33" ht="26.25">
      <c r="A1761" s="264"/>
      <c r="B1761" s="264"/>
      <c r="C1761" s="264"/>
      <c r="D1761" s="264"/>
      <c r="E1761" s="264"/>
      <c r="F1761" s="264"/>
      <c r="G1761" s="264"/>
      <c r="H1761" s="264"/>
      <c r="I1761" s="264"/>
      <c r="J1761" s="327"/>
      <c r="K1761" s="327"/>
      <c r="L1761" s="327"/>
      <c r="M1761" s="321"/>
      <c r="N1761" s="321"/>
      <c r="O1761" s="364"/>
      <c r="P1761" s="381"/>
      <c r="R1761" s="392"/>
      <c r="S1761" s="61" ph="1"/>
      <c r="U1761" s="229"/>
      <c r="V1761" s="264"/>
      <c r="W1761" s="199"/>
      <c r="X1761" s="264"/>
      <c r="Y1761" s="264"/>
      <c r="Z1761" s="386"/>
      <c r="AA1761" s="126"/>
      <c r="AD1761" s="264"/>
      <c r="AE1761" s="264"/>
      <c r="AF1761" s="264"/>
      <c r="AG1761" s="264"/>
    </row>
    <row r="1762" spans="1:33" ht="26.25">
      <c r="A1762" s="264"/>
      <c r="B1762" s="264"/>
      <c r="C1762" s="264"/>
      <c r="D1762" s="264"/>
      <c r="E1762" s="264"/>
      <c r="F1762" s="264"/>
      <c r="G1762" s="264"/>
      <c r="H1762" s="264"/>
      <c r="I1762" s="264"/>
      <c r="J1762" s="327"/>
      <c r="K1762" s="327"/>
      <c r="L1762" s="327"/>
      <c r="M1762" s="321"/>
      <c r="N1762" s="321"/>
      <c r="O1762" s="364"/>
      <c r="P1762" s="381"/>
      <c r="R1762" s="392"/>
      <c r="S1762" s="61" ph="1"/>
      <c r="U1762" s="229"/>
      <c r="V1762" s="264"/>
      <c r="W1762" s="199"/>
      <c r="X1762" s="264"/>
      <c r="Y1762" s="264"/>
      <c r="Z1762" s="386"/>
      <c r="AA1762" s="264"/>
      <c r="AD1762" s="264"/>
      <c r="AE1762" s="264"/>
      <c r="AF1762" s="264"/>
      <c r="AG1762" s="264"/>
    </row>
    <row r="1763" spans="1:33" ht="26.25">
      <c r="A1763" s="264"/>
      <c r="B1763" s="264"/>
      <c r="C1763" s="264"/>
      <c r="D1763" s="264"/>
      <c r="E1763" s="264"/>
      <c r="F1763" s="264"/>
      <c r="G1763" s="264"/>
      <c r="H1763" s="264"/>
      <c r="I1763" s="264"/>
      <c r="J1763" s="327"/>
      <c r="K1763" s="327"/>
      <c r="L1763" s="327"/>
      <c r="M1763" s="321"/>
      <c r="N1763" s="321"/>
      <c r="O1763" s="364"/>
      <c r="P1763" s="381"/>
      <c r="R1763" s="392"/>
      <c r="S1763" s="61" ph="1"/>
      <c r="U1763" s="229"/>
      <c r="V1763" s="264"/>
      <c r="W1763" s="199"/>
      <c r="X1763" s="264"/>
      <c r="Y1763" s="264"/>
      <c r="Z1763" s="386"/>
      <c r="AA1763" s="126"/>
      <c r="AD1763" s="264"/>
      <c r="AE1763" s="264"/>
      <c r="AF1763" s="264"/>
      <c r="AG1763" s="264"/>
    </row>
    <row r="1764" spans="1:33" ht="26.25">
      <c r="A1764" s="264"/>
      <c r="B1764" s="264"/>
      <c r="C1764" s="264"/>
      <c r="D1764" s="264"/>
      <c r="E1764" s="264"/>
      <c r="F1764" s="264"/>
      <c r="G1764" s="264"/>
      <c r="H1764" s="264"/>
      <c r="I1764" s="264"/>
      <c r="J1764" s="327"/>
      <c r="K1764" s="327"/>
      <c r="L1764" s="327"/>
      <c r="M1764" s="321"/>
      <c r="N1764" s="321"/>
      <c r="O1764" s="364"/>
      <c r="P1764" s="381"/>
      <c r="R1764" s="392"/>
      <c r="S1764" s="61" ph="1"/>
      <c r="U1764" s="229"/>
      <c r="V1764" s="264"/>
      <c r="W1764" s="199"/>
      <c r="X1764" s="264"/>
      <c r="Y1764" s="264"/>
      <c r="Z1764" s="386"/>
      <c r="AA1764" s="126"/>
      <c r="AD1764" s="264"/>
      <c r="AE1764" s="264"/>
      <c r="AF1764" s="264"/>
      <c r="AG1764" s="264"/>
    </row>
    <row r="1765" spans="1:33" ht="26.25">
      <c r="A1765" s="264"/>
      <c r="B1765" s="264"/>
      <c r="C1765" s="264"/>
      <c r="D1765" s="264"/>
      <c r="E1765" s="264"/>
      <c r="F1765" s="264"/>
      <c r="G1765" s="264"/>
      <c r="H1765" s="264"/>
      <c r="I1765" s="264"/>
      <c r="J1765" s="327"/>
      <c r="K1765" s="327"/>
      <c r="L1765" s="327"/>
      <c r="M1765" s="321"/>
      <c r="N1765" s="321"/>
      <c r="O1765" s="364"/>
      <c r="P1765" s="381"/>
      <c r="R1765" s="392"/>
      <c r="S1765" s="61" ph="1"/>
      <c r="U1765" s="229"/>
      <c r="V1765" s="264"/>
      <c r="W1765" s="199"/>
      <c r="X1765" s="264"/>
      <c r="Y1765" s="264"/>
      <c r="Z1765" s="386"/>
      <c r="AA1765" s="126"/>
      <c r="AD1765" s="264"/>
      <c r="AE1765" s="264"/>
      <c r="AF1765" s="264"/>
      <c r="AG1765" s="264"/>
    </row>
    <row r="1766" spans="1:33" ht="26.25">
      <c r="A1766" s="264"/>
      <c r="B1766" s="264"/>
      <c r="C1766" s="264"/>
      <c r="D1766" s="264"/>
      <c r="E1766" s="264"/>
      <c r="F1766" s="264"/>
      <c r="G1766" s="264"/>
      <c r="H1766" s="264"/>
      <c r="I1766" s="264"/>
      <c r="J1766" s="327"/>
      <c r="K1766" s="327"/>
      <c r="L1766" s="327"/>
      <c r="M1766" s="321"/>
      <c r="N1766" s="321"/>
      <c r="O1766" s="364"/>
      <c r="P1766" s="381"/>
      <c r="R1766" s="392"/>
      <c r="S1766" s="61" ph="1"/>
      <c r="U1766" s="229"/>
      <c r="V1766" s="264"/>
      <c r="W1766" s="199"/>
      <c r="X1766" s="264"/>
      <c r="Y1766" s="264"/>
      <c r="Z1766" s="386"/>
      <c r="AA1766" s="126"/>
      <c r="AD1766" s="264"/>
      <c r="AE1766" s="264"/>
      <c r="AF1766" s="264"/>
      <c r="AG1766" s="264"/>
    </row>
    <row r="1767" spans="1:33" ht="26.25">
      <c r="A1767" s="264"/>
      <c r="B1767" s="264"/>
      <c r="C1767" s="264"/>
      <c r="D1767" s="264"/>
      <c r="E1767" s="264"/>
      <c r="F1767" s="264"/>
      <c r="G1767" s="264"/>
      <c r="H1767" s="264"/>
      <c r="I1767" s="264"/>
      <c r="J1767" s="327"/>
      <c r="K1767" s="327"/>
      <c r="L1767" s="327"/>
      <c r="M1767" s="321"/>
      <c r="N1767" s="321"/>
      <c r="O1767" s="364"/>
      <c r="P1767" s="381"/>
      <c r="R1767" s="392"/>
      <c r="S1767" s="61" ph="1"/>
      <c r="U1767" s="229"/>
      <c r="V1767" s="264"/>
      <c r="W1767" s="199"/>
      <c r="X1767" s="264"/>
      <c r="Y1767" s="264"/>
      <c r="Z1767" s="386"/>
      <c r="AA1767" s="126"/>
      <c r="AD1767" s="264"/>
      <c r="AE1767" s="264"/>
      <c r="AF1767" s="264"/>
      <c r="AG1767" s="264"/>
    </row>
    <row r="1768" spans="1:33" ht="26.25">
      <c r="A1768" s="264"/>
      <c r="B1768" s="264"/>
      <c r="C1768" s="264"/>
      <c r="D1768" s="264"/>
      <c r="E1768" s="264"/>
      <c r="F1768" s="264"/>
      <c r="G1768" s="264"/>
      <c r="H1768" s="264"/>
      <c r="I1768" s="264"/>
      <c r="J1768" s="327"/>
      <c r="K1768" s="327"/>
      <c r="L1768" s="327"/>
      <c r="M1768" s="321"/>
      <c r="N1768" s="321"/>
      <c r="O1768" s="364"/>
      <c r="P1768" s="381"/>
      <c r="R1768" s="392"/>
      <c r="S1768" s="61" ph="1"/>
      <c r="U1768" s="229"/>
      <c r="V1768" s="264"/>
      <c r="W1768" s="199"/>
      <c r="X1768" s="264"/>
      <c r="Y1768" s="264"/>
      <c r="Z1768" s="386"/>
      <c r="AA1768" s="126"/>
      <c r="AD1768" s="264"/>
      <c r="AE1768" s="264"/>
      <c r="AF1768" s="264"/>
      <c r="AG1768" s="264"/>
    </row>
    <row r="1769" spans="1:33" ht="26.25">
      <c r="A1769" s="264"/>
      <c r="B1769" s="264"/>
      <c r="C1769" s="264"/>
      <c r="D1769" s="264"/>
      <c r="E1769" s="264"/>
      <c r="F1769" s="264"/>
      <c r="G1769" s="264"/>
      <c r="H1769" s="264"/>
      <c r="I1769" s="264"/>
      <c r="J1769" s="327"/>
      <c r="K1769" s="327"/>
      <c r="L1769" s="327"/>
      <c r="M1769" s="321"/>
      <c r="N1769" s="321"/>
      <c r="O1769" s="364"/>
      <c r="P1769" s="381"/>
      <c r="R1769" s="392"/>
      <c r="S1769" s="61" ph="1"/>
      <c r="U1769" s="229"/>
      <c r="V1769" s="264"/>
      <c r="W1769" s="199"/>
      <c r="X1769" s="264"/>
      <c r="Y1769" s="264"/>
      <c r="Z1769" s="386"/>
      <c r="AA1769" s="126"/>
      <c r="AD1769" s="264"/>
      <c r="AE1769" s="264"/>
      <c r="AF1769" s="264"/>
      <c r="AG1769" s="264"/>
    </row>
    <row r="1770" spans="1:33" ht="26.25">
      <c r="A1770" s="264"/>
      <c r="B1770" s="264"/>
      <c r="C1770" s="264"/>
      <c r="D1770" s="264"/>
      <c r="E1770" s="264"/>
      <c r="F1770" s="264"/>
      <c r="G1770" s="264"/>
      <c r="H1770" s="264"/>
      <c r="I1770" s="264"/>
      <c r="J1770" s="327"/>
      <c r="K1770" s="327"/>
      <c r="L1770" s="327"/>
      <c r="M1770" s="321"/>
      <c r="N1770" s="321"/>
      <c r="O1770" s="364"/>
      <c r="P1770" s="381"/>
      <c r="R1770" s="392"/>
      <c r="S1770" s="61" ph="1"/>
      <c r="U1770" s="229"/>
      <c r="V1770" s="264"/>
      <c r="W1770" s="199"/>
      <c r="X1770" s="264"/>
      <c r="Y1770" s="264"/>
      <c r="Z1770" s="386"/>
      <c r="AA1770" s="126"/>
      <c r="AD1770" s="264"/>
      <c r="AE1770" s="264"/>
      <c r="AF1770" s="264"/>
      <c r="AG1770" s="264"/>
    </row>
    <row r="1771" spans="1:33" ht="26.25">
      <c r="A1771" s="264"/>
      <c r="B1771" s="264"/>
      <c r="C1771" s="264"/>
      <c r="D1771" s="264"/>
      <c r="E1771" s="264"/>
      <c r="F1771" s="264"/>
      <c r="G1771" s="264"/>
      <c r="H1771" s="264"/>
      <c r="I1771" s="264"/>
      <c r="J1771" s="327"/>
      <c r="K1771" s="327"/>
      <c r="L1771" s="327"/>
      <c r="M1771" s="321"/>
      <c r="N1771" s="321"/>
      <c r="O1771" s="364"/>
      <c r="P1771" s="381"/>
      <c r="R1771" s="392"/>
      <c r="S1771" s="61" ph="1"/>
      <c r="U1771" s="229"/>
      <c r="V1771" s="264"/>
      <c r="W1771" s="199"/>
      <c r="X1771" s="264"/>
      <c r="Y1771" s="264"/>
      <c r="Z1771" s="386"/>
      <c r="AA1771" s="126"/>
      <c r="AD1771" s="264"/>
      <c r="AE1771" s="264"/>
      <c r="AF1771" s="264"/>
      <c r="AG1771" s="264"/>
    </row>
    <row r="1772" spans="1:33" ht="26.25">
      <c r="A1772" s="264"/>
      <c r="B1772" s="264"/>
      <c r="C1772" s="264"/>
      <c r="D1772" s="264"/>
      <c r="E1772" s="264"/>
      <c r="F1772" s="264"/>
      <c r="G1772" s="264"/>
      <c r="H1772" s="264"/>
      <c r="I1772" s="264"/>
      <c r="J1772" s="327"/>
      <c r="K1772" s="327"/>
      <c r="L1772" s="327"/>
      <c r="M1772" s="321"/>
      <c r="N1772" s="321"/>
      <c r="O1772" s="364"/>
      <c r="P1772" s="381"/>
      <c r="R1772" s="392"/>
      <c r="S1772" s="61" ph="1"/>
      <c r="U1772" s="229"/>
      <c r="V1772" s="264"/>
      <c r="W1772" s="199"/>
      <c r="X1772" s="264"/>
      <c r="Y1772" s="264"/>
      <c r="Z1772" s="386"/>
      <c r="AA1772" s="126"/>
      <c r="AD1772" s="264"/>
      <c r="AE1772" s="264"/>
      <c r="AF1772" s="264"/>
      <c r="AG1772" s="264"/>
    </row>
    <row r="1773" spans="1:33" ht="26.25">
      <c r="A1773" s="264"/>
      <c r="B1773" s="264"/>
      <c r="C1773" s="264"/>
      <c r="D1773" s="264"/>
      <c r="E1773" s="264"/>
      <c r="F1773" s="264"/>
      <c r="G1773" s="264"/>
      <c r="H1773" s="264"/>
      <c r="I1773" s="264"/>
      <c r="J1773" s="327"/>
      <c r="K1773" s="327"/>
      <c r="L1773" s="327"/>
      <c r="M1773" s="321"/>
      <c r="N1773" s="321"/>
      <c r="O1773" s="364"/>
      <c r="P1773" s="381"/>
      <c r="R1773" s="392"/>
      <c r="S1773" s="61" ph="1"/>
      <c r="U1773" s="229"/>
      <c r="V1773" s="264"/>
      <c r="W1773" s="199"/>
      <c r="X1773" s="264"/>
      <c r="Y1773" s="264"/>
      <c r="Z1773" s="386"/>
      <c r="AA1773" s="126"/>
      <c r="AD1773" s="264"/>
      <c r="AE1773" s="264"/>
      <c r="AF1773" s="264"/>
      <c r="AG1773" s="264"/>
    </row>
    <row r="1774" spans="1:33" ht="26.25">
      <c r="A1774" s="264"/>
      <c r="B1774" s="264"/>
      <c r="C1774" s="264"/>
      <c r="D1774" s="264"/>
      <c r="E1774" s="264"/>
      <c r="F1774" s="264"/>
      <c r="G1774" s="264"/>
      <c r="H1774" s="264"/>
      <c r="I1774" s="264"/>
      <c r="J1774" s="327"/>
      <c r="K1774" s="327"/>
      <c r="L1774" s="327"/>
      <c r="M1774" s="321"/>
      <c r="N1774" s="321"/>
      <c r="O1774" s="364"/>
      <c r="P1774" s="381"/>
      <c r="R1774" s="392"/>
      <c r="S1774" s="61" ph="1"/>
      <c r="U1774" s="229"/>
      <c r="V1774" s="264"/>
      <c r="W1774" s="199"/>
      <c r="X1774" s="264"/>
      <c r="Y1774" s="264"/>
      <c r="Z1774" s="386"/>
      <c r="AA1774" s="126"/>
      <c r="AD1774" s="264"/>
      <c r="AE1774" s="264"/>
      <c r="AF1774" s="264"/>
      <c r="AG1774" s="264"/>
    </row>
    <row r="1775" spans="1:33" ht="26.25">
      <c r="A1775" s="264"/>
      <c r="B1775" s="264"/>
      <c r="C1775" s="264"/>
      <c r="D1775" s="264"/>
      <c r="E1775" s="264"/>
      <c r="F1775" s="264"/>
      <c r="G1775" s="264"/>
      <c r="H1775" s="264"/>
      <c r="I1775" s="264"/>
      <c r="J1775" s="327"/>
      <c r="K1775" s="327"/>
      <c r="L1775" s="327"/>
      <c r="M1775" s="321"/>
      <c r="N1775" s="321"/>
      <c r="O1775" s="364"/>
      <c r="P1775" s="381"/>
      <c r="R1775" s="392"/>
      <c r="S1775" s="61" ph="1"/>
      <c r="U1775" s="229"/>
      <c r="V1775" s="264"/>
      <c r="W1775" s="199"/>
      <c r="X1775" s="264"/>
      <c r="Y1775" s="264"/>
      <c r="Z1775" s="386"/>
      <c r="AA1775" s="126"/>
      <c r="AD1775" s="264"/>
      <c r="AE1775" s="264"/>
      <c r="AF1775" s="264"/>
      <c r="AG1775" s="264"/>
    </row>
    <row r="1776" spans="1:33" ht="26.25">
      <c r="A1776" s="264"/>
      <c r="B1776" s="264"/>
      <c r="C1776" s="264"/>
      <c r="D1776" s="264"/>
      <c r="E1776" s="264"/>
      <c r="F1776" s="264"/>
      <c r="G1776" s="264"/>
      <c r="H1776" s="264"/>
      <c r="I1776" s="264"/>
      <c r="J1776" s="327"/>
      <c r="K1776" s="327"/>
      <c r="L1776" s="327"/>
      <c r="M1776" s="321"/>
      <c r="N1776" s="321"/>
      <c r="O1776" s="364"/>
      <c r="P1776" s="381"/>
      <c r="R1776" s="392"/>
      <c r="S1776" s="61" ph="1"/>
      <c r="U1776" s="229"/>
      <c r="V1776" s="264"/>
      <c r="W1776" s="199"/>
      <c r="X1776" s="264"/>
      <c r="Y1776" s="264"/>
      <c r="Z1776" s="386"/>
      <c r="AA1776" s="126"/>
      <c r="AD1776" s="264"/>
      <c r="AE1776" s="264"/>
      <c r="AF1776" s="264"/>
      <c r="AG1776" s="264"/>
    </row>
    <row r="1777" spans="1:33" ht="26.25">
      <c r="A1777" s="264"/>
      <c r="B1777" s="264"/>
      <c r="C1777" s="264"/>
      <c r="D1777" s="264"/>
      <c r="E1777" s="264"/>
      <c r="F1777" s="264"/>
      <c r="G1777" s="264"/>
      <c r="H1777" s="264"/>
      <c r="I1777" s="264"/>
      <c r="J1777" s="327"/>
      <c r="K1777" s="327"/>
      <c r="L1777" s="327"/>
      <c r="M1777" s="321"/>
      <c r="N1777" s="321"/>
      <c r="O1777" s="364"/>
      <c r="P1777" s="381"/>
      <c r="R1777" s="392"/>
      <c r="S1777" s="61" ph="1"/>
      <c r="U1777" s="229"/>
      <c r="V1777" s="264"/>
      <c r="W1777" s="199"/>
      <c r="X1777" s="264"/>
      <c r="Y1777" s="264"/>
      <c r="Z1777" s="386"/>
      <c r="AA1777" s="126"/>
      <c r="AD1777" s="264"/>
      <c r="AE1777" s="264"/>
      <c r="AF1777" s="264"/>
      <c r="AG1777" s="264"/>
    </row>
    <row r="1778" spans="1:33" ht="26.25">
      <c r="A1778" s="264"/>
      <c r="B1778" s="264"/>
      <c r="C1778" s="264"/>
      <c r="D1778" s="264"/>
      <c r="E1778" s="264"/>
      <c r="F1778" s="264"/>
      <c r="G1778" s="264"/>
      <c r="H1778" s="264"/>
      <c r="I1778" s="264"/>
      <c r="J1778" s="327"/>
      <c r="K1778" s="327"/>
      <c r="L1778" s="327"/>
      <c r="M1778" s="321"/>
      <c r="N1778" s="321"/>
      <c r="O1778" s="364"/>
      <c r="P1778" s="381"/>
      <c r="R1778" s="392"/>
      <c r="S1778" s="61" ph="1"/>
      <c r="U1778" s="229"/>
      <c r="V1778" s="264"/>
      <c r="W1778" s="199"/>
      <c r="X1778" s="264"/>
      <c r="Y1778" s="264"/>
      <c r="Z1778" s="386"/>
      <c r="AA1778" s="126"/>
      <c r="AD1778" s="264"/>
      <c r="AE1778" s="264"/>
      <c r="AF1778" s="264"/>
      <c r="AG1778" s="264"/>
    </row>
    <row r="1779" spans="1:33" ht="26.25">
      <c r="A1779" s="264"/>
      <c r="B1779" s="264"/>
      <c r="C1779" s="264"/>
      <c r="D1779" s="264"/>
      <c r="E1779" s="264"/>
      <c r="F1779" s="264"/>
      <c r="G1779" s="264"/>
      <c r="H1779" s="264"/>
      <c r="I1779" s="264"/>
      <c r="J1779" s="327"/>
      <c r="K1779" s="327"/>
      <c r="L1779" s="327"/>
      <c r="M1779" s="321"/>
      <c r="N1779" s="321"/>
      <c r="O1779" s="364"/>
      <c r="P1779" s="381"/>
      <c r="R1779" s="392"/>
      <c r="S1779" s="61" ph="1"/>
      <c r="U1779" s="229"/>
      <c r="V1779" s="264"/>
      <c r="W1779" s="199"/>
      <c r="X1779" s="264"/>
      <c r="Y1779" s="264"/>
      <c r="Z1779" s="386"/>
      <c r="AA1779" s="126"/>
      <c r="AD1779" s="264"/>
      <c r="AE1779" s="264"/>
      <c r="AF1779" s="264"/>
      <c r="AG1779" s="264"/>
    </row>
    <row r="1780" spans="1:33" ht="26.25">
      <c r="A1780" s="264"/>
      <c r="B1780" s="264"/>
      <c r="C1780" s="264"/>
      <c r="D1780" s="264"/>
      <c r="E1780" s="264"/>
      <c r="F1780" s="264"/>
      <c r="G1780" s="264"/>
      <c r="H1780" s="264"/>
      <c r="I1780" s="264"/>
      <c r="J1780" s="327"/>
      <c r="K1780" s="327"/>
      <c r="L1780" s="327"/>
      <c r="M1780" s="321"/>
      <c r="N1780" s="321"/>
      <c r="O1780" s="364"/>
      <c r="P1780" s="381"/>
      <c r="R1780" s="392"/>
      <c r="S1780" s="61" ph="1"/>
      <c r="U1780" s="229"/>
      <c r="V1780" s="264"/>
      <c r="W1780" s="199"/>
      <c r="X1780" s="264"/>
      <c r="Y1780" s="264"/>
      <c r="Z1780" s="386"/>
      <c r="AA1780" s="126"/>
      <c r="AD1780" s="264"/>
      <c r="AE1780" s="264"/>
      <c r="AF1780" s="264"/>
      <c r="AG1780" s="264"/>
    </row>
    <row r="1781" spans="1:33" ht="26.25">
      <c r="A1781" s="264"/>
      <c r="B1781" s="264"/>
      <c r="C1781" s="264"/>
      <c r="D1781" s="264"/>
      <c r="E1781" s="264"/>
      <c r="F1781" s="264"/>
      <c r="G1781" s="264"/>
      <c r="H1781" s="264"/>
      <c r="I1781" s="264"/>
      <c r="J1781" s="327"/>
      <c r="K1781" s="327"/>
      <c r="L1781" s="327"/>
      <c r="M1781" s="321"/>
      <c r="N1781" s="321"/>
      <c r="O1781" s="364"/>
      <c r="P1781" s="381"/>
      <c r="R1781" s="392"/>
      <c r="S1781" s="61" ph="1"/>
      <c r="U1781" s="229"/>
      <c r="V1781" s="264"/>
      <c r="W1781" s="199"/>
      <c r="X1781" s="264"/>
      <c r="Y1781" s="264"/>
      <c r="Z1781" s="386"/>
      <c r="AA1781" s="126"/>
      <c r="AD1781" s="264"/>
      <c r="AE1781" s="264"/>
      <c r="AF1781" s="264"/>
      <c r="AG1781" s="264"/>
    </row>
    <row r="1782" spans="1:33" ht="26.25">
      <c r="A1782" s="264"/>
      <c r="B1782" s="264"/>
      <c r="C1782" s="264"/>
      <c r="D1782" s="264"/>
      <c r="E1782" s="264"/>
      <c r="F1782" s="264"/>
      <c r="G1782" s="264"/>
      <c r="H1782" s="264"/>
      <c r="I1782" s="264"/>
      <c r="J1782" s="327"/>
      <c r="K1782" s="327"/>
      <c r="L1782" s="327"/>
      <c r="M1782" s="321"/>
      <c r="N1782" s="321"/>
      <c r="O1782" s="364"/>
      <c r="P1782" s="381"/>
      <c r="R1782" s="392"/>
      <c r="S1782" s="61" ph="1"/>
      <c r="U1782" s="229"/>
      <c r="V1782" s="264"/>
      <c r="W1782" s="199"/>
      <c r="X1782" s="264"/>
      <c r="Y1782" s="264"/>
      <c r="Z1782" s="386"/>
      <c r="AA1782" s="126"/>
      <c r="AD1782" s="264"/>
      <c r="AE1782" s="264"/>
      <c r="AF1782" s="264"/>
      <c r="AG1782" s="264"/>
    </row>
    <row r="1783" spans="1:33" ht="26.25">
      <c r="A1783" s="264"/>
      <c r="B1783" s="264"/>
      <c r="C1783" s="264"/>
      <c r="D1783" s="264"/>
      <c r="E1783" s="264"/>
      <c r="F1783" s="264"/>
      <c r="G1783" s="264"/>
      <c r="H1783" s="264"/>
      <c r="I1783" s="264"/>
      <c r="J1783" s="327"/>
      <c r="K1783" s="327"/>
      <c r="L1783" s="327"/>
      <c r="M1783" s="321"/>
      <c r="N1783" s="321"/>
      <c r="O1783" s="364"/>
      <c r="P1783" s="381"/>
      <c r="R1783" s="392"/>
      <c r="S1783" s="61" ph="1"/>
      <c r="U1783" s="229"/>
      <c r="V1783" s="264"/>
      <c r="W1783" s="199"/>
      <c r="X1783" s="264"/>
      <c r="Y1783" s="264"/>
      <c r="Z1783" s="386"/>
      <c r="AA1783" s="126"/>
      <c r="AD1783" s="264"/>
      <c r="AE1783" s="264"/>
      <c r="AF1783" s="264"/>
      <c r="AG1783" s="264"/>
    </row>
    <row r="1784" spans="1:33" ht="26.25">
      <c r="A1784" s="264"/>
      <c r="B1784" s="264"/>
      <c r="C1784" s="264"/>
      <c r="D1784" s="264"/>
      <c r="E1784" s="264"/>
      <c r="F1784" s="264"/>
      <c r="G1784" s="264"/>
      <c r="H1784" s="264"/>
      <c r="I1784" s="264"/>
      <c r="J1784" s="327"/>
      <c r="K1784" s="327"/>
      <c r="L1784" s="327"/>
      <c r="M1784" s="321"/>
      <c r="N1784" s="321"/>
      <c r="O1784" s="364"/>
      <c r="P1784" s="381"/>
      <c r="R1784" s="392"/>
      <c r="S1784" s="61" ph="1"/>
      <c r="U1784" s="229"/>
      <c r="V1784" s="264"/>
      <c r="W1784" s="199"/>
      <c r="X1784" s="264"/>
      <c r="Y1784" s="264"/>
      <c r="Z1784" s="386"/>
      <c r="AD1784" s="264"/>
      <c r="AE1784" s="264"/>
      <c r="AF1784" s="264"/>
      <c r="AG1784" s="264"/>
    </row>
    <row r="1785" spans="1:33" ht="26.25">
      <c r="A1785" s="264"/>
      <c r="B1785" s="264"/>
      <c r="C1785" s="264"/>
      <c r="D1785" s="264"/>
      <c r="E1785" s="264"/>
      <c r="F1785" s="264"/>
      <c r="G1785" s="264"/>
      <c r="H1785" s="264"/>
      <c r="I1785" s="264"/>
      <c r="J1785" s="327"/>
      <c r="K1785" s="327"/>
      <c r="L1785" s="327"/>
      <c r="M1785" s="321"/>
      <c r="N1785" s="321"/>
      <c r="O1785" s="364"/>
      <c r="P1785" s="381"/>
      <c r="R1785" s="392"/>
      <c r="S1785" s="61" ph="1"/>
      <c r="U1785" s="229"/>
      <c r="V1785" s="264"/>
      <c r="W1785" s="199"/>
      <c r="X1785" s="264"/>
      <c r="Y1785" s="264"/>
      <c r="Z1785" s="386"/>
      <c r="AA1785" s="126"/>
      <c r="AD1785" s="264"/>
      <c r="AE1785" s="264"/>
      <c r="AF1785" s="264"/>
      <c r="AG1785" s="264"/>
    </row>
    <row r="1786" spans="1:33" ht="26.25">
      <c r="A1786" s="264"/>
      <c r="B1786" s="264"/>
      <c r="C1786" s="264"/>
      <c r="D1786" s="264"/>
      <c r="E1786" s="264"/>
      <c r="F1786" s="264"/>
      <c r="G1786" s="264"/>
      <c r="H1786" s="264"/>
      <c r="I1786" s="264"/>
      <c r="J1786" s="327"/>
      <c r="K1786" s="327"/>
      <c r="L1786" s="327"/>
      <c r="M1786" s="321"/>
      <c r="N1786" s="321"/>
      <c r="O1786" s="364"/>
      <c r="P1786" s="381"/>
      <c r="R1786" s="392"/>
      <c r="S1786" s="61" ph="1"/>
      <c r="U1786" s="229"/>
      <c r="V1786" s="264"/>
      <c r="W1786" s="199"/>
      <c r="X1786" s="264"/>
      <c r="Y1786" s="264"/>
      <c r="Z1786" s="386"/>
      <c r="AA1786" s="126"/>
      <c r="AD1786" s="264"/>
      <c r="AE1786" s="264"/>
      <c r="AF1786" s="264"/>
      <c r="AG1786" s="264"/>
    </row>
    <row r="1787" spans="1:33" ht="26.25">
      <c r="A1787" s="264"/>
      <c r="B1787" s="264"/>
      <c r="C1787" s="264"/>
      <c r="D1787" s="264"/>
      <c r="E1787" s="264"/>
      <c r="F1787" s="264"/>
      <c r="G1787" s="264"/>
      <c r="H1787" s="264"/>
      <c r="I1787" s="264"/>
      <c r="J1787" s="327"/>
      <c r="K1787" s="327"/>
      <c r="L1787" s="327"/>
      <c r="M1787" s="321"/>
      <c r="N1787" s="321"/>
      <c r="O1787" s="364"/>
      <c r="P1787" s="381"/>
      <c r="R1787" s="392"/>
      <c r="S1787" s="61" ph="1"/>
      <c r="U1787" s="229"/>
      <c r="V1787" s="264"/>
      <c r="W1787" s="199"/>
      <c r="X1787" s="264"/>
      <c r="Y1787" s="264"/>
      <c r="Z1787" s="386"/>
      <c r="AA1787" s="126"/>
      <c r="AD1787" s="264"/>
      <c r="AE1787" s="264"/>
      <c r="AF1787" s="264"/>
      <c r="AG1787" s="264"/>
    </row>
    <row r="1788" spans="1:33" ht="26.25">
      <c r="A1788" s="264"/>
      <c r="B1788" s="264"/>
      <c r="C1788" s="264"/>
      <c r="D1788" s="264"/>
      <c r="E1788" s="264"/>
      <c r="F1788" s="264"/>
      <c r="G1788" s="264"/>
      <c r="H1788" s="264"/>
      <c r="I1788" s="264"/>
      <c r="J1788" s="327"/>
      <c r="K1788" s="327"/>
      <c r="L1788" s="327"/>
      <c r="M1788" s="321"/>
      <c r="N1788" s="321"/>
      <c r="O1788" s="364"/>
      <c r="P1788" s="381"/>
      <c r="R1788" s="392"/>
      <c r="S1788" s="61" ph="1"/>
      <c r="U1788" s="229"/>
      <c r="V1788" s="264"/>
      <c r="W1788" s="199"/>
      <c r="X1788" s="264"/>
      <c r="Y1788" s="264"/>
      <c r="Z1788" s="386"/>
      <c r="AA1788" s="126"/>
      <c r="AD1788" s="264"/>
      <c r="AE1788" s="264"/>
      <c r="AF1788" s="264"/>
      <c r="AG1788" s="264"/>
    </row>
    <row r="1789" spans="1:33" ht="26.25">
      <c r="A1789" s="264"/>
      <c r="B1789" s="264"/>
      <c r="C1789" s="264"/>
      <c r="D1789" s="264"/>
      <c r="E1789" s="264"/>
      <c r="F1789" s="264"/>
      <c r="G1789" s="264"/>
      <c r="H1789" s="264"/>
      <c r="I1789" s="264"/>
      <c r="J1789" s="327"/>
      <c r="K1789" s="327"/>
      <c r="L1789" s="327"/>
      <c r="M1789" s="321"/>
      <c r="N1789" s="321"/>
      <c r="O1789" s="364"/>
      <c r="P1789" s="381"/>
      <c r="R1789" s="392"/>
      <c r="S1789" s="61" ph="1"/>
      <c r="U1789" s="229"/>
      <c r="V1789" s="264"/>
      <c r="W1789" s="199"/>
      <c r="X1789" s="264"/>
      <c r="Y1789" s="264"/>
      <c r="Z1789" s="386"/>
      <c r="AA1789" s="126"/>
      <c r="AD1789" s="264"/>
      <c r="AE1789" s="264"/>
      <c r="AF1789" s="264"/>
      <c r="AG1789" s="264"/>
    </row>
    <row r="1790" spans="1:33" ht="26.25">
      <c r="A1790" s="264"/>
      <c r="B1790" s="264"/>
      <c r="C1790" s="264"/>
      <c r="D1790" s="264"/>
      <c r="E1790" s="264"/>
      <c r="F1790" s="264"/>
      <c r="G1790" s="264"/>
      <c r="H1790" s="264"/>
      <c r="I1790" s="264"/>
      <c r="J1790" s="327"/>
      <c r="K1790" s="327"/>
      <c r="L1790" s="327"/>
      <c r="M1790" s="321"/>
      <c r="N1790" s="321"/>
      <c r="O1790" s="364"/>
      <c r="P1790" s="381"/>
      <c r="R1790" s="392"/>
      <c r="S1790" s="61" ph="1"/>
      <c r="U1790" s="229"/>
      <c r="V1790" s="264"/>
      <c r="W1790" s="199"/>
      <c r="X1790" s="264"/>
      <c r="Y1790" s="264"/>
      <c r="Z1790" s="386"/>
      <c r="AA1790" s="126"/>
      <c r="AD1790" s="264"/>
      <c r="AE1790" s="264"/>
      <c r="AF1790" s="264"/>
      <c r="AG1790" s="264"/>
    </row>
    <row r="1791" spans="1:33" ht="26.25">
      <c r="A1791" s="264"/>
      <c r="B1791" s="264"/>
      <c r="C1791" s="264"/>
      <c r="D1791" s="264"/>
      <c r="E1791" s="264"/>
      <c r="F1791" s="264"/>
      <c r="G1791" s="264"/>
      <c r="H1791" s="264"/>
      <c r="I1791" s="264"/>
      <c r="J1791" s="327"/>
      <c r="K1791" s="327"/>
      <c r="L1791" s="327"/>
      <c r="M1791" s="321"/>
      <c r="N1791" s="321"/>
      <c r="O1791" s="364"/>
      <c r="P1791" s="381"/>
      <c r="R1791" s="392"/>
      <c r="S1791" s="61" ph="1"/>
      <c r="U1791" s="229"/>
      <c r="V1791" s="264"/>
      <c r="W1791" s="199"/>
      <c r="X1791" s="264"/>
      <c r="Y1791" s="264"/>
      <c r="Z1791" s="386"/>
      <c r="AA1791" s="126"/>
      <c r="AD1791" s="264"/>
      <c r="AE1791" s="264"/>
      <c r="AF1791" s="264"/>
      <c r="AG1791" s="264"/>
    </row>
    <row r="1792" spans="1:33" ht="26.25">
      <c r="A1792" s="264"/>
      <c r="B1792" s="264"/>
      <c r="C1792" s="264"/>
      <c r="D1792" s="264"/>
      <c r="E1792" s="264"/>
      <c r="F1792" s="264"/>
      <c r="G1792" s="264"/>
      <c r="H1792" s="264"/>
      <c r="I1792" s="264"/>
      <c r="J1792" s="327"/>
      <c r="K1792" s="327"/>
      <c r="L1792" s="327"/>
      <c r="M1792" s="321"/>
      <c r="N1792" s="321"/>
      <c r="O1792" s="364"/>
      <c r="P1792" s="381"/>
      <c r="R1792" s="392"/>
      <c r="S1792" s="61" ph="1"/>
      <c r="U1792" s="229"/>
      <c r="V1792" s="264"/>
      <c r="W1792" s="199"/>
      <c r="X1792" s="264"/>
      <c r="Y1792" s="264"/>
      <c r="Z1792" s="386"/>
      <c r="AA1792" s="126"/>
      <c r="AD1792" s="264"/>
      <c r="AE1792" s="264"/>
      <c r="AF1792" s="264"/>
      <c r="AG1792" s="264"/>
    </row>
    <row r="1793" spans="1:33" ht="26.25">
      <c r="A1793" s="264"/>
      <c r="B1793" s="264"/>
      <c r="C1793" s="264"/>
      <c r="D1793" s="264"/>
      <c r="E1793" s="264"/>
      <c r="F1793" s="264"/>
      <c r="G1793" s="264"/>
      <c r="H1793" s="264"/>
      <c r="I1793" s="264"/>
      <c r="J1793" s="327"/>
      <c r="K1793" s="327"/>
      <c r="L1793" s="327"/>
      <c r="M1793" s="321"/>
      <c r="N1793" s="321"/>
      <c r="O1793" s="364"/>
      <c r="P1793" s="381"/>
      <c r="R1793" s="392"/>
      <c r="S1793" s="61" ph="1"/>
      <c r="U1793" s="229"/>
      <c r="V1793" s="264"/>
      <c r="W1793" s="199"/>
      <c r="X1793" s="264"/>
      <c r="Y1793" s="264"/>
      <c r="Z1793" s="386"/>
      <c r="AA1793" s="126"/>
      <c r="AD1793" s="264"/>
      <c r="AE1793" s="264"/>
      <c r="AF1793" s="264"/>
      <c r="AG1793" s="264"/>
    </row>
    <row r="1794" spans="1:33" ht="26.25">
      <c r="A1794" s="264"/>
      <c r="B1794" s="264"/>
      <c r="C1794" s="264"/>
      <c r="D1794" s="264"/>
      <c r="E1794" s="264"/>
      <c r="F1794" s="264"/>
      <c r="G1794" s="264"/>
      <c r="H1794" s="264"/>
      <c r="I1794" s="264"/>
      <c r="J1794" s="327"/>
      <c r="K1794" s="327"/>
      <c r="L1794" s="327"/>
      <c r="M1794" s="321"/>
      <c r="N1794" s="321"/>
      <c r="O1794" s="364"/>
      <c r="P1794" s="381"/>
      <c r="R1794" s="392"/>
      <c r="S1794" s="61" ph="1"/>
      <c r="U1794" s="229"/>
      <c r="V1794" s="264"/>
      <c r="W1794" s="199"/>
      <c r="X1794" s="264"/>
      <c r="Y1794" s="264"/>
      <c r="Z1794" s="386"/>
      <c r="AA1794" s="126"/>
      <c r="AD1794" s="264"/>
      <c r="AE1794" s="264"/>
      <c r="AF1794" s="264"/>
      <c r="AG1794" s="264"/>
    </row>
    <row r="1795" spans="1:33" ht="26.25">
      <c r="A1795" s="264"/>
      <c r="B1795" s="264"/>
      <c r="C1795" s="264"/>
      <c r="D1795" s="264"/>
      <c r="E1795" s="264"/>
      <c r="F1795" s="264"/>
      <c r="G1795" s="264"/>
      <c r="H1795" s="264"/>
      <c r="I1795" s="264"/>
      <c r="J1795" s="327"/>
      <c r="K1795" s="327"/>
      <c r="L1795" s="327"/>
      <c r="M1795" s="321"/>
      <c r="N1795" s="321"/>
      <c r="O1795" s="364"/>
      <c r="P1795" s="381"/>
      <c r="R1795" s="392"/>
      <c r="S1795" s="61" ph="1"/>
      <c r="U1795" s="229"/>
      <c r="V1795" s="264"/>
      <c r="W1795" s="199"/>
      <c r="X1795" s="264"/>
      <c r="Y1795" s="264"/>
      <c r="Z1795" s="386"/>
      <c r="AA1795" s="126"/>
      <c r="AD1795" s="264"/>
      <c r="AE1795" s="264"/>
      <c r="AF1795" s="264"/>
      <c r="AG1795" s="264"/>
    </row>
    <row r="1796" spans="1:33" ht="26.25">
      <c r="A1796" s="264"/>
      <c r="B1796" s="264"/>
      <c r="C1796" s="264"/>
      <c r="D1796" s="264"/>
      <c r="E1796" s="264"/>
      <c r="F1796" s="264"/>
      <c r="G1796" s="264"/>
      <c r="H1796" s="264"/>
      <c r="I1796" s="264"/>
      <c r="J1796" s="327"/>
      <c r="K1796" s="327"/>
      <c r="L1796" s="327"/>
      <c r="M1796" s="321"/>
      <c r="N1796" s="321"/>
      <c r="O1796" s="364"/>
      <c r="P1796" s="381"/>
      <c r="R1796" s="392"/>
      <c r="S1796" s="61" ph="1"/>
      <c r="U1796" s="229"/>
      <c r="V1796" s="264"/>
      <c r="W1796" s="199"/>
      <c r="X1796" s="264"/>
      <c r="Y1796" s="264"/>
      <c r="Z1796" s="386"/>
      <c r="AA1796" s="126"/>
      <c r="AD1796" s="264"/>
      <c r="AE1796" s="264"/>
      <c r="AF1796" s="264"/>
      <c r="AG1796" s="264"/>
    </row>
    <row r="1797" spans="1:33" ht="26.25">
      <c r="A1797" s="264"/>
      <c r="B1797" s="264"/>
      <c r="C1797" s="264"/>
      <c r="D1797" s="264"/>
      <c r="E1797" s="264"/>
      <c r="F1797" s="264"/>
      <c r="G1797" s="264"/>
      <c r="H1797" s="264"/>
      <c r="I1797" s="264"/>
      <c r="J1797" s="327"/>
      <c r="K1797" s="327"/>
      <c r="L1797" s="327"/>
      <c r="M1797" s="321"/>
      <c r="N1797" s="321"/>
      <c r="O1797" s="364"/>
      <c r="P1797" s="381"/>
      <c r="R1797" s="392"/>
      <c r="S1797" s="61" ph="1"/>
      <c r="U1797" s="229"/>
      <c r="V1797" s="264"/>
      <c r="W1797" s="199"/>
      <c r="X1797" s="264"/>
      <c r="Y1797" s="264"/>
      <c r="Z1797" s="386"/>
      <c r="AA1797" s="126"/>
      <c r="AD1797" s="264"/>
      <c r="AE1797" s="264"/>
      <c r="AF1797" s="264"/>
      <c r="AG1797" s="264"/>
    </row>
    <row r="1798" spans="1:33" ht="26.25">
      <c r="A1798" s="264"/>
      <c r="B1798" s="264"/>
      <c r="C1798" s="264"/>
      <c r="D1798" s="264"/>
      <c r="E1798" s="264"/>
      <c r="F1798" s="264"/>
      <c r="G1798" s="264"/>
      <c r="H1798" s="264"/>
      <c r="I1798" s="264"/>
      <c r="J1798" s="327"/>
      <c r="K1798" s="327"/>
      <c r="L1798" s="327"/>
      <c r="M1798" s="321"/>
      <c r="N1798" s="321"/>
      <c r="O1798" s="364"/>
      <c r="P1798" s="381"/>
      <c r="R1798" s="392"/>
      <c r="S1798" s="61" ph="1"/>
      <c r="U1798" s="229"/>
      <c r="V1798" s="264"/>
      <c r="W1798" s="199"/>
      <c r="X1798" s="264"/>
      <c r="Y1798" s="264"/>
      <c r="Z1798" s="386"/>
      <c r="AA1798" s="126"/>
      <c r="AD1798" s="264"/>
      <c r="AE1798" s="264"/>
      <c r="AF1798" s="264"/>
      <c r="AG1798" s="264"/>
    </row>
    <row r="1799" spans="1:33" ht="26.25">
      <c r="A1799" s="264"/>
      <c r="B1799" s="264"/>
      <c r="C1799" s="264"/>
      <c r="D1799" s="264"/>
      <c r="E1799" s="264"/>
      <c r="F1799" s="264"/>
      <c r="G1799" s="264"/>
      <c r="H1799" s="264"/>
      <c r="I1799" s="264"/>
      <c r="J1799" s="327"/>
      <c r="K1799" s="327"/>
      <c r="L1799" s="327"/>
      <c r="M1799" s="321"/>
      <c r="N1799" s="321"/>
      <c r="O1799" s="364"/>
      <c r="P1799" s="381"/>
      <c r="R1799" s="392"/>
      <c r="S1799" s="61" ph="1"/>
      <c r="U1799" s="229"/>
      <c r="V1799" s="264"/>
      <c r="W1799" s="199"/>
      <c r="X1799" s="264"/>
      <c r="Y1799" s="264"/>
      <c r="Z1799" s="386"/>
      <c r="AA1799" s="126"/>
      <c r="AD1799" s="264"/>
      <c r="AE1799" s="264"/>
      <c r="AF1799" s="264"/>
      <c r="AG1799" s="264"/>
    </row>
    <row r="1800" spans="1:33" ht="26.25">
      <c r="A1800" s="264"/>
      <c r="B1800" s="264"/>
      <c r="C1800" s="264"/>
      <c r="D1800" s="264"/>
      <c r="E1800" s="264"/>
      <c r="F1800" s="264"/>
      <c r="G1800" s="264"/>
      <c r="H1800" s="264"/>
      <c r="I1800" s="264"/>
      <c r="J1800" s="327"/>
      <c r="K1800" s="327"/>
      <c r="L1800" s="327"/>
      <c r="M1800" s="321"/>
      <c r="N1800" s="321"/>
      <c r="O1800" s="364"/>
      <c r="P1800" s="381"/>
      <c r="R1800" s="392"/>
      <c r="S1800" s="61" ph="1"/>
      <c r="U1800" s="229"/>
      <c r="V1800" s="264"/>
      <c r="W1800" s="199"/>
      <c r="X1800" s="264"/>
      <c r="Y1800" s="264"/>
      <c r="Z1800" s="386"/>
      <c r="AA1800" s="126"/>
      <c r="AD1800" s="264"/>
      <c r="AE1800" s="264"/>
      <c r="AF1800" s="264"/>
      <c r="AG1800" s="264"/>
    </row>
    <row r="1801" spans="1:33" ht="26.25">
      <c r="A1801" s="264"/>
      <c r="B1801" s="264"/>
      <c r="C1801" s="264"/>
      <c r="D1801" s="264"/>
      <c r="E1801" s="264"/>
      <c r="F1801" s="264"/>
      <c r="G1801" s="264"/>
      <c r="H1801" s="264"/>
      <c r="I1801" s="264"/>
      <c r="J1801" s="327"/>
      <c r="K1801" s="327"/>
      <c r="L1801" s="327"/>
      <c r="M1801" s="321"/>
      <c r="N1801" s="321"/>
      <c r="O1801" s="364"/>
      <c r="P1801" s="381"/>
      <c r="R1801" s="392"/>
      <c r="S1801" s="61" ph="1"/>
      <c r="U1801" s="229"/>
      <c r="V1801" s="264"/>
      <c r="W1801" s="199"/>
      <c r="X1801" s="264"/>
      <c r="Y1801" s="264"/>
      <c r="Z1801" s="386"/>
      <c r="AA1801" s="126"/>
      <c r="AD1801" s="264"/>
      <c r="AE1801" s="264"/>
      <c r="AF1801" s="264"/>
      <c r="AG1801" s="264"/>
    </row>
    <row r="1802" spans="1:33" ht="26.25">
      <c r="A1802" s="264"/>
      <c r="B1802" s="264"/>
      <c r="C1802" s="264"/>
      <c r="D1802" s="264"/>
      <c r="E1802" s="264"/>
      <c r="F1802" s="264"/>
      <c r="G1802" s="264"/>
      <c r="H1802" s="264"/>
      <c r="I1802" s="264"/>
      <c r="J1802" s="327"/>
      <c r="K1802" s="327"/>
      <c r="L1802" s="327"/>
      <c r="M1802" s="321"/>
      <c r="N1802" s="321"/>
      <c r="O1802" s="364"/>
      <c r="P1802" s="381"/>
      <c r="R1802" s="392"/>
      <c r="S1802" s="61" ph="1"/>
      <c r="U1802" s="229"/>
      <c r="V1802" s="264"/>
      <c r="W1802" s="199"/>
      <c r="X1802" s="264"/>
      <c r="Y1802" s="264"/>
      <c r="Z1802" s="386"/>
      <c r="AA1802" s="126"/>
      <c r="AD1802" s="264"/>
      <c r="AE1802" s="264"/>
      <c r="AF1802" s="264"/>
      <c r="AG1802" s="264"/>
    </row>
    <row r="1803" spans="1:33" ht="26.25">
      <c r="A1803" s="264"/>
      <c r="B1803" s="264"/>
      <c r="C1803" s="264"/>
      <c r="D1803" s="264"/>
      <c r="E1803" s="264"/>
      <c r="F1803" s="264"/>
      <c r="G1803" s="264"/>
      <c r="H1803" s="264"/>
      <c r="I1803" s="264"/>
      <c r="J1803" s="327"/>
      <c r="K1803" s="327"/>
      <c r="L1803" s="327"/>
      <c r="M1803" s="321"/>
      <c r="N1803" s="321"/>
      <c r="O1803" s="364"/>
      <c r="P1803" s="381"/>
      <c r="R1803" s="392"/>
      <c r="S1803" s="61" ph="1"/>
      <c r="U1803" s="229"/>
      <c r="V1803" s="264"/>
      <c r="W1803" s="199"/>
      <c r="X1803" s="264"/>
      <c r="Y1803" s="264"/>
      <c r="Z1803" s="386"/>
      <c r="AA1803" s="126"/>
      <c r="AD1803" s="264"/>
      <c r="AE1803" s="264"/>
      <c r="AF1803" s="264"/>
      <c r="AG1803" s="264"/>
    </row>
    <row r="1804" spans="1:33" ht="26.25">
      <c r="A1804" s="264"/>
      <c r="B1804" s="264"/>
      <c r="C1804" s="264"/>
      <c r="D1804" s="264"/>
      <c r="E1804" s="264"/>
      <c r="F1804" s="264"/>
      <c r="G1804" s="264"/>
      <c r="H1804" s="264"/>
      <c r="I1804" s="264"/>
      <c r="J1804" s="327"/>
      <c r="K1804" s="327"/>
      <c r="L1804" s="327"/>
      <c r="M1804" s="321"/>
      <c r="N1804" s="321"/>
      <c r="O1804" s="364"/>
      <c r="P1804" s="381"/>
      <c r="R1804" s="392"/>
      <c r="S1804" s="61" ph="1"/>
      <c r="U1804" s="229"/>
      <c r="V1804" s="264"/>
      <c r="W1804" s="199"/>
      <c r="X1804" s="264"/>
      <c r="Y1804" s="264"/>
      <c r="Z1804" s="386"/>
      <c r="AA1804" s="126"/>
      <c r="AD1804" s="264"/>
      <c r="AE1804" s="264"/>
      <c r="AF1804" s="264"/>
      <c r="AG1804" s="264"/>
    </row>
    <row r="1805" spans="1:33" ht="26.25">
      <c r="A1805" s="264"/>
      <c r="B1805" s="264"/>
      <c r="C1805" s="264"/>
      <c r="D1805" s="264"/>
      <c r="E1805" s="264"/>
      <c r="F1805" s="264"/>
      <c r="G1805" s="264"/>
      <c r="H1805" s="264"/>
      <c r="I1805" s="264"/>
      <c r="J1805" s="327"/>
      <c r="K1805" s="327"/>
      <c r="L1805" s="327"/>
      <c r="M1805" s="321"/>
      <c r="N1805" s="321"/>
      <c r="O1805" s="364"/>
      <c r="P1805" s="381"/>
      <c r="R1805" s="392"/>
      <c r="S1805" s="61" ph="1"/>
      <c r="U1805" s="229"/>
      <c r="V1805" s="264"/>
      <c r="W1805" s="199"/>
      <c r="X1805" s="264"/>
      <c r="Y1805" s="264"/>
      <c r="Z1805" s="386"/>
      <c r="AA1805" s="126"/>
      <c r="AD1805" s="264"/>
      <c r="AE1805" s="264"/>
      <c r="AF1805" s="264"/>
      <c r="AG1805" s="264"/>
    </row>
    <row r="1806" spans="1:33" ht="26.25">
      <c r="A1806" s="264"/>
      <c r="B1806" s="264"/>
      <c r="C1806" s="264"/>
      <c r="D1806" s="264"/>
      <c r="E1806" s="264"/>
      <c r="F1806" s="264"/>
      <c r="G1806" s="264"/>
      <c r="H1806" s="264"/>
      <c r="I1806" s="264"/>
      <c r="J1806" s="327"/>
      <c r="K1806" s="327"/>
      <c r="L1806" s="327"/>
      <c r="M1806" s="321"/>
      <c r="N1806" s="321"/>
      <c r="O1806" s="364"/>
      <c r="P1806" s="381"/>
      <c r="R1806" s="392"/>
      <c r="S1806" s="61" ph="1"/>
      <c r="U1806" s="229"/>
      <c r="V1806" s="264"/>
      <c r="W1806" s="199"/>
      <c r="X1806" s="264"/>
      <c r="Y1806" s="264"/>
      <c r="Z1806" s="386"/>
      <c r="AA1806" s="126"/>
      <c r="AD1806" s="264"/>
      <c r="AE1806" s="264"/>
      <c r="AF1806" s="264"/>
      <c r="AG1806" s="264"/>
    </row>
    <row r="1807" spans="1:33" ht="26.25">
      <c r="A1807" s="264"/>
      <c r="B1807" s="264"/>
      <c r="C1807" s="264"/>
      <c r="D1807" s="264"/>
      <c r="E1807" s="264"/>
      <c r="F1807" s="264"/>
      <c r="G1807" s="264"/>
      <c r="H1807" s="264"/>
      <c r="I1807" s="264"/>
      <c r="J1807" s="327"/>
      <c r="K1807" s="327"/>
      <c r="L1807" s="327"/>
      <c r="M1807" s="321"/>
      <c r="N1807" s="321"/>
      <c r="O1807" s="364"/>
      <c r="P1807" s="381"/>
      <c r="R1807" s="392"/>
      <c r="S1807" s="61" ph="1"/>
      <c r="U1807" s="229"/>
      <c r="V1807" s="264"/>
      <c r="W1807" s="199"/>
      <c r="X1807" s="264"/>
      <c r="Y1807" s="264"/>
      <c r="Z1807" s="386"/>
      <c r="AA1807" s="126"/>
      <c r="AD1807" s="264"/>
      <c r="AE1807" s="264"/>
      <c r="AF1807" s="264"/>
      <c r="AG1807" s="264"/>
    </row>
    <row r="1808" spans="1:33" ht="26.25">
      <c r="A1808" s="264"/>
      <c r="B1808" s="264"/>
      <c r="C1808" s="264"/>
      <c r="D1808" s="264"/>
      <c r="E1808" s="264"/>
      <c r="F1808" s="264"/>
      <c r="G1808" s="264"/>
      <c r="H1808" s="264"/>
      <c r="I1808" s="264"/>
      <c r="J1808" s="327"/>
      <c r="K1808" s="327"/>
      <c r="L1808" s="327"/>
      <c r="M1808" s="321"/>
      <c r="N1808" s="321"/>
      <c r="O1808" s="364"/>
      <c r="P1808" s="381"/>
      <c r="R1808" s="392"/>
      <c r="S1808" s="61" ph="1"/>
      <c r="U1808" s="229"/>
      <c r="V1808" s="264"/>
      <c r="W1808" s="199"/>
      <c r="X1808" s="264"/>
      <c r="Y1808" s="264"/>
      <c r="Z1808" s="386"/>
      <c r="AA1808" s="126"/>
      <c r="AD1808" s="264"/>
      <c r="AE1808" s="264"/>
      <c r="AF1808" s="264"/>
      <c r="AG1808" s="264"/>
    </row>
    <row r="1809" spans="1:33" ht="26.25">
      <c r="A1809" s="264"/>
      <c r="B1809" s="264"/>
      <c r="C1809" s="264"/>
      <c r="D1809" s="264"/>
      <c r="E1809" s="264"/>
      <c r="F1809" s="264"/>
      <c r="G1809" s="264"/>
      <c r="H1809" s="264"/>
      <c r="I1809" s="264"/>
      <c r="J1809" s="327"/>
      <c r="K1809" s="327"/>
      <c r="L1809" s="327"/>
      <c r="M1809" s="321"/>
      <c r="N1809" s="321"/>
      <c r="O1809" s="364"/>
      <c r="P1809" s="381"/>
      <c r="R1809" s="392"/>
      <c r="S1809" s="61" ph="1"/>
      <c r="U1809" s="229"/>
      <c r="V1809" s="264"/>
      <c r="W1809" s="199"/>
      <c r="X1809" s="264"/>
      <c r="Y1809" s="264"/>
      <c r="Z1809" s="386"/>
      <c r="AA1809" s="126"/>
      <c r="AD1809" s="264"/>
      <c r="AE1809" s="264"/>
      <c r="AF1809" s="264"/>
      <c r="AG1809" s="264"/>
    </row>
    <row r="1810" spans="1:33" ht="26.25">
      <c r="A1810" s="264"/>
      <c r="B1810" s="264"/>
      <c r="C1810" s="264"/>
      <c r="D1810" s="264"/>
      <c r="E1810" s="264"/>
      <c r="F1810" s="264"/>
      <c r="G1810" s="264"/>
      <c r="H1810" s="264"/>
      <c r="I1810" s="264"/>
      <c r="J1810" s="327"/>
      <c r="K1810" s="327"/>
      <c r="L1810" s="327"/>
      <c r="M1810" s="321"/>
      <c r="N1810" s="321"/>
      <c r="O1810" s="364"/>
      <c r="P1810" s="381"/>
      <c r="R1810" s="392"/>
      <c r="S1810" s="61" ph="1"/>
      <c r="U1810" s="229"/>
      <c r="V1810" s="264"/>
      <c r="W1810" s="199"/>
      <c r="X1810" s="264"/>
      <c r="Y1810" s="264"/>
      <c r="Z1810" s="386"/>
      <c r="AA1810" s="126"/>
      <c r="AD1810" s="264"/>
      <c r="AE1810" s="264"/>
      <c r="AF1810" s="264"/>
      <c r="AG1810" s="264"/>
    </row>
    <row r="1811" spans="1:33" ht="26.25">
      <c r="A1811" s="264"/>
      <c r="B1811" s="264"/>
      <c r="C1811" s="264"/>
      <c r="D1811" s="264"/>
      <c r="E1811" s="264"/>
      <c r="F1811" s="264"/>
      <c r="G1811" s="264"/>
      <c r="H1811" s="264"/>
      <c r="I1811" s="264"/>
      <c r="J1811" s="327"/>
      <c r="K1811" s="327"/>
      <c r="L1811" s="327"/>
      <c r="M1811" s="321"/>
      <c r="N1811" s="321"/>
      <c r="O1811" s="364"/>
      <c r="P1811" s="381"/>
      <c r="R1811" s="392"/>
      <c r="S1811" s="61" ph="1"/>
      <c r="U1811" s="229"/>
      <c r="V1811" s="264"/>
      <c r="W1811" s="199"/>
      <c r="X1811" s="264"/>
      <c r="Y1811" s="264"/>
      <c r="Z1811" s="386"/>
      <c r="AA1811" s="126"/>
      <c r="AD1811" s="264"/>
      <c r="AE1811" s="264"/>
      <c r="AF1811" s="264"/>
      <c r="AG1811" s="264"/>
    </row>
    <row r="1812" spans="1:33" ht="26.25">
      <c r="A1812" s="264"/>
      <c r="B1812" s="264"/>
      <c r="C1812" s="264"/>
      <c r="D1812" s="264"/>
      <c r="E1812" s="264"/>
      <c r="F1812" s="264"/>
      <c r="G1812" s="264"/>
      <c r="H1812" s="264"/>
      <c r="I1812" s="264"/>
      <c r="J1812" s="327"/>
      <c r="K1812" s="327"/>
      <c r="L1812" s="327"/>
      <c r="M1812" s="321"/>
      <c r="N1812" s="321"/>
      <c r="O1812" s="364"/>
      <c r="P1812" s="381"/>
      <c r="R1812" s="392"/>
      <c r="S1812" s="61" ph="1"/>
      <c r="U1812" s="229"/>
      <c r="V1812" s="264"/>
      <c r="W1812" s="199"/>
      <c r="X1812" s="264"/>
      <c r="Y1812" s="264"/>
      <c r="Z1812" s="386"/>
      <c r="AA1812" s="126"/>
      <c r="AD1812" s="264"/>
      <c r="AE1812" s="264"/>
      <c r="AF1812" s="264"/>
      <c r="AG1812" s="264"/>
    </row>
    <row r="1813" spans="1:33" ht="26.25">
      <c r="A1813" s="264"/>
      <c r="B1813" s="264"/>
      <c r="C1813" s="264"/>
      <c r="D1813" s="264"/>
      <c r="E1813" s="264"/>
      <c r="F1813" s="264"/>
      <c r="G1813" s="264"/>
      <c r="H1813" s="264"/>
      <c r="I1813" s="264"/>
      <c r="J1813" s="327"/>
      <c r="K1813" s="327"/>
      <c r="L1813" s="327"/>
      <c r="M1813" s="321"/>
      <c r="N1813" s="321"/>
      <c r="O1813" s="364"/>
      <c r="P1813" s="381"/>
      <c r="R1813" s="392"/>
      <c r="S1813" s="61" ph="1"/>
      <c r="U1813" s="229"/>
      <c r="V1813" s="264"/>
      <c r="W1813" s="199"/>
      <c r="X1813" s="264"/>
      <c r="Y1813" s="264"/>
      <c r="Z1813" s="386"/>
      <c r="AA1813" s="126"/>
      <c r="AD1813" s="264"/>
      <c r="AE1813" s="264"/>
      <c r="AF1813" s="264"/>
      <c r="AG1813" s="264"/>
    </row>
    <row r="1814" spans="1:33" ht="26.25">
      <c r="A1814" s="264"/>
      <c r="B1814" s="264"/>
      <c r="C1814" s="264"/>
      <c r="D1814" s="264"/>
      <c r="E1814" s="264"/>
      <c r="F1814" s="264"/>
      <c r="G1814" s="264"/>
      <c r="H1814" s="264"/>
      <c r="I1814" s="264"/>
      <c r="J1814" s="327"/>
      <c r="K1814" s="327"/>
      <c r="L1814" s="327"/>
      <c r="M1814" s="321"/>
      <c r="N1814" s="321"/>
      <c r="O1814" s="364"/>
      <c r="P1814" s="381"/>
      <c r="R1814" s="392"/>
      <c r="S1814" s="61" ph="1"/>
      <c r="U1814" s="229"/>
      <c r="V1814" s="264"/>
      <c r="W1814" s="199"/>
      <c r="X1814" s="264"/>
      <c r="Y1814" s="264"/>
      <c r="Z1814" s="386"/>
      <c r="AA1814" s="126"/>
      <c r="AD1814" s="264"/>
      <c r="AE1814" s="264"/>
      <c r="AF1814" s="264"/>
      <c r="AG1814" s="264"/>
    </row>
    <row r="1815" spans="1:33" ht="26.25">
      <c r="A1815" s="264"/>
      <c r="B1815" s="264"/>
      <c r="C1815" s="264"/>
      <c r="D1815" s="264"/>
      <c r="E1815" s="264"/>
      <c r="F1815" s="264"/>
      <c r="G1815" s="264"/>
      <c r="H1815" s="264"/>
      <c r="I1815" s="264"/>
      <c r="J1815" s="327"/>
      <c r="K1815" s="327"/>
      <c r="L1815" s="327"/>
      <c r="M1815" s="321"/>
      <c r="N1815" s="321"/>
      <c r="O1815" s="364"/>
      <c r="P1815" s="381"/>
      <c r="R1815" s="392"/>
      <c r="S1815" s="61" ph="1"/>
      <c r="U1815" s="229"/>
      <c r="V1815" s="264"/>
      <c r="W1815" s="199"/>
      <c r="X1815" s="264"/>
      <c r="Y1815" s="264"/>
      <c r="Z1815" s="386"/>
      <c r="AA1815" s="126"/>
      <c r="AD1815" s="264"/>
      <c r="AE1815" s="264"/>
      <c r="AF1815" s="264"/>
      <c r="AG1815" s="264"/>
    </row>
    <row r="1816" spans="1:33" ht="26.25">
      <c r="A1816" s="264"/>
      <c r="B1816" s="264"/>
      <c r="C1816" s="264"/>
      <c r="D1816" s="264"/>
      <c r="E1816" s="264"/>
      <c r="F1816" s="264"/>
      <c r="G1816" s="264"/>
      <c r="H1816" s="264"/>
      <c r="I1816" s="264"/>
      <c r="J1816" s="327"/>
      <c r="K1816" s="327"/>
      <c r="L1816" s="327"/>
      <c r="M1816" s="321"/>
      <c r="N1816" s="321"/>
      <c r="O1816" s="364"/>
      <c r="P1816" s="381"/>
      <c r="R1816" s="392"/>
      <c r="S1816" s="61" ph="1"/>
      <c r="U1816" s="229"/>
      <c r="V1816" s="264"/>
      <c r="W1816" s="199"/>
      <c r="X1816" s="264"/>
      <c r="Y1816" s="264"/>
      <c r="Z1816" s="386"/>
      <c r="AA1816" s="126"/>
      <c r="AD1816" s="264"/>
      <c r="AE1816" s="264"/>
      <c r="AF1816" s="264"/>
      <c r="AG1816" s="264"/>
    </row>
    <row r="1817" spans="1:33" ht="26.25">
      <c r="A1817" s="264"/>
      <c r="B1817" s="264"/>
      <c r="C1817" s="264"/>
      <c r="D1817" s="264"/>
      <c r="E1817" s="264"/>
      <c r="F1817" s="264"/>
      <c r="G1817" s="264"/>
      <c r="H1817" s="264"/>
      <c r="I1817" s="264"/>
      <c r="J1817" s="327"/>
      <c r="K1817" s="327"/>
      <c r="L1817" s="327"/>
      <c r="M1817" s="321"/>
      <c r="N1817" s="321"/>
      <c r="O1817" s="364"/>
      <c r="P1817" s="381"/>
      <c r="R1817" s="392"/>
      <c r="S1817" s="61" ph="1"/>
      <c r="U1817" s="229"/>
      <c r="V1817" s="264"/>
      <c r="W1817" s="199"/>
      <c r="X1817" s="264"/>
      <c r="Y1817" s="264"/>
      <c r="Z1817" s="386"/>
      <c r="AA1817" s="126"/>
      <c r="AD1817" s="264"/>
      <c r="AE1817" s="264"/>
      <c r="AF1817" s="264"/>
      <c r="AG1817" s="264"/>
    </row>
    <row r="1818" spans="1:33" ht="26.25">
      <c r="A1818" s="264"/>
      <c r="B1818" s="264"/>
      <c r="C1818" s="264"/>
      <c r="D1818" s="264"/>
      <c r="E1818" s="264"/>
      <c r="F1818" s="264"/>
      <c r="G1818" s="264"/>
      <c r="H1818" s="264"/>
      <c r="I1818" s="264"/>
      <c r="J1818" s="327"/>
      <c r="K1818" s="327"/>
      <c r="L1818" s="327"/>
      <c r="M1818" s="321"/>
      <c r="N1818" s="321"/>
      <c r="O1818" s="364"/>
      <c r="P1818" s="381"/>
      <c r="R1818" s="392"/>
      <c r="S1818" s="61" ph="1"/>
      <c r="U1818" s="229"/>
      <c r="V1818" s="264"/>
      <c r="W1818" s="199"/>
      <c r="X1818" s="264"/>
      <c r="Y1818" s="264"/>
      <c r="Z1818" s="386"/>
      <c r="AA1818" s="126"/>
      <c r="AD1818" s="264"/>
      <c r="AE1818" s="264"/>
      <c r="AF1818" s="264"/>
      <c r="AG1818" s="264"/>
    </row>
    <row r="1819" spans="1:33" ht="26.25">
      <c r="A1819" s="264"/>
      <c r="B1819" s="264"/>
      <c r="C1819" s="264"/>
      <c r="D1819" s="264"/>
      <c r="E1819" s="264"/>
      <c r="F1819" s="264"/>
      <c r="G1819" s="264"/>
      <c r="H1819" s="264"/>
      <c r="I1819" s="264"/>
      <c r="J1819" s="327"/>
      <c r="K1819" s="327"/>
      <c r="L1819" s="327"/>
      <c r="M1819" s="321"/>
      <c r="N1819" s="321"/>
      <c r="O1819" s="364"/>
      <c r="P1819" s="381"/>
      <c r="R1819" s="392"/>
      <c r="S1819" s="61" ph="1"/>
      <c r="U1819" s="229"/>
      <c r="V1819" s="264"/>
      <c r="W1819" s="199"/>
      <c r="X1819" s="264"/>
      <c r="Y1819" s="264"/>
      <c r="Z1819" s="386"/>
      <c r="AA1819" s="126"/>
      <c r="AD1819" s="264"/>
      <c r="AE1819" s="264"/>
      <c r="AF1819" s="264"/>
      <c r="AG1819" s="264"/>
    </row>
    <row r="1820" spans="1:33" ht="26.25">
      <c r="A1820" s="264"/>
      <c r="B1820" s="264"/>
      <c r="C1820" s="264"/>
      <c r="D1820" s="264"/>
      <c r="E1820" s="264"/>
      <c r="F1820" s="264"/>
      <c r="G1820" s="264"/>
      <c r="H1820" s="264"/>
      <c r="I1820" s="264"/>
      <c r="J1820" s="327"/>
      <c r="K1820" s="327"/>
      <c r="L1820" s="327"/>
      <c r="M1820" s="321"/>
      <c r="N1820" s="321"/>
      <c r="O1820" s="364"/>
      <c r="P1820" s="381"/>
      <c r="R1820" s="392"/>
      <c r="S1820" s="61" ph="1"/>
      <c r="U1820" s="229"/>
      <c r="V1820" s="264"/>
      <c r="W1820" s="199"/>
      <c r="X1820" s="264"/>
      <c r="Y1820" s="264"/>
      <c r="Z1820" s="386"/>
      <c r="AA1820" s="126"/>
      <c r="AD1820" s="264"/>
      <c r="AE1820" s="264"/>
      <c r="AF1820" s="264"/>
      <c r="AG1820" s="264"/>
    </row>
    <row r="1821" spans="1:33" ht="26.25">
      <c r="A1821" s="264"/>
      <c r="B1821" s="264"/>
      <c r="C1821" s="264"/>
      <c r="D1821" s="264"/>
      <c r="E1821" s="264"/>
      <c r="F1821" s="264"/>
      <c r="G1821" s="264"/>
      <c r="H1821" s="264"/>
      <c r="I1821" s="264"/>
      <c r="J1821" s="327"/>
      <c r="K1821" s="327"/>
      <c r="L1821" s="327"/>
      <c r="M1821" s="321"/>
      <c r="N1821" s="321"/>
      <c r="O1821" s="364"/>
      <c r="P1821" s="381"/>
      <c r="R1821" s="392"/>
      <c r="S1821" s="61" ph="1"/>
      <c r="U1821" s="229"/>
      <c r="V1821" s="264"/>
      <c r="W1821" s="199"/>
      <c r="X1821" s="264"/>
      <c r="Y1821" s="264"/>
      <c r="Z1821" s="386"/>
      <c r="AA1821" s="126"/>
      <c r="AD1821" s="264"/>
      <c r="AE1821" s="264"/>
      <c r="AF1821" s="264"/>
      <c r="AG1821" s="264"/>
    </row>
    <row r="1822" spans="1:33" ht="26.25">
      <c r="A1822" s="264"/>
      <c r="B1822" s="264"/>
      <c r="C1822" s="264"/>
      <c r="D1822" s="264"/>
      <c r="E1822" s="264"/>
      <c r="F1822" s="264"/>
      <c r="G1822" s="264"/>
      <c r="H1822" s="264"/>
      <c r="I1822" s="264"/>
      <c r="J1822" s="327"/>
      <c r="K1822" s="327"/>
      <c r="L1822" s="327"/>
      <c r="M1822" s="321"/>
      <c r="N1822" s="321"/>
      <c r="O1822" s="364"/>
      <c r="P1822" s="381"/>
      <c r="R1822" s="392"/>
      <c r="S1822" s="61" ph="1"/>
      <c r="U1822" s="229"/>
      <c r="V1822" s="264"/>
      <c r="W1822" s="199"/>
      <c r="X1822" s="264"/>
      <c r="Y1822" s="264"/>
      <c r="Z1822" s="386"/>
      <c r="AA1822" s="126"/>
      <c r="AD1822" s="264"/>
      <c r="AE1822" s="264"/>
      <c r="AF1822" s="264"/>
      <c r="AG1822" s="264"/>
    </row>
    <row r="1823" spans="1:33" ht="26.25">
      <c r="A1823" s="264"/>
      <c r="B1823" s="264"/>
      <c r="C1823" s="264"/>
      <c r="D1823" s="264"/>
      <c r="E1823" s="264"/>
      <c r="F1823" s="264"/>
      <c r="G1823" s="264"/>
      <c r="H1823" s="264"/>
      <c r="I1823" s="264"/>
      <c r="J1823" s="327"/>
      <c r="K1823" s="327"/>
      <c r="L1823" s="327"/>
      <c r="M1823" s="321"/>
      <c r="N1823" s="321"/>
      <c r="O1823" s="364"/>
      <c r="P1823" s="381"/>
      <c r="R1823" s="392"/>
      <c r="S1823" s="61" ph="1"/>
      <c r="U1823" s="229"/>
      <c r="V1823" s="264"/>
      <c r="W1823" s="199"/>
      <c r="X1823" s="264"/>
      <c r="Y1823" s="264"/>
      <c r="Z1823" s="386"/>
      <c r="AA1823" s="126"/>
      <c r="AD1823" s="264"/>
      <c r="AE1823" s="264"/>
      <c r="AF1823" s="264"/>
      <c r="AG1823" s="264"/>
    </row>
    <row r="1824" spans="1:33" ht="26.25">
      <c r="A1824" s="264"/>
      <c r="B1824" s="264"/>
      <c r="C1824" s="264"/>
      <c r="D1824" s="264"/>
      <c r="E1824" s="264"/>
      <c r="F1824" s="264"/>
      <c r="G1824" s="264"/>
      <c r="H1824" s="264"/>
      <c r="I1824" s="264"/>
      <c r="J1824" s="327"/>
      <c r="K1824" s="327"/>
      <c r="L1824" s="327"/>
      <c r="M1824" s="321"/>
      <c r="N1824" s="321"/>
      <c r="O1824" s="364"/>
      <c r="P1824" s="381"/>
      <c r="R1824" s="392"/>
      <c r="S1824" s="61" ph="1"/>
      <c r="U1824" s="229"/>
      <c r="V1824" s="264"/>
      <c r="W1824" s="199"/>
      <c r="X1824" s="264"/>
      <c r="Y1824" s="264"/>
      <c r="Z1824" s="386"/>
      <c r="AA1824" s="126"/>
      <c r="AD1824" s="264"/>
      <c r="AE1824" s="264"/>
      <c r="AF1824" s="264"/>
      <c r="AG1824" s="264"/>
    </row>
    <row r="1825" spans="1:33" ht="26.25">
      <c r="A1825" s="264"/>
      <c r="B1825" s="264"/>
      <c r="C1825" s="264"/>
      <c r="D1825" s="264"/>
      <c r="E1825" s="264"/>
      <c r="F1825" s="264"/>
      <c r="G1825" s="264"/>
      <c r="H1825" s="264"/>
      <c r="I1825" s="264"/>
      <c r="J1825" s="327"/>
      <c r="K1825" s="327"/>
      <c r="L1825" s="327"/>
      <c r="M1825" s="321"/>
      <c r="N1825" s="321"/>
      <c r="O1825" s="364"/>
      <c r="P1825" s="381"/>
      <c r="R1825" s="392"/>
      <c r="S1825" s="61" ph="1"/>
      <c r="U1825" s="229"/>
      <c r="V1825" s="264"/>
      <c r="W1825" s="199"/>
      <c r="X1825" s="264"/>
      <c r="Y1825" s="264"/>
      <c r="Z1825" s="386"/>
      <c r="AA1825" s="126"/>
      <c r="AD1825" s="264"/>
      <c r="AE1825" s="264"/>
      <c r="AF1825" s="264"/>
      <c r="AG1825" s="264"/>
    </row>
    <row r="1826" spans="1:33" ht="26.25">
      <c r="A1826" s="264"/>
      <c r="B1826" s="264"/>
      <c r="C1826" s="264"/>
      <c r="D1826" s="264"/>
      <c r="E1826" s="264"/>
      <c r="F1826" s="264"/>
      <c r="G1826" s="264"/>
      <c r="H1826" s="264"/>
      <c r="I1826" s="264"/>
      <c r="J1826" s="327"/>
      <c r="K1826" s="327"/>
      <c r="L1826" s="327"/>
      <c r="M1826" s="321"/>
      <c r="N1826" s="321"/>
      <c r="O1826" s="364"/>
      <c r="P1826" s="381"/>
      <c r="R1826" s="392"/>
      <c r="S1826" s="61" ph="1"/>
      <c r="U1826" s="229"/>
      <c r="V1826" s="264"/>
      <c r="W1826" s="199"/>
      <c r="X1826" s="264"/>
      <c r="Y1826" s="264"/>
      <c r="Z1826" s="386"/>
      <c r="AA1826" s="126"/>
      <c r="AD1826" s="264"/>
      <c r="AE1826" s="264"/>
      <c r="AF1826" s="264"/>
      <c r="AG1826" s="264"/>
    </row>
    <row r="1827" spans="1:33" ht="26.25">
      <c r="A1827" s="264"/>
      <c r="B1827" s="264"/>
      <c r="C1827" s="264"/>
      <c r="D1827" s="264"/>
      <c r="E1827" s="264"/>
      <c r="F1827" s="264"/>
      <c r="G1827" s="264"/>
      <c r="H1827" s="264"/>
      <c r="I1827" s="264"/>
      <c r="J1827" s="327"/>
      <c r="K1827" s="327"/>
      <c r="L1827" s="327"/>
      <c r="M1827" s="321"/>
      <c r="N1827" s="321"/>
      <c r="O1827" s="364"/>
      <c r="P1827" s="381"/>
      <c r="R1827" s="392"/>
      <c r="S1827" s="61" ph="1"/>
      <c r="U1827" s="229"/>
      <c r="V1827" s="264"/>
      <c r="W1827" s="199"/>
      <c r="X1827" s="264"/>
      <c r="Y1827" s="264"/>
      <c r="Z1827" s="386"/>
      <c r="AA1827" s="126"/>
      <c r="AD1827" s="264"/>
      <c r="AE1827" s="264"/>
      <c r="AF1827" s="264"/>
      <c r="AG1827" s="264"/>
    </row>
    <row r="1828" spans="1:33" ht="26.25">
      <c r="A1828" s="264"/>
      <c r="B1828" s="264"/>
      <c r="C1828" s="264"/>
      <c r="D1828" s="264"/>
      <c r="E1828" s="264"/>
      <c r="F1828" s="264"/>
      <c r="G1828" s="264"/>
      <c r="H1828" s="264"/>
      <c r="I1828" s="264"/>
      <c r="J1828" s="327"/>
      <c r="K1828" s="327"/>
      <c r="L1828" s="327"/>
      <c r="M1828" s="321"/>
      <c r="N1828" s="321"/>
      <c r="O1828" s="364"/>
      <c r="P1828" s="381"/>
      <c r="R1828" s="392"/>
      <c r="S1828" s="61" ph="1"/>
      <c r="U1828" s="229"/>
      <c r="V1828" s="264"/>
      <c r="W1828" s="199"/>
      <c r="X1828" s="264"/>
      <c r="Y1828" s="264"/>
      <c r="Z1828" s="386"/>
      <c r="AA1828" s="126"/>
      <c r="AD1828" s="264"/>
      <c r="AE1828" s="264"/>
      <c r="AF1828" s="264"/>
      <c r="AG1828" s="264"/>
    </row>
    <row r="1829" spans="1:33" ht="26.25">
      <c r="A1829" s="264"/>
      <c r="B1829" s="264"/>
      <c r="C1829" s="264"/>
      <c r="D1829" s="264"/>
      <c r="E1829" s="264"/>
      <c r="F1829" s="264"/>
      <c r="G1829" s="264"/>
      <c r="H1829" s="264"/>
      <c r="I1829" s="264"/>
      <c r="J1829" s="327"/>
      <c r="K1829" s="327"/>
      <c r="L1829" s="327"/>
      <c r="M1829" s="321"/>
      <c r="N1829" s="321"/>
      <c r="O1829" s="364"/>
      <c r="P1829" s="381"/>
      <c r="R1829" s="392"/>
      <c r="S1829" s="61" ph="1"/>
      <c r="U1829" s="229"/>
      <c r="V1829" s="264"/>
      <c r="W1829" s="199"/>
      <c r="X1829" s="264"/>
      <c r="Y1829" s="264"/>
      <c r="Z1829" s="386"/>
      <c r="AA1829" s="264"/>
      <c r="AD1829" s="264"/>
      <c r="AE1829" s="264"/>
      <c r="AF1829" s="264"/>
      <c r="AG1829" s="264"/>
    </row>
    <row r="1830" spans="1:33" ht="26.25">
      <c r="A1830" s="264"/>
      <c r="B1830" s="264"/>
      <c r="C1830" s="264"/>
      <c r="D1830" s="264"/>
      <c r="E1830" s="264"/>
      <c r="F1830" s="264"/>
      <c r="G1830" s="264"/>
      <c r="H1830" s="264"/>
      <c r="I1830" s="264"/>
      <c r="J1830" s="327"/>
      <c r="K1830" s="327"/>
      <c r="L1830" s="327"/>
      <c r="M1830" s="321"/>
      <c r="N1830" s="321"/>
      <c r="O1830" s="364"/>
      <c r="P1830" s="381"/>
      <c r="R1830" s="392"/>
      <c r="S1830" s="61" ph="1"/>
      <c r="U1830" s="229"/>
      <c r="V1830" s="264"/>
      <c r="W1830" s="199"/>
      <c r="X1830" s="264"/>
      <c r="Y1830" s="264"/>
      <c r="Z1830" s="386"/>
      <c r="AA1830" s="126"/>
      <c r="AD1830" s="264"/>
      <c r="AE1830" s="264"/>
      <c r="AF1830" s="264"/>
      <c r="AG1830" s="264"/>
    </row>
    <row r="1831" spans="1:33" ht="26.25">
      <c r="A1831" s="264"/>
      <c r="B1831" s="264"/>
      <c r="C1831" s="264"/>
      <c r="D1831" s="264"/>
      <c r="E1831" s="264"/>
      <c r="F1831" s="264"/>
      <c r="G1831" s="264"/>
      <c r="H1831" s="264"/>
      <c r="I1831" s="264"/>
      <c r="J1831" s="327"/>
      <c r="K1831" s="327"/>
      <c r="L1831" s="327"/>
      <c r="M1831" s="321"/>
      <c r="N1831" s="321"/>
      <c r="O1831" s="364"/>
      <c r="P1831" s="381"/>
      <c r="R1831" s="392"/>
      <c r="S1831" s="61" ph="1"/>
      <c r="U1831" s="229"/>
      <c r="V1831" s="264"/>
      <c r="W1831" s="199"/>
      <c r="X1831" s="264"/>
      <c r="Y1831" s="264"/>
      <c r="Z1831" s="386"/>
      <c r="AA1831" s="126"/>
      <c r="AD1831" s="264"/>
      <c r="AE1831" s="264"/>
      <c r="AF1831" s="264"/>
      <c r="AG1831" s="264"/>
    </row>
    <row r="1832" spans="1:33" ht="26.25">
      <c r="A1832" s="264"/>
      <c r="B1832" s="264"/>
      <c r="C1832" s="264"/>
      <c r="D1832" s="264"/>
      <c r="E1832" s="264"/>
      <c r="F1832" s="264"/>
      <c r="G1832" s="264"/>
      <c r="H1832" s="264"/>
      <c r="I1832" s="264"/>
      <c r="J1832" s="327"/>
      <c r="K1832" s="327"/>
      <c r="L1832" s="327"/>
      <c r="M1832" s="321"/>
      <c r="N1832" s="321"/>
      <c r="O1832" s="364"/>
      <c r="P1832" s="381"/>
      <c r="R1832" s="392"/>
      <c r="S1832" s="61" ph="1"/>
      <c r="U1832" s="229"/>
      <c r="V1832" s="264"/>
      <c r="W1832" s="199"/>
      <c r="X1832" s="264"/>
      <c r="Y1832" s="264"/>
      <c r="Z1832" s="386"/>
      <c r="AA1832" s="126"/>
      <c r="AD1832" s="264"/>
      <c r="AE1832" s="264"/>
      <c r="AF1832" s="264"/>
      <c r="AG1832" s="264"/>
    </row>
    <row r="1833" spans="1:33" ht="26.25">
      <c r="A1833" s="264"/>
      <c r="B1833" s="264"/>
      <c r="C1833" s="264"/>
      <c r="D1833" s="264"/>
      <c r="E1833" s="264"/>
      <c r="F1833" s="264"/>
      <c r="G1833" s="264"/>
      <c r="H1833" s="264"/>
      <c r="I1833" s="264"/>
      <c r="J1833" s="327"/>
      <c r="K1833" s="327"/>
      <c r="L1833" s="327"/>
      <c r="M1833" s="321"/>
      <c r="N1833" s="321"/>
      <c r="O1833" s="364"/>
      <c r="P1833" s="381"/>
      <c r="R1833" s="392"/>
      <c r="S1833" s="61" ph="1"/>
      <c r="U1833" s="229"/>
      <c r="V1833" s="264"/>
      <c r="W1833" s="199"/>
      <c r="X1833" s="264"/>
      <c r="Y1833" s="264"/>
      <c r="Z1833" s="386"/>
      <c r="AA1833" s="126"/>
      <c r="AD1833" s="264"/>
      <c r="AE1833" s="264"/>
      <c r="AF1833" s="264"/>
      <c r="AG1833" s="264"/>
    </row>
    <row r="1834" spans="1:33" ht="26.25">
      <c r="A1834" s="264"/>
      <c r="B1834" s="264"/>
      <c r="C1834" s="264"/>
      <c r="D1834" s="264"/>
      <c r="E1834" s="264"/>
      <c r="F1834" s="264"/>
      <c r="G1834" s="264"/>
      <c r="H1834" s="264"/>
      <c r="I1834" s="264"/>
      <c r="J1834" s="327"/>
      <c r="K1834" s="327"/>
      <c r="L1834" s="327"/>
      <c r="M1834" s="321"/>
      <c r="N1834" s="321"/>
      <c r="O1834" s="364"/>
      <c r="P1834" s="381"/>
      <c r="R1834" s="392"/>
      <c r="S1834" s="61" ph="1"/>
      <c r="U1834" s="229"/>
      <c r="V1834" s="264"/>
      <c r="W1834" s="199"/>
      <c r="X1834" s="264"/>
      <c r="Y1834" s="264"/>
      <c r="Z1834" s="386"/>
      <c r="AA1834" s="126"/>
      <c r="AD1834" s="264"/>
      <c r="AE1834" s="264"/>
      <c r="AF1834" s="264"/>
      <c r="AG1834" s="264"/>
    </row>
    <row r="1835" spans="1:33" ht="26.25">
      <c r="A1835" s="264"/>
      <c r="B1835" s="264"/>
      <c r="C1835" s="264"/>
      <c r="D1835" s="264"/>
      <c r="E1835" s="264"/>
      <c r="F1835" s="264"/>
      <c r="G1835" s="264"/>
      <c r="H1835" s="264"/>
      <c r="I1835" s="264"/>
      <c r="J1835" s="327"/>
      <c r="K1835" s="327"/>
      <c r="L1835" s="327"/>
      <c r="M1835" s="321"/>
      <c r="N1835" s="321"/>
      <c r="O1835" s="364"/>
      <c r="P1835" s="381"/>
      <c r="R1835" s="392"/>
      <c r="S1835" s="61" ph="1"/>
      <c r="U1835" s="229"/>
      <c r="V1835" s="264"/>
      <c r="W1835" s="199"/>
      <c r="X1835" s="264"/>
      <c r="Y1835" s="264"/>
      <c r="Z1835" s="386"/>
      <c r="AA1835" s="126"/>
      <c r="AD1835" s="264"/>
      <c r="AE1835" s="264"/>
      <c r="AF1835" s="264"/>
      <c r="AG1835" s="264"/>
    </row>
    <row r="1836" spans="1:33" ht="26.25">
      <c r="A1836" s="264"/>
      <c r="B1836" s="264"/>
      <c r="C1836" s="264"/>
      <c r="D1836" s="264"/>
      <c r="E1836" s="264"/>
      <c r="F1836" s="264"/>
      <c r="G1836" s="264"/>
      <c r="H1836" s="264"/>
      <c r="I1836" s="264"/>
      <c r="J1836" s="327"/>
      <c r="K1836" s="327"/>
      <c r="L1836" s="327"/>
      <c r="M1836" s="321"/>
      <c r="N1836" s="321"/>
      <c r="O1836" s="364"/>
      <c r="P1836" s="381"/>
      <c r="R1836" s="392"/>
      <c r="S1836" s="61" ph="1"/>
      <c r="U1836" s="229"/>
      <c r="V1836" s="264"/>
      <c r="W1836" s="199"/>
      <c r="X1836" s="264"/>
      <c r="Y1836" s="264"/>
      <c r="Z1836" s="386"/>
      <c r="AA1836" s="126"/>
      <c r="AD1836" s="264"/>
      <c r="AE1836" s="264"/>
      <c r="AF1836" s="264"/>
      <c r="AG1836" s="264"/>
    </row>
    <row r="1837" spans="1:33" ht="26.25">
      <c r="A1837" s="264"/>
      <c r="B1837" s="264"/>
      <c r="C1837" s="264"/>
      <c r="D1837" s="264"/>
      <c r="E1837" s="264"/>
      <c r="F1837" s="264"/>
      <c r="G1837" s="264"/>
      <c r="H1837" s="264"/>
      <c r="I1837" s="264"/>
      <c r="J1837" s="327"/>
      <c r="K1837" s="327"/>
      <c r="L1837" s="327"/>
      <c r="M1837" s="321"/>
      <c r="N1837" s="321"/>
      <c r="O1837" s="364"/>
      <c r="P1837" s="381"/>
      <c r="R1837" s="392"/>
      <c r="S1837" s="61" ph="1"/>
      <c r="U1837" s="229"/>
      <c r="V1837" s="264"/>
      <c r="W1837" s="199"/>
      <c r="X1837" s="264"/>
      <c r="Y1837" s="264"/>
      <c r="Z1837" s="386"/>
      <c r="AA1837" s="126"/>
      <c r="AD1837" s="264"/>
      <c r="AE1837" s="264"/>
      <c r="AF1837" s="264"/>
      <c r="AG1837" s="264"/>
    </row>
    <row r="1838" spans="1:33" ht="26.25">
      <c r="A1838" s="264"/>
      <c r="B1838" s="264"/>
      <c r="C1838" s="264"/>
      <c r="D1838" s="264"/>
      <c r="E1838" s="264"/>
      <c r="F1838" s="264"/>
      <c r="G1838" s="264"/>
      <c r="H1838" s="264"/>
      <c r="I1838" s="264"/>
      <c r="J1838" s="327"/>
      <c r="K1838" s="327"/>
      <c r="L1838" s="327"/>
      <c r="M1838" s="321"/>
      <c r="N1838" s="321"/>
      <c r="O1838" s="364"/>
      <c r="P1838" s="381"/>
      <c r="R1838" s="392"/>
      <c r="S1838" s="61" ph="1"/>
      <c r="U1838" s="229"/>
      <c r="V1838" s="264"/>
      <c r="W1838" s="199"/>
      <c r="X1838" s="264"/>
      <c r="Y1838" s="264"/>
      <c r="Z1838" s="386"/>
      <c r="AA1838" s="126"/>
      <c r="AD1838" s="264"/>
      <c r="AE1838" s="264"/>
      <c r="AF1838" s="264"/>
      <c r="AG1838" s="264"/>
    </row>
    <row r="1839" spans="1:33" ht="26.25">
      <c r="A1839" s="264"/>
      <c r="B1839" s="264"/>
      <c r="C1839" s="264"/>
      <c r="D1839" s="264"/>
      <c r="E1839" s="264"/>
      <c r="F1839" s="264"/>
      <c r="G1839" s="264"/>
      <c r="H1839" s="264"/>
      <c r="I1839" s="264"/>
      <c r="J1839" s="327"/>
      <c r="K1839" s="327"/>
      <c r="L1839" s="327"/>
      <c r="M1839" s="321"/>
      <c r="N1839" s="321"/>
      <c r="O1839" s="364"/>
      <c r="P1839" s="381"/>
      <c r="R1839" s="392"/>
      <c r="S1839" s="61" ph="1"/>
      <c r="U1839" s="229"/>
      <c r="V1839" s="264"/>
      <c r="W1839" s="199"/>
      <c r="X1839" s="264"/>
      <c r="Y1839" s="264"/>
      <c r="Z1839" s="386"/>
      <c r="AA1839" s="126"/>
      <c r="AD1839" s="264"/>
      <c r="AE1839" s="264"/>
      <c r="AF1839" s="264"/>
      <c r="AG1839" s="264"/>
    </row>
    <row r="1840" spans="1:33" ht="26.25">
      <c r="A1840" s="264"/>
      <c r="B1840" s="264"/>
      <c r="C1840" s="264"/>
      <c r="D1840" s="264"/>
      <c r="E1840" s="264"/>
      <c r="F1840" s="264"/>
      <c r="G1840" s="264"/>
      <c r="H1840" s="264"/>
      <c r="I1840" s="264"/>
      <c r="J1840" s="327"/>
      <c r="K1840" s="327"/>
      <c r="L1840" s="327"/>
      <c r="M1840" s="321"/>
      <c r="N1840" s="321"/>
      <c r="O1840" s="364"/>
      <c r="P1840" s="381"/>
      <c r="R1840" s="392"/>
      <c r="S1840" s="61" ph="1"/>
      <c r="U1840" s="229"/>
      <c r="V1840" s="264"/>
      <c r="W1840" s="199"/>
      <c r="X1840" s="264"/>
      <c r="Y1840" s="264"/>
      <c r="Z1840" s="386"/>
      <c r="AA1840" s="126"/>
      <c r="AD1840" s="264"/>
      <c r="AE1840" s="264"/>
      <c r="AF1840" s="264"/>
      <c r="AG1840" s="264"/>
    </row>
    <row r="1841" spans="1:33" ht="26.25">
      <c r="A1841" s="264"/>
      <c r="B1841" s="264"/>
      <c r="C1841" s="264"/>
      <c r="D1841" s="264"/>
      <c r="E1841" s="264"/>
      <c r="F1841" s="264"/>
      <c r="G1841" s="264"/>
      <c r="H1841" s="264"/>
      <c r="I1841" s="264"/>
      <c r="J1841" s="327"/>
      <c r="K1841" s="327"/>
      <c r="L1841" s="327"/>
      <c r="M1841" s="321"/>
      <c r="N1841" s="321"/>
      <c r="O1841" s="364"/>
      <c r="P1841" s="381"/>
      <c r="R1841" s="392"/>
      <c r="S1841" s="61" ph="1"/>
      <c r="U1841" s="229"/>
      <c r="V1841" s="264"/>
      <c r="W1841" s="199"/>
      <c r="X1841" s="264"/>
      <c r="Y1841" s="264"/>
      <c r="Z1841" s="386"/>
      <c r="AA1841" s="126"/>
      <c r="AD1841" s="264"/>
      <c r="AE1841" s="264"/>
      <c r="AF1841" s="264"/>
      <c r="AG1841" s="264"/>
    </row>
    <row r="1842" spans="1:33" ht="26.25">
      <c r="A1842" s="264"/>
      <c r="B1842" s="264"/>
      <c r="C1842" s="264"/>
      <c r="D1842" s="264"/>
      <c r="E1842" s="264"/>
      <c r="F1842" s="264"/>
      <c r="G1842" s="264"/>
      <c r="H1842" s="264"/>
      <c r="I1842" s="264"/>
      <c r="J1842" s="327"/>
      <c r="K1842" s="327"/>
      <c r="L1842" s="327"/>
      <c r="M1842" s="321"/>
      <c r="N1842" s="321"/>
      <c r="O1842" s="364"/>
      <c r="P1842" s="381"/>
      <c r="R1842" s="392"/>
      <c r="S1842" s="61" ph="1"/>
      <c r="U1842" s="229"/>
      <c r="V1842" s="264"/>
      <c r="W1842" s="199"/>
      <c r="X1842" s="264"/>
      <c r="Y1842" s="264"/>
      <c r="Z1842" s="386"/>
      <c r="AA1842" s="126"/>
      <c r="AD1842" s="264"/>
      <c r="AE1842" s="264"/>
      <c r="AF1842" s="264"/>
      <c r="AG1842" s="264"/>
    </row>
    <row r="1843" spans="1:33" ht="26.25">
      <c r="A1843" s="264"/>
      <c r="B1843" s="264"/>
      <c r="C1843" s="264"/>
      <c r="D1843" s="264"/>
      <c r="E1843" s="264"/>
      <c r="F1843" s="264"/>
      <c r="G1843" s="264"/>
      <c r="H1843" s="264"/>
      <c r="I1843" s="264"/>
      <c r="J1843" s="327"/>
      <c r="K1843" s="327"/>
      <c r="L1843" s="327"/>
      <c r="M1843" s="321"/>
      <c r="N1843" s="321"/>
      <c r="O1843" s="364"/>
      <c r="P1843" s="381"/>
      <c r="R1843" s="392"/>
      <c r="S1843" s="61" ph="1"/>
      <c r="U1843" s="229"/>
      <c r="V1843" s="264"/>
      <c r="W1843" s="199"/>
      <c r="X1843" s="264"/>
      <c r="Y1843" s="264"/>
      <c r="Z1843" s="386"/>
      <c r="AA1843" s="126"/>
      <c r="AD1843" s="264"/>
      <c r="AE1843" s="264"/>
      <c r="AF1843" s="264"/>
      <c r="AG1843" s="264"/>
    </row>
    <row r="1844" spans="1:33" ht="26.25">
      <c r="A1844" s="264"/>
      <c r="B1844" s="264"/>
      <c r="C1844" s="264"/>
      <c r="D1844" s="264"/>
      <c r="E1844" s="264"/>
      <c r="F1844" s="264"/>
      <c r="G1844" s="264"/>
      <c r="H1844" s="264"/>
      <c r="I1844" s="264"/>
      <c r="J1844" s="327"/>
      <c r="K1844" s="327"/>
      <c r="L1844" s="327"/>
      <c r="M1844" s="321"/>
      <c r="N1844" s="321"/>
      <c r="O1844" s="364"/>
      <c r="P1844" s="381"/>
      <c r="R1844" s="392"/>
      <c r="S1844" s="61" ph="1"/>
      <c r="U1844" s="229"/>
      <c r="V1844" s="264"/>
      <c r="W1844" s="199"/>
      <c r="X1844" s="264"/>
      <c r="Y1844" s="264"/>
      <c r="Z1844" s="386"/>
      <c r="AA1844" s="126"/>
      <c r="AD1844" s="264"/>
      <c r="AE1844" s="264"/>
      <c r="AF1844" s="264"/>
      <c r="AG1844" s="264"/>
    </row>
    <row r="1845" spans="1:33" ht="26.25">
      <c r="A1845" s="264"/>
      <c r="B1845" s="264"/>
      <c r="C1845" s="264"/>
      <c r="D1845" s="264"/>
      <c r="E1845" s="264"/>
      <c r="F1845" s="264"/>
      <c r="G1845" s="264"/>
      <c r="H1845" s="264"/>
      <c r="I1845" s="264"/>
      <c r="J1845" s="327"/>
      <c r="K1845" s="327"/>
      <c r="L1845" s="327"/>
      <c r="M1845" s="321"/>
      <c r="N1845" s="321"/>
      <c r="O1845" s="364"/>
      <c r="P1845" s="381"/>
      <c r="R1845" s="392"/>
      <c r="S1845" s="61" ph="1"/>
      <c r="U1845" s="229"/>
      <c r="V1845" s="264"/>
      <c r="W1845" s="199"/>
      <c r="X1845" s="264"/>
      <c r="Y1845" s="264"/>
      <c r="Z1845" s="386"/>
      <c r="AA1845" s="126"/>
      <c r="AD1845" s="264"/>
      <c r="AE1845" s="264"/>
      <c r="AF1845" s="264"/>
      <c r="AG1845" s="264"/>
    </row>
    <row r="1846" spans="1:33" ht="26.25">
      <c r="A1846" s="264"/>
      <c r="B1846" s="264"/>
      <c r="C1846" s="264"/>
      <c r="D1846" s="264"/>
      <c r="E1846" s="264"/>
      <c r="F1846" s="264"/>
      <c r="G1846" s="264"/>
      <c r="H1846" s="264"/>
      <c r="I1846" s="264"/>
      <c r="J1846" s="327"/>
      <c r="K1846" s="327"/>
      <c r="L1846" s="327"/>
      <c r="M1846" s="321"/>
      <c r="N1846" s="321"/>
      <c r="O1846" s="364"/>
      <c r="P1846" s="381"/>
      <c r="R1846" s="392"/>
      <c r="S1846" s="61" ph="1"/>
      <c r="U1846" s="229"/>
      <c r="V1846" s="264"/>
      <c r="W1846" s="199"/>
      <c r="X1846" s="264"/>
      <c r="Y1846" s="264"/>
      <c r="Z1846" s="386"/>
      <c r="AA1846" s="126"/>
      <c r="AD1846" s="264"/>
      <c r="AE1846" s="264"/>
      <c r="AF1846" s="264"/>
      <c r="AG1846" s="264"/>
    </row>
    <row r="1847" spans="1:33" ht="26.25">
      <c r="A1847" s="264"/>
      <c r="B1847" s="264"/>
      <c r="C1847" s="264"/>
      <c r="D1847" s="264"/>
      <c r="E1847" s="264"/>
      <c r="F1847" s="264"/>
      <c r="G1847" s="264"/>
      <c r="H1847" s="264"/>
      <c r="I1847" s="264"/>
      <c r="J1847" s="327"/>
      <c r="K1847" s="327"/>
      <c r="L1847" s="327"/>
      <c r="M1847" s="321"/>
      <c r="N1847" s="321"/>
      <c r="O1847" s="364"/>
      <c r="P1847" s="381"/>
      <c r="R1847" s="392"/>
      <c r="S1847" s="61" ph="1"/>
      <c r="U1847" s="229"/>
      <c r="V1847" s="264"/>
      <c r="W1847" s="199"/>
      <c r="X1847" s="264"/>
      <c r="Y1847" s="264"/>
      <c r="Z1847" s="386"/>
      <c r="AA1847" s="126"/>
      <c r="AD1847" s="264"/>
      <c r="AE1847" s="264"/>
      <c r="AF1847" s="264"/>
      <c r="AG1847" s="264"/>
    </row>
    <row r="1848" spans="1:33" ht="26.25">
      <c r="A1848" s="264"/>
      <c r="B1848" s="264"/>
      <c r="C1848" s="264"/>
      <c r="D1848" s="264"/>
      <c r="E1848" s="264"/>
      <c r="F1848" s="264"/>
      <c r="G1848" s="264"/>
      <c r="H1848" s="264"/>
      <c r="I1848" s="264"/>
      <c r="J1848" s="327"/>
      <c r="K1848" s="327"/>
      <c r="L1848" s="327"/>
      <c r="M1848" s="321"/>
      <c r="N1848" s="321"/>
      <c r="O1848" s="364"/>
      <c r="P1848" s="381"/>
      <c r="R1848" s="392"/>
      <c r="S1848" s="61" ph="1"/>
      <c r="U1848" s="229"/>
      <c r="V1848" s="264"/>
      <c r="W1848" s="199"/>
      <c r="X1848" s="264"/>
      <c r="Y1848" s="264"/>
      <c r="Z1848" s="386"/>
      <c r="AA1848" s="126"/>
      <c r="AD1848" s="264"/>
      <c r="AE1848" s="264"/>
      <c r="AF1848" s="264"/>
      <c r="AG1848" s="264"/>
    </row>
    <row r="1849" spans="1:33" ht="26.25">
      <c r="A1849" s="264"/>
      <c r="B1849" s="264"/>
      <c r="C1849" s="264"/>
      <c r="D1849" s="264"/>
      <c r="E1849" s="264"/>
      <c r="F1849" s="264"/>
      <c r="G1849" s="264"/>
      <c r="H1849" s="264"/>
      <c r="I1849" s="264"/>
      <c r="J1849" s="327"/>
      <c r="K1849" s="327"/>
      <c r="L1849" s="327"/>
      <c r="M1849" s="321"/>
      <c r="N1849" s="321"/>
      <c r="O1849" s="364"/>
      <c r="P1849" s="381"/>
      <c r="R1849" s="392"/>
      <c r="S1849" s="61" ph="1"/>
      <c r="U1849" s="229"/>
      <c r="V1849" s="264"/>
      <c r="W1849" s="199"/>
      <c r="X1849" s="264"/>
      <c r="Y1849" s="264"/>
      <c r="Z1849" s="386"/>
      <c r="AA1849" s="126"/>
      <c r="AD1849" s="264"/>
      <c r="AE1849" s="264"/>
      <c r="AF1849" s="264"/>
      <c r="AG1849" s="264"/>
    </row>
    <row r="1850" spans="1:33" ht="26.25">
      <c r="A1850" s="264"/>
      <c r="B1850" s="264"/>
      <c r="C1850" s="264"/>
      <c r="D1850" s="264"/>
      <c r="E1850" s="264"/>
      <c r="F1850" s="264"/>
      <c r="G1850" s="264"/>
      <c r="H1850" s="264"/>
      <c r="I1850" s="264"/>
      <c r="J1850" s="327"/>
      <c r="K1850" s="327"/>
      <c r="L1850" s="327"/>
      <c r="M1850" s="321"/>
      <c r="N1850" s="321"/>
      <c r="O1850" s="364"/>
      <c r="P1850" s="381"/>
      <c r="R1850" s="392"/>
      <c r="S1850" s="61" ph="1"/>
      <c r="U1850" s="229"/>
      <c r="V1850" s="264"/>
      <c r="W1850" s="199"/>
      <c r="X1850" s="264"/>
      <c r="Y1850" s="264"/>
      <c r="Z1850" s="386"/>
      <c r="AA1850" s="126"/>
      <c r="AD1850" s="264"/>
      <c r="AE1850" s="264"/>
      <c r="AF1850" s="264"/>
      <c r="AG1850" s="264"/>
    </row>
    <row r="1851" spans="1:33" ht="26.25">
      <c r="A1851" s="264"/>
      <c r="B1851" s="264"/>
      <c r="C1851" s="264"/>
      <c r="D1851" s="264"/>
      <c r="E1851" s="264"/>
      <c r="F1851" s="264"/>
      <c r="G1851" s="264"/>
      <c r="H1851" s="264"/>
      <c r="I1851" s="264"/>
      <c r="J1851" s="327"/>
      <c r="K1851" s="327"/>
      <c r="L1851" s="327"/>
      <c r="M1851" s="321"/>
      <c r="N1851" s="321"/>
      <c r="O1851" s="364"/>
      <c r="P1851" s="381"/>
      <c r="R1851" s="392"/>
      <c r="S1851" s="61" ph="1"/>
      <c r="U1851" s="229"/>
      <c r="V1851" s="264"/>
      <c r="W1851" s="199"/>
      <c r="X1851" s="264"/>
      <c r="Y1851" s="264"/>
      <c r="Z1851" s="386"/>
      <c r="AA1851" s="126"/>
      <c r="AD1851" s="264"/>
      <c r="AE1851" s="264"/>
      <c r="AF1851" s="264"/>
      <c r="AG1851" s="264"/>
    </row>
    <row r="1852" spans="1:33" ht="26.25">
      <c r="A1852" s="264"/>
      <c r="B1852" s="264"/>
      <c r="C1852" s="264"/>
      <c r="D1852" s="264"/>
      <c r="E1852" s="264"/>
      <c r="F1852" s="264"/>
      <c r="G1852" s="264"/>
      <c r="H1852" s="264"/>
      <c r="I1852" s="264"/>
      <c r="J1852" s="327"/>
      <c r="K1852" s="327"/>
      <c r="L1852" s="327"/>
      <c r="M1852" s="321"/>
      <c r="N1852" s="321"/>
      <c r="O1852" s="364"/>
      <c r="P1852" s="381"/>
      <c r="R1852" s="392"/>
      <c r="S1852" s="61" ph="1"/>
      <c r="U1852" s="229"/>
      <c r="V1852" s="264"/>
      <c r="W1852" s="199"/>
      <c r="X1852" s="264"/>
      <c r="Y1852" s="264"/>
      <c r="Z1852" s="386"/>
      <c r="AA1852" s="126"/>
      <c r="AD1852" s="264"/>
      <c r="AE1852" s="264"/>
      <c r="AF1852" s="264"/>
      <c r="AG1852" s="264"/>
    </row>
    <row r="1853" spans="1:33" ht="26.25">
      <c r="A1853" s="264"/>
      <c r="B1853" s="264"/>
      <c r="C1853" s="264"/>
      <c r="D1853" s="264"/>
      <c r="E1853" s="264"/>
      <c r="F1853" s="264"/>
      <c r="G1853" s="264"/>
      <c r="H1853" s="264"/>
      <c r="I1853" s="264"/>
      <c r="J1853" s="327"/>
      <c r="K1853" s="327"/>
      <c r="L1853" s="327"/>
      <c r="M1853" s="321"/>
      <c r="N1853" s="321"/>
      <c r="O1853" s="364"/>
      <c r="P1853" s="381"/>
      <c r="R1853" s="392"/>
      <c r="S1853" s="61" ph="1"/>
      <c r="U1853" s="229"/>
      <c r="V1853" s="264"/>
      <c r="W1853" s="199"/>
      <c r="X1853" s="264"/>
      <c r="Y1853" s="264"/>
      <c r="Z1853" s="386"/>
      <c r="AA1853" s="126"/>
      <c r="AD1853" s="264"/>
      <c r="AE1853" s="264"/>
      <c r="AF1853" s="264"/>
      <c r="AG1853" s="264"/>
    </row>
    <row r="1854" spans="1:33" ht="26.25">
      <c r="A1854" s="264"/>
      <c r="B1854" s="264"/>
      <c r="C1854" s="264"/>
      <c r="D1854" s="264"/>
      <c r="E1854" s="264"/>
      <c r="F1854" s="264"/>
      <c r="G1854" s="264"/>
      <c r="H1854" s="264"/>
      <c r="I1854" s="264"/>
      <c r="J1854" s="327"/>
      <c r="K1854" s="327"/>
      <c r="L1854" s="327"/>
      <c r="M1854" s="321"/>
      <c r="N1854" s="321"/>
      <c r="O1854" s="364"/>
      <c r="P1854" s="381"/>
      <c r="R1854" s="392"/>
      <c r="S1854" s="61" ph="1"/>
      <c r="U1854" s="229"/>
      <c r="V1854" s="264"/>
      <c r="W1854" s="199"/>
      <c r="X1854" s="264"/>
      <c r="Y1854" s="264"/>
      <c r="Z1854" s="386"/>
      <c r="AA1854" s="126"/>
      <c r="AD1854" s="264"/>
      <c r="AE1854" s="264"/>
      <c r="AF1854" s="264"/>
      <c r="AG1854" s="264"/>
    </row>
    <row r="1855" spans="1:33" ht="26.25">
      <c r="A1855" s="264"/>
      <c r="B1855" s="264"/>
      <c r="C1855" s="264"/>
      <c r="D1855" s="264"/>
      <c r="E1855" s="264"/>
      <c r="F1855" s="264"/>
      <c r="G1855" s="264"/>
      <c r="H1855" s="264"/>
      <c r="I1855" s="264"/>
      <c r="J1855" s="327"/>
      <c r="K1855" s="327"/>
      <c r="L1855" s="327"/>
      <c r="M1855" s="321"/>
      <c r="N1855" s="321"/>
      <c r="O1855" s="364"/>
      <c r="P1855" s="381"/>
      <c r="R1855" s="392"/>
      <c r="S1855" s="61" ph="1"/>
      <c r="U1855" s="229"/>
      <c r="V1855" s="264"/>
      <c r="W1855" s="199"/>
      <c r="X1855" s="264"/>
      <c r="Y1855" s="264"/>
      <c r="Z1855" s="386"/>
      <c r="AA1855" s="126"/>
      <c r="AD1855" s="264"/>
      <c r="AE1855" s="264"/>
      <c r="AF1855" s="264"/>
      <c r="AG1855" s="264"/>
    </row>
    <row r="1856" spans="1:33" ht="26.25">
      <c r="A1856" s="264"/>
      <c r="B1856" s="264"/>
      <c r="C1856" s="264"/>
      <c r="D1856" s="264"/>
      <c r="E1856" s="264"/>
      <c r="F1856" s="264"/>
      <c r="G1856" s="264"/>
      <c r="H1856" s="264"/>
      <c r="I1856" s="264"/>
      <c r="J1856" s="327"/>
      <c r="K1856" s="327"/>
      <c r="L1856" s="327"/>
      <c r="M1856" s="321"/>
      <c r="N1856" s="321"/>
      <c r="O1856" s="364"/>
      <c r="P1856" s="381"/>
      <c r="R1856" s="392"/>
      <c r="S1856" s="61" ph="1"/>
      <c r="U1856" s="229"/>
      <c r="V1856" s="264"/>
      <c r="W1856" s="199"/>
      <c r="X1856" s="264"/>
      <c r="Y1856" s="264"/>
      <c r="Z1856" s="386"/>
      <c r="AA1856" s="126"/>
      <c r="AD1856" s="264"/>
      <c r="AE1856" s="264"/>
      <c r="AF1856" s="264"/>
      <c r="AG1856" s="264"/>
    </row>
    <row r="1857" spans="1:33" ht="26.25">
      <c r="A1857" s="264"/>
      <c r="B1857" s="264"/>
      <c r="C1857" s="264"/>
      <c r="D1857" s="264"/>
      <c r="E1857" s="264"/>
      <c r="F1857" s="264"/>
      <c r="G1857" s="264"/>
      <c r="H1857" s="264"/>
      <c r="I1857" s="264"/>
      <c r="J1857" s="327"/>
      <c r="K1857" s="327"/>
      <c r="L1857" s="327"/>
      <c r="M1857" s="321"/>
      <c r="N1857" s="321"/>
      <c r="O1857" s="364"/>
      <c r="P1857" s="381"/>
      <c r="R1857" s="392"/>
      <c r="S1857" s="61" ph="1"/>
      <c r="U1857" s="229"/>
      <c r="V1857" s="264"/>
      <c r="W1857" s="199"/>
      <c r="X1857" s="264"/>
      <c r="Y1857" s="264"/>
      <c r="Z1857" s="386"/>
      <c r="AA1857" s="126"/>
      <c r="AD1857" s="264"/>
      <c r="AE1857" s="264"/>
      <c r="AF1857" s="264"/>
      <c r="AG1857" s="264"/>
    </row>
    <row r="1858" spans="1:33" ht="26.25">
      <c r="A1858" s="264"/>
      <c r="B1858" s="264"/>
      <c r="C1858" s="264"/>
      <c r="D1858" s="264"/>
      <c r="E1858" s="264"/>
      <c r="F1858" s="264"/>
      <c r="G1858" s="264"/>
      <c r="H1858" s="264"/>
      <c r="I1858" s="264"/>
      <c r="J1858" s="327"/>
      <c r="K1858" s="327"/>
      <c r="L1858" s="327"/>
      <c r="M1858" s="321"/>
      <c r="N1858" s="321"/>
      <c r="O1858" s="364"/>
      <c r="P1858" s="381"/>
      <c r="R1858" s="392"/>
      <c r="S1858" s="61" ph="1"/>
      <c r="U1858" s="229"/>
      <c r="V1858" s="264"/>
      <c r="W1858" s="199"/>
      <c r="X1858" s="264"/>
      <c r="Y1858" s="264"/>
      <c r="Z1858" s="386"/>
      <c r="AA1858" s="126"/>
      <c r="AD1858" s="264"/>
      <c r="AE1858" s="264"/>
      <c r="AF1858" s="264"/>
      <c r="AG1858" s="264"/>
    </row>
    <row r="1859" spans="1:33" ht="26.25">
      <c r="A1859" s="264"/>
      <c r="B1859" s="264"/>
      <c r="C1859" s="264"/>
      <c r="D1859" s="264"/>
      <c r="E1859" s="264"/>
      <c r="F1859" s="264"/>
      <c r="G1859" s="264"/>
      <c r="H1859" s="264"/>
      <c r="I1859" s="264"/>
      <c r="J1859" s="327"/>
      <c r="K1859" s="327"/>
      <c r="L1859" s="327"/>
      <c r="M1859" s="321"/>
      <c r="N1859" s="321"/>
      <c r="O1859" s="364"/>
      <c r="P1859" s="381"/>
      <c r="R1859" s="392"/>
      <c r="S1859" s="61" ph="1"/>
      <c r="U1859" s="229"/>
      <c r="V1859" s="264"/>
      <c r="W1859" s="199"/>
      <c r="X1859" s="264"/>
      <c r="Y1859" s="264"/>
      <c r="Z1859" s="386"/>
      <c r="AA1859" s="126"/>
      <c r="AD1859" s="264"/>
      <c r="AE1859" s="264"/>
      <c r="AF1859" s="264"/>
      <c r="AG1859" s="264"/>
    </row>
    <row r="1860" spans="1:33" ht="26.25">
      <c r="A1860" s="264"/>
      <c r="B1860" s="264"/>
      <c r="C1860" s="264"/>
      <c r="D1860" s="264"/>
      <c r="E1860" s="264"/>
      <c r="F1860" s="264"/>
      <c r="G1860" s="264"/>
      <c r="H1860" s="264"/>
      <c r="I1860" s="264"/>
      <c r="J1860" s="327"/>
      <c r="K1860" s="327"/>
      <c r="L1860" s="327"/>
      <c r="M1860" s="321"/>
      <c r="N1860" s="321"/>
      <c r="O1860" s="364"/>
      <c r="P1860" s="381"/>
      <c r="R1860" s="392"/>
      <c r="S1860" s="61" ph="1"/>
      <c r="U1860" s="229"/>
      <c r="V1860" s="264"/>
      <c r="W1860" s="199"/>
      <c r="X1860" s="264"/>
      <c r="Y1860" s="264"/>
      <c r="Z1860" s="386"/>
      <c r="AA1860" s="126"/>
      <c r="AD1860" s="264"/>
      <c r="AE1860" s="264"/>
      <c r="AF1860" s="264"/>
      <c r="AG1860" s="264"/>
    </row>
    <row r="1861" spans="1:33" ht="26.25">
      <c r="A1861" s="264"/>
      <c r="B1861" s="264"/>
      <c r="C1861" s="264"/>
      <c r="D1861" s="264"/>
      <c r="E1861" s="264"/>
      <c r="F1861" s="264"/>
      <c r="G1861" s="264"/>
      <c r="H1861" s="264"/>
      <c r="I1861" s="264"/>
      <c r="J1861" s="327"/>
      <c r="K1861" s="327"/>
      <c r="L1861" s="327"/>
      <c r="M1861" s="321"/>
      <c r="N1861" s="321"/>
      <c r="O1861" s="364"/>
      <c r="P1861" s="381"/>
      <c r="R1861" s="392"/>
      <c r="S1861" s="61" ph="1"/>
      <c r="U1861" s="229"/>
      <c r="V1861" s="264"/>
      <c r="W1861" s="199"/>
      <c r="X1861" s="264"/>
      <c r="Y1861" s="264"/>
      <c r="Z1861" s="386"/>
      <c r="AA1861" s="126"/>
      <c r="AD1861" s="264"/>
      <c r="AE1861" s="264"/>
      <c r="AF1861" s="264"/>
      <c r="AG1861" s="264"/>
    </row>
    <row r="1862" spans="1:33" ht="26.25">
      <c r="A1862" s="264"/>
      <c r="B1862" s="264"/>
      <c r="C1862" s="264"/>
      <c r="D1862" s="264"/>
      <c r="E1862" s="264"/>
      <c r="F1862" s="264"/>
      <c r="G1862" s="264"/>
      <c r="H1862" s="264"/>
      <c r="I1862" s="264"/>
      <c r="J1862" s="327"/>
      <c r="K1862" s="327"/>
      <c r="L1862" s="327"/>
      <c r="M1862" s="321"/>
      <c r="N1862" s="321"/>
      <c r="O1862" s="364"/>
      <c r="P1862" s="381"/>
      <c r="R1862" s="392"/>
      <c r="S1862" s="61" ph="1"/>
      <c r="U1862" s="229"/>
      <c r="V1862" s="264"/>
      <c r="W1862" s="199"/>
      <c r="X1862" s="264"/>
      <c r="Y1862" s="264"/>
      <c r="Z1862" s="386"/>
      <c r="AA1862" s="126"/>
      <c r="AD1862" s="264"/>
      <c r="AE1862" s="264"/>
      <c r="AF1862" s="264"/>
      <c r="AG1862" s="264"/>
    </row>
    <row r="1863" spans="1:33" ht="26.25">
      <c r="A1863" s="264"/>
      <c r="B1863" s="264"/>
      <c r="C1863" s="264"/>
      <c r="D1863" s="264"/>
      <c r="E1863" s="264"/>
      <c r="F1863" s="264"/>
      <c r="G1863" s="264"/>
      <c r="H1863" s="264"/>
      <c r="I1863" s="264"/>
      <c r="J1863" s="327"/>
      <c r="K1863" s="327"/>
      <c r="L1863" s="327"/>
      <c r="M1863" s="321"/>
      <c r="N1863" s="321"/>
      <c r="O1863" s="364"/>
      <c r="P1863" s="381"/>
      <c r="R1863" s="392"/>
      <c r="S1863" s="61" ph="1"/>
      <c r="U1863" s="229"/>
      <c r="V1863" s="264"/>
      <c r="W1863" s="199"/>
      <c r="X1863" s="264"/>
      <c r="Y1863" s="264"/>
      <c r="Z1863" s="386"/>
      <c r="AA1863" s="126"/>
      <c r="AD1863" s="264"/>
      <c r="AE1863" s="264"/>
      <c r="AF1863" s="264"/>
      <c r="AG1863" s="264"/>
    </row>
    <row r="1864" spans="1:33" ht="26.25">
      <c r="A1864" s="264"/>
      <c r="B1864" s="264"/>
      <c r="C1864" s="264"/>
      <c r="D1864" s="264"/>
      <c r="E1864" s="264"/>
      <c r="F1864" s="264"/>
      <c r="G1864" s="264"/>
      <c r="H1864" s="264"/>
      <c r="I1864" s="264"/>
      <c r="J1864" s="327"/>
      <c r="K1864" s="327"/>
      <c r="L1864" s="327"/>
      <c r="M1864" s="321"/>
      <c r="N1864" s="321"/>
      <c r="O1864" s="364"/>
      <c r="P1864" s="381"/>
      <c r="R1864" s="392"/>
      <c r="S1864" s="61" ph="1"/>
      <c r="U1864" s="229"/>
      <c r="V1864" s="264"/>
      <c r="W1864" s="199"/>
      <c r="X1864" s="264"/>
      <c r="Y1864" s="264"/>
      <c r="Z1864" s="386"/>
      <c r="AA1864" s="126"/>
      <c r="AD1864" s="264"/>
      <c r="AE1864" s="264"/>
      <c r="AF1864" s="264"/>
      <c r="AG1864" s="264"/>
    </row>
    <row r="1865" spans="1:33" ht="26.25">
      <c r="A1865" s="264"/>
      <c r="B1865" s="264"/>
      <c r="C1865" s="264"/>
      <c r="D1865" s="264"/>
      <c r="E1865" s="264"/>
      <c r="F1865" s="264"/>
      <c r="G1865" s="264"/>
      <c r="H1865" s="264"/>
      <c r="I1865" s="264"/>
      <c r="J1865" s="327"/>
      <c r="K1865" s="327"/>
      <c r="L1865" s="327"/>
      <c r="M1865" s="321"/>
      <c r="N1865" s="321"/>
      <c r="O1865" s="364"/>
      <c r="P1865" s="381"/>
      <c r="R1865" s="392"/>
      <c r="S1865" s="61" ph="1"/>
      <c r="U1865" s="229"/>
      <c r="V1865" s="264"/>
      <c r="W1865" s="199"/>
      <c r="X1865" s="264"/>
      <c r="Y1865" s="264"/>
      <c r="Z1865" s="386"/>
      <c r="AA1865" s="126"/>
      <c r="AD1865" s="264"/>
      <c r="AE1865" s="264"/>
      <c r="AF1865" s="264"/>
      <c r="AG1865" s="264"/>
    </row>
    <row r="1866" spans="1:33" ht="26.25">
      <c r="A1866" s="264"/>
      <c r="B1866" s="264"/>
      <c r="C1866" s="264"/>
      <c r="D1866" s="264"/>
      <c r="E1866" s="264"/>
      <c r="F1866" s="264"/>
      <c r="G1866" s="264"/>
      <c r="H1866" s="264"/>
      <c r="I1866" s="264"/>
      <c r="J1866" s="327"/>
      <c r="K1866" s="327"/>
      <c r="L1866" s="327"/>
      <c r="M1866" s="321"/>
      <c r="N1866" s="321"/>
      <c r="O1866" s="364"/>
      <c r="P1866" s="381"/>
      <c r="R1866" s="392"/>
      <c r="S1866" s="61" ph="1"/>
      <c r="U1866" s="229"/>
      <c r="V1866" s="264"/>
      <c r="W1866" s="199"/>
      <c r="X1866" s="264"/>
      <c r="Y1866" s="264"/>
      <c r="Z1866" s="386"/>
      <c r="AA1866" s="126"/>
      <c r="AD1866" s="264"/>
      <c r="AE1866" s="264"/>
      <c r="AF1866" s="264"/>
      <c r="AG1866" s="264"/>
    </row>
    <row r="1867" spans="1:33" ht="26.25">
      <c r="A1867" s="264"/>
      <c r="B1867" s="264"/>
      <c r="C1867" s="264"/>
      <c r="D1867" s="264"/>
      <c r="E1867" s="264"/>
      <c r="F1867" s="264"/>
      <c r="G1867" s="264"/>
      <c r="H1867" s="264"/>
      <c r="I1867" s="264"/>
      <c r="J1867" s="327"/>
      <c r="K1867" s="327"/>
      <c r="L1867" s="327"/>
      <c r="M1867" s="321"/>
      <c r="N1867" s="321"/>
      <c r="O1867" s="364"/>
      <c r="P1867" s="381"/>
      <c r="R1867" s="392"/>
      <c r="S1867" s="61" ph="1"/>
      <c r="U1867" s="229"/>
      <c r="V1867" s="264"/>
      <c r="W1867" s="199"/>
      <c r="X1867" s="264"/>
      <c r="Y1867" s="264"/>
      <c r="Z1867" s="386"/>
      <c r="AA1867" s="126"/>
      <c r="AD1867" s="264"/>
      <c r="AE1867" s="264"/>
      <c r="AF1867" s="264"/>
      <c r="AG1867" s="264"/>
    </row>
    <row r="1868" spans="1:33" ht="26.25">
      <c r="A1868" s="264"/>
      <c r="B1868" s="264"/>
      <c r="C1868" s="264"/>
      <c r="D1868" s="264"/>
      <c r="E1868" s="264"/>
      <c r="F1868" s="264"/>
      <c r="G1868" s="264"/>
      <c r="H1868" s="264"/>
      <c r="I1868" s="264"/>
      <c r="J1868" s="327"/>
      <c r="K1868" s="327"/>
      <c r="L1868" s="327"/>
      <c r="M1868" s="321"/>
      <c r="N1868" s="321"/>
      <c r="O1868" s="364"/>
      <c r="P1868" s="381"/>
      <c r="R1868" s="392"/>
      <c r="S1868" s="61" ph="1"/>
      <c r="U1868" s="229"/>
      <c r="V1868" s="264"/>
      <c r="W1868" s="199"/>
      <c r="X1868" s="264"/>
      <c r="Y1868" s="264"/>
      <c r="Z1868" s="386"/>
      <c r="AA1868" s="126"/>
      <c r="AD1868" s="264"/>
      <c r="AE1868" s="264"/>
      <c r="AF1868" s="264"/>
      <c r="AG1868" s="264"/>
    </row>
    <row r="1869" spans="1:33" ht="26.25">
      <c r="A1869" s="264"/>
      <c r="B1869" s="264"/>
      <c r="C1869" s="264"/>
      <c r="D1869" s="264"/>
      <c r="E1869" s="264"/>
      <c r="F1869" s="264"/>
      <c r="G1869" s="264"/>
      <c r="H1869" s="264"/>
      <c r="I1869" s="264"/>
      <c r="J1869" s="327"/>
      <c r="K1869" s="327"/>
      <c r="L1869" s="327"/>
      <c r="M1869" s="321"/>
      <c r="N1869" s="321"/>
      <c r="O1869" s="364"/>
      <c r="P1869" s="381"/>
      <c r="R1869" s="392"/>
      <c r="S1869" s="61" ph="1"/>
      <c r="U1869" s="229"/>
      <c r="V1869" s="264"/>
      <c r="W1869" s="199"/>
      <c r="X1869" s="264"/>
      <c r="Y1869" s="264"/>
      <c r="Z1869" s="386"/>
      <c r="AA1869" s="126"/>
      <c r="AD1869" s="264"/>
      <c r="AE1869" s="264"/>
      <c r="AF1869" s="264"/>
      <c r="AG1869" s="264"/>
    </row>
    <row r="1870" spans="1:33" ht="26.25">
      <c r="A1870" s="264"/>
      <c r="B1870" s="264"/>
      <c r="C1870" s="264"/>
      <c r="D1870" s="264"/>
      <c r="E1870" s="264"/>
      <c r="F1870" s="264"/>
      <c r="G1870" s="264"/>
      <c r="H1870" s="264"/>
      <c r="I1870" s="264"/>
      <c r="J1870" s="327"/>
      <c r="K1870" s="327"/>
      <c r="L1870" s="327"/>
      <c r="M1870" s="321"/>
      <c r="N1870" s="321"/>
      <c r="O1870" s="364"/>
      <c r="P1870" s="381"/>
      <c r="R1870" s="392"/>
      <c r="S1870" s="61" ph="1"/>
      <c r="U1870" s="229"/>
      <c r="V1870" s="264"/>
      <c r="W1870" s="199"/>
      <c r="X1870" s="264"/>
      <c r="Y1870" s="264"/>
      <c r="Z1870" s="386"/>
      <c r="AA1870" s="126"/>
      <c r="AD1870" s="264"/>
      <c r="AE1870" s="264"/>
      <c r="AF1870" s="264"/>
      <c r="AG1870" s="264"/>
    </row>
    <row r="1871" spans="1:33" ht="26.25">
      <c r="A1871" s="264"/>
      <c r="B1871" s="264"/>
      <c r="C1871" s="264"/>
      <c r="D1871" s="264"/>
      <c r="E1871" s="264"/>
      <c r="F1871" s="264"/>
      <c r="G1871" s="264"/>
      <c r="H1871" s="264"/>
      <c r="I1871" s="264"/>
      <c r="J1871" s="327"/>
      <c r="K1871" s="327"/>
      <c r="L1871" s="327"/>
      <c r="M1871" s="321"/>
      <c r="N1871" s="321"/>
      <c r="O1871" s="364"/>
      <c r="P1871" s="381"/>
      <c r="R1871" s="392"/>
      <c r="S1871" s="61" ph="1"/>
      <c r="U1871" s="229"/>
      <c r="V1871" s="264"/>
      <c r="W1871" s="199"/>
      <c r="X1871" s="264"/>
      <c r="Y1871" s="264"/>
      <c r="Z1871" s="386"/>
      <c r="AA1871" s="126"/>
      <c r="AD1871" s="264"/>
      <c r="AE1871" s="264"/>
      <c r="AF1871" s="264"/>
      <c r="AG1871" s="264"/>
    </row>
    <row r="1872" spans="1:33" ht="26.25">
      <c r="A1872" s="264"/>
      <c r="B1872" s="264"/>
      <c r="C1872" s="264"/>
      <c r="D1872" s="264"/>
      <c r="E1872" s="264"/>
      <c r="F1872" s="264"/>
      <c r="G1872" s="264"/>
      <c r="H1872" s="264"/>
      <c r="I1872" s="264"/>
      <c r="J1872" s="327"/>
      <c r="K1872" s="327"/>
      <c r="L1872" s="327"/>
      <c r="M1872" s="321"/>
      <c r="N1872" s="321"/>
      <c r="O1872" s="364"/>
      <c r="P1872" s="381"/>
      <c r="R1872" s="392"/>
      <c r="S1872" s="61" ph="1"/>
      <c r="U1872" s="229"/>
      <c r="V1872" s="264"/>
      <c r="W1872" s="199"/>
      <c r="X1872" s="264"/>
      <c r="Y1872" s="264"/>
      <c r="Z1872" s="386"/>
      <c r="AA1872" s="264"/>
      <c r="AD1872" s="264"/>
      <c r="AE1872" s="264"/>
      <c r="AF1872" s="264"/>
      <c r="AG1872" s="264"/>
    </row>
    <row r="1873" spans="1:33" ht="26.25">
      <c r="A1873" s="264"/>
      <c r="B1873" s="264"/>
      <c r="C1873" s="264"/>
      <c r="D1873" s="264"/>
      <c r="E1873" s="264"/>
      <c r="F1873" s="264"/>
      <c r="G1873" s="264"/>
      <c r="H1873" s="264"/>
      <c r="I1873" s="264"/>
      <c r="J1873" s="327"/>
      <c r="K1873" s="327"/>
      <c r="L1873" s="327"/>
      <c r="M1873" s="321"/>
      <c r="N1873" s="321"/>
      <c r="O1873" s="364"/>
      <c r="P1873" s="381"/>
      <c r="R1873" s="392"/>
      <c r="S1873" s="61" ph="1"/>
      <c r="U1873" s="229"/>
      <c r="V1873" s="264"/>
      <c r="W1873" s="199"/>
      <c r="X1873" s="264"/>
      <c r="Y1873" s="264"/>
      <c r="Z1873" s="386"/>
      <c r="AA1873" s="264"/>
      <c r="AD1873" s="264"/>
      <c r="AE1873" s="264"/>
      <c r="AF1873" s="264"/>
      <c r="AG1873" s="264"/>
    </row>
    <row r="1874" spans="1:33" ht="26.25">
      <c r="A1874" s="264"/>
      <c r="B1874" s="264"/>
      <c r="C1874" s="264"/>
      <c r="D1874" s="264"/>
      <c r="E1874" s="264"/>
      <c r="F1874" s="264"/>
      <c r="G1874" s="264"/>
      <c r="H1874" s="264"/>
      <c r="I1874" s="264"/>
      <c r="J1874" s="327"/>
      <c r="K1874" s="327"/>
      <c r="L1874" s="327"/>
      <c r="M1874" s="321"/>
      <c r="N1874" s="321"/>
      <c r="O1874" s="364"/>
      <c r="P1874" s="381"/>
      <c r="R1874" s="392"/>
      <c r="S1874" s="61" ph="1"/>
      <c r="U1874" s="229"/>
      <c r="V1874" s="264"/>
      <c r="W1874" s="199"/>
      <c r="X1874" s="264"/>
      <c r="Y1874" s="264"/>
      <c r="Z1874" s="386"/>
      <c r="AA1874" s="126"/>
      <c r="AD1874" s="264"/>
      <c r="AE1874" s="264"/>
      <c r="AF1874" s="264"/>
      <c r="AG1874" s="264"/>
    </row>
    <row r="1875" spans="1:33" ht="26.25">
      <c r="A1875" s="264"/>
      <c r="B1875" s="264"/>
      <c r="C1875" s="264"/>
      <c r="D1875" s="264"/>
      <c r="E1875" s="264"/>
      <c r="F1875" s="264"/>
      <c r="G1875" s="264"/>
      <c r="H1875" s="264"/>
      <c r="I1875" s="264"/>
      <c r="J1875" s="327"/>
      <c r="K1875" s="327"/>
      <c r="L1875" s="327"/>
      <c r="M1875" s="321"/>
      <c r="N1875" s="321"/>
      <c r="O1875" s="364"/>
      <c r="P1875" s="381"/>
      <c r="R1875" s="392"/>
      <c r="S1875" s="61" ph="1"/>
      <c r="U1875" s="229"/>
      <c r="V1875" s="264"/>
      <c r="W1875" s="199"/>
      <c r="X1875" s="264"/>
      <c r="Y1875" s="264"/>
      <c r="Z1875" s="386"/>
      <c r="AA1875" s="126"/>
      <c r="AD1875" s="264"/>
      <c r="AE1875" s="264"/>
      <c r="AF1875" s="264"/>
      <c r="AG1875" s="264"/>
    </row>
    <row r="1876" spans="1:33" ht="26.25">
      <c r="A1876" s="264"/>
      <c r="B1876" s="264"/>
      <c r="C1876" s="264"/>
      <c r="D1876" s="264"/>
      <c r="E1876" s="264"/>
      <c r="F1876" s="264"/>
      <c r="G1876" s="264"/>
      <c r="H1876" s="264"/>
      <c r="I1876" s="264"/>
      <c r="J1876" s="327"/>
      <c r="K1876" s="327"/>
      <c r="L1876" s="327"/>
      <c r="M1876" s="321"/>
      <c r="N1876" s="321"/>
      <c r="O1876" s="364"/>
      <c r="P1876" s="381"/>
      <c r="R1876" s="392"/>
      <c r="S1876" s="61" ph="1"/>
      <c r="U1876" s="229"/>
      <c r="V1876" s="264"/>
      <c r="W1876" s="199"/>
      <c r="X1876" s="264"/>
      <c r="Y1876" s="264"/>
      <c r="Z1876" s="386"/>
      <c r="AA1876" s="126"/>
      <c r="AD1876" s="264"/>
      <c r="AE1876" s="264"/>
      <c r="AF1876" s="264"/>
      <c r="AG1876" s="264"/>
    </row>
    <row r="1877" spans="1:33" ht="26.25">
      <c r="A1877" s="264"/>
      <c r="B1877" s="264"/>
      <c r="C1877" s="264"/>
      <c r="D1877" s="264"/>
      <c r="E1877" s="264"/>
      <c r="F1877" s="264"/>
      <c r="G1877" s="264"/>
      <c r="H1877" s="264"/>
      <c r="I1877" s="264"/>
      <c r="J1877" s="327"/>
      <c r="K1877" s="327"/>
      <c r="L1877" s="327"/>
      <c r="M1877" s="321"/>
      <c r="N1877" s="321"/>
      <c r="O1877" s="364"/>
      <c r="P1877" s="381"/>
      <c r="R1877" s="392"/>
      <c r="S1877" s="61" ph="1"/>
      <c r="U1877" s="229"/>
      <c r="V1877" s="264"/>
      <c r="W1877" s="199"/>
      <c r="X1877" s="264"/>
      <c r="Y1877" s="264"/>
      <c r="Z1877" s="386"/>
      <c r="AA1877" s="126"/>
      <c r="AD1877" s="264"/>
      <c r="AE1877" s="264"/>
      <c r="AF1877" s="264"/>
      <c r="AG1877" s="264"/>
    </row>
    <row r="1878" spans="1:33" ht="26.25">
      <c r="A1878" s="264"/>
      <c r="B1878" s="264"/>
      <c r="C1878" s="264"/>
      <c r="D1878" s="264"/>
      <c r="E1878" s="264"/>
      <c r="F1878" s="264"/>
      <c r="G1878" s="264"/>
      <c r="H1878" s="264"/>
      <c r="I1878" s="264"/>
      <c r="J1878" s="327"/>
      <c r="K1878" s="327"/>
      <c r="L1878" s="327"/>
      <c r="M1878" s="321"/>
      <c r="N1878" s="321"/>
      <c r="O1878" s="364"/>
      <c r="P1878" s="381"/>
      <c r="R1878" s="392"/>
      <c r="S1878" s="61" ph="1"/>
      <c r="U1878" s="229"/>
      <c r="V1878" s="264"/>
      <c r="W1878" s="199"/>
      <c r="X1878" s="264"/>
      <c r="Y1878" s="264"/>
      <c r="Z1878" s="386"/>
      <c r="AA1878" s="126"/>
      <c r="AD1878" s="264"/>
      <c r="AE1878" s="264"/>
      <c r="AF1878" s="264"/>
      <c r="AG1878" s="264"/>
    </row>
    <row r="1879" spans="1:33" ht="26.25">
      <c r="A1879" s="264"/>
      <c r="B1879" s="264"/>
      <c r="C1879" s="264"/>
      <c r="D1879" s="264"/>
      <c r="E1879" s="264"/>
      <c r="F1879" s="264"/>
      <c r="G1879" s="264"/>
      <c r="H1879" s="264"/>
      <c r="I1879" s="264"/>
      <c r="J1879" s="327"/>
      <c r="K1879" s="327"/>
      <c r="L1879" s="327"/>
      <c r="M1879" s="321"/>
      <c r="N1879" s="321"/>
      <c r="O1879" s="364"/>
      <c r="P1879" s="381"/>
      <c r="R1879" s="392"/>
      <c r="S1879" s="61" ph="1"/>
      <c r="U1879" s="229"/>
      <c r="V1879" s="264"/>
      <c r="W1879" s="199"/>
      <c r="X1879" s="264"/>
      <c r="Y1879" s="264"/>
      <c r="Z1879" s="386"/>
      <c r="AA1879" s="126"/>
      <c r="AD1879" s="264"/>
      <c r="AE1879" s="264"/>
      <c r="AF1879" s="264"/>
      <c r="AG1879" s="264"/>
    </row>
    <row r="1880" spans="1:33" ht="26.25">
      <c r="A1880" s="264"/>
      <c r="B1880" s="264"/>
      <c r="C1880" s="264"/>
      <c r="D1880" s="264"/>
      <c r="E1880" s="264"/>
      <c r="F1880" s="264"/>
      <c r="G1880" s="264"/>
      <c r="H1880" s="264"/>
      <c r="I1880" s="264"/>
      <c r="J1880" s="327"/>
      <c r="K1880" s="327"/>
      <c r="L1880" s="327"/>
      <c r="M1880" s="321"/>
      <c r="N1880" s="321"/>
      <c r="O1880" s="364"/>
      <c r="P1880" s="381"/>
      <c r="R1880" s="392"/>
      <c r="S1880" s="61" ph="1"/>
      <c r="U1880" s="229"/>
      <c r="V1880" s="264"/>
      <c r="W1880" s="199"/>
      <c r="X1880" s="264"/>
      <c r="Y1880" s="264"/>
      <c r="Z1880" s="386"/>
      <c r="AA1880" s="126"/>
      <c r="AD1880" s="264"/>
      <c r="AE1880" s="264"/>
      <c r="AF1880" s="264"/>
      <c r="AG1880" s="264"/>
    </row>
    <row r="1881" spans="1:33" ht="26.25">
      <c r="A1881" s="264"/>
      <c r="B1881" s="264"/>
      <c r="C1881" s="264"/>
      <c r="D1881" s="264"/>
      <c r="E1881" s="264"/>
      <c r="F1881" s="264"/>
      <c r="G1881" s="264"/>
      <c r="H1881" s="264"/>
      <c r="I1881" s="264"/>
      <c r="J1881" s="327"/>
      <c r="K1881" s="327"/>
      <c r="L1881" s="327"/>
      <c r="M1881" s="321"/>
      <c r="N1881" s="321"/>
      <c r="O1881" s="364"/>
      <c r="P1881" s="381"/>
      <c r="R1881" s="392"/>
      <c r="S1881" s="61" ph="1"/>
      <c r="U1881" s="229"/>
      <c r="V1881" s="264"/>
      <c r="W1881" s="199"/>
      <c r="X1881" s="264"/>
      <c r="Y1881" s="264"/>
      <c r="Z1881" s="386"/>
      <c r="AA1881" s="126"/>
      <c r="AD1881" s="264"/>
      <c r="AE1881" s="264"/>
      <c r="AF1881" s="264"/>
      <c r="AG1881" s="264"/>
    </row>
    <row r="1882" spans="1:33" ht="26.25">
      <c r="A1882" s="264"/>
      <c r="B1882" s="264"/>
      <c r="C1882" s="264"/>
      <c r="D1882" s="264"/>
      <c r="E1882" s="264"/>
      <c r="F1882" s="264"/>
      <c r="G1882" s="264"/>
      <c r="H1882" s="264"/>
      <c r="I1882" s="264"/>
      <c r="J1882" s="327"/>
      <c r="K1882" s="327"/>
      <c r="L1882" s="327"/>
      <c r="M1882" s="321"/>
      <c r="N1882" s="321"/>
      <c r="O1882" s="364"/>
      <c r="P1882" s="381"/>
      <c r="R1882" s="392"/>
      <c r="S1882" s="61" ph="1"/>
      <c r="U1882" s="229"/>
      <c r="V1882" s="264"/>
      <c r="W1882" s="199"/>
      <c r="X1882" s="264"/>
      <c r="Y1882" s="264"/>
      <c r="Z1882" s="386"/>
      <c r="AA1882" s="126"/>
      <c r="AD1882" s="264"/>
      <c r="AE1882" s="264"/>
      <c r="AF1882" s="264"/>
      <c r="AG1882" s="264"/>
    </row>
    <row r="1883" spans="1:33" ht="26.25">
      <c r="A1883" s="264"/>
      <c r="B1883" s="264"/>
      <c r="C1883" s="264"/>
      <c r="D1883" s="264"/>
      <c r="E1883" s="264"/>
      <c r="F1883" s="264"/>
      <c r="G1883" s="264"/>
      <c r="H1883" s="264"/>
      <c r="I1883" s="264"/>
      <c r="J1883" s="327"/>
      <c r="K1883" s="327"/>
      <c r="L1883" s="327"/>
      <c r="M1883" s="321"/>
      <c r="N1883" s="321"/>
      <c r="O1883" s="364"/>
      <c r="P1883" s="381"/>
      <c r="R1883" s="392"/>
      <c r="S1883" s="61" ph="1"/>
      <c r="U1883" s="229"/>
      <c r="V1883" s="264"/>
      <c r="W1883" s="199"/>
      <c r="X1883" s="264"/>
      <c r="Y1883" s="264"/>
      <c r="Z1883" s="386"/>
      <c r="AA1883" s="126"/>
      <c r="AD1883" s="264"/>
      <c r="AE1883" s="264"/>
      <c r="AF1883" s="264"/>
      <c r="AG1883" s="264"/>
    </row>
    <row r="1884" spans="1:33" ht="26.25">
      <c r="A1884" s="264"/>
      <c r="B1884" s="264"/>
      <c r="C1884" s="264"/>
      <c r="D1884" s="264"/>
      <c r="E1884" s="264"/>
      <c r="F1884" s="264"/>
      <c r="G1884" s="264"/>
      <c r="H1884" s="264"/>
      <c r="I1884" s="264"/>
      <c r="J1884" s="327"/>
      <c r="K1884" s="327"/>
      <c r="L1884" s="327"/>
      <c r="M1884" s="321"/>
      <c r="N1884" s="321"/>
      <c r="O1884" s="364"/>
      <c r="P1884" s="381"/>
      <c r="R1884" s="392"/>
      <c r="S1884" s="61" ph="1"/>
      <c r="U1884" s="229"/>
      <c r="V1884" s="264"/>
      <c r="W1884" s="199"/>
      <c r="X1884" s="264"/>
      <c r="Y1884" s="264"/>
      <c r="Z1884" s="386"/>
      <c r="AA1884" s="126"/>
      <c r="AD1884" s="264"/>
      <c r="AE1884" s="264"/>
      <c r="AF1884" s="264"/>
      <c r="AG1884" s="264"/>
    </row>
    <row r="1885" spans="1:33" ht="26.25">
      <c r="A1885" s="264"/>
      <c r="B1885" s="264"/>
      <c r="C1885" s="264"/>
      <c r="D1885" s="264"/>
      <c r="E1885" s="264"/>
      <c r="F1885" s="264"/>
      <c r="G1885" s="264"/>
      <c r="H1885" s="264"/>
      <c r="I1885" s="264"/>
      <c r="J1885" s="327"/>
      <c r="K1885" s="327"/>
      <c r="L1885" s="327"/>
      <c r="M1885" s="321"/>
      <c r="N1885" s="321"/>
      <c r="O1885" s="364"/>
      <c r="P1885" s="381"/>
      <c r="R1885" s="392"/>
      <c r="S1885" s="61" ph="1"/>
      <c r="U1885" s="229"/>
      <c r="V1885" s="264"/>
      <c r="W1885" s="199"/>
      <c r="X1885" s="264"/>
      <c r="Y1885" s="264"/>
      <c r="Z1885" s="386"/>
      <c r="AA1885" s="126"/>
      <c r="AD1885" s="264"/>
      <c r="AE1885" s="264"/>
      <c r="AF1885" s="264"/>
      <c r="AG1885" s="264"/>
    </row>
    <row r="1886" spans="1:33" ht="26.25">
      <c r="A1886" s="264"/>
      <c r="B1886" s="264"/>
      <c r="C1886" s="264"/>
      <c r="D1886" s="264"/>
      <c r="E1886" s="264"/>
      <c r="F1886" s="264"/>
      <c r="G1886" s="264"/>
      <c r="H1886" s="264"/>
      <c r="I1886" s="264"/>
      <c r="J1886" s="327"/>
      <c r="K1886" s="327"/>
      <c r="L1886" s="327"/>
      <c r="M1886" s="321"/>
      <c r="N1886" s="321"/>
      <c r="O1886" s="364"/>
      <c r="P1886" s="381"/>
      <c r="R1886" s="392"/>
      <c r="S1886" s="61" ph="1"/>
      <c r="U1886" s="229"/>
      <c r="V1886" s="264"/>
      <c r="W1886" s="199"/>
      <c r="X1886" s="264"/>
      <c r="Y1886" s="264"/>
      <c r="Z1886" s="386"/>
      <c r="AA1886" s="264"/>
      <c r="AD1886" s="264"/>
      <c r="AE1886" s="264"/>
      <c r="AF1886" s="264"/>
      <c r="AG1886" s="264"/>
    </row>
    <row r="1887" spans="1:33" ht="26.25">
      <c r="A1887" s="264"/>
      <c r="B1887" s="264"/>
      <c r="C1887" s="264"/>
      <c r="D1887" s="264"/>
      <c r="E1887" s="264"/>
      <c r="F1887" s="264"/>
      <c r="G1887" s="264"/>
      <c r="H1887" s="264"/>
      <c r="I1887" s="264"/>
      <c r="J1887" s="327"/>
      <c r="K1887" s="327"/>
      <c r="L1887" s="327"/>
      <c r="M1887" s="321"/>
      <c r="N1887" s="321"/>
      <c r="O1887" s="364"/>
      <c r="P1887" s="381"/>
      <c r="R1887" s="392"/>
      <c r="S1887" s="61" ph="1"/>
      <c r="U1887" s="229"/>
      <c r="V1887" s="264"/>
      <c r="W1887" s="199"/>
      <c r="X1887" s="264"/>
      <c r="Y1887" s="264"/>
      <c r="Z1887" s="386"/>
      <c r="AA1887" s="126"/>
      <c r="AD1887" s="264"/>
      <c r="AE1887" s="264"/>
      <c r="AF1887" s="264"/>
      <c r="AG1887" s="264"/>
    </row>
    <row r="1888" spans="1:33" ht="26.25">
      <c r="A1888" s="264"/>
      <c r="B1888" s="264"/>
      <c r="C1888" s="264"/>
      <c r="D1888" s="264"/>
      <c r="E1888" s="264"/>
      <c r="F1888" s="264"/>
      <c r="G1888" s="264"/>
      <c r="H1888" s="264"/>
      <c r="I1888" s="264"/>
      <c r="J1888" s="327"/>
      <c r="K1888" s="327"/>
      <c r="L1888" s="327"/>
      <c r="M1888" s="321"/>
      <c r="N1888" s="321"/>
      <c r="O1888" s="364"/>
      <c r="P1888" s="381"/>
      <c r="R1888" s="392"/>
      <c r="S1888" s="61" ph="1"/>
      <c r="U1888" s="229"/>
      <c r="V1888" s="264"/>
      <c r="W1888" s="199"/>
      <c r="X1888" s="264"/>
      <c r="Y1888" s="264"/>
      <c r="Z1888" s="386"/>
      <c r="AA1888" s="126"/>
      <c r="AD1888" s="264"/>
      <c r="AE1888" s="264"/>
      <c r="AF1888" s="264"/>
      <c r="AG1888" s="264"/>
    </row>
    <row r="1889" spans="1:33" ht="26.25">
      <c r="A1889" s="264"/>
      <c r="B1889" s="264"/>
      <c r="C1889" s="264"/>
      <c r="D1889" s="264"/>
      <c r="E1889" s="264"/>
      <c r="F1889" s="264"/>
      <c r="G1889" s="264"/>
      <c r="H1889" s="264"/>
      <c r="I1889" s="264"/>
      <c r="J1889" s="327"/>
      <c r="K1889" s="327"/>
      <c r="L1889" s="327"/>
      <c r="M1889" s="321"/>
      <c r="N1889" s="321"/>
      <c r="O1889" s="364"/>
      <c r="P1889" s="381"/>
      <c r="R1889" s="392"/>
      <c r="S1889" s="61" ph="1"/>
      <c r="U1889" s="229"/>
      <c r="V1889" s="264"/>
      <c r="W1889" s="199"/>
      <c r="X1889" s="264"/>
      <c r="Y1889" s="264"/>
      <c r="Z1889" s="386"/>
      <c r="AA1889" s="126"/>
      <c r="AD1889" s="264"/>
      <c r="AE1889" s="264"/>
      <c r="AF1889" s="264"/>
      <c r="AG1889" s="264"/>
    </row>
    <row r="1890" spans="1:33" ht="26.25">
      <c r="A1890" s="264"/>
      <c r="B1890" s="264"/>
      <c r="C1890" s="264"/>
      <c r="D1890" s="264"/>
      <c r="E1890" s="264"/>
      <c r="F1890" s="264"/>
      <c r="G1890" s="264"/>
      <c r="H1890" s="264"/>
      <c r="I1890" s="264"/>
      <c r="J1890" s="327"/>
      <c r="K1890" s="327"/>
      <c r="L1890" s="327"/>
      <c r="M1890" s="321"/>
      <c r="N1890" s="321"/>
      <c r="O1890" s="364"/>
      <c r="P1890" s="381"/>
      <c r="R1890" s="392"/>
      <c r="S1890" s="61" ph="1"/>
      <c r="U1890" s="229"/>
      <c r="V1890" s="264"/>
      <c r="W1890" s="199"/>
      <c r="X1890" s="264"/>
      <c r="Y1890" s="264"/>
      <c r="Z1890" s="386"/>
      <c r="AA1890" s="126"/>
      <c r="AD1890" s="264"/>
      <c r="AE1890" s="264"/>
      <c r="AF1890" s="264"/>
      <c r="AG1890" s="264"/>
    </row>
    <row r="1891" spans="1:33" ht="26.25">
      <c r="A1891" s="264"/>
      <c r="B1891" s="264"/>
      <c r="C1891" s="264"/>
      <c r="D1891" s="264"/>
      <c r="E1891" s="264"/>
      <c r="F1891" s="264"/>
      <c r="G1891" s="264"/>
      <c r="H1891" s="264"/>
      <c r="I1891" s="264"/>
      <c r="J1891" s="327"/>
      <c r="K1891" s="327"/>
      <c r="L1891" s="327"/>
      <c r="M1891" s="321"/>
      <c r="N1891" s="321"/>
      <c r="O1891" s="364"/>
      <c r="P1891" s="381"/>
      <c r="R1891" s="392"/>
      <c r="S1891" s="61" ph="1"/>
      <c r="U1891" s="229"/>
      <c r="V1891" s="264"/>
      <c r="W1891" s="199"/>
      <c r="X1891" s="264"/>
      <c r="Y1891" s="264"/>
      <c r="Z1891" s="386"/>
      <c r="AA1891" s="126"/>
      <c r="AD1891" s="264"/>
      <c r="AE1891" s="264"/>
      <c r="AF1891" s="264"/>
      <c r="AG1891" s="264"/>
    </row>
    <row r="1892" spans="1:33" ht="26.25">
      <c r="A1892" s="264"/>
      <c r="B1892" s="264"/>
      <c r="C1892" s="264"/>
      <c r="D1892" s="264"/>
      <c r="E1892" s="264"/>
      <c r="F1892" s="264"/>
      <c r="G1892" s="264"/>
      <c r="H1892" s="264"/>
      <c r="I1892" s="264"/>
      <c r="J1892" s="327"/>
      <c r="K1892" s="327"/>
      <c r="L1892" s="327"/>
      <c r="M1892" s="321"/>
      <c r="N1892" s="321"/>
      <c r="O1892" s="364"/>
      <c r="P1892" s="381"/>
      <c r="R1892" s="392"/>
      <c r="S1892" s="61" ph="1"/>
      <c r="U1892" s="229"/>
      <c r="V1892" s="264"/>
      <c r="W1892" s="199"/>
      <c r="X1892" s="264"/>
      <c r="Y1892" s="264"/>
      <c r="Z1892" s="386"/>
      <c r="AA1892" s="126"/>
      <c r="AD1892" s="264"/>
      <c r="AE1892" s="264"/>
      <c r="AF1892" s="264"/>
      <c r="AG1892" s="264"/>
    </row>
    <row r="1893" spans="1:33" ht="26.25">
      <c r="A1893" s="264"/>
      <c r="B1893" s="264"/>
      <c r="C1893" s="264"/>
      <c r="D1893" s="264"/>
      <c r="E1893" s="264"/>
      <c r="F1893" s="264"/>
      <c r="G1893" s="264"/>
      <c r="H1893" s="264"/>
      <c r="I1893" s="264"/>
      <c r="J1893" s="327"/>
      <c r="K1893" s="327"/>
      <c r="L1893" s="327"/>
      <c r="M1893" s="321"/>
      <c r="N1893" s="321"/>
      <c r="O1893" s="364"/>
      <c r="P1893" s="381"/>
      <c r="R1893" s="392"/>
      <c r="S1893" s="61" ph="1"/>
      <c r="U1893" s="229"/>
      <c r="V1893" s="264"/>
      <c r="W1893" s="199"/>
      <c r="X1893" s="264"/>
      <c r="Y1893" s="264"/>
      <c r="Z1893" s="386"/>
      <c r="AA1893" s="51"/>
      <c r="AD1893" s="264"/>
      <c r="AE1893" s="264"/>
      <c r="AF1893" s="264"/>
      <c r="AG1893" s="264"/>
    </row>
    <row r="1894" spans="1:33" ht="26.25">
      <c r="A1894" s="264"/>
      <c r="B1894" s="264"/>
      <c r="C1894" s="264"/>
      <c r="D1894" s="264"/>
      <c r="E1894" s="264"/>
      <c r="F1894" s="264"/>
      <c r="G1894" s="264"/>
      <c r="H1894" s="264"/>
      <c r="I1894" s="264"/>
      <c r="J1894" s="327"/>
      <c r="K1894" s="327"/>
      <c r="L1894" s="327"/>
      <c r="M1894" s="321"/>
      <c r="N1894" s="321"/>
      <c r="O1894" s="364"/>
      <c r="P1894" s="381"/>
      <c r="R1894" s="392"/>
      <c r="S1894" s="61" ph="1"/>
      <c r="U1894" s="229"/>
      <c r="V1894" s="264"/>
      <c r="W1894" s="199"/>
      <c r="X1894" s="264"/>
      <c r="Y1894" s="264"/>
      <c r="Z1894" s="386"/>
      <c r="AA1894" s="126"/>
      <c r="AD1894" s="264"/>
      <c r="AE1894" s="264"/>
      <c r="AF1894" s="264"/>
      <c r="AG1894" s="264"/>
    </row>
    <row r="1895" spans="1:33" ht="26.25">
      <c r="A1895" s="264"/>
      <c r="B1895" s="264"/>
      <c r="C1895" s="264"/>
      <c r="D1895" s="264"/>
      <c r="E1895" s="264"/>
      <c r="F1895" s="264"/>
      <c r="G1895" s="264"/>
      <c r="H1895" s="264"/>
      <c r="I1895" s="264"/>
      <c r="J1895" s="327"/>
      <c r="K1895" s="327"/>
      <c r="L1895" s="327"/>
      <c r="M1895" s="321"/>
      <c r="N1895" s="321"/>
      <c r="O1895" s="364"/>
      <c r="P1895" s="381"/>
      <c r="R1895" s="392"/>
      <c r="S1895" s="61" ph="1"/>
      <c r="U1895" s="229"/>
      <c r="V1895" s="264"/>
      <c r="W1895" s="199"/>
      <c r="X1895" s="264"/>
      <c r="Y1895" s="264"/>
      <c r="Z1895" s="386"/>
      <c r="AA1895" s="126"/>
      <c r="AD1895" s="264"/>
      <c r="AE1895" s="264"/>
      <c r="AF1895" s="264"/>
      <c r="AG1895" s="264"/>
    </row>
    <row r="1896" spans="1:33" ht="26.25">
      <c r="A1896" s="264"/>
      <c r="B1896" s="264"/>
      <c r="C1896" s="264"/>
      <c r="D1896" s="264"/>
      <c r="E1896" s="264"/>
      <c r="F1896" s="264"/>
      <c r="G1896" s="264"/>
      <c r="H1896" s="264"/>
      <c r="I1896" s="264"/>
      <c r="J1896" s="327"/>
      <c r="K1896" s="327"/>
      <c r="L1896" s="327"/>
      <c r="M1896" s="321"/>
      <c r="N1896" s="321"/>
      <c r="O1896" s="364"/>
      <c r="P1896" s="381"/>
      <c r="R1896" s="392"/>
      <c r="S1896" s="61" ph="1"/>
      <c r="U1896" s="229"/>
      <c r="V1896" s="264"/>
      <c r="W1896" s="199"/>
      <c r="X1896" s="264"/>
      <c r="Y1896" s="264"/>
      <c r="Z1896" s="386"/>
      <c r="AA1896" s="126"/>
      <c r="AD1896" s="264"/>
      <c r="AE1896" s="264"/>
      <c r="AF1896" s="264"/>
      <c r="AG1896" s="264"/>
    </row>
    <row r="1897" spans="1:33" ht="26.25">
      <c r="A1897" s="264"/>
      <c r="B1897" s="264"/>
      <c r="C1897" s="264"/>
      <c r="D1897" s="264"/>
      <c r="E1897" s="264"/>
      <c r="F1897" s="264"/>
      <c r="G1897" s="264"/>
      <c r="H1897" s="264"/>
      <c r="I1897" s="264"/>
      <c r="J1897" s="327"/>
      <c r="K1897" s="327"/>
      <c r="L1897" s="327"/>
      <c r="M1897" s="321"/>
      <c r="N1897" s="321"/>
      <c r="O1897" s="364"/>
      <c r="P1897" s="381"/>
      <c r="R1897" s="392"/>
      <c r="S1897" s="61" ph="1"/>
      <c r="U1897" s="229"/>
      <c r="V1897" s="264"/>
      <c r="W1897" s="199"/>
      <c r="X1897" s="264"/>
      <c r="Y1897" s="264"/>
      <c r="Z1897" s="386"/>
      <c r="AA1897" s="126"/>
      <c r="AD1897" s="264"/>
      <c r="AE1897" s="264"/>
      <c r="AF1897" s="264"/>
      <c r="AG1897" s="264"/>
    </row>
    <row r="1898" spans="1:33" ht="26.25">
      <c r="A1898" s="264"/>
      <c r="B1898" s="264"/>
      <c r="C1898" s="264"/>
      <c r="D1898" s="264"/>
      <c r="E1898" s="264"/>
      <c r="F1898" s="264"/>
      <c r="G1898" s="264"/>
      <c r="H1898" s="264"/>
      <c r="I1898" s="264"/>
      <c r="J1898" s="327"/>
      <c r="K1898" s="327"/>
      <c r="L1898" s="327"/>
      <c r="M1898" s="321"/>
      <c r="N1898" s="321"/>
      <c r="O1898" s="364"/>
      <c r="P1898" s="381"/>
      <c r="R1898" s="392"/>
      <c r="S1898" s="61" ph="1"/>
      <c r="U1898" s="229"/>
      <c r="V1898" s="264"/>
      <c r="W1898" s="199"/>
      <c r="X1898" s="264"/>
      <c r="Y1898" s="264"/>
      <c r="Z1898" s="386"/>
      <c r="AA1898" s="126"/>
      <c r="AD1898" s="264"/>
      <c r="AE1898" s="264"/>
      <c r="AF1898" s="264"/>
      <c r="AG1898" s="264"/>
    </row>
    <row r="1899" spans="1:33" ht="26.25">
      <c r="A1899" s="264"/>
      <c r="B1899" s="264"/>
      <c r="C1899" s="264"/>
      <c r="D1899" s="264"/>
      <c r="E1899" s="264"/>
      <c r="F1899" s="264"/>
      <c r="G1899" s="264"/>
      <c r="H1899" s="264"/>
      <c r="I1899" s="264"/>
      <c r="J1899" s="327"/>
      <c r="K1899" s="327"/>
      <c r="L1899" s="327"/>
      <c r="M1899" s="321"/>
      <c r="N1899" s="321"/>
      <c r="O1899" s="364"/>
      <c r="P1899" s="381"/>
      <c r="R1899" s="392"/>
      <c r="S1899" s="61" ph="1"/>
      <c r="U1899" s="229"/>
      <c r="V1899" s="264"/>
      <c r="W1899" s="199"/>
      <c r="X1899" s="264"/>
      <c r="Y1899" s="264"/>
      <c r="Z1899" s="386"/>
      <c r="AA1899" s="126"/>
      <c r="AD1899" s="264"/>
      <c r="AE1899" s="264"/>
      <c r="AF1899" s="264"/>
      <c r="AG1899" s="264"/>
    </row>
    <row r="1900" spans="1:33" ht="26.25">
      <c r="A1900" s="264"/>
      <c r="B1900" s="264"/>
      <c r="C1900" s="264"/>
      <c r="D1900" s="264"/>
      <c r="E1900" s="264"/>
      <c r="F1900" s="264"/>
      <c r="G1900" s="264"/>
      <c r="H1900" s="264"/>
      <c r="I1900" s="264"/>
      <c r="J1900" s="327"/>
      <c r="K1900" s="327"/>
      <c r="L1900" s="327"/>
      <c r="M1900" s="321"/>
      <c r="N1900" s="321"/>
      <c r="O1900" s="364"/>
      <c r="P1900" s="381"/>
      <c r="R1900" s="392"/>
      <c r="S1900" s="61" ph="1"/>
      <c r="U1900" s="229"/>
      <c r="V1900" s="264"/>
      <c r="W1900" s="199"/>
      <c r="X1900" s="264"/>
      <c r="Y1900" s="264"/>
      <c r="Z1900" s="386"/>
      <c r="AA1900" s="126"/>
      <c r="AD1900" s="264"/>
      <c r="AE1900" s="264"/>
      <c r="AF1900" s="264"/>
      <c r="AG1900" s="264"/>
    </row>
    <row r="1901" spans="1:33" ht="26.25">
      <c r="A1901" s="264"/>
      <c r="B1901" s="264"/>
      <c r="C1901" s="264"/>
      <c r="D1901" s="264"/>
      <c r="E1901" s="264"/>
      <c r="F1901" s="264"/>
      <c r="G1901" s="264"/>
      <c r="H1901" s="264"/>
      <c r="I1901" s="264"/>
      <c r="J1901" s="327"/>
      <c r="K1901" s="327"/>
      <c r="L1901" s="327"/>
      <c r="M1901" s="321"/>
      <c r="N1901" s="321"/>
      <c r="O1901" s="364"/>
      <c r="P1901" s="381"/>
      <c r="R1901" s="392"/>
      <c r="S1901" s="61" ph="1"/>
      <c r="U1901" s="229"/>
      <c r="V1901" s="264"/>
      <c r="W1901" s="199"/>
      <c r="X1901" s="264"/>
      <c r="Y1901" s="264"/>
      <c r="Z1901" s="386"/>
      <c r="AA1901" s="126"/>
      <c r="AD1901" s="264"/>
      <c r="AE1901" s="264"/>
      <c r="AF1901" s="264"/>
      <c r="AG1901" s="264"/>
    </row>
    <row r="1902" spans="1:33" ht="26.25">
      <c r="A1902" s="264"/>
      <c r="B1902" s="264"/>
      <c r="C1902" s="264"/>
      <c r="D1902" s="264"/>
      <c r="E1902" s="264"/>
      <c r="F1902" s="264"/>
      <c r="G1902" s="264"/>
      <c r="H1902" s="264"/>
      <c r="I1902" s="264"/>
      <c r="J1902" s="327"/>
      <c r="K1902" s="327"/>
      <c r="L1902" s="327"/>
      <c r="M1902" s="321"/>
      <c r="N1902" s="321"/>
      <c r="O1902" s="364"/>
      <c r="P1902" s="381"/>
      <c r="R1902" s="392"/>
      <c r="S1902" s="61" ph="1"/>
      <c r="U1902" s="229"/>
      <c r="V1902" s="264"/>
      <c r="W1902" s="199"/>
      <c r="X1902" s="264"/>
      <c r="Y1902" s="264"/>
      <c r="Z1902" s="386"/>
      <c r="AA1902" s="126"/>
      <c r="AD1902" s="264"/>
      <c r="AE1902" s="264"/>
      <c r="AF1902" s="264"/>
      <c r="AG1902" s="264"/>
    </row>
    <row r="1903" spans="1:33" ht="26.25">
      <c r="A1903" s="264"/>
      <c r="B1903" s="264"/>
      <c r="C1903" s="264"/>
      <c r="D1903" s="264"/>
      <c r="E1903" s="264"/>
      <c r="F1903" s="264"/>
      <c r="G1903" s="264"/>
      <c r="H1903" s="264"/>
      <c r="I1903" s="264"/>
      <c r="J1903" s="327"/>
      <c r="K1903" s="327"/>
      <c r="L1903" s="327"/>
      <c r="M1903" s="321"/>
      <c r="N1903" s="321"/>
      <c r="O1903" s="364"/>
      <c r="P1903" s="381"/>
      <c r="R1903" s="392"/>
      <c r="S1903" s="61" ph="1"/>
      <c r="U1903" s="229"/>
      <c r="V1903" s="264"/>
      <c r="W1903" s="199"/>
      <c r="X1903" s="264"/>
      <c r="Y1903" s="264"/>
      <c r="Z1903" s="386"/>
      <c r="AA1903" s="126"/>
      <c r="AD1903" s="264"/>
      <c r="AE1903" s="264"/>
      <c r="AF1903" s="264"/>
      <c r="AG1903" s="264"/>
    </row>
    <row r="1904" spans="1:33" ht="26.25">
      <c r="A1904" s="264"/>
      <c r="B1904" s="264"/>
      <c r="C1904" s="264"/>
      <c r="D1904" s="264"/>
      <c r="E1904" s="264"/>
      <c r="F1904" s="264"/>
      <c r="G1904" s="264"/>
      <c r="H1904" s="264"/>
      <c r="I1904" s="264"/>
      <c r="J1904" s="327"/>
      <c r="K1904" s="327"/>
      <c r="L1904" s="327"/>
      <c r="M1904" s="321"/>
      <c r="N1904" s="321"/>
      <c r="O1904" s="364"/>
      <c r="P1904" s="381"/>
      <c r="R1904" s="392"/>
      <c r="S1904" s="61" ph="1"/>
      <c r="U1904" s="229"/>
      <c r="V1904" s="264"/>
      <c r="W1904" s="199"/>
      <c r="X1904" s="264"/>
      <c r="Y1904" s="264"/>
      <c r="Z1904" s="386"/>
      <c r="AA1904" s="126"/>
      <c r="AD1904" s="264"/>
      <c r="AE1904" s="264"/>
      <c r="AF1904" s="264"/>
      <c r="AG1904" s="264"/>
    </row>
    <row r="1905" spans="1:33" ht="26.25">
      <c r="A1905" s="264"/>
      <c r="B1905" s="264"/>
      <c r="C1905" s="264"/>
      <c r="D1905" s="264"/>
      <c r="E1905" s="264"/>
      <c r="F1905" s="264"/>
      <c r="G1905" s="264"/>
      <c r="H1905" s="264"/>
      <c r="I1905" s="264"/>
      <c r="J1905" s="327"/>
      <c r="K1905" s="327"/>
      <c r="L1905" s="327"/>
      <c r="M1905" s="321"/>
      <c r="N1905" s="321"/>
      <c r="O1905" s="364"/>
      <c r="P1905" s="381"/>
      <c r="R1905" s="392"/>
      <c r="S1905" s="61" ph="1"/>
      <c r="U1905" s="229"/>
      <c r="V1905" s="264"/>
      <c r="W1905" s="199"/>
      <c r="X1905" s="264"/>
      <c r="Y1905" s="264"/>
      <c r="Z1905" s="386"/>
      <c r="AA1905" s="126"/>
      <c r="AD1905" s="264"/>
      <c r="AE1905" s="264"/>
      <c r="AF1905" s="264"/>
      <c r="AG1905" s="264"/>
    </row>
    <row r="1906" spans="1:33" ht="26.25">
      <c r="A1906" s="264"/>
      <c r="B1906" s="264"/>
      <c r="C1906" s="264"/>
      <c r="D1906" s="264"/>
      <c r="E1906" s="264"/>
      <c r="F1906" s="264"/>
      <c r="G1906" s="264"/>
      <c r="H1906" s="264"/>
      <c r="I1906" s="264"/>
      <c r="J1906" s="327"/>
      <c r="K1906" s="327"/>
      <c r="L1906" s="327"/>
      <c r="M1906" s="321"/>
      <c r="N1906" s="321"/>
      <c r="O1906" s="364"/>
      <c r="P1906" s="381"/>
      <c r="R1906" s="392"/>
      <c r="S1906" s="61" ph="1"/>
      <c r="U1906" s="229"/>
      <c r="V1906" s="264"/>
      <c r="W1906" s="199"/>
      <c r="X1906" s="264"/>
      <c r="Y1906" s="264"/>
      <c r="Z1906" s="386"/>
      <c r="AA1906" s="126"/>
      <c r="AD1906" s="264"/>
      <c r="AE1906" s="264"/>
      <c r="AF1906" s="264"/>
      <c r="AG1906" s="264"/>
    </row>
    <row r="1907" spans="1:33" ht="26.25">
      <c r="A1907" s="264"/>
      <c r="B1907" s="264"/>
      <c r="C1907" s="264"/>
      <c r="D1907" s="264"/>
      <c r="E1907" s="264"/>
      <c r="F1907" s="264"/>
      <c r="G1907" s="264"/>
      <c r="H1907" s="264"/>
      <c r="I1907" s="264"/>
      <c r="J1907" s="327"/>
      <c r="K1907" s="327"/>
      <c r="L1907" s="327"/>
      <c r="M1907" s="321"/>
      <c r="N1907" s="321"/>
      <c r="O1907" s="364"/>
      <c r="P1907" s="381"/>
      <c r="R1907" s="392"/>
      <c r="S1907" s="61" ph="1"/>
      <c r="U1907" s="229"/>
      <c r="V1907" s="264"/>
      <c r="W1907" s="199"/>
      <c r="X1907" s="264"/>
      <c r="Y1907" s="264"/>
      <c r="Z1907" s="386"/>
      <c r="AA1907" s="126"/>
      <c r="AD1907" s="264"/>
      <c r="AE1907" s="264"/>
      <c r="AF1907" s="264"/>
      <c r="AG1907" s="264"/>
    </row>
    <row r="1908" spans="1:33" ht="26.25">
      <c r="A1908" s="264"/>
      <c r="B1908" s="264"/>
      <c r="C1908" s="264"/>
      <c r="D1908" s="264"/>
      <c r="E1908" s="264"/>
      <c r="F1908" s="264"/>
      <c r="G1908" s="264"/>
      <c r="H1908" s="264"/>
      <c r="I1908" s="264"/>
      <c r="J1908" s="327"/>
      <c r="K1908" s="327"/>
      <c r="L1908" s="327"/>
      <c r="M1908" s="321"/>
      <c r="N1908" s="321"/>
      <c r="O1908" s="364"/>
      <c r="P1908" s="381"/>
      <c r="R1908" s="392"/>
      <c r="S1908" s="61" ph="1"/>
      <c r="U1908" s="229"/>
      <c r="V1908" s="264"/>
      <c r="W1908" s="199"/>
      <c r="X1908" s="264"/>
      <c r="Y1908" s="264"/>
      <c r="Z1908" s="386"/>
      <c r="AA1908" s="126"/>
      <c r="AD1908" s="264"/>
      <c r="AE1908" s="264"/>
      <c r="AF1908" s="264"/>
      <c r="AG1908" s="264"/>
    </row>
    <row r="1909" spans="1:33" ht="26.25">
      <c r="A1909" s="264"/>
      <c r="B1909" s="264"/>
      <c r="C1909" s="264"/>
      <c r="D1909" s="264"/>
      <c r="E1909" s="264"/>
      <c r="F1909" s="264"/>
      <c r="G1909" s="264"/>
      <c r="H1909" s="264"/>
      <c r="I1909" s="264"/>
      <c r="J1909" s="327"/>
      <c r="K1909" s="327"/>
      <c r="L1909" s="327"/>
      <c r="M1909" s="321"/>
      <c r="N1909" s="321"/>
      <c r="O1909" s="364"/>
      <c r="P1909" s="381"/>
      <c r="R1909" s="392"/>
      <c r="S1909" s="61" ph="1"/>
      <c r="U1909" s="229"/>
      <c r="V1909" s="264"/>
      <c r="W1909" s="199"/>
      <c r="X1909" s="264"/>
      <c r="Y1909" s="264"/>
      <c r="Z1909" s="386"/>
      <c r="AA1909" s="126"/>
      <c r="AD1909" s="264"/>
      <c r="AE1909" s="264"/>
      <c r="AF1909" s="264"/>
      <c r="AG1909" s="264"/>
    </row>
    <row r="1910" spans="1:33" ht="26.25">
      <c r="A1910" s="264"/>
      <c r="B1910" s="264"/>
      <c r="C1910" s="264"/>
      <c r="D1910" s="264"/>
      <c r="E1910" s="264"/>
      <c r="F1910" s="264"/>
      <c r="G1910" s="264"/>
      <c r="H1910" s="264"/>
      <c r="I1910" s="264"/>
      <c r="J1910" s="327"/>
      <c r="K1910" s="327"/>
      <c r="L1910" s="327"/>
      <c r="M1910" s="321"/>
      <c r="N1910" s="321"/>
      <c r="O1910" s="364"/>
      <c r="P1910" s="381"/>
      <c r="R1910" s="392"/>
      <c r="S1910" s="61" ph="1"/>
      <c r="U1910" s="229"/>
      <c r="V1910" s="264"/>
      <c r="W1910" s="199"/>
      <c r="X1910" s="264"/>
      <c r="Y1910" s="264"/>
      <c r="Z1910" s="386"/>
      <c r="AA1910" s="126"/>
      <c r="AD1910" s="264"/>
      <c r="AE1910" s="264"/>
      <c r="AF1910" s="264"/>
      <c r="AG1910" s="264"/>
    </row>
    <row r="1911" spans="1:33" ht="26.25">
      <c r="A1911" s="264"/>
      <c r="B1911" s="264"/>
      <c r="C1911" s="264"/>
      <c r="D1911" s="264"/>
      <c r="E1911" s="264"/>
      <c r="F1911" s="264"/>
      <c r="G1911" s="264"/>
      <c r="H1911" s="264"/>
      <c r="I1911" s="264"/>
      <c r="J1911" s="327"/>
      <c r="K1911" s="327"/>
      <c r="L1911" s="327"/>
      <c r="M1911" s="321"/>
      <c r="N1911" s="321"/>
      <c r="O1911" s="364"/>
      <c r="P1911" s="381"/>
      <c r="R1911" s="392"/>
      <c r="S1911" s="61" ph="1"/>
      <c r="U1911" s="229"/>
      <c r="V1911" s="264"/>
      <c r="W1911" s="199"/>
      <c r="X1911" s="264"/>
      <c r="Y1911" s="264"/>
      <c r="Z1911" s="386"/>
      <c r="AA1911" s="126"/>
      <c r="AD1911" s="264"/>
      <c r="AE1911" s="264"/>
      <c r="AF1911" s="264"/>
      <c r="AG1911" s="264"/>
    </row>
    <row r="1912" spans="1:33" ht="26.25">
      <c r="A1912" s="264"/>
      <c r="B1912" s="264"/>
      <c r="C1912" s="264"/>
      <c r="D1912" s="264"/>
      <c r="E1912" s="264"/>
      <c r="F1912" s="264"/>
      <c r="G1912" s="264"/>
      <c r="H1912" s="264"/>
      <c r="I1912" s="264"/>
      <c r="J1912" s="327"/>
      <c r="K1912" s="327"/>
      <c r="L1912" s="327"/>
      <c r="M1912" s="321"/>
      <c r="N1912" s="321"/>
      <c r="O1912" s="364"/>
      <c r="P1912" s="381"/>
      <c r="R1912" s="392"/>
      <c r="S1912" s="61" ph="1"/>
      <c r="U1912" s="229"/>
      <c r="V1912" s="264"/>
      <c r="W1912" s="199"/>
      <c r="X1912" s="264"/>
      <c r="Y1912" s="264"/>
      <c r="Z1912" s="386"/>
      <c r="AA1912" s="126"/>
      <c r="AD1912" s="264"/>
      <c r="AE1912" s="264"/>
      <c r="AF1912" s="264"/>
      <c r="AG1912" s="264"/>
    </row>
    <row r="1913" spans="1:33" ht="26.25">
      <c r="A1913" s="264"/>
      <c r="B1913" s="264"/>
      <c r="C1913" s="264"/>
      <c r="D1913" s="264"/>
      <c r="E1913" s="264"/>
      <c r="F1913" s="264"/>
      <c r="G1913" s="264"/>
      <c r="H1913" s="264"/>
      <c r="I1913" s="264"/>
      <c r="J1913" s="327"/>
      <c r="K1913" s="327"/>
      <c r="L1913" s="327"/>
      <c r="M1913" s="321"/>
      <c r="N1913" s="321"/>
      <c r="O1913" s="364"/>
      <c r="P1913" s="381"/>
      <c r="R1913" s="392"/>
      <c r="S1913" s="61" ph="1"/>
      <c r="U1913" s="229"/>
      <c r="V1913" s="264"/>
      <c r="W1913" s="199"/>
      <c r="X1913" s="264"/>
      <c r="Y1913" s="264"/>
      <c r="Z1913" s="386"/>
      <c r="AA1913" s="126"/>
      <c r="AD1913" s="264"/>
      <c r="AE1913" s="264"/>
      <c r="AF1913" s="264"/>
      <c r="AG1913" s="264"/>
    </row>
    <row r="1914" spans="1:33" ht="26.25">
      <c r="A1914" s="264"/>
      <c r="B1914" s="264"/>
      <c r="C1914" s="264"/>
      <c r="D1914" s="264"/>
      <c r="E1914" s="264"/>
      <c r="F1914" s="264"/>
      <c r="G1914" s="264"/>
      <c r="H1914" s="264"/>
      <c r="I1914" s="264"/>
      <c r="J1914" s="327"/>
      <c r="K1914" s="327"/>
      <c r="L1914" s="327"/>
      <c r="M1914" s="321"/>
      <c r="N1914" s="321"/>
      <c r="O1914" s="364"/>
      <c r="P1914" s="381"/>
      <c r="R1914" s="392"/>
      <c r="S1914" s="61" ph="1"/>
      <c r="U1914" s="229"/>
      <c r="V1914" s="264"/>
      <c r="W1914" s="199"/>
      <c r="X1914" s="264"/>
      <c r="Y1914" s="264"/>
      <c r="Z1914" s="386"/>
      <c r="AA1914" s="126"/>
      <c r="AD1914" s="264"/>
      <c r="AE1914" s="264"/>
      <c r="AF1914" s="264"/>
      <c r="AG1914" s="264"/>
    </row>
    <row r="1915" spans="1:33" ht="26.25">
      <c r="A1915" s="264"/>
      <c r="B1915" s="264"/>
      <c r="C1915" s="264"/>
      <c r="D1915" s="264"/>
      <c r="E1915" s="264"/>
      <c r="F1915" s="264"/>
      <c r="G1915" s="264"/>
      <c r="H1915" s="264"/>
      <c r="I1915" s="264"/>
      <c r="J1915" s="327"/>
      <c r="K1915" s="327"/>
      <c r="L1915" s="327"/>
      <c r="M1915" s="321"/>
      <c r="N1915" s="321"/>
      <c r="O1915" s="364"/>
      <c r="P1915" s="381"/>
      <c r="R1915" s="392"/>
      <c r="S1915" s="61" ph="1"/>
      <c r="U1915" s="229"/>
      <c r="V1915" s="264"/>
      <c r="W1915" s="199"/>
      <c r="X1915" s="264"/>
      <c r="Y1915" s="264"/>
      <c r="Z1915" s="386"/>
      <c r="AA1915" s="126"/>
      <c r="AD1915" s="264"/>
      <c r="AE1915" s="264"/>
      <c r="AF1915" s="264"/>
      <c r="AG1915" s="264"/>
    </row>
    <row r="1916" spans="1:33" ht="26.25">
      <c r="A1916" s="264"/>
      <c r="B1916" s="264"/>
      <c r="C1916" s="264"/>
      <c r="D1916" s="264"/>
      <c r="E1916" s="264"/>
      <c r="F1916" s="264"/>
      <c r="G1916" s="264"/>
      <c r="H1916" s="264"/>
      <c r="I1916" s="264"/>
      <c r="J1916" s="327"/>
      <c r="K1916" s="327"/>
      <c r="L1916" s="327"/>
      <c r="M1916" s="321"/>
      <c r="N1916" s="321"/>
      <c r="O1916" s="364"/>
      <c r="P1916" s="381"/>
      <c r="R1916" s="392"/>
      <c r="S1916" s="61" ph="1"/>
      <c r="U1916" s="229"/>
      <c r="V1916" s="264"/>
      <c r="W1916" s="199"/>
      <c r="X1916" s="264"/>
      <c r="Y1916" s="264"/>
      <c r="Z1916" s="386"/>
      <c r="AA1916" s="126"/>
      <c r="AD1916" s="264"/>
      <c r="AE1916" s="264"/>
      <c r="AF1916" s="264"/>
      <c r="AG1916" s="264"/>
    </row>
    <row r="1917" spans="1:33" ht="26.25">
      <c r="A1917" s="264"/>
      <c r="B1917" s="264"/>
      <c r="C1917" s="264"/>
      <c r="D1917" s="264"/>
      <c r="E1917" s="264"/>
      <c r="F1917" s="264"/>
      <c r="G1917" s="264"/>
      <c r="H1917" s="264"/>
      <c r="I1917" s="264"/>
      <c r="J1917" s="327"/>
      <c r="K1917" s="327"/>
      <c r="L1917" s="327"/>
      <c r="M1917" s="321"/>
      <c r="N1917" s="321"/>
      <c r="O1917" s="364"/>
      <c r="P1917" s="381"/>
      <c r="R1917" s="392"/>
      <c r="S1917" s="61" ph="1"/>
      <c r="U1917" s="229"/>
      <c r="V1917" s="264"/>
      <c r="W1917" s="199"/>
      <c r="X1917" s="264"/>
      <c r="Y1917" s="264"/>
      <c r="Z1917" s="386"/>
      <c r="AA1917" s="126"/>
      <c r="AD1917" s="264"/>
      <c r="AE1917" s="264"/>
      <c r="AF1917" s="264"/>
      <c r="AG1917" s="264"/>
    </row>
    <row r="1918" spans="1:33" ht="26.25">
      <c r="A1918" s="264"/>
      <c r="B1918" s="264"/>
      <c r="C1918" s="264"/>
      <c r="D1918" s="264"/>
      <c r="E1918" s="264"/>
      <c r="F1918" s="264"/>
      <c r="G1918" s="264"/>
      <c r="H1918" s="264"/>
      <c r="I1918" s="264"/>
      <c r="J1918" s="327"/>
      <c r="K1918" s="327"/>
      <c r="L1918" s="327"/>
      <c r="M1918" s="321"/>
      <c r="N1918" s="321"/>
      <c r="O1918" s="364"/>
      <c r="P1918" s="381"/>
      <c r="R1918" s="392"/>
      <c r="S1918" s="61" ph="1"/>
      <c r="U1918" s="229"/>
      <c r="V1918" s="264"/>
      <c r="W1918" s="199"/>
      <c r="X1918" s="264"/>
      <c r="Y1918" s="264"/>
      <c r="Z1918" s="386"/>
      <c r="AA1918" s="126"/>
      <c r="AD1918" s="264"/>
      <c r="AE1918" s="264"/>
      <c r="AF1918" s="264"/>
      <c r="AG1918" s="264"/>
    </row>
    <row r="1919" spans="1:33" ht="26.25">
      <c r="A1919" s="264"/>
      <c r="B1919" s="264"/>
      <c r="C1919" s="264"/>
      <c r="D1919" s="264"/>
      <c r="E1919" s="264"/>
      <c r="F1919" s="264"/>
      <c r="G1919" s="264"/>
      <c r="H1919" s="264"/>
      <c r="I1919" s="264"/>
      <c r="J1919" s="327"/>
      <c r="K1919" s="327"/>
      <c r="L1919" s="327"/>
      <c r="M1919" s="321"/>
      <c r="N1919" s="321"/>
      <c r="O1919" s="364"/>
      <c r="P1919" s="381"/>
      <c r="R1919" s="392"/>
      <c r="S1919" s="61" ph="1"/>
      <c r="U1919" s="229"/>
      <c r="V1919" s="264"/>
      <c r="W1919" s="199"/>
      <c r="X1919" s="264"/>
      <c r="Y1919" s="264"/>
      <c r="Z1919" s="386"/>
      <c r="AA1919" s="126"/>
      <c r="AD1919" s="264"/>
      <c r="AE1919" s="264"/>
      <c r="AF1919" s="264"/>
      <c r="AG1919" s="264"/>
    </row>
    <row r="1920" spans="1:33" ht="26.25">
      <c r="A1920" s="264"/>
      <c r="B1920" s="264"/>
      <c r="C1920" s="264"/>
      <c r="D1920" s="264"/>
      <c r="E1920" s="264"/>
      <c r="F1920" s="264"/>
      <c r="G1920" s="264"/>
      <c r="H1920" s="264"/>
      <c r="I1920" s="264"/>
      <c r="J1920" s="327"/>
      <c r="K1920" s="327"/>
      <c r="L1920" s="327"/>
      <c r="M1920" s="321"/>
      <c r="N1920" s="321"/>
      <c r="O1920" s="364"/>
      <c r="P1920" s="381"/>
      <c r="R1920" s="392"/>
      <c r="S1920" s="61" ph="1"/>
      <c r="U1920" s="229"/>
      <c r="V1920" s="264"/>
      <c r="W1920" s="199"/>
      <c r="X1920" s="264"/>
      <c r="Y1920" s="264"/>
      <c r="Z1920" s="386"/>
      <c r="AA1920" s="126"/>
      <c r="AD1920" s="264"/>
      <c r="AE1920" s="264"/>
      <c r="AF1920" s="264"/>
      <c r="AG1920" s="264"/>
    </row>
    <row r="1921" spans="1:33" ht="26.25">
      <c r="A1921" s="264"/>
      <c r="B1921" s="264"/>
      <c r="C1921" s="264"/>
      <c r="D1921" s="264"/>
      <c r="E1921" s="264"/>
      <c r="F1921" s="264"/>
      <c r="G1921" s="264"/>
      <c r="H1921" s="264"/>
      <c r="I1921" s="264"/>
      <c r="J1921" s="327"/>
      <c r="K1921" s="327"/>
      <c r="L1921" s="327"/>
      <c r="M1921" s="321"/>
      <c r="N1921" s="321"/>
      <c r="O1921" s="364"/>
      <c r="P1921" s="381"/>
      <c r="R1921" s="392"/>
      <c r="S1921" s="61" ph="1"/>
      <c r="U1921" s="229"/>
      <c r="V1921" s="264"/>
      <c r="W1921" s="199"/>
      <c r="X1921" s="264"/>
      <c r="Y1921" s="264"/>
      <c r="Z1921" s="386"/>
      <c r="AA1921" s="126"/>
      <c r="AD1921" s="264"/>
      <c r="AE1921" s="264"/>
      <c r="AF1921" s="264"/>
      <c r="AG1921" s="264"/>
    </row>
    <row r="1922" spans="1:33" ht="26.25">
      <c r="A1922" s="264"/>
      <c r="B1922" s="264"/>
      <c r="C1922" s="264"/>
      <c r="D1922" s="264"/>
      <c r="E1922" s="264"/>
      <c r="F1922" s="264"/>
      <c r="G1922" s="264"/>
      <c r="H1922" s="264"/>
      <c r="I1922" s="264"/>
      <c r="J1922" s="327"/>
      <c r="K1922" s="327"/>
      <c r="L1922" s="327"/>
      <c r="M1922" s="321"/>
      <c r="N1922" s="321"/>
      <c r="O1922" s="364"/>
      <c r="P1922" s="381"/>
      <c r="R1922" s="392"/>
      <c r="S1922" s="61" ph="1"/>
      <c r="U1922" s="229"/>
      <c r="V1922" s="264"/>
      <c r="W1922" s="199"/>
      <c r="X1922" s="264"/>
      <c r="Y1922" s="264"/>
      <c r="Z1922" s="386"/>
      <c r="AA1922" s="126"/>
      <c r="AD1922" s="264"/>
      <c r="AE1922" s="264"/>
      <c r="AF1922" s="264"/>
      <c r="AG1922" s="264"/>
    </row>
    <row r="1923" spans="1:33" ht="26.25">
      <c r="A1923" s="264"/>
      <c r="B1923" s="264"/>
      <c r="C1923" s="264"/>
      <c r="D1923" s="264"/>
      <c r="E1923" s="264"/>
      <c r="F1923" s="264"/>
      <c r="G1923" s="264"/>
      <c r="H1923" s="264"/>
      <c r="I1923" s="264"/>
      <c r="J1923" s="327"/>
      <c r="K1923" s="327"/>
      <c r="L1923" s="327"/>
      <c r="M1923" s="321"/>
      <c r="N1923" s="321"/>
      <c r="O1923" s="364"/>
      <c r="P1923" s="381"/>
      <c r="R1923" s="392"/>
      <c r="S1923" s="61" ph="1"/>
      <c r="U1923" s="229"/>
      <c r="V1923" s="264"/>
      <c r="W1923" s="199"/>
      <c r="X1923" s="264"/>
      <c r="Y1923" s="264"/>
      <c r="Z1923" s="386"/>
      <c r="AA1923" s="126"/>
      <c r="AD1923" s="264"/>
      <c r="AE1923" s="264"/>
      <c r="AF1923" s="264"/>
      <c r="AG1923" s="264"/>
    </row>
    <row r="1924" spans="1:33" ht="26.25">
      <c r="A1924" s="264"/>
      <c r="B1924" s="264"/>
      <c r="C1924" s="264"/>
      <c r="D1924" s="264"/>
      <c r="E1924" s="264"/>
      <c r="F1924" s="264"/>
      <c r="G1924" s="264"/>
      <c r="H1924" s="264"/>
      <c r="I1924" s="264"/>
      <c r="J1924" s="327"/>
      <c r="K1924" s="327"/>
      <c r="L1924" s="327"/>
      <c r="M1924" s="321"/>
      <c r="N1924" s="321"/>
      <c r="O1924" s="364"/>
      <c r="P1924" s="381"/>
      <c r="R1924" s="392"/>
      <c r="S1924" s="61" ph="1"/>
      <c r="U1924" s="229"/>
      <c r="V1924" s="264"/>
      <c r="W1924" s="199"/>
      <c r="X1924" s="264"/>
      <c r="Y1924" s="264"/>
      <c r="Z1924" s="386"/>
      <c r="AA1924" s="126"/>
      <c r="AD1924" s="264"/>
      <c r="AE1924" s="264"/>
      <c r="AF1924" s="264"/>
      <c r="AG1924" s="264"/>
    </row>
    <row r="1925" spans="1:33" ht="26.25">
      <c r="A1925" s="264"/>
      <c r="B1925" s="264"/>
      <c r="C1925" s="264"/>
      <c r="D1925" s="264"/>
      <c r="E1925" s="264"/>
      <c r="F1925" s="264"/>
      <c r="G1925" s="264"/>
      <c r="H1925" s="264"/>
      <c r="I1925" s="264"/>
      <c r="J1925" s="327"/>
      <c r="K1925" s="327"/>
      <c r="L1925" s="327"/>
      <c r="M1925" s="321"/>
      <c r="N1925" s="321"/>
      <c r="O1925" s="364"/>
      <c r="P1925" s="381"/>
      <c r="R1925" s="392"/>
      <c r="S1925" s="61" ph="1"/>
      <c r="U1925" s="229"/>
      <c r="V1925" s="264"/>
      <c r="W1925" s="199"/>
      <c r="X1925" s="264"/>
      <c r="Y1925" s="264"/>
      <c r="Z1925" s="386"/>
      <c r="AA1925" s="126"/>
      <c r="AD1925" s="264"/>
      <c r="AE1925" s="264"/>
      <c r="AF1925" s="264"/>
      <c r="AG1925" s="264"/>
    </row>
    <row r="1926" spans="1:33" ht="26.25">
      <c r="A1926" s="264"/>
      <c r="B1926" s="264"/>
      <c r="C1926" s="264"/>
      <c r="D1926" s="264"/>
      <c r="E1926" s="264"/>
      <c r="F1926" s="264"/>
      <c r="G1926" s="264"/>
      <c r="H1926" s="264"/>
      <c r="I1926" s="264"/>
      <c r="J1926" s="327"/>
      <c r="K1926" s="327"/>
      <c r="L1926" s="327"/>
      <c r="M1926" s="321"/>
      <c r="N1926" s="321"/>
      <c r="O1926" s="364"/>
      <c r="P1926" s="381"/>
      <c r="R1926" s="392"/>
      <c r="S1926" s="61" ph="1"/>
      <c r="U1926" s="229"/>
      <c r="V1926" s="264"/>
      <c r="W1926" s="199"/>
      <c r="X1926" s="264"/>
      <c r="Y1926" s="264"/>
      <c r="Z1926" s="386"/>
      <c r="AA1926" s="123"/>
      <c r="AD1926" s="264"/>
      <c r="AE1926" s="264"/>
      <c r="AF1926" s="264"/>
      <c r="AG1926" s="264"/>
    </row>
    <row r="1927" spans="1:33" ht="26.25">
      <c r="A1927" s="264"/>
      <c r="B1927" s="264"/>
      <c r="C1927" s="264"/>
      <c r="D1927" s="264"/>
      <c r="E1927" s="264"/>
      <c r="F1927" s="264"/>
      <c r="G1927" s="264"/>
      <c r="H1927" s="264"/>
      <c r="I1927" s="264"/>
      <c r="J1927" s="327"/>
      <c r="K1927" s="327"/>
      <c r="L1927" s="327"/>
      <c r="M1927" s="321"/>
      <c r="N1927" s="321"/>
      <c r="O1927" s="364"/>
      <c r="P1927" s="381"/>
      <c r="R1927" s="392"/>
      <c r="S1927" s="61" ph="1"/>
      <c r="U1927" s="229"/>
      <c r="V1927" s="264"/>
      <c r="W1927" s="199"/>
      <c r="X1927" s="264"/>
      <c r="Y1927" s="264"/>
      <c r="Z1927" s="386"/>
      <c r="AA1927" s="126"/>
      <c r="AD1927" s="264"/>
      <c r="AE1927" s="264"/>
      <c r="AF1927" s="264"/>
      <c r="AG1927" s="264"/>
    </row>
    <row r="1928" spans="1:33" ht="26.25">
      <c r="A1928" s="264"/>
      <c r="B1928" s="264"/>
      <c r="C1928" s="264"/>
      <c r="D1928" s="264"/>
      <c r="E1928" s="264"/>
      <c r="F1928" s="264"/>
      <c r="G1928" s="264"/>
      <c r="H1928" s="264"/>
      <c r="I1928" s="264"/>
      <c r="J1928" s="327"/>
      <c r="K1928" s="327"/>
      <c r="L1928" s="327"/>
      <c r="M1928" s="321"/>
      <c r="N1928" s="321"/>
      <c r="O1928" s="364"/>
      <c r="P1928" s="381"/>
      <c r="R1928" s="392"/>
      <c r="S1928" s="61" ph="1"/>
      <c r="U1928" s="229"/>
      <c r="V1928" s="264"/>
      <c r="W1928" s="199"/>
      <c r="X1928" s="264"/>
      <c r="Y1928" s="264"/>
      <c r="Z1928" s="386"/>
      <c r="AA1928" s="126"/>
      <c r="AD1928" s="264"/>
      <c r="AE1928" s="264"/>
      <c r="AF1928" s="264"/>
      <c r="AG1928" s="264"/>
    </row>
    <row r="1929" spans="1:33" ht="26.25">
      <c r="A1929" s="264"/>
      <c r="B1929" s="264"/>
      <c r="C1929" s="264"/>
      <c r="D1929" s="264"/>
      <c r="E1929" s="264"/>
      <c r="F1929" s="264"/>
      <c r="G1929" s="264"/>
      <c r="H1929" s="264"/>
      <c r="I1929" s="264"/>
      <c r="J1929" s="327"/>
      <c r="K1929" s="327"/>
      <c r="L1929" s="327"/>
      <c r="M1929" s="321"/>
      <c r="N1929" s="321"/>
      <c r="O1929" s="364"/>
      <c r="P1929" s="381"/>
      <c r="R1929" s="392"/>
      <c r="S1929" s="61" ph="1"/>
      <c r="U1929" s="229"/>
      <c r="V1929" s="264"/>
      <c r="W1929" s="199"/>
      <c r="X1929" s="264"/>
      <c r="Y1929" s="264"/>
      <c r="Z1929" s="386"/>
      <c r="AA1929" s="126"/>
      <c r="AD1929" s="264"/>
      <c r="AE1929" s="264"/>
      <c r="AF1929" s="264"/>
      <c r="AG1929" s="264"/>
    </row>
    <row r="1930" spans="1:33" ht="26.25">
      <c r="A1930" s="264"/>
      <c r="B1930" s="264"/>
      <c r="C1930" s="264"/>
      <c r="D1930" s="264"/>
      <c r="E1930" s="264"/>
      <c r="F1930" s="264"/>
      <c r="G1930" s="264"/>
      <c r="H1930" s="264"/>
      <c r="I1930" s="264"/>
      <c r="J1930" s="327"/>
      <c r="K1930" s="327"/>
      <c r="L1930" s="327"/>
      <c r="M1930" s="321"/>
      <c r="N1930" s="321"/>
      <c r="O1930" s="364"/>
      <c r="P1930" s="381"/>
      <c r="R1930" s="392"/>
      <c r="S1930" s="61" ph="1"/>
      <c r="U1930" s="229"/>
      <c r="V1930" s="264"/>
      <c r="W1930" s="199"/>
      <c r="X1930" s="264"/>
      <c r="Y1930" s="264"/>
      <c r="Z1930" s="386"/>
      <c r="AA1930" s="126"/>
      <c r="AD1930" s="264"/>
      <c r="AE1930" s="264"/>
      <c r="AF1930" s="264"/>
      <c r="AG1930" s="264"/>
    </row>
    <row r="1931" spans="1:33" ht="26.25">
      <c r="A1931" s="264"/>
      <c r="B1931" s="264"/>
      <c r="C1931" s="264"/>
      <c r="D1931" s="264"/>
      <c r="E1931" s="264"/>
      <c r="F1931" s="264"/>
      <c r="G1931" s="264"/>
      <c r="H1931" s="264"/>
      <c r="I1931" s="264"/>
      <c r="J1931" s="327"/>
      <c r="K1931" s="327"/>
      <c r="L1931" s="327"/>
      <c r="M1931" s="321"/>
      <c r="N1931" s="321"/>
      <c r="O1931" s="364"/>
      <c r="P1931" s="381"/>
      <c r="R1931" s="392"/>
      <c r="S1931" s="61" ph="1"/>
      <c r="U1931" s="229"/>
      <c r="V1931" s="264"/>
      <c r="W1931" s="199"/>
      <c r="X1931" s="264"/>
      <c r="Y1931" s="264"/>
      <c r="Z1931" s="386"/>
      <c r="AA1931" s="126"/>
      <c r="AD1931" s="264"/>
      <c r="AE1931" s="264"/>
      <c r="AF1931" s="264"/>
      <c r="AG1931" s="264"/>
    </row>
    <row r="1932" spans="1:33" ht="26.25">
      <c r="A1932" s="264"/>
      <c r="B1932" s="264"/>
      <c r="C1932" s="264"/>
      <c r="D1932" s="264"/>
      <c r="E1932" s="264"/>
      <c r="F1932" s="264"/>
      <c r="G1932" s="264"/>
      <c r="H1932" s="264"/>
      <c r="I1932" s="264"/>
      <c r="J1932" s="327"/>
      <c r="K1932" s="327"/>
      <c r="L1932" s="327"/>
      <c r="M1932" s="321"/>
      <c r="N1932" s="321"/>
      <c r="O1932" s="364"/>
      <c r="P1932" s="381"/>
      <c r="R1932" s="392"/>
      <c r="S1932" s="61" ph="1"/>
      <c r="U1932" s="229"/>
      <c r="V1932" s="264"/>
      <c r="W1932" s="199"/>
      <c r="X1932" s="264"/>
      <c r="Y1932" s="264"/>
      <c r="Z1932" s="386"/>
      <c r="AA1932" s="126"/>
      <c r="AD1932" s="264"/>
      <c r="AE1932" s="264"/>
      <c r="AF1932" s="264"/>
      <c r="AG1932" s="264"/>
    </row>
    <row r="1933" spans="1:33" ht="26.25">
      <c r="A1933" s="264"/>
      <c r="B1933" s="264"/>
      <c r="C1933" s="264"/>
      <c r="D1933" s="264"/>
      <c r="E1933" s="264"/>
      <c r="F1933" s="264"/>
      <c r="G1933" s="264"/>
      <c r="H1933" s="264"/>
      <c r="I1933" s="264"/>
      <c r="J1933" s="327"/>
      <c r="K1933" s="327"/>
      <c r="L1933" s="327"/>
      <c r="M1933" s="321"/>
      <c r="N1933" s="321"/>
      <c r="O1933" s="364"/>
      <c r="P1933" s="381"/>
      <c r="R1933" s="392"/>
      <c r="S1933" s="61" ph="1"/>
      <c r="U1933" s="229"/>
      <c r="V1933" s="264"/>
      <c r="W1933" s="199"/>
      <c r="X1933" s="264"/>
      <c r="Y1933" s="264"/>
      <c r="Z1933" s="386"/>
      <c r="AA1933" s="126"/>
      <c r="AD1933" s="264"/>
      <c r="AE1933" s="264"/>
      <c r="AF1933" s="264"/>
      <c r="AG1933" s="264"/>
    </row>
    <row r="1934" spans="1:33" ht="26.25">
      <c r="A1934" s="264"/>
      <c r="B1934" s="264"/>
      <c r="C1934" s="264"/>
      <c r="D1934" s="264"/>
      <c r="E1934" s="264"/>
      <c r="F1934" s="264"/>
      <c r="G1934" s="264"/>
      <c r="H1934" s="264"/>
      <c r="I1934" s="264"/>
      <c r="J1934" s="327"/>
      <c r="K1934" s="327"/>
      <c r="L1934" s="327"/>
      <c r="M1934" s="321"/>
      <c r="N1934" s="321"/>
      <c r="O1934" s="364"/>
      <c r="P1934" s="381"/>
      <c r="R1934" s="392"/>
      <c r="S1934" s="61" ph="1"/>
      <c r="U1934" s="229"/>
      <c r="V1934" s="264"/>
      <c r="W1934" s="199"/>
      <c r="X1934" s="264"/>
      <c r="Y1934" s="264"/>
      <c r="Z1934" s="386"/>
      <c r="AA1934" s="126"/>
      <c r="AD1934" s="264"/>
      <c r="AE1934" s="264"/>
      <c r="AF1934" s="264"/>
      <c r="AG1934" s="264"/>
    </row>
    <row r="1935" spans="1:33" ht="26.25">
      <c r="A1935" s="264"/>
      <c r="B1935" s="264"/>
      <c r="C1935" s="264"/>
      <c r="D1935" s="264"/>
      <c r="E1935" s="264"/>
      <c r="F1935" s="264"/>
      <c r="G1935" s="264"/>
      <c r="H1935" s="264"/>
      <c r="I1935" s="264"/>
      <c r="J1935" s="327"/>
      <c r="K1935" s="327"/>
      <c r="L1935" s="327"/>
      <c r="M1935" s="321"/>
      <c r="N1935" s="321"/>
      <c r="O1935" s="364"/>
      <c r="P1935" s="381"/>
      <c r="R1935" s="392"/>
      <c r="S1935" s="61" ph="1"/>
      <c r="U1935" s="229"/>
      <c r="V1935" s="264"/>
      <c r="W1935" s="199"/>
      <c r="X1935" s="264"/>
      <c r="Y1935" s="264"/>
      <c r="Z1935" s="386"/>
      <c r="AA1935" s="126"/>
      <c r="AD1935" s="264"/>
      <c r="AE1935" s="264"/>
      <c r="AF1935" s="264"/>
      <c r="AG1935" s="264"/>
    </row>
    <row r="1936" spans="1:33" ht="26.25">
      <c r="A1936" s="264"/>
      <c r="B1936" s="264"/>
      <c r="C1936" s="264"/>
      <c r="D1936" s="264"/>
      <c r="E1936" s="264"/>
      <c r="F1936" s="264"/>
      <c r="G1936" s="264"/>
      <c r="H1936" s="264"/>
      <c r="I1936" s="264"/>
      <c r="J1936" s="327"/>
      <c r="K1936" s="327"/>
      <c r="L1936" s="327"/>
      <c r="M1936" s="321"/>
      <c r="N1936" s="321"/>
      <c r="O1936" s="364"/>
      <c r="P1936" s="381"/>
      <c r="R1936" s="392"/>
      <c r="S1936" s="61" ph="1"/>
      <c r="U1936" s="229"/>
      <c r="V1936" s="264"/>
      <c r="W1936" s="199"/>
      <c r="X1936" s="264"/>
      <c r="Y1936" s="264"/>
      <c r="Z1936" s="386"/>
      <c r="AA1936" s="126"/>
      <c r="AD1936" s="264"/>
      <c r="AE1936" s="264"/>
      <c r="AF1936" s="264"/>
      <c r="AG1936" s="264"/>
    </row>
    <row r="1937" spans="1:33" ht="26.25">
      <c r="A1937" s="264"/>
      <c r="B1937" s="264"/>
      <c r="C1937" s="264"/>
      <c r="D1937" s="264"/>
      <c r="E1937" s="264"/>
      <c r="F1937" s="264"/>
      <c r="G1937" s="264"/>
      <c r="H1937" s="264"/>
      <c r="I1937" s="264"/>
      <c r="J1937" s="327"/>
      <c r="K1937" s="327"/>
      <c r="L1937" s="327"/>
      <c r="M1937" s="321"/>
      <c r="N1937" s="321"/>
      <c r="O1937" s="364"/>
      <c r="P1937" s="381"/>
      <c r="R1937" s="392"/>
      <c r="S1937" s="61" ph="1"/>
      <c r="U1937" s="229"/>
      <c r="V1937" s="264"/>
      <c r="W1937" s="199"/>
      <c r="X1937" s="264"/>
      <c r="Y1937" s="264"/>
      <c r="Z1937" s="386"/>
      <c r="AA1937" s="126"/>
      <c r="AD1937" s="264"/>
      <c r="AE1937" s="264"/>
      <c r="AF1937" s="264"/>
      <c r="AG1937" s="264"/>
    </row>
    <row r="1938" spans="1:33" ht="26.25">
      <c r="A1938" s="264"/>
      <c r="B1938" s="264"/>
      <c r="C1938" s="264"/>
      <c r="D1938" s="264"/>
      <c r="E1938" s="264"/>
      <c r="F1938" s="264"/>
      <c r="G1938" s="264"/>
      <c r="H1938" s="264"/>
      <c r="I1938" s="264"/>
      <c r="J1938" s="327"/>
      <c r="K1938" s="327"/>
      <c r="L1938" s="327"/>
      <c r="M1938" s="321"/>
      <c r="N1938" s="321"/>
      <c r="O1938" s="364"/>
      <c r="P1938" s="381"/>
      <c r="R1938" s="392"/>
      <c r="S1938" s="61" ph="1"/>
      <c r="U1938" s="229"/>
      <c r="V1938" s="264"/>
      <c r="W1938" s="199"/>
      <c r="X1938" s="264"/>
      <c r="Y1938" s="264"/>
      <c r="Z1938" s="386"/>
      <c r="AA1938" s="126"/>
      <c r="AD1938" s="264"/>
      <c r="AE1938" s="264"/>
      <c r="AF1938" s="264"/>
      <c r="AG1938" s="264"/>
    </row>
    <row r="1939" spans="1:33" ht="26.25">
      <c r="A1939" s="264"/>
      <c r="B1939" s="264"/>
      <c r="C1939" s="264"/>
      <c r="D1939" s="264"/>
      <c r="E1939" s="264"/>
      <c r="F1939" s="264"/>
      <c r="G1939" s="264"/>
      <c r="H1939" s="264"/>
      <c r="I1939" s="264"/>
      <c r="J1939" s="327"/>
      <c r="K1939" s="327"/>
      <c r="L1939" s="327"/>
      <c r="M1939" s="321"/>
      <c r="N1939" s="321"/>
      <c r="O1939" s="364"/>
      <c r="P1939" s="381"/>
      <c r="R1939" s="392"/>
      <c r="S1939" s="61" ph="1"/>
      <c r="U1939" s="229"/>
      <c r="V1939" s="264"/>
      <c r="W1939" s="199"/>
      <c r="X1939" s="264"/>
      <c r="Y1939" s="264"/>
      <c r="Z1939" s="386"/>
      <c r="AA1939" s="126"/>
      <c r="AD1939" s="264"/>
      <c r="AE1939" s="264"/>
      <c r="AF1939" s="264"/>
      <c r="AG1939" s="264"/>
    </row>
    <row r="1940" spans="1:33" ht="26.25">
      <c r="A1940" s="264"/>
      <c r="B1940" s="264"/>
      <c r="C1940" s="264"/>
      <c r="D1940" s="264"/>
      <c r="E1940" s="264"/>
      <c r="F1940" s="264"/>
      <c r="G1940" s="264"/>
      <c r="H1940" s="264"/>
      <c r="I1940" s="264"/>
      <c r="J1940" s="327"/>
      <c r="K1940" s="327"/>
      <c r="L1940" s="327"/>
      <c r="M1940" s="321"/>
      <c r="N1940" s="321"/>
      <c r="O1940" s="364"/>
      <c r="P1940" s="381"/>
      <c r="R1940" s="392"/>
      <c r="S1940" s="61" ph="1"/>
      <c r="U1940" s="229"/>
      <c r="V1940" s="264"/>
      <c r="W1940" s="199"/>
      <c r="X1940" s="264"/>
      <c r="Y1940" s="264"/>
      <c r="Z1940" s="386"/>
      <c r="AA1940" s="126"/>
      <c r="AD1940" s="264"/>
      <c r="AE1940" s="264"/>
      <c r="AF1940" s="264"/>
      <c r="AG1940" s="264"/>
    </row>
    <row r="1941" spans="1:33" ht="26.25">
      <c r="A1941" s="264"/>
      <c r="B1941" s="264"/>
      <c r="C1941" s="264"/>
      <c r="D1941" s="264"/>
      <c r="E1941" s="264"/>
      <c r="F1941" s="264"/>
      <c r="G1941" s="264"/>
      <c r="H1941" s="264"/>
      <c r="I1941" s="264"/>
      <c r="J1941" s="327"/>
      <c r="K1941" s="327"/>
      <c r="L1941" s="327"/>
      <c r="M1941" s="321"/>
      <c r="N1941" s="321"/>
      <c r="O1941" s="364"/>
      <c r="P1941" s="381"/>
      <c r="R1941" s="392"/>
      <c r="S1941" s="61" ph="1"/>
      <c r="U1941" s="229"/>
      <c r="V1941" s="264"/>
      <c r="W1941" s="199"/>
      <c r="X1941" s="264"/>
      <c r="Y1941" s="264"/>
      <c r="Z1941" s="386"/>
      <c r="AA1941" s="126"/>
      <c r="AD1941" s="264"/>
      <c r="AE1941" s="264"/>
      <c r="AF1941" s="264"/>
      <c r="AG1941" s="264"/>
    </row>
    <row r="1942" spans="1:33" ht="26.25">
      <c r="A1942" s="264"/>
      <c r="B1942" s="264"/>
      <c r="C1942" s="264"/>
      <c r="D1942" s="264"/>
      <c r="E1942" s="264"/>
      <c r="F1942" s="264"/>
      <c r="G1942" s="264"/>
      <c r="H1942" s="264"/>
      <c r="I1942" s="264"/>
      <c r="J1942" s="327"/>
      <c r="K1942" s="327"/>
      <c r="L1942" s="327"/>
      <c r="M1942" s="321"/>
      <c r="N1942" s="321"/>
      <c r="O1942" s="364"/>
      <c r="P1942" s="381"/>
      <c r="R1942" s="392"/>
      <c r="S1942" s="61" ph="1"/>
      <c r="U1942" s="229"/>
      <c r="V1942" s="264"/>
      <c r="W1942" s="199"/>
      <c r="X1942" s="264"/>
      <c r="Y1942" s="264"/>
      <c r="Z1942" s="386"/>
      <c r="AA1942" s="126"/>
      <c r="AD1942" s="264"/>
      <c r="AE1942" s="264"/>
      <c r="AF1942" s="264"/>
      <c r="AG1942" s="264"/>
    </row>
    <row r="1943" spans="1:33" ht="26.25">
      <c r="A1943" s="264"/>
      <c r="B1943" s="264"/>
      <c r="C1943" s="264"/>
      <c r="D1943" s="264"/>
      <c r="E1943" s="264"/>
      <c r="F1943" s="264"/>
      <c r="G1943" s="264"/>
      <c r="H1943" s="264"/>
      <c r="I1943" s="264"/>
      <c r="J1943" s="327"/>
      <c r="K1943" s="327"/>
      <c r="L1943" s="327"/>
      <c r="M1943" s="321"/>
      <c r="N1943" s="321"/>
      <c r="O1943" s="364"/>
      <c r="P1943" s="381"/>
      <c r="R1943" s="392"/>
      <c r="S1943" s="61" ph="1"/>
      <c r="U1943" s="229"/>
      <c r="V1943" s="264"/>
      <c r="W1943" s="199"/>
      <c r="X1943" s="264"/>
      <c r="Y1943" s="264"/>
      <c r="Z1943" s="386"/>
      <c r="AA1943" s="126"/>
      <c r="AD1943" s="264"/>
      <c r="AE1943" s="264"/>
      <c r="AF1943" s="264"/>
      <c r="AG1943" s="264"/>
    </row>
    <row r="1944" spans="1:33" ht="26.25">
      <c r="A1944" s="264"/>
      <c r="B1944" s="264"/>
      <c r="C1944" s="264"/>
      <c r="D1944" s="264"/>
      <c r="E1944" s="264"/>
      <c r="F1944" s="264"/>
      <c r="G1944" s="264"/>
      <c r="H1944" s="264"/>
      <c r="I1944" s="264"/>
      <c r="J1944" s="327"/>
      <c r="K1944" s="327"/>
      <c r="L1944" s="327"/>
      <c r="M1944" s="321"/>
      <c r="N1944" s="321"/>
      <c r="O1944" s="364"/>
      <c r="P1944" s="381"/>
      <c r="R1944" s="392"/>
      <c r="S1944" s="61" ph="1"/>
      <c r="U1944" s="229"/>
      <c r="V1944" s="264"/>
      <c r="W1944" s="199"/>
      <c r="X1944" s="264"/>
      <c r="Y1944" s="264"/>
      <c r="Z1944" s="386"/>
      <c r="AA1944" s="126"/>
      <c r="AD1944" s="264"/>
      <c r="AE1944" s="264"/>
      <c r="AF1944" s="264"/>
      <c r="AG1944" s="264"/>
    </row>
    <row r="1945" spans="1:33" ht="26.25">
      <c r="A1945" s="264"/>
      <c r="B1945" s="264"/>
      <c r="C1945" s="264"/>
      <c r="D1945" s="264"/>
      <c r="E1945" s="264"/>
      <c r="F1945" s="264"/>
      <c r="G1945" s="264"/>
      <c r="H1945" s="264"/>
      <c r="I1945" s="264"/>
      <c r="J1945" s="327"/>
      <c r="K1945" s="327"/>
      <c r="L1945" s="327"/>
      <c r="M1945" s="321"/>
      <c r="N1945" s="321"/>
      <c r="O1945" s="364"/>
      <c r="P1945" s="381"/>
      <c r="R1945" s="392"/>
      <c r="S1945" s="61" ph="1"/>
      <c r="U1945" s="229"/>
      <c r="V1945" s="264"/>
      <c r="W1945" s="199"/>
      <c r="X1945" s="264"/>
      <c r="Y1945" s="264"/>
      <c r="Z1945" s="386"/>
      <c r="AA1945" s="126"/>
      <c r="AD1945" s="264"/>
      <c r="AE1945" s="264"/>
      <c r="AF1945" s="264"/>
      <c r="AG1945" s="264"/>
    </row>
    <row r="1946" spans="1:33" ht="26.25">
      <c r="A1946" s="264"/>
      <c r="B1946" s="264"/>
      <c r="C1946" s="264"/>
      <c r="D1946" s="264"/>
      <c r="E1946" s="264"/>
      <c r="F1946" s="264"/>
      <c r="G1946" s="264"/>
      <c r="H1946" s="264"/>
      <c r="I1946" s="264"/>
      <c r="J1946" s="327"/>
      <c r="K1946" s="327"/>
      <c r="L1946" s="327"/>
      <c r="M1946" s="321"/>
      <c r="N1946" s="321"/>
      <c r="O1946" s="364"/>
      <c r="P1946" s="381"/>
      <c r="R1946" s="392"/>
      <c r="S1946" s="61" ph="1"/>
      <c r="U1946" s="229"/>
      <c r="V1946" s="264"/>
      <c r="W1946" s="199"/>
      <c r="X1946" s="264"/>
      <c r="Y1946" s="264"/>
      <c r="Z1946" s="386"/>
      <c r="AA1946" s="126"/>
      <c r="AD1946" s="264"/>
      <c r="AE1946" s="264"/>
      <c r="AF1946" s="264"/>
      <c r="AG1946" s="264"/>
    </row>
    <row r="1947" spans="1:33" ht="26.25">
      <c r="A1947" s="264"/>
      <c r="B1947" s="264"/>
      <c r="C1947" s="264"/>
      <c r="D1947" s="264"/>
      <c r="E1947" s="264"/>
      <c r="F1947" s="264"/>
      <c r="G1947" s="264"/>
      <c r="H1947" s="264"/>
      <c r="I1947" s="264"/>
      <c r="J1947" s="327"/>
      <c r="K1947" s="327"/>
      <c r="L1947" s="327"/>
      <c r="M1947" s="321"/>
      <c r="N1947" s="321"/>
      <c r="O1947" s="364"/>
      <c r="P1947" s="381"/>
      <c r="R1947" s="392"/>
      <c r="S1947" s="61" ph="1"/>
      <c r="U1947" s="229"/>
      <c r="V1947" s="264"/>
      <c r="W1947" s="199"/>
      <c r="X1947" s="264"/>
      <c r="Y1947" s="264"/>
      <c r="Z1947" s="386"/>
      <c r="AA1947" s="126"/>
      <c r="AD1947" s="264"/>
      <c r="AE1947" s="264"/>
      <c r="AF1947" s="264"/>
      <c r="AG1947" s="264"/>
    </row>
    <row r="1948" spans="1:33" ht="26.25">
      <c r="A1948" s="264"/>
      <c r="B1948" s="264"/>
      <c r="C1948" s="264"/>
      <c r="D1948" s="264"/>
      <c r="E1948" s="264"/>
      <c r="F1948" s="264"/>
      <c r="G1948" s="264"/>
      <c r="H1948" s="264"/>
      <c r="I1948" s="264"/>
      <c r="J1948" s="327"/>
      <c r="K1948" s="327"/>
      <c r="L1948" s="327"/>
      <c r="M1948" s="321"/>
      <c r="N1948" s="321"/>
      <c r="O1948" s="364"/>
      <c r="P1948" s="381"/>
      <c r="R1948" s="392"/>
      <c r="S1948" s="61" ph="1"/>
      <c r="U1948" s="229"/>
      <c r="V1948" s="264"/>
      <c r="W1948" s="199"/>
      <c r="X1948" s="264"/>
      <c r="Y1948" s="264"/>
      <c r="Z1948" s="386"/>
      <c r="AA1948" s="126"/>
      <c r="AD1948" s="264"/>
      <c r="AE1948" s="264"/>
      <c r="AF1948" s="264"/>
      <c r="AG1948" s="264"/>
    </row>
    <row r="1949" spans="1:33" ht="26.25">
      <c r="A1949" s="264"/>
      <c r="B1949" s="264"/>
      <c r="C1949" s="264"/>
      <c r="D1949" s="264"/>
      <c r="E1949" s="264"/>
      <c r="F1949" s="264"/>
      <c r="G1949" s="264"/>
      <c r="H1949" s="264"/>
      <c r="I1949" s="264"/>
      <c r="J1949" s="327"/>
      <c r="K1949" s="327"/>
      <c r="L1949" s="327"/>
      <c r="M1949" s="321"/>
      <c r="N1949" s="321"/>
      <c r="O1949" s="364"/>
      <c r="P1949" s="381"/>
      <c r="R1949" s="392"/>
      <c r="S1949" s="61" ph="1"/>
      <c r="U1949" s="229"/>
      <c r="V1949" s="264"/>
      <c r="W1949" s="199"/>
      <c r="X1949" s="264"/>
      <c r="Y1949" s="264"/>
      <c r="Z1949" s="386"/>
      <c r="AA1949" s="126"/>
      <c r="AD1949" s="264"/>
      <c r="AE1949" s="264"/>
      <c r="AF1949" s="264"/>
      <c r="AG1949" s="264"/>
    </row>
    <row r="1950" spans="1:33" ht="26.25">
      <c r="A1950" s="264"/>
      <c r="B1950" s="264"/>
      <c r="C1950" s="264"/>
      <c r="D1950" s="264"/>
      <c r="E1950" s="264"/>
      <c r="F1950" s="264"/>
      <c r="G1950" s="264"/>
      <c r="H1950" s="264"/>
      <c r="I1950" s="264"/>
      <c r="J1950" s="327"/>
      <c r="K1950" s="327"/>
      <c r="L1950" s="327"/>
      <c r="M1950" s="321"/>
      <c r="N1950" s="321"/>
      <c r="O1950" s="364"/>
      <c r="P1950" s="381"/>
      <c r="R1950" s="392"/>
      <c r="S1950" s="61" ph="1"/>
      <c r="U1950" s="229"/>
      <c r="V1950" s="264"/>
      <c r="W1950" s="199"/>
      <c r="X1950" s="264"/>
      <c r="Y1950" s="264"/>
      <c r="Z1950" s="386"/>
      <c r="AA1950" s="264"/>
      <c r="AD1950" s="264"/>
      <c r="AE1950" s="264"/>
      <c r="AF1950" s="264"/>
      <c r="AG1950" s="264"/>
    </row>
    <row r="1951" spans="1:33" ht="26.25">
      <c r="A1951" s="264"/>
      <c r="B1951" s="264"/>
      <c r="C1951" s="264"/>
      <c r="D1951" s="264"/>
      <c r="E1951" s="264"/>
      <c r="F1951" s="264"/>
      <c r="G1951" s="264"/>
      <c r="H1951" s="264"/>
      <c r="I1951" s="264"/>
      <c r="J1951" s="327"/>
      <c r="K1951" s="327"/>
      <c r="L1951" s="327"/>
      <c r="M1951" s="321"/>
      <c r="N1951" s="321"/>
      <c r="O1951" s="364"/>
      <c r="P1951" s="381"/>
      <c r="R1951" s="392"/>
      <c r="S1951" s="61" ph="1"/>
      <c r="U1951" s="229"/>
      <c r="V1951" s="264"/>
      <c r="W1951" s="199"/>
      <c r="X1951" s="264"/>
      <c r="Y1951" s="264"/>
      <c r="Z1951" s="386"/>
      <c r="AA1951" s="126"/>
      <c r="AD1951" s="264"/>
      <c r="AE1951" s="264"/>
      <c r="AF1951" s="264"/>
      <c r="AG1951" s="264"/>
    </row>
    <row r="1952" spans="1:33" ht="26.25">
      <c r="A1952" s="264"/>
      <c r="B1952" s="264"/>
      <c r="C1952" s="264"/>
      <c r="D1952" s="264"/>
      <c r="E1952" s="264"/>
      <c r="F1952" s="264"/>
      <c r="G1952" s="264"/>
      <c r="H1952" s="264"/>
      <c r="I1952" s="264"/>
      <c r="J1952" s="327"/>
      <c r="K1952" s="327"/>
      <c r="L1952" s="327"/>
      <c r="M1952" s="321"/>
      <c r="N1952" s="321"/>
      <c r="O1952" s="364"/>
      <c r="P1952" s="381"/>
      <c r="R1952" s="392"/>
      <c r="S1952" s="61" ph="1"/>
      <c r="U1952" s="229"/>
      <c r="V1952" s="264"/>
      <c r="W1952" s="199"/>
      <c r="X1952" s="264"/>
      <c r="Y1952" s="264"/>
      <c r="Z1952" s="386"/>
      <c r="AA1952" s="126"/>
      <c r="AD1952" s="264"/>
      <c r="AE1952" s="264"/>
      <c r="AF1952" s="264"/>
      <c r="AG1952" s="264"/>
    </row>
    <row r="1953" spans="1:33" ht="26.25">
      <c r="A1953" s="264"/>
      <c r="B1953" s="264"/>
      <c r="C1953" s="264"/>
      <c r="D1953" s="264"/>
      <c r="E1953" s="264"/>
      <c r="F1953" s="264"/>
      <c r="G1953" s="264"/>
      <c r="H1953" s="264"/>
      <c r="I1953" s="264"/>
      <c r="J1953" s="327"/>
      <c r="K1953" s="327"/>
      <c r="L1953" s="327"/>
      <c r="M1953" s="321"/>
      <c r="N1953" s="321"/>
      <c r="O1953" s="364"/>
      <c r="P1953" s="381"/>
      <c r="R1953" s="392"/>
      <c r="S1953" s="61" ph="1"/>
      <c r="U1953" s="229"/>
      <c r="V1953" s="264"/>
      <c r="W1953" s="199"/>
      <c r="X1953" s="264"/>
      <c r="Y1953" s="264"/>
      <c r="Z1953" s="386"/>
      <c r="AA1953" s="126"/>
      <c r="AD1953" s="264"/>
      <c r="AE1953" s="264"/>
      <c r="AF1953" s="264"/>
      <c r="AG1953" s="264"/>
    </row>
    <row r="1954" spans="1:33" ht="26.25">
      <c r="A1954" s="264"/>
      <c r="B1954" s="264"/>
      <c r="C1954" s="264"/>
      <c r="D1954" s="264"/>
      <c r="E1954" s="264"/>
      <c r="F1954" s="264"/>
      <c r="G1954" s="264"/>
      <c r="H1954" s="264"/>
      <c r="I1954" s="264"/>
      <c r="J1954" s="327"/>
      <c r="K1954" s="327"/>
      <c r="L1954" s="327"/>
      <c r="M1954" s="321"/>
      <c r="N1954" s="321"/>
      <c r="O1954" s="364"/>
      <c r="P1954" s="381"/>
      <c r="R1954" s="392"/>
      <c r="S1954" s="61" ph="1"/>
      <c r="U1954" s="229"/>
      <c r="V1954" s="264"/>
      <c r="W1954" s="199"/>
      <c r="X1954" s="264"/>
      <c r="Y1954" s="264"/>
      <c r="Z1954" s="386"/>
      <c r="AA1954" s="126"/>
      <c r="AD1954" s="264"/>
      <c r="AE1954" s="264"/>
      <c r="AF1954" s="264"/>
      <c r="AG1954" s="264"/>
    </row>
    <row r="1955" spans="1:33" ht="26.25">
      <c r="A1955" s="264"/>
      <c r="B1955" s="264"/>
      <c r="C1955" s="264"/>
      <c r="D1955" s="264"/>
      <c r="E1955" s="264"/>
      <c r="F1955" s="264"/>
      <c r="G1955" s="264"/>
      <c r="H1955" s="264"/>
      <c r="I1955" s="264"/>
      <c r="J1955" s="327"/>
      <c r="K1955" s="327"/>
      <c r="L1955" s="327"/>
      <c r="M1955" s="321"/>
      <c r="N1955" s="321"/>
      <c r="O1955" s="364"/>
      <c r="P1955" s="381"/>
      <c r="R1955" s="392"/>
      <c r="S1955" s="61" ph="1"/>
      <c r="U1955" s="229"/>
      <c r="V1955" s="264"/>
      <c r="W1955" s="199"/>
      <c r="X1955" s="264"/>
      <c r="Y1955" s="264"/>
      <c r="Z1955" s="386"/>
      <c r="AA1955" s="264"/>
      <c r="AD1955" s="264"/>
      <c r="AE1955" s="264"/>
      <c r="AF1955" s="264"/>
      <c r="AG1955" s="264"/>
    </row>
    <row r="1956" spans="1:33" ht="26.25">
      <c r="A1956" s="264"/>
      <c r="B1956" s="264"/>
      <c r="C1956" s="264"/>
      <c r="D1956" s="264"/>
      <c r="E1956" s="264"/>
      <c r="F1956" s="264"/>
      <c r="G1956" s="264"/>
      <c r="H1956" s="264"/>
      <c r="I1956" s="264"/>
      <c r="J1956" s="327"/>
      <c r="K1956" s="327"/>
      <c r="L1956" s="327"/>
      <c r="M1956" s="321"/>
      <c r="N1956" s="321"/>
      <c r="O1956" s="364"/>
      <c r="P1956" s="381"/>
      <c r="R1956" s="392"/>
      <c r="S1956" s="61" ph="1"/>
      <c r="U1956" s="229"/>
      <c r="V1956" s="264"/>
      <c r="W1956" s="199"/>
      <c r="X1956" s="264"/>
      <c r="Y1956" s="264"/>
      <c r="Z1956" s="386"/>
      <c r="AA1956" s="126"/>
      <c r="AD1956" s="264"/>
      <c r="AE1956" s="264"/>
      <c r="AF1956" s="264"/>
      <c r="AG1956" s="264"/>
    </row>
    <row r="1957" spans="1:33" ht="26.25">
      <c r="A1957" s="264"/>
      <c r="B1957" s="264"/>
      <c r="C1957" s="264"/>
      <c r="D1957" s="264"/>
      <c r="E1957" s="264"/>
      <c r="F1957" s="264"/>
      <c r="G1957" s="264"/>
      <c r="H1957" s="264"/>
      <c r="I1957" s="264"/>
      <c r="J1957" s="327"/>
      <c r="K1957" s="327"/>
      <c r="L1957" s="327"/>
      <c r="M1957" s="321"/>
      <c r="N1957" s="321"/>
      <c r="O1957" s="364"/>
      <c r="P1957" s="381"/>
      <c r="R1957" s="392"/>
      <c r="S1957" s="61" ph="1"/>
      <c r="U1957" s="229"/>
      <c r="V1957" s="264"/>
      <c r="W1957" s="199"/>
      <c r="X1957" s="264"/>
      <c r="Y1957" s="264"/>
      <c r="Z1957" s="386"/>
      <c r="AA1957" s="126"/>
      <c r="AD1957" s="264"/>
      <c r="AE1957" s="264"/>
      <c r="AF1957" s="264"/>
      <c r="AG1957" s="264"/>
    </row>
    <row r="1958" spans="1:33" ht="26.25">
      <c r="A1958" s="264"/>
      <c r="B1958" s="264"/>
      <c r="C1958" s="264"/>
      <c r="D1958" s="264"/>
      <c r="E1958" s="264"/>
      <c r="F1958" s="264"/>
      <c r="G1958" s="264"/>
      <c r="H1958" s="264"/>
      <c r="I1958" s="264"/>
      <c r="J1958" s="327"/>
      <c r="K1958" s="327"/>
      <c r="L1958" s="327"/>
      <c r="M1958" s="321"/>
      <c r="N1958" s="321"/>
      <c r="O1958" s="364"/>
      <c r="P1958" s="381"/>
      <c r="R1958" s="392"/>
      <c r="S1958" s="61" ph="1"/>
      <c r="U1958" s="229"/>
      <c r="V1958" s="264"/>
      <c r="W1958" s="199"/>
      <c r="X1958" s="264"/>
      <c r="Y1958" s="264"/>
      <c r="Z1958" s="386"/>
      <c r="AA1958" s="126"/>
      <c r="AD1958" s="264"/>
      <c r="AE1958" s="264"/>
      <c r="AF1958" s="264"/>
      <c r="AG1958" s="264"/>
    </row>
    <row r="1959" spans="1:33" ht="26.25">
      <c r="A1959" s="264"/>
      <c r="B1959" s="264"/>
      <c r="C1959" s="264"/>
      <c r="D1959" s="264"/>
      <c r="E1959" s="264"/>
      <c r="F1959" s="264"/>
      <c r="G1959" s="264"/>
      <c r="H1959" s="264"/>
      <c r="I1959" s="264"/>
      <c r="J1959" s="327"/>
      <c r="K1959" s="327"/>
      <c r="L1959" s="327"/>
      <c r="M1959" s="321"/>
      <c r="N1959" s="321"/>
      <c r="O1959" s="364"/>
      <c r="P1959" s="381"/>
      <c r="R1959" s="392"/>
      <c r="S1959" s="61" ph="1"/>
      <c r="U1959" s="229"/>
      <c r="V1959" s="264"/>
      <c r="W1959" s="199"/>
      <c r="X1959" s="264"/>
      <c r="Y1959" s="264"/>
      <c r="Z1959" s="386"/>
      <c r="AA1959" s="126"/>
      <c r="AD1959" s="264"/>
      <c r="AE1959" s="264"/>
      <c r="AF1959" s="264"/>
      <c r="AG1959" s="264"/>
    </row>
    <row r="1960" spans="1:33" ht="26.25">
      <c r="A1960" s="264"/>
      <c r="B1960" s="264"/>
      <c r="C1960" s="264"/>
      <c r="D1960" s="264"/>
      <c r="E1960" s="264"/>
      <c r="F1960" s="264"/>
      <c r="G1960" s="264"/>
      <c r="H1960" s="264"/>
      <c r="I1960" s="264"/>
      <c r="J1960" s="327"/>
      <c r="K1960" s="327"/>
      <c r="L1960" s="327"/>
      <c r="M1960" s="321"/>
      <c r="N1960" s="321"/>
      <c r="O1960" s="364"/>
      <c r="P1960" s="381"/>
      <c r="R1960" s="392"/>
      <c r="S1960" s="61" ph="1"/>
      <c r="U1960" s="229"/>
      <c r="V1960" s="264"/>
      <c r="W1960" s="199"/>
      <c r="X1960" s="264"/>
      <c r="Y1960" s="264"/>
      <c r="Z1960" s="386"/>
      <c r="AA1960" s="126"/>
      <c r="AD1960" s="264"/>
      <c r="AE1960" s="264"/>
      <c r="AF1960" s="264"/>
      <c r="AG1960" s="264"/>
    </row>
    <row r="1961" spans="1:33" ht="26.25">
      <c r="A1961" s="264"/>
      <c r="B1961" s="264"/>
      <c r="C1961" s="264"/>
      <c r="D1961" s="264"/>
      <c r="E1961" s="264"/>
      <c r="F1961" s="264"/>
      <c r="G1961" s="264"/>
      <c r="H1961" s="264"/>
      <c r="I1961" s="264"/>
      <c r="J1961" s="327"/>
      <c r="K1961" s="327"/>
      <c r="L1961" s="327"/>
      <c r="M1961" s="321"/>
      <c r="N1961" s="321"/>
      <c r="O1961" s="364"/>
      <c r="P1961" s="381"/>
      <c r="R1961" s="392"/>
      <c r="S1961" s="61" ph="1"/>
      <c r="U1961" s="229"/>
      <c r="V1961" s="264"/>
      <c r="W1961" s="199"/>
      <c r="X1961" s="264"/>
      <c r="Y1961" s="264"/>
      <c r="Z1961" s="386"/>
      <c r="AA1961" s="126"/>
      <c r="AD1961" s="264"/>
      <c r="AE1961" s="264"/>
      <c r="AF1961" s="264"/>
      <c r="AG1961" s="264"/>
    </row>
    <row r="1962" spans="1:33" ht="26.25">
      <c r="A1962" s="264"/>
      <c r="B1962" s="264"/>
      <c r="C1962" s="264"/>
      <c r="D1962" s="264"/>
      <c r="E1962" s="264"/>
      <c r="F1962" s="264"/>
      <c r="G1962" s="264"/>
      <c r="H1962" s="264"/>
      <c r="I1962" s="264"/>
      <c r="J1962" s="327"/>
      <c r="K1962" s="327"/>
      <c r="L1962" s="327"/>
      <c r="M1962" s="321"/>
      <c r="N1962" s="321"/>
      <c r="O1962" s="364"/>
      <c r="P1962" s="381"/>
      <c r="R1962" s="392"/>
      <c r="S1962" s="61" ph="1"/>
      <c r="U1962" s="229"/>
      <c r="V1962" s="264"/>
      <c r="W1962" s="199"/>
      <c r="X1962" s="264"/>
      <c r="Y1962" s="264"/>
      <c r="Z1962" s="386"/>
      <c r="AA1962" s="126"/>
      <c r="AD1962" s="264"/>
      <c r="AE1962" s="264"/>
      <c r="AF1962" s="264"/>
      <c r="AG1962" s="264"/>
    </row>
    <row r="1963" spans="1:33" ht="26.25">
      <c r="A1963" s="264"/>
      <c r="B1963" s="264"/>
      <c r="C1963" s="264"/>
      <c r="D1963" s="264"/>
      <c r="E1963" s="264"/>
      <c r="F1963" s="264"/>
      <c r="G1963" s="264"/>
      <c r="H1963" s="264"/>
      <c r="I1963" s="264"/>
      <c r="J1963" s="327"/>
      <c r="K1963" s="327"/>
      <c r="L1963" s="327"/>
      <c r="M1963" s="321"/>
      <c r="N1963" s="321"/>
      <c r="O1963" s="364"/>
      <c r="P1963" s="381"/>
      <c r="R1963" s="392"/>
      <c r="S1963" s="61" ph="1"/>
      <c r="U1963" s="229"/>
      <c r="V1963" s="264"/>
      <c r="W1963" s="199"/>
      <c r="X1963" s="264"/>
      <c r="Y1963" s="264"/>
      <c r="Z1963" s="386"/>
      <c r="AA1963" s="126"/>
      <c r="AD1963" s="264"/>
      <c r="AE1963" s="264"/>
      <c r="AF1963" s="264"/>
      <c r="AG1963" s="264"/>
    </row>
    <row r="1964" spans="1:33" ht="26.25">
      <c r="A1964" s="264"/>
      <c r="B1964" s="264"/>
      <c r="C1964" s="264"/>
      <c r="D1964" s="264"/>
      <c r="E1964" s="264"/>
      <c r="F1964" s="264"/>
      <c r="G1964" s="264"/>
      <c r="H1964" s="264"/>
      <c r="I1964" s="264"/>
      <c r="J1964" s="327"/>
      <c r="K1964" s="327"/>
      <c r="L1964" s="327"/>
      <c r="M1964" s="321"/>
      <c r="N1964" s="321"/>
      <c r="O1964" s="364"/>
      <c r="P1964" s="381"/>
      <c r="R1964" s="392"/>
      <c r="S1964" s="61" ph="1"/>
      <c r="U1964" s="229"/>
      <c r="V1964" s="264"/>
      <c r="W1964" s="199"/>
      <c r="X1964" s="264"/>
      <c r="Y1964" s="264"/>
      <c r="Z1964" s="386"/>
      <c r="AA1964" s="126"/>
      <c r="AD1964" s="264"/>
      <c r="AE1964" s="264"/>
      <c r="AF1964" s="264"/>
      <c r="AG1964" s="264"/>
    </row>
    <row r="1965" spans="1:33" ht="26.25">
      <c r="A1965" s="264"/>
      <c r="B1965" s="264"/>
      <c r="C1965" s="264"/>
      <c r="D1965" s="264"/>
      <c r="E1965" s="264"/>
      <c r="F1965" s="264"/>
      <c r="G1965" s="264"/>
      <c r="H1965" s="264"/>
      <c r="I1965" s="264"/>
      <c r="J1965" s="327"/>
      <c r="K1965" s="327"/>
      <c r="L1965" s="327"/>
      <c r="M1965" s="321"/>
      <c r="N1965" s="321"/>
      <c r="O1965" s="364"/>
      <c r="P1965" s="381"/>
      <c r="R1965" s="392"/>
      <c r="S1965" s="61" ph="1"/>
      <c r="U1965" s="229"/>
      <c r="V1965" s="264"/>
      <c r="W1965" s="199"/>
      <c r="X1965" s="264"/>
      <c r="Y1965" s="264"/>
      <c r="Z1965" s="386"/>
      <c r="AA1965" s="126"/>
      <c r="AD1965" s="264"/>
      <c r="AE1965" s="264"/>
      <c r="AF1965" s="264"/>
      <c r="AG1965" s="264"/>
    </row>
    <row r="1966" spans="1:33" ht="26.25">
      <c r="A1966" s="264"/>
      <c r="B1966" s="264"/>
      <c r="C1966" s="264"/>
      <c r="D1966" s="264"/>
      <c r="E1966" s="264"/>
      <c r="F1966" s="264"/>
      <c r="G1966" s="264"/>
      <c r="H1966" s="264"/>
      <c r="I1966" s="264"/>
      <c r="J1966" s="327"/>
      <c r="K1966" s="327"/>
      <c r="L1966" s="327"/>
      <c r="M1966" s="321"/>
      <c r="N1966" s="321"/>
      <c r="O1966" s="364"/>
      <c r="P1966" s="381"/>
      <c r="R1966" s="392"/>
      <c r="S1966" s="61" ph="1"/>
      <c r="U1966" s="229"/>
      <c r="V1966" s="264"/>
      <c r="W1966" s="199"/>
      <c r="X1966" s="264"/>
      <c r="Y1966" s="264"/>
      <c r="Z1966" s="386"/>
      <c r="AA1966" s="126"/>
      <c r="AD1966" s="264"/>
      <c r="AE1966" s="264"/>
      <c r="AF1966" s="264"/>
      <c r="AG1966" s="264"/>
    </row>
    <row r="1967" spans="1:33" ht="26.25">
      <c r="A1967" s="264"/>
      <c r="B1967" s="264"/>
      <c r="C1967" s="264"/>
      <c r="D1967" s="264"/>
      <c r="E1967" s="264"/>
      <c r="F1967" s="264"/>
      <c r="G1967" s="264"/>
      <c r="H1967" s="264"/>
      <c r="I1967" s="264"/>
      <c r="J1967" s="327"/>
      <c r="K1967" s="327"/>
      <c r="L1967" s="327"/>
      <c r="M1967" s="321"/>
      <c r="N1967" s="321"/>
      <c r="O1967" s="364"/>
      <c r="P1967" s="381"/>
      <c r="R1967" s="392"/>
      <c r="S1967" s="61" ph="1"/>
      <c r="U1967" s="229"/>
      <c r="V1967" s="264"/>
      <c r="W1967" s="199"/>
      <c r="X1967" s="264"/>
      <c r="Y1967" s="264"/>
      <c r="Z1967" s="386"/>
      <c r="AA1967" s="264"/>
      <c r="AD1967" s="264"/>
      <c r="AE1967" s="264"/>
      <c r="AF1967" s="264"/>
      <c r="AG1967" s="264"/>
    </row>
    <row r="1968" spans="1:33" ht="26.25">
      <c r="A1968" s="264"/>
      <c r="B1968" s="264"/>
      <c r="C1968" s="264"/>
      <c r="D1968" s="264"/>
      <c r="E1968" s="264"/>
      <c r="F1968" s="264"/>
      <c r="G1968" s="264"/>
      <c r="H1968" s="264"/>
      <c r="I1968" s="264"/>
      <c r="J1968" s="327"/>
      <c r="K1968" s="327"/>
      <c r="L1968" s="327"/>
      <c r="M1968" s="321"/>
      <c r="N1968" s="321"/>
      <c r="O1968" s="364"/>
      <c r="P1968" s="381"/>
      <c r="R1968" s="392"/>
      <c r="S1968" s="61" ph="1"/>
      <c r="U1968" s="229"/>
      <c r="V1968" s="264"/>
      <c r="W1968" s="199"/>
      <c r="X1968" s="264"/>
      <c r="Y1968" s="264"/>
      <c r="Z1968" s="386"/>
      <c r="AA1968" s="264"/>
      <c r="AD1968" s="264"/>
      <c r="AE1968" s="264"/>
      <c r="AF1968" s="264"/>
      <c r="AG1968" s="264"/>
    </row>
    <row r="1969" spans="1:33" ht="26.25">
      <c r="A1969" s="264"/>
      <c r="B1969" s="264"/>
      <c r="C1969" s="264"/>
      <c r="D1969" s="264"/>
      <c r="E1969" s="264"/>
      <c r="F1969" s="264"/>
      <c r="G1969" s="264"/>
      <c r="H1969" s="264"/>
      <c r="I1969" s="264"/>
      <c r="J1969" s="327"/>
      <c r="K1969" s="327"/>
      <c r="L1969" s="327"/>
      <c r="M1969" s="321"/>
      <c r="N1969" s="321"/>
      <c r="O1969" s="364"/>
      <c r="P1969" s="381"/>
      <c r="R1969" s="392"/>
      <c r="S1969" s="61" ph="1"/>
      <c r="U1969" s="229"/>
      <c r="V1969" s="264"/>
      <c r="W1969" s="199"/>
      <c r="X1969" s="264"/>
      <c r="Y1969" s="264"/>
      <c r="Z1969" s="386"/>
      <c r="AA1969" s="264"/>
      <c r="AD1969" s="264"/>
      <c r="AE1969" s="264"/>
      <c r="AF1969" s="264"/>
      <c r="AG1969" s="264"/>
    </row>
    <row r="1970" spans="1:33" ht="26.25">
      <c r="A1970" s="264"/>
      <c r="B1970" s="264"/>
      <c r="C1970" s="264"/>
      <c r="D1970" s="264"/>
      <c r="E1970" s="264"/>
      <c r="F1970" s="264"/>
      <c r="G1970" s="264"/>
      <c r="H1970" s="264"/>
      <c r="I1970" s="264"/>
      <c r="J1970" s="327"/>
      <c r="K1970" s="327"/>
      <c r="L1970" s="327"/>
      <c r="M1970" s="321"/>
      <c r="N1970" s="321"/>
      <c r="O1970" s="364"/>
      <c r="P1970" s="381"/>
      <c r="R1970" s="392"/>
      <c r="S1970" s="61" ph="1"/>
      <c r="U1970" s="229"/>
      <c r="V1970" s="264"/>
      <c r="W1970" s="199"/>
      <c r="X1970" s="264"/>
      <c r="Y1970" s="264"/>
      <c r="Z1970" s="386"/>
      <c r="AA1970" s="264"/>
      <c r="AD1970" s="264"/>
      <c r="AE1970" s="264"/>
      <c r="AF1970" s="264"/>
      <c r="AG1970" s="264"/>
    </row>
    <row r="1971" spans="1:33" ht="26.25">
      <c r="A1971" s="264"/>
      <c r="B1971" s="264"/>
      <c r="C1971" s="264"/>
      <c r="D1971" s="264"/>
      <c r="E1971" s="264"/>
      <c r="F1971" s="264"/>
      <c r="G1971" s="264"/>
      <c r="H1971" s="264"/>
      <c r="I1971" s="264"/>
      <c r="J1971" s="327"/>
      <c r="K1971" s="327"/>
      <c r="L1971" s="327"/>
      <c r="M1971" s="321"/>
      <c r="N1971" s="321"/>
      <c r="O1971" s="364"/>
      <c r="P1971" s="381"/>
      <c r="R1971" s="392"/>
      <c r="S1971" s="61" ph="1"/>
      <c r="U1971" s="229"/>
      <c r="V1971" s="264"/>
      <c r="W1971" s="199"/>
      <c r="X1971" s="264"/>
      <c r="Y1971" s="264"/>
      <c r="Z1971" s="386"/>
      <c r="AA1971" s="264"/>
      <c r="AD1971" s="264"/>
      <c r="AE1971" s="264"/>
      <c r="AF1971" s="264"/>
      <c r="AG1971" s="264"/>
    </row>
    <row r="1972" spans="1:33" ht="26.25">
      <c r="A1972" s="264"/>
      <c r="B1972" s="264"/>
      <c r="C1972" s="264"/>
      <c r="D1972" s="264"/>
      <c r="E1972" s="264"/>
      <c r="F1972" s="264"/>
      <c r="G1972" s="264"/>
      <c r="H1972" s="264"/>
      <c r="I1972" s="264"/>
      <c r="J1972" s="327"/>
      <c r="K1972" s="327"/>
      <c r="L1972" s="327"/>
      <c r="M1972" s="321"/>
      <c r="N1972" s="321"/>
      <c r="O1972" s="364"/>
      <c r="P1972" s="381"/>
      <c r="R1972" s="392"/>
      <c r="S1972" s="61" ph="1"/>
      <c r="U1972" s="229"/>
      <c r="V1972" s="264"/>
      <c r="W1972" s="199"/>
      <c r="X1972" s="264"/>
      <c r="Y1972" s="264"/>
      <c r="Z1972" s="386"/>
      <c r="AA1972" s="264"/>
      <c r="AD1972" s="264"/>
      <c r="AE1972" s="264"/>
      <c r="AF1972" s="264"/>
      <c r="AG1972" s="264"/>
    </row>
    <row r="1973" spans="1:33" ht="26.25">
      <c r="A1973" s="264"/>
      <c r="B1973" s="264"/>
      <c r="C1973" s="264"/>
      <c r="D1973" s="264"/>
      <c r="E1973" s="264"/>
      <c r="F1973" s="264"/>
      <c r="G1973" s="264"/>
      <c r="H1973" s="264"/>
      <c r="I1973" s="264"/>
      <c r="J1973" s="327"/>
      <c r="K1973" s="327"/>
      <c r="L1973" s="327"/>
      <c r="M1973" s="321"/>
      <c r="N1973" s="321"/>
      <c r="O1973" s="364"/>
      <c r="P1973" s="381"/>
      <c r="R1973" s="392"/>
      <c r="S1973" s="61" ph="1"/>
      <c r="U1973" s="229"/>
      <c r="V1973" s="264"/>
      <c r="W1973" s="199"/>
      <c r="X1973" s="264"/>
      <c r="Y1973" s="264"/>
      <c r="Z1973" s="386"/>
      <c r="AA1973" s="264"/>
      <c r="AD1973" s="264"/>
      <c r="AE1973" s="264"/>
      <c r="AF1973" s="264"/>
      <c r="AG1973" s="264"/>
    </row>
    <row r="1974" spans="1:33" ht="26.25">
      <c r="A1974" s="264"/>
      <c r="B1974" s="264"/>
      <c r="C1974" s="264"/>
      <c r="D1974" s="264"/>
      <c r="E1974" s="264"/>
      <c r="F1974" s="264"/>
      <c r="G1974" s="264"/>
      <c r="H1974" s="264"/>
      <c r="I1974" s="264"/>
      <c r="J1974" s="327"/>
      <c r="K1974" s="327"/>
      <c r="L1974" s="327"/>
      <c r="M1974" s="321"/>
      <c r="N1974" s="321"/>
      <c r="O1974" s="364"/>
      <c r="P1974" s="381"/>
      <c r="R1974" s="392"/>
      <c r="S1974" s="61" ph="1"/>
      <c r="U1974" s="229"/>
      <c r="V1974" s="264"/>
      <c r="W1974" s="199"/>
      <c r="X1974" s="264"/>
      <c r="Y1974" s="264"/>
      <c r="Z1974" s="386"/>
      <c r="AA1974" s="264"/>
      <c r="AD1974" s="264"/>
      <c r="AE1974" s="264"/>
      <c r="AF1974" s="264"/>
      <c r="AG1974" s="264"/>
    </row>
    <row r="1975" spans="1:33" ht="26.25">
      <c r="A1975" s="264"/>
      <c r="B1975" s="264"/>
      <c r="C1975" s="264"/>
      <c r="D1975" s="264"/>
      <c r="E1975" s="264"/>
      <c r="F1975" s="264"/>
      <c r="G1975" s="264"/>
      <c r="H1975" s="264"/>
      <c r="I1975" s="264"/>
      <c r="J1975" s="327"/>
      <c r="K1975" s="327"/>
      <c r="L1975" s="327"/>
      <c r="M1975" s="321"/>
      <c r="N1975" s="321"/>
      <c r="O1975" s="364"/>
      <c r="P1975" s="381"/>
      <c r="R1975" s="392"/>
      <c r="S1975" s="61" ph="1"/>
      <c r="U1975" s="229"/>
      <c r="V1975" s="264"/>
      <c r="W1975" s="199"/>
      <c r="X1975" s="264"/>
      <c r="Y1975" s="264"/>
      <c r="Z1975" s="386"/>
      <c r="AA1975" s="264"/>
      <c r="AD1975" s="264"/>
      <c r="AE1975" s="264"/>
      <c r="AF1975" s="264"/>
      <c r="AG1975" s="264"/>
    </row>
    <row r="1976" spans="1:33" ht="26.25">
      <c r="A1976" s="264"/>
      <c r="B1976" s="264"/>
      <c r="C1976" s="264"/>
      <c r="D1976" s="264"/>
      <c r="E1976" s="264"/>
      <c r="F1976" s="264"/>
      <c r="G1976" s="264"/>
      <c r="H1976" s="264"/>
      <c r="I1976" s="264"/>
      <c r="J1976" s="327"/>
      <c r="K1976" s="327"/>
      <c r="L1976" s="327"/>
      <c r="M1976" s="321"/>
      <c r="N1976" s="321"/>
      <c r="O1976" s="364"/>
      <c r="P1976" s="381"/>
      <c r="R1976" s="392"/>
      <c r="S1976" s="61" ph="1"/>
      <c r="U1976" s="229"/>
      <c r="V1976" s="264"/>
      <c r="W1976" s="199"/>
      <c r="X1976" s="264"/>
      <c r="Y1976" s="264"/>
      <c r="Z1976" s="386"/>
      <c r="AA1976" s="126"/>
      <c r="AD1976" s="264"/>
      <c r="AE1976" s="264"/>
      <c r="AF1976" s="264"/>
      <c r="AG1976" s="264"/>
    </row>
    <row r="1977" spans="1:33" ht="26.25">
      <c r="A1977" s="264"/>
      <c r="B1977" s="264"/>
      <c r="C1977" s="264"/>
      <c r="D1977" s="264"/>
      <c r="E1977" s="264"/>
      <c r="F1977" s="264"/>
      <c r="G1977" s="264"/>
      <c r="H1977" s="264"/>
      <c r="I1977" s="264"/>
      <c r="J1977" s="327"/>
      <c r="K1977" s="327"/>
      <c r="L1977" s="327"/>
      <c r="M1977" s="321"/>
      <c r="N1977" s="321"/>
      <c r="O1977" s="364"/>
      <c r="P1977" s="381"/>
      <c r="R1977" s="392"/>
      <c r="S1977" s="61" ph="1"/>
      <c r="U1977" s="229"/>
      <c r="V1977" s="264"/>
      <c r="W1977" s="199"/>
      <c r="X1977" s="264"/>
      <c r="Y1977" s="264"/>
      <c r="Z1977" s="386"/>
      <c r="AA1977" s="264"/>
      <c r="AD1977" s="264"/>
      <c r="AE1977" s="264"/>
      <c r="AF1977" s="264"/>
      <c r="AG1977" s="264"/>
    </row>
    <row r="1978" spans="1:33" ht="26.25">
      <c r="A1978" s="264"/>
      <c r="B1978" s="264"/>
      <c r="C1978" s="264"/>
      <c r="D1978" s="264"/>
      <c r="E1978" s="264"/>
      <c r="F1978" s="264"/>
      <c r="G1978" s="264"/>
      <c r="H1978" s="264"/>
      <c r="I1978" s="264"/>
      <c r="J1978" s="327"/>
      <c r="K1978" s="327"/>
      <c r="L1978" s="327"/>
      <c r="M1978" s="321"/>
      <c r="N1978" s="321"/>
      <c r="O1978" s="364"/>
      <c r="P1978" s="381"/>
      <c r="R1978" s="392"/>
      <c r="S1978" s="61" ph="1"/>
      <c r="U1978" s="229"/>
      <c r="V1978" s="264"/>
      <c r="W1978" s="199"/>
      <c r="X1978" s="264"/>
      <c r="Y1978" s="264"/>
      <c r="Z1978" s="386"/>
      <c r="AA1978" s="264"/>
      <c r="AD1978" s="264"/>
      <c r="AE1978" s="264"/>
      <c r="AF1978" s="264"/>
      <c r="AG1978" s="264"/>
    </row>
    <row r="1979" spans="1:33" ht="26.25">
      <c r="A1979" s="264"/>
      <c r="B1979" s="264"/>
      <c r="C1979" s="264"/>
      <c r="D1979" s="264"/>
      <c r="E1979" s="264"/>
      <c r="F1979" s="264"/>
      <c r="G1979" s="264"/>
      <c r="H1979" s="264"/>
      <c r="I1979" s="264"/>
      <c r="J1979" s="327"/>
      <c r="K1979" s="327"/>
      <c r="L1979" s="327"/>
      <c r="M1979" s="321"/>
      <c r="N1979" s="321"/>
      <c r="O1979" s="364"/>
      <c r="P1979" s="381"/>
      <c r="R1979" s="392"/>
      <c r="S1979" s="61" ph="1"/>
      <c r="U1979" s="229"/>
      <c r="V1979" s="264"/>
      <c r="W1979" s="199"/>
      <c r="X1979" s="264"/>
      <c r="Y1979" s="264"/>
      <c r="Z1979" s="386"/>
      <c r="AA1979" s="264"/>
      <c r="AD1979" s="264"/>
      <c r="AE1979" s="264"/>
      <c r="AF1979" s="264"/>
      <c r="AG1979" s="264"/>
    </row>
    <row r="1980" spans="1:33" ht="26.25">
      <c r="A1980" s="264"/>
      <c r="B1980" s="264"/>
      <c r="C1980" s="264"/>
      <c r="D1980" s="264"/>
      <c r="E1980" s="264"/>
      <c r="F1980" s="264"/>
      <c r="G1980" s="264"/>
      <c r="H1980" s="264"/>
      <c r="I1980" s="264"/>
      <c r="J1980" s="327"/>
      <c r="K1980" s="327"/>
      <c r="L1980" s="327"/>
      <c r="M1980" s="321"/>
      <c r="N1980" s="321"/>
      <c r="O1980" s="364"/>
      <c r="P1980" s="381"/>
      <c r="R1980" s="392"/>
      <c r="S1980" s="61" ph="1"/>
      <c r="U1980" s="229"/>
      <c r="V1980" s="264"/>
      <c r="W1980" s="199"/>
      <c r="X1980" s="264"/>
      <c r="Y1980" s="264"/>
      <c r="Z1980" s="386"/>
      <c r="AA1980" s="126"/>
      <c r="AD1980" s="264"/>
      <c r="AE1980" s="264"/>
      <c r="AF1980" s="264"/>
      <c r="AG1980" s="264"/>
    </row>
    <row r="1981" spans="1:33" ht="26.25">
      <c r="A1981" s="264"/>
      <c r="B1981" s="264"/>
      <c r="C1981" s="264"/>
      <c r="D1981" s="264"/>
      <c r="E1981" s="264"/>
      <c r="F1981" s="264"/>
      <c r="G1981" s="264"/>
      <c r="H1981" s="264"/>
      <c r="I1981" s="264"/>
      <c r="J1981" s="327"/>
      <c r="K1981" s="327"/>
      <c r="L1981" s="327"/>
      <c r="M1981" s="321"/>
      <c r="N1981" s="321"/>
      <c r="O1981" s="364"/>
      <c r="P1981" s="381"/>
      <c r="R1981" s="392"/>
      <c r="S1981" s="61" ph="1"/>
      <c r="U1981" s="229"/>
      <c r="V1981" s="264"/>
      <c r="W1981" s="199"/>
      <c r="X1981" s="264"/>
      <c r="Y1981" s="264"/>
      <c r="Z1981" s="386"/>
      <c r="AA1981" s="264"/>
      <c r="AD1981" s="264"/>
      <c r="AE1981" s="264"/>
      <c r="AF1981" s="264"/>
      <c r="AG1981" s="264"/>
    </row>
    <row r="1982" spans="1:33" ht="26.25">
      <c r="A1982" s="264"/>
      <c r="B1982" s="264"/>
      <c r="C1982" s="264"/>
      <c r="D1982" s="264"/>
      <c r="E1982" s="264"/>
      <c r="F1982" s="264"/>
      <c r="G1982" s="264"/>
      <c r="H1982" s="264"/>
      <c r="I1982" s="264"/>
      <c r="J1982" s="327"/>
      <c r="K1982" s="327"/>
      <c r="L1982" s="327"/>
      <c r="M1982" s="321"/>
      <c r="N1982" s="321"/>
      <c r="O1982" s="364"/>
      <c r="P1982" s="381"/>
      <c r="R1982" s="392"/>
      <c r="S1982" s="61" ph="1"/>
      <c r="U1982" s="229"/>
      <c r="V1982" s="264"/>
      <c r="W1982" s="199"/>
      <c r="X1982" s="264"/>
      <c r="Y1982" s="264"/>
      <c r="Z1982" s="386"/>
      <c r="AA1982" s="264"/>
      <c r="AD1982" s="264"/>
      <c r="AE1982" s="264"/>
      <c r="AF1982" s="264"/>
      <c r="AG1982" s="264"/>
    </row>
    <row r="1983" spans="1:33" ht="26.25">
      <c r="A1983" s="264"/>
      <c r="B1983" s="264"/>
      <c r="C1983" s="264"/>
      <c r="D1983" s="264"/>
      <c r="E1983" s="264"/>
      <c r="F1983" s="264"/>
      <c r="G1983" s="264"/>
      <c r="H1983" s="264"/>
      <c r="I1983" s="264"/>
      <c r="J1983" s="327"/>
      <c r="K1983" s="327"/>
      <c r="L1983" s="327"/>
      <c r="M1983" s="321"/>
      <c r="N1983" s="321"/>
      <c r="O1983" s="364"/>
      <c r="P1983" s="381"/>
      <c r="R1983" s="392"/>
      <c r="S1983" s="61" ph="1"/>
      <c r="U1983" s="229"/>
      <c r="V1983" s="264"/>
      <c r="W1983" s="199"/>
      <c r="X1983" s="264"/>
      <c r="Y1983" s="264"/>
      <c r="Z1983" s="386"/>
      <c r="AA1983" s="126"/>
      <c r="AD1983" s="264"/>
      <c r="AE1983" s="264"/>
      <c r="AF1983" s="264"/>
      <c r="AG1983" s="264"/>
    </row>
    <row r="1984" spans="1:33" ht="26.25">
      <c r="A1984" s="264"/>
      <c r="B1984" s="264"/>
      <c r="C1984" s="264"/>
      <c r="D1984" s="264"/>
      <c r="E1984" s="264"/>
      <c r="F1984" s="264"/>
      <c r="G1984" s="264"/>
      <c r="H1984" s="264"/>
      <c r="I1984" s="264"/>
      <c r="J1984" s="327"/>
      <c r="K1984" s="327"/>
      <c r="L1984" s="327"/>
      <c r="M1984" s="321"/>
      <c r="N1984" s="321"/>
      <c r="O1984" s="364"/>
      <c r="P1984" s="381"/>
      <c r="R1984" s="392"/>
      <c r="S1984" s="61" ph="1"/>
      <c r="U1984" s="229"/>
      <c r="V1984" s="264"/>
      <c r="W1984" s="199"/>
      <c r="X1984" s="264"/>
      <c r="Y1984" s="264"/>
      <c r="Z1984" s="386"/>
      <c r="AA1984" s="126"/>
      <c r="AD1984" s="264"/>
      <c r="AE1984" s="264"/>
      <c r="AF1984" s="264"/>
      <c r="AG1984" s="264"/>
    </row>
    <row r="1985" spans="1:33" ht="26.25">
      <c r="A1985" s="264"/>
      <c r="B1985" s="264"/>
      <c r="C1985" s="264"/>
      <c r="D1985" s="264"/>
      <c r="E1985" s="264"/>
      <c r="F1985" s="264"/>
      <c r="G1985" s="264"/>
      <c r="H1985" s="264"/>
      <c r="I1985" s="264"/>
      <c r="J1985" s="327"/>
      <c r="K1985" s="327"/>
      <c r="L1985" s="327"/>
      <c r="M1985" s="321"/>
      <c r="N1985" s="321"/>
      <c r="O1985" s="364"/>
      <c r="P1985" s="381"/>
      <c r="R1985" s="392"/>
      <c r="S1985" s="61" ph="1"/>
      <c r="U1985" s="229"/>
      <c r="V1985" s="264"/>
      <c r="W1985" s="199"/>
      <c r="X1985" s="264"/>
      <c r="Y1985" s="264"/>
      <c r="Z1985" s="386"/>
      <c r="AD1985" s="264"/>
      <c r="AE1985" s="264"/>
      <c r="AF1985" s="264"/>
      <c r="AG1985" s="264"/>
    </row>
    <row r="1986" spans="1:33" ht="26.25">
      <c r="A1986" s="264"/>
      <c r="B1986" s="264"/>
      <c r="C1986" s="264"/>
      <c r="D1986" s="264"/>
      <c r="E1986" s="264"/>
      <c r="F1986" s="264"/>
      <c r="G1986" s="264"/>
      <c r="H1986" s="264"/>
      <c r="I1986" s="264"/>
      <c r="J1986" s="327"/>
      <c r="K1986" s="327"/>
      <c r="L1986" s="327"/>
      <c r="M1986" s="321"/>
      <c r="N1986" s="321"/>
      <c r="O1986" s="364"/>
      <c r="P1986" s="381"/>
      <c r="R1986" s="392"/>
      <c r="S1986" s="61" ph="1"/>
      <c r="U1986" s="229"/>
      <c r="V1986" s="264"/>
      <c r="W1986" s="199"/>
      <c r="X1986" s="264"/>
      <c r="Y1986" s="264"/>
      <c r="Z1986" s="386"/>
      <c r="AD1986" s="264"/>
      <c r="AE1986" s="264"/>
      <c r="AF1986" s="264"/>
      <c r="AG1986" s="264"/>
    </row>
    <row r="1987" spans="1:33" ht="26.25">
      <c r="A1987" s="264"/>
      <c r="B1987" s="264"/>
      <c r="C1987" s="264"/>
      <c r="D1987" s="264"/>
      <c r="E1987" s="264"/>
      <c r="F1987" s="264"/>
      <c r="G1987" s="264"/>
      <c r="H1987" s="264"/>
      <c r="I1987" s="264"/>
      <c r="J1987" s="327"/>
      <c r="K1987" s="327"/>
      <c r="L1987" s="327"/>
      <c r="M1987" s="321"/>
      <c r="N1987" s="321"/>
      <c r="O1987" s="364"/>
      <c r="P1987" s="381"/>
      <c r="R1987" s="392"/>
      <c r="S1987" s="61" ph="1"/>
      <c r="U1987" s="229"/>
      <c r="V1987" s="264"/>
      <c r="W1987" s="199"/>
      <c r="X1987" s="264"/>
      <c r="Y1987" s="264"/>
      <c r="Z1987" s="386"/>
      <c r="AD1987" s="264"/>
      <c r="AE1987" s="264"/>
      <c r="AF1987" s="264"/>
      <c r="AG1987" s="264"/>
    </row>
    <row r="1988" spans="1:33" ht="26.25">
      <c r="A1988" s="264"/>
      <c r="B1988" s="264"/>
      <c r="C1988" s="264"/>
      <c r="D1988" s="264"/>
      <c r="E1988" s="264"/>
      <c r="F1988" s="264"/>
      <c r="G1988" s="264"/>
      <c r="H1988" s="264"/>
      <c r="I1988" s="264"/>
      <c r="J1988" s="327"/>
      <c r="K1988" s="327"/>
      <c r="L1988" s="327"/>
      <c r="M1988" s="321"/>
      <c r="N1988" s="321"/>
      <c r="O1988" s="364"/>
      <c r="P1988" s="381"/>
      <c r="R1988" s="392"/>
      <c r="S1988" s="61" ph="1"/>
      <c r="U1988" s="229"/>
      <c r="V1988" s="264"/>
      <c r="W1988" s="199"/>
      <c r="X1988" s="264"/>
      <c r="Y1988" s="264"/>
      <c r="Z1988" s="386"/>
      <c r="AD1988" s="264"/>
      <c r="AE1988" s="264"/>
      <c r="AF1988" s="264"/>
      <c r="AG1988" s="264"/>
    </row>
    <row r="1989" spans="1:33" ht="26.25">
      <c r="A1989" s="264"/>
      <c r="B1989" s="264"/>
      <c r="C1989" s="264"/>
      <c r="D1989" s="264"/>
      <c r="E1989" s="264"/>
      <c r="F1989" s="264"/>
      <c r="G1989" s="264"/>
      <c r="H1989" s="264"/>
      <c r="I1989" s="264"/>
      <c r="J1989" s="327"/>
      <c r="K1989" s="327"/>
      <c r="L1989" s="327"/>
      <c r="M1989" s="321"/>
      <c r="N1989" s="321"/>
      <c r="O1989" s="364"/>
      <c r="P1989" s="381"/>
      <c r="R1989" s="392"/>
      <c r="S1989" s="61" ph="1"/>
      <c r="U1989" s="229"/>
      <c r="V1989" s="264"/>
      <c r="W1989" s="199"/>
      <c r="X1989" s="264"/>
      <c r="Y1989" s="264"/>
      <c r="Z1989" s="386"/>
      <c r="AD1989" s="264"/>
      <c r="AE1989" s="264"/>
      <c r="AF1989" s="264"/>
      <c r="AG1989" s="264"/>
    </row>
    <row r="1990" spans="1:33" ht="26.25">
      <c r="A1990" s="264"/>
      <c r="B1990" s="264"/>
      <c r="C1990" s="264"/>
      <c r="D1990" s="264"/>
      <c r="E1990" s="264"/>
      <c r="F1990" s="264"/>
      <c r="G1990" s="264"/>
      <c r="H1990" s="264"/>
      <c r="I1990" s="264"/>
      <c r="J1990" s="327"/>
      <c r="K1990" s="327"/>
      <c r="L1990" s="327"/>
      <c r="M1990" s="321"/>
      <c r="N1990" s="321"/>
      <c r="O1990" s="364"/>
      <c r="P1990" s="381"/>
      <c r="R1990" s="392"/>
      <c r="S1990" s="61" ph="1"/>
      <c r="U1990" s="229"/>
      <c r="V1990" s="264"/>
      <c r="W1990" s="199"/>
      <c r="X1990" s="264"/>
      <c r="Y1990" s="264"/>
      <c r="Z1990" s="386"/>
      <c r="AD1990" s="264"/>
      <c r="AE1990" s="264"/>
      <c r="AF1990" s="264"/>
      <c r="AG1990" s="264"/>
    </row>
    <row r="1991" spans="1:33" ht="26.25">
      <c r="A1991" s="264"/>
      <c r="B1991" s="264"/>
      <c r="C1991" s="264"/>
      <c r="D1991" s="264"/>
      <c r="E1991" s="264"/>
      <c r="F1991" s="264"/>
      <c r="G1991" s="264"/>
      <c r="H1991" s="264"/>
      <c r="I1991" s="264"/>
      <c r="J1991" s="327"/>
      <c r="K1991" s="327"/>
      <c r="L1991" s="327"/>
      <c r="M1991" s="321"/>
      <c r="N1991" s="321"/>
      <c r="O1991" s="364"/>
      <c r="P1991" s="381"/>
      <c r="R1991" s="392"/>
      <c r="S1991" s="61" ph="1"/>
      <c r="U1991" s="229"/>
      <c r="V1991" s="264"/>
      <c r="W1991" s="199"/>
      <c r="X1991" s="264"/>
      <c r="Y1991" s="264"/>
      <c r="Z1991" s="386"/>
      <c r="AD1991" s="264"/>
      <c r="AE1991" s="264"/>
      <c r="AF1991" s="264"/>
      <c r="AG1991" s="264"/>
    </row>
    <row r="1992" spans="1:33" ht="26.25">
      <c r="A1992" s="264"/>
      <c r="B1992" s="264"/>
      <c r="C1992" s="264"/>
      <c r="D1992" s="264"/>
      <c r="E1992" s="264"/>
      <c r="F1992" s="264"/>
      <c r="G1992" s="264"/>
      <c r="H1992" s="264"/>
      <c r="I1992" s="264"/>
      <c r="J1992" s="327"/>
      <c r="K1992" s="327"/>
      <c r="L1992" s="327"/>
      <c r="M1992" s="321"/>
      <c r="N1992" s="321"/>
      <c r="O1992" s="364"/>
      <c r="P1992" s="381"/>
      <c r="R1992" s="392"/>
      <c r="S1992" s="61" ph="1"/>
      <c r="U1992" s="229"/>
      <c r="V1992" s="264"/>
      <c r="W1992" s="199"/>
      <c r="X1992" s="264"/>
      <c r="Y1992" s="264"/>
      <c r="Z1992" s="386"/>
      <c r="AD1992" s="264"/>
      <c r="AE1992" s="264"/>
      <c r="AF1992" s="264"/>
      <c r="AG1992" s="264"/>
    </row>
    <row r="1993" spans="1:33" ht="26.25">
      <c r="A1993" s="264"/>
      <c r="B1993" s="264"/>
      <c r="C1993" s="264"/>
      <c r="D1993" s="264"/>
      <c r="E1993" s="264"/>
      <c r="F1993" s="264"/>
      <c r="G1993" s="264"/>
      <c r="H1993" s="264"/>
      <c r="I1993" s="264"/>
      <c r="J1993" s="327"/>
      <c r="K1993" s="327"/>
      <c r="L1993" s="327"/>
      <c r="M1993" s="321"/>
      <c r="N1993" s="321"/>
      <c r="O1993" s="364"/>
      <c r="P1993" s="381"/>
      <c r="R1993" s="392"/>
      <c r="S1993" s="61" ph="1"/>
      <c r="U1993" s="229"/>
      <c r="V1993" s="264"/>
      <c r="W1993" s="199"/>
      <c r="X1993" s="264"/>
      <c r="Y1993" s="264"/>
      <c r="Z1993" s="386"/>
      <c r="AD1993" s="264"/>
      <c r="AE1993" s="264"/>
      <c r="AF1993" s="264"/>
      <c r="AG1993" s="264"/>
    </row>
    <row r="1994" spans="1:33" ht="26.25">
      <c r="A1994" s="264"/>
      <c r="B1994" s="264"/>
      <c r="C1994" s="264"/>
      <c r="D1994" s="264"/>
      <c r="E1994" s="264"/>
      <c r="F1994" s="264"/>
      <c r="G1994" s="264"/>
      <c r="H1994" s="264"/>
      <c r="I1994" s="264"/>
      <c r="J1994" s="327"/>
      <c r="K1994" s="327"/>
      <c r="L1994" s="327"/>
      <c r="M1994" s="321"/>
      <c r="N1994" s="321"/>
      <c r="O1994" s="364"/>
      <c r="P1994" s="381"/>
      <c r="R1994" s="392"/>
      <c r="S1994" s="61" ph="1"/>
      <c r="U1994" s="229"/>
      <c r="V1994" s="264"/>
      <c r="W1994" s="199"/>
      <c r="X1994" s="264"/>
      <c r="Y1994" s="264"/>
      <c r="Z1994" s="386"/>
      <c r="AD1994" s="264"/>
      <c r="AE1994" s="264"/>
      <c r="AF1994" s="264"/>
      <c r="AG1994" s="264"/>
    </row>
    <row r="1995" spans="1:33" ht="26.25">
      <c r="A1995" s="264"/>
      <c r="B1995" s="264"/>
      <c r="C1995" s="264"/>
      <c r="D1995" s="264"/>
      <c r="E1995" s="264"/>
      <c r="F1995" s="264"/>
      <c r="G1995" s="264"/>
      <c r="H1995" s="264"/>
      <c r="I1995" s="264"/>
      <c r="J1995" s="327"/>
      <c r="K1995" s="327"/>
      <c r="L1995" s="327"/>
      <c r="M1995" s="321"/>
      <c r="N1995" s="321"/>
      <c r="O1995" s="364"/>
      <c r="P1995" s="381"/>
      <c r="R1995" s="392"/>
      <c r="S1995" s="61" ph="1"/>
      <c r="U1995" s="229"/>
      <c r="V1995" s="264"/>
      <c r="W1995" s="199"/>
      <c r="X1995" s="264"/>
      <c r="Y1995" s="264"/>
      <c r="Z1995" s="386"/>
      <c r="AD1995" s="264"/>
      <c r="AE1995" s="264"/>
      <c r="AF1995" s="264"/>
      <c r="AG1995" s="264"/>
    </row>
    <row r="1996" spans="1:33" ht="26.25">
      <c r="A1996" s="264"/>
      <c r="B1996" s="264"/>
      <c r="C1996" s="264"/>
      <c r="D1996" s="264"/>
      <c r="E1996" s="264"/>
      <c r="F1996" s="264"/>
      <c r="G1996" s="264"/>
      <c r="H1996" s="264"/>
      <c r="I1996" s="264"/>
      <c r="J1996" s="327"/>
      <c r="K1996" s="327"/>
      <c r="L1996" s="327"/>
      <c r="M1996" s="321"/>
      <c r="N1996" s="321"/>
      <c r="O1996" s="364"/>
      <c r="P1996" s="381"/>
      <c r="R1996" s="392"/>
      <c r="S1996" s="61" ph="1"/>
      <c r="U1996" s="229"/>
      <c r="V1996" s="264"/>
      <c r="W1996" s="199"/>
      <c r="X1996" s="264"/>
      <c r="Y1996" s="264"/>
      <c r="Z1996" s="386"/>
      <c r="AD1996" s="264"/>
      <c r="AE1996" s="264"/>
      <c r="AF1996" s="264"/>
      <c r="AG1996" s="264"/>
    </row>
    <row r="1997" spans="1:33" ht="26.25">
      <c r="A1997" s="264"/>
      <c r="B1997" s="264"/>
      <c r="C1997" s="264"/>
      <c r="D1997" s="264"/>
      <c r="E1997" s="264"/>
      <c r="F1997" s="264"/>
      <c r="G1997" s="264"/>
      <c r="H1997" s="264"/>
      <c r="I1997" s="264"/>
      <c r="J1997" s="327"/>
      <c r="K1997" s="327"/>
      <c r="L1997" s="327"/>
      <c r="M1997" s="321"/>
      <c r="N1997" s="321"/>
      <c r="O1997" s="364"/>
      <c r="P1997" s="381"/>
      <c r="R1997" s="392"/>
      <c r="S1997" s="61" ph="1"/>
      <c r="U1997" s="229"/>
      <c r="V1997" s="264"/>
      <c r="W1997" s="199"/>
      <c r="X1997" s="264"/>
      <c r="Y1997" s="264"/>
      <c r="Z1997" s="386"/>
      <c r="AD1997" s="264"/>
      <c r="AE1997" s="264"/>
      <c r="AF1997" s="264"/>
      <c r="AG1997" s="264"/>
    </row>
    <row r="1998" spans="1:33" ht="26.25">
      <c r="A1998" s="264"/>
      <c r="B1998" s="264"/>
      <c r="C1998" s="264"/>
      <c r="D1998" s="264"/>
      <c r="E1998" s="264"/>
      <c r="F1998" s="264"/>
      <c r="G1998" s="264"/>
      <c r="H1998" s="264"/>
      <c r="I1998" s="264"/>
      <c r="J1998" s="327"/>
      <c r="K1998" s="327"/>
      <c r="L1998" s="327"/>
      <c r="M1998" s="321"/>
      <c r="N1998" s="321"/>
      <c r="O1998" s="364"/>
      <c r="P1998" s="381"/>
      <c r="R1998" s="392"/>
      <c r="S1998" s="61" ph="1"/>
      <c r="U1998" s="229"/>
      <c r="V1998" s="264"/>
      <c r="W1998" s="199"/>
      <c r="X1998" s="264"/>
      <c r="Y1998" s="264"/>
      <c r="Z1998" s="386"/>
      <c r="AD1998" s="264"/>
      <c r="AE1998" s="264"/>
      <c r="AF1998" s="264"/>
      <c r="AG1998" s="264"/>
    </row>
    <row r="1999" spans="1:33" ht="26.25">
      <c r="A1999" s="264"/>
      <c r="B1999" s="264"/>
      <c r="C1999" s="264"/>
      <c r="D1999" s="264"/>
      <c r="E1999" s="264"/>
      <c r="F1999" s="264"/>
      <c r="G1999" s="264"/>
      <c r="H1999" s="264"/>
      <c r="I1999" s="264"/>
      <c r="J1999" s="327"/>
      <c r="K1999" s="327"/>
      <c r="L1999" s="327"/>
      <c r="M1999" s="321"/>
      <c r="N1999" s="321"/>
      <c r="O1999" s="364"/>
      <c r="P1999" s="381"/>
      <c r="R1999" s="392"/>
      <c r="S1999" s="61" ph="1"/>
      <c r="U1999" s="229"/>
      <c r="V1999" s="264"/>
      <c r="W1999" s="199"/>
      <c r="X1999" s="264"/>
      <c r="Y1999" s="264"/>
      <c r="Z1999" s="386"/>
      <c r="AD1999" s="264"/>
      <c r="AE1999" s="264"/>
      <c r="AF1999" s="264"/>
      <c r="AG1999" s="264"/>
    </row>
    <row r="2000" spans="1:33" ht="26.25">
      <c r="A2000" s="264"/>
      <c r="B2000" s="264"/>
      <c r="C2000" s="264"/>
      <c r="D2000" s="264"/>
      <c r="E2000" s="264"/>
      <c r="F2000" s="264"/>
      <c r="G2000" s="264"/>
      <c r="H2000" s="264"/>
      <c r="I2000" s="264"/>
      <c r="J2000" s="327"/>
      <c r="K2000" s="327"/>
      <c r="L2000" s="327"/>
      <c r="M2000" s="321"/>
      <c r="N2000" s="321"/>
      <c r="O2000" s="364"/>
      <c r="P2000" s="381"/>
      <c r="R2000" s="392"/>
      <c r="S2000" s="61" ph="1"/>
      <c r="U2000" s="229"/>
      <c r="V2000" s="264"/>
      <c r="W2000" s="199"/>
      <c r="X2000" s="264"/>
      <c r="Y2000" s="264"/>
      <c r="Z2000" s="386"/>
      <c r="AD2000" s="264"/>
      <c r="AE2000" s="264"/>
      <c r="AF2000" s="264"/>
      <c r="AG2000" s="264"/>
    </row>
    <row r="2001" spans="1:33" ht="26.25">
      <c r="A2001" s="264"/>
      <c r="B2001" s="264"/>
      <c r="C2001" s="264"/>
      <c r="D2001" s="264"/>
      <c r="E2001" s="264"/>
      <c r="F2001" s="264"/>
      <c r="G2001" s="264"/>
      <c r="H2001" s="264"/>
      <c r="I2001" s="264"/>
      <c r="J2001" s="327"/>
      <c r="K2001" s="327"/>
      <c r="L2001" s="327"/>
      <c r="M2001" s="321"/>
      <c r="N2001" s="321"/>
      <c r="O2001" s="364"/>
      <c r="P2001" s="381"/>
      <c r="R2001" s="392"/>
      <c r="S2001" s="61" ph="1"/>
      <c r="U2001" s="229"/>
      <c r="V2001" s="264"/>
      <c r="W2001" s="199"/>
      <c r="X2001" s="264"/>
      <c r="Y2001" s="264"/>
      <c r="Z2001" s="386"/>
      <c r="AD2001" s="264"/>
      <c r="AE2001" s="264"/>
      <c r="AF2001" s="264"/>
      <c r="AG2001" s="264"/>
    </row>
    <row r="2002" spans="1:33" ht="26.25">
      <c r="A2002" s="264"/>
      <c r="B2002" s="264"/>
      <c r="C2002" s="264"/>
      <c r="D2002" s="264"/>
      <c r="E2002" s="264"/>
      <c r="F2002" s="264"/>
      <c r="G2002" s="264"/>
      <c r="H2002" s="264"/>
      <c r="I2002" s="264"/>
      <c r="J2002" s="327"/>
      <c r="K2002" s="327"/>
      <c r="L2002" s="327"/>
      <c r="M2002" s="321"/>
      <c r="N2002" s="321"/>
      <c r="O2002" s="364"/>
      <c r="P2002" s="381"/>
      <c r="R2002" s="392"/>
      <c r="S2002" s="61" ph="1"/>
      <c r="U2002" s="229"/>
      <c r="V2002" s="264"/>
      <c r="W2002" s="199"/>
      <c r="X2002" s="264"/>
      <c r="Y2002" s="264"/>
      <c r="Z2002" s="386"/>
      <c r="AD2002" s="264"/>
      <c r="AE2002" s="264"/>
      <c r="AF2002" s="264"/>
      <c r="AG2002" s="264"/>
    </row>
    <row r="2003" spans="1:33" ht="26.25">
      <c r="A2003" s="264"/>
      <c r="B2003" s="264"/>
      <c r="C2003" s="264"/>
      <c r="D2003" s="264"/>
      <c r="E2003" s="264"/>
      <c r="F2003" s="264"/>
      <c r="G2003" s="264"/>
      <c r="H2003" s="264"/>
      <c r="I2003" s="264"/>
      <c r="J2003" s="327"/>
      <c r="K2003" s="327"/>
      <c r="L2003" s="327"/>
      <c r="M2003" s="321"/>
      <c r="N2003" s="321"/>
      <c r="O2003" s="364"/>
      <c r="P2003" s="381"/>
      <c r="R2003" s="392"/>
      <c r="S2003" s="61" ph="1"/>
      <c r="U2003" s="229"/>
      <c r="V2003" s="264"/>
      <c r="W2003" s="199"/>
      <c r="X2003" s="264"/>
      <c r="Y2003" s="264"/>
      <c r="Z2003" s="386"/>
      <c r="AD2003" s="264"/>
      <c r="AE2003" s="264"/>
      <c r="AF2003" s="264"/>
      <c r="AG2003" s="264"/>
    </row>
    <row r="2004" spans="1:33" ht="26.25">
      <c r="A2004" s="264"/>
      <c r="B2004" s="264"/>
      <c r="C2004" s="264"/>
      <c r="D2004" s="264"/>
      <c r="E2004" s="264"/>
      <c r="F2004" s="264"/>
      <c r="G2004" s="264"/>
      <c r="H2004" s="264"/>
      <c r="I2004" s="264"/>
      <c r="J2004" s="327"/>
      <c r="K2004" s="327"/>
      <c r="L2004" s="327"/>
      <c r="M2004" s="321"/>
      <c r="N2004" s="321"/>
      <c r="O2004" s="364"/>
      <c r="P2004" s="381"/>
      <c r="R2004" s="392"/>
      <c r="S2004" s="61" ph="1"/>
      <c r="U2004" s="229"/>
      <c r="V2004" s="264"/>
      <c r="W2004" s="199"/>
      <c r="X2004" s="264"/>
      <c r="Y2004" s="264"/>
      <c r="Z2004" s="386"/>
      <c r="AD2004" s="264"/>
      <c r="AE2004" s="264"/>
      <c r="AF2004" s="264"/>
      <c r="AG2004" s="264"/>
    </row>
    <row r="2005" spans="1:33" ht="26.25">
      <c r="A2005" s="264"/>
      <c r="B2005" s="264"/>
      <c r="C2005" s="264"/>
      <c r="D2005" s="264"/>
      <c r="E2005" s="264"/>
      <c r="F2005" s="264"/>
      <c r="G2005" s="264"/>
      <c r="H2005" s="264"/>
      <c r="I2005" s="264"/>
      <c r="J2005" s="327"/>
      <c r="K2005" s="327"/>
      <c r="L2005" s="327"/>
      <c r="M2005" s="321"/>
      <c r="N2005" s="321"/>
      <c r="O2005" s="364"/>
      <c r="P2005" s="381"/>
      <c r="R2005" s="392"/>
      <c r="S2005" s="61" ph="1"/>
      <c r="U2005" s="229"/>
      <c r="V2005" s="264"/>
      <c r="W2005" s="199"/>
      <c r="X2005" s="264"/>
      <c r="Y2005" s="264"/>
      <c r="Z2005" s="386"/>
      <c r="AD2005" s="264"/>
      <c r="AE2005" s="264"/>
      <c r="AF2005" s="264"/>
      <c r="AG2005" s="264"/>
    </row>
    <row r="2006" spans="1:33" ht="26.25">
      <c r="A2006" s="264"/>
      <c r="B2006" s="264"/>
      <c r="C2006" s="264"/>
      <c r="D2006" s="264"/>
      <c r="E2006" s="264"/>
      <c r="F2006" s="264"/>
      <c r="G2006" s="264"/>
      <c r="H2006" s="264"/>
      <c r="I2006" s="264"/>
      <c r="J2006" s="327"/>
      <c r="K2006" s="327"/>
      <c r="L2006" s="327"/>
      <c r="M2006" s="321"/>
      <c r="N2006" s="321"/>
      <c r="O2006" s="364"/>
      <c r="P2006" s="381"/>
      <c r="R2006" s="392"/>
      <c r="S2006" s="61" ph="1"/>
      <c r="U2006" s="229"/>
      <c r="V2006" s="264"/>
      <c r="W2006" s="199"/>
      <c r="X2006" s="264"/>
      <c r="Y2006" s="264"/>
      <c r="Z2006" s="386"/>
      <c r="AD2006" s="264"/>
      <c r="AE2006" s="264"/>
      <c r="AF2006" s="264"/>
      <c r="AG2006" s="264"/>
    </row>
    <row r="2007" spans="1:33" ht="26.25">
      <c r="A2007" s="264"/>
      <c r="B2007" s="264"/>
      <c r="C2007" s="264"/>
      <c r="D2007" s="264"/>
      <c r="E2007" s="264"/>
      <c r="F2007" s="264"/>
      <c r="G2007" s="264"/>
      <c r="H2007" s="264"/>
      <c r="I2007" s="264"/>
      <c r="J2007" s="327"/>
      <c r="K2007" s="327"/>
      <c r="L2007" s="327"/>
      <c r="M2007" s="321"/>
      <c r="N2007" s="321"/>
      <c r="O2007" s="364"/>
      <c r="P2007" s="381"/>
      <c r="R2007" s="392"/>
      <c r="S2007" s="61" ph="1"/>
      <c r="U2007" s="229"/>
      <c r="V2007" s="264"/>
      <c r="W2007" s="199"/>
      <c r="X2007" s="264"/>
      <c r="Y2007" s="264"/>
      <c r="Z2007" s="386"/>
      <c r="AD2007" s="264"/>
      <c r="AE2007" s="264"/>
      <c r="AF2007" s="264"/>
      <c r="AG2007" s="264"/>
    </row>
    <row r="2008" spans="1:33" ht="26.25">
      <c r="A2008" s="264"/>
      <c r="B2008" s="264"/>
      <c r="C2008" s="264"/>
      <c r="D2008" s="264"/>
      <c r="E2008" s="264"/>
      <c r="F2008" s="264"/>
      <c r="G2008" s="264"/>
      <c r="H2008" s="264"/>
      <c r="I2008" s="264"/>
      <c r="J2008" s="327"/>
      <c r="K2008" s="327"/>
      <c r="L2008" s="327"/>
      <c r="M2008" s="321"/>
      <c r="N2008" s="321"/>
      <c r="O2008" s="364"/>
      <c r="P2008" s="381"/>
      <c r="R2008" s="392"/>
      <c r="S2008" s="61" ph="1"/>
      <c r="U2008" s="229"/>
      <c r="V2008" s="264"/>
      <c r="W2008" s="199"/>
      <c r="X2008" s="264"/>
      <c r="Y2008" s="264"/>
      <c r="Z2008" s="386"/>
      <c r="AD2008" s="264"/>
      <c r="AE2008" s="264"/>
      <c r="AF2008" s="264"/>
      <c r="AG2008" s="264"/>
    </row>
    <row r="2009" spans="1:33" ht="26.25">
      <c r="A2009" s="264"/>
      <c r="B2009" s="264"/>
      <c r="C2009" s="264"/>
      <c r="D2009" s="264"/>
      <c r="E2009" s="264"/>
      <c r="F2009" s="264"/>
      <c r="G2009" s="264"/>
      <c r="H2009" s="264"/>
      <c r="I2009" s="264"/>
      <c r="J2009" s="327"/>
      <c r="K2009" s="327"/>
      <c r="L2009" s="327"/>
      <c r="M2009" s="321"/>
      <c r="N2009" s="321"/>
      <c r="O2009" s="364"/>
      <c r="P2009" s="381"/>
      <c r="R2009" s="392"/>
      <c r="S2009" s="61" ph="1"/>
      <c r="U2009" s="229"/>
      <c r="V2009" s="264"/>
      <c r="W2009" s="199"/>
      <c r="X2009" s="264"/>
      <c r="Y2009" s="264"/>
      <c r="Z2009" s="386"/>
      <c r="AD2009" s="264"/>
      <c r="AE2009" s="264"/>
      <c r="AF2009" s="264"/>
      <c r="AG2009" s="264"/>
    </row>
    <row r="2010" spans="1:33" ht="26.25">
      <c r="A2010" s="264"/>
      <c r="B2010" s="264"/>
      <c r="C2010" s="264"/>
      <c r="D2010" s="264"/>
      <c r="E2010" s="264"/>
      <c r="F2010" s="264"/>
      <c r="G2010" s="264"/>
      <c r="H2010" s="264"/>
      <c r="I2010" s="264"/>
      <c r="J2010" s="327"/>
      <c r="K2010" s="327"/>
      <c r="L2010" s="327"/>
      <c r="M2010" s="321"/>
      <c r="N2010" s="321"/>
      <c r="O2010" s="364"/>
      <c r="P2010" s="381"/>
      <c r="R2010" s="392"/>
      <c r="S2010" s="61" ph="1"/>
      <c r="U2010" s="229"/>
      <c r="V2010" s="264"/>
      <c r="W2010" s="199"/>
      <c r="X2010" s="264"/>
      <c r="Y2010" s="264"/>
      <c r="Z2010" s="386"/>
      <c r="AD2010" s="264"/>
      <c r="AE2010" s="264"/>
      <c r="AF2010" s="264"/>
      <c r="AG2010" s="264"/>
    </row>
    <row r="2011" spans="1:33" ht="26.25">
      <c r="A2011" s="264"/>
      <c r="B2011" s="264"/>
      <c r="C2011" s="264"/>
      <c r="D2011" s="264"/>
      <c r="E2011" s="264"/>
      <c r="F2011" s="264"/>
      <c r="G2011" s="264"/>
      <c r="H2011" s="264"/>
      <c r="I2011" s="264"/>
      <c r="J2011" s="327"/>
      <c r="K2011" s="327"/>
      <c r="L2011" s="327"/>
      <c r="M2011" s="321"/>
      <c r="N2011" s="321"/>
      <c r="O2011" s="364"/>
      <c r="P2011" s="381"/>
      <c r="R2011" s="392"/>
      <c r="S2011" s="61" ph="1"/>
      <c r="U2011" s="229"/>
      <c r="V2011" s="264"/>
      <c r="W2011" s="199"/>
      <c r="X2011" s="264"/>
      <c r="Y2011" s="264"/>
      <c r="Z2011" s="386"/>
      <c r="AD2011" s="264"/>
      <c r="AE2011" s="264"/>
      <c r="AF2011" s="264"/>
      <c r="AG2011" s="264"/>
    </row>
    <row r="2012" spans="1:33" ht="26.25">
      <c r="A2012" s="264"/>
      <c r="B2012" s="264"/>
      <c r="C2012" s="264"/>
      <c r="D2012" s="264"/>
      <c r="E2012" s="264"/>
      <c r="F2012" s="264"/>
      <c r="G2012" s="264"/>
      <c r="H2012" s="264"/>
      <c r="I2012" s="264"/>
      <c r="J2012" s="327"/>
      <c r="K2012" s="327"/>
      <c r="L2012" s="327"/>
      <c r="M2012" s="321"/>
      <c r="N2012" s="321"/>
      <c r="O2012" s="364"/>
      <c r="P2012" s="381"/>
      <c r="R2012" s="392"/>
      <c r="S2012" s="61" ph="1"/>
      <c r="U2012" s="229"/>
      <c r="V2012" s="264"/>
      <c r="W2012" s="199"/>
      <c r="X2012" s="264"/>
      <c r="Y2012" s="264"/>
      <c r="Z2012" s="386"/>
      <c r="AD2012" s="264"/>
      <c r="AE2012" s="264"/>
      <c r="AF2012" s="264"/>
      <c r="AG2012" s="264"/>
    </row>
    <row r="2013" spans="1:33" ht="26.25">
      <c r="A2013" s="264"/>
      <c r="B2013" s="264"/>
      <c r="C2013" s="264"/>
      <c r="D2013" s="264"/>
      <c r="E2013" s="264"/>
      <c r="F2013" s="264"/>
      <c r="G2013" s="264"/>
      <c r="H2013" s="264"/>
      <c r="I2013" s="264"/>
      <c r="J2013" s="327"/>
      <c r="K2013" s="327"/>
      <c r="L2013" s="327"/>
      <c r="M2013" s="321"/>
      <c r="N2013" s="321"/>
      <c r="O2013" s="364"/>
      <c r="P2013" s="381"/>
      <c r="R2013" s="392"/>
      <c r="S2013" s="61" ph="1"/>
      <c r="U2013" s="229"/>
      <c r="V2013" s="264"/>
      <c r="W2013" s="199"/>
      <c r="X2013" s="264"/>
      <c r="Y2013" s="264"/>
      <c r="Z2013" s="386"/>
      <c r="AD2013" s="264"/>
      <c r="AE2013" s="264"/>
      <c r="AF2013" s="264"/>
      <c r="AG2013" s="264"/>
    </row>
    <row r="2014" spans="1:33" ht="26.25">
      <c r="A2014" s="264"/>
      <c r="B2014" s="264"/>
      <c r="C2014" s="264"/>
      <c r="D2014" s="264"/>
      <c r="E2014" s="264"/>
      <c r="F2014" s="264"/>
      <c r="G2014" s="264"/>
      <c r="H2014" s="264"/>
      <c r="I2014" s="264"/>
      <c r="J2014" s="327"/>
      <c r="K2014" s="327"/>
      <c r="L2014" s="327"/>
      <c r="M2014" s="321"/>
      <c r="N2014" s="321"/>
      <c r="O2014" s="364"/>
      <c r="P2014" s="381"/>
      <c r="R2014" s="392"/>
      <c r="S2014" s="61" ph="1"/>
      <c r="U2014" s="229"/>
      <c r="V2014" s="264"/>
      <c r="W2014" s="199"/>
      <c r="X2014" s="264"/>
      <c r="Y2014" s="264"/>
      <c r="Z2014" s="386"/>
      <c r="AD2014" s="264"/>
      <c r="AE2014" s="264"/>
      <c r="AF2014" s="264"/>
      <c r="AG2014" s="264"/>
    </row>
    <row r="2015" spans="1:33" ht="26.25">
      <c r="A2015" s="264"/>
      <c r="B2015" s="264"/>
      <c r="C2015" s="264"/>
      <c r="D2015" s="264"/>
      <c r="E2015" s="264"/>
      <c r="F2015" s="264"/>
      <c r="G2015" s="264"/>
      <c r="H2015" s="264"/>
      <c r="I2015" s="264"/>
      <c r="J2015" s="327"/>
      <c r="K2015" s="327"/>
      <c r="L2015" s="327"/>
      <c r="M2015" s="321"/>
      <c r="N2015" s="321"/>
      <c r="O2015" s="364"/>
      <c r="P2015" s="381"/>
      <c r="R2015" s="392"/>
      <c r="S2015" s="61" ph="1"/>
      <c r="U2015" s="229"/>
      <c r="V2015" s="264"/>
      <c r="W2015" s="199"/>
      <c r="X2015" s="264"/>
      <c r="Y2015" s="264"/>
      <c r="Z2015" s="386"/>
      <c r="AD2015" s="264"/>
      <c r="AE2015" s="264"/>
      <c r="AF2015" s="264"/>
      <c r="AG2015" s="264"/>
    </row>
    <row r="2016" spans="1:33" ht="26.25">
      <c r="A2016" s="264"/>
      <c r="B2016" s="264"/>
      <c r="C2016" s="264"/>
      <c r="D2016" s="264"/>
      <c r="E2016" s="264"/>
      <c r="F2016" s="264"/>
      <c r="G2016" s="264"/>
      <c r="H2016" s="264"/>
      <c r="I2016" s="264"/>
      <c r="J2016" s="327"/>
      <c r="K2016" s="327"/>
      <c r="L2016" s="327"/>
      <c r="M2016" s="321"/>
      <c r="N2016" s="321"/>
      <c r="O2016" s="364"/>
      <c r="P2016" s="381"/>
      <c r="R2016" s="392"/>
      <c r="S2016" s="61" ph="1"/>
      <c r="U2016" s="229"/>
      <c r="V2016" s="264"/>
      <c r="W2016" s="199"/>
      <c r="X2016" s="264"/>
      <c r="Y2016" s="264"/>
      <c r="Z2016" s="386"/>
      <c r="AD2016" s="264"/>
      <c r="AE2016" s="264"/>
      <c r="AF2016" s="264"/>
      <c r="AG2016" s="264"/>
    </row>
    <row r="2017" spans="1:33" ht="26.25">
      <c r="A2017" s="264"/>
      <c r="B2017" s="264"/>
      <c r="C2017" s="264"/>
      <c r="D2017" s="264"/>
      <c r="E2017" s="264"/>
      <c r="F2017" s="264"/>
      <c r="G2017" s="264"/>
      <c r="H2017" s="264"/>
      <c r="I2017" s="264"/>
      <c r="J2017" s="327"/>
      <c r="K2017" s="327"/>
      <c r="L2017" s="327"/>
      <c r="M2017" s="321"/>
      <c r="N2017" s="321"/>
      <c r="O2017" s="364"/>
      <c r="P2017" s="381"/>
      <c r="R2017" s="392"/>
      <c r="S2017" s="61" ph="1"/>
      <c r="U2017" s="229"/>
      <c r="V2017" s="264"/>
      <c r="W2017" s="199"/>
      <c r="X2017" s="264"/>
      <c r="Y2017" s="264"/>
      <c r="Z2017" s="386"/>
      <c r="AD2017" s="264"/>
      <c r="AE2017" s="264"/>
      <c r="AF2017" s="264"/>
      <c r="AG2017" s="264"/>
    </row>
    <row r="2018" spans="1:33" ht="26.25">
      <c r="A2018" s="264"/>
      <c r="B2018" s="264"/>
      <c r="C2018" s="264"/>
      <c r="D2018" s="264"/>
      <c r="E2018" s="264"/>
      <c r="F2018" s="264"/>
      <c r="G2018" s="264"/>
      <c r="H2018" s="264"/>
      <c r="I2018" s="264"/>
      <c r="J2018" s="327"/>
      <c r="K2018" s="327"/>
      <c r="L2018" s="327"/>
      <c r="M2018" s="321"/>
      <c r="N2018" s="321"/>
      <c r="O2018" s="364"/>
      <c r="P2018" s="381"/>
      <c r="R2018" s="392"/>
      <c r="S2018" s="61" ph="1"/>
      <c r="U2018" s="229"/>
      <c r="V2018" s="264"/>
      <c r="W2018" s="199"/>
      <c r="X2018" s="264"/>
      <c r="Y2018" s="264"/>
      <c r="Z2018" s="386"/>
      <c r="AD2018" s="264"/>
      <c r="AE2018" s="264"/>
      <c r="AF2018" s="264"/>
      <c r="AG2018" s="264"/>
    </row>
    <row r="2019" spans="1:33" ht="26.25">
      <c r="A2019" s="264"/>
      <c r="B2019" s="264"/>
      <c r="C2019" s="264"/>
      <c r="D2019" s="264"/>
      <c r="E2019" s="264"/>
      <c r="F2019" s="264"/>
      <c r="G2019" s="264"/>
      <c r="H2019" s="264"/>
      <c r="I2019" s="264"/>
      <c r="J2019" s="327"/>
      <c r="K2019" s="327"/>
      <c r="L2019" s="327"/>
      <c r="M2019" s="321"/>
      <c r="N2019" s="321"/>
      <c r="O2019" s="364"/>
      <c r="P2019" s="381"/>
      <c r="R2019" s="392"/>
      <c r="S2019" s="61" ph="1"/>
      <c r="U2019" s="229"/>
      <c r="V2019" s="264"/>
      <c r="W2019" s="199"/>
      <c r="X2019" s="264"/>
      <c r="Y2019" s="264"/>
      <c r="Z2019" s="386"/>
      <c r="AD2019" s="264"/>
      <c r="AE2019" s="264"/>
      <c r="AF2019" s="264"/>
      <c r="AG2019" s="264"/>
    </row>
    <row r="2020" spans="1:33" ht="26.25">
      <c r="A2020" s="264"/>
      <c r="B2020" s="264"/>
      <c r="C2020" s="264"/>
      <c r="D2020" s="264"/>
      <c r="E2020" s="264"/>
      <c r="F2020" s="264"/>
      <c r="G2020" s="264"/>
      <c r="H2020" s="264"/>
      <c r="I2020" s="264"/>
      <c r="J2020" s="327"/>
      <c r="K2020" s="327"/>
      <c r="L2020" s="327"/>
      <c r="M2020" s="321"/>
      <c r="N2020" s="321"/>
      <c r="O2020" s="364"/>
      <c r="P2020" s="381"/>
      <c r="R2020" s="392"/>
      <c r="S2020" s="61" ph="1"/>
      <c r="U2020" s="229"/>
      <c r="V2020" s="264"/>
      <c r="W2020" s="199"/>
      <c r="X2020" s="264"/>
      <c r="Y2020" s="264"/>
      <c r="Z2020" s="386"/>
      <c r="AD2020" s="264"/>
      <c r="AE2020" s="264"/>
      <c r="AF2020" s="264"/>
      <c r="AG2020" s="264"/>
    </row>
    <row r="2021" spans="1:33" ht="26.25">
      <c r="A2021" s="264"/>
      <c r="B2021" s="264"/>
      <c r="C2021" s="264"/>
      <c r="D2021" s="264"/>
      <c r="E2021" s="264"/>
      <c r="F2021" s="264"/>
      <c r="G2021" s="264"/>
      <c r="H2021" s="264"/>
      <c r="I2021" s="264"/>
      <c r="J2021" s="327"/>
      <c r="K2021" s="327"/>
      <c r="L2021" s="327"/>
      <c r="M2021" s="321"/>
      <c r="N2021" s="321"/>
      <c r="O2021" s="364"/>
      <c r="P2021" s="381"/>
      <c r="R2021" s="392"/>
      <c r="S2021" s="61" ph="1"/>
      <c r="U2021" s="229"/>
      <c r="V2021" s="264"/>
      <c r="W2021" s="199"/>
      <c r="X2021" s="264"/>
      <c r="Y2021" s="264"/>
      <c r="Z2021" s="386"/>
      <c r="AD2021" s="264"/>
      <c r="AE2021" s="264"/>
      <c r="AF2021" s="264"/>
      <c r="AG2021" s="264"/>
    </row>
    <row r="2022" spans="1:33" ht="26.25">
      <c r="A2022" s="264"/>
      <c r="B2022" s="264"/>
      <c r="C2022" s="264"/>
      <c r="D2022" s="264"/>
      <c r="E2022" s="264"/>
      <c r="F2022" s="264"/>
      <c r="G2022" s="264"/>
      <c r="H2022" s="264"/>
      <c r="I2022" s="264"/>
      <c r="J2022" s="327"/>
      <c r="K2022" s="327"/>
      <c r="L2022" s="327"/>
      <c r="M2022" s="321"/>
      <c r="N2022" s="321"/>
      <c r="O2022" s="364"/>
      <c r="P2022" s="381"/>
      <c r="R2022" s="392"/>
      <c r="S2022" s="61" ph="1"/>
      <c r="U2022" s="229"/>
      <c r="V2022" s="264"/>
      <c r="W2022" s="199"/>
      <c r="X2022" s="264"/>
      <c r="Y2022" s="264"/>
      <c r="Z2022" s="386"/>
      <c r="AD2022" s="264"/>
      <c r="AE2022" s="264"/>
      <c r="AF2022" s="264"/>
      <c r="AG2022" s="264"/>
    </row>
    <row r="2023" spans="1:33" ht="26.25">
      <c r="A2023" s="264"/>
      <c r="B2023" s="264"/>
      <c r="C2023" s="264"/>
      <c r="D2023" s="264"/>
      <c r="E2023" s="264"/>
      <c r="F2023" s="264"/>
      <c r="G2023" s="264"/>
      <c r="H2023" s="264"/>
      <c r="I2023" s="264"/>
      <c r="J2023" s="327"/>
      <c r="K2023" s="327"/>
      <c r="L2023" s="327"/>
      <c r="M2023" s="321"/>
      <c r="N2023" s="321"/>
      <c r="O2023" s="364"/>
      <c r="P2023" s="381"/>
      <c r="R2023" s="392"/>
      <c r="S2023" s="61" ph="1"/>
      <c r="U2023" s="229"/>
      <c r="V2023" s="264"/>
      <c r="W2023" s="199"/>
      <c r="X2023" s="264"/>
      <c r="Y2023" s="264"/>
      <c r="Z2023" s="386"/>
      <c r="AD2023" s="264"/>
      <c r="AE2023" s="264"/>
      <c r="AF2023" s="264"/>
      <c r="AG2023" s="264"/>
    </row>
    <row r="2024" spans="1:33" ht="26.25">
      <c r="A2024" s="264"/>
      <c r="B2024" s="264"/>
      <c r="C2024" s="264"/>
      <c r="D2024" s="264"/>
      <c r="E2024" s="264"/>
      <c r="F2024" s="264"/>
      <c r="G2024" s="264"/>
      <c r="H2024" s="264"/>
      <c r="I2024" s="264"/>
      <c r="J2024" s="327"/>
      <c r="K2024" s="327"/>
      <c r="L2024" s="327"/>
      <c r="M2024" s="321"/>
      <c r="N2024" s="321"/>
      <c r="O2024" s="364"/>
      <c r="P2024" s="381"/>
      <c r="R2024" s="392"/>
      <c r="S2024" s="61" ph="1"/>
      <c r="U2024" s="229"/>
      <c r="V2024" s="264"/>
      <c r="W2024" s="199"/>
      <c r="X2024" s="264"/>
      <c r="Y2024" s="264"/>
      <c r="Z2024" s="386"/>
      <c r="AD2024" s="264"/>
      <c r="AE2024" s="264"/>
      <c r="AF2024" s="264"/>
      <c r="AG2024" s="264"/>
    </row>
    <row r="2025" spans="1:33" ht="26.25">
      <c r="A2025" s="264"/>
      <c r="B2025" s="264"/>
      <c r="C2025" s="264"/>
      <c r="D2025" s="264"/>
      <c r="E2025" s="264"/>
      <c r="F2025" s="264"/>
      <c r="G2025" s="264"/>
      <c r="H2025" s="264"/>
      <c r="I2025" s="264"/>
      <c r="J2025" s="327"/>
      <c r="K2025" s="327"/>
      <c r="L2025" s="327"/>
      <c r="M2025" s="321"/>
      <c r="N2025" s="321"/>
      <c r="O2025" s="364"/>
      <c r="P2025" s="381"/>
      <c r="R2025" s="392"/>
      <c r="S2025" s="61" ph="1"/>
      <c r="U2025" s="229"/>
      <c r="V2025" s="264"/>
      <c r="W2025" s="199"/>
      <c r="X2025" s="264"/>
      <c r="Y2025" s="264"/>
      <c r="Z2025" s="386"/>
      <c r="AD2025" s="264"/>
      <c r="AE2025" s="264"/>
      <c r="AF2025" s="264"/>
      <c r="AG2025" s="264"/>
    </row>
    <row r="2026" spans="1:33" ht="26.25">
      <c r="A2026" s="264"/>
      <c r="B2026" s="264"/>
      <c r="C2026" s="264"/>
      <c r="D2026" s="264"/>
      <c r="E2026" s="264"/>
      <c r="F2026" s="264"/>
      <c r="G2026" s="264"/>
      <c r="H2026" s="264"/>
      <c r="I2026" s="264"/>
      <c r="J2026" s="327"/>
      <c r="K2026" s="327"/>
      <c r="L2026" s="327"/>
      <c r="M2026" s="321"/>
      <c r="N2026" s="321"/>
      <c r="O2026" s="364"/>
      <c r="P2026" s="381"/>
      <c r="R2026" s="392"/>
      <c r="S2026" s="61" ph="1"/>
      <c r="U2026" s="229"/>
      <c r="V2026" s="264"/>
      <c r="W2026" s="199"/>
      <c r="X2026" s="264"/>
      <c r="Y2026" s="264"/>
      <c r="Z2026" s="386"/>
      <c r="AD2026" s="264"/>
      <c r="AE2026" s="264"/>
      <c r="AF2026" s="264"/>
      <c r="AG2026" s="264"/>
    </row>
    <row r="2027" spans="1:33" ht="26.25">
      <c r="A2027" s="264"/>
      <c r="B2027" s="264"/>
      <c r="C2027" s="264"/>
      <c r="D2027" s="264"/>
      <c r="E2027" s="264"/>
      <c r="F2027" s="264"/>
      <c r="G2027" s="264"/>
      <c r="H2027" s="264"/>
      <c r="I2027" s="264"/>
      <c r="J2027" s="327"/>
      <c r="K2027" s="327"/>
      <c r="L2027" s="327"/>
      <c r="M2027" s="321"/>
      <c r="N2027" s="321"/>
      <c r="O2027" s="364"/>
      <c r="P2027" s="381"/>
      <c r="R2027" s="392"/>
      <c r="S2027" s="61" ph="1"/>
      <c r="U2027" s="229"/>
      <c r="V2027" s="264"/>
      <c r="W2027" s="199"/>
      <c r="X2027" s="264"/>
      <c r="Y2027" s="264"/>
      <c r="Z2027" s="386"/>
      <c r="AD2027" s="264"/>
      <c r="AE2027" s="264"/>
      <c r="AF2027" s="264"/>
      <c r="AG2027" s="264"/>
    </row>
    <row r="2028" spans="1:33" ht="26.25">
      <c r="A2028" s="264"/>
      <c r="B2028" s="264"/>
      <c r="C2028" s="264"/>
      <c r="D2028" s="264"/>
      <c r="E2028" s="264"/>
      <c r="F2028" s="264"/>
      <c r="G2028" s="264"/>
      <c r="H2028" s="264"/>
      <c r="I2028" s="264"/>
      <c r="J2028" s="327"/>
      <c r="K2028" s="327"/>
      <c r="L2028" s="327"/>
      <c r="M2028" s="321"/>
      <c r="N2028" s="321"/>
      <c r="O2028" s="364"/>
      <c r="P2028" s="381"/>
      <c r="R2028" s="392"/>
      <c r="S2028" s="61" ph="1"/>
      <c r="U2028" s="229"/>
      <c r="V2028" s="264"/>
      <c r="W2028" s="199"/>
      <c r="X2028" s="264"/>
      <c r="Y2028" s="264"/>
      <c r="Z2028" s="386"/>
      <c r="AD2028" s="264"/>
      <c r="AE2028" s="264"/>
      <c r="AF2028" s="264"/>
      <c r="AG2028" s="264"/>
    </row>
    <row r="2029" spans="1:33" ht="26.25">
      <c r="A2029" s="264"/>
      <c r="B2029" s="264"/>
      <c r="C2029" s="264"/>
      <c r="D2029" s="264"/>
      <c r="E2029" s="264"/>
      <c r="F2029" s="264"/>
      <c r="G2029" s="264"/>
      <c r="H2029" s="264"/>
      <c r="I2029" s="264"/>
      <c r="J2029" s="327"/>
      <c r="K2029" s="327"/>
      <c r="L2029" s="327"/>
      <c r="M2029" s="321"/>
      <c r="N2029" s="321"/>
      <c r="O2029" s="364"/>
      <c r="P2029" s="381"/>
      <c r="R2029" s="392"/>
      <c r="S2029" s="61" ph="1"/>
      <c r="U2029" s="229"/>
      <c r="V2029" s="264"/>
      <c r="W2029" s="199"/>
      <c r="X2029" s="264"/>
      <c r="Y2029" s="264"/>
      <c r="Z2029" s="386"/>
      <c r="AD2029" s="264"/>
      <c r="AE2029" s="264"/>
      <c r="AF2029" s="264"/>
      <c r="AG2029" s="264"/>
    </row>
    <row r="2030" spans="1:33" ht="26.25">
      <c r="A2030" s="264"/>
      <c r="B2030" s="264"/>
      <c r="C2030" s="264"/>
      <c r="D2030" s="264"/>
      <c r="E2030" s="264"/>
      <c r="F2030" s="264"/>
      <c r="G2030" s="264"/>
      <c r="H2030" s="264"/>
      <c r="I2030" s="264"/>
      <c r="J2030" s="327"/>
      <c r="K2030" s="327"/>
      <c r="L2030" s="327"/>
      <c r="M2030" s="321"/>
      <c r="N2030" s="321"/>
      <c r="O2030" s="364"/>
      <c r="P2030" s="381"/>
      <c r="R2030" s="392"/>
      <c r="S2030" s="61" ph="1"/>
      <c r="U2030" s="229"/>
      <c r="V2030" s="264"/>
      <c r="W2030" s="199"/>
      <c r="X2030" s="264"/>
      <c r="Y2030" s="264"/>
      <c r="Z2030" s="386"/>
      <c r="AD2030" s="264"/>
      <c r="AE2030" s="264"/>
      <c r="AF2030" s="264"/>
      <c r="AG2030" s="264"/>
    </row>
    <row r="2031" spans="1:33" ht="26.25">
      <c r="A2031" s="264"/>
      <c r="B2031" s="264"/>
      <c r="C2031" s="264"/>
      <c r="D2031" s="264"/>
      <c r="E2031" s="264"/>
      <c r="F2031" s="264"/>
      <c r="G2031" s="264"/>
      <c r="H2031" s="264"/>
      <c r="I2031" s="264"/>
      <c r="J2031" s="327"/>
      <c r="K2031" s="327"/>
      <c r="L2031" s="327"/>
      <c r="M2031" s="321"/>
      <c r="N2031" s="321"/>
      <c r="O2031" s="364"/>
      <c r="P2031" s="381"/>
      <c r="R2031" s="392"/>
      <c r="S2031" s="61" ph="1"/>
      <c r="U2031" s="229"/>
      <c r="V2031" s="264"/>
      <c r="W2031" s="199"/>
      <c r="X2031" s="264"/>
      <c r="Y2031" s="264"/>
      <c r="Z2031" s="386"/>
      <c r="AD2031" s="264"/>
      <c r="AE2031" s="264"/>
      <c r="AF2031" s="264"/>
      <c r="AG2031" s="264"/>
    </row>
    <row r="2032" spans="1:33" ht="26.25">
      <c r="A2032" s="264"/>
      <c r="B2032" s="264"/>
      <c r="C2032" s="264"/>
      <c r="D2032" s="264"/>
      <c r="E2032" s="264"/>
      <c r="F2032" s="264"/>
      <c r="G2032" s="264"/>
      <c r="H2032" s="264"/>
      <c r="I2032" s="264"/>
      <c r="J2032" s="327"/>
      <c r="K2032" s="327"/>
      <c r="L2032" s="327"/>
      <c r="M2032" s="321"/>
      <c r="N2032" s="321"/>
      <c r="O2032" s="364"/>
      <c r="P2032" s="381"/>
      <c r="R2032" s="392"/>
      <c r="S2032" s="61" ph="1"/>
      <c r="U2032" s="229"/>
      <c r="V2032" s="264"/>
      <c r="W2032" s="199"/>
      <c r="X2032" s="264"/>
      <c r="Y2032" s="264"/>
      <c r="Z2032" s="386"/>
      <c r="AD2032" s="264"/>
      <c r="AE2032" s="264"/>
      <c r="AF2032" s="264"/>
      <c r="AG2032" s="264"/>
    </row>
    <row r="2033" spans="1:33" ht="26.25">
      <c r="A2033" s="264"/>
      <c r="B2033" s="264"/>
      <c r="C2033" s="264"/>
      <c r="D2033" s="264"/>
      <c r="E2033" s="264"/>
      <c r="F2033" s="264"/>
      <c r="G2033" s="264"/>
      <c r="H2033" s="264"/>
      <c r="I2033" s="264"/>
      <c r="J2033" s="327"/>
      <c r="K2033" s="327"/>
      <c r="L2033" s="327"/>
      <c r="M2033" s="321"/>
      <c r="N2033" s="321"/>
      <c r="O2033" s="364"/>
      <c r="P2033" s="381"/>
      <c r="R2033" s="392"/>
      <c r="S2033" s="61" ph="1"/>
      <c r="U2033" s="229"/>
      <c r="V2033" s="264"/>
      <c r="W2033" s="199"/>
      <c r="X2033" s="264"/>
      <c r="Y2033" s="264"/>
      <c r="Z2033" s="386"/>
      <c r="AD2033" s="264"/>
      <c r="AE2033" s="264"/>
      <c r="AF2033" s="264"/>
      <c r="AG2033" s="264"/>
    </row>
    <row r="2034" spans="1:33" ht="26.25">
      <c r="A2034" s="264"/>
      <c r="B2034" s="264"/>
      <c r="C2034" s="264"/>
      <c r="D2034" s="264"/>
      <c r="E2034" s="264"/>
      <c r="F2034" s="264"/>
      <c r="G2034" s="264"/>
      <c r="H2034" s="264"/>
      <c r="I2034" s="264"/>
      <c r="J2034" s="327"/>
      <c r="K2034" s="327"/>
      <c r="L2034" s="327"/>
      <c r="M2034" s="321"/>
      <c r="N2034" s="321"/>
      <c r="O2034" s="364"/>
      <c r="P2034" s="381"/>
      <c r="R2034" s="392"/>
      <c r="S2034" s="61" ph="1"/>
      <c r="U2034" s="229"/>
      <c r="V2034" s="264"/>
      <c r="W2034" s="199"/>
      <c r="X2034" s="264"/>
      <c r="Y2034" s="264"/>
      <c r="Z2034" s="386"/>
      <c r="AD2034" s="264"/>
      <c r="AE2034" s="264"/>
      <c r="AF2034" s="264"/>
      <c r="AG2034" s="264"/>
    </row>
    <row r="2035" spans="1:33" ht="26.25">
      <c r="A2035" s="264"/>
      <c r="B2035" s="264"/>
      <c r="C2035" s="264"/>
      <c r="D2035" s="264"/>
      <c r="E2035" s="264"/>
      <c r="F2035" s="264"/>
      <c r="G2035" s="264"/>
      <c r="H2035" s="264"/>
      <c r="I2035" s="264"/>
      <c r="J2035" s="327"/>
      <c r="K2035" s="327"/>
      <c r="L2035" s="327"/>
      <c r="M2035" s="321"/>
      <c r="N2035" s="321"/>
      <c r="O2035" s="364"/>
      <c r="P2035" s="381"/>
      <c r="R2035" s="392"/>
      <c r="S2035" s="61" ph="1"/>
      <c r="U2035" s="229"/>
      <c r="V2035" s="264"/>
      <c r="W2035" s="199"/>
      <c r="X2035" s="264"/>
      <c r="Y2035" s="264"/>
      <c r="Z2035" s="386"/>
      <c r="AD2035" s="264"/>
      <c r="AE2035" s="264"/>
      <c r="AF2035" s="264"/>
      <c r="AG2035" s="264"/>
    </row>
    <row r="2036" spans="1:33" ht="26.25">
      <c r="A2036" s="264"/>
      <c r="B2036" s="264"/>
      <c r="C2036" s="264"/>
      <c r="D2036" s="264"/>
      <c r="E2036" s="264"/>
      <c r="F2036" s="264"/>
      <c r="G2036" s="264"/>
      <c r="H2036" s="264"/>
      <c r="I2036" s="264"/>
      <c r="J2036" s="327"/>
      <c r="K2036" s="327"/>
      <c r="L2036" s="327"/>
      <c r="M2036" s="321"/>
      <c r="N2036" s="321"/>
      <c r="O2036" s="364"/>
      <c r="P2036" s="381"/>
      <c r="R2036" s="392"/>
      <c r="S2036" s="61" ph="1"/>
      <c r="U2036" s="229"/>
      <c r="V2036" s="264"/>
      <c r="W2036" s="199"/>
      <c r="X2036" s="264"/>
      <c r="Y2036" s="264"/>
      <c r="Z2036" s="386"/>
      <c r="AD2036" s="264"/>
      <c r="AE2036" s="264"/>
      <c r="AF2036" s="264"/>
      <c r="AG2036" s="264"/>
    </row>
    <row r="2037" spans="1:33" ht="26.25">
      <c r="A2037" s="264"/>
      <c r="B2037" s="264"/>
      <c r="C2037" s="264"/>
      <c r="D2037" s="264"/>
      <c r="E2037" s="264"/>
      <c r="F2037" s="264"/>
      <c r="G2037" s="264"/>
      <c r="H2037" s="264"/>
      <c r="I2037" s="264"/>
      <c r="J2037" s="327"/>
      <c r="K2037" s="327"/>
      <c r="L2037" s="327"/>
      <c r="M2037" s="321"/>
      <c r="N2037" s="321"/>
      <c r="O2037" s="364"/>
      <c r="P2037" s="381"/>
      <c r="R2037" s="392"/>
      <c r="S2037" s="61" ph="1"/>
      <c r="U2037" s="229"/>
      <c r="V2037" s="264"/>
      <c r="W2037" s="199"/>
      <c r="X2037" s="264"/>
      <c r="Y2037" s="264"/>
      <c r="Z2037" s="386"/>
      <c r="AD2037" s="264"/>
      <c r="AE2037" s="264"/>
      <c r="AF2037" s="264"/>
      <c r="AG2037" s="264"/>
    </row>
    <row r="2038" spans="1:33" ht="26.25">
      <c r="A2038" s="264"/>
      <c r="B2038" s="264"/>
      <c r="C2038" s="264"/>
      <c r="D2038" s="264"/>
      <c r="E2038" s="264"/>
      <c r="F2038" s="264"/>
      <c r="G2038" s="264"/>
      <c r="H2038" s="264"/>
      <c r="I2038" s="264"/>
      <c r="J2038" s="327"/>
      <c r="K2038" s="327"/>
      <c r="L2038" s="327"/>
      <c r="M2038" s="321"/>
      <c r="N2038" s="321"/>
      <c r="O2038" s="364"/>
      <c r="P2038" s="381"/>
      <c r="R2038" s="392"/>
      <c r="S2038" s="61" ph="1"/>
      <c r="U2038" s="229"/>
      <c r="V2038" s="264"/>
      <c r="W2038" s="199"/>
      <c r="X2038" s="264"/>
      <c r="Y2038" s="264"/>
      <c r="Z2038" s="386"/>
      <c r="AD2038" s="264"/>
      <c r="AE2038" s="264"/>
      <c r="AF2038" s="264"/>
      <c r="AG2038" s="264"/>
    </row>
    <row r="2039" spans="1:33" ht="26.25">
      <c r="A2039" s="264"/>
      <c r="B2039" s="264"/>
      <c r="C2039" s="264"/>
      <c r="D2039" s="264"/>
      <c r="E2039" s="264"/>
      <c r="F2039" s="264"/>
      <c r="G2039" s="264"/>
      <c r="H2039" s="264"/>
      <c r="I2039" s="264"/>
      <c r="J2039" s="327"/>
      <c r="K2039" s="327"/>
      <c r="L2039" s="327"/>
      <c r="M2039" s="321"/>
      <c r="N2039" s="321"/>
      <c r="O2039" s="364"/>
      <c r="P2039" s="381"/>
      <c r="R2039" s="392"/>
      <c r="S2039" s="61" ph="1"/>
      <c r="U2039" s="229"/>
      <c r="V2039" s="264"/>
      <c r="W2039" s="199"/>
      <c r="X2039" s="264"/>
      <c r="Y2039" s="264"/>
      <c r="Z2039" s="386"/>
      <c r="AD2039" s="264"/>
      <c r="AE2039" s="264"/>
      <c r="AF2039" s="264"/>
      <c r="AG2039" s="264"/>
    </row>
    <row r="2040" spans="1:33" ht="26.25">
      <c r="A2040" s="264"/>
      <c r="B2040" s="264"/>
      <c r="C2040" s="264"/>
      <c r="D2040" s="264"/>
      <c r="E2040" s="264"/>
      <c r="F2040" s="264"/>
      <c r="G2040" s="264"/>
      <c r="H2040" s="264"/>
      <c r="I2040" s="264"/>
      <c r="J2040" s="327"/>
      <c r="K2040" s="327"/>
      <c r="L2040" s="327"/>
      <c r="M2040" s="321"/>
      <c r="N2040" s="321"/>
      <c r="O2040" s="364"/>
      <c r="P2040" s="381"/>
      <c r="R2040" s="392"/>
      <c r="S2040" s="61" ph="1"/>
      <c r="U2040" s="229"/>
      <c r="V2040" s="264"/>
      <c r="W2040" s="199"/>
      <c r="X2040" s="264"/>
      <c r="Y2040" s="264"/>
      <c r="Z2040" s="386"/>
      <c r="AD2040" s="264"/>
      <c r="AE2040" s="264"/>
      <c r="AF2040" s="264"/>
      <c r="AG2040" s="264"/>
    </row>
    <row r="2041" spans="1:33" ht="26.25">
      <c r="A2041" s="264"/>
      <c r="B2041" s="264"/>
      <c r="C2041" s="264"/>
      <c r="D2041" s="264"/>
      <c r="E2041" s="264"/>
      <c r="F2041" s="264"/>
      <c r="G2041" s="264"/>
      <c r="H2041" s="264"/>
      <c r="I2041" s="264"/>
      <c r="J2041" s="327"/>
      <c r="K2041" s="327"/>
      <c r="L2041" s="327"/>
      <c r="M2041" s="321"/>
      <c r="N2041" s="321"/>
      <c r="O2041" s="364"/>
      <c r="P2041" s="381"/>
      <c r="R2041" s="392"/>
      <c r="S2041" s="61" ph="1"/>
      <c r="U2041" s="229"/>
      <c r="V2041" s="264"/>
      <c r="W2041" s="199"/>
      <c r="X2041" s="264"/>
      <c r="Y2041" s="264"/>
      <c r="Z2041" s="386"/>
      <c r="AD2041" s="264"/>
      <c r="AE2041" s="264"/>
      <c r="AF2041" s="264"/>
      <c r="AG2041" s="264"/>
    </row>
    <row r="2042" spans="1:33" ht="26.25">
      <c r="A2042" s="264"/>
      <c r="B2042" s="264"/>
      <c r="C2042" s="264"/>
      <c r="D2042" s="264"/>
      <c r="E2042" s="264"/>
      <c r="F2042" s="264"/>
      <c r="G2042" s="264"/>
      <c r="H2042" s="264"/>
      <c r="I2042" s="264"/>
      <c r="J2042" s="327"/>
      <c r="K2042" s="327"/>
      <c r="L2042" s="327"/>
      <c r="M2042" s="321"/>
      <c r="N2042" s="321"/>
      <c r="O2042" s="364"/>
      <c r="P2042" s="381"/>
      <c r="R2042" s="392"/>
      <c r="S2042" s="61" ph="1"/>
      <c r="U2042" s="229"/>
      <c r="V2042" s="264"/>
      <c r="W2042" s="199"/>
      <c r="X2042" s="264"/>
      <c r="Y2042" s="264"/>
      <c r="Z2042" s="386"/>
      <c r="AD2042" s="264"/>
      <c r="AE2042" s="264"/>
      <c r="AF2042" s="264"/>
      <c r="AG2042" s="264"/>
    </row>
    <row r="2043" spans="1:33" ht="26.25">
      <c r="A2043" s="264"/>
      <c r="B2043" s="264"/>
      <c r="C2043" s="264"/>
      <c r="D2043" s="264"/>
      <c r="E2043" s="264"/>
      <c r="F2043" s="264"/>
      <c r="G2043" s="264"/>
      <c r="H2043" s="264"/>
      <c r="I2043" s="264"/>
      <c r="J2043" s="327"/>
      <c r="K2043" s="327"/>
      <c r="L2043" s="327"/>
      <c r="M2043" s="321"/>
      <c r="N2043" s="321"/>
      <c r="O2043" s="364"/>
      <c r="P2043" s="381"/>
      <c r="R2043" s="392"/>
      <c r="S2043" s="61" ph="1"/>
      <c r="U2043" s="229"/>
      <c r="V2043" s="264"/>
      <c r="W2043" s="199"/>
      <c r="X2043" s="264"/>
      <c r="Y2043" s="264"/>
      <c r="Z2043" s="386"/>
      <c r="AD2043" s="264"/>
      <c r="AE2043" s="264"/>
      <c r="AF2043" s="264"/>
      <c r="AG2043" s="264"/>
    </row>
    <row r="2044" spans="1:33" ht="26.25">
      <c r="A2044" s="264"/>
      <c r="B2044" s="264"/>
      <c r="C2044" s="264"/>
      <c r="D2044" s="264"/>
      <c r="E2044" s="264"/>
      <c r="F2044" s="264"/>
      <c r="G2044" s="264"/>
      <c r="H2044" s="264"/>
      <c r="I2044" s="264"/>
      <c r="J2044" s="327"/>
      <c r="K2044" s="327"/>
      <c r="L2044" s="327"/>
      <c r="M2044" s="321"/>
      <c r="N2044" s="321"/>
      <c r="O2044" s="364"/>
      <c r="P2044" s="381"/>
      <c r="R2044" s="392"/>
      <c r="S2044" s="61" ph="1"/>
      <c r="U2044" s="229"/>
      <c r="V2044" s="264"/>
      <c r="W2044" s="199"/>
      <c r="X2044" s="264"/>
      <c r="Y2044" s="264"/>
      <c r="Z2044" s="386"/>
      <c r="AD2044" s="264"/>
      <c r="AE2044" s="264"/>
      <c r="AF2044" s="264"/>
      <c r="AG2044" s="264"/>
    </row>
    <row r="2045" spans="1:33" ht="26.25">
      <c r="A2045" s="264"/>
      <c r="B2045" s="264"/>
      <c r="C2045" s="264"/>
      <c r="D2045" s="264"/>
      <c r="E2045" s="264"/>
      <c r="F2045" s="264"/>
      <c r="G2045" s="264"/>
      <c r="H2045" s="264"/>
      <c r="I2045" s="264"/>
      <c r="J2045" s="327"/>
      <c r="K2045" s="327"/>
      <c r="L2045" s="327"/>
      <c r="M2045" s="321"/>
      <c r="N2045" s="321"/>
      <c r="O2045" s="364"/>
      <c r="P2045" s="381"/>
      <c r="R2045" s="392"/>
      <c r="S2045" s="61" ph="1"/>
      <c r="U2045" s="229"/>
      <c r="V2045" s="264"/>
      <c r="W2045" s="199"/>
      <c r="X2045" s="264"/>
      <c r="Y2045" s="264"/>
      <c r="Z2045" s="386"/>
      <c r="AD2045" s="264"/>
      <c r="AE2045" s="264"/>
      <c r="AF2045" s="264"/>
      <c r="AG2045" s="264"/>
    </row>
    <row r="2046" spans="1:33" ht="26.25">
      <c r="A2046" s="264"/>
      <c r="B2046" s="264"/>
      <c r="C2046" s="264"/>
      <c r="D2046" s="264"/>
      <c r="E2046" s="264"/>
      <c r="F2046" s="264"/>
      <c r="G2046" s="264"/>
      <c r="H2046" s="264"/>
      <c r="I2046" s="264"/>
      <c r="J2046" s="327"/>
      <c r="K2046" s="327"/>
      <c r="L2046" s="327"/>
      <c r="M2046" s="321"/>
      <c r="N2046" s="321"/>
      <c r="O2046" s="364"/>
      <c r="P2046" s="381"/>
      <c r="R2046" s="392"/>
      <c r="S2046" s="61" ph="1"/>
      <c r="U2046" s="229"/>
      <c r="V2046" s="264"/>
      <c r="W2046" s="199"/>
      <c r="X2046" s="264"/>
      <c r="Y2046" s="264"/>
      <c r="Z2046" s="386"/>
      <c r="AD2046" s="264"/>
      <c r="AE2046" s="264"/>
      <c r="AF2046" s="264"/>
      <c r="AG2046" s="264"/>
    </row>
    <row r="2047" spans="1:33" ht="26.25">
      <c r="A2047" s="264"/>
      <c r="B2047" s="264"/>
      <c r="C2047" s="264"/>
      <c r="D2047" s="264"/>
      <c r="E2047" s="264"/>
      <c r="F2047" s="264"/>
      <c r="G2047" s="264"/>
      <c r="H2047" s="264"/>
      <c r="I2047" s="264"/>
      <c r="J2047" s="327"/>
      <c r="K2047" s="327"/>
      <c r="L2047" s="327"/>
      <c r="M2047" s="321"/>
      <c r="N2047" s="321"/>
      <c r="O2047" s="364"/>
      <c r="P2047" s="381"/>
      <c r="R2047" s="392"/>
      <c r="S2047" s="61" ph="1"/>
      <c r="U2047" s="229"/>
      <c r="V2047" s="264"/>
      <c r="W2047" s="199"/>
      <c r="X2047" s="264"/>
      <c r="Y2047" s="264"/>
      <c r="Z2047" s="386"/>
      <c r="AD2047" s="264"/>
      <c r="AE2047" s="264"/>
      <c r="AF2047" s="264"/>
      <c r="AG2047" s="264"/>
    </row>
    <row r="2048" spans="1:33" ht="26.25">
      <c r="A2048" s="264"/>
      <c r="B2048" s="264"/>
      <c r="C2048" s="264"/>
      <c r="D2048" s="264"/>
      <c r="E2048" s="264"/>
      <c r="F2048" s="264"/>
      <c r="G2048" s="264"/>
      <c r="H2048" s="264"/>
      <c r="I2048" s="264"/>
      <c r="J2048" s="327"/>
      <c r="K2048" s="327"/>
      <c r="L2048" s="327"/>
      <c r="M2048" s="321"/>
      <c r="N2048" s="321"/>
      <c r="O2048" s="364"/>
      <c r="P2048" s="381"/>
      <c r="R2048" s="392"/>
      <c r="S2048" s="61" ph="1"/>
      <c r="U2048" s="229"/>
      <c r="V2048" s="264"/>
      <c r="W2048" s="199"/>
      <c r="X2048" s="264"/>
      <c r="Y2048" s="264"/>
      <c r="Z2048" s="386"/>
      <c r="AD2048" s="264"/>
      <c r="AE2048" s="264"/>
      <c r="AF2048" s="264"/>
      <c r="AG2048" s="264"/>
    </row>
    <row r="2049" spans="1:33" ht="26.25">
      <c r="A2049" s="264"/>
      <c r="B2049" s="264"/>
      <c r="C2049" s="264"/>
      <c r="D2049" s="264"/>
      <c r="E2049" s="264"/>
      <c r="F2049" s="264"/>
      <c r="G2049" s="264"/>
      <c r="H2049" s="264"/>
      <c r="I2049" s="264"/>
      <c r="J2049" s="327"/>
      <c r="K2049" s="327"/>
      <c r="L2049" s="327"/>
      <c r="M2049" s="321"/>
      <c r="N2049" s="321"/>
      <c r="O2049" s="364"/>
      <c r="P2049" s="381"/>
      <c r="R2049" s="392"/>
      <c r="S2049" s="61" ph="1"/>
      <c r="U2049" s="229"/>
      <c r="V2049" s="264"/>
      <c r="W2049" s="199"/>
      <c r="X2049" s="264"/>
      <c r="Y2049" s="264"/>
      <c r="Z2049" s="386"/>
      <c r="AD2049" s="264"/>
      <c r="AE2049" s="264"/>
      <c r="AF2049" s="264"/>
      <c r="AG2049" s="264"/>
    </row>
    <row r="2050" spans="1:33" ht="26.25">
      <c r="A2050" s="264"/>
      <c r="B2050" s="264"/>
      <c r="C2050" s="264"/>
      <c r="D2050" s="264"/>
      <c r="E2050" s="264"/>
      <c r="F2050" s="264"/>
      <c r="G2050" s="264"/>
      <c r="H2050" s="264"/>
      <c r="I2050" s="264"/>
      <c r="J2050" s="327"/>
      <c r="K2050" s="327"/>
      <c r="L2050" s="327"/>
      <c r="M2050" s="321"/>
      <c r="N2050" s="321"/>
      <c r="O2050" s="364"/>
      <c r="P2050" s="381"/>
      <c r="R2050" s="392"/>
      <c r="S2050" s="61" ph="1"/>
      <c r="U2050" s="229"/>
      <c r="V2050" s="264"/>
      <c r="W2050" s="199"/>
      <c r="X2050" s="264"/>
      <c r="Y2050" s="264"/>
      <c r="Z2050" s="386"/>
      <c r="AD2050" s="264"/>
      <c r="AE2050" s="264"/>
      <c r="AF2050" s="264"/>
      <c r="AG2050" s="264"/>
    </row>
    <row r="2051" spans="1:33" ht="26.25">
      <c r="A2051" s="264"/>
      <c r="B2051" s="264"/>
      <c r="C2051" s="264"/>
      <c r="D2051" s="264"/>
      <c r="E2051" s="264"/>
      <c r="F2051" s="264"/>
      <c r="G2051" s="264"/>
      <c r="H2051" s="264"/>
      <c r="I2051" s="264"/>
      <c r="J2051" s="327"/>
      <c r="K2051" s="327"/>
      <c r="L2051" s="327"/>
      <c r="M2051" s="321"/>
      <c r="N2051" s="321"/>
      <c r="O2051" s="364"/>
      <c r="P2051" s="381"/>
      <c r="R2051" s="392"/>
      <c r="S2051" s="61" ph="1"/>
      <c r="U2051" s="229"/>
      <c r="V2051" s="264"/>
      <c r="W2051" s="199"/>
      <c r="X2051" s="264"/>
      <c r="Y2051" s="264"/>
      <c r="Z2051" s="386"/>
      <c r="AD2051" s="264"/>
      <c r="AE2051" s="264"/>
      <c r="AF2051" s="264"/>
      <c r="AG2051" s="264"/>
    </row>
    <row r="2052" spans="1:33" ht="26.25">
      <c r="A2052" s="264"/>
      <c r="B2052" s="264"/>
      <c r="C2052" s="264"/>
      <c r="D2052" s="264"/>
      <c r="E2052" s="264"/>
      <c r="F2052" s="264"/>
      <c r="G2052" s="264"/>
      <c r="H2052" s="264"/>
      <c r="I2052" s="264"/>
      <c r="J2052" s="327"/>
      <c r="K2052" s="327"/>
      <c r="L2052" s="327"/>
      <c r="M2052" s="321"/>
      <c r="N2052" s="321"/>
      <c r="O2052" s="364"/>
      <c r="P2052" s="381"/>
      <c r="R2052" s="392"/>
      <c r="S2052" s="61" ph="1"/>
      <c r="U2052" s="229"/>
      <c r="V2052" s="264"/>
      <c r="W2052" s="199"/>
      <c r="X2052" s="264"/>
      <c r="Y2052" s="264"/>
      <c r="Z2052" s="386"/>
      <c r="AD2052" s="264"/>
      <c r="AE2052" s="264"/>
      <c r="AF2052" s="264"/>
      <c r="AG2052" s="264"/>
    </row>
    <row r="2053" spans="1:33" ht="26.25">
      <c r="A2053" s="264"/>
      <c r="B2053" s="264"/>
      <c r="C2053" s="264"/>
      <c r="D2053" s="264"/>
      <c r="E2053" s="264"/>
      <c r="F2053" s="264"/>
      <c r="G2053" s="264"/>
      <c r="H2053" s="264"/>
      <c r="I2053" s="264"/>
      <c r="J2053" s="327"/>
      <c r="K2053" s="327"/>
      <c r="L2053" s="327"/>
      <c r="M2053" s="321"/>
      <c r="N2053" s="321"/>
      <c r="O2053" s="364"/>
      <c r="P2053" s="381"/>
      <c r="R2053" s="392"/>
      <c r="S2053" s="61" ph="1"/>
      <c r="U2053" s="229"/>
      <c r="V2053" s="264"/>
      <c r="W2053" s="199"/>
      <c r="X2053" s="264"/>
      <c r="Y2053" s="264"/>
      <c r="Z2053" s="386"/>
      <c r="AD2053" s="264"/>
      <c r="AE2053" s="264"/>
      <c r="AF2053" s="264"/>
      <c r="AG2053" s="264"/>
    </row>
    <row r="2054" spans="1:33" ht="26.25">
      <c r="A2054" s="264"/>
      <c r="B2054" s="264"/>
      <c r="C2054" s="264"/>
      <c r="D2054" s="264"/>
      <c r="E2054" s="264"/>
      <c r="F2054" s="264"/>
      <c r="G2054" s="264"/>
      <c r="H2054" s="264"/>
      <c r="I2054" s="264"/>
      <c r="J2054" s="327"/>
      <c r="K2054" s="327"/>
      <c r="L2054" s="327"/>
      <c r="M2054" s="321"/>
      <c r="N2054" s="321"/>
      <c r="O2054" s="364"/>
      <c r="P2054" s="381"/>
      <c r="R2054" s="392"/>
      <c r="S2054" s="61" ph="1"/>
      <c r="U2054" s="229"/>
      <c r="V2054" s="264"/>
      <c r="W2054" s="199"/>
      <c r="X2054" s="264"/>
      <c r="Y2054" s="264"/>
      <c r="Z2054" s="386"/>
      <c r="AD2054" s="264"/>
      <c r="AE2054" s="264"/>
      <c r="AF2054" s="264"/>
      <c r="AG2054" s="264"/>
    </row>
    <row r="2055" spans="1:33" ht="26.25">
      <c r="A2055" s="264"/>
      <c r="B2055" s="264"/>
      <c r="C2055" s="264"/>
      <c r="D2055" s="264"/>
      <c r="E2055" s="264"/>
      <c r="F2055" s="264"/>
      <c r="G2055" s="264"/>
      <c r="H2055" s="264"/>
      <c r="I2055" s="264"/>
      <c r="J2055" s="327"/>
      <c r="K2055" s="327"/>
      <c r="L2055" s="327"/>
      <c r="M2055" s="321"/>
      <c r="N2055" s="321"/>
      <c r="O2055" s="364"/>
      <c r="P2055" s="381"/>
      <c r="R2055" s="392"/>
      <c r="S2055" s="61" ph="1"/>
      <c r="U2055" s="229"/>
      <c r="V2055" s="264"/>
      <c r="W2055" s="199"/>
      <c r="X2055" s="264"/>
      <c r="Y2055" s="264"/>
      <c r="Z2055" s="386"/>
      <c r="AD2055" s="264"/>
      <c r="AE2055" s="264"/>
      <c r="AF2055" s="264"/>
      <c r="AG2055" s="264"/>
    </row>
    <row r="2056" spans="1:33" ht="26.25">
      <c r="A2056" s="264"/>
      <c r="B2056" s="264"/>
      <c r="C2056" s="264"/>
      <c r="D2056" s="264"/>
      <c r="E2056" s="264"/>
      <c r="F2056" s="264"/>
      <c r="G2056" s="264"/>
      <c r="H2056" s="264"/>
      <c r="I2056" s="264"/>
      <c r="J2056" s="327"/>
      <c r="K2056" s="327"/>
      <c r="L2056" s="327"/>
      <c r="M2056" s="321"/>
      <c r="N2056" s="321"/>
      <c r="O2056" s="364"/>
      <c r="P2056" s="381"/>
      <c r="R2056" s="392"/>
      <c r="S2056" s="61" ph="1"/>
      <c r="U2056" s="229"/>
      <c r="V2056" s="264"/>
      <c r="W2056" s="199"/>
      <c r="X2056" s="264"/>
      <c r="Y2056" s="264"/>
      <c r="Z2056" s="386"/>
      <c r="AD2056" s="264"/>
      <c r="AE2056" s="264"/>
      <c r="AF2056" s="264"/>
      <c r="AG2056" s="264"/>
    </row>
    <row r="2057" spans="1:33" ht="26.25">
      <c r="A2057" s="264"/>
      <c r="B2057" s="264"/>
      <c r="C2057" s="264"/>
      <c r="D2057" s="264"/>
      <c r="E2057" s="264"/>
      <c r="F2057" s="264"/>
      <c r="G2057" s="264"/>
      <c r="H2057" s="264"/>
      <c r="I2057" s="264"/>
      <c r="J2057" s="327"/>
      <c r="K2057" s="327"/>
      <c r="L2057" s="327"/>
      <c r="M2057" s="321"/>
      <c r="N2057" s="321"/>
      <c r="O2057" s="364"/>
      <c r="P2057" s="381"/>
      <c r="R2057" s="392"/>
      <c r="S2057" s="61" ph="1"/>
      <c r="U2057" s="229"/>
      <c r="V2057" s="264"/>
      <c r="W2057" s="199"/>
      <c r="X2057" s="264"/>
      <c r="Y2057" s="264"/>
      <c r="Z2057" s="386"/>
      <c r="AD2057" s="264"/>
      <c r="AE2057" s="264"/>
      <c r="AF2057" s="264"/>
      <c r="AG2057" s="264"/>
    </row>
    <row r="2058" spans="1:33" ht="26.25">
      <c r="A2058" s="264"/>
      <c r="B2058" s="264"/>
      <c r="C2058" s="264"/>
      <c r="D2058" s="264"/>
      <c r="E2058" s="264"/>
      <c r="F2058" s="264"/>
      <c r="G2058" s="264"/>
      <c r="H2058" s="264"/>
      <c r="I2058" s="264"/>
      <c r="J2058" s="327"/>
      <c r="K2058" s="327"/>
      <c r="L2058" s="327"/>
      <c r="M2058" s="321"/>
      <c r="N2058" s="321"/>
      <c r="O2058" s="364"/>
      <c r="P2058" s="381"/>
      <c r="R2058" s="392"/>
      <c r="S2058" s="61" ph="1"/>
      <c r="U2058" s="229"/>
      <c r="V2058" s="264"/>
      <c r="W2058" s="199"/>
      <c r="X2058" s="264"/>
      <c r="Y2058" s="264"/>
      <c r="Z2058" s="386"/>
      <c r="AD2058" s="264"/>
      <c r="AE2058" s="264"/>
      <c r="AF2058" s="264"/>
      <c r="AG2058" s="264"/>
    </row>
    <row r="2059" spans="1:33" ht="26.25">
      <c r="A2059" s="264"/>
      <c r="B2059" s="264"/>
      <c r="C2059" s="264"/>
      <c r="D2059" s="264"/>
      <c r="E2059" s="264"/>
      <c r="F2059" s="264"/>
      <c r="G2059" s="264"/>
      <c r="H2059" s="264"/>
      <c r="I2059" s="264"/>
      <c r="J2059" s="327"/>
      <c r="K2059" s="327"/>
      <c r="L2059" s="327"/>
      <c r="M2059" s="321"/>
      <c r="N2059" s="321"/>
      <c r="O2059" s="364"/>
      <c r="P2059" s="381"/>
      <c r="R2059" s="392"/>
      <c r="S2059" s="61" ph="1"/>
      <c r="U2059" s="229"/>
      <c r="V2059" s="264"/>
      <c r="W2059" s="199"/>
      <c r="X2059" s="264"/>
      <c r="Y2059" s="264"/>
      <c r="Z2059" s="386"/>
      <c r="AD2059" s="264"/>
      <c r="AE2059" s="264"/>
      <c r="AF2059" s="264"/>
      <c r="AG2059" s="264"/>
    </row>
    <row r="2060" spans="1:33" ht="26.25">
      <c r="A2060" s="264"/>
      <c r="B2060" s="264"/>
      <c r="C2060" s="264"/>
      <c r="D2060" s="264"/>
      <c r="E2060" s="264"/>
      <c r="F2060" s="264"/>
      <c r="G2060" s="264"/>
      <c r="H2060" s="264"/>
      <c r="I2060" s="264"/>
      <c r="J2060" s="327"/>
      <c r="K2060" s="327"/>
      <c r="L2060" s="327"/>
      <c r="M2060" s="321"/>
      <c r="N2060" s="321"/>
      <c r="O2060" s="364"/>
      <c r="P2060" s="381"/>
      <c r="R2060" s="392"/>
      <c r="S2060" s="61" ph="1"/>
      <c r="U2060" s="229"/>
      <c r="V2060" s="264"/>
      <c r="W2060" s="199"/>
      <c r="X2060" s="264"/>
      <c r="Y2060" s="264"/>
      <c r="Z2060" s="386"/>
      <c r="AD2060" s="264"/>
      <c r="AE2060" s="264"/>
      <c r="AF2060" s="264"/>
      <c r="AG2060" s="264"/>
    </row>
    <row r="2061" spans="1:33" ht="26.25">
      <c r="A2061" s="264"/>
      <c r="B2061" s="264"/>
      <c r="C2061" s="264"/>
      <c r="D2061" s="264"/>
      <c r="E2061" s="264"/>
      <c r="F2061" s="264"/>
      <c r="G2061" s="264"/>
      <c r="H2061" s="264"/>
      <c r="I2061" s="264"/>
      <c r="J2061" s="327"/>
      <c r="K2061" s="327"/>
      <c r="L2061" s="327"/>
      <c r="M2061" s="321"/>
      <c r="N2061" s="321"/>
      <c r="O2061" s="364"/>
      <c r="P2061" s="381"/>
      <c r="R2061" s="392"/>
      <c r="S2061" s="61" ph="1"/>
      <c r="U2061" s="229"/>
      <c r="V2061" s="264"/>
      <c r="W2061" s="199"/>
      <c r="X2061" s="264"/>
      <c r="Y2061" s="264"/>
      <c r="Z2061" s="386"/>
      <c r="AD2061" s="264"/>
      <c r="AE2061" s="264"/>
      <c r="AF2061" s="264"/>
      <c r="AG2061" s="264"/>
    </row>
    <row r="2062" spans="1:33" ht="26.25">
      <c r="A2062" s="264"/>
      <c r="B2062" s="264"/>
      <c r="C2062" s="264"/>
      <c r="D2062" s="264"/>
      <c r="E2062" s="264"/>
      <c r="F2062" s="264"/>
      <c r="G2062" s="264"/>
      <c r="H2062" s="264"/>
      <c r="I2062" s="264"/>
      <c r="J2062" s="327"/>
      <c r="K2062" s="327"/>
      <c r="L2062" s="327"/>
      <c r="M2062" s="321"/>
      <c r="N2062" s="321"/>
      <c r="O2062" s="364"/>
      <c r="P2062" s="381"/>
      <c r="R2062" s="392"/>
      <c r="S2062" s="61" ph="1"/>
      <c r="U2062" s="229"/>
      <c r="V2062" s="264"/>
      <c r="W2062" s="199"/>
      <c r="X2062" s="264"/>
      <c r="Y2062" s="264"/>
      <c r="Z2062" s="386"/>
      <c r="AD2062" s="264"/>
      <c r="AE2062" s="264"/>
      <c r="AF2062" s="264"/>
      <c r="AG2062" s="264"/>
    </row>
    <row r="2063" spans="1:33" ht="26.25">
      <c r="A2063" s="264"/>
      <c r="B2063" s="264"/>
      <c r="C2063" s="264"/>
      <c r="D2063" s="264"/>
      <c r="E2063" s="264"/>
      <c r="F2063" s="264"/>
      <c r="G2063" s="264"/>
      <c r="H2063" s="264"/>
      <c r="I2063" s="264"/>
      <c r="J2063" s="327"/>
      <c r="K2063" s="327"/>
      <c r="L2063" s="327"/>
      <c r="M2063" s="321"/>
      <c r="N2063" s="321"/>
      <c r="O2063" s="364"/>
      <c r="P2063" s="381"/>
      <c r="R2063" s="392"/>
      <c r="S2063" s="61" ph="1"/>
      <c r="U2063" s="229"/>
      <c r="V2063" s="264"/>
      <c r="W2063" s="199"/>
      <c r="X2063" s="264"/>
      <c r="Y2063" s="264"/>
      <c r="Z2063" s="386"/>
      <c r="AD2063" s="264"/>
      <c r="AE2063" s="264"/>
      <c r="AF2063" s="264"/>
      <c r="AG2063" s="264"/>
    </row>
    <row r="2064" spans="1:33" ht="26.25">
      <c r="A2064" s="264"/>
      <c r="B2064" s="264"/>
      <c r="C2064" s="264"/>
      <c r="D2064" s="264"/>
      <c r="E2064" s="264"/>
      <c r="F2064" s="264"/>
      <c r="G2064" s="264"/>
      <c r="H2064" s="264"/>
      <c r="I2064" s="264"/>
      <c r="J2064" s="327"/>
      <c r="K2064" s="327"/>
      <c r="L2064" s="327"/>
      <c r="M2064" s="321"/>
      <c r="N2064" s="321"/>
      <c r="O2064" s="364"/>
      <c r="P2064" s="381"/>
      <c r="R2064" s="392"/>
      <c r="S2064" s="61" ph="1"/>
      <c r="U2064" s="229"/>
      <c r="V2064" s="264"/>
      <c r="W2064" s="199"/>
      <c r="X2064" s="264"/>
      <c r="Y2064" s="264"/>
      <c r="Z2064" s="386"/>
      <c r="AD2064" s="264"/>
      <c r="AE2064" s="264"/>
      <c r="AF2064" s="264"/>
      <c r="AG2064" s="264"/>
    </row>
    <row r="2065" spans="1:33" ht="26.25">
      <c r="A2065" s="264"/>
      <c r="B2065" s="264"/>
      <c r="C2065" s="264"/>
      <c r="D2065" s="264"/>
      <c r="E2065" s="264"/>
      <c r="F2065" s="264"/>
      <c r="G2065" s="264"/>
      <c r="H2065" s="264"/>
      <c r="I2065" s="264"/>
      <c r="J2065" s="327"/>
      <c r="K2065" s="327"/>
      <c r="L2065" s="327"/>
      <c r="M2065" s="321"/>
      <c r="N2065" s="321"/>
      <c r="O2065" s="364"/>
      <c r="P2065" s="381"/>
      <c r="R2065" s="392"/>
      <c r="S2065" s="61" ph="1"/>
      <c r="U2065" s="229"/>
      <c r="V2065" s="264"/>
      <c r="W2065" s="199"/>
      <c r="X2065" s="264"/>
      <c r="Y2065" s="264"/>
      <c r="Z2065" s="386"/>
      <c r="AD2065" s="264"/>
      <c r="AE2065" s="264"/>
      <c r="AF2065" s="264"/>
      <c r="AG2065" s="264"/>
    </row>
    <row r="2066" spans="1:33" ht="26.25">
      <c r="A2066" s="264"/>
      <c r="B2066" s="264"/>
      <c r="C2066" s="264"/>
      <c r="D2066" s="264"/>
      <c r="E2066" s="264"/>
      <c r="F2066" s="264"/>
      <c r="G2066" s="264"/>
      <c r="H2066" s="264"/>
      <c r="I2066" s="264"/>
      <c r="J2066" s="327"/>
      <c r="K2066" s="327"/>
      <c r="L2066" s="327"/>
      <c r="M2066" s="321"/>
      <c r="N2066" s="321"/>
      <c r="O2066" s="364"/>
      <c r="P2066" s="381"/>
      <c r="R2066" s="392"/>
      <c r="S2066" s="61" ph="1"/>
      <c r="U2066" s="229"/>
      <c r="V2066" s="264"/>
      <c r="W2066" s="199"/>
      <c r="X2066" s="264"/>
      <c r="Y2066" s="264"/>
      <c r="Z2066" s="386"/>
      <c r="AD2066" s="264"/>
      <c r="AE2066" s="264"/>
      <c r="AF2066" s="264"/>
      <c r="AG2066" s="264"/>
    </row>
    <row r="2067" spans="1:33" ht="26.25">
      <c r="A2067" s="264"/>
      <c r="B2067" s="264"/>
      <c r="C2067" s="264"/>
      <c r="D2067" s="264"/>
      <c r="E2067" s="264"/>
      <c r="F2067" s="264"/>
      <c r="G2067" s="264"/>
      <c r="H2067" s="264"/>
      <c r="I2067" s="264"/>
      <c r="J2067" s="327"/>
      <c r="K2067" s="327"/>
      <c r="L2067" s="327"/>
      <c r="M2067" s="321"/>
      <c r="N2067" s="321"/>
      <c r="O2067" s="364"/>
      <c r="P2067" s="381"/>
      <c r="R2067" s="392"/>
      <c r="S2067" s="61" ph="1"/>
      <c r="U2067" s="229"/>
      <c r="V2067" s="264"/>
      <c r="W2067" s="199"/>
      <c r="X2067" s="264"/>
      <c r="Y2067" s="264"/>
      <c r="Z2067" s="386"/>
      <c r="AD2067" s="264"/>
      <c r="AE2067" s="264"/>
      <c r="AF2067" s="264"/>
      <c r="AG2067" s="264"/>
    </row>
    <row r="2068" spans="1:33" ht="26.25">
      <c r="A2068" s="264"/>
      <c r="B2068" s="264"/>
      <c r="C2068" s="264"/>
      <c r="D2068" s="264"/>
      <c r="E2068" s="264"/>
      <c r="F2068" s="264"/>
      <c r="G2068" s="264"/>
      <c r="H2068" s="264"/>
      <c r="I2068" s="264"/>
      <c r="J2068" s="327"/>
      <c r="K2068" s="327"/>
      <c r="L2068" s="327"/>
      <c r="M2068" s="321"/>
      <c r="N2068" s="321"/>
      <c r="O2068" s="364"/>
      <c r="P2068" s="381"/>
      <c r="R2068" s="392"/>
      <c r="S2068" s="61" ph="1"/>
      <c r="U2068" s="229"/>
      <c r="V2068" s="264"/>
      <c r="W2068" s="199"/>
      <c r="X2068" s="264"/>
      <c r="Y2068" s="264"/>
      <c r="Z2068" s="386"/>
      <c r="AD2068" s="264"/>
      <c r="AE2068" s="264"/>
      <c r="AF2068" s="264"/>
      <c r="AG2068" s="264"/>
    </row>
    <row r="2069" spans="1:33" ht="26.25">
      <c r="A2069" s="264"/>
      <c r="B2069" s="264"/>
      <c r="C2069" s="264"/>
      <c r="D2069" s="264"/>
      <c r="E2069" s="264"/>
      <c r="F2069" s="264"/>
      <c r="G2069" s="264"/>
      <c r="H2069" s="264"/>
      <c r="I2069" s="264"/>
      <c r="J2069" s="327"/>
      <c r="K2069" s="327"/>
      <c r="L2069" s="327"/>
      <c r="M2069" s="321"/>
      <c r="N2069" s="321"/>
      <c r="O2069" s="364"/>
      <c r="P2069" s="381"/>
      <c r="R2069" s="392"/>
      <c r="S2069" s="61" ph="1"/>
      <c r="U2069" s="229"/>
      <c r="V2069" s="264"/>
      <c r="W2069" s="199"/>
      <c r="X2069" s="264"/>
      <c r="Y2069" s="264"/>
      <c r="Z2069" s="386"/>
      <c r="AD2069" s="264"/>
      <c r="AE2069" s="264"/>
      <c r="AF2069" s="264"/>
      <c r="AG2069" s="264"/>
    </row>
    <row r="2070" spans="1:33" ht="26.25">
      <c r="A2070" s="264"/>
      <c r="B2070" s="264"/>
      <c r="C2070" s="264"/>
      <c r="D2070" s="264"/>
      <c r="E2070" s="264"/>
      <c r="F2070" s="264"/>
      <c r="G2070" s="264"/>
      <c r="H2070" s="264"/>
      <c r="I2070" s="264"/>
      <c r="J2070" s="327"/>
      <c r="K2070" s="327"/>
      <c r="L2070" s="327"/>
      <c r="M2070" s="321"/>
      <c r="N2070" s="321"/>
      <c r="O2070" s="364"/>
      <c r="P2070" s="381"/>
      <c r="R2070" s="392"/>
      <c r="S2070" s="61" ph="1"/>
      <c r="U2070" s="229"/>
      <c r="V2070" s="264"/>
      <c r="W2070" s="199"/>
      <c r="X2070" s="264"/>
      <c r="Y2070" s="264"/>
      <c r="Z2070" s="386"/>
      <c r="AD2070" s="264"/>
      <c r="AE2070" s="264"/>
      <c r="AF2070" s="264"/>
      <c r="AG2070" s="264"/>
    </row>
    <row r="2071" spans="1:33" ht="26.25">
      <c r="A2071" s="264"/>
      <c r="B2071" s="264"/>
      <c r="C2071" s="264"/>
      <c r="D2071" s="264"/>
      <c r="E2071" s="264"/>
      <c r="F2071" s="264"/>
      <c r="G2071" s="264"/>
      <c r="H2071" s="264"/>
      <c r="I2071" s="264"/>
      <c r="J2071" s="327"/>
      <c r="K2071" s="327"/>
      <c r="L2071" s="327"/>
      <c r="M2071" s="321"/>
      <c r="N2071" s="321"/>
      <c r="O2071" s="364"/>
      <c r="P2071" s="381"/>
      <c r="R2071" s="392"/>
      <c r="S2071" s="61" ph="1"/>
      <c r="U2071" s="229"/>
      <c r="V2071" s="264"/>
      <c r="W2071" s="199"/>
      <c r="X2071" s="264"/>
      <c r="Y2071" s="264"/>
      <c r="Z2071" s="386"/>
      <c r="AD2071" s="264"/>
      <c r="AE2071" s="264"/>
      <c r="AF2071" s="264"/>
      <c r="AG2071" s="264"/>
    </row>
    <row r="2072" spans="1:33" ht="26.25">
      <c r="A2072" s="264"/>
      <c r="B2072" s="264"/>
      <c r="C2072" s="264"/>
      <c r="D2072" s="264"/>
      <c r="E2072" s="264"/>
      <c r="F2072" s="264"/>
      <c r="G2072" s="264"/>
      <c r="H2072" s="264"/>
      <c r="I2072" s="264"/>
      <c r="J2072" s="327"/>
      <c r="K2072" s="327"/>
      <c r="L2072" s="327"/>
      <c r="M2072" s="321"/>
      <c r="N2072" s="321"/>
      <c r="O2072" s="364"/>
      <c r="P2072" s="381"/>
      <c r="R2072" s="392"/>
      <c r="S2072" s="61" ph="1"/>
      <c r="U2072" s="229"/>
      <c r="V2072" s="264"/>
      <c r="W2072" s="199"/>
      <c r="X2072" s="264"/>
      <c r="Y2072" s="264"/>
      <c r="Z2072" s="386"/>
      <c r="AD2072" s="264"/>
      <c r="AE2072" s="264"/>
      <c r="AF2072" s="264"/>
      <c r="AG2072" s="264"/>
    </row>
    <row r="2073" spans="1:33" ht="26.25">
      <c r="A2073" s="264"/>
      <c r="B2073" s="264"/>
      <c r="C2073" s="264"/>
      <c r="D2073" s="264"/>
      <c r="E2073" s="264"/>
      <c r="F2073" s="264"/>
      <c r="G2073" s="264"/>
      <c r="H2073" s="264"/>
      <c r="I2073" s="264"/>
      <c r="J2073" s="327"/>
      <c r="K2073" s="327"/>
      <c r="L2073" s="327"/>
      <c r="M2073" s="321"/>
      <c r="N2073" s="321"/>
      <c r="O2073" s="364"/>
      <c r="P2073" s="381"/>
      <c r="R2073" s="392"/>
      <c r="S2073" s="61" ph="1"/>
      <c r="U2073" s="229"/>
      <c r="V2073" s="264"/>
      <c r="W2073" s="199"/>
      <c r="X2073" s="264"/>
      <c r="Y2073" s="264"/>
      <c r="Z2073" s="386"/>
      <c r="AD2073" s="264"/>
      <c r="AE2073" s="264"/>
      <c r="AF2073" s="264"/>
      <c r="AG2073" s="264"/>
    </row>
    <row r="2074" spans="1:33" ht="26.25">
      <c r="A2074" s="264"/>
      <c r="B2074" s="264"/>
      <c r="C2074" s="264"/>
      <c r="D2074" s="264"/>
      <c r="E2074" s="264"/>
      <c r="F2074" s="264"/>
      <c r="G2074" s="264"/>
      <c r="H2074" s="264"/>
      <c r="I2074" s="264"/>
      <c r="J2074" s="327"/>
      <c r="K2074" s="327"/>
      <c r="L2074" s="327"/>
      <c r="M2074" s="321"/>
      <c r="N2074" s="321"/>
      <c r="O2074" s="364"/>
      <c r="P2074" s="381"/>
      <c r="R2074" s="392"/>
      <c r="S2074" s="61" ph="1"/>
      <c r="U2074" s="229"/>
      <c r="V2074" s="264"/>
      <c r="W2074" s="199"/>
      <c r="X2074" s="264"/>
      <c r="Y2074" s="264"/>
      <c r="Z2074" s="386"/>
      <c r="AD2074" s="264"/>
      <c r="AE2074" s="264"/>
      <c r="AF2074" s="264"/>
      <c r="AG2074" s="264"/>
    </row>
    <row r="2075" spans="1:33" ht="26.25">
      <c r="A2075" s="264"/>
      <c r="B2075" s="264"/>
      <c r="C2075" s="264"/>
      <c r="D2075" s="264"/>
      <c r="E2075" s="264"/>
      <c r="F2075" s="264"/>
      <c r="G2075" s="264"/>
      <c r="H2075" s="264"/>
      <c r="I2075" s="264"/>
      <c r="J2075" s="327"/>
      <c r="K2075" s="327"/>
      <c r="L2075" s="327"/>
      <c r="M2075" s="321"/>
      <c r="N2075" s="321"/>
      <c r="O2075" s="364"/>
      <c r="P2075" s="381"/>
      <c r="R2075" s="392"/>
      <c r="S2075" s="61" ph="1"/>
      <c r="U2075" s="229"/>
      <c r="V2075" s="264"/>
      <c r="W2075" s="199"/>
      <c r="X2075" s="264"/>
      <c r="Y2075" s="264"/>
      <c r="Z2075" s="386"/>
      <c r="AD2075" s="264"/>
      <c r="AE2075" s="264"/>
      <c r="AF2075" s="264"/>
      <c r="AG2075" s="264"/>
    </row>
    <row r="2076" spans="1:33" ht="26.25">
      <c r="A2076" s="264"/>
      <c r="B2076" s="264"/>
      <c r="C2076" s="264"/>
      <c r="D2076" s="264"/>
      <c r="E2076" s="264"/>
      <c r="F2076" s="264"/>
      <c r="G2076" s="264"/>
      <c r="H2076" s="264"/>
      <c r="I2076" s="264"/>
      <c r="J2076" s="327"/>
      <c r="K2076" s="327"/>
      <c r="L2076" s="327"/>
      <c r="M2076" s="321"/>
      <c r="N2076" s="321"/>
      <c r="O2076" s="364"/>
      <c r="P2076" s="381"/>
      <c r="R2076" s="392"/>
      <c r="S2076" s="61" ph="1"/>
      <c r="U2076" s="229"/>
      <c r="V2076" s="264"/>
      <c r="W2076" s="199"/>
      <c r="X2076" s="264"/>
      <c r="Y2076" s="264"/>
      <c r="Z2076" s="386"/>
      <c r="AD2076" s="264"/>
      <c r="AE2076" s="264"/>
      <c r="AF2076" s="264"/>
      <c r="AG2076" s="264"/>
    </row>
    <row r="2077" spans="1:33" ht="26.25">
      <c r="A2077" s="264"/>
      <c r="B2077" s="264"/>
      <c r="C2077" s="264"/>
      <c r="D2077" s="264"/>
      <c r="E2077" s="264"/>
      <c r="F2077" s="264"/>
      <c r="G2077" s="264"/>
      <c r="H2077" s="264"/>
      <c r="I2077" s="264"/>
      <c r="J2077" s="327"/>
      <c r="K2077" s="327"/>
      <c r="L2077" s="327"/>
      <c r="M2077" s="321"/>
      <c r="N2077" s="321"/>
      <c r="O2077" s="364"/>
      <c r="P2077" s="381"/>
      <c r="R2077" s="392"/>
      <c r="S2077" s="61" ph="1"/>
      <c r="U2077" s="229"/>
      <c r="V2077" s="264"/>
      <c r="W2077" s="199"/>
      <c r="X2077" s="264"/>
      <c r="Y2077" s="264"/>
      <c r="Z2077" s="386"/>
      <c r="AD2077" s="264"/>
      <c r="AE2077" s="264"/>
      <c r="AF2077" s="264"/>
      <c r="AG2077" s="264"/>
    </row>
    <row r="2078" spans="1:33" ht="26.25">
      <c r="A2078" s="264"/>
      <c r="B2078" s="264"/>
      <c r="C2078" s="264"/>
      <c r="D2078" s="264"/>
      <c r="E2078" s="264"/>
      <c r="F2078" s="264"/>
      <c r="G2078" s="264"/>
      <c r="H2078" s="264"/>
      <c r="I2078" s="264"/>
      <c r="J2078" s="327"/>
      <c r="K2078" s="327"/>
      <c r="L2078" s="327"/>
      <c r="M2078" s="321"/>
      <c r="N2078" s="321"/>
      <c r="O2078" s="364"/>
      <c r="P2078" s="381"/>
      <c r="R2078" s="392"/>
      <c r="S2078" s="61" ph="1"/>
      <c r="U2078" s="229"/>
      <c r="V2078" s="264"/>
      <c r="W2078" s="199"/>
      <c r="X2078" s="264"/>
      <c r="Y2078" s="264"/>
      <c r="Z2078" s="386"/>
      <c r="AD2078" s="264"/>
      <c r="AE2078" s="264"/>
      <c r="AF2078" s="264"/>
      <c r="AG2078" s="264"/>
    </row>
    <row r="2079" spans="1:33" ht="26.25">
      <c r="A2079" s="264"/>
      <c r="B2079" s="264"/>
      <c r="C2079" s="264"/>
      <c r="D2079" s="264"/>
      <c r="E2079" s="264"/>
      <c r="F2079" s="264"/>
      <c r="G2079" s="264"/>
      <c r="H2079" s="264"/>
      <c r="I2079" s="264"/>
      <c r="J2079" s="327"/>
      <c r="K2079" s="327"/>
      <c r="L2079" s="327"/>
      <c r="M2079" s="321"/>
      <c r="N2079" s="321"/>
      <c r="O2079" s="364"/>
      <c r="P2079" s="381"/>
      <c r="R2079" s="392"/>
      <c r="S2079" s="61" ph="1"/>
      <c r="U2079" s="229"/>
      <c r="V2079" s="264"/>
      <c r="W2079" s="199"/>
      <c r="X2079" s="264"/>
      <c r="Y2079" s="264"/>
      <c r="Z2079" s="386"/>
      <c r="AD2079" s="264"/>
      <c r="AE2079" s="264"/>
      <c r="AF2079" s="264"/>
      <c r="AG2079" s="264"/>
    </row>
    <row r="2080" spans="1:33" ht="26.25">
      <c r="A2080" s="264"/>
      <c r="B2080" s="264"/>
      <c r="C2080" s="264"/>
      <c r="D2080" s="264"/>
      <c r="E2080" s="264"/>
      <c r="F2080" s="264"/>
      <c r="G2080" s="264"/>
      <c r="H2080" s="264"/>
      <c r="I2080" s="264"/>
      <c r="J2080" s="327"/>
      <c r="K2080" s="327"/>
      <c r="L2080" s="327"/>
      <c r="M2080" s="321"/>
      <c r="N2080" s="321"/>
      <c r="O2080" s="364"/>
      <c r="P2080" s="381"/>
      <c r="R2080" s="392"/>
      <c r="S2080" s="61" ph="1"/>
      <c r="U2080" s="229"/>
      <c r="V2080" s="264"/>
      <c r="W2080" s="199"/>
      <c r="X2080" s="264"/>
      <c r="Y2080" s="264"/>
      <c r="Z2080" s="386"/>
      <c r="AD2080" s="264"/>
      <c r="AE2080" s="264"/>
      <c r="AF2080" s="264"/>
      <c r="AG2080" s="264"/>
    </row>
    <row r="2081" spans="1:33" ht="26.25">
      <c r="A2081" s="264"/>
      <c r="B2081" s="264"/>
      <c r="C2081" s="264"/>
      <c r="D2081" s="264"/>
      <c r="E2081" s="264"/>
      <c r="F2081" s="264"/>
      <c r="G2081" s="264"/>
      <c r="H2081" s="264"/>
      <c r="I2081" s="264"/>
      <c r="J2081" s="327"/>
      <c r="K2081" s="327"/>
      <c r="L2081" s="327"/>
      <c r="M2081" s="321"/>
      <c r="N2081" s="321"/>
      <c r="O2081" s="364"/>
      <c r="P2081" s="381"/>
      <c r="R2081" s="392"/>
      <c r="S2081" s="61" ph="1"/>
      <c r="U2081" s="229"/>
      <c r="V2081" s="264"/>
      <c r="W2081" s="199"/>
      <c r="X2081" s="264"/>
      <c r="Y2081" s="264"/>
      <c r="Z2081" s="386"/>
      <c r="AD2081" s="264"/>
      <c r="AE2081" s="264"/>
      <c r="AF2081" s="264"/>
      <c r="AG2081" s="264"/>
    </row>
    <row r="2082" spans="1:33" ht="26.25">
      <c r="A2082" s="264"/>
      <c r="B2082" s="264"/>
      <c r="C2082" s="264"/>
      <c r="D2082" s="264"/>
      <c r="E2082" s="264"/>
      <c r="F2082" s="264"/>
      <c r="G2082" s="264"/>
      <c r="H2082" s="264"/>
      <c r="I2082" s="264"/>
      <c r="J2082" s="327"/>
      <c r="K2082" s="327"/>
      <c r="L2082" s="327"/>
      <c r="M2082" s="321"/>
      <c r="N2082" s="321"/>
      <c r="O2082" s="364"/>
      <c r="P2082" s="381"/>
      <c r="R2082" s="392"/>
      <c r="S2082" s="61" ph="1"/>
      <c r="U2082" s="229"/>
      <c r="V2082" s="264"/>
      <c r="W2082" s="199"/>
      <c r="X2082" s="264"/>
      <c r="Y2082" s="264"/>
      <c r="Z2082" s="386"/>
      <c r="AD2082" s="264"/>
      <c r="AE2082" s="264"/>
      <c r="AF2082" s="264"/>
      <c r="AG2082" s="264"/>
    </row>
    <row r="2083" spans="1:33" ht="26.25">
      <c r="A2083" s="264"/>
      <c r="B2083" s="264"/>
      <c r="C2083" s="264"/>
      <c r="D2083" s="264"/>
      <c r="E2083" s="264"/>
      <c r="F2083" s="264"/>
      <c r="G2083" s="264"/>
      <c r="H2083" s="264"/>
      <c r="I2083" s="264"/>
      <c r="J2083" s="327"/>
      <c r="K2083" s="327"/>
      <c r="L2083" s="327"/>
      <c r="M2083" s="321"/>
      <c r="N2083" s="321"/>
      <c r="O2083" s="364"/>
      <c r="P2083" s="381"/>
      <c r="R2083" s="392"/>
      <c r="S2083" s="61" ph="1"/>
      <c r="U2083" s="229"/>
      <c r="V2083" s="264"/>
      <c r="W2083" s="199"/>
      <c r="X2083" s="264"/>
      <c r="Y2083" s="264"/>
      <c r="Z2083" s="386"/>
      <c r="AD2083" s="264"/>
      <c r="AE2083" s="264"/>
      <c r="AF2083" s="264"/>
      <c r="AG2083" s="264"/>
    </row>
    <row r="2084" spans="1:33" ht="26.25">
      <c r="A2084" s="264"/>
      <c r="B2084" s="264"/>
      <c r="C2084" s="264"/>
      <c r="D2084" s="264"/>
      <c r="E2084" s="264"/>
      <c r="F2084" s="264"/>
      <c r="G2084" s="264"/>
      <c r="H2084" s="264"/>
      <c r="I2084" s="264"/>
      <c r="J2084" s="327"/>
      <c r="K2084" s="327"/>
      <c r="L2084" s="327"/>
      <c r="M2084" s="321"/>
      <c r="N2084" s="321"/>
      <c r="O2084" s="364"/>
      <c r="P2084" s="381"/>
      <c r="R2084" s="392"/>
      <c r="S2084" s="61" ph="1"/>
      <c r="U2084" s="229"/>
      <c r="V2084" s="264"/>
      <c r="W2084" s="199"/>
      <c r="X2084" s="264"/>
      <c r="Y2084" s="264"/>
      <c r="Z2084" s="386"/>
      <c r="AD2084" s="264"/>
      <c r="AE2084" s="264"/>
      <c r="AF2084" s="264"/>
      <c r="AG2084" s="264"/>
    </row>
    <row r="2085" spans="1:33" ht="26.25">
      <c r="A2085" s="264"/>
      <c r="B2085" s="264"/>
      <c r="C2085" s="264"/>
      <c r="D2085" s="264"/>
      <c r="E2085" s="264"/>
      <c r="F2085" s="264"/>
      <c r="G2085" s="264"/>
      <c r="H2085" s="264"/>
      <c r="I2085" s="264"/>
      <c r="J2085" s="327"/>
      <c r="K2085" s="327"/>
      <c r="L2085" s="327"/>
      <c r="M2085" s="321"/>
      <c r="N2085" s="321"/>
      <c r="O2085" s="364"/>
      <c r="P2085" s="381"/>
      <c r="R2085" s="392"/>
      <c r="S2085" s="61" ph="1"/>
      <c r="U2085" s="229"/>
      <c r="V2085" s="264"/>
      <c r="W2085" s="199"/>
      <c r="X2085" s="264"/>
      <c r="Y2085" s="264"/>
      <c r="Z2085" s="386"/>
      <c r="AD2085" s="264"/>
      <c r="AE2085" s="264"/>
      <c r="AF2085" s="264"/>
      <c r="AG2085" s="264"/>
    </row>
    <row r="2086" spans="1:33" ht="26.25">
      <c r="A2086" s="264"/>
      <c r="B2086" s="264"/>
      <c r="C2086" s="264"/>
      <c r="D2086" s="264"/>
      <c r="E2086" s="264"/>
      <c r="F2086" s="264"/>
      <c r="G2086" s="264"/>
      <c r="H2086" s="264"/>
      <c r="I2086" s="264"/>
      <c r="J2086" s="327"/>
      <c r="K2086" s="327"/>
      <c r="L2086" s="327"/>
      <c r="M2086" s="321"/>
      <c r="N2086" s="321"/>
      <c r="O2086" s="364"/>
      <c r="P2086" s="381"/>
      <c r="R2086" s="392"/>
      <c r="S2086" s="61" ph="1"/>
      <c r="U2086" s="229"/>
      <c r="V2086" s="264"/>
      <c r="W2086" s="199"/>
      <c r="X2086" s="264"/>
      <c r="Y2086" s="264"/>
      <c r="Z2086" s="386"/>
      <c r="AD2086" s="264"/>
      <c r="AE2086" s="264"/>
      <c r="AF2086" s="264"/>
      <c r="AG2086" s="264"/>
    </row>
    <row r="2087" spans="1:33" ht="26.25">
      <c r="A2087" s="264"/>
      <c r="B2087" s="264"/>
      <c r="C2087" s="264"/>
      <c r="D2087" s="264"/>
      <c r="E2087" s="264"/>
      <c r="F2087" s="264"/>
      <c r="G2087" s="264"/>
      <c r="H2087" s="264"/>
      <c r="I2087" s="264"/>
      <c r="J2087" s="327"/>
      <c r="K2087" s="327"/>
      <c r="L2087" s="327"/>
      <c r="M2087" s="321"/>
      <c r="N2087" s="321"/>
      <c r="O2087" s="364"/>
      <c r="P2087" s="381"/>
      <c r="R2087" s="392"/>
      <c r="S2087" s="61" ph="1"/>
      <c r="U2087" s="229"/>
      <c r="V2087" s="264"/>
      <c r="W2087" s="199"/>
      <c r="X2087" s="264"/>
      <c r="Y2087" s="264"/>
      <c r="Z2087" s="386"/>
      <c r="AD2087" s="264"/>
      <c r="AE2087" s="264"/>
      <c r="AF2087" s="264"/>
      <c r="AG2087" s="264"/>
    </row>
    <row r="2088" spans="1:33" ht="26.25">
      <c r="A2088" s="264"/>
      <c r="B2088" s="264"/>
      <c r="C2088" s="264"/>
      <c r="D2088" s="264"/>
      <c r="E2088" s="264"/>
      <c r="F2088" s="264"/>
      <c r="G2088" s="264"/>
      <c r="H2088" s="264"/>
      <c r="I2088" s="264"/>
      <c r="J2088" s="327"/>
      <c r="K2088" s="327"/>
      <c r="L2088" s="327"/>
      <c r="M2088" s="321"/>
      <c r="N2088" s="321"/>
      <c r="O2088" s="364"/>
      <c r="P2088" s="381"/>
      <c r="R2088" s="392"/>
      <c r="S2088" s="61" ph="1"/>
      <c r="U2088" s="229"/>
      <c r="V2088" s="264"/>
      <c r="W2088" s="199"/>
      <c r="X2088" s="264"/>
      <c r="Y2088" s="264"/>
      <c r="Z2088" s="386"/>
      <c r="AD2088" s="264"/>
      <c r="AE2088" s="264"/>
      <c r="AF2088" s="264"/>
      <c r="AG2088" s="264"/>
    </row>
    <row r="2089" spans="1:33" ht="26.25">
      <c r="A2089" s="264"/>
      <c r="B2089" s="264"/>
      <c r="C2089" s="264"/>
      <c r="D2089" s="264"/>
      <c r="E2089" s="264"/>
      <c r="F2089" s="264"/>
      <c r="G2089" s="264"/>
      <c r="H2089" s="264"/>
      <c r="I2089" s="264"/>
      <c r="J2089" s="327"/>
      <c r="K2089" s="327"/>
      <c r="L2089" s="327"/>
      <c r="M2089" s="321"/>
      <c r="N2089" s="321"/>
      <c r="O2089" s="364"/>
      <c r="P2089" s="381"/>
      <c r="R2089" s="392"/>
      <c r="S2089" s="61" ph="1"/>
      <c r="U2089" s="229"/>
      <c r="V2089" s="264"/>
      <c r="W2089" s="199"/>
      <c r="X2089" s="264"/>
      <c r="Y2089" s="264"/>
      <c r="Z2089" s="386"/>
      <c r="AD2089" s="264"/>
      <c r="AE2089" s="264"/>
      <c r="AF2089" s="264"/>
      <c r="AG2089" s="264"/>
    </row>
    <row r="2090" spans="1:33" ht="26.25">
      <c r="A2090" s="264"/>
      <c r="B2090" s="264"/>
      <c r="C2090" s="264"/>
      <c r="D2090" s="264"/>
      <c r="E2090" s="264"/>
      <c r="F2090" s="264"/>
      <c r="G2090" s="264"/>
      <c r="H2090" s="264"/>
      <c r="I2090" s="264"/>
      <c r="J2090" s="327"/>
      <c r="K2090" s="327"/>
      <c r="L2090" s="327"/>
      <c r="M2090" s="321"/>
      <c r="N2090" s="321"/>
      <c r="O2090" s="364"/>
      <c r="P2090" s="381"/>
      <c r="R2090" s="392"/>
      <c r="S2090" s="61" ph="1"/>
      <c r="U2090" s="229"/>
      <c r="V2090" s="264"/>
      <c r="W2090" s="199"/>
      <c r="X2090" s="264"/>
      <c r="Y2090" s="264"/>
      <c r="Z2090" s="386"/>
      <c r="AD2090" s="264"/>
      <c r="AE2090" s="264"/>
      <c r="AF2090" s="264"/>
      <c r="AG2090" s="264"/>
    </row>
    <row r="2091" spans="1:33" ht="26.25">
      <c r="A2091" s="264"/>
      <c r="B2091" s="264"/>
      <c r="C2091" s="264"/>
      <c r="D2091" s="264"/>
      <c r="E2091" s="264"/>
      <c r="F2091" s="264"/>
      <c r="G2091" s="264"/>
      <c r="H2091" s="264"/>
      <c r="I2091" s="264"/>
      <c r="J2091" s="327"/>
      <c r="K2091" s="327"/>
      <c r="L2091" s="327"/>
      <c r="M2091" s="321"/>
      <c r="N2091" s="321"/>
      <c r="O2091" s="364"/>
      <c r="P2091" s="381"/>
      <c r="R2091" s="392"/>
      <c r="S2091" s="61" ph="1"/>
      <c r="U2091" s="229"/>
      <c r="V2091" s="264"/>
      <c r="W2091" s="199"/>
      <c r="X2091" s="264"/>
      <c r="Y2091" s="264"/>
      <c r="Z2091" s="386"/>
      <c r="AD2091" s="264"/>
      <c r="AE2091" s="264"/>
      <c r="AF2091" s="264"/>
      <c r="AG2091" s="264"/>
    </row>
    <row r="2092" spans="1:33" ht="26.25">
      <c r="A2092" s="264"/>
      <c r="B2092" s="264"/>
      <c r="C2092" s="264"/>
      <c r="D2092" s="264"/>
      <c r="E2092" s="264"/>
      <c r="F2092" s="264"/>
      <c r="G2092" s="264"/>
      <c r="H2092" s="264"/>
      <c r="I2092" s="264"/>
      <c r="J2092" s="327"/>
      <c r="K2092" s="327"/>
      <c r="L2092" s="327"/>
      <c r="M2092" s="321"/>
      <c r="N2092" s="321"/>
      <c r="O2092" s="364"/>
      <c r="P2092" s="381"/>
      <c r="R2092" s="392"/>
      <c r="S2092" s="61" ph="1"/>
      <c r="U2092" s="229"/>
      <c r="V2092" s="264"/>
      <c r="W2092" s="199"/>
      <c r="X2092" s="264"/>
      <c r="Y2092" s="264"/>
      <c r="Z2092" s="386"/>
      <c r="AD2092" s="264"/>
      <c r="AE2092" s="264"/>
      <c r="AF2092" s="264"/>
      <c r="AG2092" s="264"/>
    </row>
    <row r="2093" spans="1:33" ht="26.25">
      <c r="A2093" s="264"/>
      <c r="B2093" s="264"/>
      <c r="C2093" s="264"/>
      <c r="D2093" s="264"/>
      <c r="E2093" s="264"/>
      <c r="F2093" s="264"/>
      <c r="G2093" s="264"/>
      <c r="H2093" s="264"/>
      <c r="I2093" s="264"/>
      <c r="J2093" s="327"/>
      <c r="K2093" s="327"/>
      <c r="L2093" s="327"/>
      <c r="M2093" s="321"/>
      <c r="N2093" s="321"/>
      <c r="O2093" s="364"/>
      <c r="P2093" s="381"/>
      <c r="R2093" s="392"/>
      <c r="S2093" s="61" ph="1"/>
      <c r="U2093" s="229"/>
      <c r="V2093" s="264"/>
      <c r="W2093" s="199"/>
      <c r="X2093" s="264"/>
      <c r="Y2093" s="264"/>
      <c r="Z2093" s="386"/>
      <c r="AD2093" s="264"/>
      <c r="AE2093" s="264"/>
      <c r="AF2093" s="264"/>
      <c r="AG2093" s="264"/>
    </row>
    <row r="2094" spans="1:33" ht="26.25">
      <c r="A2094" s="264"/>
      <c r="B2094" s="264"/>
      <c r="C2094" s="264"/>
      <c r="D2094" s="264"/>
      <c r="E2094" s="264"/>
      <c r="F2094" s="264"/>
      <c r="G2094" s="264"/>
      <c r="H2094" s="264"/>
      <c r="I2094" s="264"/>
      <c r="J2094" s="327"/>
      <c r="K2094" s="327"/>
      <c r="L2094" s="327"/>
      <c r="M2094" s="321"/>
      <c r="N2094" s="321"/>
      <c r="O2094" s="364"/>
      <c r="P2094" s="381"/>
      <c r="R2094" s="392"/>
      <c r="S2094" s="61" ph="1"/>
      <c r="U2094" s="229"/>
      <c r="V2094" s="264"/>
      <c r="W2094" s="199"/>
      <c r="X2094" s="264"/>
      <c r="Y2094" s="264"/>
      <c r="Z2094" s="386"/>
      <c r="AD2094" s="264"/>
      <c r="AE2094" s="264"/>
      <c r="AF2094" s="264"/>
      <c r="AG2094" s="264"/>
    </row>
    <row r="2095" spans="1:33" ht="26.25">
      <c r="A2095" s="264"/>
      <c r="B2095" s="264"/>
      <c r="C2095" s="264"/>
      <c r="D2095" s="264"/>
      <c r="E2095" s="264"/>
      <c r="F2095" s="264"/>
      <c r="G2095" s="264"/>
      <c r="H2095" s="264"/>
      <c r="I2095" s="264"/>
      <c r="J2095" s="327"/>
      <c r="K2095" s="327"/>
      <c r="L2095" s="327"/>
      <c r="M2095" s="321"/>
      <c r="N2095" s="321"/>
      <c r="O2095" s="364"/>
      <c r="P2095" s="381"/>
      <c r="R2095" s="392"/>
      <c r="S2095" s="61" ph="1"/>
      <c r="U2095" s="229"/>
      <c r="V2095" s="264"/>
      <c r="W2095" s="199"/>
      <c r="X2095" s="264"/>
      <c r="Y2095" s="264"/>
      <c r="Z2095" s="386"/>
      <c r="AD2095" s="264"/>
      <c r="AE2095" s="264"/>
      <c r="AF2095" s="264"/>
      <c r="AG2095" s="264"/>
    </row>
    <row r="2096" spans="1:33" ht="26.25">
      <c r="A2096" s="264"/>
      <c r="B2096" s="264"/>
      <c r="C2096" s="264"/>
      <c r="D2096" s="264"/>
      <c r="E2096" s="264"/>
      <c r="F2096" s="264"/>
      <c r="G2096" s="264"/>
      <c r="H2096" s="264"/>
      <c r="I2096" s="264"/>
      <c r="J2096" s="327"/>
      <c r="K2096" s="327"/>
      <c r="L2096" s="327"/>
      <c r="M2096" s="321"/>
      <c r="N2096" s="321"/>
      <c r="O2096" s="364"/>
      <c r="P2096" s="381"/>
      <c r="R2096" s="392"/>
      <c r="S2096" s="61" ph="1"/>
      <c r="U2096" s="229"/>
      <c r="V2096" s="264"/>
      <c r="W2096" s="199"/>
      <c r="X2096" s="264"/>
      <c r="Y2096" s="264"/>
      <c r="Z2096" s="386"/>
      <c r="AD2096" s="264"/>
      <c r="AE2096" s="264"/>
      <c r="AF2096" s="264"/>
      <c r="AG2096" s="264"/>
    </row>
    <row r="2097" spans="1:33" ht="26.25">
      <c r="A2097" s="264"/>
      <c r="B2097" s="264"/>
      <c r="C2097" s="264"/>
      <c r="D2097" s="264"/>
      <c r="E2097" s="264"/>
      <c r="F2097" s="264"/>
      <c r="G2097" s="264"/>
      <c r="H2097" s="264"/>
      <c r="I2097" s="264"/>
      <c r="J2097" s="327"/>
      <c r="K2097" s="327"/>
      <c r="L2097" s="327"/>
      <c r="M2097" s="321"/>
      <c r="N2097" s="321"/>
      <c r="O2097" s="364"/>
      <c r="P2097" s="381"/>
      <c r="R2097" s="392"/>
      <c r="S2097" s="61" ph="1"/>
      <c r="U2097" s="229"/>
      <c r="V2097" s="264"/>
      <c r="W2097" s="199"/>
      <c r="X2097" s="264"/>
      <c r="Y2097" s="264"/>
      <c r="Z2097" s="386"/>
      <c r="AD2097" s="264"/>
      <c r="AE2097" s="264"/>
      <c r="AF2097" s="264"/>
      <c r="AG2097" s="264"/>
    </row>
    <row r="2098" spans="1:33" ht="26.25">
      <c r="A2098" s="264"/>
      <c r="B2098" s="264"/>
      <c r="C2098" s="264"/>
      <c r="D2098" s="264"/>
      <c r="E2098" s="264"/>
      <c r="F2098" s="264"/>
      <c r="G2098" s="264"/>
      <c r="H2098" s="264"/>
      <c r="I2098" s="264"/>
      <c r="J2098" s="327"/>
      <c r="K2098" s="327"/>
      <c r="L2098" s="327"/>
      <c r="M2098" s="321"/>
      <c r="N2098" s="321"/>
      <c r="O2098" s="364"/>
      <c r="P2098" s="381"/>
      <c r="R2098" s="392"/>
      <c r="S2098" s="61" ph="1"/>
      <c r="U2098" s="229"/>
      <c r="V2098" s="264"/>
      <c r="W2098" s="199"/>
      <c r="X2098" s="264"/>
      <c r="Y2098" s="264"/>
      <c r="Z2098" s="386"/>
      <c r="AD2098" s="264"/>
      <c r="AE2098" s="264"/>
      <c r="AF2098" s="264"/>
      <c r="AG2098" s="264"/>
    </row>
    <row r="2099" spans="1:33" ht="26.25">
      <c r="A2099" s="264"/>
      <c r="B2099" s="264"/>
      <c r="C2099" s="264"/>
      <c r="D2099" s="264"/>
      <c r="E2099" s="264"/>
      <c r="F2099" s="264"/>
      <c r="G2099" s="264"/>
      <c r="H2099" s="264"/>
      <c r="I2099" s="264"/>
      <c r="J2099" s="327"/>
      <c r="K2099" s="327"/>
      <c r="L2099" s="327"/>
      <c r="M2099" s="321"/>
      <c r="N2099" s="321"/>
      <c r="O2099" s="364"/>
      <c r="P2099" s="381"/>
      <c r="R2099" s="392"/>
      <c r="S2099" s="61" ph="1"/>
      <c r="U2099" s="229"/>
      <c r="V2099" s="264"/>
      <c r="W2099" s="199"/>
      <c r="X2099" s="264"/>
      <c r="Y2099" s="264"/>
      <c r="Z2099" s="386"/>
      <c r="AD2099" s="264"/>
      <c r="AE2099" s="264"/>
      <c r="AF2099" s="264"/>
      <c r="AG2099" s="264"/>
    </row>
    <row r="2100" spans="1:33" ht="26.25">
      <c r="A2100" s="264"/>
      <c r="B2100" s="264"/>
      <c r="C2100" s="264"/>
      <c r="D2100" s="264"/>
      <c r="E2100" s="264"/>
      <c r="F2100" s="264"/>
      <c r="G2100" s="264"/>
      <c r="H2100" s="264"/>
      <c r="I2100" s="264"/>
      <c r="J2100" s="327"/>
      <c r="K2100" s="327"/>
      <c r="L2100" s="327"/>
      <c r="M2100" s="321"/>
      <c r="N2100" s="321"/>
      <c r="O2100" s="364"/>
      <c r="P2100" s="381"/>
      <c r="R2100" s="392"/>
      <c r="S2100" s="61" ph="1"/>
      <c r="U2100" s="229"/>
      <c r="V2100" s="264"/>
      <c r="W2100" s="199"/>
      <c r="X2100" s="264"/>
      <c r="Y2100" s="264"/>
      <c r="Z2100" s="386"/>
      <c r="AD2100" s="264"/>
      <c r="AE2100" s="264"/>
      <c r="AF2100" s="264"/>
      <c r="AG2100" s="264"/>
    </row>
    <row r="2101" spans="1:33" ht="26.25">
      <c r="A2101" s="264"/>
      <c r="B2101" s="264"/>
      <c r="C2101" s="264"/>
      <c r="D2101" s="264"/>
      <c r="E2101" s="264"/>
      <c r="F2101" s="264"/>
      <c r="G2101" s="264"/>
      <c r="H2101" s="264"/>
      <c r="I2101" s="264"/>
      <c r="J2101" s="327"/>
      <c r="K2101" s="327"/>
      <c r="L2101" s="327"/>
      <c r="M2101" s="321"/>
      <c r="N2101" s="321"/>
      <c r="O2101" s="364"/>
      <c r="P2101" s="381"/>
      <c r="R2101" s="392"/>
      <c r="S2101" s="61" ph="1"/>
      <c r="U2101" s="229"/>
      <c r="V2101" s="264"/>
      <c r="W2101" s="199"/>
      <c r="X2101" s="264"/>
      <c r="Y2101" s="264"/>
      <c r="Z2101" s="386"/>
      <c r="AD2101" s="264"/>
      <c r="AE2101" s="264"/>
      <c r="AF2101" s="264"/>
      <c r="AG2101" s="264"/>
    </row>
    <row r="2102" spans="1:33" ht="26.25">
      <c r="A2102" s="264"/>
      <c r="B2102" s="264"/>
      <c r="C2102" s="264"/>
      <c r="D2102" s="264"/>
      <c r="E2102" s="264"/>
      <c r="F2102" s="264"/>
      <c r="G2102" s="264"/>
      <c r="H2102" s="264"/>
      <c r="I2102" s="264"/>
      <c r="J2102" s="327"/>
      <c r="K2102" s="327"/>
      <c r="L2102" s="327"/>
      <c r="M2102" s="321"/>
      <c r="N2102" s="321"/>
      <c r="O2102" s="364"/>
      <c r="P2102" s="381"/>
      <c r="R2102" s="392"/>
      <c r="S2102" s="61" ph="1"/>
      <c r="U2102" s="229"/>
      <c r="V2102" s="264"/>
      <c r="W2102" s="199"/>
      <c r="X2102" s="264"/>
      <c r="Y2102" s="264"/>
      <c r="Z2102" s="386"/>
      <c r="AD2102" s="264"/>
      <c r="AE2102" s="264"/>
      <c r="AF2102" s="264"/>
      <c r="AG2102" s="264"/>
    </row>
    <row r="2103" spans="1:33" ht="26.25">
      <c r="A2103" s="264"/>
      <c r="B2103" s="264"/>
      <c r="C2103" s="264"/>
      <c r="D2103" s="264"/>
      <c r="E2103" s="264"/>
      <c r="F2103" s="264"/>
      <c r="G2103" s="264"/>
      <c r="H2103" s="264"/>
      <c r="I2103" s="264"/>
      <c r="J2103" s="327"/>
      <c r="K2103" s="327"/>
      <c r="L2103" s="327"/>
      <c r="M2103" s="321"/>
      <c r="N2103" s="321"/>
      <c r="O2103" s="364"/>
      <c r="P2103" s="381"/>
      <c r="R2103" s="392"/>
      <c r="S2103" s="61" ph="1"/>
      <c r="U2103" s="229"/>
      <c r="V2103" s="264"/>
      <c r="W2103" s="199"/>
      <c r="X2103" s="264"/>
      <c r="Y2103" s="264"/>
      <c r="Z2103" s="386"/>
      <c r="AD2103" s="264"/>
      <c r="AE2103" s="264"/>
      <c r="AF2103" s="264"/>
      <c r="AG2103" s="264"/>
    </row>
    <row r="2104" spans="1:33" ht="26.25">
      <c r="A2104" s="264"/>
      <c r="B2104" s="264"/>
      <c r="C2104" s="264"/>
      <c r="D2104" s="264"/>
      <c r="E2104" s="264"/>
      <c r="F2104" s="264"/>
      <c r="G2104" s="264"/>
      <c r="H2104" s="264"/>
      <c r="I2104" s="264"/>
      <c r="J2104" s="327"/>
      <c r="K2104" s="327"/>
      <c r="L2104" s="327"/>
      <c r="M2104" s="321"/>
      <c r="N2104" s="321"/>
      <c r="O2104" s="364"/>
      <c r="P2104" s="381"/>
      <c r="R2104" s="392"/>
      <c r="S2104" s="61" ph="1"/>
      <c r="U2104" s="229"/>
      <c r="V2104" s="264"/>
      <c r="W2104" s="199"/>
      <c r="X2104" s="264"/>
      <c r="Y2104" s="264"/>
      <c r="Z2104" s="386"/>
      <c r="AD2104" s="264"/>
      <c r="AE2104" s="264"/>
      <c r="AF2104" s="264"/>
      <c r="AG2104" s="264"/>
    </row>
    <row r="2105" spans="1:33" ht="26.25">
      <c r="A2105" s="264"/>
      <c r="B2105" s="264"/>
      <c r="C2105" s="264"/>
      <c r="D2105" s="264"/>
      <c r="E2105" s="264"/>
      <c r="F2105" s="264"/>
      <c r="G2105" s="264"/>
      <c r="H2105" s="264"/>
      <c r="I2105" s="264"/>
      <c r="J2105" s="327"/>
      <c r="K2105" s="327"/>
      <c r="L2105" s="327"/>
      <c r="M2105" s="321"/>
      <c r="N2105" s="321"/>
      <c r="O2105" s="364"/>
      <c r="P2105" s="381"/>
      <c r="R2105" s="392"/>
      <c r="S2105" s="61" ph="1"/>
      <c r="U2105" s="229"/>
      <c r="V2105" s="264"/>
      <c r="W2105" s="199"/>
      <c r="X2105" s="264"/>
      <c r="Y2105" s="264"/>
      <c r="Z2105" s="386"/>
      <c r="AD2105" s="264"/>
      <c r="AE2105" s="264"/>
      <c r="AF2105" s="264"/>
      <c r="AG2105" s="264"/>
    </row>
    <row r="2106" spans="1:33" ht="26.25">
      <c r="A2106" s="264"/>
      <c r="B2106" s="264"/>
      <c r="C2106" s="264"/>
      <c r="D2106" s="264"/>
      <c r="E2106" s="264"/>
      <c r="F2106" s="264"/>
      <c r="G2106" s="264"/>
      <c r="H2106" s="264"/>
      <c r="I2106" s="264"/>
      <c r="J2106" s="327"/>
      <c r="K2106" s="327"/>
      <c r="L2106" s="327"/>
      <c r="M2106" s="321"/>
      <c r="N2106" s="321"/>
      <c r="O2106" s="364"/>
      <c r="P2106" s="381"/>
      <c r="R2106" s="392"/>
      <c r="S2106" s="61" ph="1"/>
      <c r="U2106" s="229"/>
      <c r="V2106" s="264"/>
      <c r="W2106" s="199"/>
      <c r="X2106" s="264"/>
      <c r="Y2106" s="264"/>
      <c r="Z2106" s="386"/>
      <c r="AD2106" s="264"/>
      <c r="AE2106" s="264"/>
      <c r="AF2106" s="264"/>
      <c r="AG2106" s="264"/>
    </row>
    <row r="2107" spans="1:33" ht="26.25">
      <c r="A2107" s="264"/>
      <c r="B2107" s="264"/>
      <c r="C2107" s="264"/>
      <c r="D2107" s="264"/>
      <c r="E2107" s="264"/>
      <c r="F2107" s="264"/>
      <c r="G2107" s="264"/>
      <c r="H2107" s="264"/>
      <c r="I2107" s="264"/>
      <c r="J2107" s="327"/>
      <c r="K2107" s="327"/>
      <c r="L2107" s="327"/>
      <c r="M2107" s="321"/>
      <c r="N2107" s="321"/>
      <c r="O2107" s="364"/>
      <c r="P2107" s="381"/>
      <c r="R2107" s="392"/>
      <c r="S2107" s="61" ph="1"/>
      <c r="U2107" s="229"/>
      <c r="V2107" s="264"/>
      <c r="W2107" s="199"/>
      <c r="X2107" s="264"/>
      <c r="Y2107" s="264"/>
      <c r="Z2107" s="386"/>
      <c r="AD2107" s="264"/>
      <c r="AE2107" s="264"/>
      <c r="AF2107" s="264"/>
      <c r="AG2107" s="264"/>
    </row>
    <row r="2108" spans="1:33" ht="26.25">
      <c r="A2108" s="264"/>
      <c r="B2108" s="264"/>
      <c r="C2108" s="264"/>
      <c r="D2108" s="264"/>
      <c r="E2108" s="264"/>
      <c r="F2108" s="264"/>
      <c r="G2108" s="264"/>
      <c r="H2108" s="264"/>
      <c r="I2108" s="264"/>
      <c r="J2108" s="327"/>
      <c r="K2108" s="327"/>
      <c r="L2108" s="327"/>
      <c r="M2108" s="321"/>
      <c r="N2108" s="321"/>
      <c r="O2108" s="364"/>
      <c r="P2108" s="381"/>
      <c r="R2108" s="392"/>
      <c r="S2108" s="61" ph="1"/>
      <c r="U2108" s="229"/>
      <c r="V2108" s="264"/>
      <c r="W2108" s="199"/>
      <c r="X2108" s="264"/>
      <c r="Y2108" s="264"/>
      <c r="Z2108" s="386"/>
      <c r="AD2108" s="264"/>
      <c r="AE2108" s="264"/>
      <c r="AF2108" s="264"/>
      <c r="AG2108" s="264"/>
    </row>
    <row r="2109" spans="1:33" ht="26.25">
      <c r="A2109" s="264"/>
      <c r="B2109" s="264"/>
      <c r="C2109" s="264"/>
      <c r="D2109" s="264"/>
      <c r="E2109" s="264"/>
      <c r="F2109" s="264"/>
      <c r="G2109" s="264"/>
      <c r="H2109" s="264"/>
      <c r="I2109" s="264"/>
      <c r="J2109" s="327"/>
      <c r="K2109" s="327"/>
      <c r="L2109" s="327"/>
      <c r="M2109" s="321"/>
      <c r="N2109" s="321"/>
      <c r="O2109" s="364"/>
      <c r="P2109" s="381"/>
      <c r="R2109" s="392"/>
      <c r="S2109" s="61" ph="1"/>
      <c r="U2109" s="229"/>
      <c r="V2109" s="264"/>
      <c r="W2109" s="199"/>
      <c r="X2109" s="264"/>
      <c r="Y2109" s="264"/>
      <c r="Z2109" s="386"/>
      <c r="AD2109" s="264"/>
      <c r="AE2109" s="264"/>
      <c r="AF2109" s="264"/>
      <c r="AG2109" s="264"/>
    </row>
    <row r="2110" spans="1:33" ht="26.25">
      <c r="A2110" s="264"/>
      <c r="B2110" s="264"/>
      <c r="C2110" s="264"/>
      <c r="D2110" s="264"/>
      <c r="E2110" s="264"/>
      <c r="F2110" s="264"/>
      <c r="G2110" s="264"/>
      <c r="H2110" s="264"/>
      <c r="I2110" s="264"/>
      <c r="J2110" s="327"/>
      <c r="K2110" s="327"/>
      <c r="L2110" s="327"/>
      <c r="M2110" s="321"/>
      <c r="N2110" s="321"/>
      <c r="O2110" s="364"/>
      <c r="P2110" s="381"/>
      <c r="R2110" s="392"/>
      <c r="S2110" s="61" ph="1"/>
      <c r="U2110" s="229"/>
      <c r="V2110" s="264"/>
      <c r="W2110" s="199"/>
      <c r="X2110" s="264"/>
      <c r="Y2110" s="264"/>
      <c r="Z2110" s="386"/>
      <c r="AD2110" s="264"/>
      <c r="AE2110" s="264"/>
      <c r="AF2110" s="264"/>
      <c r="AG2110" s="264"/>
    </row>
    <row r="2111" spans="1:33" ht="26.25">
      <c r="A2111" s="264"/>
      <c r="B2111" s="264"/>
      <c r="C2111" s="264"/>
      <c r="D2111" s="264"/>
      <c r="E2111" s="264"/>
      <c r="F2111" s="264"/>
      <c r="G2111" s="264"/>
      <c r="H2111" s="264"/>
      <c r="I2111" s="264"/>
      <c r="J2111" s="327"/>
      <c r="K2111" s="327"/>
      <c r="L2111" s="327"/>
      <c r="M2111" s="321"/>
      <c r="N2111" s="321"/>
      <c r="O2111" s="364"/>
      <c r="P2111" s="381"/>
      <c r="R2111" s="392"/>
      <c r="S2111" s="61" ph="1"/>
      <c r="U2111" s="229"/>
      <c r="V2111" s="264"/>
      <c r="W2111" s="199"/>
      <c r="X2111" s="264"/>
      <c r="Y2111" s="264"/>
      <c r="Z2111" s="386"/>
      <c r="AD2111" s="264"/>
      <c r="AE2111" s="264"/>
      <c r="AF2111" s="264"/>
      <c r="AG2111" s="264"/>
    </row>
    <row r="2112" spans="1:33" ht="26.25">
      <c r="A2112" s="264"/>
      <c r="B2112" s="264"/>
      <c r="C2112" s="264"/>
      <c r="D2112" s="264"/>
      <c r="E2112" s="264"/>
      <c r="F2112" s="264"/>
      <c r="G2112" s="264"/>
      <c r="H2112" s="264"/>
      <c r="I2112" s="264"/>
      <c r="J2112" s="327"/>
      <c r="K2112" s="327"/>
      <c r="L2112" s="327"/>
      <c r="M2112" s="321"/>
      <c r="N2112" s="321"/>
      <c r="O2112" s="364"/>
      <c r="P2112" s="381"/>
      <c r="R2112" s="392"/>
      <c r="S2112" s="61" ph="1"/>
      <c r="U2112" s="229"/>
      <c r="V2112" s="264"/>
      <c r="W2112" s="199"/>
      <c r="X2112" s="264"/>
      <c r="Y2112" s="264"/>
      <c r="Z2112" s="386"/>
      <c r="AD2112" s="264"/>
      <c r="AE2112" s="264"/>
      <c r="AF2112" s="264"/>
      <c r="AG2112" s="264"/>
    </row>
    <row r="2113" spans="1:33" ht="26.25">
      <c r="A2113" s="264"/>
      <c r="B2113" s="264"/>
      <c r="C2113" s="264"/>
      <c r="D2113" s="264"/>
      <c r="E2113" s="264"/>
      <c r="F2113" s="264"/>
      <c r="G2113" s="264"/>
      <c r="H2113" s="264"/>
      <c r="I2113" s="264"/>
      <c r="J2113" s="327"/>
      <c r="K2113" s="327"/>
      <c r="L2113" s="327"/>
      <c r="M2113" s="321"/>
      <c r="N2113" s="321"/>
      <c r="O2113" s="364"/>
      <c r="P2113" s="381"/>
      <c r="R2113" s="392"/>
      <c r="S2113" s="61" ph="1"/>
      <c r="U2113" s="229"/>
      <c r="V2113" s="264"/>
      <c r="W2113" s="199"/>
      <c r="X2113" s="264"/>
      <c r="Y2113" s="264"/>
      <c r="Z2113" s="386"/>
      <c r="AD2113" s="264"/>
      <c r="AE2113" s="264"/>
      <c r="AF2113" s="264"/>
      <c r="AG2113" s="264"/>
    </row>
    <row r="2114" spans="1:33" ht="26.25">
      <c r="A2114" s="264"/>
      <c r="B2114" s="264"/>
      <c r="C2114" s="264"/>
      <c r="D2114" s="264"/>
      <c r="E2114" s="264"/>
      <c r="F2114" s="264"/>
      <c r="G2114" s="264"/>
      <c r="H2114" s="264"/>
      <c r="I2114" s="264"/>
      <c r="J2114" s="327"/>
      <c r="K2114" s="327"/>
      <c r="L2114" s="327"/>
      <c r="M2114" s="321"/>
      <c r="N2114" s="321"/>
      <c r="O2114" s="364"/>
      <c r="P2114" s="381"/>
      <c r="R2114" s="392"/>
      <c r="S2114" s="61" ph="1"/>
      <c r="U2114" s="229"/>
      <c r="V2114" s="264"/>
      <c r="W2114" s="199"/>
      <c r="X2114" s="264"/>
      <c r="Y2114" s="264"/>
      <c r="Z2114" s="386"/>
      <c r="AD2114" s="264"/>
      <c r="AE2114" s="264"/>
      <c r="AF2114" s="264"/>
      <c r="AG2114" s="264"/>
    </row>
    <row r="2115" spans="1:33" ht="26.25">
      <c r="A2115" s="264"/>
      <c r="B2115" s="264"/>
      <c r="C2115" s="264"/>
      <c r="D2115" s="264"/>
      <c r="E2115" s="264"/>
      <c r="F2115" s="264"/>
      <c r="G2115" s="264"/>
      <c r="H2115" s="264"/>
      <c r="I2115" s="264"/>
      <c r="J2115" s="327"/>
      <c r="K2115" s="327"/>
      <c r="L2115" s="327"/>
      <c r="M2115" s="321"/>
      <c r="N2115" s="321"/>
      <c r="O2115" s="364"/>
      <c r="P2115" s="381"/>
      <c r="R2115" s="392"/>
      <c r="S2115" s="61" ph="1"/>
      <c r="U2115" s="229"/>
      <c r="V2115" s="264"/>
      <c r="W2115" s="199"/>
      <c r="X2115" s="264"/>
      <c r="Y2115" s="264"/>
      <c r="Z2115" s="386"/>
      <c r="AD2115" s="264"/>
      <c r="AE2115" s="264"/>
      <c r="AF2115" s="264"/>
      <c r="AG2115" s="264"/>
    </row>
    <row r="2116" spans="1:33" ht="26.25">
      <c r="A2116" s="264"/>
      <c r="B2116" s="264"/>
      <c r="C2116" s="264"/>
      <c r="D2116" s="264"/>
      <c r="E2116" s="264"/>
      <c r="F2116" s="264"/>
      <c r="G2116" s="264"/>
      <c r="H2116" s="264"/>
      <c r="I2116" s="264"/>
      <c r="J2116" s="327"/>
      <c r="K2116" s="327"/>
      <c r="L2116" s="327"/>
      <c r="M2116" s="321"/>
      <c r="N2116" s="321"/>
      <c r="O2116" s="364"/>
      <c r="P2116" s="381"/>
      <c r="R2116" s="392"/>
      <c r="S2116" s="61" ph="1"/>
      <c r="U2116" s="229"/>
      <c r="V2116" s="264"/>
      <c r="W2116" s="199"/>
      <c r="X2116" s="264"/>
      <c r="Y2116" s="264"/>
      <c r="Z2116" s="386"/>
      <c r="AD2116" s="264"/>
      <c r="AE2116" s="264"/>
      <c r="AF2116" s="264"/>
      <c r="AG2116" s="264"/>
    </row>
    <row r="2117" spans="1:33" ht="26.25">
      <c r="A2117" s="264"/>
      <c r="B2117" s="264"/>
      <c r="C2117" s="264"/>
      <c r="D2117" s="264"/>
      <c r="E2117" s="264"/>
      <c r="F2117" s="264"/>
      <c r="G2117" s="264"/>
      <c r="H2117" s="264"/>
      <c r="I2117" s="264"/>
      <c r="J2117" s="327"/>
      <c r="K2117" s="327"/>
      <c r="L2117" s="327"/>
      <c r="M2117" s="321"/>
      <c r="N2117" s="321"/>
      <c r="O2117" s="364"/>
      <c r="P2117" s="381"/>
      <c r="R2117" s="392"/>
      <c r="S2117" s="61" ph="1"/>
      <c r="U2117" s="229"/>
      <c r="V2117" s="264"/>
      <c r="W2117" s="199"/>
      <c r="X2117" s="264"/>
      <c r="Y2117" s="264"/>
      <c r="Z2117" s="386"/>
      <c r="AD2117" s="264"/>
      <c r="AE2117" s="264"/>
      <c r="AF2117" s="264"/>
      <c r="AG2117" s="264"/>
    </row>
    <row r="2118" spans="1:33" ht="26.25">
      <c r="A2118" s="264"/>
      <c r="B2118" s="264"/>
      <c r="C2118" s="264"/>
      <c r="D2118" s="264"/>
      <c r="E2118" s="264"/>
      <c r="F2118" s="264"/>
      <c r="G2118" s="264"/>
      <c r="H2118" s="264"/>
      <c r="I2118" s="264"/>
      <c r="J2118" s="327"/>
      <c r="K2118" s="327"/>
      <c r="L2118" s="327"/>
      <c r="M2118" s="321"/>
      <c r="N2118" s="321"/>
      <c r="O2118" s="364"/>
      <c r="P2118" s="381"/>
      <c r="R2118" s="392"/>
      <c r="S2118" s="61" ph="1"/>
      <c r="U2118" s="229"/>
      <c r="V2118" s="264"/>
      <c r="W2118" s="199"/>
      <c r="X2118" s="264"/>
      <c r="Y2118" s="264"/>
      <c r="Z2118" s="386"/>
      <c r="AD2118" s="264"/>
      <c r="AE2118" s="264"/>
      <c r="AF2118" s="264"/>
      <c r="AG2118" s="264"/>
    </row>
    <row r="2119" spans="1:33" ht="26.25">
      <c r="A2119" s="264"/>
      <c r="B2119" s="264"/>
      <c r="C2119" s="264"/>
      <c r="D2119" s="264"/>
      <c r="E2119" s="264"/>
      <c r="F2119" s="264"/>
      <c r="G2119" s="264"/>
      <c r="H2119" s="264"/>
      <c r="I2119" s="264"/>
      <c r="J2119" s="327"/>
      <c r="K2119" s="327"/>
      <c r="L2119" s="327"/>
      <c r="M2119" s="321"/>
      <c r="N2119" s="321"/>
      <c r="O2119" s="364"/>
      <c r="P2119" s="381"/>
      <c r="R2119" s="392"/>
      <c r="S2119" s="61" ph="1"/>
      <c r="U2119" s="229"/>
      <c r="V2119" s="264"/>
      <c r="W2119" s="199"/>
      <c r="X2119" s="264"/>
      <c r="Y2119" s="264"/>
      <c r="Z2119" s="386"/>
      <c r="AD2119" s="264"/>
      <c r="AE2119" s="264"/>
      <c r="AF2119" s="264"/>
      <c r="AG2119" s="264"/>
    </row>
    <row r="2120" spans="1:33" ht="26.25">
      <c r="A2120" s="264"/>
      <c r="B2120" s="264"/>
      <c r="C2120" s="264"/>
      <c r="D2120" s="264"/>
      <c r="E2120" s="264"/>
      <c r="F2120" s="264"/>
      <c r="G2120" s="264"/>
      <c r="H2120" s="264"/>
      <c r="I2120" s="264"/>
      <c r="J2120" s="327"/>
      <c r="K2120" s="327"/>
      <c r="L2120" s="327"/>
      <c r="M2120" s="321"/>
      <c r="N2120" s="321"/>
      <c r="O2120" s="364"/>
      <c r="P2120" s="381"/>
      <c r="R2120" s="392"/>
      <c r="S2120" s="61" ph="1"/>
      <c r="U2120" s="229"/>
      <c r="V2120" s="264"/>
      <c r="W2120" s="199"/>
      <c r="X2120" s="264"/>
      <c r="Y2120" s="264"/>
      <c r="Z2120" s="386"/>
      <c r="AD2120" s="264"/>
      <c r="AE2120" s="264"/>
      <c r="AF2120" s="264"/>
      <c r="AG2120" s="264"/>
    </row>
    <row r="2121" spans="1:33" ht="26.25">
      <c r="A2121" s="264"/>
      <c r="B2121" s="264"/>
      <c r="C2121" s="264"/>
      <c r="D2121" s="264"/>
      <c r="E2121" s="264"/>
      <c r="F2121" s="264"/>
      <c r="G2121" s="264"/>
      <c r="H2121" s="264"/>
      <c r="I2121" s="264"/>
      <c r="J2121" s="327"/>
      <c r="K2121" s="327"/>
      <c r="L2121" s="327"/>
      <c r="M2121" s="321"/>
      <c r="N2121" s="321"/>
      <c r="O2121" s="364"/>
      <c r="P2121" s="381"/>
      <c r="R2121" s="392"/>
      <c r="S2121" s="61" ph="1"/>
      <c r="U2121" s="229"/>
      <c r="V2121" s="264"/>
      <c r="W2121" s="199"/>
      <c r="X2121" s="264"/>
      <c r="Y2121" s="264"/>
      <c r="Z2121" s="386"/>
      <c r="AD2121" s="264"/>
      <c r="AE2121" s="264"/>
      <c r="AF2121" s="264"/>
      <c r="AG2121" s="264"/>
    </row>
    <row r="2122" spans="1:33" ht="26.25">
      <c r="A2122" s="264"/>
      <c r="B2122" s="264"/>
      <c r="C2122" s="264"/>
      <c r="D2122" s="264"/>
      <c r="E2122" s="264"/>
      <c r="F2122" s="264"/>
      <c r="G2122" s="264"/>
      <c r="H2122" s="264"/>
      <c r="I2122" s="264"/>
      <c r="J2122" s="327"/>
      <c r="K2122" s="327"/>
      <c r="L2122" s="327"/>
      <c r="M2122" s="321"/>
      <c r="N2122" s="321"/>
      <c r="O2122" s="364"/>
      <c r="P2122" s="381"/>
      <c r="R2122" s="392"/>
      <c r="S2122" s="61" ph="1"/>
      <c r="U2122" s="229"/>
      <c r="V2122" s="264"/>
      <c r="W2122" s="199"/>
      <c r="X2122" s="264"/>
      <c r="Y2122" s="264"/>
      <c r="Z2122" s="386"/>
      <c r="AD2122" s="264"/>
      <c r="AE2122" s="264"/>
      <c r="AF2122" s="264"/>
      <c r="AG2122" s="264"/>
    </row>
    <row r="2123" spans="1:33" ht="26.25">
      <c r="A2123" s="264"/>
      <c r="B2123" s="264"/>
      <c r="C2123" s="264"/>
      <c r="D2123" s="264"/>
      <c r="E2123" s="264"/>
      <c r="F2123" s="264"/>
      <c r="G2123" s="264"/>
      <c r="H2123" s="264"/>
      <c r="I2123" s="264"/>
      <c r="J2123" s="327"/>
      <c r="K2123" s="327"/>
      <c r="L2123" s="327"/>
      <c r="M2123" s="321"/>
      <c r="N2123" s="321"/>
      <c r="O2123" s="364"/>
      <c r="P2123" s="381"/>
      <c r="R2123" s="392"/>
      <c r="S2123" s="61" ph="1"/>
      <c r="U2123" s="229"/>
      <c r="V2123" s="264"/>
      <c r="W2123" s="199"/>
      <c r="X2123" s="264"/>
      <c r="Y2123" s="264"/>
      <c r="Z2123" s="386"/>
      <c r="AD2123" s="264"/>
      <c r="AE2123" s="264"/>
      <c r="AF2123" s="264"/>
      <c r="AG2123" s="264"/>
    </row>
    <row r="2124" spans="1:33" ht="26.25">
      <c r="A2124" s="264"/>
      <c r="B2124" s="264"/>
      <c r="C2124" s="264"/>
      <c r="D2124" s="264"/>
      <c r="E2124" s="264"/>
      <c r="F2124" s="264"/>
      <c r="G2124" s="264"/>
      <c r="H2124" s="264"/>
      <c r="I2124" s="264"/>
      <c r="J2124" s="327"/>
      <c r="K2124" s="327"/>
      <c r="L2124" s="327"/>
      <c r="M2124" s="321"/>
      <c r="N2124" s="321"/>
      <c r="O2124" s="364"/>
      <c r="P2124" s="381"/>
      <c r="R2124" s="392"/>
      <c r="S2124" s="61" ph="1"/>
      <c r="U2124" s="229"/>
      <c r="V2124" s="264"/>
      <c r="W2124" s="199"/>
      <c r="X2124" s="264"/>
      <c r="Y2124" s="264"/>
      <c r="Z2124" s="386"/>
      <c r="AD2124" s="264"/>
      <c r="AE2124" s="264"/>
      <c r="AF2124" s="264"/>
      <c r="AG2124" s="264"/>
    </row>
    <row r="2125" spans="1:33" ht="26.25">
      <c r="A2125" s="264"/>
      <c r="B2125" s="264"/>
      <c r="C2125" s="264"/>
      <c r="D2125" s="264"/>
      <c r="E2125" s="264"/>
      <c r="F2125" s="264"/>
      <c r="G2125" s="264"/>
      <c r="H2125" s="264"/>
      <c r="I2125" s="264"/>
      <c r="J2125" s="327"/>
      <c r="K2125" s="327"/>
      <c r="L2125" s="327"/>
      <c r="M2125" s="321"/>
      <c r="N2125" s="321"/>
      <c r="O2125" s="364"/>
      <c r="P2125" s="381"/>
      <c r="R2125" s="392"/>
      <c r="S2125" s="61" ph="1"/>
      <c r="U2125" s="229"/>
      <c r="V2125" s="264"/>
      <c r="W2125" s="199"/>
      <c r="X2125" s="264"/>
      <c r="Y2125" s="264"/>
      <c r="Z2125" s="386"/>
      <c r="AD2125" s="264"/>
      <c r="AE2125" s="264"/>
      <c r="AF2125" s="264"/>
      <c r="AG2125" s="264"/>
    </row>
    <row r="2126" spans="1:33" ht="26.25">
      <c r="A2126" s="264"/>
      <c r="B2126" s="264"/>
      <c r="C2126" s="264"/>
      <c r="D2126" s="264"/>
      <c r="E2126" s="264"/>
      <c r="F2126" s="264"/>
      <c r="G2126" s="264"/>
      <c r="H2126" s="264"/>
      <c r="I2126" s="264"/>
      <c r="J2126" s="327"/>
      <c r="K2126" s="327"/>
      <c r="L2126" s="327"/>
      <c r="M2126" s="321"/>
      <c r="N2126" s="321"/>
      <c r="O2126" s="364"/>
      <c r="P2126" s="381"/>
      <c r="R2126" s="392"/>
      <c r="S2126" s="61" ph="1"/>
      <c r="U2126" s="229"/>
      <c r="V2126" s="264"/>
      <c r="W2126" s="199"/>
      <c r="X2126" s="264"/>
      <c r="Y2126" s="264"/>
      <c r="Z2126" s="386"/>
      <c r="AD2126" s="264"/>
      <c r="AE2126" s="264"/>
      <c r="AF2126" s="264"/>
      <c r="AG2126" s="264"/>
    </row>
    <row r="2127" spans="1:33" ht="26.25">
      <c r="A2127" s="264"/>
      <c r="B2127" s="264"/>
      <c r="C2127" s="264"/>
      <c r="D2127" s="264"/>
      <c r="E2127" s="264"/>
      <c r="F2127" s="264"/>
      <c r="G2127" s="264"/>
      <c r="H2127" s="264"/>
      <c r="I2127" s="264"/>
      <c r="J2127" s="327"/>
      <c r="K2127" s="327"/>
      <c r="L2127" s="327"/>
      <c r="M2127" s="321"/>
      <c r="N2127" s="321"/>
      <c r="O2127" s="364"/>
      <c r="P2127" s="381"/>
      <c r="R2127" s="392"/>
      <c r="S2127" s="61" ph="1"/>
      <c r="U2127" s="229"/>
      <c r="V2127" s="264"/>
      <c r="W2127" s="199"/>
      <c r="X2127" s="264"/>
      <c r="Y2127" s="264"/>
      <c r="Z2127" s="386"/>
      <c r="AD2127" s="264"/>
      <c r="AE2127" s="264"/>
      <c r="AF2127" s="264"/>
      <c r="AG2127" s="264"/>
    </row>
    <row r="2128" spans="1:33" ht="26.25">
      <c r="A2128" s="264"/>
      <c r="B2128" s="264"/>
      <c r="C2128" s="264"/>
      <c r="D2128" s="264"/>
      <c r="E2128" s="264"/>
      <c r="F2128" s="264"/>
      <c r="G2128" s="264"/>
      <c r="H2128" s="264"/>
      <c r="I2128" s="264"/>
      <c r="J2128" s="327"/>
      <c r="K2128" s="327"/>
      <c r="L2128" s="327"/>
      <c r="M2128" s="321"/>
      <c r="N2128" s="321"/>
      <c r="O2128" s="364"/>
      <c r="P2128" s="381"/>
      <c r="R2128" s="392"/>
      <c r="S2128" s="61" ph="1"/>
      <c r="U2128" s="229"/>
      <c r="V2128" s="264"/>
      <c r="W2128" s="199"/>
      <c r="X2128" s="264"/>
      <c r="Y2128" s="264"/>
      <c r="Z2128" s="386"/>
      <c r="AD2128" s="264"/>
      <c r="AE2128" s="264"/>
      <c r="AF2128" s="264"/>
      <c r="AG2128" s="264"/>
    </row>
    <row r="2129" spans="1:33" ht="26.25">
      <c r="A2129" s="264"/>
      <c r="B2129" s="264"/>
      <c r="C2129" s="264"/>
      <c r="D2129" s="264"/>
      <c r="E2129" s="264"/>
      <c r="F2129" s="264"/>
      <c r="G2129" s="264"/>
      <c r="H2129" s="264"/>
      <c r="I2129" s="264"/>
      <c r="J2129" s="327"/>
      <c r="K2129" s="327"/>
      <c r="L2129" s="327"/>
      <c r="M2129" s="321"/>
      <c r="N2129" s="321"/>
      <c r="O2129" s="364"/>
      <c r="P2129" s="381"/>
      <c r="R2129" s="392"/>
      <c r="S2129" s="61" ph="1"/>
      <c r="U2129" s="229"/>
      <c r="V2129" s="264"/>
      <c r="W2129" s="199"/>
      <c r="X2129" s="264"/>
      <c r="Y2129" s="264"/>
      <c r="Z2129" s="386"/>
      <c r="AD2129" s="264"/>
      <c r="AE2129" s="264"/>
      <c r="AF2129" s="264"/>
      <c r="AG2129" s="264"/>
    </row>
    <row r="2130" spans="1:33" ht="26.25">
      <c r="A2130" s="264"/>
      <c r="B2130" s="264"/>
      <c r="C2130" s="264"/>
      <c r="D2130" s="264"/>
      <c r="E2130" s="264"/>
      <c r="F2130" s="264"/>
      <c r="G2130" s="264"/>
      <c r="H2130" s="264"/>
      <c r="I2130" s="264"/>
      <c r="J2130" s="327"/>
      <c r="K2130" s="327"/>
      <c r="L2130" s="327"/>
      <c r="M2130" s="321"/>
      <c r="N2130" s="321"/>
      <c r="O2130" s="364"/>
      <c r="P2130" s="381"/>
      <c r="R2130" s="392"/>
      <c r="S2130" s="61" ph="1"/>
      <c r="U2130" s="229"/>
      <c r="V2130" s="264"/>
      <c r="W2130" s="199"/>
      <c r="X2130" s="264"/>
      <c r="Y2130" s="264"/>
      <c r="Z2130" s="386"/>
      <c r="AD2130" s="264"/>
      <c r="AE2130" s="264"/>
      <c r="AF2130" s="264"/>
      <c r="AG2130" s="264"/>
    </row>
    <row r="2131" spans="1:33" ht="26.25">
      <c r="A2131" s="264"/>
      <c r="B2131" s="264"/>
      <c r="C2131" s="264"/>
      <c r="D2131" s="264"/>
      <c r="E2131" s="264"/>
      <c r="F2131" s="264"/>
      <c r="G2131" s="264"/>
      <c r="H2131" s="264"/>
      <c r="I2131" s="264"/>
      <c r="J2131" s="327"/>
      <c r="K2131" s="327"/>
      <c r="L2131" s="327"/>
      <c r="M2131" s="321"/>
      <c r="N2131" s="321"/>
      <c r="O2131" s="364"/>
      <c r="P2131" s="381"/>
      <c r="R2131" s="392"/>
      <c r="S2131" s="61" ph="1"/>
      <c r="U2131" s="229"/>
      <c r="V2131" s="264"/>
      <c r="W2131" s="199"/>
      <c r="X2131" s="264"/>
      <c r="Y2131" s="264"/>
      <c r="Z2131" s="386"/>
      <c r="AD2131" s="264"/>
      <c r="AE2131" s="264"/>
      <c r="AF2131" s="264"/>
      <c r="AG2131" s="264"/>
    </row>
    <row r="2132" spans="1:33" ht="26.25">
      <c r="A2132" s="264"/>
      <c r="B2132" s="264"/>
      <c r="C2132" s="264"/>
      <c r="D2132" s="264"/>
      <c r="E2132" s="264"/>
      <c r="F2132" s="264"/>
      <c r="G2132" s="264"/>
      <c r="H2132" s="264"/>
      <c r="I2132" s="264"/>
      <c r="J2132" s="327"/>
      <c r="K2132" s="327"/>
      <c r="L2132" s="327"/>
      <c r="M2132" s="321"/>
      <c r="N2132" s="321"/>
      <c r="O2132" s="364"/>
      <c r="P2132" s="381"/>
      <c r="R2132" s="392"/>
      <c r="S2132" s="61" ph="1"/>
      <c r="U2132" s="229"/>
      <c r="V2132" s="264"/>
      <c r="W2132" s="199"/>
      <c r="X2132" s="264"/>
      <c r="Y2132" s="264"/>
      <c r="Z2132" s="386"/>
      <c r="AD2132" s="264"/>
      <c r="AE2132" s="264"/>
      <c r="AF2132" s="264"/>
      <c r="AG2132" s="264"/>
    </row>
    <row r="2133" spans="1:33" ht="26.25">
      <c r="A2133" s="264"/>
      <c r="B2133" s="264"/>
      <c r="C2133" s="264"/>
      <c r="D2133" s="264"/>
      <c r="E2133" s="264"/>
      <c r="F2133" s="264"/>
      <c r="G2133" s="264"/>
      <c r="H2133" s="264"/>
      <c r="I2133" s="264"/>
      <c r="J2133" s="327"/>
      <c r="K2133" s="327"/>
      <c r="L2133" s="327"/>
      <c r="M2133" s="321"/>
      <c r="N2133" s="321"/>
      <c r="O2133" s="364"/>
      <c r="P2133" s="381"/>
      <c r="R2133" s="392"/>
      <c r="S2133" s="61" ph="1"/>
      <c r="U2133" s="229"/>
      <c r="V2133" s="264"/>
      <c r="W2133" s="199"/>
      <c r="X2133" s="264"/>
      <c r="Y2133" s="264"/>
      <c r="Z2133" s="386"/>
      <c r="AD2133" s="264"/>
      <c r="AE2133" s="264"/>
      <c r="AF2133" s="264"/>
      <c r="AG2133" s="264"/>
    </row>
    <row r="2134" spans="1:33" ht="26.25">
      <c r="A2134" s="264"/>
      <c r="B2134" s="264"/>
      <c r="C2134" s="264"/>
      <c r="D2134" s="264"/>
      <c r="E2134" s="264"/>
      <c r="F2134" s="264"/>
      <c r="G2134" s="264"/>
      <c r="H2134" s="264"/>
      <c r="I2134" s="264"/>
      <c r="J2134" s="327"/>
      <c r="K2134" s="327"/>
      <c r="L2134" s="327"/>
      <c r="M2134" s="321"/>
      <c r="N2134" s="321"/>
      <c r="O2134" s="364"/>
      <c r="P2134" s="381"/>
      <c r="R2134" s="392"/>
      <c r="S2134" s="61" ph="1"/>
      <c r="U2134" s="229"/>
      <c r="V2134" s="264"/>
      <c r="W2134" s="199"/>
      <c r="X2134" s="264"/>
      <c r="Y2134" s="264"/>
      <c r="Z2134" s="386"/>
      <c r="AD2134" s="264"/>
      <c r="AE2134" s="264"/>
      <c r="AF2134" s="264"/>
      <c r="AG2134" s="264"/>
    </row>
    <row r="2135" spans="1:33" ht="26.25">
      <c r="A2135" s="264"/>
      <c r="B2135" s="264"/>
      <c r="C2135" s="264"/>
      <c r="D2135" s="264"/>
      <c r="E2135" s="264"/>
      <c r="F2135" s="264"/>
      <c r="G2135" s="264"/>
      <c r="H2135" s="264"/>
      <c r="I2135" s="264"/>
      <c r="J2135" s="327"/>
      <c r="K2135" s="327"/>
      <c r="L2135" s="327"/>
      <c r="M2135" s="321"/>
      <c r="N2135" s="321"/>
      <c r="O2135" s="364"/>
      <c r="P2135" s="381"/>
      <c r="R2135" s="392"/>
      <c r="S2135" s="61" ph="1"/>
      <c r="U2135" s="229"/>
      <c r="V2135" s="264"/>
      <c r="W2135" s="199"/>
      <c r="X2135" s="264"/>
      <c r="Y2135" s="264"/>
      <c r="Z2135" s="386"/>
      <c r="AD2135" s="264"/>
      <c r="AE2135" s="264"/>
      <c r="AF2135" s="264"/>
      <c r="AG2135" s="264"/>
    </row>
    <row r="2136" spans="1:33" ht="26.25">
      <c r="A2136" s="264"/>
      <c r="B2136" s="264"/>
      <c r="C2136" s="264"/>
      <c r="D2136" s="264"/>
      <c r="E2136" s="264"/>
      <c r="F2136" s="264"/>
      <c r="G2136" s="264"/>
      <c r="H2136" s="264"/>
      <c r="I2136" s="264"/>
      <c r="J2136" s="327"/>
      <c r="K2136" s="327"/>
      <c r="L2136" s="327"/>
      <c r="M2136" s="321"/>
      <c r="N2136" s="321"/>
      <c r="O2136" s="364"/>
      <c r="P2136" s="381"/>
      <c r="R2136" s="392"/>
      <c r="S2136" s="61" ph="1"/>
      <c r="U2136" s="229"/>
      <c r="V2136" s="264"/>
      <c r="W2136" s="199"/>
      <c r="X2136" s="264"/>
      <c r="Y2136" s="264"/>
      <c r="Z2136" s="386"/>
      <c r="AD2136" s="264"/>
      <c r="AE2136" s="264"/>
      <c r="AF2136" s="264"/>
      <c r="AG2136" s="264"/>
    </row>
    <row r="2137" spans="1:33" ht="26.25">
      <c r="A2137" s="264"/>
      <c r="B2137" s="264"/>
      <c r="C2137" s="264"/>
      <c r="D2137" s="264"/>
      <c r="E2137" s="264"/>
      <c r="F2137" s="264"/>
      <c r="G2137" s="264"/>
      <c r="H2137" s="264"/>
      <c r="I2137" s="264"/>
      <c r="J2137" s="327"/>
      <c r="K2137" s="327"/>
      <c r="L2137" s="327"/>
      <c r="M2137" s="321"/>
      <c r="N2137" s="321"/>
      <c r="O2137" s="364"/>
      <c r="P2137" s="381"/>
      <c r="R2137" s="392"/>
      <c r="S2137" s="61" ph="1"/>
      <c r="U2137" s="229"/>
      <c r="V2137" s="264"/>
      <c r="W2137" s="199"/>
      <c r="X2137" s="264"/>
      <c r="Y2137" s="264"/>
      <c r="Z2137" s="386"/>
      <c r="AD2137" s="264"/>
      <c r="AE2137" s="264"/>
      <c r="AF2137" s="264"/>
      <c r="AG2137" s="264"/>
    </row>
    <row r="2138" spans="1:33" ht="26.25">
      <c r="A2138" s="264"/>
      <c r="B2138" s="264"/>
      <c r="C2138" s="264"/>
      <c r="D2138" s="264"/>
      <c r="E2138" s="264"/>
      <c r="F2138" s="264"/>
      <c r="G2138" s="264"/>
      <c r="H2138" s="264"/>
      <c r="I2138" s="264"/>
      <c r="J2138" s="327"/>
      <c r="K2138" s="327"/>
      <c r="L2138" s="327"/>
      <c r="M2138" s="321"/>
      <c r="N2138" s="321"/>
      <c r="O2138" s="364"/>
      <c r="P2138" s="381"/>
      <c r="R2138" s="392"/>
      <c r="S2138" s="61" ph="1"/>
      <c r="U2138" s="229"/>
      <c r="V2138" s="264"/>
      <c r="W2138" s="199"/>
      <c r="X2138" s="264"/>
      <c r="Y2138" s="264"/>
      <c r="Z2138" s="386"/>
      <c r="AD2138" s="264"/>
      <c r="AE2138" s="264"/>
      <c r="AF2138" s="264"/>
      <c r="AG2138" s="264"/>
    </row>
    <row r="2139" spans="1:33" ht="26.25">
      <c r="A2139" s="264"/>
      <c r="B2139" s="264"/>
      <c r="C2139" s="264"/>
      <c r="D2139" s="264"/>
      <c r="E2139" s="264"/>
      <c r="F2139" s="264"/>
      <c r="G2139" s="264"/>
      <c r="H2139" s="264"/>
      <c r="I2139" s="264"/>
      <c r="J2139" s="327"/>
      <c r="K2139" s="327"/>
      <c r="L2139" s="327"/>
      <c r="M2139" s="321"/>
      <c r="N2139" s="321"/>
      <c r="O2139" s="364"/>
      <c r="P2139" s="381"/>
      <c r="R2139" s="392"/>
      <c r="S2139" s="61" ph="1"/>
      <c r="U2139" s="229"/>
      <c r="V2139" s="264"/>
      <c r="W2139" s="199"/>
      <c r="X2139" s="264"/>
      <c r="Y2139" s="264"/>
      <c r="Z2139" s="386"/>
      <c r="AD2139" s="264"/>
      <c r="AE2139" s="264"/>
      <c r="AF2139" s="264"/>
      <c r="AG2139" s="264"/>
    </row>
    <row r="2140" spans="1:33" ht="26.25">
      <c r="A2140" s="264"/>
      <c r="B2140" s="264"/>
      <c r="C2140" s="264"/>
      <c r="D2140" s="264"/>
      <c r="E2140" s="264"/>
      <c r="F2140" s="264"/>
      <c r="G2140" s="264"/>
      <c r="H2140" s="264"/>
      <c r="I2140" s="264"/>
      <c r="J2140" s="327"/>
      <c r="K2140" s="327"/>
      <c r="L2140" s="327"/>
      <c r="M2140" s="321"/>
      <c r="N2140" s="321"/>
      <c r="O2140" s="364"/>
      <c r="P2140" s="381"/>
      <c r="R2140" s="392"/>
      <c r="S2140" s="61" ph="1"/>
      <c r="U2140" s="229"/>
      <c r="V2140" s="264"/>
      <c r="W2140" s="199"/>
      <c r="X2140" s="264"/>
      <c r="Y2140" s="264"/>
      <c r="Z2140" s="386"/>
      <c r="AD2140" s="264"/>
      <c r="AE2140" s="264"/>
      <c r="AF2140" s="264"/>
      <c r="AG2140" s="264"/>
    </row>
    <row r="2141" spans="1:33" ht="26.25">
      <c r="A2141" s="264"/>
      <c r="B2141" s="264"/>
      <c r="C2141" s="264"/>
      <c r="D2141" s="264"/>
      <c r="E2141" s="264"/>
      <c r="F2141" s="264"/>
      <c r="G2141" s="264"/>
      <c r="H2141" s="264"/>
      <c r="I2141" s="264"/>
      <c r="J2141" s="327"/>
      <c r="K2141" s="327"/>
      <c r="L2141" s="327"/>
      <c r="M2141" s="321"/>
      <c r="N2141" s="321"/>
      <c r="O2141" s="364"/>
      <c r="P2141" s="381"/>
      <c r="R2141" s="392"/>
      <c r="S2141" s="61" ph="1"/>
      <c r="U2141" s="229"/>
      <c r="V2141" s="264"/>
      <c r="W2141" s="199"/>
      <c r="X2141" s="264"/>
      <c r="Y2141" s="264"/>
      <c r="Z2141" s="386"/>
      <c r="AD2141" s="264"/>
      <c r="AE2141" s="264"/>
      <c r="AF2141" s="264"/>
      <c r="AG2141" s="264"/>
    </row>
    <row r="2142" spans="1:33" ht="26.25">
      <c r="A2142" s="264"/>
      <c r="B2142" s="264"/>
      <c r="C2142" s="264"/>
      <c r="D2142" s="264"/>
      <c r="E2142" s="264"/>
      <c r="F2142" s="264"/>
      <c r="G2142" s="264"/>
      <c r="H2142" s="264"/>
      <c r="I2142" s="264"/>
      <c r="J2142" s="327"/>
      <c r="K2142" s="327"/>
      <c r="L2142" s="327"/>
      <c r="M2142" s="321"/>
      <c r="N2142" s="321"/>
      <c r="O2142" s="364"/>
      <c r="P2142" s="381"/>
      <c r="R2142" s="392"/>
      <c r="S2142" s="61" ph="1"/>
      <c r="U2142" s="229"/>
      <c r="V2142" s="264"/>
      <c r="W2142" s="199"/>
      <c r="X2142" s="264"/>
      <c r="Y2142" s="264"/>
      <c r="Z2142" s="386"/>
      <c r="AD2142" s="264"/>
      <c r="AE2142" s="264"/>
      <c r="AF2142" s="264"/>
      <c r="AG2142" s="264"/>
    </row>
    <row r="2143" spans="1:33" ht="26.25">
      <c r="A2143" s="264"/>
      <c r="B2143" s="264"/>
      <c r="C2143" s="264"/>
      <c r="D2143" s="264"/>
      <c r="E2143" s="264"/>
      <c r="F2143" s="264"/>
      <c r="G2143" s="264"/>
      <c r="H2143" s="264"/>
      <c r="I2143" s="264"/>
      <c r="J2143" s="327"/>
      <c r="K2143" s="327"/>
      <c r="L2143" s="327"/>
      <c r="M2143" s="321"/>
      <c r="N2143" s="321"/>
      <c r="O2143" s="364"/>
      <c r="P2143" s="381"/>
      <c r="R2143" s="392"/>
      <c r="S2143" s="61" ph="1"/>
      <c r="U2143" s="229"/>
      <c r="V2143" s="264"/>
      <c r="W2143" s="199"/>
      <c r="X2143" s="264"/>
      <c r="Y2143" s="264"/>
      <c r="Z2143" s="386"/>
      <c r="AD2143" s="264"/>
      <c r="AE2143" s="264"/>
      <c r="AF2143" s="264"/>
      <c r="AG2143" s="264"/>
    </row>
    <row r="2144" spans="1:33" ht="26.25">
      <c r="A2144" s="264"/>
      <c r="B2144" s="264"/>
      <c r="C2144" s="264"/>
      <c r="D2144" s="264"/>
      <c r="E2144" s="264"/>
      <c r="F2144" s="264"/>
      <c r="G2144" s="264"/>
      <c r="H2144" s="264"/>
      <c r="I2144" s="264"/>
      <c r="J2144" s="327"/>
      <c r="K2144" s="327"/>
      <c r="L2144" s="327"/>
      <c r="M2144" s="321"/>
      <c r="N2144" s="321"/>
      <c r="O2144" s="364"/>
      <c r="P2144" s="381"/>
      <c r="R2144" s="392"/>
      <c r="S2144" s="61" ph="1"/>
      <c r="U2144" s="229"/>
      <c r="V2144" s="264"/>
      <c r="W2144" s="199"/>
      <c r="X2144" s="264"/>
      <c r="Y2144" s="264"/>
      <c r="Z2144" s="386"/>
      <c r="AD2144" s="264"/>
      <c r="AE2144" s="264"/>
      <c r="AF2144" s="264"/>
      <c r="AG2144" s="264"/>
    </row>
    <row r="2145" spans="1:33" ht="26.25">
      <c r="A2145" s="264"/>
      <c r="B2145" s="264"/>
      <c r="C2145" s="264"/>
      <c r="D2145" s="264"/>
      <c r="E2145" s="264"/>
      <c r="F2145" s="264"/>
      <c r="G2145" s="264"/>
      <c r="H2145" s="264"/>
      <c r="I2145" s="264"/>
      <c r="J2145" s="327"/>
      <c r="K2145" s="327"/>
      <c r="L2145" s="327"/>
      <c r="M2145" s="321"/>
      <c r="N2145" s="321"/>
      <c r="O2145" s="364"/>
      <c r="P2145" s="381"/>
      <c r="R2145" s="392"/>
      <c r="S2145" s="61" ph="1"/>
      <c r="U2145" s="229"/>
      <c r="V2145" s="264"/>
      <c r="W2145" s="199"/>
      <c r="X2145" s="264"/>
      <c r="Y2145" s="264"/>
      <c r="Z2145" s="386"/>
      <c r="AD2145" s="264"/>
      <c r="AE2145" s="264"/>
      <c r="AF2145" s="264"/>
      <c r="AG2145" s="264"/>
    </row>
    <row r="2146" spans="1:33" ht="26.25">
      <c r="A2146" s="264"/>
      <c r="B2146" s="264"/>
      <c r="C2146" s="264"/>
      <c r="D2146" s="264"/>
      <c r="E2146" s="264"/>
      <c r="F2146" s="264"/>
      <c r="G2146" s="264"/>
      <c r="H2146" s="264"/>
      <c r="I2146" s="264"/>
      <c r="J2146" s="327"/>
      <c r="K2146" s="327"/>
      <c r="L2146" s="327"/>
      <c r="M2146" s="321"/>
      <c r="N2146" s="321"/>
      <c r="O2146" s="364"/>
      <c r="P2146" s="381"/>
      <c r="R2146" s="392"/>
      <c r="S2146" s="61" ph="1"/>
      <c r="U2146" s="229"/>
      <c r="V2146" s="264"/>
      <c r="W2146" s="199"/>
      <c r="X2146" s="264"/>
      <c r="Y2146" s="264"/>
      <c r="Z2146" s="386"/>
      <c r="AD2146" s="264"/>
      <c r="AE2146" s="264"/>
      <c r="AF2146" s="264"/>
      <c r="AG2146" s="264"/>
    </row>
    <row r="2147" spans="1:33" ht="26.25">
      <c r="A2147" s="264"/>
      <c r="B2147" s="264"/>
      <c r="C2147" s="264"/>
      <c r="D2147" s="264"/>
      <c r="E2147" s="264"/>
      <c r="F2147" s="264"/>
      <c r="G2147" s="264"/>
      <c r="H2147" s="264"/>
      <c r="I2147" s="264"/>
      <c r="J2147" s="327"/>
      <c r="K2147" s="327"/>
      <c r="L2147" s="327"/>
      <c r="M2147" s="321"/>
      <c r="N2147" s="321"/>
      <c r="O2147" s="364"/>
      <c r="P2147" s="381"/>
      <c r="R2147" s="392"/>
      <c r="S2147" s="61" ph="1"/>
      <c r="U2147" s="229"/>
      <c r="V2147" s="264"/>
      <c r="W2147" s="199"/>
      <c r="X2147" s="264"/>
      <c r="Y2147" s="264"/>
      <c r="Z2147" s="386"/>
      <c r="AD2147" s="264"/>
      <c r="AE2147" s="264"/>
      <c r="AF2147" s="264"/>
      <c r="AG2147" s="264"/>
    </row>
    <row r="2148" spans="1:33" ht="26.25">
      <c r="A2148" s="264"/>
      <c r="B2148" s="264"/>
      <c r="C2148" s="264"/>
      <c r="D2148" s="264"/>
      <c r="E2148" s="264"/>
      <c r="F2148" s="264"/>
      <c r="G2148" s="264"/>
      <c r="H2148" s="264"/>
      <c r="I2148" s="264"/>
      <c r="J2148" s="327"/>
      <c r="K2148" s="327"/>
      <c r="L2148" s="327"/>
      <c r="M2148" s="321"/>
      <c r="N2148" s="321"/>
      <c r="O2148" s="364"/>
      <c r="P2148" s="381"/>
      <c r="R2148" s="392"/>
      <c r="S2148" s="61" ph="1"/>
      <c r="U2148" s="229"/>
      <c r="V2148" s="264"/>
      <c r="W2148" s="199"/>
      <c r="X2148" s="264"/>
      <c r="Y2148" s="264"/>
      <c r="Z2148" s="386"/>
      <c r="AD2148" s="264"/>
      <c r="AE2148" s="264"/>
      <c r="AF2148" s="264"/>
      <c r="AG2148" s="264"/>
    </row>
    <row r="2149" spans="1:33" ht="26.25">
      <c r="A2149" s="264"/>
      <c r="B2149" s="264"/>
      <c r="C2149" s="264"/>
      <c r="D2149" s="264"/>
      <c r="E2149" s="264"/>
      <c r="F2149" s="264"/>
      <c r="G2149" s="264"/>
      <c r="H2149" s="264"/>
      <c r="I2149" s="264"/>
      <c r="J2149" s="327"/>
      <c r="K2149" s="327"/>
      <c r="L2149" s="327"/>
      <c r="M2149" s="321"/>
      <c r="N2149" s="321"/>
      <c r="O2149" s="364"/>
      <c r="P2149" s="381"/>
      <c r="R2149" s="392"/>
      <c r="S2149" s="61" ph="1"/>
      <c r="U2149" s="229"/>
      <c r="V2149" s="264"/>
      <c r="W2149" s="199"/>
      <c r="X2149" s="264"/>
      <c r="Y2149" s="264"/>
      <c r="Z2149" s="386"/>
      <c r="AD2149" s="264"/>
      <c r="AE2149" s="264"/>
      <c r="AF2149" s="264"/>
      <c r="AG2149" s="264"/>
    </row>
    <row r="2150" spans="1:33" ht="26.25">
      <c r="A2150" s="264"/>
      <c r="B2150" s="264"/>
      <c r="C2150" s="264"/>
      <c r="D2150" s="264"/>
      <c r="E2150" s="264"/>
      <c r="F2150" s="264"/>
      <c r="G2150" s="264"/>
      <c r="H2150" s="264"/>
      <c r="I2150" s="264"/>
      <c r="J2150" s="327"/>
      <c r="K2150" s="327"/>
      <c r="L2150" s="327"/>
      <c r="M2150" s="321"/>
      <c r="N2150" s="321"/>
      <c r="O2150" s="364"/>
      <c r="P2150" s="381"/>
      <c r="R2150" s="392"/>
      <c r="S2150" s="61" ph="1"/>
      <c r="U2150" s="229"/>
      <c r="V2150" s="264"/>
      <c r="W2150" s="199"/>
      <c r="X2150" s="264"/>
      <c r="Y2150" s="264"/>
      <c r="Z2150" s="386"/>
      <c r="AD2150" s="264"/>
      <c r="AE2150" s="264"/>
      <c r="AF2150" s="264"/>
      <c r="AG2150" s="264"/>
    </row>
    <row r="2151" spans="1:33" ht="26.25">
      <c r="A2151" s="264"/>
      <c r="B2151" s="264"/>
      <c r="C2151" s="264"/>
      <c r="D2151" s="264"/>
      <c r="E2151" s="264"/>
      <c r="F2151" s="264"/>
      <c r="G2151" s="264"/>
      <c r="H2151" s="264"/>
      <c r="I2151" s="264"/>
      <c r="J2151" s="327"/>
      <c r="K2151" s="327"/>
      <c r="L2151" s="327"/>
      <c r="M2151" s="321"/>
      <c r="N2151" s="321"/>
      <c r="O2151" s="364"/>
      <c r="P2151" s="381"/>
      <c r="R2151" s="392"/>
      <c r="S2151" s="61" ph="1"/>
      <c r="U2151" s="229"/>
      <c r="V2151" s="264"/>
      <c r="W2151" s="199"/>
      <c r="X2151" s="264"/>
      <c r="Y2151" s="264"/>
      <c r="Z2151" s="386"/>
      <c r="AD2151" s="264"/>
      <c r="AE2151" s="264"/>
      <c r="AF2151" s="264"/>
      <c r="AG2151" s="264"/>
    </row>
    <row r="2152" spans="1:33" ht="26.25">
      <c r="A2152" s="264"/>
      <c r="B2152" s="264"/>
      <c r="C2152" s="264"/>
      <c r="D2152" s="264"/>
      <c r="E2152" s="264"/>
      <c r="F2152" s="264"/>
      <c r="G2152" s="264"/>
      <c r="H2152" s="264"/>
      <c r="I2152" s="264"/>
      <c r="J2152" s="327"/>
      <c r="K2152" s="327"/>
      <c r="L2152" s="327"/>
      <c r="M2152" s="321"/>
      <c r="N2152" s="321"/>
      <c r="O2152" s="364"/>
      <c r="P2152" s="381"/>
      <c r="R2152" s="392"/>
      <c r="S2152" s="61" ph="1"/>
      <c r="U2152" s="229"/>
      <c r="V2152" s="264"/>
      <c r="W2152" s="199"/>
      <c r="X2152" s="264"/>
      <c r="Y2152" s="264"/>
      <c r="Z2152" s="386"/>
      <c r="AD2152" s="264"/>
      <c r="AE2152" s="264"/>
      <c r="AF2152" s="264"/>
      <c r="AG2152" s="264"/>
    </row>
    <row r="2153" spans="1:33" ht="26.25">
      <c r="A2153" s="264"/>
      <c r="B2153" s="264"/>
      <c r="C2153" s="264"/>
      <c r="D2153" s="264"/>
      <c r="E2153" s="264"/>
      <c r="F2153" s="264"/>
      <c r="G2153" s="264"/>
      <c r="H2153" s="264"/>
      <c r="I2153" s="264"/>
      <c r="J2153" s="327"/>
      <c r="K2153" s="327"/>
      <c r="L2153" s="327"/>
      <c r="M2153" s="321"/>
      <c r="N2153" s="321"/>
      <c r="O2153" s="364"/>
      <c r="P2153" s="381"/>
      <c r="R2153" s="392"/>
      <c r="S2153" s="61" ph="1"/>
      <c r="U2153" s="229"/>
      <c r="V2153" s="264"/>
      <c r="W2153" s="199"/>
      <c r="X2153" s="264"/>
      <c r="Y2153" s="264"/>
      <c r="Z2153" s="386"/>
      <c r="AD2153" s="264"/>
      <c r="AE2153" s="264"/>
      <c r="AF2153" s="264"/>
      <c r="AG2153" s="264"/>
    </row>
    <row r="2154" spans="1:33" ht="26.25">
      <c r="A2154" s="264"/>
      <c r="B2154" s="264"/>
      <c r="C2154" s="264"/>
      <c r="D2154" s="264"/>
      <c r="E2154" s="264"/>
      <c r="F2154" s="264"/>
      <c r="G2154" s="264"/>
      <c r="H2154" s="264"/>
      <c r="I2154" s="264"/>
      <c r="J2154" s="327"/>
      <c r="K2154" s="327"/>
      <c r="L2154" s="327"/>
      <c r="M2154" s="321"/>
      <c r="N2154" s="321"/>
      <c r="O2154" s="364"/>
      <c r="P2154" s="381"/>
      <c r="R2154" s="392"/>
      <c r="S2154" s="61" ph="1"/>
      <c r="U2154" s="229"/>
      <c r="V2154" s="264"/>
      <c r="W2154" s="199"/>
      <c r="X2154" s="264"/>
      <c r="Y2154" s="264"/>
      <c r="Z2154" s="386"/>
      <c r="AD2154" s="264"/>
      <c r="AE2154" s="264"/>
      <c r="AF2154" s="264"/>
      <c r="AG2154" s="264"/>
    </row>
    <row r="2155" spans="1:33" ht="26.25">
      <c r="A2155" s="264"/>
      <c r="B2155" s="264"/>
      <c r="C2155" s="264"/>
      <c r="D2155" s="264"/>
      <c r="E2155" s="264"/>
      <c r="F2155" s="264"/>
      <c r="G2155" s="264"/>
      <c r="H2155" s="264"/>
      <c r="I2155" s="264"/>
      <c r="J2155" s="327"/>
      <c r="K2155" s="327"/>
      <c r="L2155" s="327"/>
      <c r="M2155" s="321"/>
      <c r="N2155" s="321"/>
      <c r="O2155" s="364"/>
      <c r="P2155" s="381"/>
      <c r="R2155" s="392"/>
      <c r="S2155" s="61" ph="1"/>
      <c r="U2155" s="229"/>
      <c r="V2155" s="264"/>
      <c r="W2155" s="199"/>
      <c r="X2155" s="264"/>
      <c r="Y2155" s="264"/>
      <c r="Z2155" s="386"/>
      <c r="AD2155" s="264"/>
      <c r="AE2155" s="264"/>
      <c r="AF2155" s="264"/>
      <c r="AG2155" s="264"/>
    </row>
    <row r="2156" spans="1:33" ht="26.25">
      <c r="A2156" s="264"/>
      <c r="B2156" s="264"/>
      <c r="C2156" s="264"/>
      <c r="D2156" s="264"/>
      <c r="E2156" s="264"/>
      <c r="F2156" s="264"/>
      <c r="G2156" s="264"/>
      <c r="H2156" s="264"/>
      <c r="I2156" s="264"/>
      <c r="J2156" s="327"/>
      <c r="K2156" s="327"/>
      <c r="L2156" s="327"/>
      <c r="M2156" s="321"/>
      <c r="N2156" s="321"/>
      <c r="O2156" s="364"/>
      <c r="P2156" s="381"/>
      <c r="R2156" s="392"/>
      <c r="S2156" s="61" ph="1"/>
      <c r="U2156" s="229"/>
      <c r="V2156" s="264"/>
      <c r="W2156" s="199"/>
      <c r="X2156" s="264"/>
      <c r="Y2156" s="264"/>
      <c r="Z2156" s="386"/>
      <c r="AD2156" s="264"/>
      <c r="AE2156" s="264"/>
      <c r="AF2156" s="264"/>
      <c r="AG2156" s="264"/>
    </row>
    <row r="2157" spans="1:33" ht="26.25">
      <c r="A2157" s="264"/>
      <c r="B2157" s="264"/>
      <c r="C2157" s="264"/>
      <c r="D2157" s="264"/>
      <c r="E2157" s="264"/>
      <c r="F2157" s="264"/>
      <c r="G2157" s="264"/>
      <c r="H2157" s="264"/>
      <c r="I2157" s="264"/>
      <c r="J2157" s="327"/>
      <c r="K2157" s="327"/>
      <c r="L2157" s="327"/>
      <c r="M2157" s="321"/>
      <c r="N2157" s="321"/>
      <c r="O2157" s="364"/>
      <c r="P2157" s="381"/>
      <c r="R2157" s="392"/>
      <c r="S2157" s="61" ph="1"/>
      <c r="U2157" s="229"/>
      <c r="V2157" s="264"/>
      <c r="W2157" s="199"/>
      <c r="X2157" s="264"/>
      <c r="Y2157" s="264"/>
      <c r="Z2157" s="386"/>
      <c r="AD2157" s="264"/>
      <c r="AE2157" s="264"/>
      <c r="AF2157" s="264"/>
      <c r="AG2157" s="264"/>
    </row>
    <row r="2158" spans="1:33" ht="26.25">
      <c r="A2158" s="264"/>
      <c r="B2158" s="264"/>
      <c r="C2158" s="264"/>
      <c r="D2158" s="264"/>
      <c r="E2158" s="264"/>
      <c r="F2158" s="264"/>
      <c r="G2158" s="264"/>
      <c r="H2158" s="264"/>
      <c r="I2158" s="264"/>
      <c r="J2158" s="327"/>
      <c r="K2158" s="327"/>
      <c r="L2158" s="327"/>
      <c r="M2158" s="321"/>
      <c r="N2158" s="321"/>
      <c r="O2158" s="364"/>
      <c r="P2158" s="381"/>
      <c r="R2158" s="392"/>
      <c r="S2158" s="61" ph="1"/>
      <c r="U2158" s="229"/>
      <c r="V2158" s="264"/>
      <c r="W2158" s="199"/>
      <c r="X2158" s="264"/>
      <c r="Y2158" s="264"/>
      <c r="Z2158" s="386"/>
      <c r="AD2158" s="264"/>
      <c r="AE2158" s="264"/>
      <c r="AF2158" s="264"/>
      <c r="AG2158" s="264"/>
    </row>
    <row r="2159" spans="1:33" ht="26.25">
      <c r="A2159" s="264"/>
      <c r="B2159" s="264"/>
      <c r="C2159" s="264"/>
      <c r="D2159" s="264"/>
      <c r="E2159" s="264"/>
      <c r="F2159" s="264"/>
      <c r="G2159" s="264"/>
      <c r="H2159" s="264"/>
      <c r="I2159" s="264"/>
      <c r="J2159" s="327"/>
      <c r="K2159" s="327"/>
      <c r="L2159" s="327"/>
      <c r="M2159" s="321"/>
      <c r="N2159" s="321"/>
      <c r="O2159" s="364"/>
      <c r="P2159" s="381"/>
      <c r="R2159" s="392"/>
      <c r="S2159" s="61" ph="1"/>
      <c r="U2159" s="229"/>
      <c r="V2159" s="264"/>
      <c r="W2159" s="199"/>
      <c r="X2159" s="264"/>
      <c r="Y2159" s="264"/>
      <c r="Z2159" s="386"/>
      <c r="AD2159" s="264"/>
      <c r="AE2159" s="264"/>
      <c r="AF2159" s="264"/>
      <c r="AG2159" s="264"/>
    </row>
    <row r="2160" spans="1:33" ht="26.25">
      <c r="A2160" s="264"/>
      <c r="B2160" s="264"/>
      <c r="C2160" s="264"/>
      <c r="D2160" s="264"/>
      <c r="E2160" s="264"/>
      <c r="F2160" s="264"/>
      <c r="G2160" s="264"/>
      <c r="H2160" s="264"/>
      <c r="I2160" s="264"/>
      <c r="J2160" s="327"/>
      <c r="K2160" s="327"/>
      <c r="L2160" s="327"/>
      <c r="M2160" s="321"/>
      <c r="N2160" s="321"/>
      <c r="O2160" s="364"/>
      <c r="P2160" s="381"/>
      <c r="R2160" s="392"/>
      <c r="S2160" s="61" ph="1"/>
      <c r="U2160" s="229"/>
      <c r="V2160" s="264"/>
      <c r="W2160" s="199"/>
      <c r="X2160" s="264"/>
      <c r="Y2160" s="264"/>
      <c r="Z2160" s="386"/>
      <c r="AD2160" s="264"/>
      <c r="AE2160" s="264"/>
      <c r="AF2160" s="264"/>
      <c r="AG2160" s="264"/>
    </row>
    <row r="2161" spans="1:33" ht="26.25">
      <c r="A2161" s="264"/>
      <c r="B2161" s="264"/>
      <c r="C2161" s="264"/>
      <c r="D2161" s="264"/>
      <c r="E2161" s="264"/>
      <c r="F2161" s="264"/>
      <c r="G2161" s="264"/>
      <c r="H2161" s="264"/>
      <c r="I2161" s="264"/>
      <c r="J2161" s="327"/>
      <c r="K2161" s="327"/>
      <c r="L2161" s="327"/>
      <c r="M2161" s="321"/>
      <c r="N2161" s="321"/>
      <c r="O2161" s="364"/>
      <c r="P2161" s="381"/>
      <c r="R2161" s="392"/>
      <c r="S2161" s="61" ph="1"/>
      <c r="U2161" s="229"/>
      <c r="V2161" s="264"/>
      <c r="W2161" s="199"/>
      <c r="X2161" s="264"/>
      <c r="Y2161" s="264"/>
      <c r="Z2161" s="386"/>
      <c r="AD2161" s="264"/>
      <c r="AE2161" s="264"/>
      <c r="AF2161" s="264"/>
      <c r="AG2161" s="264"/>
    </row>
    <row r="2162" spans="1:33" ht="26.25">
      <c r="A2162" s="264"/>
      <c r="B2162" s="264"/>
      <c r="C2162" s="264"/>
      <c r="D2162" s="264"/>
      <c r="E2162" s="264"/>
      <c r="F2162" s="264"/>
      <c r="G2162" s="264"/>
      <c r="H2162" s="264"/>
      <c r="I2162" s="264"/>
      <c r="J2162" s="327"/>
      <c r="K2162" s="327"/>
      <c r="L2162" s="327"/>
      <c r="M2162" s="321"/>
      <c r="N2162" s="321"/>
      <c r="O2162" s="364"/>
      <c r="P2162" s="381"/>
      <c r="R2162" s="392"/>
      <c r="S2162" s="61" ph="1"/>
      <c r="U2162" s="229"/>
      <c r="V2162" s="264"/>
      <c r="W2162" s="199"/>
      <c r="X2162" s="264"/>
      <c r="Y2162" s="264"/>
      <c r="Z2162" s="386"/>
      <c r="AD2162" s="264"/>
      <c r="AE2162" s="264"/>
      <c r="AF2162" s="264"/>
      <c r="AG2162" s="264"/>
    </row>
    <row r="2163" spans="1:33" ht="26.25">
      <c r="A2163" s="264"/>
      <c r="B2163" s="264"/>
      <c r="C2163" s="264"/>
      <c r="D2163" s="264"/>
      <c r="E2163" s="264"/>
      <c r="F2163" s="264"/>
      <c r="G2163" s="264"/>
      <c r="H2163" s="264"/>
      <c r="I2163" s="264"/>
      <c r="J2163" s="327"/>
      <c r="K2163" s="327"/>
      <c r="L2163" s="327"/>
      <c r="M2163" s="321"/>
      <c r="N2163" s="321"/>
      <c r="O2163" s="364"/>
      <c r="P2163" s="381"/>
      <c r="R2163" s="392"/>
      <c r="S2163" s="61" ph="1"/>
      <c r="U2163" s="229"/>
      <c r="V2163" s="264"/>
      <c r="W2163" s="199"/>
      <c r="X2163" s="264"/>
      <c r="Y2163" s="264"/>
      <c r="Z2163" s="386"/>
      <c r="AD2163" s="264"/>
      <c r="AE2163" s="264"/>
      <c r="AF2163" s="264"/>
      <c r="AG2163" s="264"/>
    </row>
    <row r="2164" spans="1:33" ht="26.25">
      <c r="A2164" s="264"/>
      <c r="B2164" s="264"/>
      <c r="C2164" s="264"/>
      <c r="D2164" s="264"/>
      <c r="E2164" s="264"/>
      <c r="F2164" s="264"/>
      <c r="G2164" s="264"/>
      <c r="H2164" s="264"/>
      <c r="I2164" s="264"/>
      <c r="J2164" s="327"/>
      <c r="K2164" s="327"/>
      <c r="L2164" s="327"/>
      <c r="M2164" s="321"/>
      <c r="N2164" s="321"/>
      <c r="O2164" s="364"/>
      <c r="P2164" s="381"/>
      <c r="R2164" s="392"/>
      <c r="S2164" s="61" ph="1"/>
      <c r="U2164" s="229"/>
      <c r="V2164" s="264"/>
      <c r="W2164" s="199"/>
      <c r="X2164" s="264"/>
      <c r="Y2164" s="264"/>
      <c r="Z2164" s="386"/>
      <c r="AD2164" s="264"/>
      <c r="AE2164" s="264"/>
      <c r="AF2164" s="264"/>
      <c r="AG2164" s="264"/>
    </row>
    <row r="2165" spans="1:33" ht="26.25">
      <c r="A2165" s="264"/>
      <c r="B2165" s="264"/>
      <c r="C2165" s="264"/>
      <c r="D2165" s="264"/>
      <c r="E2165" s="264"/>
      <c r="F2165" s="264"/>
      <c r="G2165" s="264"/>
      <c r="H2165" s="264"/>
      <c r="I2165" s="264"/>
      <c r="J2165" s="327"/>
      <c r="K2165" s="327"/>
      <c r="L2165" s="327"/>
      <c r="M2165" s="321"/>
      <c r="N2165" s="321"/>
      <c r="O2165" s="364"/>
      <c r="P2165" s="381"/>
      <c r="R2165" s="392"/>
      <c r="S2165" s="61" ph="1"/>
      <c r="U2165" s="229"/>
      <c r="V2165" s="264"/>
      <c r="W2165" s="199"/>
      <c r="X2165" s="264"/>
      <c r="Y2165" s="264"/>
      <c r="Z2165" s="386"/>
      <c r="AD2165" s="264"/>
      <c r="AE2165" s="264"/>
      <c r="AF2165" s="264"/>
      <c r="AG2165" s="264"/>
    </row>
    <row r="2166" spans="1:33" ht="26.25">
      <c r="A2166" s="264"/>
      <c r="B2166" s="264"/>
      <c r="C2166" s="264"/>
      <c r="D2166" s="264"/>
      <c r="E2166" s="264"/>
      <c r="F2166" s="264"/>
      <c r="G2166" s="264"/>
      <c r="H2166" s="264"/>
      <c r="I2166" s="264"/>
      <c r="J2166" s="327"/>
      <c r="K2166" s="327"/>
      <c r="L2166" s="327"/>
      <c r="M2166" s="321"/>
      <c r="N2166" s="321"/>
      <c r="O2166" s="364"/>
      <c r="P2166" s="381"/>
      <c r="R2166" s="392"/>
      <c r="S2166" s="61" ph="1"/>
      <c r="U2166" s="229"/>
      <c r="V2166" s="264"/>
      <c r="W2166" s="199"/>
      <c r="X2166" s="264"/>
      <c r="Y2166" s="264"/>
      <c r="Z2166" s="386"/>
      <c r="AD2166" s="264"/>
      <c r="AE2166" s="264"/>
      <c r="AF2166" s="264"/>
      <c r="AG2166" s="264"/>
    </row>
    <row r="2167" spans="1:33" ht="26.25">
      <c r="A2167" s="264"/>
      <c r="B2167" s="264"/>
      <c r="C2167" s="264"/>
      <c r="D2167" s="264"/>
      <c r="E2167" s="264"/>
      <c r="F2167" s="264"/>
      <c r="G2167" s="264"/>
      <c r="H2167" s="264"/>
      <c r="I2167" s="264"/>
      <c r="J2167" s="327"/>
      <c r="K2167" s="327"/>
      <c r="L2167" s="327"/>
      <c r="M2167" s="321"/>
      <c r="N2167" s="321"/>
      <c r="O2167" s="364"/>
      <c r="P2167" s="381"/>
      <c r="R2167" s="392"/>
      <c r="S2167" s="61" ph="1"/>
      <c r="U2167" s="229"/>
      <c r="V2167" s="264"/>
      <c r="W2167" s="199"/>
      <c r="X2167" s="264"/>
      <c r="Y2167" s="264"/>
      <c r="Z2167" s="386"/>
      <c r="AD2167" s="264"/>
      <c r="AE2167" s="264"/>
      <c r="AF2167" s="264"/>
      <c r="AG2167" s="264"/>
    </row>
    <row r="2168" spans="1:33" ht="26.25">
      <c r="A2168" s="264"/>
      <c r="B2168" s="264"/>
      <c r="C2168" s="264"/>
      <c r="D2168" s="264"/>
      <c r="E2168" s="264"/>
      <c r="F2168" s="264"/>
      <c r="G2168" s="264"/>
      <c r="H2168" s="264"/>
      <c r="I2168" s="264"/>
      <c r="J2168" s="327"/>
      <c r="K2168" s="327"/>
      <c r="L2168" s="327"/>
      <c r="M2168" s="321"/>
      <c r="N2168" s="321"/>
      <c r="O2168" s="364"/>
      <c r="P2168" s="381"/>
      <c r="R2168" s="392"/>
      <c r="S2168" s="61" ph="1"/>
      <c r="U2168" s="229"/>
      <c r="V2168" s="264"/>
      <c r="W2168" s="199"/>
      <c r="X2168" s="264"/>
      <c r="Y2168" s="264"/>
      <c r="Z2168" s="386"/>
      <c r="AD2168" s="264"/>
      <c r="AE2168" s="264"/>
      <c r="AF2168" s="264"/>
      <c r="AG2168" s="264"/>
    </row>
    <row r="2169" spans="1:33" ht="26.25">
      <c r="A2169" s="264"/>
      <c r="B2169" s="264"/>
      <c r="C2169" s="264"/>
      <c r="D2169" s="264"/>
      <c r="E2169" s="264"/>
      <c r="F2169" s="264"/>
      <c r="G2169" s="264"/>
      <c r="H2169" s="264"/>
      <c r="I2169" s="264"/>
      <c r="J2169" s="327"/>
      <c r="K2169" s="327"/>
      <c r="L2169" s="327"/>
      <c r="M2169" s="321"/>
      <c r="N2169" s="321"/>
      <c r="O2169" s="364"/>
      <c r="P2169" s="381"/>
      <c r="R2169" s="392"/>
      <c r="S2169" s="61" ph="1"/>
      <c r="U2169" s="229"/>
      <c r="V2169" s="264"/>
      <c r="W2169" s="199"/>
      <c r="X2169" s="264"/>
      <c r="Y2169" s="264"/>
      <c r="Z2169" s="386"/>
      <c r="AD2169" s="264"/>
      <c r="AE2169" s="264"/>
      <c r="AF2169" s="264"/>
      <c r="AG2169" s="264"/>
    </row>
    <row r="2170" spans="1:33" ht="26.25">
      <c r="A2170" s="264"/>
      <c r="B2170" s="264"/>
      <c r="C2170" s="264"/>
      <c r="D2170" s="264"/>
      <c r="E2170" s="264"/>
      <c r="F2170" s="264"/>
      <c r="G2170" s="264"/>
      <c r="H2170" s="264"/>
      <c r="I2170" s="264"/>
      <c r="J2170" s="327"/>
      <c r="K2170" s="327"/>
      <c r="L2170" s="327"/>
      <c r="M2170" s="321"/>
      <c r="N2170" s="321"/>
      <c r="O2170" s="364"/>
      <c r="P2170" s="381"/>
      <c r="R2170" s="392"/>
      <c r="S2170" s="61" ph="1"/>
      <c r="U2170" s="229"/>
      <c r="V2170" s="264"/>
      <c r="W2170" s="199"/>
      <c r="X2170" s="264"/>
      <c r="Y2170" s="264"/>
      <c r="Z2170" s="386"/>
      <c r="AD2170" s="264"/>
      <c r="AE2170" s="264"/>
      <c r="AF2170" s="264"/>
      <c r="AG2170" s="264"/>
    </row>
    <row r="2171" spans="1:33" ht="26.25">
      <c r="A2171" s="264"/>
      <c r="B2171" s="264"/>
      <c r="C2171" s="264"/>
      <c r="D2171" s="264"/>
      <c r="E2171" s="264"/>
      <c r="F2171" s="264"/>
      <c r="G2171" s="264"/>
      <c r="H2171" s="264"/>
      <c r="I2171" s="264"/>
      <c r="J2171" s="327"/>
      <c r="K2171" s="327"/>
      <c r="L2171" s="327"/>
      <c r="M2171" s="321"/>
      <c r="N2171" s="321"/>
      <c r="O2171" s="364"/>
      <c r="P2171" s="381"/>
      <c r="R2171" s="392"/>
      <c r="S2171" s="61" ph="1"/>
      <c r="U2171" s="229"/>
      <c r="V2171" s="264"/>
      <c r="W2171" s="199"/>
      <c r="X2171" s="264"/>
      <c r="Y2171" s="264"/>
      <c r="Z2171" s="386"/>
      <c r="AD2171" s="264"/>
      <c r="AE2171" s="264"/>
      <c r="AF2171" s="264"/>
      <c r="AG2171" s="264"/>
    </row>
    <row r="2172" spans="1:33" ht="26.25">
      <c r="A2172" s="264"/>
      <c r="B2172" s="264"/>
      <c r="C2172" s="264"/>
      <c r="D2172" s="264"/>
      <c r="E2172" s="264"/>
      <c r="F2172" s="264"/>
      <c r="G2172" s="264"/>
      <c r="H2172" s="264"/>
      <c r="I2172" s="264"/>
      <c r="J2172" s="327"/>
      <c r="K2172" s="327"/>
      <c r="L2172" s="327"/>
      <c r="M2172" s="321"/>
      <c r="N2172" s="321"/>
      <c r="O2172" s="364"/>
      <c r="P2172" s="381"/>
      <c r="R2172" s="392"/>
      <c r="S2172" s="61" ph="1"/>
      <c r="U2172" s="229"/>
      <c r="V2172" s="264"/>
      <c r="W2172" s="199"/>
      <c r="X2172" s="264"/>
      <c r="Y2172" s="264"/>
      <c r="Z2172" s="386"/>
      <c r="AD2172" s="264"/>
      <c r="AE2172" s="264"/>
      <c r="AF2172" s="264"/>
      <c r="AG2172" s="264"/>
    </row>
    <row r="2173" spans="1:33" ht="26.25">
      <c r="A2173" s="264"/>
      <c r="B2173" s="264"/>
      <c r="C2173" s="264"/>
      <c r="D2173" s="264"/>
      <c r="E2173" s="264"/>
      <c r="F2173" s="264"/>
      <c r="G2173" s="264"/>
      <c r="H2173" s="264"/>
      <c r="I2173" s="264"/>
      <c r="J2173" s="327"/>
      <c r="K2173" s="327"/>
      <c r="L2173" s="327"/>
      <c r="M2173" s="321"/>
      <c r="N2173" s="321"/>
      <c r="O2173" s="364"/>
      <c r="P2173" s="381"/>
      <c r="R2173" s="392"/>
      <c r="S2173" s="61" ph="1"/>
      <c r="U2173" s="229"/>
      <c r="V2173" s="264"/>
      <c r="W2173" s="199"/>
      <c r="X2173" s="264"/>
      <c r="Y2173" s="264"/>
      <c r="Z2173" s="386"/>
      <c r="AD2173" s="264"/>
      <c r="AE2173" s="264"/>
      <c r="AF2173" s="264"/>
      <c r="AG2173" s="264"/>
    </row>
    <row r="2174" spans="1:33" ht="26.25">
      <c r="A2174" s="264"/>
      <c r="B2174" s="264"/>
      <c r="C2174" s="264"/>
      <c r="D2174" s="264"/>
      <c r="E2174" s="264"/>
      <c r="F2174" s="264"/>
      <c r="G2174" s="264"/>
      <c r="H2174" s="264"/>
      <c r="I2174" s="264"/>
      <c r="J2174" s="327"/>
      <c r="K2174" s="327"/>
      <c r="L2174" s="327"/>
      <c r="M2174" s="321"/>
      <c r="N2174" s="321"/>
      <c r="O2174" s="364"/>
      <c r="P2174" s="381"/>
      <c r="R2174" s="392"/>
      <c r="S2174" s="61" ph="1"/>
      <c r="U2174" s="229"/>
      <c r="V2174" s="264"/>
      <c r="W2174" s="199"/>
      <c r="X2174" s="264"/>
      <c r="Y2174" s="264"/>
      <c r="Z2174" s="386"/>
      <c r="AD2174" s="264"/>
      <c r="AE2174" s="264"/>
      <c r="AF2174" s="264"/>
      <c r="AG2174" s="264"/>
    </row>
    <row r="2175" spans="1:33" ht="26.25">
      <c r="A2175" s="264"/>
      <c r="B2175" s="264"/>
      <c r="C2175" s="264"/>
      <c r="D2175" s="264"/>
      <c r="E2175" s="264"/>
      <c r="F2175" s="264"/>
      <c r="G2175" s="264"/>
      <c r="H2175" s="264"/>
      <c r="I2175" s="264"/>
      <c r="J2175" s="327"/>
      <c r="K2175" s="327"/>
      <c r="L2175" s="327"/>
      <c r="M2175" s="321"/>
      <c r="N2175" s="321"/>
      <c r="O2175" s="364"/>
      <c r="P2175" s="381"/>
      <c r="R2175" s="392"/>
      <c r="S2175" s="61" ph="1"/>
      <c r="U2175" s="229"/>
      <c r="V2175" s="264"/>
      <c r="W2175" s="199"/>
      <c r="X2175" s="264"/>
      <c r="Y2175" s="264"/>
      <c r="Z2175" s="386"/>
      <c r="AD2175" s="264"/>
      <c r="AE2175" s="264"/>
      <c r="AF2175" s="264"/>
      <c r="AG2175" s="264"/>
    </row>
    <row r="2176" spans="1:33" ht="26.25">
      <c r="A2176" s="264"/>
      <c r="B2176" s="264"/>
      <c r="C2176" s="264"/>
      <c r="D2176" s="264"/>
      <c r="E2176" s="264"/>
      <c r="F2176" s="264"/>
      <c r="G2176" s="264"/>
      <c r="H2176" s="264"/>
      <c r="I2176" s="264"/>
      <c r="J2176" s="327"/>
      <c r="K2176" s="327"/>
      <c r="L2176" s="327"/>
      <c r="M2176" s="321"/>
      <c r="N2176" s="321"/>
      <c r="O2176" s="364"/>
      <c r="P2176" s="381"/>
      <c r="R2176" s="392"/>
      <c r="S2176" s="61" ph="1"/>
      <c r="U2176" s="229"/>
      <c r="V2176" s="264"/>
      <c r="W2176" s="199"/>
      <c r="X2176" s="264"/>
      <c r="Y2176" s="264"/>
      <c r="Z2176" s="386"/>
      <c r="AD2176" s="264"/>
      <c r="AE2176" s="264"/>
      <c r="AF2176" s="264"/>
      <c r="AG2176" s="264"/>
    </row>
    <row r="2177" spans="1:33" ht="26.25">
      <c r="A2177" s="264"/>
      <c r="B2177" s="264"/>
      <c r="C2177" s="264"/>
      <c r="D2177" s="264"/>
      <c r="E2177" s="264"/>
      <c r="F2177" s="264"/>
      <c r="G2177" s="264"/>
      <c r="H2177" s="264"/>
      <c r="I2177" s="264"/>
      <c r="J2177" s="327"/>
      <c r="K2177" s="327"/>
      <c r="L2177" s="327"/>
      <c r="M2177" s="321"/>
      <c r="N2177" s="321"/>
      <c r="O2177" s="364"/>
      <c r="P2177" s="381"/>
      <c r="R2177" s="392"/>
      <c r="S2177" s="61" ph="1"/>
      <c r="U2177" s="229"/>
      <c r="V2177" s="264"/>
      <c r="W2177" s="199"/>
      <c r="X2177" s="264"/>
      <c r="Y2177" s="264"/>
      <c r="Z2177" s="386"/>
      <c r="AD2177" s="264"/>
      <c r="AE2177" s="264"/>
      <c r="AF2177" s="264"/>
      <c r="AG2177" s="264"/>
    </row>
    <row r="2178" spans="1:33" ht="26.25">
      <c r="A2178" s="264"/>
      <c r="B2178" s="264"/>
      <c r="C2178" s="264"/>
      <c r="D2178" s="264"/>
      <c r="E2178" s="264"/>
      <c r="F2178" s="264"/>
      <c r="G2178" s="264"/>
      <c r="H2178" s="264"/>
      <c r="I2178" s="264"/>
      <c r="J2178" s="327"/>
      <c r="K2178" s="327"/>
      <c r="L2178" s="327"/>
      <c r="M2178" s="321"/>
      <c r="N2178" s="321"/>
      <c r="O2178" s="364"/>
      <c r="P2178" s="381"/>
      <c r="R2178" s="392"/>
      <c r="S2178" s="61" ph="1"/>
      <c r="U2178" s="229"/>
      <c r="V2178" s="264"/>
      <c r="W2178" s="199"/>
      <c r="X2178" s="264"/>
      <c r="Y2178" s="264"/>
      <c r="Z2178" s="386"/>
      <c r="AD2178" s="264"/>
      <c r="AE2178" s="264"/>
      <c r="AF2178" s="264"/>
      <c r="AG2178" s="264"/>
    </row>
    <row r="2179" spans="1:33" ht="26.25">
      <c r="A2179" s="264"/>
      <c r="B2179" s="264"/>
      <c r="C2179" s="264"/>
      <c r="D2179" s="264"/>
      <c r="E2179" s="264"/>
      <c r="F2179" s="264"/>
      <c r="G2179" s="264"/>
      <c r="H2179" s="264"/>
      <c r="I2179" s="264"/>
      <c r="J2179" s="327"/>
      <c r="K2179" s="327"/>
      <c r="L2179" s="327"/>
      <c r="M2179" s="321"/>
      <c r="N2179" s="321"/>
      <c r="O2179" s="364"/>
      <c r="P2179" s="381"/>
      <c r="R2179" s="392"/>
      <c r="S2179" s="61" ph="1"/>
      <c r="U2179" s="229"/>
      <c r="V2179" s="264"/>
      <c r="W2179" s="199"/>
      <c r="X2179" s="264"/>
      <c r="Y2179" s="264"/>
      <c r="Z2179" s="386"/>
      <c r="AD2179" s="264"/>
      <c r="AE2179" s="264"/>
      <c r="AF2179" s="264"/>
      <c r="AG2179" s="264"/>
    </row>
    <row r="2180" spans="1:33" ht="26.25">
      <c r="A2180" s="264"/>
      <c r="B2180" s="264"/>
      <c r="C2180" s="264"/>
      <c r="D2180" s="264"/>
      <c r="E2180" s="264"/>
      <c r="F2180" s="264"/>
      <c r="G2180" s="264"/>
      <c r="H2180" s="264"/>
      <c r="I2180" s="264"/>
      <c r="J2180" s="327"/>
      <c r="K2180" s="327"/>
      <c r="L2180" s="327"/>
      <c r="M2180" s="321"/>
      <c r="N2180" s="321"/>
      <c r="O2180" s="364"/>
      <c r="P2180" s="381"/>
      <c r="R2180" s="392"/>
      <c r="S2180" s="61" ph="1"/>
      <c r="U2180" s="229"/>
      <c r="V2180" s="264"/>
      <c r="W2180" s="199"/>
      <c r="X2180" s="264"/>
      <c r="Y2180" s="264"/>
      <c r="Z2180" s="386"/>
      <c r="AD2180" s="264"/>
      <c r="AE2180" s="264"/>
      <c r="AF2180" s="264"/>
      <c r="AG2180" s="264"/>
    </row>
    <row r="2181" spans="1:33" ht="26.25">
      <c r="A2181" s="264"/>
      <c r="B2181" s="264"/>
      <c r="C2181" s="264"/>
      <c r="D2181" s="264"/>
      <c r="E2181" s="264"/>
      <c r="F2181" s="264"/>
      <c r="G2181" s="264"/>
      <c r="H2181" s="264"/>
      <c r="I2181" s="264"/>
      <c r="J2181" s="327"/>
      <c r="K2181" s="327"/>
      <c r="L2181" s="327"/>
      <c r="M2181" s="321"/>
      <c r="N2181" s="321"/>
      <c r="O2181" s="364"/>
      <c r="P2181" s="381"/>
      <c r="R2181" s="392"/>
      <c r="S2181" s="61" ph="1"/>
      <c r="U2181" s="229"/>
      <c r="V2181" s="264"/>
      <c r="W2181" s="199"/>
      <c r="X2181" s="264"/>
      <c r="Y2181" s="264"/>
      <c r="Z2181" s="386"/>
      <c r="AD2181" s="264"/>
      <c r="AE2181" s="264"/>
      <c r="AF2181" s="264"/>
      <c r="AG2181" s="264"/>
    </row>
    <row r="2182" spans="1:33" ht="26.25">
      <c r="A2182" s="264"/>
      <c r="B2182" s="264"/>
      <c r="C2182" s="264"/>
      <c r="D2182" s="264"/>
      <c r="E2182" s="264"/>
      <c r="F2182" s="264"/>
      <c r="G2182" s="264"/>
      <c r="H2182" s="264"/>
      <c r="I2182" s="264"/>
      <c r="J2182" s="327"/>
      <c r="K2182" s="327"/>
      <c r="L2182" s="327"/>
      <c r="M2182" s="321"/>
      <c r="N2182" s="321"/>
      <c r="O2182" s="364"/>
      <c r="P2182" s="381"/>
      <c r="R2182" s="392"/>
      <c r="S2182" s="61" ph="1"/>
      <c r="U2182" s="229"/>
      <c r="V2182" s="264"/>
      <c r="W2182" s="199"/>
      <c r="X2182" s="264"/>
      <c r="Y2182" s="264"/>
      <c r="Z2182" s="386"/>
      <c r="AD2182" s="264"/>
      <c r="AE2182" s="264"/>
      <c r="AF2182" s="264"/>
      <c r="AG2182" s="264"/>
    </row>
    <row r="2183" spans="1:33" ht="26.25">
      <c r="A2183" s="264"/>
      <c r="B2183" s="264"/>
      <c r="C2183" s="264"/>
      <c r="D2183" s="264"/>
      <c r="E2183" s="264"/>
      <c r="F2183" s="264"/>
      <c r="G2183" s="264"/>
      <c r="H2183" s="264"/>
      <c r="I2183" s="264"/>
      <c r="J2183" s="327"/>
      <c r="K2183" s="327"/>
      <c r="L2183" s="327"/>
      <c r="M2183" s="321"/>
      <c r="N2183" s="321"/>
      <c r="O2183" s="364"/>
      <c r="P2183" s="381"/>
      <c r="R2183" s="392"/>
      <c r="S2183" s="61" ph="1"/>
      <c r="U2183" s="229"/>
      <c r="V2183" s="264"/>
      <c r="W2183" s="199"/>
      <c r="X2183" s="264"/>
      <c r="Y2183" s="264"/>
      <c r="Z2183" s="386"/>
      <c r="AD2183" s="264"/>
      <c r="AE2183" s="264"/>
      <c r="AF2183" s="264"/>
      <c r="AG2183" s="264"/>
    </row>
    <row r="2184" spans="1:33" ht="26.25">
      <c r="A2184" s="264"/>
      <c r="B2184" s="264"/>
      <c r="C2184" s="264"/>
      <c r="D2184" s="264"/>
      <c r="E2184" s="264"/>
      <c r="F2184" s="264"/>
      <c r="G2184" s="264"/>
      <c r="H2184" s="264"/>
      <c r="I2184" s="264"/>
      <c r="J2184" s="327"/>
      <c r="K2184" s="327"/>
      <c r="L2184" s="327"/>
      <c r="M2184" s="321"/>
      <c r="N2184" s="321"/>
      <c r="O2184" s="364"/>
      <c r="P2184" s="381"/>
      <c r="R2184" s="392"/>
      <c r="S2184" s="61" ph="1"/>
      <c r="U2184" s="229"/>
      <c r="V2184" s="264"/>
      <c r="W2184" s="199"/>
      <c r="X2184" s="264"/>
      <c r="Y2184" s="264"/>
      <c r="Z2184" s="386"/>
      <c r="AD2184" s="264"/>
      <c r="AE2184" s="264"/>
      <c r="AF2184" s="264"/>
      <c r="AG2184" s="264"/>
    </row>
    <row r="2185" spans="1:33" ht="26.25">
      <c r="A2185" s="264"/>
      <c r="B2185" s="264"/>
      <c r="C2185" s="264"/>
      <c r="D2185" s="264"/>
      <c r="E2185" s="264"/>
      <c r="F2185" s="264"/>
      <c r="G2185" s="264"/>
      <c r="H2185" s="264"/>
      <c r="I2185" s="264"/>
      <c r="J2185" s="327"/>
      <c r="K2185" s="327"/>
      <c r="L2185" s="327"/>
      <c r="M2185" s="321"/>
      <c r="N2185" s="321"/>
      <c r="O2185" s="364"/>
      <c r="P2185" s="381"/>
      <c r="R2185" s="392"/>
      <c r="S2185" s="61" ph="1"/>
      <c r="U2185" s="229"/>
      <c r="V2185" s="264"/>
      <c r="W2185" s="199"/>
      <c r="X2185" s="264"/>
      <c r="Y2185" s="264"/>
      <c r="Z2185" s="386"/>
      <c r="AD2185" s="264"/>
      <c r="AE2185" s="264"/>
      <c r="AF2185" s="264"/>
      <c r="AG2185" s="264"/>
    </row>
    <row r="2186" spans="1:33" ht="26.25">
      <c r="A2186" s="264"/>
      <c r="B2186" s="264"/>
      <c r="C2186" s="264"/>
      <c r="D2186" s="264"/>
      <c r="E2186" s="264"/>
      <c r="F2186" s="264"/>
      <c r="G2186" s="264"/>
      <c r="H2186" s="264"/>
      <c r="I2186" s="264"/>
      <c r="J2186" s="327"/>
      <c r="K2186" s="327"/>
      <c r="L2186" s="327"/>
      <c r="M2186" s="321"/>
      <c r="N2186" s="321"/>
      <c r="O2186" s="364"/>
      <c r="P2186" s="381"/>
      <c r="R2186" s="392"/>
      <c r="S2186" s="61" ph="1"/>
      <c r="U2186" s="229"/>
      <c r="V2186" s="264"/>
      <c r="W2186" s="199"/>
      <c r="X2186" s="264"/>
      <c r="Y2186" s="264"/>
      <c r="Z2186" s="386"/>
      <c r="AD2186" s="264"/>
      <c r="AE2186" s="264"/>
      <c r="AF2186" s="264"/>
      <c r="AG2186" s="264"/>
    </row>
    <row r="2187" spans="1:33" ht="26.25">
      <c r="A2187" s="264"/>
      <c r="B2187" s="264"/>
      <c r="C2187" s="264"/>
      <c r="D2187" s="264"/>
      <c r="E2187" s="264"/>
      <c r="F2187" s="264"/>
      <c r="G2187" s="264"/>
      <c r="H2187" s="264"/>
      <c r="I2187" s="264"/>
      <c r="J2187" s="327"/>
      <c r="K2187" s="327"/>
      <c r="L2187" s="327"/>
      <c r="M2187" s="321"/>
      <c r="N2187" s="321"/>
      <c r="O2187" s="364"/>
      <c r="P2187" s="381"/>
      <c r="R2187" s="392"/>
      <c r="S2187" s="61" ph="1"/>
      <c r="U2187" s="229"/>
      <c r="V2187" s="264"/>
      <c r="W2187" s="199"/>
      <c r="X2187" s="264"/>
      <c r="Y2187" s="264"/>
      <c r="Z2187" s="386"/>
      <c r="AD2187" s="264"/>
      <c r="AE2187" s="264"/>
      <c r="AF2187" s="264"/>
      <c r="AG2187" s="264"/>
    </row>
    <row r="2188" spans="1:33" ht="26.25">
      <c r="A2188" s="264"/>
      <c r="B2188" s="264"/>
      <c r="C2188" s="264"/>
      <c r="D2188" s="264"/>
      <c r="E2188" s="264"/>
      <c r="F2188" s="264"/>
      <c r="G2188" s="264"/>
      <c r="H2188" s="264"/>
      <c r="I2188" s="264"/>
      <c r="J2188" s="327"/>
      <c r="K2188" s="327"/>
      <c r="L2188" s="327"/>
      <c r="M2188" s="321"/>
      <c r="N2188" s="321"/>
      <c r="O2188" s="364"/>
      <c r="P2188" s="381"/>
      <c r="R2188" s="392"/>
      <c r="S2188" s="61" ph="1"/>
      <c r="U2188" s="229"/>
      <c r="V2188" s="264"/>
      <c r="W2188" s="199"/>
      <c r="X2188" s="264"/>
      <c r="Y2188" s="264"/>
      <c r="Z2188" s="386"/>
      <c r="AD2188" s="264"/>
      <c r="AE2188" s="264"/>
      <c r="AF2188" s="264"/>
      <c r="AG2188" s="264"/>
    </row>
    <row r="2189" spans="1:33" ht="26.25">
      <c r="A2189" s="264"/>
      <c r="B2189" s="264"/>
      <c r="C2189" s="264"/>
      <c r="D2189" s="264"/>
      <c r="E2189" s="264"/>
      <c r="F2189" s="264"/>
      <c r="G2189" s="264"/>
      <c r="H2189" s="264"/>
      <c r="I2189" s="264"/>
      <c r="J2189" s="327"/>
      <c r="K2189" s="327"/>
      <c r="L2189" s="327"/>
      <c r="M2189" s="321"/>
      <c r="N2189" s="321"/>
      <c r="O2189" s="364"/>
      <c r="P2189" s="381"/>
      <c r="R2189" s="392"/>
      <c r="S2189" s="61" ph="1"/>
      <c r="U2189" s="229"/>
      <c r="V2189" s="264"/>
      <c r="W2189" s="199"/>
      <c r="X2189" s="264"/>
      <c r="Y2189" s="264"/>
      <c r="Z2189" s="386"/>
      <c r="AD2189" s="264"/>
      <c r="AE2189" s="264"/>
      <c r="AF2189" s="264"/>
      <c r="AG2189" s="264"/>
    </row>
    <row r="2190" spans="1:33" ht="26.25">
      <c r="A2190" s="264"/>
      <c r="B2190" s="264"/>
      <c r="C2190" s="264"/>
      <c r="D2190" s="264"/>
      <c r="E2190" s="264"/>
      <c r="F2190" s="264"/>
      <c r="G2190" s="264"/>
      <c r="H2190" s="264"/>
      <c r="I2190" s="264"/>
      <c r="J2190" s="327"/>
      <c r="K2190" s="327"/>
      <c r="L2190" s="327"/>
      <c r="M2190" s="321"/>
      <c r="N2190" s="321"/>
      <c r="O2190" s="364"/>
      <c r="P2190" s="381"/>
      <c r="R2190" s="392"/>
      <c r="S2190" s="61" ph="1"/>
      <c r="U2190" s="229"/>
      <c r="V2190" s="264"/>
      <c r="W2190" s="199"/>
      <c r="X2190" s="264"/>
      <c r="Y2190" s="264"/>
      <c r="Z2190" s="386"/>
      <c r="AD2190" s="264"/>
      <c r="AE2190" s="264"/>
      <c r="AF2190" s="264"/>
      <c r="AG2190" s="264"/>
    </row>
    <row r="2191" spans="1:33" ht="26.25">
      <c r="A2191" s="264"/>
      <c r="B2191" s="264"/>
      <c r="C2191" s="264"/>
      <c r="D2191" s="264"/>
      <c r="E2191" s="264"/>
      <c r="F2191" s="264"/>
      <c r="G2191" s="264"/>
      <c r="H2191" s="264"/>
      <c r="I2191" s="264"/>
      <c r="J2191" s="327"/>
      <c r="K2191" s="327"/>
      <c r="L2191" s="327"/>
      <c r="M2191" s="321"/>
      <c r="N2191" s="321"/>
      <c r="O2191" s="364"/>
      <c r="P2191" s="381"/>
      <c r="R2191" s="392"/>
      <c r="S2191" s="61" ph="1"/>
      <c r="U2191" s="229"/>
      <c r="V2191" s="264"/>
      <c r="W2191" s="199"/>
      <c r="X2191" s="264"/>
      <c r="Y2191" s="264"/>
      <c r="Z2191" s="386"/>
      <c r="AD2191" s="264"/>
      <c r="AE2191" s="264"/>
      <c r="AF2191" s="264"/>
      <c r="AG2191" s="264"/>
    </row>
    <row r="2192" spans="1:33" ht="26.25">
      <c r="A2192" s="264"/>
      <c r="B2192" s="264"/>
      <c r="C2192" s="264"/>
      <c r="D2192" s="264"/>
      <c r="E2192" s="264"/>
      <c r="F2192" s="264"/>
      <c r="G2192" s="264"/>
      <c r="H2192" s="264"/>
      <c r="I2192" s="264"/>
      <c r="J2192" s="327"/>
      <c r="K2192" s="327"/>
      <c r="L2192" s="327"/>
      <c r="M2192" s="321"/>
      <c r="N2192" s="321"/>
      <c r="O2192" s="364"/>
      <c r="P2192" s="381"/>
      <c r="R2192" s="392"/>
      <c r="S2192" s="61" ph="1"/>
      <c r="U2192" s="229"/>
      <c r="V2192" s="264"/>
      <c r="W2192" s="199"/>
      <c r="X2192" s="264"/>
      <c r="Y2192" s="264"/>
      <c r="Z2192" s="386"/>
      <c r="AD2192" s="264"/>
      <c r="AE2192" s="264"/>
      <c r="AF2192" s="264"/>
      <c r="AG2192" s="264"/>
    </row>
    <row r="2193" spans="1:33" ht="26.25">
      <c r="A2193" s="264"/>
      <c r="B2193" s="264"/>
      <c r="C2193" s="264"/>
      <c r="D2193" s="264"/>
      <c r="E2193" s="264"/>
      <c r="F2193" s="264"/>
      <c r="G2193" s="264"/>
      <c r="H2193" s="264"/>
      <c r="I2193" s="264"/>
      <c r="J2193" s="327"/>
      <c r="K2193" s="327"/>
      <c r="L2193" s="327"/>
      <c r="M2193" s="321"/>
      <c r="N2193" s="321"/>
      <c r="O2193" s="364"/>
      <c r="P2193" s="381"/>
      <c r="R2193" s="392"/>
      <c r="S2193" s="61" ph="1"/>
      <c r="U2193" s="229"/>
      <c r="V2193" s="264"/>
      <c r="W2193" s="199"/>
      <c r="X2193" s="264"/>
      <c r="Y2193" s="264"/>
      <c r="Z2193" s="386"/>
      <c r="AD2193" s="264"/>
      <c r="AE2193" s="264"/>
      <c r="AF2193" s="264"/>
      <c r="AG2193" s="264"/>
    </row>
    <row r="2194" spans="1:33" ht="26.25">
      <c r="A2194" s="264"/>
      <c r="B2194" s="264"/>
      <c r="C2194" s="264"/>
      <c r="D2194" s="264"/>
      <c r="E2194" s="264"/>
      <c r="F2194" s="264"/>
      <c r="G2194" s="264"/>
      <c r="H2194" s="264"/>
      <c r="I2194" s="264"/>
      <c r="J2194" s="327"/>
      <c r="K2194" s="327"/>
      <c r="L2194" s="327"/>
      <c r="M2194" s="321"/>
      <c r="N2194" s="321"/>
      <c r="O2194" s="364"/>
      <c r="P2194" s="381"/>
      <c r="R2194" s="392"/>
      <c r="S2194" s="61" ph="1"/>
      <c r="U2194" s="229"/>
      <c r="V2194" s="264"/>
      <c r="W2194" s="199"/>
      <c r="X2194" s="264"/>
      <c r="Y2194" s="264"/>
      <c r="Z2194" s="386"/>
      <c r="AD2194" s="264"/>
      <c r="AE2194" s="264"/>
      <c r="AF2194" s="264"/>
      <c r="AG2194" s="264"/>
    </row>
    <row r="2195" spans="1:33" ht="26.25">
      <c r="A2195" s="264"/>
      <c r="B2195" s="264"/>
      <c r="C2195" s="264"/>
      <c r="D2195" s="264"/>
      <c r="E2195" s="264"/>
      <c r="F2195" s="264"/>
      <c r="G2195" s="264"/>
      <c r="H2195" s="264"/>
      <c r="I2195" s="264"/>
      <c r="J2195" s="327"/>
      <c r="K2195" s="327"/>
      <c r="L2195" s="327"/>
      <c r="M2195" s="321"/>
      <c r="N2195" s="321"/>
      <c r="O2195" s="364"/>
      <c r="P2195" s="381"/>
      <c r="R2195" s="392"/>
      <c r="S2195" s="61" ph="1"/>
      <c r="U2195" s="229"/>
      <c r="V2195" s="264"/>
      <c r="W2195" s="199"/>
      <c r="X2195" s="264"/>
      <c r="Y2195" s="264"/>
      <c r="Z2195" s="386"/>
      <c r="AD2195" s="264"/>
      <c r="AE2195" s="264"/>
      <c r="AF2195" s="264"/>
      <c r="AG2195" s="264"/>
    </row>
    <row r="2196" spans="1:33" ht="26.25">
      <c r="A2196" s="264"/>
      <c r="B2196" s="264"/>
      <c r="C2196" s="264"/>
      <c r="D2196" s="264"/>
      <c r="E2196" s="264"/>
      <c r="F2196" s="264"/>
      <c r="G2196" s="264"/>
      <c r="H2196" s="264"/>
      <c r="I2196" s="264"/>
      <c r="J2196" s="327"/>
      <c r="K2196" s="327"/>
      <c r="L2196" s="327"/>
      <c r="M2196" s="321"/>
      <c r="N2196" s="321"/>
      <c r="O2196" s="364"/>
      <c r="P2196" s="381"/>
      <c r="R2196" s="392"/>
      <c r="S2196" s="61" ph="1"/>
      <c r="U2196" s="229"/>
      <c r="V2196" s="264"/>
      <c r="W2196" s="199"/>
      <c r="X2196" s="264"/>
      <c r="Y2196" s="264"/>
      <c r="Z2196" s="386"/>
      <c r="AD2196" s="264"/>
      <c r="AE2196" s="264"/>
      <c r="AF2196" s="264"/>
      <c r="AG2196" s="264"/>
    </row>
    <row r="2197" spans="1:33" ht="26.25">
      <c r="A2197" s="264"/>
      <c r="B2197" s="264"/>
      <c r="C2197" s="264"/>
      <c r="D2197" s="264"/>
      <c r="E2197" s="264"/>
      <c r="F2197" s="264"/>
      <c r="G2197" s="264"/>
      <c r="H2197" s="264"/>
      <c r="I2197" s="264"/>
      <c r="J2197" s="327"/>
      <c r="K2197" s="327"/>
      <c r="L2197" s="327"/>
      <c r="M2197" s="321"/>
      <c r="N2197" s="321"/>
      <c r="O2197" s="364"/>
      <c r="P2197" s="381"/>
      <c r="R2197" s="392"/>
      <c r="S2197" s="61" ph="1"/>
      <c r="U2197" s="229"/>
      <c r="V2197" s="264"/>
      <c r="W2197" s="199"/>
      <c r="X2197" s="264"/>
      <c r="Y2197" s="264"/>
      <c r="Z2197" s="386"/>
      <c r="AD2197" s="264"/>
      <c r="AE2197" s="264"/>
      <c r="AF2197" s="264"/>
      <c r="AG2197" s="264"/>
    </row>
    <row r="2198" spans="1:33" ht="26.25">
      <c r="A2198" s="264"/>
      <c r="B2198" s="264"/>
      <c r="C2198" s="264"/>
      <c r="D2198" s="264"/>
      <c r="E2198" s="264"/>
      <c r="F2198" s="264"/>
      <c r="G2198" s="264"/>
      <c r="H2198" s="264"/>
      <c r="I2198" s="264"/>
      <c r="J2198" s="327"/>
      <c r="K2198" s="327"/>
      <c r="L2198" s="327"/>
      <c r="M2198" s="321"/>
      <c r="N2198" s="321"/>
      <c r="O2198" s="364"/>
      <c r="P2198" s="381"/>
      <c r="R2198" s="392"/>
      <c r="S2198" s="61" ph="1"/>
      <c r="U2198" s="229"/>
      <c r="V2198" s="264"/>
      <c r="W2198" s="199"/>
      <c r="X2198" s="264"/>
      <c r="Y2198" s="264"/>
      <c r="Z2198" s="386"/>
      <c r="AD2198" s="264"/>
      <c r="AE2198" s="264"/>
      <c r="AF2198" s="264"/>
      <c r="AG2198" s="264"/>
    </row>
    <row r="2199" spans="1:33" ht="26.25">
      <c r="A2199" s="264"/>
      <c r="B2199" s="264"/>
      <c r="C2199" s="264"/>
      <c r="D2199" s="264"/>
      <c r="E2199" s="264"/>
      <c r="F2199" s="264"/>
      <c r="G2199" s="264"/>
      <c r="H2199" s="264"/>
      <c r="I2199" s="264"/>
      <c r="J2199" s="327"/>
      <c r="K2199" s="327"/>
      <c r="L2199" s="327"/>
      <c r="M2199" s="321"/>
      <c r="N2199" s="321"/>
      <c r="O2199" s="364"/>
      <c r="P2199" s="381"/>
      <c r="R2199" s="392"/>
      <c r="S2199" s="61" ph="1"/>
      <c r="U2199" s="229"/>
      <c r="V2199" s="264"/>
      <c r="W2199" s="199"/>
      <c r="X2199" s="264"/>
      <c r="Y2199" s="264"/>
      <c r="Z2199" s="386"/>
      <c r="AD2199" s="264"/>
      <c r="AE2199" s="264"/>
      <c r="AF2199" s="264"/>
      <c r="AG2199" s="264"/>
    </row>
    <row r="2200" spans="1:33" ht="26.25">
      <c r="A2200" s="264"/>
      <c r="B2200" s="264"/>
      <c r="C2200" s="264"/>
      <c r="D2200" s="264"/>
      <c r="E2200" s="264"/>
      <c r="F2200" s="264"/>
      <c r="G2200" s="264"/>
      <c r="H2200" s="264"/>
      <c r="I2200" s="264"/>
      <c r="J2200" s="327"/>
      <c r="K2200" s="327"/>
      <c r="L2200" s="327"/>
      <c r="M2200" s="321"/>
      <c r="N2200" s="321"/>
      <c r="O2200" s="364"/>
      <c r="P2200" s="381"/>
      <c r="R2200" s="392"/>
      <c r="S2200" s="61" ph="1"/>
      <c r="U2200" s="229"/>
      <c r="V2200" s="264"/>
      <c r="W2200" s="199"/>
      <c r="X2200" s="264"/>
      <c r="Y2200" s="264"/>
      <c r="Z2200" s="386"/>
      <c r="AD2200" s="264"/>
      <c r="AE2200" s="264"/>
      <c r="AF2200" s="264"/>
      <c r="AG2200" s="264"/>
    </row>
    <row r="2201" spans="1:33" ht="26.25">
      <c r="A2201" s="264"/>
      <c r="B2201" s="264"/>
      <c r="C2201" s="264"/>
      <c r="D2201" s="264"/>
      <c r="E2201" s="264"/>
      <c r="F2201" s="264"/>
      <c r="G2201" s="264"/>
      <c r="H2201" s="264"/>
      <c r="I2201" s="264"/>
      <c r="J2201" s="327"/>
      <c r="K2201" s="327"/>
      <c r="L2201" s="327"/>
      <c r="M2201" s="321"/>
      <c r="N2201" s="321"/>
      <c r="O2201" s="364"/>
      <c r="P2201" s="381"/>
      <c r="R2201" s="392"/>
      <c r="S2201" s="61" ph="1"/>
      <c r="U2201" s="229"/>
      <c r="V2201" s="264"/>
      <c r="W2201" s="199"/>
      <c r="X2201" s="264"/>
      <c r="Y2201" s="264"/>
      <c r="Z2201" s="386"/>
      <c r="AD2201" s="264"/>
      <c r="AE2201" s="264"/>
      <c r="AF2201" s="264"/>
      <c r="AG2201" s="264"/>
    </row>
    <row r="2202" spans="1:33" ht="26.25">
      <c r="A2202" s="264"/>
      <c r="B2202" s="264"/>
      <c r="C2202" s="264"/>
      <c r="D2202" s="264"/>
      <c r="E2202" s="264"/>
      <c r="F2202" s="264"/>
      <c r="G2202" s="264"/>
      <c r="H2202" s="264"/>
      <c r="I2202" s="264"/>
      <c r="J2202" s="327"/>
      <c r="K2202" s="327"/>
      <c r="L2202" s="327"/>
      <c r="M2202" s="321"/>
      <c r="N2202" s="321"/>
      <c r="O2202" s="364"/>
      <c r="P2202" s="381"/>
      <c r="R2202" s="392"/>
      <c r="S2202" s="61" ph="1"/>
      <c r="U2202" s="229"/>
      <c r="V2202" s="264"/>
      <c r="W2202" s="199"/>
      <c r="X2202" s="264"/>
      <c r="Y2202" s="264"/>
      <c r="Z2202" s="386"/>
      <c r="AD2202" s="264"/>
      <c r="AE2202" s="264"/>
      <c r="AF2202" s="264"/>
      <c r="AG2202" s="264"/>
    </row>
    <row r="2203" spans="1:33" ht="26.25">
      <c r="A2203" s="264"/>
      <c r="B2203" s="264"/>
      <c r="C2203" s="264"/>
      <c r="D2203" s="264"/>
      <c r="E2203" s="264"/>
      <c r="F2203" s="264"/>
      <c r="G2203" s="264"/>
      <c r="H2203" s="264"/>
      <c r="I2203" s="264"/>
      <c r="J2203" s="327"/>
      <c r="K2203" s="327"/>
      <c r="L2203" s="327"/>
      <c r="M2203" s="321"/>
      <c r="N2203" s="321"/>
      <c r="O2203" s="364"/>
      <c r="P2203" s="381"/>
      <c r="R2203" s="392"/>
      <c r="S2203" s="61" ph="1"/>
      <c r="U2203" s="229"/>
      <c r="V2203" s="264"/>
      <c r="W2203" s="199"/>
      <c r="X2203" s="264"/>
      <c r="Y2203" s="264"/>
      <c r="Z2203" s="386"/>
      <c r="AD2203" s="264"/>
      <c r="AE2203" s="264"/>
      <c r="AF2203" s="264"/>
      <c r="AG2203" s="264"/>
    </row>
    <row r="2204" spans="1:33" ht="26.25">
      <c r="A2204" s="264"/>
      <c r="B2204" s="264"/>
      <c r="C2204" s="264"/>
      <c r="D2204" s="264"/>
      <c r="E2204" s="264"/>
      <c r="F2204" s="264"/>
      <c r="G2204" s="264"/>
      <c r="H2204" s="264"/>
      <c r="I2204" s="264"/>
      <c r="J2204" s="327"/>
      <c r="K2204" s="327"/>
      <c r="L2204" s="327"/>
      <c r="M2204" s="321"/>
      <c r="N2204" s="321"/>
      <c r="O2204" s="364"/>
      <c r="P2204" s="381"/>
      <c r="R2204" s="392"/>
      <c r="S2204" s="61" ph="1"/>
      <c r="U2204" s="229"/>
      <c r="V2204" s="264"/>
      <c r="W2204" s="199"/>
      <c r="X2204" s="264"/>
      <c r="Y2204" s="264"/>
      <c r="Z2204" s="386"/>
      <c r="AD2204" s="264"/>
      <c r="AE2204" s="264"/>
      <c r="AF2204" s="264"/>
      <c r="AG2204" s="264"/>
    </row>
    <row r="2205" spans="1:33" ht="26.25">
      <c r="A2205" s="264"/>
      <c r="B2205" s="264"/>
      <c r="C2205" s="264"/>
      <c r="D2205" s="264"/>
      <c r="E2205" s="264"/>
      <c r="F2205" s="264"/>
      <c r="G2205" s="264"/>
      <c r="H2205" s="264"/>
      <c r="I2205" s="264"/>
      <c r="J2205" s="327"/>
      <c r="K2205" s="327"/>
      <c r="L2205" s="327"/>
      <c r="M2205" s="321"/>
      <c r="N2205" s="321"/>
      <c r="O2205" s="364"/>
      <c r="P2205" s="381"/>
      <c r="R2205" s="392"/>
      <c r="S2205" s="61" ph="1"/>
      <c r="U2205" s="229"/>
      <c r="V2205" s="264"/>
      <c r="W2205" s="199"/>
      <c r="X2205" s="264"/>
      <c r="Y2205" s="264"/>
      <c r="Z2205" s="386"/>
      <c r="AD2205" s="264"/>
      <c r="AE2205" s="264"/>
      <c r="AF2205" s="264"/>
      <c r="AG2205" s="264"/>
    </row>
    <row r="2206" spans="1:33" ht="26.25">
      <c r="A2206" s="264"/>
      <c r="B2206" s="264"/>
      <c r="C2206" s="264"/>
      <c r="D2206" s="264"/>
      <c r="E2206" s="264"/>
      <c r="F2206" s="264"/>
      <c r="G2206" s="264"/>
      <c r="H2206" s="264"/>
      <c r="I2206" s="264"/>
      <c r="J2206" s="327"/>
      <c r="K2206" s="327"/>
      <c r="L2206" s="327"/>
      <c r="M2206" s="321"/>
      <c r="N2206" s="321"/>
      <c r="O2206" s="364"/>
      <c r="P2206" s="381"/>
      <c r="R2206" s="392"/>
      <c r="S2206" s="61" ph="1"/>
      <c r="U2206" s="229"/>
      <c r="V2206" s="264"/>
      <c r="W2206" s="199"/>
      <c r="X2206" s="264"/>
      <c r="Y2206" s="264"/>
      <c r="Z2206" s="386"/>
      <c r="AD2206" s="264"/>
      <c r="AE2206" s="264"/>
      <c r="AF2206" s="264"/>
      <c r="AG2206" s="264"/>
    </row>
    <row r="2207" spans="1:33" ht="26.25">
      <c r="A2207" s="264"/>
      <c r="B2207" s="264"/>
      <c r="C2207" s="264"/>
      <c r="D2207" s="264"/>
      <c r="E2207" s="264"/>
      <c r="F2207" s="264"/>
      <c r="G2207" s="264"/>
      <c r="H2207" s="264"/>
      <c r="I2207" s="264"/>
      <c r="J2207" s="327"/>
      <c r="K2207" s="327"/>
      <c r="L2207" s="327"/>
      <c r="M2207" s="321"/>
      <c r="N2207" s="321"/>
      <c r="O2207" s="364"/>
      <c r="P2207" s="381"/>
      <c r="R2207" s="392"/>
      <c r="S2207" s="61" ph="1"/>
      <c r="U2207" s="229"/>
      <c r="V2207" s="264"/>
      <c r="W2207" s="199"/>
      <c r="X2207" s="264"/>
      <c r="Y2207" s="264"/>
      <c r="Z2207" s="386"/>
      <c r="AD2207" s="264"/>
      <c r="AE2207" s="264"/>
      <c r="AF2207" s="264"/>
      <c r="AG2207" s="264"/>
    </row>
    <row r="2208" spans="1:33" ht="26.25">
      <c r="A2208" s="264"/>
      <c r="B2208" s="264"/>
      <c r="C2208" s="264"/>
      <c r="D2208" s="264"/>
      <c r="E2208" s="264"/>
      <c r="F2208" s="264"/>
      <c r="G2208" s="264"/>
      <c r="H2208" s="264"/>
      <c r="I2208" s="264"/>
      <c r="J2208" s="327"/>
      <c r="K2208" s="327"/>
      <c r="L2208" s="327"/>
      <c r="M2208" s="321"/>
      <c r="N2208" s="321"/>
      <c r="O2208" s="364"/>
      <c r="P2208" s="381"/>
      <c r="R2208" s="392"/>
      <c r="S2208" s="61" ph="1"/>
      <c r="U2208" s="229"/>
      <c r="V2208" s="264"/>
      <c r="W2208" s="199"/>
      <c r="X2208" s="264"/>
      <c r="Y2208" s="264"/>
      <c r="Z2208" s="386"/>
      <c r="AD2208" s="264"/>
      <c r="AE2208" s="264"/>
      <c r="AF2208" s="264"/>
      <c r="AG2208" s="264"/>
    </row>
    <row r="2209" spans="1:33" ht="26.25">
      <c r="A2209" s="264"/>
      <c r="B2209" s="264"/>
      <c r="C2209" s="264"/>
      <c r="D2209" s="264"/>
      <c r="E2209" s="264"/>
      <c r="F2209" s="264"/>
      <c r="G2209" s="264"/>
      <c r="H2209" s="264"/>
      <c r="I2209" s="264"/>
      <c r="J2209" s="327"/>
      <c r="K2209" s="327"/>
      <c r="L2209" s="327"/>
      <c r="M2209" s="321"/>
      <c r="N2209" s="321"/>
      <c r="O2209" s="364"/>
      <c r="P2209" s="381"/>
      <c r="R2209" s="392"/>
      <c r="S2209" s="61" ph="1"/>
      <c r="U2209" s="229"/>
      <c r="V2209" s="264"/>
      <c r="W2209" s="199"/>
      <c r="X2209" s="264"/>
      <c r="Y2209" s="264"/>
      <c r="Z2209" s="386"/>
      <c r="AD2209" s="264"/>
      <c r="AE2209" s="264"/>
      <c r="AF2209" s="264"/>
      <c r="AG2209" s="264"/>
    </row>
    <row r="2210" spans="1:33" ht="26.25">
      <c r="A2210" s="264"/>
      <c r="B2210" s="264"/>
      <c r="C2210" s="264"/>
      <c r="D2210" s="264"/>
      <c r="E2210" s="264"/>
      <c r="F2210" s="264"/>
      <c r="G2210" s="264"/>
      <c r="H2210" s="264"/>
      <c r="I2210" s="264"/>
      <c r="J2210" s="327"/>
      <c r="K2210" s="327"/>
      <c r="L2210" s="327"/>
      <c r="M2210" s="321"/>
      <c r="N2210" s="321"/>
      <c r="O2210" s="364"/>
      <c r="P2210" s="381"/>
      <c r="R2210" s="392"/>
      <c r="S2210" s="61" ph="1"/>
      <c r="U2210" s="229"/>
      <c r="V2210" s="264"/>
      <c r="W2210" s="199"/>
      <c r="X2210" s="264"/>
      <c r="Y2210" s="264"/>
      <c r="Z2210" s="386"/>
      <c r="AD2210" s="264"/>
      <c r="AE2210" s="264"/>
      <c r="AF2210" s="264"/>
      <c r="AG2210" s="264"/>
    </row>
    <row r="2211" spans="1:33" ht="26.25">
      <c r="A2211" s="264"/>
      <c r="B2211" s="264"/>
      <c r="C2211" s="264"/>
      <c r="D2211" s="264"/>
      <c r="E2211" s="264"/>
      <c r="F2211" s="264"/>
      <c r="G2211" s="264"/>
      <c r="H2211" s="264"/>
      <c r="I2211" s="264"/>
      <c r="J2211" s="327"/>
      <c r="K2211" s="327"/>
      <c r="L2211" s="327"/>
      <c r="M2211" s="321"/>
      <c r="N2211" s="321"/>
      <c r="O2211" s="364"/>
      <c r="P2211" s="381"/>
      <c r="R2211" s="392"/>
      <c r="S2211" s="61" ph="1"/>
      <c r="U2211" s="229"/>
      <c r="V2211" s="264"/>
      <c r="W2211" s="199"/>
      <c r="X2211" s="264"/>
      <c r="Y2211" s="264"/>
      <c r="Z2211" s="386"/>
      <c r="AD2211" s="264"/>
      <c r="AE2211" s="264"/>
      <c r="AF2211" s="264"/>
      <c r="AG2211" s="264"/>
    </row>
    <row r="2212" spans="1:33" ht="26.25">
      <c r="A2212" s="264"/>
      <c r="B2212" s="264"/>
      <c r="C2212" s="264"/>
      <c r="D2212" s="264"/>
      <c r="E2212" s="264"/>
      <c r="F2212" s="264"/>
      <c r="G2212" s="264"/>
      <c r="H2212" s="264"/>
      <c r="I2212" s="264"/>
      <c r="J2212" s="327"/>
      <c r="K2212" s="327"/>
      <c r="L2212" s="327"/>
      <c r="M2212" s="321"/>
      <c r="N2212" s="321"/>
      <c r="O2212" s="364"/>
      <c r="P2212" s="381"/>
      <c r="R2212" s="392"/>
      <c r="S2212" s="61" ph="1"/>
      <c r="U2212" s="229"/>
      <c r="V2212" s="264"/>
      <c r="W2212" s="199"/>
      <c r="X2212" s="264"/>
      <c r="Y2212" s="264"/>
      <c r="Z2212" s="386"/>
      <c r="AD2212" s="264"/>
      <c r="AE2212" s="264"/>
      <c r="AF2212" s="264"/>
      <c r="AG2212" s="264"/>
    </row>
    <row r="2213" spans="1:33" ht="26.25">
      <c r="A2213" s="264"/>
      <c r="B2213" s="264"/>
      <c r="C2213" s="264"/>
      <c r="D2213" s="264"/>
      <c r="E2213" s="264"/>
      <c r="F2213" s="264"/>
      <c r="G2213" s="264"/>
      <c r="H2213" s="264"/>
      <c r="I2213" s="264"/>
      <c r="J2213" s="327"/>
      <c r="K2213" s="327"/>
      <c r="L2213" s="327"/>
      <c r="M2213" s="321"/>
      <c r="N2213" s="321"/>
      <c r="O2213" s="364"/>
      <c r="P2213" s="381"/>
      <c r="R2213" s="392"/>
      <c r="S2213" s="61" ph="1"/>
      <c r="U2213" s="229"/>
      <c r="V2213" s="264"/>
      <c r="W2213" s="199"/>
      <c r="X2213" s="264"/>
      <c r="Y2213" s="264"/>
      <c r="Z2213" s="386"/>
      <c r="AD2213" s="264"/>
      <c r="AE2213" s="264"/>
      <c r="AF2213" s="264"/>
      <c r="AG2213" s="264"/>
    </row>
    <row r="2214" spans="1:33" ht="26.25">
      <c r="A2214" s="264"/>
      <c r="B2214" s="264"/>
      <c r="C2214" s="264"/>
      <c r="D2214" s="264"/>
      <c r="E2214" s="264"/>
      <c r="F2214" s="264"/>
      <c r="G2214" s="264"/>
      <c r="H2214" s="264"/>
      <c r="I2214" s="264"/>
      <c r="J2214" s="327"/>
      <c r="K2214" s="327"/>
      <c r="L2214" s="327"/>
      <c r="M2214" s="321"/>
      <c r="N2214" s="321"/>
      <c r="O2214" s="364"/>
      <c r="P2214" s="381"/>
      <c r="R2214" s="392"/>
      <c r="S2214" s="61" ph="1"/>
      <c r="U2214" s="229"/>
      <c r="V2214" s="264"/>
      <c r="W2214" s="199"/>
      <c r="X2214" s="264"/>
      <c r="Y2214" s="264"/>
      <c r="Z2214" s="386"/>
      <c r="AD2214" s="264"/>
      <c r="AE2214" s="264"/>
      <c r="AF2214" s="264"/>
      <c r="AG2214" s="264"/>
    </row>
    <row r="2215" spans="1:33" ht="26.25">
      <c r="A2215" s="264"/>
      <c r="B2215" s="264"/>
      <c r="C2215" s="264"/>
      <c r="D2215" s="264"/>
      <c r="E2215" s="264"/>
      <c r="F2215" s="264"/>
      <c r="G2215" s="264"/>
      <c r="H2215" s="264"/>
      <c r="I2215" s="264"/>
      <c r="J2215" s="327"/>
      <c r="K2215" s="327"/>
      <c r="L2215" s="327"/>
      <c r="M2215" s="321"/>
      <c r="N2215" s="321"/>
      <c r="O2215" s="364"/>
      <c r="P2215" s="381"/>
      <c r="R2215" s="392"/>
      <c r="S2215" s="61" ph="1"/>
      <c r="U2215" s="229"/>
      <c r="V2215" s="264"/>
      <c r="W2215" s="199"/>
      <c r="X2215" s="264"/>
      <c r="Y2215" s="264"/>
      <c r="Z2215" s="386"/>
      <c r="AD2215" s="264"/>
      <c r="AE2215" s="264"/>
      <c r="AF2215" s="264"/>
      <c r="AG2215" s="264"/>
    </row>
    <row r="2216" spans="1:33" ht="26.25">
      <c r="A2216" s="264"/>
      <c r="B2216" s="264"/>
      <c r="C2216" s="264"/>
      <c r="D2216" s="264"/>
      <c r="E2216" s="264"/>
      <c r="F2216" s="264"/>
      <c r="G2216" s="264"/>
      <c r="H2216" s="264"/>
      <c r="I2216" s="264"/>
      <c r="J2216" s="327"/>
      <c r="K2216" s="327"/>
      <c r="L2216" s="327"/>
      <c r="M2216" s="321"/>
      <c r="N2216" s="321"/>
      <c r="O2216" s="364"/>
      <c r="P2216" s="381"/>
      <c r="R2216" s="392"/>
      <c r="S2216" s="61" ph="1"/>
      <c r="U2216" s="229"/>
      <c r="V2216" s="264"/>
      <c r="W2216" s="199"/>
      <c r="X2216" s="264"/>
      <c r="Y2216" s="264"/>
      <c r="Z2216" s="386"/>
      <c r="AD2216" s="264"/>
      <c r="AE2216" s="264"/>
      <c r="AF2216" s="264"/>
      <c r="AG2216" s="264"/>
    </row>
    <row r="2217" spans="1:33" ht="26.25">
      <c r="A2217" s="264"/>
      <c r="B2217" s="264"/>
      <c r="C2217" s="264"/>
      <c r="D2217" s="264"/>
      <c r="E2217" s="264"/>
      <c r="F2217" s="264"/>
      <c r="G2217" s="264"/>
      <c r="H2217" s="264"/>
      <c r="I2217" s="264"/>
      <c r="J2217" s="327"/>
      <c r="K2217" s="327"/>
      <c r="L2217" s="327"/>
      <c r="M2217" s="321"/>
      <c r="N2217" s="321"/>
      <c r="O2217" s="364"/>
      <c r="P2217" s="381"/>
      <c r="R2217" s="392"/>
      <c r="S2217" s="61" ph="1"/>
      <c r="U2217" s="229"/>
      <c r="V2217" s="264"/>
      <c r="W2217" s="199"/>
      <c r="X2217" s="264"/>
      <c r="Y2217" s="264"/>
      <c r="Z2217" s="386"/>
      <c r="AD2217" s="264"/>
      <c r="AE2217" s="264"/>
      <c r="AF2217" s="264"/>
      <c r="AG2217" s="264"/>
    </row>
    <row r="2218" spans="1:33" ht="26.25">
      <c r="A2218" s="264"/>
      <c r="B2218" s="264"/>
      <c r="C2218" s="264"/>
      <c r="D2218" s="264"/>
      <c r="E2218" s="264"/>
      <c r="F2218" s="264"/>
      <c r="G2218" s="264"/>
      <c r="H2218" s="264"/>
      <c r="I2218" s="264"/>
      <c r="J2218" s="327"/>
      <c r="K2218" s="327"/>
      <c r="L2218" s="327"/>
      <c r="M2218" s="321"/>
      <c r="N2218" s="321"/>
      <c r="O2218" s="364"/>
      <c r="P2218" s="381"/>
      <c r="R2218" s="392"/>
      <c r="S2218" s="61" ph="1"/>
      <c r="U2218" s="229"/>
      <c r="V2218" s="264"/>
      <c r="W2218" s="199"/>
      <c r="X2218" s="264"/>
      <c r="Y2218" s="264"/>
      <c r="Z2218" s="386"/>
      <c r="AD2218" s="264"/>
      <c r="AE2218" s="264"/>
      <c r="AF2218" s="264"/>
      <c r="AG2218" s="264"/>
    </row>
    <row r="2219" spans="1:33" ht="26.25">
      <c r="A2219" s="264"/>
      <c r="B2219" s="264"/>
      <c r="C2219" s="264"/>
      <c r="D2219" s="264"/>
      <c r="E2219" s="264"/>
      <c r="F2219" s="264"/>
      <c r="G2219" s="264"/>
      <c r="H2219" s="264"/>
      <c r="I2219" s="264"/>
      <c r="J2219" s="327"/>
      <c r="K2219" s="327"/>
      <c r="L2219" s="327"/>
      <c r="M2219" s="321"/>
      <c r="N2219" s="321"/>
      <c r="O2219" s="364"/>
      <c r="P2219" s="381"/>
      <c r="R2219" s="392"/>
      <c r="S2219" s="61" ph="1"/>
      <c r="U2219" s="229"/>
      <c r="V2219" s="264"/>
      <c r="W2219" s="199"/>
      <c r="X2219" s="264"/>
      <c r="Y2219" s="264"/>
      <c r="Z2219" s="386"/>
      <c r="AD2219" s="264"/>
      <c r="AE2219" s="264"/>
      <c r="AF2219" s="264"/>
      <c r="AG2219" s="264"/>
    </row>
    <row r="2220" spans="1:33" ht="26.25">
      <c r="A2220" s="264"/>
      <c r="B2220" s="264"/>
      <c r="C2220" s="264"/>
      <c r="D2220" s="264"/>
      <c r="E2220" s="264"/>
      <c r="F2220" s="264"/>
      <c r="G2220" s="264"/>
      <c r="H2220" s="264"/>
      <c r="I2220" s="264"/>
      <c r="J2220" s="327"/>
      <c r="K2220" s="327"/>
      <c r="L2220" s="327"/>
      <c r="M2220" s="321"/>
      <c r="N2220" s="321"/>
      <c r="O2220" s="364"/>
      <c r="P2220" s="381"/>
      <c r="R2220" s="392"/>
      <c r="S2220" s="61" ph="1"/>
      <c r="U2220" s="229"/>
      <c r="V2220" s="264"/>
      <c r="W2220" s="199"/>
      <c r="X2220" s="264"/>
      <c r="Y2220" s="264"/>
      <c r="Z2220" s="386"/>
      <c r="AD2220" s="264"/>
      <c r="AE2220" s="264"/>
      <c r="AF2220" s="264"/>
      <c r="AG2220" s="264"/>
    </row>
    <row r="2221" spans="1:33" ht="26.25">
      <c r="A2221" s="264"/>
      <c r="B2221" s="264"/>
      <c r="C2221" s="264"/>
      <c r="D2221" s="264"/>
      <c r="E2221" s="264"/>
      <c r="F2221" s="264"/>
      <c r="G2221" s="264"/>
      <c r="H2221" s="264"/>
      <c r="I2221" s="264"/>
      <c r="J2221" s="327"/>
      <c r="K2221" s="327"/>
      <c r="L2221" s="327"/>
      <c r="M2221" s="321"/>
      <c r="N2221" s="321"/>
      <c r="O2221" s="364"/>
      <c r="P2221" s="381"/>
      <c r="R2221" s="392"/>
      <c r="S2221" s="61" ph="1"/>
      <c r="U2221" s="229"/>
      <c r="V2221" s="264"/>
      <c r="W2221" s="199"/>
      <c r="X2221" s="264"/>
      <c r="Y2221" s="264"/>
      <c r="Z2221" s="386"/>
      <c r="AD2221" s="264"/>
      <c r="AE2221" s="264"/>
      <c r="AF2221" s="264"/>
      <c r="AG2221" s="264"/>
    </row>
    <row r="2222" spans="1:33" ht="26.25">
      <c r="A2222" s="264"/>
      <c r="B2222" s="264"/>
      <c r="C2222" s="264"/>
      <c r="D2222" s="264"/>
      <c r="E2222" s="264"/>
      <c r="F2222" s="264"/>
      <c r="G2222" s="264"/>
      <c r="H2222" s="264"/>
      <c r="I2222" s="264"/>
      <c r="J2222" s="327"/>
      <c r="K2222" s="327"/>
      <c r="L2222" s="327"/>
      <c r="M2222" s="321"/>
      <c r="N2222" s="321"/>
      <c r="O2222" s="364"/>
      <c r="P2222" s="381"/>
      <c r="R2222" s="392"/>
      <c r="S2222" s="61" ph="1"/>
      <c r="U2222" s="229"/>
      <c r="V2222" s="264"/>
      <c r="W2222" s="199"/>
      <c r="X2222" s="264"/>
      <c r="Y2222" s="264"/>
      <c r="Z2222" s="386"/>
      <c r="AD2222" s="264"/>
      <c r="AE2222" s="264"/>
      <c r="AF2222" s="264"/>
      <c r="AG2222" s="264"/>
    </row>
    <row r="2223" spans="1:33" ht="26.25">
      <c r="A2223" s="264"/>
      <c r="B2223" s="264"/>
      <c r="C2223" s="264"/>
      <c r="D2223" s="264"/>
      <c r="E2223" s="264"/>
      <c r="F2223" s="264"/>
      <c r="G2223" s="264"/>
      <c r="H2223" s="264"/>
      <c r="I2223" s="264"/>
      <c r="J2223" s="327"/>
      <c r="K2223" s="327"/>
      <c r="L2223" s="327"/>
      <c r="M2223" s="321"/>
      <c r="N2223" s="321"/>
      <c r="O2223" s="364"/>
      <c r="P2223" s="381"/>
      <c r="R2223" s="392"/>
      <c r="S2223" s="61" ph="1"/>
      <c r="U2223" s="229"/>
      <c r="V2223" s="264"/>
      <c r="W2223" s="199"/>
      <c r="X2223" s="264"/>
      <c r="Y2223" s="264"/>
      <c r="Z2223" s="386"/>
      <c r="AD2223" s="264"/>
      <c r="AE2223" s="264"/>
      <c r="AF2223" s="264"/>
      <c r="AG2223" s="264"/>
    </row>
    <row r="2224" spans="1:33" ht="26.25">
      <c r="A2224" s="264"/>
      <c r="B2224" s="264"/>
      <c r="C2224" s="264"/>
      <c r="D2224" s="264"/>
      <c r="E2224" s="264"/>
      <c r="F2224" s="264"/>
      <c r="G2224" s="264"/>
      <c r="H2224" s="264"/>
      <c r="I2224" s="264"/>
      <c r="J2224" s="327"/>
      <c r="K2224" s="327"/>
      <c r="L2224" s="327"/>
      <c r="M2224" s="321"/>
      <c r="N2224" s="321"/>
      <c r="O2224" s="364"/>
      <c r="P2224" s="381"/>
      <c r="R2224" s="392"/>
      <c r="S2224" s="61" ph="1"/>
      <c r="U2224" s="229"/>
      <c r="V2224" s="264"/>
      <c r="W2224" s="199"/>
      <c r="X2224" s="264"/>
      <c r="Y2224" s="264"/>
      <c r="Z2224" s="386"/>
      <c r="AD2224" s="264"/>
      <c r="AE2224" s="264"/>
      <c r="AF2224" s="264"/>
      <c r="AG2224" s="264"/>
    </row>
    <row r="2225" spans="1:33" ht="26.25">
      <c r="A2225" s="264"/>
      <c r="B2225" s="264"/>
      <c r="C2225" s="264"/>
      <c r="D2225" s="264"/>
      <c r="E2225" s="264"/>
      <c r="F2225" s="264"/>
      <c r="G2225" s="264"/>
      <c r="H2225" s="264"/>
      <c r="I2225" s="264"/>
      <c r="J2225" s="327"/>
      <c r="K2225" s="327"/>
      <c r="L2225" s="327"/>
      <c r="M2225" s="321"/>
      <c r="N2225" s="321"/>
      <c r="O2225" s="364"/>
      <c r="P2225" s="381"/>
      <c r="R2225" s="392"/>
      <c r="S2225" s="61" ph="1"/>
      <c r="U2225" s="229"/>
      <c r="V2225" s="264"/>
      <c r="W2225" s="199"/>
      <c r="X2225" s="264"/>
      <c r="Y2225" s="264"/>
      <c r="Z2225" s="386"/>
      <c r="AD2225" s="264"/>
      <c r="AE2225" s="264"/>
      <c r="AF2225" s="264"/>
      <c r="AG2225" s="264"/>
    </row>
    <row r="2226" spans="1:33" ht="26.25">
      <c r="A2226" s="264"/>
      <c r="B2226" s="264"/>
      <c r="C2226" s="264"/>
      <c r="D2226" s="264"/>
      <c r="E2226" s="264"/>
      <c r="F2226" s="264"/>
      <c r="G2226" s="264"/>
      <c r="H2226" s="264"/>
      <c r="I2226" s="264"/>
      <c r="J2226" s="327"/>
      <c r="K2226" s="327"/>
      <c r="L2226" s="327"/>
      <c r="M2226" s="321"/>
      <c r="N2226" s="321"/>
      <c r="O2226" s="364"/>
      <c r="P2226" s="381"/>
      <c r="R2226" s="392"/>
      <c r="S2226" s="61" ph="1"/>
      <c r="U2226" s="229"/>
      <c r="V2226" s="264"/>
      <c r="W2226" s="199"/>
      <c r="X2226" s="264"/>
      <c r="Y2226" s="264"/>
      <c r="Z2226" s="386"/>
      <c r="AD2226" s="264"/>
      <c r="AE2226" s="264"/>
      <c r="AF2226" s="264"/>
      <c r="AG2226" s="264"/>
    </row>
    <row r="2227" spans="1:33" ht="26.25">
      <c r="A2227" s="264"/>
      <c r="B2227" s="264"/>
      <c r="C2227" s="264"/>
      <c r="D2227" s="264"/>
      <c r="E2227" s="264"/>
      <c r="F2227" s="264"/>
      <c r="G2227" s="264"/>
      <c r="H2227" s="264"/>
      <c r="I2227" s="264"/>
      <c r="J2227" s="327"/>
      <c r="K2227" s="327"/>
      <c r="L2227" s="327"/>
      <c r="M2227" s="321"/>
      <c r="N2227" s="321"/>
      <c r="O2227" s="364"/>
      <c r="P2227" s="381"/>
      <c r="R2227" s="392"/>
      <c r="S2227" s="61" ph="1"/>
      <c r="U2227" s="229"/>
      <c r="V2227" s="264"/>
      <c r="W2227" s="199"/>
      <c r="X2227" s="264"/>
      <c r="Y2227" s="264"/>
      <c r="Z2227" s="386"/>
      <c r="AD2227" s="264"/>
      <c r="AE2227" s="264"/>
      <c r="AF2227" s="264"/>
      <c r="AG2227" s="264"/>
    </row>
    <row r="2228" spans="1:33" ht="26.25">
      <c r="A2228" s="264"/>
      <c r="B2228" s="264"/>
      <c r="C2228" s="264"/>
      <c r="D2228" s="264"/>
      <c r="E2228" s="264"/>
      <c r="F2228" s="264"/>
      <c r="G2228" s="264"/>
      <c r="H2228" s="264"/>
      <c r="I2228" s="264"/>
      <c r="J2228" s="327"/>
      <c r="K2228" s="327"/>
      <c r="L2228" s="327"/>
      <c r="M2228" s="321"/>
      <c r="N2228" s="321"/>
      <c r="O2228" s="364"/>
      <c r="P2228" s="381"/>
      <c r="R2228" s="392"/>
      <c r="S2228" s="61" ph="1"/>
      <c r="U2228" s="229"/>
      <c r="V2228" s="264"/>
      <c r="W2228" s="199"/>
      <c r="X2228" s="264"/>
      <c r="Y2228" s="264"/>
      <c r="Z2228" s="386"/>
      <c r="AD2228" s="264"/>
      <c r="AE2228" s="264"/>
      <c r="AF2228" s="264"/>
      <c r="AG2228" s="264"/>
    </row>
    <row r="2229" spans="1:33" ht="26.25">
      <c r="A2229" s="264"/>
      <c r="B2229" s="264"/>
      <c r="C2229" s="264"/>
      <c r="D2229" s="264"/>
      <c r="E2229" s="264"/>
      <c r="F2229" s="264"/>
      <c r="G2229" s="264"/>
      <c r="H2229" s="264"/>
      <c r="I2229" s="264"/>
      <c r="J2229" s="327"/>
      <c r="K2229" s="327"/>
      <c r="L2229" s="327"/>
      <c r="M2229" s="321"/>
      <c r="N2229" s="321"/>
      <c r="O2229" s="364"/>
      <c r="P2229" s="381"/>
      <c r="R2229" s="392"/>
      <c r="S2229" s="61" ph="1"/>
      <c r="U2229" s="229"/>
      <c r="V2229" s="264"/>
      <c r="W2229" s="199"/>
      <c r="X2229" s="264"/>
      <c r="Y2229" s="264"/>
      <c r="Z2229" s="386"/>
      <c r="AD2229" s="264"/>
      <c r="AE2229" s="264"/>
      <c r="AF2229" s="264"/>
      <c r="AG2229" s="264"/>
    </row>
    <row r="2230" spans="1:33" ht="26.25">
      <c r="A2230" s="264"/>
      <c r="B2230" s="264"/>
      <c r="C2230" s="264"/>
      <c r="D2230" s="264"/>
      <c r="E2230" s="264"/>
      <c r="F2230" s="264"/>
      <c r="G2230" s="264"/>
      <c r="H2230" s="264"/>
      <c r="I2230" s="264"/>
      <c r="J2230" s="327"/>
      <c r="K2230" s="327"/>
      <c r="L2230" s="327"/>
      <c r="M2230" s="321"/>
      <c r="N2230" s="321"/>
      <c r="O2230" s="364"/>
      <c r="P2230" s="381"/>
      <c r="R2230" s="392"/>
      <c r="S2230" s="61" ph="1"/>
      <c r="U2230" s="229"/>
      <c r="V2230" s="264"/>
      <c r="W2230" s="199"/>
      <c r="X2230" s="264"/>
      <c r="Y2230" s="264"/>
      <c r="Z2230" s="386"/>
      <c r="AD2230" s="264"/>
      <c r="AE2230" s="264"/>
      <c r="AF2230" s="264"/>
      <c r="AG2230" s="264"/>
    </row>
    <row r="2231" spans="1:33" ht="26.25">
      <c r="A2231" s="264"/>
      <c r="B2231" s="264"/>
      <c r="C2231" s="264"/>
      <c r="D2231" s="264"/>
      <c r="E2231" s="264"/>
      <c r="F2231" s="264"/>
      <c r="G2231" s="264"/>
      <c r="H2231" s="264"/>
      <c r="I2231" s="264"/>
      <c r="J2231" s="327"/>
      <c r="K2231" s="327"/>
      <c r="L2231" s="327"/>
      <c r="M2231" s="321"/>
      <c r="N2231" s="321"/>
      <c r="O2231" s="364"/>
      <c r="P2231" s="381"/>
      <c r="R2231" s="392"/>
      <c r="S2231" s="61" ph="1"/>
      <c r="U2231" s="229"/>
      <c r="V2231" s="264"/>
      <c r="W2231" s="199"/>
      <c r="X2231" s="264"/>
      <c r="Y2231" s="264"/>
      <c r="Z2231" s="386"/>
      <c r="AD2231" s="264"/>
      <c r="AE2231" s="264"/>
      <c r="AF2231" s="264"/>
      <c r="AG2231" s="264"/>
    </row>
    <row r="2232" spans="1:33" ht="26.25">
      <c r="A2232" s="264"/>
      <c r="B2232" s="264"/>
      <c r="C2232" s="264"/>
      <c r="D2232" s="264"/>
      <c r="E2232" s="264"/>
      <c r="F2232" s="264"/>
      <c r="G2232" s="264"/>
      <c r="H2232" s="264"/>
      <c r="I2232" s="264"/>
      <c r="J2232" s="327"/>
      <c r="K2232" s="327"/>
      <c r="L2232" s="327"/>
      <c r="M2232" s="321"/>
      <c r="N2232" s="321"/>
      <c r="O2232" s="364"/>
      <c r="P2232" s="381"/>
      <c r="R2232" s="392"/>
      <c r="S2232" s="61" ph="1"/>
      <c r="U2232" s="229"/>
      <c r="V2232" s="264"/>
      <c r="W2232" s="199"/>
      <c r="X2232" s="264"/>
      <c r="Y2232" s="264"/>
      <c r="Z2232" s="386"/>
      <c r="AD2232" s="264"/>
      <c r="AE2232" s="264"/>
      <c r="AF2232" s="264"/>
      <c r="AG2232" s="264"/>
    </row>
    <row r="2233" spans="1:33" ht="26.25">
      <c r="A2233" s="264"/>
      <c r="B2233" s="264"/>
      <c r="C2233" s="264"/>
      <c r="D2233" s="264"/>
      <c r="E2233" s="264"/>
      <c r="F2233" s="264"/>
      <c r="G2233" s="264"/>
      <c r="H2233" s="264"/>
      <c r="I2233" s="264"/>
      <c r="J2233" s="327"/>
      <c r="K2233" s="327"/>
      <c r="L2233" s="327"/>
      <c r="M2233" s="321"/>
      <c r="N2233" s="321"/>
      <c r="O2233" s="364"/>
      <c r="P2233" s="381"/>
      <c r="R2233" s="392"/>
      <c r="S2233" s="61" ph="1"/>
      <c r="U2233" s="229"/>
      <c r="V2233" s="264"/>
      <c r="W2233" s="199"/>
      <c r="X2233" s="264"/>
      <c r="Y2233" s="264"/>
      <c r="Z2233" s="386"/>
      <c r="AD2233" s="264"/>
      <c r="AE2233" s="264"/>
      <c r="AF2233" s="264"/>
      <c r="AG2233" s="264"/>
    </row>
    <row r="2234" spans="1:33" ht="26.25">
      <c r="A2234" s="264"/>
      <c r="B2234" s="264"/>
      <c r="C2234" s="264"/>
      <c r="D2234" s="264"/>
      <c r="E2234" s="264"/>
      <c r="F2234" s="264"/>
      <c r="G2234" s="264"/>
      <c r="H2234" s="264"/>
      <c r="I2234" s="264"/>
      <c r="J2234" s="327"/>
      <c r="K2234" s="327"/>
      <c r="L2234" s="327"/>
      <c r="M2234" s="321"/>
      <c r="N2234" s="321"/>
      <c r="O2234" s="364"/>
      <c r="P2234" s="381"/>
      <c r="R2234" s="392"/>
      <c r="S2234" s="61" ph="1"/>
      <c r="U2234" s="229"/>
      <c r="V2234" s="264"/>
      <c r="W2234" s="199"/>
      <c r="X2234" s="264"/>
      <c r="Y2234" s="264"/>
      <c r="Z2234" s="386"/>
      <c r="AD2234" s="264"/>
      <c r="AE2234" s="264"/>
      <c r="AF2234" s="264"/>
      <c r="AG2234" s="264"/>
    </row>
    <row r="2235" spans="1:33" ht="26.25">
      <c r="A2235" s="264"/>
      <c r="B2235" s="264"/>
      <c r="C2235" s="264"/>
      <c r="D2235" s="264"/>
      <c r="E2235" s="264"/>
      <c r="F2235" s="264"/>
      <c r="G2235" s="264"/>
      <c r="H2235" s="264"/>
      <c r="I2235" s="264"/>
      <c r="J2235" s="327"/>
      <c r="K2235" s="327"/>
      <c r="L2235" s="327"/>
      <c r="M2235" s="321"/>
      <c r="N2235" s="321"/>
      <c r="O2235" s="364"/>
      <c r="P2235" s="381"/>
      <c r="R2235" s="392"/>
      <c r="S2235" s="61" ph="1"/>
      <c r="U2235" s="229"/>
      <c r="V2235" s="264"/>
      <c r="W2235" s="199"/>
      <c r="X2235" s="264"/>
      <c r="Y2235" s="264"/>
      <c r="Z2235" s="386"/>
      <c r="AD2235" s="264"/>
      <c r="AE2235" s="264"/>
      <c r="AF2235" s="264"/>
      <c r="AG2235" s="264"/>
    </row>
    <row r="2236" spans="1:33" ht="26.25">
      <c r="A2236" s="264"/>
      <c r="B2236" s="264"/>
      <c r="C2236" s="264"/>
      <c r="D2236" s="264"/>
      <c r="E2236" s="264"/>
      <c r="F2236" s="264"/>
      <c r="G2236" s="264"/>
      <c r="H2236" s="264"/>
      <c r="I2236" s="264"/>
      <c r="J2236" s="327"/>
      <c r="K2236" s="327"/>
      <c r="L2236" s="327"/>
      <c r="M2236" s="321"/>
      <c r="N2236" s="321"/>
      <c r="O2236" s="364"/>
      <c r="P2236" s="381"/>
      <c r="R2236" s="392"/>
      <c r="S2236" s="61" ph="1"/>
      <c r="U2236" s="229"/>
      <c r="V2236" s="264"/>
      <c r="W2236" s="199"/>
      <c r="X2236" s="264"/>
      <c r="Y2236" s="264"/>
      <c r="Z2236" s="386"/>
      <c r="AD2236" s="264"/>
      <c r="AE2236" s="264"/>
      <c r="AF2236" s="264"/>
      <c r="AG2236" s="264"/>
    </row>
    <row r="2237" spans="1:33" ht="26.25">
      <c r="A2237" s="264"/>
      <c r="B2237" s="264"/>
      <c r="C2237" s="264"/>
      <c r="D2237" s="264"/>
      <c r="E2237" s="264"/>
      <c r="F2237" s="264"/>
      <c r="G2237" s="264"/>
      <c r="H2237" s="264"/>
      <c r="I2237" s="264"/>
      <c r="J2237" s="327"/>
      <c r="K2237" s="327"/>
      <c r="L2237" s="327"/>
      <c r="M2237" s="321"/>
      <c r="N2237" s="321"/>
      <c r="O2237" s="364"/>
      <c r="P2237" s="381"/>
      <c r="R2237" s="392"/>
      <c r="S2237" s="61" ph="1"/>
      <c r="U2237" s="229"/>
      <c r="V2237" s="264"/>
      <c r="W2237" s="199"/>
      <c r="X2237" s="264"/>
      <c r="Y2237" s="264"/>
      <c r="Z2237" s="386"/>
      <c r="AD2237" s="264"/>
      <c r="AE2237" s="264"/>
      <c r="AF2237" s="264"/>
      <c r="AG2237" s="264"/>
    </row>
    <row r="2238" spans="1:33" ht="26.25">
      <c r="A2238" s="264"/>
      <c r="B2238" s="264"/>
      <c r="C2238" s="264"/>
      <c r="D2238" s="264"/>
      <c r="E2238" s="264"/>
      <c r="F2238" s="264"/>
      <c r="G2238" s="264"/>
      <c r="H2238" s="264"/>
      <c r="I2238" s="264"/>
      <c r="J2238" s="327"/>
      <c r="K2238" s="327"/>
      <c r="L2238" s="327"/>
      <c r="M2238" s="321"/>
      <c r="N2238" s="321"/>
      <c r="O2238" s="364"/>
      <c r="P2238" s="381"/>
      <c r="R2238" s="392"/>
      <c r="S2238" s="61" ph="1"/>
      <c r="U2238" s="229"/>
      <c r="V2238" s="264"/>
      <c r="W2238" s="199"/>
      <c r="X2238" s="264"/>
      <c r="Y2238" s="264"/>
      <c r="Z2238" s="386"/>
      <c r="AD2238" s="264"/>
      <c r="AE2238" s="264"/>
      <c r="AF2238" s="264"/>
      <c r="AG2238" s="264"/>
    </row>
    <row r="2239" spans="1:33" ht="26.25">
      <c r="A2239" s="264"/>
      <c r="B2239" s="264"/>
      <c r="C2239" s="264"/>
      <c r="D2239" s="264"/>
      <c r="E2239" s="264"/>
      <c r="F2239" s="264"/>
      <c r="G2239" s="264"/>
      <c r="H2239" s="264"/>
      <c r="I2239" s="264"/>
      <c r="J2239" s="327"/>
      <c r="K2239" s="327"/>
      <c r="L2239" s="327"/>
      <c r="M2239" s="321"/>
      <c r="N2239" s="321"/>
      <c r="O2239" s="364"/>
      <c r="P2239" s="381"/>
      <c r="R2239" s="392"/>
      <c r="S2239" s="61" ph="1"/>
      <c r="U2239" s="229"/>
      <c r="V2239" s="264"/>
      <c r="W2239" s="199"/>
      <c r="X2239" s="264"/>
      <c r="Y2239" s="264"/>
      <c r="Z2239" s="386"/>
      <c r="AD2239" s="264"/>
      <c r="AE2239" s="264"/>
      <c r="AF2239" s="264"/>
      <c r="AG2239" s="264"/>
    </row>
    <row r="2240" spans="1:33" ht="26.25">
      <c r="A2240" s="264"/>
      <c r="B2240" s="264"/>
      <c r="C2240" s="264"/>
      <c r="D2240" s="264"/>
      <c r="E2240" s="264"/>
      <c r="F2240" s="264"/>
      <c r="G2240" s="264"/>
      <c r="H2240" s="264"/>
      <c r="I2240" s="264"/>
      <c r="J2240" s="327"/>
      <c r="K2240" s="327"/>
      <c r="L2240" s="327"/>
      <c r="M2240" s="321"/>
      <c r="N2240" s="321"/>
      <c r="O2240" s="364"/>
      <c r="P2240" s="381"/>
      <c r="R2240" s="392"/>
      <c r="S2240" s="61" ph="1"/>
      <c r="U2240" s="229"/>
      <c r="V2240" s="264"/>
      <c r="W2240" s="199"/>
      <c r="X2240" s="264"/>
      <c r="Y2240" s="264"/>
      <c r="Z2240" s="386"/>
      <c r="AD2240" s="264"/>
      <c r="AE2240" s="264"/>
      <c r="AF2240" s="264"/>
      <c r="AG2240" s="264"/>
    </row>
    <row r="2241" spans="1:33" ht="26.25">
      <c r="A2241" s="264"/>
      <c r="B2241" s="264"/>
      <c r="C2241" s="264"/>
      <c r="D2241" s="264"/>
      <c r="E2241" s="264"/>
      <c r="F2241" s="264"/>
      <c r="G2241" s="264"/>
      <c r="H2241" s="264"/>
      <c r="I2241" s="264"/>
      <c r="J2241" s="327"/>
      <c r="K2241" s="327"/>
      <c r="L2241" s="327"/>
      <c r="M2241" s="321"/>
      <c r="N2241" s="321"/>
      <c r="O2241" s="364"/>
      <c r="P2241" s="381"/>
      <c r="R2241" s="392"/>
      <c r="S2241" s="61" ph="1"/>
      <c r="U2241" s="229"/>
      <c r="V2241" s="264"/>
      <c r="W2241" s="199"/>
      <c r="X2241" s="264"/>
      <c r="Y2241" s="264"/>
      <c r="Z2241" s="386"/>
      <c r="AD2241" s="264"/>
      <c r="AE2241" s="264"/>
      <c r="AF2241" s="264"/>
      <c r="AG2241" s="264"/>
    </row>
    <row r="2242" spans="1:33" ht="26.25">
      <c r="A2242" s="264"/>
      <c r="B2242" s="264"/>
      <c r="C2242" s="264"/>
      <c r="D2242" s="264"/>
      <c r="E2242" s="264"/>
      <c r="F2242" s="264"/>
      <c r="G2242" s="264"/>
      <c r="H2242" s="264"/>
      <c r="I2242" s="264"/>
      <c r="J2242" s="327"/>
      <c r="K2242" s="327"/>
      <c r="L2242" s="327"/>
      <c r="M2242" s="321"/>
      <c r="N2242" s="321"/>
      <c r="O2242" s="364"/>
      <c r="P2242" s="381"/>
      <c r="R2242" s="392"/>
      <c r="S2242" s="61" ph="1"/>
      <c r="U2242" s="229"/>
      <c r="V2242" s="264"/>
      <c r="W2242" s="199"/>
      <c r="X2242" s="264"/>
      <c r="Y2242" s="264"/>
      <c r="Z2242" s="386"/>
      <c r="AD2242" s="264"/>
      <c r="AE2242" s="264"/>
      <c r="AF2242" s="264"/>
      <c r="AG2242" s="264"/>
    </row>
    <row r="2243" spans="1:33" ht="26.25">
      <c r="A2243" s="264"/>
      <c r="B2243" s="264"/>
      <c r="C2243" s="264"/>
      <c r="D2243" s="264"/>
      <c r="E2243" s="264"/>
      <c r="F2243" s="264"/>
      <c r="G2243" s="264"/>
      <c r="H2243" s="264"/>
      <c r="I2243" s="264"/>
      <c r="J2243" s="327"/>
      <c r="K2243" s="327"/>
      <c r="L2243" s="327"/>
      <c r="M2243" s="321"/>
      <c r="N2243" s="321"/>
      <c r="O2243" s="364"/>
      <c r="P2243" s="381"/>
      <c r="R2243" s="392"/>
      <c r="S2243" s="61" ph="1"/>
      <c r="U2243" s="229"/>
      <c r="V2243" s="264"/>
      <c r="W2243" s="199"/>
      <c r="X2243" s="264"/>
      <c r="Y2243" s="264"/>
      <c r="Z2243" s="386"/>
      <c r="AD2243" s="264"/>
      <c r="AE2243" s="264"/>
      <c r="AF2243" s="264"/>
      <c r="AG2243" s="264"/>
    </row>
    <row r="2244" spans="1:33" ht="26.25">
      <c r="A2244" s="264"/>
      <c r="B2244" s="264"/>
      <c r="C2244" s="264"/>
      <c r="D2244" s="264"/>
      <c r="E2244" s="264"/>
      <c r="F2244" s="264"/>
      <c r="G2244" s="264"/>
      <c r="H2244" s="264"/>
      <c r="I2244" s="264"/>
      <c r="J2244" s="327"/>
      <c r="K2244" s="327"/>
      <c r="L2244" s="327"/>
      <c r="M2244" s="321"/>
      <c r="N2244" s="321"/>
      <c r="O2244" s="364"/>
      <c r="P2244" s="381"/>
      <c r="R2244" s="392"/>
      <c r="S2244" s="61" ph="1"/>
      <c r="U2244" s="229"/>
      <c r="V2244" s="264"/>
      <c r="W2244" s="199"/>
      <c r="X2244" s="264"/>
      <c r="Y2244" s="264"/>
      <c r="Z2244" s="386"/>
      <c r="AD2244" s="264"/>
      <c r="AE2244" s="264"/>
      <c r="AF2244" s="264"/>
      <c r="AG2244" s="264"/>
    </row>
    <row r="2245" spans="1:33" ht="26.25">
      <c r="A2245" s="264"/>
      <c r="B2245" s="264"/>
      <c r="C2245" s="264"/>
      <c r="D2245" s="264"/>
      <c r="E2245" s="264"/>
      <c r="F2245" s="264"/>
      <c r="G2245" s="264"/>
      <c r="H2245" s="264"/>
      <c r="I2245" s="264"/>
      <c r="J2245" s="327"/>
      <c r="K2245" s="327"/>
      <c r="L2245" s="327"/>
      <c r="M2245" s="321"/>
      <c r="N2245" s="321"/>
      <c r="O2245" s="364"/>
      <c r="P2245" s="381"/>
      <c r="R2245" s="392"/>
      <c r="S2245" s="61" ph="1"/>
      <c r="U2245" s="229"/>
      <c r="V2245" s="264"/>
      <c r="W2245" s="199"/>
      <c r="X2245" s="264"/>
      <c r="Y2245" s="264"/>
      <c r="Z2245" s="386"/>
      <c r="AD2245" s="264"/>
      <c r="AE2245" s="264"/>
      <c r="AF2245" s="264"/>
      <c r="AG2245" s="264"/>
    </row>
    <row r="2246" spans="1:33" ht="26.25">
      <c r="A2246" s="264"/>
      <c r="B2246" s="264"/>
      <c r="C2246" s="264"/>
      <c r="D2246" s="264"/>
      <c r="E2246" s="264"/>
      <c r="F2246" s="264"/>
      <c r="G2246" s="264"/>
      <c r="H2246" s="264"/>
      <c r="I2246" s="264"/>
      <c r="J2246" s="327"/>
      <c r="K2246" s="327"/>
      <c r="L2246" s="327"/>
      <c r="M2246" s="321"/>
      <c r="N2246" s="321"/>
      <c r="O2246" s="364"/>
      <c r="P2246" s="381"/>
      <c r="R2246" s="392"/>
      <c r="S2246" s="61" ph="1"/>
      <c r="U2246" s="229"/>
      <c r="V2246" s="264"/>
      <c r="W2246" s="199"/>
      <c r="X2246" s="264"/>
      <c r="Y2246" s="264"/>
      <c r="Z2246" s="386"/>
      <c r="AD2246" s="264"/>
      <c r="AE2246" s="264"/>
      <c r="AF2246" s="264"/>
      <c r="AG2246" s="264"/>
    </row>
    <row r="2247" spans="1:33" ht="26.25">
      <c r="A2247" s="264"/>
      <c r="B2247" s="264"/>
      <c r="C2247" s="264"/>
      <c r="D2247" s="264"/>
      <c r="E2247" s="264"/>
      <c r="F2247" s="264"/>
      <c r="G2247" s="264"/>
      <c r="H2247" s="264"/>
      <c r="I2247" s="264"/>
      <c r="J2247" s="327"/>
      <c r="K2247" s="327"/>
      <c r="L2247" s="327"/>
      <c r="M2247" s="321"/>
      <c r="N2247" s="321"/>
      <c r="O2247" s="364"/>
      <c r="P2247" s="381"/>
      <c r="R2247" s="392"/>
      <c r="S2247" s="61" ph="1"/>
      <c r="U2247" s="229"/>
      <c r="V2247" s="264"/>
      <c r="W2247" s="199"/>
      <c r="X2247" s="264"/>
      <c r="Y2247" s="264"/>
      <c r="Z2247" s="386"/>
      <c r="AD2247" s="264"/>
      <c r="AE2247" s="264"/>
      <c r="AF2247" s="264"/>
      <c r="AG2247" s="264"/>
    </row>
    <row r="2248" spans="1:33" ht="26.25">
      <c r="A2248" s="264"/>
      <c r="B2248" s="264"/>
      <c r="C2248" s="264"/>
      <c r="D2248" s="264"/>
      <c r="E2248" s="264"/>
      <c r="F2248" s="264"/>
      <c r="G2248" s="264"/>
      <c r="H2248" s="264"/>
      <c r="I2248" s="264"/>
      <c r="J2248" s="327"/>
      <c r="K2248" s="327"/>
      <c r="L2248" s="327"/>
      <c r="M2248" s="321"/>
      <c r="N2248" s="321"/>
      <c r="O2248" s="364"/>
      <c r="P2248" s="381"/>
      <c r="R2248" s="392"/>
      <c r="S2248" s="61" ph="1"/>
      <c r="U2248" s="229"/>
      <c r="V2248" s="264"/>
      <c r="W2248" s="199"/>
      <c r="X2248" s="264"/>
      <c r="Y2248" s="264"/>
      <c r="Z2248" s="386"/>
      <c r="AD2248" s="264"/>
      <c r="AE2248" s="264"/>
      <c r="AF2248" s="264"/>
      <c r="AG2248" s="264"/>
    </row>
    <row r="2249" spans="1:33" ht="26.25">
      <c r="A2249" s="264"/>
      <c r="B2249" s="264"/>
      <c r="C2249" s="264"/>
      <c r="D2249" s="264"/>
      <c r="E2249" s="264"/>
      <c r="F2249" s="264"/>
      <c r="G2249" s="264"/>
      <c r="H2249" s="264"/>
      <c r="I2249" s="264"/>
      <c r="J2249" s="327"/>
      <c r="K2249" s="327"/>
      <c r="L2249" s="327"/>
      <c r="M2249" s="321"/>
      <c r="N2249" s="321"/>
      <c r="O2249" s="364"/>
      <c r="P2249" s="381"/>
      <c r="R2249" s="392"/>
      <c r="S2249" s="61" ph="1"/>
      <c r="U2249" s="229"/>
      <c r="V2249" s="264"/>
      <c r="W2249" s="199"/>
      <c r="X2249" s="264"/>
      <c r="Y2249" s="264"/>
      <c r="Z2249" s="386"/>
      <c r="AD2249" s="264"/>
      <c r="AE2249" s="264"/>
      <c r="AF2249" s="264"/>
      <c r="AG2249" s="264"/>
    </row>
    <row r="2250" spans="1:33" ht="26.25">
      <c r="A2250" s="264"/>
      <c r="B2250" s="264"/>
      <c r="C2250" s="264"/>
      <c r="D2250" s="264"/>
      <c r="E2250" s="264"/>
      <c r="F2250" s="264"/>
      <c r="G2250" s="264"/>
      <c r="H2250" s="264"/>
      <c r="I2250" s="264"/>
      <c r="J2250" s="327"/>
      <c r="K2250" s="327"/>
      <c r="L2250" s="327"/>
      <c r="M2250" s="321"/>
      <c r="N2250" s="321"/>
      <c r="O2250" s="364"/>
      <c r="P2250" s="381"/>
      <c r="R2250" s="392"/>
      <c r="S2250" s="61" ph="1"/>
      <c r="U2250" s="229"/>
      <c r="V2250" s="264"/>
      <c r="W2250" s="199"/>
      <c r="X2250" s="264"/>
      <c r="Y2250" s="264"/>
      <c r="Z2250" s="386"/>
      <c r="AD2250" s="264"/>
      <c r="AE2250" s="264"/>
      <c r="AF2250" s="264"/>
      <c r="AG2250" s="264"/>
    </row>
    <row r="2251" spans="1:33" ht="26.25">
      <c r="A2251" s="264"/>
      <c r="B2251" s="264"/>
      <c r="C2251" s="264"/>
      <c r="D2251" s="264"/>
      <c r="E2251" s="264"/>
      <c r="F2251" s="264"/>
      <c r="G2251" s="264"/>
      <c r="H2251" s="264"/>
      <c r="I2251" s="264"/>
      <c r="J2251" s="327"/>
      <c r="K2251" s="327"/>
      <c r="L2251" s="327"/>
      <c r="M2251" s="321"/>
      <c r="N2251" s="321"/>
      <c r="O2251" s="364"/>
      <c r="P2251" s="381"/>
      <c r="R2251" s="392"/>
      <c r="S2251" s="61" ph="1"/>
      <c r="U2251" s="229"/>
      <c r="V2251" s="264"/>
      <c r="W2251" s="199"/>
      <c r="X2251" s="264"/>
      <c r="Y2251" s="264"/>
      <c r="Z2251" s="386"/>
      <c r="AD2251" s="264"/>
      <c r="AE2251" s="264"/>
      <c r="AF2251" s="264"/>
      <c r="AG2251" s="264"/>
    </row>
    <row r="2252" spans="1:33" ht="26.25">
      <c r="A2252" s="264"/>
      <c r="B2252" s="264"/>
      <c r="C2252" s="264"/>
      <c r="D2252" s="264"/>
      <c r="E2252" s="264"/>
      <c r="F2252" s="264"/>
      <c r="G2252" s="264"/>
      <c r="H2252" s="264"/>
      <c r="I2252" s="264"/>
      <c r="J2252" s="327"/>
      <c r="K2252" s="327"/>
      <c r="L2252" s="327"/>
      <c r="M2252" s="321"/>
      <c r="N2252" s="321"/>
      <c r="O2252" s="364"/>
      <c r="P2252" s="381"/>
      <c r="R2252" s="392"/>
      <c r="S2252" s="61" ph="1"/>
      <c r="U2252" s="229"/>
      <c r="V2252" s="264"/>
      <c r="W2252" s="199"/>
      <c r="X2252" s="264"/>
      <c r="Y2252" s="264"/>
      <c r="Z2252" s="386"/>
      <c r="AD2252" s="264"/>
      <c r="AE2252" s="264"/>
      <c r="AF2252" s="264"/>
      <c r="AG2252" s="264"/>
    </row>
    <row r="2253" spans="1:33" ht="26.25">
      <c r="A2253" s="264"/>
      <c r="B2253" s="264"/>
      <c r="C2253" s="264"/>
      <c r="D2253" s="264"/>
      <c r="E2253" s="264"/>
      <c r="F2253" s="264"/>
      <c r="G2253" s="264"/>
      <c r="H2253" s="264"/>
      <c r="I2253" s="264"/>
      <c r="J2253" s="327"/>
      <c r="K2253" s="327"/>
      <c r="L2253" s="327"/>
      <c r="M2253" s="321"/>
      <c r="N2253" s="321"/>
      <c r="O2253" s="364"/>
      <c r="P2253" s="381"/>
      <c r="R2253" s="392"/>
      <c r="S2253" s="61" ph="1"/>
      <c r="U2253" s="229"/>
      <c r="V2253" s="264"/>
      <c r="W2253" s="199"/>
      <c r="X2253" s="264"/>
      <c r="Y2253" s="264"/>
      <c r="Z2253" s="386"/>
      <c r="AD2253" s="264"/>
      <c r="AE2253" s="264"/>
      <c r="AF2253" s="264"/>
      <c r="AG2253" s="264"/>
    </row>
    <row r="2254" spans="1:33" ht="26.25">
      <c r="A2254" s="264"/>
      <c r="B2254" s="264"/>
      <c r="C2254" s="264"/>
      <c r="D2254" s="264"/>
      <c r="E2254" s="264"/>
      <c r="F2254" s="264"/>
      <c r="G2254" s="264"/>
      <c r="H2254" s="264"/>
      <c r="I2254" s="264"/>
      <c r="J2254" s="327"/>
      <c r="K2254" s="327"/>
      <c r="L2254" s="327"/>
      <c r="M2254" s="321"/>
      <c r="N2254" s="321"/>
      <c r="O2254" s="364"/>
      <c r="P2254" s="381"/>
      <c r="R2254" s="392"/>
      <c r="S2254" s="61" ph="1"/>
      <c r="U2254" s="229"/>
      <c r="V2254" s="264"/>
      <c r="W2254" s="199"/>
      <c r="X2254" s="264"/>
      <c r="Y2254" s="264"/>
      <c r="Z2254" s="386"/>
      <c r="AD2254" s="264"/>
      <c r="AE2254" s="264"/>
      <c r="AF2254" s="264"/>
      <c r="AG2254" s="264"/>
    </row>
    <row r="2255" spans="1:33" ht="26.25">
      <c r="A2255" s="264"/>
      <c r="B2255" s="264"/>
      <c r="C2255" s="264"/>
      <c r="D2255" s="264"/>
      <c r="E2255" s="264"/>
      <c r="F2255" s="264"/>
      <c r="G2255" s="264"/>
      <c r="H2255" s="264"/>
      <c r="I2255" s="264"/>
      <c r="J2255" s="327"/>
      <c r="K2255" s="327"/>
      <c r="L2255" s="327"/>
      <c r="M2255" s="321"/>
      <c r="N2255" s="321"/>
      <c r="O2255" s="364"/>
      <c r="P2255" s="381"/>
      <c r="R2255" s="392"/>
      <c r="S2255" s="61" ph="1"/>
      <c r="U2255" s="229"/>
      <c r="V2255" s="264"/>
      <c r="W2255" s="199"/>
      <c r="X2255" s="264"/>
      <c r="Y2255" s="264"/>
      <c r="Z2255" s="386"/>
      <c r="AD2255" s="264"/>
      <c r="AE2255" s="264"/>
      <c r="AF2255" s="264"/>
      <c r="AG2255" s="264"/>
    </row>
    <row r="2256" spans="1:33" ht="26.25">
      <c r="A2256" s="264"/>
      <c r="B2256" s="264"/>
      <c r="C2256" s="264"/>
      <c r="D2256" s="264"/>
      <c r="E2256" s="264"/>
      <c r="F2256" s="264"/>
      <c r="G2256" s="264"/>
      <c r="H2256" s="264"/>
      <c r="I2256" s="264"/>
      <c r="J2256" s="327"/>
      <c r="K2256" s="327"/>
      <c r="L2256" s="327"/>
      <c r="M2256" s="321"/>
      <c r="N2256" s="321"/>
      <c r="O2256" s="364"/>
      <c r="P2256" s="381"/>
      <c r="R2256" s="392"/>
      <c r="S2256" s="61" ph="1"/>
      <c r="U2256" s="229"/>
      <c r="V2256" s="264"/>
      <c r="W2256" s="199"/>
      <c r="X2256" s="264"/>
      <c r="Y2256" s="264"/>
      <c r="Z2256" s="386"/>
      <c r="AD2256" s="264"/>
      <c r="AE2256" s="264"/>
      <c r="AF2256" s="264"/>
      <c r="AG2256" s="264"/>
    </row>
    <row r="2257" spans="1:33" ht="26.25">
      <c r="A2257" s="264"/>
      <c r="B2257" s="264"/>
      <c r="C2257" s="264"/>
      <c r="D2257" s="264"/>
      <c r="E2257" s="264"/>
      <c r="F2257" s="264"/>
      <c r="G2257" s="264"/>
      <c r="H2257" s="264"/>
      <c r="I2257" s="264"/>
      <c r="J2257" s="327"/>
      <c r="K2257" s="327"/>
      <c r="L2257" s="327"/>
      <c r="M2257" s="321"/>
      <c r="N2257" s="321"/>
      <c r="O2257" s="364"/>
      <c r="P2257" s="381"/>
      <c r="R2257" s="392"/>
      <c r="S2257" s="61" ph="1"/>
      <c r="U2257" s="229"/>
      <c r="V2257" s="264"/>
      <c r="W2257" s="199"/>
      <c r="X2257" s="264"/>
      <c r="Y2257" s="264"/>
      <c r="Z2257" s="386"/>
      <c r="AD2257" s="264"/>
      <c r="AE2257" s="264"/>
      <c r="AF2257" s="264"/>
      <c r="AG2257" s="264"/>
    </row>
    <row r="2258" spans="1:33" ht="26.25">
      <c r="A2258" s="264"/>
      <c r="B2258" s="264"/>
      <c r="C2258" s="264"/>
      <c r="D2258" s="264"/>
      <c r="E2258" s="264"/>
      <c r="F2258" s="264"/>
      <c r="G2258" s="264"/>
      <c r="H2258" s="264"/>
      <c r="I2258" s="264"/>
      <c r="J2258" s="327"/>
      <c r="K2258" s="327"/>
      <c r="L2258" s="327"/>
      <c r="M2258" s="321"/>
      <c r="N2258" s="321"/>
      <c r="O2258" s="364"/>
      <c r="P2258" s="381"/>
      <c r="R2258" s="392"/>
      <c r="S2258" s="61" ph="1"/>
      <c r="U2258" s="229"/>
      <c r="V2258" s="264"/>
      <c r="W2258" s="199"/>
      <c r="X2258" s="264"/>
      <c r="Y2258" s="264"/>
      <c r="Z2258" s="386"/>
      <c r="AD2258" s="264"/>
      <c r="AE2258" s="264"/>
      <c r="AF2258" s="264"/>
      <c r="AG2258" s="264"/>
    </row>
    <row r="2259" spans="1:33" ht="26.25">
      <c r="A2259" s="264"/>
      <c r="B2259" s="264"/>
      <c r="C2259" s="264"/>
      <c r="D2259" s="264"/>
      <c r="E2259" s="264"/>
      <c r="F2259" s="264"/>
      <c r="G2259" s="264"/>
      <c r="H2259" s="264"/>
      <c r="I2259" s="264"/>
      <c r="J2259" s="327"/>
      <c r="K2259" s="327"/>
      <c r="L2259" s="327"/>
      <c r="M2259" s="321"/>
      <c r="N2259" s="321"/>
      <c r="O2259" s="364"/>
      <c r="P2259" s="381"/>
      <c r="R2259" s="392"/>
      <c r="S2259" s="61" ph="1"/>
      <c r="U2259" s="229"/>
      <c r="V2259" s="264"/>
      <c r="W2259" s="199"/>
      <c r="X2259" s="264"/>
      <c r="Y2259" s="264"/>
      <c r="Z2259" s="386"/>
      <c r="AD2259" s="264"/>
      <c r="AE2259" s="264"/>
      <c r="AF2259" s="264"/>
      <c r="AG2259" s="264"/>
    </row>
    <row r="2260" spans="1:33" ht="26.25">
      <c r="A2260" s="264"/>
      <c r="B2260" s="264"/>
      <c r="C2260" s="264"/>
      <c r="D2260" s="264"/>
      <c r="E2260" s="264"/>
      <c r="F2260" s="264"/>
      <c r="G2260" s="264"/>
      <c r="H2260" s="264"/>
      <c r="I2260" s="264"/>
      <c r="J2260" s="327"/>
      <c r="K2260" s="327"/>
      <c r="L2260" s="327"/>
      <c r="M2260" s="321"/>
      <c r="N2260" s="321"/>
      <c r="O2260" s="364"/>
      <c r="P2260" s="381"/>
      <c r="R2260" s="392"/>
      <c r="S2260" s="61" ph="1"/>
      <c r="U2260" s="229"/>
      <c r="V2260" s="264"/>
      <c r="W2260" s="199"/>
      <c r="X2260" s="264"/>
      <c r="Y2260" s="264"/>
      <c r="Z2260" s="386"/>
      <c r="AD2260" s="264"/>
      <c r="AE2260" s="264"/>
      <c r="AF2260" s="264"/>
      <c r="AG2260" s="264"/>
    </row>
    <row r="2261" spans="1:33" ht="26.25">
      <c r="A2261" s="264"/>
      <c r="B2261" s="264"/>
      <c r="C2261" s="264"/>
      <c r="D2261" s="264"/>
      <c r="E2261" s="264"/>
      <c r="F2261" s="264"/>
      <c r="G2261" s="264"/>
      <c r="H2261" s="264"/>
      <c r="I2261" s="264"/>
      <c r="J2261" s="327"/>
      <c r="K2261" s="327"/>
      <c r="L2261" s="327"/>
      <c r="M2261" s="321"/>
      <c r="N2261" s="321"/>
      <c r="O2261" s="364"/>
      <c r="P2261" s="381"/>
      <c r="R2261" s="392"/>
      <c r="S2261" s="61" ph="1"/>
      <c r="U2261" s="229"/>
      <c r="V2261" s="264"/>
      <c r="W2261" s="199"/>
      <c r="X2261" s="264"/>
      <c r="Y2261" s="264"/>
      <c r="Z2261" s="386"/>
      <c r="AD2261" s="264"/>
      <c r="AE2261" s="264"/>
      <c r="AF2261" s="264"/>
      <c r="AG2261" s="264"/>
    </row>
    <row r="2262" spans="1:33" ht="26.25">
      <c r="A2262" s="264"/>
      <c r="B2262" s="264"/>
      <c r="C2262" s="264"/>
      <c r="D2262" s="264"/>
      <c r="E2262" s="264"/>
      <c r="F2262" s="264"/>
      <c r="G2262" s="264"/>
      <c r="H2262" s="264"/>
      <c r="I2262" s="264"/>
      <c r="J2262" s="327"/>
      <c r="K2262" s="327"/>
      <c r="L2262" s="327"/>
      <c r="M2262" s="321"/>
      <c r="N2262" s="321"/>
      <c r="O2262" s="364"/>
      <c r="P2262" s="381"/>
      <c r="R2262" s="392"/>
      <c r="S2262" s="61" ph="1"/>
      <c r="U2262" s="229"/>
      <c r="V2262" s="264"/>
      <c r="W2262" s="199"/>
      <c r="X2262" s="264"/>
      <c r="Y2262" s="264"/>
      <c r="Z2262" s="386"/>
      <c r="AD2262" s="264"/>
      <c r="AE2262" s="264"/>
      <c r="AF2262" s="264"/>
      <c r="AG2262" s="264"/>
    </row>
    <row r="2263" spans="1:33" ht="26.25">
      <c r="A2263" s="264"/>
      <c r="B2263" s="264"/>
      <c r="C2263" s="264"/>
      <c r="D2263" s="264"/>
      <c r="E2263" s="264"/>
      <c r="F2263" s="264"/>
      <c r="G2263" s="264"/>
      <c r="H2263" s="264"/>
      <c r="I2263" s="264"/>
      <c r="J2263" s="327"/>
      <c r="K2263" s="327"/>
      <c r="L2263" s="327"/>
      <c r="M2263" s="321"/>
      <c r="N2263" s="321"/>
      <c r="O2263" s="364"/>
      <c r="P2263" s="381"/>
      <c r="R2263" s="392"/>
      <c r="S2263" s="61" ph="1"/>
      <c r="U2263" s="229"/>
      <c r="V2263" s="264"/>
      <c r="W2263" s="199"/>
      <c r="X2263" s="264"/>
      <c r="Y2263" s="264"/>
      <c r="Z2263" s="386"/>
      <c r="AD2263" s="264"/>
      <c r="AE2263" s="264"/>
      <c r="AF2263" s="264"/>
      <c r="AG2263" s="264"/>
    </row>
    <row r="2264" spans="1:33" ht="26.25">
      <c r="A2264" s="264"/>
      <c r="B2264" s="264"/>
      <c r="C2264" s="264"/>
      <c r="D2264" s="264"/>
      <c r="E2264" s="264"/>
      <c r="F2264" s="264"/>
      <c r="G2264" s="264"/>
      <c r="H2264" s="264"/>
      <c r="I2264" s="264"/>
      <c r="J2264" s="327"/>
      <c r="K2264" s="327"/>
      <c r="L2264" s="327"/>
      <c r="M2264" s="321"/>
      <c r="N2264" s="321"/>
      <c r="O2264" s="364"/>
      <c r="P2264" s="381"/>
      <c r="R2264" s="392"/>
      <c r="S2264" s="61" ph="1"/>
      <c r="U2264" s="229"/>
      <c r="V2264" s="264"/>
      <c r="W2264" s="199"/>
      <c r="X2264" s="264"/>
      <c r="Y2264" s="264"/>
      <c r="Z2264" s="386"/>
      <c r="AD2264" s="264"/>
      <c r="AE2264" s="264"/>
      <c r="AF2264" s="264"/>
      <c r="AG2264" s="264"/>
    </row>
    <row r="2265" spans="1:33" ht="26.25">
      <c r="A2265" s="264"/>
      <c r="B2265" s="264"/>
      <c r="C2265" s="264"/>
      <c r="D2265" s="264"/>
      <c r="E2265" s="264"/>
      <c r="F2265" s="264"/>
      <c r="G2265" s="264"/>
      <c r="H2265" s="264"/>
      <c r="I2265" s="264"/>
      <c r="J2265" s="327"/>
      <c r="K2265" s="327"/>
      <c r="L2265" s="327"/>
      <c r="M2265" s="321"/>
      <c r="N2265" s="321"/>
      <c r="O2265" s="364"/>
      <c r="P2265" s="381"/>
      <c r="R2265" s="392"/>
      <c r="S2265" s="61" ph="1"/>
      <c r="U2265" s="229"/>
      <c r="V2265" s="264"/>
      <c r="W2265" s="199"/>
      <c r="X2265" s="264"/>
      <c r="Y2265" s="264"/>
      <c r="Z2265" s="386"/>
      <c r="AD2265" s="264"/>
      <c r="AE2265" s="264"/>
      <c r="AF2265" s="264"/>
      <c r="AG2265" s="264"/>
    </row>
    <row r="2266" spans="1:33" ht="26.25">
      <c r="A2266" s="264"/>
      <c r="B2266" s="264"/>
      <c r="C2266" s="264"/>
      <c r="D2266" s="264"/>
      <c r="E2266" s="264"/>
      <c r="F2266" s="264"/>
      <c r="G2266" s="264"/>
      <c r="H2266" s="264"/>
      <c r="I2266" s="264"/>
      <c r="J2266" s="327"/>
      <c r="K2266" s="327"/>
      <c r="L2266" s="327"/>
      <c r="M2266" s="321"/>
      <c r="N2266" s="321"/>
      <c r="O2266" s="364"/>
      <c r="P2266" s="381"/>
      <c r="R2266" s="392"/>
      <c r="S2266" s="61" ph="1"/>
      <c r="U2266" s="229"/>
      <c r="V2266" s="264"/>
      <c r="W2266" s="199"/>
      <c r="X2266" s="264"/>
      <c r="Y2266" s="264"/>
      <c r="Z2266" s="386"/>
      <c r="AD2266" s="264"/>
      <c r="AE2266" s="264"/>
      <c r="AF2266" s="264"/>
      <c r="AG2266" s="264"/>
    </row>
    <row r="2267" spans="1:33" ht="26.25">
      <c r="A2267" s="264"/>
      <c r="B2267" s="264"/>
      <c r="C2267" s="264"/>
      <c r="D2267" s="264"/>
      <c r="E2267" s="264"/>
      <c r="F2267" s="264"/>
      <c r="G2267" s="264"/>
      <c r="H2267" s="264"/>
      <c r="I2267" s="264"/>
      <c r="J2267" s="327"/>
      <c r="K2267" s="327"/>
      <c r="L2267" s="327"/>
      <c r="M2267" s="321"/>
      <c r="N2267" s="321"/>
      <c r="O2267" s="364"/>
      <c r="P2267" s="381"/>
      <c r="R2267" s="392"/>
      <c r="S2267" s="61" ph="1"/>
      <c r="U2267" s="229"/>
      <c r="V2267" s="264"/>
      <c r="W2267" s="199"/>
      <c r="X2267" s="264"/>
      <c r="Y2267" s="264"/>
      <c r="Z2267" s="386"/>
      <c r="AD2267" s="264"/>
      <c r="AE2267" s="264"/>
      <c r="AF2267" s="264"/>
      <c r="AG2267" s="264"/>
    </row>
    <row r="2268" spans="1:33" ht="26.25">
      <c r="A2268" s="264"/>
      <c r="B2268" s="264"/>
      <c r="C2268" s="264"/>
      <c r="D2268" s="264"/>
      <c r="E2268" s="264"/>
      <c r="F2268" s="264"/>
      <c r="G2268" s="264"/>
      <c r="H2268" s="264"/>
      <c r="I2268" s="264"/>
      <c r="J2268" s="327"/>
      <c r="K2268" s="327"/>
      <c r="L2268" s="327"/>
      <c r="M2268" s="321"/>
      <c r="N2268" s="321"/>
      <c r="O2268" s="364"/>
      <c r="P2268" s="381"/>
      <c r="R2268" s="392"/>
      <c r="S2268" s="61" ph="1"/>
      <c r="U2268" s="229"/>
      <c r="V2268" s="264"/>
      <c r="W2268" s="199"/>
      <c r="X2268" s="264"/>
      <c r="Y2268" s="264"/>
      <c r="Z2268" s="386"/>
      <c r="AD2268" s="264"/>
      <c r="AE2268" s="264"/>
      <c r="AF2268" s="264"/>
      <c r="AG2268" s="264"/>
    </row>
    <row r="2269" spans="1:33" ht="26.25">
      <c r="A2269" s="264"/>
      <c r="B2269" s="264"/>
      <c r="C2269" s="264"/>
      <c r="D2269" s="264"/>
      <c r="E2269" s="264"/>
      <c r="F2269" s="264"/>
      <c r="G2269" s="264"/>
      <c r="H2269" s="264"/>
      <c r="I2269" s="264"/>
      <c r="J2269" s="327"/>
      <c r="K2269" s="327"/>
      <c r="L2269" s="327"/>
      <c r="M2269" s="321"/>
      <c r="N2269" s="321"/>
      <c r="O2269" s="364"/>
      <c r="P2269" s="381"/>
      <c r="R2269" s="392"/>
      <c r="S2269" s="61" ph="1"/>
      <c r="U2269" s="229"/>
      <c r="V2269" s="264"/>
      <c r="W2269" s="199"/>
      <c r="X2269" s="264"/>
      <c r="Y2269" s="264"/>
      <c r="Z2269" s="386"/>
      <c r="AD2269" s="264"/>
      <c r="AE2269" s="264"/>
      <c r="AF2269" s="264"/>
      <c r="AG2269" s="264"/>
    </row>
    <row r="2270" spans="1:33" ht="26.25">
      <c r="A2270" s="264"/>
      <c r="B2270" s="264"/>
      <c r="C2270" s="264"/>
      <c r="D2270" s="264"/>
      <c r="E2270" s="264"/>
      <c r="F2270" s="264"/>
      <c r="G2270" s="264"/>
      <c r="H2270" s="264"/>
      <c r="I2270" s="264"/>
      <c r="J2270" s="327"/>
      <c r="K2270" s="327"/>
      <c r="L2270" s="327"/>
      <c r="M2270" s="321"/>
      <c r="N2270" s="321"/>
      <c r="O2270" s="364"/>
      <c r="P2270" s="381"/>
      <c r="R2270" s="392"/>
      <c r="S2270" s="61" ph="1"/>
      <c r="U2270" s="229"/>
      <c r="V2270" s="264"/>
      <c r="W2270" s="199"/>
      <c r="X2270" s="264"/>
      <c r="Y2270" s="264"/>
      <c r="Z2270" s="386"/>
      <c r="AD2270" s="264"/>
      <c r="AE2270" s="264"/>
      <c r="AF2270" s="264"/>
      <c r="AG2270" s="264"/>
    </row>
    <row r="2271" spans="1:33" ht="26.25">
      <c r="A2271" s="264"/>
      <c r="B2271" s="264"/>
      <c r="C2271" s="264"/>
      <c r="D2271" s="264"/>
      <c r="E2271" s="264"/>
      <c r="F2271" s="264"/>
      <c r="G2271" s="264"/>
      <c r="H2271" s="264"/>
      <c r="I2271" s="264"/>
      <c r="J2271" s="327"/>
      <c r="K2271" s="327"/>
      <c r="L2271" s="327"/>
      <c r="M2271" s="321"/>
      <c r="N2271" s="321"/>
      <c r="O2271" s="364"/>
      <c r="P2271" s="381"/>
      <c r="R2271" s="392"/>
      <c r="S2271" s="61" ph="1"/>
      <c r="U2271" s="229"/>
      <c r="V2271" s="264"/>
      <c r="W2271" s="199"/>
      <c r="X2271" s="264"/>
      <c r="Y2271" s="264"/>
      <c r="Z2271" s="386"/>
      <c r="AD2271" s="264"/>
      <c r="AE2271" s="264"/>
      <c r="AF2271" s="264"/>
      <c r="AG2271" s="264"/>
    </row>
    <row r="2272" spans="1:33" ht="26.25">
      <c r="A2272" s="264"/>
      <c r="B2272" s="264"/>
      <c r="C2272" s="264"/>
      <c r="D2272" s="264"/>
      <c r="E2272" s="264"/>
      <c r="F2272" s="264"/>
      <c r="G2272" s="264"/>
      <c r="H2272" s="264"/>
      <c r="I2272" s="264"/>
      <c r="J2272" s="327"/>
      <c r="K2272" s="327"/>
      <c r="L2272" s="327"/>
      <c r="M2272" s="321"/>
      <c r="N2272" s="321"/>
      <c r="O2272" s="364"/>
      <c r="P2272" s="381"/>
      <c r="R2272" s="392"/>
      <c r="S2272" s="61" ph="1"/>
      <c r="U2272" s="229"/>
      <c r="V2272" s="264"/>
      <c r="W2272" s="199"/>
      <c r="X2272" s="264"/>
      <c r="Y2272" s="264"/>
      <c r="Z2272" s="386"/>
      <c r="AD2272" s="264"/>
      <c r="AE2272" s="264"/>
      <c r="AF2272" s="264"/>
      <c r="AG2272" s="264"/>
    </row>
    <row r="2273" spans="1:33" ht="26.25">
      <c r="A2273" s="264"/>
      <c r="B2273" s="264"/>
      <c r="C2273" s="264"/>
      <c r="D2273" s="264"/>
      <c r="E2273" s="264"/>
      <c r="F2273" s="264"/>
      <c r="G2273" s="264"/>
      <c r="H2273" s="264"/>
      <c r="I2273" s="264"/>
      <c r="J2273" s="327"/>
      <c r="K2273" s="327"/>
      <c r="L2273" s="327"/>
      <c r="M2273" s="321"/>
      <c r="N2273" s="321"/>
      <c r="O2273" s="364"/>
      <c r="P2273" s="381"/>
      <c r="R2273" s="392"/>
      <c r="S2273" s="61" ph="1"/>
      <c r="U2273" s="229"/>
      <c r="V2273" s="264"/>
      <c r="W2273" s="199"/>
      <c r="X2273" s="264"/>
      <c r="Y2273" s="264"/>
      <c r="Z2273" s="386"/>
      <c r="AD2273" s="264"/>
      <c r="AE2273" s="264"/>
      <c r="AF2273" s="264"/>
      <c r="AG2273" s="264"/>
    </row>
    <row r="2274" spans="1:33" ht="26.25">
      <c r="A2274" s="264"/>
      <c r="B2274" s="264"/>
      <c r="C2274" s="264"/>
      <c r="D2274" s="264"/>
      <c r="E2274" s="264"/>
      <c r="F2274" s="264"/>
      <c r="G2274" s="264"/>
      <c r="H2274" s="264"/>
      <c r="I2274" s="264"/>
      <c r="J2274" s="327"/>
      <c r="K2274" s="327"/>
      <c r="L2274" s="327"/>
      <c r="M2274" s="321"/>
      <c r="N2274" s="321"/>
      <c r="O2274" s="364"/>
      <c r="P2274" s="381"/>
      <c r="R2274" s="392"/>
      <c r="S2274" s="61" ph="1"/>
      <c r="U2274" s="229"/>
      <c r="V2274" s="264"/>
      <c r="W2274" s="199"/>
      <c r="X2274" s="264"/>
      <c r="Y2274" s="264"/>
      <c r="Z2274" s="386"/>
      <c r="AD2274" s="264"/>
      <c r="AE2274" s="264"/>
      <c r="AF2274" s="264"/>
      <c r="AG2274" s="264"/>
    </row>
    <row r="2275" spans="1:33" ht="26.25">
      <c r="A2275" s="264"/>
      <c r="B2275" s="264"/>
      <c r="C2275" s="264"/>
      <c r="D2275" s="264"/>
      <c r="E2275" s="264"/>
      <c r="F2275" s="264"/>
      <c r="G2275" s="264"/>
      <c r="H2275" s="264"/>
      <c r="I2275" s="264"/>
      <c r="J2275" s="327"/>
      <c r="K2275" s="327"/>
      <c r="L2275" s="327"/>
      <c r="M2275" s="321"/>
      <c r="N2275" s="321"/>
      <c r="O2275" s="364"/>
      <c r="P2275" s="381"/>
      <c r="R2275" s="392"/>
      <c r="S2275" s="61" ph="1"/>
      <c r="U2275" s="229"/>
      <c r="V2275" s="264"/>
      <c r="W2275" s="199"/>
      <c r="X2275" s="264"/>
      <c r="Y2275" s="264"/>
      <c r="Z2275" s="386"/>
      <c r="AD2275" s="264"/>
      <c r="AE2275" s="264"/>
      <c r="AF2275" s="264"/>
      <c r="AG2275" s="264"/>
    </row>
    <row r="2276" spans="1:33" ht="26.25">
      <c r="A2276" s="264"/>
      <c r="B2276" s="264"/>
      <c r="C2276" s="264"/>
      <c r="D2276" s="264"/>
      <c r="E2276" s="264"/>
      <c r="F2276" s="264"/>
      <c r="G2276" s="264"/>
      <c r="H2276" s="264"/>
      <c r="I2276" s="264"/>
      <c r="J2276" s="327"/>
      <c r="K2276" s="327"/>
      <c r="L2276" s="327"/>
      <c r="M2276" s="321"/>
      <c r="N2276" s="321"/>
      <c r="O2276" s="364"/>
      <c r="P2276" s="381"/>
      <c r="R2276" s="392"/>
      <c r="S2276" s="61" ph="1"/>
      <c r="U2276" s="229"/>
      <c r="V2276" s="264"/>
      <c r="W2276" s="199"/>
      <c r="X2276" s="264"/>
      <c r="Y2276" s="264"/>
      <c r="Z2276" s="386"/>
      <c r="AD2276" s="264"/>
      <c r="AE2276" s="264"/>
      <c r="AF2276" s="264"/>
      <c r="AG2276" s="264"/>
    </row>
    <row r="2277" spans="1:33" ht="26.25">
      <c r="A2277" s="264"/>
      <c r="B2277" s="264"/>
      <c r="C2277" s="264"/>
      <c r="D2277" s="264"/>
      <c r="E2277" s="264"/>
      <c r="F2277" s="264"/>
      <c r="G2277" s="264"/>
      <c r="H2277" s="264"/>
      <c r="I2277" s="264"/>
      <c r="J2277" s="327"/>
      <c r="K2277" s="327"/>
      <c r="L2277" s="327"/>
      <c r="M2277" s="321"/>
      <c r="N2277" s="321"/>
      <c r="O2277" s="364"/>
      <c r="P2277" s="381"/>
      <c r="R2277" s="392"/>
      <c r="S2277" s="61" ph="1"/>
      <c r="U2277" s="229"/>
      <c r="V2277" s="264"/>
      <c r="W2277" s="199"/>
      <c r="X2277" s="264"/>
      <c r="Y2277" s="264"/>
      <c r="Z2277" s="386"/>
      <c r="AD2277" s="264"/>
      <c r="AE2277" s="264"/>
      <c r="AF2277" s="264"/>
      <c r="AG2277" s="264"/>
    </row>
    <row r="2278" spans="1:33" ht="26.25">
      <c r="A2278" s="264"/>
      <c r="B2278" s="264"/>
      <c r="C2278" s="264"/>
      <c r="D2278" s="264"/>
      <c r="E2278" s="264"/>
      <c r="F2278" s="264"/>
      <c r="G2278" s="264"/>
      <c r="H2278" s="264"/>
      <c r="I2278" s="264"/>
      <c r="J2278" s="327"/>
      <c r="K2278" s="327"/>
      <c r="L2278" s="327"/>
      <c r="M2278" s="321"/>
      <c r="N2278" s="321"/>
      <c r="O2278" s="364"/>
      <c r="P2278" s="381"/>
      <c r="R2278" s="392"/>
      <c r="S2278" s="61" ph="1"/>
      <c r="U2278" s="229"/>
      <c r="V2278" s="264"/>
      <c r="W2278" s="199"/>
      <c r="X2278" s="264"/>
      <c r="Y2278" s="264"/>
      <c r="Z2278" s="386"/>
      <c r="AD2278" s="264"/>
      <c r="AE2278" s="264"/>
      <c r="AF2278" s="264"/>
      <c r="AG2278" s="264"/>
    </row>
    <row r="2279" spans="1:33" ht="26.25">
      <c r="A2279" s="264"/>
      <c r="B2279" s="264"/>
      <c r="C2279" s="264"/>
      <c r="D2279" s="264"/>
      <c r="E2279" s="264"/>
      <c r="F2279" s="264"/>
      <c r="G2279" s="264"/>
      <c r="H2279" s="264"/>
      <c r="I2279" s="264"/>
      <c r="J2279" s="327"/>
      <c r="K2279" s="327"/>
      <c r="L2279" s="327"/>
      <c r="M2279" s="321"/>
      <c r="N2279" s="321"/>
      <c r="O2279" s="364"/>
      <c r="P2279" s="381"/>
      <c r="R2279" s="392"/>
      <c r="S2279" s="61" ph="1"/>
      <c r="U2279" s="229"/>
      <c r="V2279" s="264"/>
      <c r="W2279" s="199"/>
      <c r="X2279" s="264"/>
      <c r="Y2279" s="264"/>
      <c r="Z2279" s="386"/>
      <c r="AD2279" s="264"/>
      <c r="AE2279" s="264"/>
      <c r="AF2279" s="264"/>
      <c r="AG2279" s="264"/>
    </row>
    <row r="2280" spans="1:33" ht="26.25">
      <c r="A2280" s="264"/>
      <c r="B2280" s="264"/>
      <c r="C2280" s="264"/>
      <c r="D2280" s="264"/>
      <c r="E2280" s="264"/>
      <c r="F2280" s="264"/>
      <c r="G2280" s="264"/>
      <c r="H2280" s="264"/>
      <c r="I2280" s="264"/>
      <c r="J2280" s="327"/>
      <c r="K2280" s="327"/>
      <c r="L2280" s="327"/>
      <c r="M2280" s="321"/>
      <c r="N2280" s="321"/>
      <c r="O2280" s="364"/>
      <c r="P2280" s="381"/>
      <c r="R2280" s="392"/>
      <c r="S2280" s="61" ph="1"/>
      <c r="U2280" s="229"/>
      <c r="V2280" s="264"/>
      <c r="W2280" s="199"/>
      <c r="X2280" s="264"/>
      <c r="Y2280" s="264"/>
      <c r="Z2280" s="386"/>
      <c r="AD2280" s="264"/>
      <c r="AE2280" s="264"/>
      <c r="AF2280" s="264"/>
      <c r="AG2280" s="264"/>
    </row>
    <row r="2281" spans="1:33" ht="26.25">
      <c r="A2281" s="264"/>
      <c r="B2281" s="264"/>
      <c r="C2281" s="264"/>
      <c r="D2281" s="264"/>
      <c r="E2281" s="264"/>
      <c r="F2281" s="264"/>
      <c r="G2281" s="264"/>
      <c r="H2281" s="264"/>
      <c r="I2281" s="264"/>
      <c r="J2281" s="327"/>
      <c r="K2281" s="327"/>
      <c r="L2281" s="327"/>
      <c r="M2281" s="321"/>
      <c r="N2281" s="321"/>
      <c r="O2281" s="364"/>
      <c r="P2281" s="381"/>
      <c r="R2281" s="392"/>
      <c r="S2281" s="61" ph="1"/>
      <c r="U2281" s="229"/>
      <c r="V2281" s="264"/>
      <c r="W2281" s="199"/>
      <c r="X2281" s="264"/>
      <c r="Y2281" s="264"/>
      <c r="Z2281" s="386"/>
      <c r="AD2281" s="264"/>
      <c r="AE2281" s="264"/>
      <c r="AF2281" s="264"/>
      <c r="AG2281" s="264"/>
    </row>
    <row r="2282" spans="1:33" ht="26.25">
      <c r="A2282" s="264"/>
      <c r="B2282" s="264"/>
      <c r="C2282" s="264"/>
      <c r="D2282" s="264"/>
      <c r="E2282" s="264"/>
      <c r="F2282" s="264"/>
      <c r="G2282" s="264"/>
      <c r="H2282" s="264"/>
      <c r="I2282" s="264"/>
      <c r="J2282" s="327"/>
      <c r="K2282" s="327"/>
      <c r="L2282" s="327"/>
      <c r="M2282" s="321"/>
      <c r="N2282" s="321"/>
      <c r="O2282" s="364"/>
      <c r="P2282" s="381"/>
      <c r="R2282" s="392"/>
      <c r="S2282" s="61" ph="1"/>
      <c r="U2282" s="229"/>
      <c r="V2282" s="264"/>
      <c r="W2282" s="199"/>
      <c r="X2282" s="264"/>
      <c r="Y2282" s="264"/>
      <c r="Z2282" s="386"/>
      <c r="AD2282" s="264"/>
      <c r="AE2282" s="264"/>
      <c r="AF2282" s="264"/>
      <c r="AG2282" s="264"/>
    </row>
    <row r="2283" spans="1:33" ht="26.25">
      <c r="A2283" s="264"/>
      <c r="B2283" s="264"/>
      <c r="C2283" s="264"/>
      <c r="D2283" s="264"/>
      <c r="E2283" s="264"/>
      <c r="F2283" s="264"/>
      <c r="G2283" s="264"/>
      <c r="H2283" s="264"/>
      <c r="I2283" s="264"/>
      <c r="J2283" s="327"/>
      <c r="K2283" s="327"/>
      <c r="L2283" s="327"/>
      <c r="M2283" s="321"/>
      <c r="N2283" s="321"/>
      <c r="O2283" s="364"/>
      <c r="P2283" s="381"/>
      <c r="R2283" s="392"/>
      <c r="S2283" s="61" ph="1"/>
      <c r="U2283" s="229"/>
      <c r="V2283" s="264"/>
      <c r="W2283" s="199"/>
      <c r="X2283" s="264"/>
      <c r="Y2283" s="264"/>
      <c r="Z2283" s="386"/>
      <c r="AD2283" s="264"/>
      <c r="AE2283" s="264"/>
      <c r="AF2283" s="264"/>
      <c r="AG2283" s="264"/>
    </row>
    <row r="2284" spans="1:33" ht="26.25">
      <c r="A2284" s="264"/>
      <c r="B2284" s="264"/>
      <c r="C2284" s="264"/>
      <c r="D2284" s="264"/>
      <c r="E2284" s="264"/>
      <c r="F2284" s="264"/>
      <c r="G2284" s="264"/>
      <c r="H2284" s="264"/>
      <c r="I2284" s="264"/>
      <c r="J2284" s="327"/>
      <c r="K2284" s="327"/>
      <c r="L2284" s="327"/>
      <c r="M2284" s="321"/>
      <c r="N2284" s="321"/>
      <c r="O2284" s="364"/>
      <c r="P2284" s="381"/>
      <c r="R2284" s="392"/>
      <c r="S2284" s="61" ph="1"/>
      <c r="U2284" s="229"/>
      <c r="V2284" s="264"/>
      <c r="W2284" s="199"/>
      <c r="X2284" s="264"/>
      <c r="Y2284" s="264"/>
      <c r="Z2284" s="386"/>
      <c r="AD2284" s="264"/>
      <c r="AE2284" s="264"/>
      <c r="AF2284" s="264"/>
      <c r="AG2284" s="264"/>
    </row>
    <row r="2285" spans="1:33" ht="26.25">
      <c r="A2285" s="264"/>
      <c r="B2285" s="264"/>
      <c r="C2285" s="264"/>
      <c r="D2285" s="264"/>
      <c r="E2285" s="264"/>
      <c r="F2285" s="264"/>
      <c r="G2285" s="264"/>
      <c r="H2285" s="264"/>
      <c r="I2285" s="264"/>
      <c r="J2285" s="327"/>
      <c r="K2285" s="327"/>
      <c r="L2285" s="327"/>
      <c r="M2285" s="321"/>
      <c r="N2285" s="321"/>
      <c r="O2285" s="364"/>
      <c r="P2285" s="381"/>
      <c r="R2285" s="392"/>
      <c r="S2285" s="61" ph="1"/>
      <c r="U2285" s="229"/>
      <c r="V2285" s="264"/>
      <c r="W2285" s="199"/>
      <c r="X2285" s="264"/>
      <c r="Y2285" s="264"/>
      <c r="Z2285" s="386"/>
      <c r="AD2285" s="264"/>
      <c r="AE2285" s="264"/>
      <c r="AF2285" s="264"/>
      <c r="AG2285" s="264"/>
    </row>
    <row r="2286" spans="1:33" ht="26.25">
      <c r="A2286" s="264"/>
      <c r="B2286" s="264"/>
      <c r="C2286" s="264"/>
      <c r="D2286" s="264"/>
      <c r="E2286" s="264"/>
      <c r="F2286" s="264"/>
      <c r="G2286" s="264"/>
      <c r="H2286" s="264"/>
      <c r="I2286" s="264"/>
      <c r="J2286" s="327"/>
      <c r="K2286" s="327"/>
      <c r="L2286" s="327"/>
      <c r="M2286" s="321"/>
      <c r="N2286" s="321"/>
      <c r="O2286" s="364"/>
      <c r="P2286" s="381"/>
      <c r="R2286" s="392"/>
      <c r="S2286" s="61" ph="1"/>
      <c r="U2286" s="229"/>
      <c r="V2286" s="264"/>
      <c r="W2286" s="199"/>
      <c r="X2286" s="264"/>
      <c r="Y2286" s="264"/>
      <c r="Z2286" s="386"/>
      <c r="AD2286" s="264"/>
      <c r="AE2286" s="264"/>
      <c r="AF2286" s="264"/>
      <c r="AG2286" s="264"/>
    </row>
    <row r="2287" spans="1:33" ht="26.25">
      <c r="A2287" s="264"/>
      <c r="B2287" s="264"/>
      <c r="C2287" s="264"/>
      <c r="D2287" s="264"/>
      <c r="E2287" s="264"/>
      <c r="F2287" s="264"/>
      <c r="G2287" s="264"/>
      <c r="H2287" s="264"/>
      <c r="I2287" s="264"/>
      <c r="J2287" s="327"/>
      <c r="K2287" s="327"/>
      <c r="L2287" s="327"/>
      <c r="M2287" s="321"/>
      <c r="N2287" s="321"/>
      <c r="O2287" s="364"/>
      <c r="P2287" s="381"/>
      <c r="R2287" s="392"/>
      <c r="S2287" s="61" ph="1"/>
      <c r="U2287" s="229"/>
      <c r="V2287" s="264"/>
      <c r="W2287" s="199"/>
      <c r="X2287" s="264"/>
      <c r="Y2287" s="264"/>
      <c r="Z2287" s="386"/>
      <c r="AD2287" s="264"/>
      <c r="AE2287" s="264"/>
      <c r="AF2287" s="264"/>
      <c r="AG2287" s="264"/>
    </row>
    <row r="2288" spans="1:33" ht="26.25">
      <c r="A2288" s="264"/>
      <c r="B2288" s="264"/>
      <c r="C2288" s="264"/>
      <c r="D2288" s="264"/>
      <c r="E2288" s="264"/>
      <c r="F2288" s="264"/>
      <c r="G2288" s="264"/>
      <c r="H2288" s="264"/>
      <c r="I2288" s="264"/>
      <c r="J2288" s="327"/>
      <c r="K2288" s="327"/>
      <c r="L2288" s="327"/>
      <c r="M2288" s="321"/>
      <c r="N2288" s="321"/>
      <c r="O2288" s="364"/>
      <c r="P2288" s="381"/>
      <c r="R2288" s="392"/>
      <c r="S2288" s="61" ph="1"/>
      <c r="U2288" s="229"/>
      <c r="V2288" s="264"/>
      <c r="W2288" s="199"/>
      <c r="X2288" s="264"/>
      <c r="Y2288" s="264"/>
      <c r="Z2288" s="386"/>
      <c r="AD2288" s="264"/>
      <c r="AE2288" s="264"/>
      <c r="AF2288" s="264"/>
      <c r="AG2288" s="264"/>
    </row>
    <row r="2289" spans="1:33" ht="26.25">
      <c r="A2289" s="264"/>
      <c r="B2289" s="264"/>
      <c r="C2289" s="264"/>
      <c r="D2289" s="264"/>
      <c r="E2289" s="264"/>
      <c r="F2289" s="264"/>
      <c r="G2289" s="264"/>
      <c r="H2289" s="264"/>
      <c r="I2289" s="264"/>
      <c r="J2289" s="327"/>
      <c r="K2289" s="327"/>
      <c r="L2289" s="327"/>
      <c r="M2289" s="321"/>
      <c r="N2289" s="321"/>
      <c r="O2289" s="364"/>
      <c r="P2289" s="381"/>
      <c r="R2289" s="392"/>
      <c r="S2289" s="61" ph="1"/>
      <c r="U2289" s="229"/>
      <c r="V2289" s="264"/>
      <c r="W2289" s="199"/>
      <c r="X2289" s="264"/>
      <c r="Y2289" s="264"/>
      <c r="Z2289" s="386"/>
      <c r="AD2289" s="264"/>
      <c r="AE2289" s="264"/>
      <c r="AF2289" s="264"/>
      <c r="AG2289" s="264"/>
    </row>
    <row r="2290" spans="1:33" ht="26.25">
      <c r="A2290" s="264"/>
      <c r="B2290" s="264"/>
      <c r="C2290" s="264"/>
      <c r="D2290" s="264"/>
      <c r="E2290" s="264"/>
      <c r="F2290" s="264"/>
      <c r="G2290" s="264"/>
      <c r="H2290" s="264"/>
      <c r="I2290" s="264"/>
      <c r="J2290" s="327"/>
      <c r="K2290" s="327"/>
      <c r="L2290" s="327"/>
      <c r="M2290" s="321"/>
      <c r="N2290" s="321"/>
      <c r="O2290" s="364"/>
      <c r="P2290" s="381"/>
      <c r="R2290" s="392"/>
      <c r="S2290" s="61" ph="1"/>
      <c r="U2290" s="229"/>
      <c r="V2290" s="264"/>
      <c r="W2290" s="199"/>
      <c r="X2290" s="264"/>
      <c r="Y2290" s="264"/>
      <c r="Z2290" s="386"/>
      <c r="AD2290" s="264"/>
      <c r="AE2290" s="264"/>
      <c r="AF2290" s="264"/>
      <c r="AG2290" s="264"/>
    </row>
    <row r="2291" spans="1:33" ht="26.25">
      <c r="A2291" s="264"/>
      <c r="B2291" s="264"/>
      <c r="C2291" s="264"/>
      <c r="D2291" s="264"/>
      <c r="E2291" s="264"/>
      <c r="F2291" s="264"/>
      <c r="G2291" s="264"/>
      <c r="H2291" s="264"/>
      <c r="I2291" s="264"/>
      <c r="J2291" s="327"/>
      <c r="K2291" s="327"/>
      <c r="L2291" s="327"/>
      <c r="M2291" s="321"/>
      <c r="N2291" s="321"/>
      <c r="O2291" s="364"/>
      <c r="P2291" s="381"/>
      <c r="R2291" s="392"/>
      <c r="S2291" s="61" ph="1"/>
      <c r="U2291" s="229"/>
      <c r="V2291" s="264"/>
      <c r="W2291" s="199"/>
      <c r="X2291" s="264"/>
      <c r="Y2291" s="264"/>
      <c r="Z2291" s="386"/>
      <c r="AD2291" s="264"/>
      <c r="AE2291" s="264"/>
      <c r="AF2291" s="264"/>
      <c r="AG2291" s="264"/>
    </row>
    <row r="2292" spans="1:33" ht="26.25">
      <c r="A2292" s="264"/>
      <c r="B2292" s="264"/>
      <c r="C2292" s="264"/>
      <c r="D2292" s="264"/>
      <c r="E2292" s="264"/>
      <c r="F2292" s="264"/>
      <c r="G2292" s="264"/>
      <c r="H2292" s="264"/>
      <c r="I2292" s="264"/>
      <c r="J2292" s="327"/>
      <c r="K2292" s="327"/>
      <c r="L2292" s="327"/>
      <c r="M2292" s="321"/>
      <c r="N2292" s="321"/>
      <c r="O2292" s="364"/>
      <c r="P2292" s="381"/>
      <c r="R2292" s="392"/>
      <c r="S2292" s="61" ph="1"/>
      <c r="U2292" s="229"/>
      <c r="V2292" s="264"/>
      <c r="W2292" s="199"/>
      <c r="X2292" s="264"/>
      <c r="Y2292" s="264"/>
      <c r="Z2292" s="386"/>
      <c r="AD2292" s="264"/>
      <c r="AE2292" s="264"/>
      <c r="AF2292" s="264"/>
      <c r="AG2292" s="264"/>
    </row>
    <row r="2293" spans="1:33" ht="26.25">
      <c r="A2293" s="264"/>
      <c r="B2293" s="264"/>
      <c r="C2293" s="264"/>
      <c r="D2293" s="264"/>
      <c r="E2293" s="264"/>
      <c r="F2293" s="264"/>
      <c r="G2293" s="264"/>
      <c r="H2293" s="264"/>
      <c r="I2293" s="264"/>
      <c r="J2293" s="327"/>
      <c r="K2293" s="327"/>
      <c r="L2293" s="327"/>
      <c r="M2293" s="321"/>
      <c r="N2293" s="321"/>
      <c r="O2293" s="364"/>
      <c r="P2293" s="381"/>
      <c r="R2293" s="392"/>
      <c r="S2293" s="61" ph="1"/>
      <c r="U2293" s="229"/>
      <c r="V2293" s="264"/>
      <c r="W2293" s="199"/>
      <c r="X2293" s="264"/>
      <c r="Y2293" s="264"/>
      <c r="Z2293" s="386"/>
      <c r="AD2293" s="264"/>
      <c r="AE2293" s="264"/>
      <c r="AF2293" s="264"/>
      <c r="AG2293" s="264"/>
    </row>
    <row r="2294" spans="1:33" ht="26.25">
      <c r="A2294" s="264"/>
      <c r="B2294" s="264"/>
      <c r="C2294" s="264"/>
      <c r="D2294" s="264"/>
      <c r="E2294" s="264"/>
      <c r="F2294" s="264"/>
      <c r="G2294" s="264"/>
      <c r="H2294" s="264"/>
      <c r="I2294" s="264"/>
      <c r="J2294" s="327"/>
      <c r="K2294" s="327"/>
      <c r="L2294" s="327"/>
      <c r="M2294" s="321"/>
      <c r="N2294" s="321"/>
      <c r="O2294" s="364"/>
      <c r="P2294" s="381"/>
      <c r="R2294" s="392"/>
      <c r="S2294" s="61" ph="1"/>
      <c r="U2294" s="229"/>
      <c r="V2294" s="264"/>
      <c r="W2294" s="199"/>
      <c r="X2294" s="264"/>
      <c r="Y2294" s="264"/>
      <c r="Z2294" s="386"/>
      <c r="AD2294" s="264"/>
      <c r="AE2294" s="264"/>
      <c r="AF2294" s="264"/>
      <c r="AG2294" s="264"/>
    </row>
    <row r="2295" spans="1:33" ht="26.25">
      <c r="A2295" s="264"/>
      <c r="B2295" s="264"/>
      <c r="C2295" s="264"/>
      <c r="D2295" s="264"/>
      <c r="E2295" s="264"/>
      <c r="F2295" s="264"/>
      <c r="G2295" s="264"/>
      <c r="H2295" s="264"/>
      <c r="I2295" s="264"/>
      <c r="J2295" s="327"/>
      <c r="K2295" s="327"/>
      <c r="L2295" s="327"/>
      <c r="M2295" s="321"/>
      <c r="N2295" s="321"/>
      <c r="O2295" s="364"/>
      <c r="P2295" s="381"/>
      <c r="R2295" s="392"/>
      <c r="S2295" s="61" ph="1"/>
      <c r="U2295" s="229"/>
      <c r="V2295" s="264"/>
      <c r="W2295" s="199"/>
      <c r="X2295" s="264"/>
      <c r="Y2295" s="264"/>
      <c r="Z2295" s="386"/>
      <c r="AD2295" s="264"/>
      <c r="AE2295" s="264"/>
      <c r="AF2295" s="264"/>
      <c r="AG2295" s="264"/>
    </row>
    <row r="2296" spans="1:33" ht="26.25">
      <c r="A2296" s="264"/>
      <c r="B2296" s="264"/>
      <c r="C2296" s="264"/>
      <c r="D2296" s="264"/>
      <c r="E2296" s="264"/>
      <c r="F2296" s="264"/>
      <c r="G2296" s="264"/>
      <c r="H2296" s="264"/>
      <c r="I2296" s="264"/>
      <c r="J2296" s="327"/>
      <c r="K2296" s="327"/>
      <c r="L2296" s="327"/>
      <c r="M2296" s="321"/>
      <c r="N2296" s="321"/>
      <c r="O2296" s="364"/>
      <c r="P2296" s="381"/>
      <c r="R2296" s="392"/>
      <c r="S2296" s="61" ph="1"/>
      <c r="U2296" s="229"/>
      <c r="V2296" s="264"/>
      <c r="W2296" s="199"/>
      <c r="X2296" s="264"/>
      <c r="Y2296" s="264"/>
      <c r="Z2296" s="386"/>
      <c r="AD2296" s="264"/>
      <c r="AE2296" s="264"/>
      <c r="AF2296" s="264"/>
      <c r="AG2296" s="264"/>
    </row>
    <row r="2297" spans="1:33" ht="26.25">
      <c r="A2297" s="264"/>
      <c r="B2297" s="264"/>
      <c r="C2297" s="264"/>
      <c r="D2297" s="264"/>
      <c r="E2297" s="264"/>
      <c r="F2297" s="264"/>
      <c r="G2297" s="264"/>
      <c r="H2297" s="264"/>
      <c r="I2297" s="264"/>
      <c r="J2297" s="327"/>
      <c r="K2297" s="327"/>
      <c r="L2297" s="327"/>
      <c r="M2297" s="321"/>
      <c r="N2297" s="321"/>
      <c r="O2297" s="364"/>
      <c r="P2297" s="381"/>
      <c r="R2297" s="392"/>
      <c r="S2297" s="61" ph="1"/>
      <c r="U2297" s="229"/>
      <c r="V2297" s="264"/>
      <c r="W2297" s="199"/>
      <c r="X2297" s="264"/>
      <c r="Y2297" s="264"/>
      <c r="Z2297" s="386"/>
      <c r="AD2297" s="264"/>
      <c r="AE2297" s="264"/>
      <c r="AF2297" s="264"/>
      <c r="AG2297" s="264"/>
    </row>
    <row r="2298" spans="1:33" ht="26.25">
      <c r="A2298" s="264"/>
      <c r="B2298" s="264"/>
      <c r="C2298" s="264"/>
      <c r="D2298" s="264"/>
      <c r="E2298" s="264"/>
      <c r="F2298" s="264"/>
      <c r="G2298" s="264"/>
      <c r="H2298" s="264"/>
      <c r="I2298" s="264"/>
      <c r="J2298" s="327"/>
      <c r="K2298" s="327"/>
      <c r="L2298" s="327"/>
      <c r="M2298" s="321"/>
      <c r="N2298" s="321"/>
      <c r="O2298" s="364"/>
      <c r="P2298" s="381"/>
      <c r="R2298" s="392"/>
      <c r="S2298" s="61" ph="1"/>
      <c r="U2298" s="229"/>
      <c r="V2298" s="264"/>
      <c r="W2298" s="199"/>
      <c r="X2298" s="264"/>
      <c r="Y2298" s="264"/>
      <c r="Z2298" s="386"/>
      <c r="AD2298" s="264"/>
      <c r="AE2298" s="264"/>
      <c r="AF2298" s="264"/>
      <c r="AG2298" s="264"/>
    </row>
    <row r="2299" spans="1:33" ht="26.25">
      <c r="A2299" s="264"/>
      <c r="B2299" s="264"/>
      <c r="C2299" s="264"/>
      <c r="D2299" s="264"/>
      <c r="E2299" s="264"/>
      <c r="F2299" s="264"/>
      <c r="G2299" s="264"/>
      <c r="H2299" s="264"/>
      <c r="I2299" s="264"/>
      <c r="J2299" s="327"/>
      <c r="K2299" s="327"/>
      <c r="L2299" s="327"/>
      <c r="M2299" s="321"/>
      <c r="N2299" s="321"/>
      <c r="O2299" s="364"/>
      <c r="P2299" s="381"/>
      <c r="R2299" s="392"/>
      <c r="S2299" s="61" ph="1"/>
      <c r="U2299" s="229"/>
      <c r="V2299" s="264"/>
      <c r="W2299" s="199"/>
      <c r="X2299" s="264"/>
      <c r="Y2299" s="264"/>
      <c r="Z2299" s="386"/>
      <c r="AD2299" s="264"/>
      <c r="AE2299" s="264"/>
      <c r="AF2299" s="264"/>
      <c r="AG2299" s="264"/>
    </row>
    <row r="2300" spans="1:33" ht="26.25">
      <c r="A2300" s="264"/>
      <c r="B2300" s="264"/>
      <c r="C2300" s="264"/>
      <c r="D2300" s="264"/>
      <c r="E2300" s="264"/>
      <c r="F2300" s="264"/>
      <c r="G2300" s="264"/>
      <c r="H2300" s="264"/>
      <c r="I2300" s="264"/>
      <c r="J2300" s="327"/>
      <c r="K2300" s="327"/>
      <c r="L2300" s="327"/>
      <c r="M2300" s="321"/>
      <c r="N2300" s="321"/>
      <c r="O2300" s="364"/>
      <c r="P2300" s="381"/>
      <c r="R2300" s="392"/>
      <c r="S2300" s="61" ph="1"/>
      <c r="U2300" s="229"/>
      <c r="V2300" s="264"/>
      <c r="W2300" s="199"/>
      <c r="X2300" s="264"/>
      <c r="Y2300" s="264"/>
      <c r="Z2300" s="386"/>
      <c r="AD2300" s="264"/>
      <c r="AE2300" s="264"/>
      <c r="AF2300" s="264"/>
      <c r="AG2300" s="264"/>
    </row>
    <row r="2301" spans="1:33" ht="26.25">
      <c r="A2301" s="264"/>
      <c r="B2301" s="264"/>
      <c r="C2301" s="264"/>
      <c r="D2301" s="264"/>
      <c r="E2301" s="264"/>
      <c r="F2301" s="264"/>
      <c r="G2301" s="264"/>
      <c r="H2301" s="264"/>
      <c r="I2301" s="264"/>
      <c r="J2301" s="327"/>
      <c r="K2301" s="327"/>
      <c r="L2301" s="327"/>
      <c r="M2301" s="321"/>
      <c r="N2301" s="321"/>
      <c r="O2301" s="364"/>
      <c r="P2301" s="381"/>
      <c r="R2301" s="392"/>
      <c r="S2301" s="61" ph="1"/>
      <c r="U2301" s="229"/>
      <c r="V2301" s="264"/>
      <c r="W2301" s="199"/>
      <c r="X2301" s="264"/>
      <c r="Y2301" s="264"/>
      <c r="Z2301" s="386"/>
      <c r="AD2301" s="264"/>
      <c r="AE2301" s="264"/>
      <c r="AF2301" s="264"/>
      <c r="AG2301" s="264"/>
    </row>
    <row r="2302" spans="1:33" ht="26.25">
      <c r="A2302" s="264"/>
      <c r="B2302" s="264"/>
      <c r="C2302" s="264"/>
      <c r="D2302" s="264"/>
      <c r="E2302" s="264"/>
      <c r="F2302" s="264"/>
      <c r="G2302" s="264"/>
      <c r="H2302" s="264"/>
      <c r="I2302" s="264"/>
      <c r="J2302" s="327"/>
      <c r="K2302" s="327"/>
      <c r="L2302" s="327"/>
      <c r="M2302" s="321"/>
      <c r="N2302" s="321"/>
      <c r="O2302" s="364"/>
      <c r="P2302" s="381"/>
      <c r="R2302" s="392"/>
      <c r="S2302" s="61" ph="1"/>
      <c r="U2302" s="229"/>
      <c r="V2302" s="264"/>
      <c r="W2302" s="199"/>
      <c r="X2302" s="264"/>
      <c r="Y2302" s="264"/>
      <c r="Z2302" s="386"/>
      <c r="AD2302" s="264"/>
      <c r="AE2302" s="264"/>
      <c r="AF2302" s="264"/>
      <c r="AG2302" s="264"/>
    </row>
    <row r="2303" spans="1:33" ht="26.25">
      <c r="A2303" s="264"/>
      <c r="B2303" s="264"/>
      <c r="C2303" s="264"/>
      <c r="D2303" s="264"/>
      <c r="E2303" s="264"/>
      <c r="F2303" s="264"/>
      <c r="G2303" s="264"/>
      <c r="H2303" s="264"/>
      <c r="I2303" s="264"/>
      <c r="J2303" s="327"/>
      <c r="K2303" s="327"/>
      <c r="L2303" s="327"/>
      <c r="M2303" s="321"/>
      <c r="N2303" s="321"/>
      <c r="O2303" s="364"/>
      <c r="P2303" s="381"/>
      <c r="R2303" s="392"/>
      <c r="S2303" s="61" ph="1"/>
      <c r="U2303" s="229"/>
      <c r="V2303" s="264"/>
      <c r="W2303" s="199"/>
      <c r="X2303" s="264"/>
      <c r="Y2303" s="264"/>
      <c r="Z2303" s="386"/>
      <c r="AD2303" s="264"/>
      <c r="AE2303" s="264"/>
      <c r="AF2303" s="264"/>
      <c r="AG2303" s="264"/>
    </row>
    <row r="2304" spans="1:33" ht="26.25">
      <c r="A2304" s="264"/>
      <c r="B2304" s="264"/>
      <c r="C2304" s="264"/>
      <c r="D2304" s="264"/>
      <c r="E2304" s="264"/>
      <c r="F2304" s="264"/>
      <c r="G2304" s="264"/>
      <c r="H2304" s="264"/>
      <c r="I2304" s="264"/>
      <c r="J2304" s="327"/>
      <c r="K2304" s="327"/>
      <c r="L2304" s="327"/>
      <c r="M2304" s="321"/>
      <c r="N2304" s="321"/>
      <c r="O2304" s="364"/>
      <c r="P2304" s="381"/>
      <c r="R2304" s="392"/>
      <c r="S2304" s="61" ph="1"/>
      <c r="U2304" s="229"/>
      <c r="V2304" s="264"/>
      <c r="W2304" s="199"/>
      <c r="X2304" s="264"/>
      <c r="Y2304" s="264"/>
      <c r="Z2304" s="386"/>
      <c r="AD2304" s="264"/>
      <c r="AE2304" s="264"/>
      <c r="AF2304" s="264"/>
      <c r="AG2304" s="264"/>
    </row>
    <row r="2305" spans="1:33" ht="26.25">
      <c r="A2305" s="264"/>
      <c r="B2305" s="264"/>
      <c r="C2305" s="264"/>
      <c r="D2305" s="264"/>
      <c r="E2305" s="264"/>
      <c r="F2305" s="264"/>
      <c r="G2305" s="264"/>
      <c r="H2305" s="264"/>
      <c r="I2305" s="264"/>
      <c r="J2305" s="327"/>
      <c r="K2305" s="327"/>
      <c r="L2305" s="327"/>
      <c r="M2305" s="321"/>
      <c r="N2305" s="321"/>
      <c r="O2305" s="364"/>
      <c r="P2305" s="381"/>
      <c r="R2305" s="392"/>
      <c r="S2305" s="61" ph="1"/>
      <c r="U2305" s="229"/>
      <c r="V2305" s="264"/>
      <c r="W2305" s="199"/>
      <c r="X2305" s="264"/>
      <c r="Y2305" s="264"/>
      <c r="Z2305" s="386"/>
      <c r="AD2305" s="264"/>
      <c r="AE2305" s="264"/>
      <c r="AF2305" s="264"/>
      <c r="AG2305" s="264"/>
    </row>
    <row r="2306" spans="1:33" ht="26.25">
      <c r="A2306" s="264"/>
      <c r="B2306" s="264"/>
      <c r="C2306" s="264"/>
      <c r="D2306" s="264"/>
      <c r="E2306" s="264"/>
      <c r="F2306" s="264"/>
      <c r="G2306" s="264"/>
      <c r="H2306" s="264"/>
      <c r="I2306" s="264"/>
      <c r="J2306" s="327"/>
      <c r="K2306" s="327"/>
      <c r="L2306" s="327"/>
      <c r="M2306" s="321"/>
      <c r="N2306" s="321"/>
      <c r="O2306" s="364"/>
      <c r="P2306" s="381"/>
      <c r="R2306" s="392"/>
      <c r="S2306" s="61" ph="1"/>
      <c r="U2306" s="229"/>
      <c r="V2306" s="264"/>
      <c r="W2306" s="199"/>
      <c r="X2306" s="264"/>
      <c r="Y2306" s="264"/>
      <c r="Z2306" s="386"/>
      <c r="AD2306" s="264"/>
      <c r="AE2306" s="264"/>
      <c r="AF2306" s="264"/>
      <c r="AG2306" s="264"/>
    </row>
    <row r="2307" spans="1:33" ht="26.25">
      <c r="A2307" s="264"/>
      <c r="B2307" s="264"/>
      <c r="C2307" s="264"/>
      <c r="D2307" s="264"/>
      <c r="E2307" s="264"/>
      <c r="F2307" s="264"/>
      <c r="G2307" s="264"/>
      <c r="H2307" s="264"/>
      <c r="I2307" s="264"/>
      <c r="J2307" s="327"/>
      <c r="K2307" s="327"/>
      <c r="L2307" s="327"/>
      <c r="M2307" s="321"/>
      <c r="N2307" s="321"/>
      <c r="O2307" s="364"/>
      <c r="P2307" s="381"/>
      <c r="R2307" s="392"/>
      <c r="S2307" s="61" ph="1"/>
      <c r="U2307" s="229"/>
      <c r="V2307" s="264"/>
      <c r="W2307" s="199"/>
      <c r="X2307" s="264"/>
      <c r="Y2307" s="264"/>
      <c r="Z2307" s="386"/>
      <c r="AD2307" s="264"/>
      <c r="AE2307" s="264"/>
      <c r="AF2307" s="264"/>
      <c r="AG2307" s="264"/>
    </row>
    <row r="2308" spans="1:33" ht="26.25">
      <c r="A2308" s="264"/>
      <c r="B2308" s="264"/>
      <c r="C2308" s="264"/>
      <c r="D2308" s="264"/>
      <c r="E2308" s="264"/>
      <c r="F2308" s="264"/>
      <c r="G2308" s="264"/>
      <c r="H2308" s="264"/>
      <c r="I2308" s="264"/>
      <c r="J2308" s="327"/>
      <c r="K2308" s="327"/>
      <c r="L2308" s="327"/>
      <c r="M2308" s="321"/>
      <c r="N2308" s="321"/>
      <c r="O2308" s="364"/>
      <c r="P2308" s="381"/>
      <c r="R2308" s="392"/>
      <c r="S2308" s="61" ph="1"/>
      <c r="U2308" s="229"/>
      <c r="V2308" s="264"/>
      <c r="W2308" s="199"/>
      <c r="X2308" s="264"/>
      <c r="Y2308" s="264"/>
      <c r="Z2308" s="386"/>
      <c r="AD2308" s="264"/>
      <c r="AE2308" s="264"/>
      <c r="AF2308" s="264"/>
      <c r="AG2308" s="264"/>
    </row>
    <row r="2309" spans="1:33" ht="26.25">
      <c r="A2309" s="264"/>
      <c r="B2309" s="264"/>
      <c r="C2309" s="264"/>
      <c r="D2309" s="264"/>
      <c r="E2309" s="264"/>
      <c r="F2309" s="264"/>
      <c r="G2309" s="264"/>
      <c r="H2309" s="264"/>
      <c r="I2309" s="264"/>
      <c r="J2309" s="327"/>
      <c r="K2309" s="327"/>
      <c r="L2309" s="327"/>
      <c r="M2309" s="321"/>
      <c r="N2309" s="321"/>
      <c r="O2309" s="364"/>
      <c r="P2309" s="381"/>
      <c r="R2309" s="392"/>
      <c r="S2309" s="61" ph="1"/>
      <c r="U2309" s="229"/>
      <c r="V2309" s="264"/>
      <c r="W2309" s="199"/>
      <c r="X2309" s="264"/>
      <c r="Y2309" s="264"/>
      <c r="Z2309" s="386"/>
      <c r="AD2309" s="264"/>
      <c r="AE2309" s="264"/>
      <c r="AF2309" s="264"/>
      <c r="AG2309" s="264"/>
    </row>
    <row r="2310" spans="1:33" ht="26.25">
      <c r="A2310" s="264"/>
      <c r="B2310" s="264"/>
      <c r="C2310" s="264"/>
      <c r="D2310" s="264"/>
      <c r="E2310" s="264"/>
      <c r="F2310" s="264"/>
      <c r="G2310" s="264"/>
      <c r="H2310" s="264"/>
      <c r="I2310" s="264"/>
      <c r="J2310" s="327"/>
      <c r="K2310" s="327"/>
      <c r="L2310" s="327"/>
      <c r="M2310" s="321"/>
      <c r="N2310" s="321"/>
      <c r="O2310" s="364"/>
      <c r="P2310" s="381"/>
      <c r="R2310" s="392"/>
      <c r="S2310" s="61" ph="1"/>
      <c r="U2310" s="229"/>
      <c r="V2310" s="264"/>
      <c r="W2310" s="199"/>
      <c r="X2310" s="264"/>
      <c r="Y2310" s="264"/>
      <c r="Z2310" s="386"/>
      <c r="AD2310" s="264"/>
      <c r="AE2310" s="264"/>
      <c r="AF2310" s="264"/>
      <c r="AG2310" s="264"/>
    </row>
    <row r="2311" spans="1:33" ht="26.25">
      <c r="A2311" s="264"/>
      <c r="B2311" s="264"/>
      <c r="C2311" s="264"/>
      <c r="D2311" s="264"/>
      <c r="E2311" s="264"/>
      <c r="F2311" s="264"/>
      <c r="G2311" s="264"/>
      <c r="H2311" s="264"/>
      <c r="I2311" s="264"/>
      <c r="J2311" s="327"/>
      <c r="K2311" s="327"/>
      <c r="L2311" s="327"/>
      <c r="M2311" s="321"/>
      <c r="N2311" s="321"/>
      <c r="O2311" s="364"/>
      <c r="P2311" s="381"/>
      <c r="R2311" s="392"/>
      <c r="S2311" s="61" ph="1"/>
      <c r="U2311" s="229"/>
      <c r="V2311" s="264"/>
      <c r="W2311" s="199"/>
      <c r="X2311" s="264"/>
      <c r="Y2311" s="264"/>
      <c r="Z2311" s="386"/>
      <c r="AD2311" s="264"/>
      <c r="AE2311" s="264"/>
      <c r="AF2311" s="264"/>
      <c r="AG2311" s="264"/>
    </row>
    <row r="2312" spans="1:33" ht="26.25">
      <c r="A2312" s="264"/>
      <c r="B2312" s="264"/>
      <c r="C2312" s="264"/>
      <c r="D2312" s="264"/>
      <c r="E2312" s="264"/>
      <c r="F2312" s="264"/>
      <c r="G2312" s="264"/>
      <c r="H2312" s="264"/>
      <c r="I2312" s="264"/>
      <c r="J2312" s="327"/>
      <c r="K2312" s="327"/>
      <c r="L2312" s="327"/>
      <c r="M2312" s="321"/>
      <c r="N2312" s="321"/>
      <c r="O2312" s="364"/>
      <c r="P2312" s="381"/>
      <c r="R2312" s="392"/>
      <c r="S2312" s="61" ph="1"/>
      <c r="U2312" s="229"/>
      <c r="V2312" s="264"/>
      <c r="W2312" s="199"/>
      <c r="X2312" s="264"/>
      <c r="Y2312" s="264"/>
      <c r="Z2312" s="386"/>
      <c r="AD2312" s="264"/>
      <c r="AE2312" s="264"/>
      <c r="AF2312" s="264"/>
      <c r="AG2312" s="264"/>
    </row>
    <row r="2313" spans="1:33" ht="26.25">
      <c r="A2313" s="264"/>
      <c r="B2313" s="264"/>
      <c r="C2313" s="264"/>
      <c r="D2313" s="264"/>
      <c r="E2313" s="264"/>
      <c r="F2313" s="264"/>
      <c r="G2313" s="264"/>
      <c r="H2313" s="264"/>
      <c r="I2313" s="264"/>
      <c r="J2313" s="327"/>
      <c r="K2313" s="327"/>
      <c r="L2313" s="327"/>
      <c r="M2313" s="321"/>
      <c r="N2313" s="321"/>
      <c r="O2313" s="364"/>
      <c r="P2313" s="381"/>
      <c r="R2313" s="392"/>
      <c r="S2313" s="61" ph="1"/>
      <c r="U2313" s="229"/>
      <c r="V2313" s="264"/>
      <c r="W2313" s="199"/>
      <c r="X2313" s="264"/>
      <c r="Y2313" s="264"/>
      <c r="Z2313" s="386"/>
      <c r="AD2313" s="264"/>
      <c r="AE2313" s="264"/>
      <c r="AF2313" s="264"/>
      <c r="AG2313" s="264"/>
    </row>
    <row r="2314" spans="1:33" ht="26.25">
      <c r="A2314" s="264"/>
      <c r="B2314" s="264"/>
      <c r="C2314" s="264"/>
      <c r="D2314" s="264"/>
      <c r="E2314" s="264"/>
      <c r="F2314" s="264"/>
      <c r="G2314" s="264"/>
      <c r="H2314" s="264"/>
      <c r="I2314" s="264"/>
      <c r="J2314" s="327"/>
      <c r="K2314" s="327"/>
      <c r="L2314" s="327"/>
      <c r="M2314" s="321"/>
      <c r="N2314" s="321"/>
      <c r="O2314" s="364"/>
      <c r="P2314" s="381"/>
      <c r="R2314" s="392"/>
      <c r="S2314" s="61" ph="1"/>
      <c r="U2314" s="229"/>
      <c r="V2314" s="264"/>
      <c r="W2314" s="199"/>
      <c r="X2314" s="264"/>
      <c r="Y2314" s="264"/>
      <c r="Z2314" s="386"/>
      <c r="AD2314" s="264"/>
      <c r="AE2314" s="264"/>
      <c r="AF2314" s="264"/>
      <c r="AG2314" s="264"/>
    </row>
    <row r="2315" spans="1:33" ht="26.25">
      <c r="A2315" s="264"/>
      <c r="B2315" s="264"/>
      <c r="C2315" s="264"/>
      <c r="D2315" s="264"/>
      <c r="E2315" s="264"/>
      <c r="F2315" s="264"/>
      <c r="G2315" s="264"/>
      <c r="H2315" s="264"/>
      <c r="I2315" s="264"/>
      <c r="J2315" s="327"/>
      <c r="K2315" s="327"/>
      <c r="L2315" s="327"/>
      <c r="M2315" s="321"/>
      <c r="N2315" s="321"/>
      <c r="O2315" s="364"/>
      <c r="P2315" s="381"/>
      <c r="R2315" s="392"/>
      <c r="S2315" s="61" ph="1"/>
      <c r="U2315" s="229"/>
      <c r="V2315" s="264"/>
      <c r="W2315" s="199"/>
      <c r="X2315" s="264"/>
      <c r="Y2315" s="264"/>
      <c r="Z2315" s="386"/>
      <c r="AD2315" s="264"/>
      <c r="AE2315" s="264"/>
      <c r="AF2315" s="264"/>
      <c r="AG2315" s="264"/>
    </row>
    <row r="2316" spans="1:33" ht="26.25">
      <c r="A2316" s="264"/>
      <c r="B2316" s="264"/>
      <c r="C2316" s="264"/>
      <c r="D2316" s="264"/>
      <c r="E2316" s="264"/>
      <c r="F2316" s="264"/>
      <c r="G2316" s="264"/>
      <c r="H2316" s="264"/>
      <c r="I2316" s="264"/>
      <c r="J2316" s="327"/>
      <c r="K2316" s="327"/>
      <c r="L2316" s="327"/>
      <c r="M2316" s="321"/>
      <c r="N2316" s="321"/>
      <c r="O2316" s="364"/>
      <c r="P2316" s="381"/>
      <c r="R2316" s="392"/>
      <c r="S2316" s="61" ph="1"/>
      <c r="U2316" s="229"/>
      <c r="V2316" s="264"/>
      <c r="W2316" s="199"/>
      <c r="X2316" s="264"/>
      <c r="Y2316" s="264"/>
      <c r="Z2316" s="386"/>
      <c r="AD2316" s="264"/>
      <c r="AE2316" s="264"/>
      <c r="AF2316" s="264"/>
      <c r="AG2316" s="264"/>
    </row>
    <row r="2317" spans="1:33" ht="26.25">
      <c r="A2317" s="264"/>
      <c r="B2317" s="264"/>
      <c r="C2317" s="264"/>
      <c r="D2317" s="264"/>
      <c r="E2317" s="264"/>
      <c r="F2317" s="264"/>
      <c r="G2317" s="264"/>
      <c r="H2317" s="264"/>
      <c r="I2317" s="264"/>
      <c r="J2317" s="327"/>
      <c r="K2317" s="327"/>
      <c r="L2317" s="327"/>
      <c r="M2317" s="321"/>
      <c r="N2317" s="321"/>
      <c r="O2317" s="364"/>
      <c r="P2317" s="381"/>
      <c r="R2317" s="392"/>
      <c r="S2317" s="61" ph="1"/>
      <c r="U2317" s="229"/>
      <c r="V2317" s="264"/>
      <c r="W2317" s="199"/>
      <c r="X2317" s="264"/>
      <c r="Y2317" s="264"/>
      <c r="Z2317" s="386"/>
      <c r="AD2317" s="264"/>
      <c r="AE2317" s="264"/>
      <c r="AF2317" s="264"/>
      <c r="AG2317" s="264"/>
    </row>
    <row r="2318" spans="1:33" ht="26.25">
      <c r="A2318" s="264"/>
      <c r="B2318" s="264"/>
      <c r="C2318" s="264"/>
      <c r="D2318" s="264"/>
      <c r="E2318" s="264"/>
      <c r="F2318" s="264"/>
      <c r="G2318" s="264"/>
      <c r="H2318" s="264"/>
      <c r="I2318" s="264"/>
      <c r="J2318" s="327"/>
      <c r="K2318" s="327"/>
      <c r="L2318" s="327"/>
      <c r="M2318" s="321"/>
      <c r="N2318" s="321"/>
      <c r="O2318" s="364"/>
      <c r="P2318" s="381"/>
      <c r="R2318" s="392"/>
      <c r="S2318" s="61" ph="1"/>
      <c r="U2318" s="229"/>
      <c r="V2318" s="264"/>
      <c r="W2318" s="199"/>
      <c r="X2318" s="264"/>
      <c r="Y2318" s="264"/>
      <c r="Z2318" s="386"/>
      <c r="AD2318" s="264"/>
      <c r="AE2318" s="264"/>
      <c r="AF2318" s="264"/>
      <c r="AG2318" s="264"/>
    </row>
    <row r="2319" spans="1:33" ht="26.25">
      <c r="A2319" s="264"/>
      <c r="B2319" s="264"/>
      <c r="C2319" s="264"/>
      <c r="D2319" s="264"/>
      <c r="E2319" s="264"/>
      <c r="F2319" s="264"/>
      <c r="G2319" s="264"/>
      <c r="H2319" s="264"/>
      <c r="I2319" s="264"/>
      <c r="J2319" s="327"/>
      <c r="K2319" s="327"/>
      <c r="L2319" s="327"/>
      <c r="M2319" s="321"/>
      <c r="N2319" s="321"/>
      <c r="O2319" s="364"/>
      <c r="P2319" s="381"/>
      <c r="R2319" s="392"/>
      <c r="S2319" s="61" ph="1"/>
      <c r="U2319" s="229"/>
      <c r="V2319" s="264"/>
      <c r="W2319" s="199"/>
      <c r="X2319" s="264"/>
      <c r="Y2319" s="264"/>
      <c r="Z2319" s="386"/>
      <c r="AD2319" s="264"/>
      <c r="AE2319" s="264"/>
      <c r="AF2319" s="264"/>
      <c r="AG2319" s="264"/>
    </row>
    <row r="2320" spans="1:33" ht="26.25">
      <c r="A2320" s="264"/>
      <c r="B2320" s="264"/>
      <c r="C2320" s="264"/>
      <c r="D2320" s="264"/>
      <c r="E2320" s="264"/>
      <c r="F2320" s="264"/>
      <c r="G2320" s="264"/>
      <c r="H2320" s="264"/>
      <c r="I2320" s="264"/>
      <c r="J2320" s="327"/>
      <c r="K2320" s="327"/>
      <c r="L2320" s="327"/>
      <c r="M2320" s="321"/>
      <c r="N2320" s="321"/>
      <c r="O2320" s="364"/>
      <c r="P2320" s="381"/>
      <c r="R2320" s="392"/>
      <c r="S2320" s="61" ph="1"/>
      <c r="U2320" s="229"/>
      <c r="V2320" s="264"/>
      <c r="W2320" s="199"/>
      <c r="X2320" s="264"/>
      <c r="Y2320" s="264"/>
      <c r="Z2320" s="386"/>
      <c r="AD2320" s="264"/>
      <c r="AE2320" s="264"/>
      <c r="AF2320" s="264"/>
      <c r="AG2320" s="264"/>
    </row>
    <row r="2321" spans="1:33" ht="26.25">
      <c r="A2321" s="264"/>
      <c r="B2321" s="264"/>
      <c r="C2321" s="264"/>
      <c r="D2321" s="264"/>
      <c r="E2321" s="264"/>
      <c r="F2321" s="264"/>
      <c r="G2321" s="264"/>
      <c r="H2321" s="264"/>
      <c r="I2321" s="264"/>
      <c r="J2321" s="327"/>
      <c r="K2321" s="327"/>
      <c r="L2321" s="327"/>
      <c r="M2321" s="321"/>
      <c r="N2321" s="321"/>
      <c r="O2321" s="364"/>
      <c r="P2321" s="381"/>
      <c r="R2321" s="392"/>
      <c r="S2321" s="61" ph="1"/>
      <c r="U2321" s="229"/>
      <c r="V2321" s="264"/>
      <c r="W2321" s="199"/>
      <c r="X2321" s="264"/>
      <c r="Y2321" s="264"/>
      <c r="Z2321" s="386"/>
      <c r="AD2321" s="264"/>
      <c r="AE2321" s="264"/>
      <c r="AF2321" s="264"/>
      <c r="AG2321" s="264"/>
    </row>
    <row r="2322" spans="1:33" ht="26.25">
      <c r="A2322" s="264"/>
      <c r="B2322" s="264"/>
      <c r="C2322" s="264"/>
      <c r="D2322" s="264"/>
      <c r="E2322" s="264"/>
      <c r="F2322" s="264"/>
      <c r="G2322" s="264"/>
      <c r="H2322" s="264"/>
      <c r="I2322" s="264"/>
      <c r="J2322" s="327"/>
      <c r="K2322" s="327"/>
      <c r="L2322" s="327"/>
      <c r="M2322" s="321"/>
      <c r="N2322" s="321"/>
      <c r="O2322" s="364"/>
      <c r="P2322" s="381"/>
      <c r="R2322" s="392"/>
      <c r="S2322" s="61" ph="1"/>
      <c r="U2322" s="229"/>
      <c r="V2322" s="264"/>
      <c r="W2322" s="199"/>
      <c r="X2322" s="264"/>
      <c r="Y2322" s="264"/>
      <c r="Z2322" s="386"/>
      <c r="AD2322" s="264"/>
      <c r="AE2322" s="264"/>
      <c r="AF2322" s="264"/>
      <c r="AG2322" s="264"/>
    </row>
    <row r="2323" spans="1:33" ht="26.25">
      <c r="A2323" s="264"/>
      <c r="B2323" s="264"/>
      <c r="C2323" s="264"/>
      <c r="D2323" s="264"/>
      <c r="E2323" s="264"/>
      <c r="F2323" s="264"/>
      <c r="G2323" s="264"/>
      <c r="H2323" s="264"/>
      <c r="I2323" s="264"/>
      <c r="J2323" s="327"/>
      <c r="K2323" s="327"/>
      <c r="L2323" s="327"/>
      <c r="M2323" s="321"/>
      <c r="N2323" s="321"/>
      <c r="O2323" s="364"/>
      <c r="P2323" s="381"/>
      <c r="R2323" s="392"/>
      <c r="S2323" s="61" ph="1"/>
      <c r="U2323" s="229"/>
      <c r="V2323" s="264"/>
      <c r="W2323" s="199"/>
      <c r="X2323" s="264"/>
      <c r="Y2323" s="264"/>
      <c r="Z2323" s="386"/>
      <c r="AD2323" s="264"/>
      <c r="AE2323" s="264"/>
      <c r="AF2323" s="264"/>
      <c r="AG2323" s="264"/>
    </row>
    <row r="2324" spans="1:33" ht="26.25">
      <c r="A2324" s="264"/>
      <c r="B2324" s="264"/>
      <c r="C2324" s="264"/>
      <c r="D2324" s="264"/>
      <c r="E2324" s="264"/>
      <c r="F2324" s="264"/>
      <c r="G2324" s="264"/>
      <c r="H2324" s="264"/>
      <c r="I2324" s="264"/>
      <c r="J2324" s="327"/>
      <c r="K2324" s="327"/>
      <c r="L2324" s="327"/>
      <c r="M2324" s="321"/>
      <c r="N2324" s="321"/>
      <c r="O2324" s="364"/>
      <c r="P2324" s="381"/>
      <c r="R2324" s="392"/>
      <c r="S2324" s="61" ph="1"/>
      <c r="U2324" s="229"/>
      <c r="V2324" s="264"/>
      <c r="W2324" s="199"/>
      <c r="X2324" s="264"/>
      <c r="Y2324" s="264"/>
      <c r="Z2324" s="386"/>
      <c r="AD2324" s="264"/>
      <c r="AE2324" s="264"/>
      <c r="AF2324" s="264"/>
      <c r="AG2324" s="264"/>
    </row>
    <row r="2325" spans="1:33" ht="26.25">
      <c r="A2325" s="264"/>
      <c r="B2325" s="264"/>
      <c r="C2325" s="264"/>
      <c r="D2325" s="264"/>
      <c r="E2325" s="264"/>
      <c r="F2325" s="264"/>
      <c r="G2325" s="264"/>
      <c r="H2325" s="264"/>
      <c r="I2325" s="264"/>
      <c r="J2325" s="327"/>
      <c r="K2325" s="327"/>
      <c r="L2325" s="327"/>
      <c r="M2325" s="321"/>
      <c r="N2325" s="321"/>
      <c r="O2325" s="364"/>
      <c r="P2325" s="381"/>
      <c r="R2325" s="392"/>
      <c r="S2325" s="61" ph="1"/>
      <c r="U2325" s="229"/>
      <c r="V2325" s="264"/>
      <c r="W2325" s="199"/>
      <c r="X2325" s="264"/>
      <c r="Y2325" s="264"/>
      <c r="Z2325" s="386"/>
      <c r="AD2325" s="264"/>
      <c r="AE2325" s="264"/>
      <c r="AF2325" s="264"/>
      <c r="AG2325" s="264"/>
    </row>
    <row r="2326" spans="1:33" ht="26.25">
      <c r="A2326" s="264"/>
      <c r="B2326" s="264"/>
      <c r="C2326" s="264"/>
      <c r="D2326" s="264"/>
      <c r="E2326" s="264"/>
      <c r="F2326" s="264"/>
      <c r="G2326" s="264"/>
      <c r="H2326" s="264"/>
      <c r="I2326" s="264"/>
      <c r="J2326" s="327"/>
      <c r="K2326" s="327"/>
      <c r="L2326" s="327"/>
      <c r="M2326" s="321"/>
      <c r="N2326" s="321"/>
      <c r="O2326" s="364"/>
      <c r="P2326" s="381"/>
      <c r="R2326" s="392"/>
      <c r="S2326" s="61" ph="1"/>
      <c r="U2326" s="229"/>
      <c r="V2326" s="264"/>
      <c r="W2326" s="199"/>
      <c r="X2326" s="264"/>
      <c r="Y2326" s="264"/>
      <c r="Z2326" s="386"/>
      <c r="AD2326" s="264"/>
      <c r="AE2326" s="264"/>
      <c r="AF2326" s="264"/>
      <c r="AG2326" s="264"/>
    </row>
    <row r="2327" spans="1:33" ht="26.25">
      <c r="A2327" s="264"/>
      <c r="B2327" s="264"/>
      <c r="C2327" s="264"/>
      <c r="D2327" s="264"/>
      <c r="E2327" s="264"/>
      <c r="F2327" s="264"/>
      <c r="G2327" s="264"/>
      <c r="H2327" s="264"/>
      <c r="I2327" s="264"/>
      <c r="J2327" s="327"/>
      <c r="K2327" s="327"/>
      <c r="L2327" s="327"/>
      <c r="M2327" s="321"/>
      <c r="N2327" s="321"/>
      <c r="O2327" s="364"/>
      <c r="P2327" s="381"/>
      <c r="R2327" s="392"/>
      <c r="S2327" s="61" ph="1"/>
      <c r="U2327" s="229"/>
      <c r="V2327" s="264"/>
      <c r="W2327" s="199"/>
      <c r="X2327" s="264"/>
      <c r="Y2327" s="264"/>
      <c r="Z2327" s="386"/>
      <c r="AD2327" s="264"/>
      <c r="AE2327" s="264"/>
      <c r="AF2327" s="264"/>
      <c r="AG2327" s="264"/>
    </row>
    <row r="2328" spans="1:33" ht="26.25">
      <c r="A2328" s="264"/>
      <c r="B2328" s="264"/>
      <c r="C2328" s="264"/>
      <c r="D2328" s="264"/>
      <c r="E2328" s="264"/>
      <c r="F2328" s="264"/>
      <c r="G2328" s="264"/>
      <c r="H2328" s="264"/>
      <c r="I2328" s="264"/>
      <c r="J2328" s="327"/>
      <c r="K2328" s="327"/>
      <c r="L2328" s="327"/>
      <c r="M2328" s="321"/>
      <c r="N2328" s="321"/>
      <c r="O2328" s="364"/>
      <c r="P2328" s="381"/>
      <c r="R2328" s="392"/>
      <c r="S2328" s="61" ph="1"/>
      <c r="U2328" s="229"/>
      <c r="V2328" s="264"/>
      <c r="W2328" s="199"/>
      <c r="X2328" s="264"/>
      <c r="Y2328" s="264"/>
      <c r="Z2328" s="386"/>
      <c r="AD2328" s="264"/>
      <c r="AE2328" s="264"/>
      <c r="AF2328" s="264"/>
      <c r="AG2328" s="264"/>
    </row>
    <row r="2329" spans="1:33" ht="26.25">
      <c r="A2329" s="264"/>
      <c r="B2329" s="264"/>
      <c r="C2329" s="264"/>
      <c r="D2329" s="264"/>
      <c r="E2329" s="264"/>
      <c r="F2329" s="264"/>
      <c r="G2329" s="264"/>
      <c r="H2329" s="264"/>
      <c r="I2329" s="264"/>
      <c r="J2329" s="327"/>
      <c r="K2329" s="327"/>
      <c r="L2329" s="327"/>
      <c r="M2329" s="321"/>
      <c r="N2329" s="321"/>
      <c r="O2329" s="364"/>
      <c r="P2329" s="381"/>
      <c r="R2329" s="392"/>
      <c r="S2329" s="61" ph="1"/>
      <c r="U2329" s="229"/>
      <c r="V2329" s="264"/>
      <c r="W2329" s="199"/>
      <c r="X2329" s="264"/>
      <c r="Y2329" s="264"/>
      <c r="Z2329" s="386"/>
      <c r="AD2329" s="264"/>
      <c r="AE2329" s="264"/>
      <c r="AF2329" s="264"/>
      <c r="AG2329" s="264"/>
    </row>
    <row r="2330" spans="1:33" ht="26.25">
      <c r="A2330" s="264"/>
      <c r="B2330" s="264"/>
      <c r="C2330" s="264"/>
      <c r="D2330" s="264"/>
      <c r="E2330" s="264"/>
      <c r="F2330" s="264"/>
      <c r="G2330" s="264"/>
      <c r="H2330" s="264"/>
      <c r="I2330" s="264"/>
      <c r="J2330" s="327"/>
      <c r="K2330" s="327"/>
      <c r="L2330" s="327"/>
      <c r="M2330" s="321"/>
      <c r="N2330" s="321"/>
      <c r="O2330" s="364"/>
      <c r="P2330" s="381"/>
      <c r="R2330" s="392"/>
      <c r="S2330" s="61" ph="1"/>
      <c r="U2330" s="229"/>
      <c r="V2330" s="264"/>
      <c r="W2330" s="199"/>
      <c r="X2330" s="264"/>
      <c r="Y2330" s="264"/>
      <c r="Z2330" s="386"/>
      <c r="AD2330" s="264"/>
      <c r="AE2330" s="264"/>
      <c r="AF2330" s="264"/>
      <c r="AG2330" s="264"/>
    </row>
    <row r="2331" spans="1:33" ht="26.25">
      <c r="A2331" s="264"/>
      <c r="B2331" s="264"/>
      <c r="C2331" s="264"/>
      <c r="D2331" s="264"/>
      <c r="E2331" s="264"/>
      <c r="F2331" s="264"/>
      <c r="G2331" s="264"/>
      <c r="H2331" s="264"/>
      <c r="I2331" s="264"/>
      <c r="J2331" s="327"/>
      <c r="K2331" s="327"/>
      <c r="L2331" s="327"/>
      <c r="M2331" s="321"/>
      <c r="N2331" s="321"/>
      <c r="O2331" s="364"/>
      <c r="P2331" s="381"/>
      <c r="R2331" s="392"/>
      <c r="S2331" s="61" ph="1"/>
      <c r="U2331" s="229"/>
      <c r="V2331" s="264"/>
      <c r="W2331" s="199"/>
      <c r="X2331" s="264"/>
      <c r="Y2331" s="264"/>
      <c r="Z2331" s="386"/>
      <c r="AD2331" s="264"/>
      <c r="AE2331" s="264"/>
      <c r="AF2331" s="264"/>
      <c r="AG2331" s="264"/>
    </row>
    <row r="2332" spans="1:33" ht="26.25">
      <c r="A2332" s="264"/>
      <c r="B2332" s="264"/>
      <c r="C2332" s="264"/>
      <c r="D2332" s="264"/>
      <c r="E2332" s="264"/>
      <c r="F2332" s="264"/>
      <c r="G2332" s="264"/>
      <c r="H2332" s="264"/>
      <c r="I2332" s="264"/>
      <c r="J2332" s="327"/>
      <c r="K2332" s="327"/>
      <c r="L2332" s="327"/>
      <c r="M2332" s="321"/>
      <c r="N2332" s="321"/>
      <c r="O2332" s="364"/>
      <c r="P2332" s="381"/>
      <c r="R2332" s="392"/>
      <c r="S2332" s="61" ph="1"/>
      <c r="U2332" s="229"/>
      <c r="V2332" s="264"/>
      <c r="W2332" s="199"/>
      <c r="X2332" s="264"/>
      <c r="Y2332" s="264"/>
      <c r="Z2332" s="386"/>
      <c r="AD2332" s="264"/>
      <c r="AE2332" s="264"/>
      <c r="AF2332" s="264"/>
      <c r="AG2332" s="264"/>
    </row>
    <row r="2333" spans="1:33" ht="26.25">
      <c r="A2333" s="264"/>
      <c r="B2333" s="264"/>
      <c r="C2333" s="264"/>
      <c r="D2333" s="264"/>
      <c r="E2333" s="264"/>
      <c r="F2333" s="264"/>
      <c r="G2333" s="264"/>
      <c r="H2333" s="264"/>
      <c r="I2333" s="264"/>
      <c r="J2333" s="327"/>
      <c r="K2333" s="327"/>
      <c r="L2333" s="327"/>
      <c r="M2333" s="321"/>
      <c r="N2333" s="321"/>
      <c r="O2333" s="364"/>
      <c r="P2333" s="381"/>
      <c r="R2333" s="392"/>
      <c r="S2333" s="61" ph="1"/>
      <c r="U2333" s="229"/>
      <c r="V2333" s="264"/>
      <c r="W2333" s="199"/>
      <c r="X2333" s="264"/>
      <c r="Y2333" s="264"/>
      <c r="Z2333" s="386"/>
      <c r="AD2333" s="264"/>
      <c r="AE2333" s="264"/>
      <c r="AF2333" s="264"/>
      <c r="AG2333" s="264"/>
    </row>
    <row r="2334" spans="1:33" ht="26.25">
      <c r="A2334" s="264"/>
      <c r="B2334" s="264"/>
      <c r="C2334" s="264"/>
      <c r="D2334" s="264"/>
      <c r="E2334" s="264"/>
      <c r="F2334" s="264"/>
      <c r="G2334" s="264"/>
      <c r="H2334" s="264"/>
      <c r="I2334" s="264"/>
      <c r="J2334" s="327"/>
      <c r="K2334" s="327"/>
      <c r="L2334" s="327"/>
      <c r="M2334" s="321"/>
      <c r="N2334" s="321"/>
      <c r="O2334" s="364"/>
      <c r="P2334" s="381"/>
      <c r="R2334" s="392"/>
      <c r="S2334" s="61" ph="1"/>
      <c r="U2334" s="229"/>
      <c r="V2334" s="264"/>
      <c r="W2334" s="199"/>
      <c r="X2334" s="264"/>
      <c r="Y2334" s="264"/>
      <c r="Z2334" s="386"/>
      <c r="AD2334" s="264"/>
      <c r="AE2334" s="264"/>
      <c r="AF2334" s="264"/>
      <c r="AG2334" s="264"/>
    </row>
    <row r="2335" spans="1:33" ht="26.25">
      <c r="A2335" s="264"/>
      <c r="B2335" s="264"/>
      <c r="C2335" s="264"/>
      <c r="D2335" s="264"/>
      <c r="E2335" s="264"/>
      <c r="F2335" s="264"/>
      <c r="G2335" s="264"/>
      <c r="H2335" s="264"/>
      <c r="I2335" s="264"/>
      <c r="J2335" s="327"/>
      <c r="K2335" s="327"/>
      <c r="L2335" s="327"/>
      <c r="M2335" s="321"/>
      <c r="N2335" s="321"/>
      <c r="O2335" s="364"/>
      <c r="P2335" s="381"/>
      <c r="R2335" s="392"/>
      <c r="S2335" s="61" ph="1"/>
      <c r="U2335" s="229"/>
      <c r="V2335" s="264"/>
      <c r="W2335" s="199"/>
      <c r="X2335" s="264"/>
      <c r="Y2335" s="264"/>
      <c r="Z2335" s="386"/>
      <c r="AD2335" s="264"/>
      <c r="AE2335" s="264"/>
      <c r="AF2335" s="264"/>
      <c r="AG2335" s="264"/>
    </row>
    <row r="2336" spans="1:33" ht="26.25">
      <c r="A2336" s="264"/>
      <c r="B2336" s="264"/>
      <c r="C2336" s="264"/>
      <c r="D2336" s="264"/>
      <c r="E2336" s="264"/>
      <c r="F2336" s="264"/>
      <c r="G2336" s="264"/>
      <c r="H2336" s="264"/>
      <c r="I2336" s="264"/>
      <c r="J2336" s="327"/>
      <c r="K2336" s="327"/>
      <c r="L2336" s="327"/>
      <c r="M2336" s="321"/>
      <c r="N2336" s="321"/>
      <c r="O2336" s="364"/>
      <c r="P2336" s="381"/>
      <c r="R2336" s="392"/>
      <c r="S2336" s="61" ph="1"/>
      <c r="U2336" s="229"/>
      <c r="V2336" s="264"/>
      <c r="W2336" s="199"/>
      <c r="X2336" s="264"/>
      <c r="Y2336" s="264"/>
      <c r="Z2336" s="386"/>
      <c r="AD2336" s="264"/>
      <c r="AE2336" s="264"/>
      <c r="AF2336" s="264"/>
      <c r="AG2336" s="264"/>
    </row>
    <row r="2337" spans="1:33" ht="26.25">
      <c r="A2337" s="264"/>
      <c r="B2337" s="264"/>
      <c r="C2337" s="264"/>
      <c r="D2337" s="264"/>
      <c r="E2337" s="264"/>
      <c r="F2337" s="264"/>
      <c r="G2337" s="264"/>
      <c r="H2337" s="264"/>
      <c r="I2337" s="264"/>
      <c r="J2337" s="327"/>
      <c r="K2337" s="327"/>
      <c r="L2337" s="327"/>
      <c r="M2337" s="321"/>
      <c r="N2337" s="321"/>
      <c r="O2337" s="364"/>
      <c r="P2337" s="381"/>
      <c r="R2337" s="392"/>
      <c r="S2337" s="61" ph="1"/>
      <c r="U2337" s="229"/>
      <c r="V2337" s="264"/>
      <c r="W2337" s="199"/>
      <c r="X2337" s="264"/>
      <c r="Y2337" s="264"/>
      <c r="Z2337" s="386"/>
      <c r="AD2337" s="264"/>
      <c r="AE2337" s="264"/>
      <c r="AF2337" s="264"/>
      <c r="AG2337" s="264"/>
    </row>
    <row r="2338" spans="1:33" ht="26.25">
      <c r="A2338" s="264"/>
      <c r="B2338" s="264"/>
      <c r="C2338" s="264"/>
      <c r="D2338" s="264"/>
      <c r="E2338" s="264"/>
      <c r="F2338" s="264"/>
      <c r="G2338" s="264"/>
      <c r="H2338" s="264"/>
      <c r="I2338" s="264"/>
      <c r="J2338" s="327"/>
      <c r="K2338" s="327"/>
      <c r="L2338" s="327"/>
      <c r="M2338" s="321"/>
      <c r="N2338" s="321"/>
      <c r="O2338" s="364"/>
      <c r="P2338" s="381"/>
      <c r="R2338" s="392"/>
      <c r="S2338" s="61" ph="1"/>
      <c r="U2338" s="229"/>
      <c r="V2338" s="264"/>
      <c r="W2338" s="199"/>
      <c r="X2338" s="264"/>
      <c r="Y2338" s="264"/>
      <c r="Z2338" s="386"/>
      <c r="AD2338" s="264"/>
      <c r="AE2338" s="264"/>
      <c r="AF2338" s="264"/>
      <c r="AG2338" s="264"/>
    </row>
    <row r="2339" spans="1:33" ht="26.25">
      <c r="A2339" s="264"/>
      <c r="B2339" s="264"/>
      <c r="C2339" s="264"/>
      <c r="D2339" s="264"/>
      <c r="E2339" s="264"/>
      <c r="F2339" s="264"/>
      <c r="G2339" s="264"/>
      <c r="H2339" s="264"/>
      <c r="I2339" s="264"/>
      <c r="J2339" s="327"/>
      <c r="K2339" s="327"/>
      <c r="L2339" s="327"/>
      <c r="M2339" s="321"/>
      <c r="N2339" s="321"/>
      <c r="O2339" s="364"/>
      <c r="P2339" s="381"/>
      <c r="R2339" s="392"/>
      <c r="S2339" s="61" ph="1"/>
      <c r="U2339" s="229"/>
      <c r="V2339" s="264"/>
      <c r="W2339" s="199"/>
      <c r="X2339" s="264"/>
      <c r="Y2339" s="264"/>
      <c r="Z2339" s="386"/>
      <c r="AD2339" s="264"/>
      <c r="AE2339" s="264"/>
      <c r="AF2339" s="264"/>
      <c r="AG2339" s="264"/>
    </row>
    <row r="2340" spans="1:33" ht="26.25">
      <c r="A2340" s="264"/>
      <c r="B2340" s="264"/>
      <c r="C2340" s="264"/>
      <c r="D2340" s="264"/>
      <c r="E2340" s="264"/>
      <c r="F2340" s="264"/>
      <c r="G2340" s="264"/>
      <c r="H2340" s="264"/>
      <c r="I2340" s="264"/>
      <c r="J2340" s="327"/>
      <c r="K2340" s="327"/>
      <c r="L2340" s="327"/>
      <c r="M2340" s="321"/>
      <c r="N2340" s="321"/>
      <c r="O2340" s="364"/>
      <c r="P2340" s="381"/>
      <c r="R2340" s="392"/>
      <c r="S2340" s="61" ph="1"/>
      <c r="U2340" s="229"/>
      <c r="V2340" s="264"/>
      <c r="W2340" s="199"/>
      <c r="X2340" s="264"/>
      <c r="Y2340" s="264"/>
      <c r="Z2340" s="386"/>
      <c r="AD2340" s="264"/>
      <c r="AE2340" s="264"/>
      <c r="AF2340" s="264"/>
      <c r="AG2340" s="264"/>
    </row>
    <row r="2341" spans="1:33" ht="26.25">
      <c r="A2341" s="264"/>
      <c r="B2341" s="264"/>
      <c r="C2341" s="264"/>
      <c r="D2341" s="264"/>
      <c r="E2341" s="264"/>
      <c r="F2341" s="264"/>
      <c r="G2341" s="264"/>
      <c r="H2341" s="264"/>
      <c r="I2341" s="264"/>
      <c r="J2341" s="327"/>
      <c r="K2341" s="327"/>
      <c r="L2341" s="327"/>
      <c r="M2341" s="321"/>
      <c r="N2341" s="321"/>
      <c r="O2341" s="364"/>
      <c r="P2341" s="381"/>
      <c r="R2341" s="392"/>
      <c r="S2341" s="61" ph="1"/>
      <c r="U2341" s="229"/>
      <c r="V2341" s="264"/>
      <c r="W2341" s="199"/>
      <c r="X2341" s="264"/>
      <c r="Y2341" s="264"/>
      <c r="Z2341" s="386"/>
      <c r="AD2341" s="264"/>
      <c r="AE2341" s="264"/>
      <c r="AF2341" s="264"/>
      <c r="AG2341" s="264"/>
    </row>
    <row r="2342" spans="1:33" ht="26.25">
      <c r="A2342" s="264"/>
      <c r="B2342" s="264"/>
      <c r="C2342" s="264"/>
      <c r="D2342" s="264"/>
      <c r="E2342" s="264"/>
      <c r="F2342" s="264"/>
      <c r="G2342" s="264"/>
      <c r="H2342" s="264"/>
      <c r="I2342" s="264"/>
      <c r="J2342" s="327"/>
      <c r="K2342" s="327"/>
      <c r="L2342" s="327"/>
      <c r="M2342" s="321"/>
      <c r="N2342" s="321"/>
      <c r="O2342" s="364"/>
      <c r="P2342" s="381"/>
      <c r="R2342" s="392"/>
      <c r="S2342" s="61" ph="1"/>
      <c r="U2342" s="229"/>
      <c r="V2342" s="264"/>
      <c r="W2342" s="199"/>
      <c r="X2342" s="264"/>
      <c r="Y2342" s="264"/>
      <c r="Z2342" s="386"/>
      <c r="AD2342" s="264"/>
      <c r="AE2342" s="264"/>
      <c r="AF2342" s="264"/>
      <c r="AG2342" s="264"/>
    </row>
    <row r="2343" spans="1:33" ht="26.25">
      <c r="A2343" s="264"/>
      <c r="B2343" s="264"/>
      <c r="C2343" s="264"/>
      <c r="D2343" s="264"/>
      <c r="E2343" s="264"/>
      <c r="F2343" s="264"/>
      <c r="G2343" s="264"/>
      <c r="H2343" s="264"/>
      <c r="I2343" s="264"/>
      <c r="J2343" s="327"/>
      <c r="K2343" s="327"/>
      <c r="L2343" s="327"/>
      <c r="M2343" s="321"/>
      <c r="N2343" s="321"/>
      <c r="O2343" s="364"/>
      <c r="P2343" s="381"/>
      <c r="R2343" s="392"/>
      <c r="S2343" s="61" ph="1"/>
      <c r="U2343" s="229"/>
      <c r="V2343" s="264"/>
      <c r="W2343" s="199"/>
      <c r="X2343" s="264"/>
      <c r="Y2343" s="264"/>
      <c r="Z2343" s="386"/>
      <c r="AD2343" s="264"/>
      <c r="AE2343" s="264"/>
      <c r="AF2343" s="264"/>
      <c r="AG2343" s="264"/>
    </row>
    <row r="2344" spans="1:33" ht="26.25">
      <c r="A2344" s="264"/>
      <c r="B2344" s="264"/>
      <c r="C2344" s="264"/>
      <c r="D2344" s="264"/>
      <c r="E2344" s="264"/>
      <c r="F2344" s="264"/>
      <c r="G2344" s="264"/>
      <c r="H2344" s="264"/>
      <c r="I2344" s="264"/>
      <c r="J2344" s="327"/>
      <c r="K2344" s="327"/>
      <c r="L2344" s="327"/>
      <c r="M2344" s="321"/>
      <c r="N2344" s="321"/>
      <c r="O2344" s="364"/>
      <c r="P2344" s="381"/>
      <c r="R2344" s="392"/>
      <c r="S2344" s="61" ph="1"/>
      <c r="U2344" s="229"/>
      <c r="V2344" s="264"/>
      <c r="W2344" s="199"/>
      <c r="X2344" s="264"/>
      <c r="Y2344" s="264"/>
      <c r="Z2344" s="386"/>
      <c r="AD2344" s="264"/>
      <c r="AE2344" s="264"/>
      <c r="AF2344" s="264"/>
      <c r="AG2344" s="264"/>
    </row>
    <row r="2345" spans="1:33" ht="26.25">
      <c r="A2345" s="264"/>
      <c r="B2345" s="264"/>
      <c r="C2345" s="264"/>
      <c r="D2345" s="264"/>
      <c r="E2345" s="264"/>
      <c r="F2345" s="264"/>
      <c r="G2345" s="264"/>
      <c r="H2345" s="264"/>
      <c r="I2345" s="264"/>
      <c r="J2345" s="327"/>
      <c r="K2345" s="327"/>
      <c r="L2345" s="327"/>
      <c r="M2345" s="321"/>
      <c r="N2345" s="321"/>
      <c r="O2345" s="364"/>
      <c r="P2345" s="381"/>
      <c r="R2345" s="392"/>
      <c r="S2345" s="61" ph="1"/>
      <c r="U2345" s="229"/>
      <c r="V2345" s="264"/>
      <c r="W2345" s="199"/>
      <c r="X2345" s="264"/>
      <c r="Y2345" s="264"/>
      <c r="Z2345" s="386"/>
      <c r="AD2345" s="264"/>
      <c r="AE2345" s="264"/>
      <c r="AF2345" s="264"/>
      <c r="AG2345" s="264"/>
    </row>
    <row r="2346" spans="1:33" ht="26.25">
      <c r="A2346" s="264"/>
      <c r="B2346" s="264"/>
      <c r="C2346" s="264"/>
      <c r="D2346" s="264"/>
      <c r="E2346" s="264"/>
      <c r="F2346" s="264"/>
      <c r="G2346" s="264"/>
      <c r="H2346" s="264"/>
      <c r="I2346" s="264"/>
      <c r="J2346" s="327"/>
      <c r="K2346" s="327"/>
      <c r="L2346" s="327"/>
      <c r="M2346" s="321"/>
      <c r="N2346" s="321"/>
      <c r="O2346" s="364"/>
      <c r="P2346" s="381"/>
      <c r="R2346" s="392"/>
      <c r="S2346" s="61" ph="1"/>
      <c r="U2346" s="229"/>
      <c r="V2346" s="264"/>
      <c r="W2346" s="199"/>
      <c r="X2346" s="264"/>
      <c r="Y2346" s="264"/>
      <c r="Z2346" s="386"/>
      <c r="AD2346" s="264"/>
      <c r="AE2346" s="264"/>
      <c r="AF2346" s="264"/>
      <c r="AG2346" s="264"/>
    </row>
    <row r="2347" spans="1:33" ht="26.25">
      <c r="A2347" s="264"/>
      <c r="B2347" s="264"/>
      <c r="C2347" s="264"/>
      <c r="D2347" s="264"/>
      <c r="E2347" s="264"/>
      <c r="F2347" s="264"/>
      <c r="G2347" s="264"/>
      <c r="H2347" s="264"/>
      <c r="I2347" s="264"/>
      <c r="J2347" s="327"/>
      <c r="K2347" s="327"/>
      <c r="L2347" s="327"/>
      <c r="M2347" s="321"/>
      <c r="N2347" s="321"/>
      <c r="O2347" s="364"/>
      <c r="P2347" s="381"/>
      <c r="R2347" s="392"/>
      <c r="S2347" s="61" ph="1"/>
      <c r="U2347" s="229"/>
      <c r="V2347" s="264"/>
      <c r="W2347" s="199"/>
      <c r="X2347" s="264"/>
      <c r="Y2347" s="264"/>
      <c r="Z2347" s="386"/>
      <c r="AD2347" s="264"/>
      <c r="AE2347" s="264"/>
      <c r="AF2347" s="264"/>
      <c r="AG2347" s="264"/>
    </row>
    <row r="2348" spans="1:33" ht="26.25">
      <c r="A2348" s="264"/>
      <c r="B2348" s="264"/>
      <c r="C2348" s="264"/>
      <c r="D2348" s="264"/>
      <c r="E2348" s="264"/>
      <c r="F2348" s="264"/>
      <c r="G2348" s="264"/>
      <c r="H2348" s="264"/>
      <c r="I2348" s="264"/>
      <c r="J2348" s="327"/>
      <c r="K2348" s="327"/>
      <c r="L2348" s="327"/>
      <c r="M2348" s="321"/>
      <c r="N2348" s="321"/>
      <c r="O2348" s="364"/>
      <c r="P2348" s="381"/>
      <c r="R2348" s="392"/>
      <c r="S2348" s="61" ph="1"/>
      <c r="U2348" s="229"/>
      <c r="V2348" s="264"/>
      <c r="W2348" s="199"/>
      <c r="X2348" s="264"/>
      <c r="Y2348" s="264"/>
      <c r="Z2348" s="386"/>
      <c r="AD2348" s="264"/>
      <c r="AE2348" s="264"/>
      <c r="AF2348" s="264"/>
      <c r="AG2348" s="264"/>
    </row>
    <row r="2349" spans="1:33" ht="26.25">
      <c r="A2349" s="264"/>
      <c r="B2349" s="264"/>
      <c r="C2349" s="264"/>
      <c r="D2349" s="264"/>
      <c r="E2349" s="264"/>
      <c r="F2349" s="264"/>
      <c r="G2349" s="264"/>
      <c r="H2349" s="264"/>
      <c r="I2349" s="264"/>
      <c r="J2349" s="327"/>
      <c r="K2349" s="327"/>
      <c r="L2349" s="327"/>
      <c r="M2349" s="321"/>
      <c r="N2349" s="321"/>
      <c r="O2349" s="364"/>
      <c r="P2349" s="381"/>
      <c r="R2349" s="392"/>
      <c r="S2349" s="61" ph="1"/>
      <c r="U2349" s="229"/>
      <c r="V2349" s="264"/>
      <c r="W2349" s="199"/>
      <c r="X2349" s="264"/>
      <c r="Y2349" s="264"/>
      <c r="Z2349" s="386"/>
      <c r="AD2349" s="264"/>
      <c r="AE2349" s="264"/>
      <c r="AF2349" s="264"/>
      <c r="AG2349" s="264"/>
    </row>
    <row r="2350" spans="1:33" ht="26.25">
      <c r="A2350" s="264"/>
      <c r="B2350" s="264"/>
      <c r="C2350" s="264"/>
      <c r="D2350" s="264"/>
      <c r="E2350" s="264"/>
      <c r="F2350" s="264"/>
      <c r="G2350" s="264"/>
      <c r="H2350" s="264"/>
      <c r="I2350" s="264"/>
      <c r="J2350" s="327"/>
      <c r="K2350" s="327"/>
      <c r="L2350" s="327"/>
      <c r="M2350" s="321"/>
      <c r="N2350" s="321"/>
      <c r="O2350" s="364"/>
      <c r="P2350" s="381"/>
      <c r="R2350" s="392"/>
      <c r="S2350" s="61" ph="1"/>
      <c r="U2350" s="229"/>
      <c r="V2350" s="264"/>
      <c r="W2350" s="199"/>
      <c r="X2350" s="264"/>
      <c r="Y2350" s="264"/>
      <c r="Z2350" s="386"/>
      <c r="AD2350" s="264"/>
      <c r="AE2350" s="264"/>
      <c r="AF2350" s="264"/>
      <c r="AG2350" s="264"/>
    </row>
    <row r="2351" spans="1:33" ht="26.25">
      <c r="A2351" s="264"/>
      <c r="B2351" s="264"/>
      <c r="C2351" s="264"/>
      <c r="D2351" s="264"/>
      <c r="E2351" s="264"/>
      <c r="F2351" s="264"/>
      <c r="G2351" s="264"/>
      <c r="H2351" s="264"/>
      <c r="I2351" s="264"/>
      <c r="J2351" s="327"/>
      <c r="K2351" s="327"/>
      <c r="L2351" s="327"/>
      <c r="M2351" s="321"/>
      <c r="N2351" s="321"/>
      <c r="O2351" s="364"/>
      <c r="P2351" s="381"/>
      <c r="R2351" s="392"/>
      <c r="S2351" s="61" ph="1"/>
      <c r="U2351" s="229"/>
      <c r="V2351" s="264"/>
      <c r="W2351" s="199"/>
      <c r="X2351" s="264"/>
      <c r="Y2351" s="264"/>
      <c r="Z2351" s="386"/>
      <c r="AD2351" s="264"/>
      <c r="AE2351" s="264"/>
      <c r="AF2351" s="264"/>
      <c r="AG2351" s="264"/>
    </row>
    <row r="2352" spans="1:33" ht="26.25">
      <c r="A2352" s="264"/>
      <c r="B2352" s="264"/>
      <c r="C2352" s="264"/>
      <c r="D2352" s="264"/>
      <c r="E2352" s="264"/>
      <c r="F2352" s="264"/>
      <c r="G2352" s="264"/>
      <c r="H2352" s="264"/>
      <c r="I2352" s="264"/>
      <c r="J2352" s="327"/>
      <c r="K2352" s="327"/>
      <c r="L2352" s="327"/>
      <c r="M2352" s="321"/>
      <c r="N2352" s="321"/>
      <c r="O2352" s="364"/>
      <c r="P2352" s="381"/>
      <c r="R2352" s="392"/>
      <c r="S2352" s="61" ph="1"/>
      <c r="U2352" s="229"/>
      <c r="V2352" s="264"/>
      <c r="W2352" s="199"/>
      <c r="X2352" s="264"/>
      <c r="Y2352" s="264"/>
      <c r="Z2352" s="386"/>
      <c r="AD2352" s="264"/>
      <c r="AE2352" s="264"/>
      <c r="AF2352" s="264"/>
      <c r="AG2352" s="264"/>
    </row>
    <row r="2353" spans="1:33" ht="26.25">
      <c r="A2353" s="264"/>
      <c r="B2353" s="264"/>
      <c r="C2353" s="264"/>
      <c r="D2353" s="264"/>
      <c r="E2353" s="264"/>
      <c r="F2353" s="264"/>
      <c r="G2353" s="264"/>
      <c r="H2353" s="264"/>
      <c r="I2353" s="264"/>
      <c r="J2353" s="327"/>
      <c r="K2353" s="327"/>
      <c r="L2353" s="327"/>
      <c r="M2353" s="321"/>
      <c r="N2353" s="321"/>
      <c r="O2353" s="364"/>
      <c r="P2353" s="381"/>
      <c r="R2353" s="392"/>
      <c r="S2353" s="61" ph="1"/>
      <c r="U2353" s="229"/>
      <c r="V2353" s="264"/>
      <c r="W2353" s="199"/>
      <c r="X2353" s="264"/>
      <c r="Y2353" s="264"/>
      <c r="Z2353" s="386"/>
      <c r="AD2353" s="264"/>
      <c r="AE2353" s="264"/>
      <c r="AF2353" s="264"/>
      <c r="AG2353" s="264"/>
    </row>
    <row r="2354" spans="1:33" ht="26.25">
      <c r="A2354" s="264"/>
      <c r="B2354" s="264"/>
      <c r="C2354" s="264"/>
      <c r="D2354" s="264"/>
      <c r="E2354" s="264"/>
      <c r="F2354" s="264"/>
      <c r="G2354" s="264"/>
      <c r="H2354" s="264"/>
      <c r="I2354" s="264"/>
      <c r="J2354" s="327"/>
      <c r="K2354" s="327"/>
      <c r="L2354" s="327"/>
      <c r="M2354" s="321"/>
      <c r="N2354" s="321"/>
      <c r="O2354" s="364"/>
      <c r="P2354" s="381"/>
      <c r="R2354" s="392"/>
      <c r="S2354" s="61" ph="1"/>
      <c r="U2354" s="229"/>
      <c r="V2354" s="264"/>
      <c r="W2354" s="199"/>
      <c r="X2354" s="264"/>
      <c r="Y2354" s="264"/>
      <c r="Z2354" s="386"/>
      <c r="AD2354" s="264"/>
      <c r="AE2354" s="264"/>
      <c r="AF2354" s="264"/>
      <c r="AG2354" s="264"/>
    </row>
    <row r="2355" spans="1:33" ht="26.25">
      <c r="A2355" s="264"/>
      <c r="B2355" s="264"/>
      <c r="C2355" s="264"/>
      <c r="D2355" s="264"/>
      <c r="E2355" s="264"/>
      <c r="F2355" s="264"/>
      <c r="G2355" s="264"/>
      <c r="H2355" s="264"/>
      <c r="I2355" s="264"/>
      <c r="J2355" s="327"/>
      <c r="K2355" s="327"/>
      <c r="L2355" s="327"/>
      <c r="M2355" s="321"/>
      <c r="N2355" s="321"/>
      <c r="O2355" s="364"/>
      <c r="P2355" s="381"/>
      <c r="R2355" s="392"/>
      <c r="S2355" s="61" ph="1"/>
      <c r="U2355" s="229"/>
      <c r="V2355" s="264"/>
      <c r="W2355" s="199"/>
      <c r="X2355" s="264"/>
      <c r="Y2355" s="264"/>
      <c r="Z2355" s="386"/>
      <c r="AD2355" s="264"/>
      <c r="AE2355" s="264"/>
      <c r="AF2355" s="264"/>
      <c r="AG2355" s="264"/>
    </row>
    <row r="2356" spans="1:33" ht="26.25">
      <c r="A2356" s="264"/>
      <c r="B2356" s="264"/>
      <c r="C2356" s="264"/>
      <c r="D2356" s="264"/>
      <c r="E2356" s="264"/>
      <c r="F2356" s="264"/>
      <c r="G2356" s="264"/>
      <c r="H2356" s="264"/>
      <c r="I2356" s="264"/>
      <c r="J2356" s="327"/>
      <c r="K2356" s="327"/>
      <c r="L2356" s="327"/>
      <c r="M2356" s="321"/>
      <c r="N2356" s="321"/>
      <c r="O2356" s="364"/>
      <c r="P2356" s="381"/>
      <c r="R2356" s="392"/>
      <c r="S2356" s="61" ph="1"/>
      <c r="U2356" s="229"/>
      <c r="V2356" s="264"/>
      <c r="W2356" s="199"/>
      <c r="X2356" s="264"/>
      <c r="Y2356" s="264"/>
      <c r="Z2356" s="386"/>
      <c r="AD2356" s="264"/>
      <c r="AE2356" s="264"/>
      <c r="AF2356" s="264"/>
      <c r="AG2356" s="264"/>
    </row>
    <row r="2357" spans="1:33" ht="26.25">
      <c r="A2357" s="264"/>
      <c r="B2357" s="264"/>
      <c r="C2357" s="264"/>
      <c r="D2357" s="264"/>
      <c r="E2357" s="264"/>
      <c r="F2357" s="264"/>
      <c r="G2357" s="264"/>
      <c r="H2357" s="264"/>
      <c r="I2357" s="264"/>
      <c r="J2357" s="327"/>
      <c r="K2357" s="327"/>
      <c r="L2357" s="327"/>
      <c r="M2357" s="321"/>
      <c r="N2357" s="321"/>
      <c r="O2357" s="364"/>
      <c r="P2357" s="381"/>
      <c r="R2357" s="392"/>
      <c r="S2357" s="61" ph="1"/>
      <c r="U2357" s="229"/>
      <c r="V2357" s="264"/>
      <c r="W2357" s="199"/>
      <c r="X2357" s="264"/>
      <c r="Y2357" s="264"/>
      <c r="Z2357" s="386"/>
      <c r="AD2357" s="264"/>
      <c r="AE2357" s="264"/>
      <c r="AF2357" s="264"/>
      <c r="AG2357" s="264"/>
    </row>
    <row r="2358" spans="1:33" ht="26.25">
      <c r="A2358" s="264"/>
      <c r="B2358" s="264"/>
      <c r="C2358" s="264"/>
      <c r="D2358" s="264"/>
      <c r="E2358" s="264"/>
      <c r="F2358" s="264"/>
      <c r="G2358" s="264"/>
      <c r="H2358" s="264"/>
      <c r="I2358" s="264"/>
      <c r="J2358" s="327"/>
      <c r="K2358" s="327"/>
      <c r="L2358" s="327"/>
      <c r="M2358" s="321"/>
      <c r="N2358" s="321"/>
      <c r="O2358" s="364"/>
      <c r="P2358" s="381"/>
      <c r="R2358" s="392"/>
      <c r="S2358" s="61" ph="1"/>
      <c r="U2358" s="229"/>
      <c r="V2358" s="264"/>
      <c r="W2358" s="199"/>
      <c r="X2358" s="264"/>
      <c r="Y2358" s="264"/>
      <c r="Z2358" s="386"/>
      <c r="AD2358" s="264"/>
      <c r="AE2358" s="264"/>
      <c r="AF2358" s="264"/>
      <c r="AG2358" s="264"/>
    </row>
    <row r="2359" spans="1:33" ht="26.25">
      <c r="A2359" s="264"/>
      <c r="B2359" s="264"/>
      <c r="C2359" s="264"/>
      <c r="D2359" s="264"/>
      <c r="E2359" s="264"/>
      <c r="F2359" s="264"/>
      <c r="G2359" s="264"/>
      <c r="H2359" s="264"/>
      <c r="I2359" s="264"/>
      <c r="J2359" s="327"/>
      <c r="K2359" s="327"/>
      <c r="L2359" s="327"/>
      <c r="M2359" s="321"/>
      <c r="N2359" s="321"/>
      <c r="O2359" s="364"/>
      <c r="P2359" s="381"/>
      <c r="R2359" s="392"/>
      <c r="S2359" s="61" ph="1"/>
      <c r="U2359" s="229"/>
      <c r="V2359" s="264"/>
      <c r="W2359" s="199"/>
      <c r="X2359" s="264"/>
      <c r="Y2359" s="264"/>
      <c r="Z2359" s="386"/>
      <c r="AD2359" s="264"/>
      <c r="AE2359" s="264"/>
      <c r="AF2359" s="264"/>
      <c r="AG2359" s="264"/>
    </row>
    <row r="2360" spans="1:33" ht="26.25">
      <c r="A2360" s="264"/>
      <c r="B2360" s="264"/>
      <c r="C2360" s="264"/>
      <c r="D2360" s="264"/>
      <c r="E2360" s="264"/>
      <c r="F2360" s="264"/>
      <c r="G2360" s="264"/>
      <c r="H2360" s="264"/>
      <c r="I2360" s="264"/>
      <c r="J2360" s="327"/>
      <c r="K2360" s="327"/>
      <c r="L2360" s="327"/>
      <c r="M2360" s="321"/>
      <c r="N2360" s="321"/>
      <c r="O2360" s="364"/>
      <c r="P2360" s="381"/>
      <c r="R2360" s="392"/>
      <c r="S2360" s="61" ph="1"/>
      <c r="U2360" s="229"/>
      <c r="V2360" s="264"/>
      <c r="W2360" s="199"/>
      <c r="X2360" s="264"/>
      <c r="Y2360" s="264"/>
      <c r="Z2360" s="386"/>
      <c r="AD2360" s="264"/>
      <c r="AE2360" s="264"/>
      <c r="AF2360" s="264"/>
      <c r="AG2360" s="264"/>
    </row>
    <row r="2361" spans="1:33" ht="26.25">
      <c r="A2361" s="264"/>
      <c r="B2361" s="264"/>
      <c r="C2361" s="264"/>
      <c r="D2361" s="264"/>
      <c r="E2361" s="264"/>
      <c r="F2361" s="264"/>
      <c r="G2361" s="264"/>
      <c r="H2361" s="264"/>
      <c r="I2361" s="264"/>
      <c r="J2361" s="327"/>
      <c r="K2361" s="327"/>
      <c r="L2361" s="327"/>
      <c r="M2361" s="321"/>
      <c r="N2361" s="321"/>
      <c r="O2361" s="364"/>
      <c r="P2361" s="381"/>
      <c r="R2361" s="392"/>
      <c r="S2361" s="61" ph="1"/>
      <c r="U2361" s="229"/>
      <c r="V2361" s="264"/>
      <c r="W2361" s="199"/>
      <c r="X2361" s="264"/>
      <c r="Y2361" s="264"/>
      <c r="Z2361" s="386"/>
      <c r="AD2361" s="264"/>
      <c r="AE2361" s="264"/>
      <c r="AF2361" s="264"/>
      <c r="AG2361" s="264"/>
    </row>
    <row r="2362" spans="1:33" ht="26.25">
      <c r="A2362" s="264"/>
      <c r="B2362" s="264"/>
      <c r="C2362" s="264"/>
      <c r="D2362" s="264"/>
      <c r="E2362" s="264"/>
      <c r="F2362" s="264"/>
      <c r="G2362" s="264"/>
      <c r="H2362" s="264"/>
      <c r="I2362" s="264"/>
      <c r="J2362" s="327"/>
      <c r="K2362" s="327"/>
      <c r="L2362" s="327"/>
      <c r="M2362" s="321"/>
      <c r="N2362" s="321"/>
      <c r="O2362" s="364"/>
      <c r="P2362" s="381"/>
      <c r="R2362" s="392"/>
      <c r="S2362" s="61" ph="1"/>
      <c r="U2362" s="229"/>
      <c r="V2362" s="264"/>
      <c r="W2362" s="199"/>
      <c r="X2362" s="264"/>
      <c r="Y2362" s="264"/>
      <c r="Z2362" s="386"/>
      <c r="AD2362" s="264"/>
      <c r="AE2362" s="264"/>
      <c r="AF2362" s="264"/>
      <c r="AG2362" s="264"/>
    </row>
    <row r="2363" spans="1:33" ht="26.25">
      <c r="A2363" s="264"/>
      <c r="B2363" s="264"/>
      <c r="C2363" s="264"/>
      <c r="D2363" s="264"/>
      <c r="E2363" s="264"/>
      <c r="F2363" s="264"/>
      <c r="G2363" s="264"/>
      <c r="H2363" s="264"/>
      <c r="I2363" s="264"/>
      <c r="J2363" s="327"/>
      <c r="K2363" s="327"/>
      <c r="L2363" s="327"/>
      <c r="M2363" s="321"/>
      <c r="N2363" s="321"/>
      <c r="O2363" s="364"/>
      <c r="P2363" s="381"/>
      <c r="R2363" s="392"/>
      <c r="S2363" s="61" ph="1"/>
      <c r="U2363" s="229"/>
      <c r="V2363" s="264"/>
      <c r="W2363" s="199"/>
      <c r="X2363" s="264"/>
      <c r="Y2363" s="264"/>
      <c r="Z2363" s="386"/>
      <c r="AD2363" s="264"/>
      <c r="AE2363" s="264"/>
      <c r="AF2363" s="264"/>
      <c r="AG2363" s="264"/>
    </row>
    <row r="2364" spans="1:33" ht="26.25">
      <c r="A2364" s="264"/>
      <c r="B2364" s="264"/>
      <c r="C2364" s="264"/>
      <c r="D2364" s="264"/>
      <c r="E2364" s="264"/>
      <c r="F2364" s="264"/>
      <c r="G2364" s="264"/>
      <c r="H2364" s="264"/>
      <c r="I2364" s="264"/>
      <c r="J2364" s="327"/>
      <c r="K2364" s="327"/>
      <c r="L2364" s="327"/>
      <c r="M2364" s="321"/>
      <c r="N2364" s="321"/>
      <c r="O2364" s="364"/>
      <c r="P2364" s="381"/>
      <c r="R2364" s="392"/>
      <c r="S2364" s="61" ph="1"/>
      <c r="U2364" s="229"/>
      <c r="V2364" s="264"/>
      <c r="W2364" s="199"/>
      <c r="X2364" s="264"/>
      <c r="Y2364" s="264"/>
      <c r="Z2364" s="386"/>
      <c r="AD2364" s="264"/>
      <c r="AE2364" s="264"/>
      <c r="AF2364" s="264"/>
      <c r="AG2364" s="264"/>
    </row>
    <row r="2365" spans="1:33" ht="26.25">
      <c r="A2365" s="264"/>
      <c r="B2365" s="264"/>
      <c r="C2365" s="264"/>
      <c r="D2365" s="264"/>
      <c r="E2365" s="264"/>
      <c r="F2365" s="264"/>
      <c r="G2365" s="264"/>
      <c r="H2365" s="264"/>
      <c r="I2365" s="264"/>
      <c r="J2365" s="327"/>
      <c r="K2365" s="327"/>
      <c r="L2365" s="327"/>
      <c r="M2365" s="321"/>
      <c r="N2365" s="321"/>
      <c r="O2365" s="364"/>
      <c r="P2365" s="381"/>
      <c r="R2365" s="392"/>
      <c r="S2365" s="61" ph="1"/>
      <c r="U2365" s="229"/>
      <c r="V2365" s="264"/>
      <c r="W2365" s="199"/>
      <c r="X2365" s="264"/>
      <c r="Y2365" s="264"/>
      <c r="Z2365" s="386"/>
      <c r="AD2365" s="264"/>
      <c r="AE2365" s="264"/>
      <c r="AF2365" s="264"/>
      <c r="AG2365" s="264"/>
    </row>
    <row r="2366" spans="1:33" ht="26.25">
      <c r="A2366" s="264"/>
      <c r="B2366" s="264"/>
      <c r="C2366" s="264"/>
      <c r="D2366" s="264"/>
      <c r="E2366" s="264"/>
      <c r="F2366" s="264"/>
      <c r="G2366" s="264"/>
      <c r="H2366" s="264"/>
      <c r="I2366" s="264"/>
      <c r="J2366" s="327"/>
      <c r="K2366" s="327"/>
      <c r="L2366" s="327"/>
      <c r="M2366" s="321"/>
      <c r="N2366" s="321"/>
      <c r="O2366" s="364"/>
      <c r="P2366" s="381"/>
      <c r="R2366" s="392"/>
      <c r="S2366" s="61" ph="1"/>
      <c r="U2366" s="229"/>
      <c r="V2366" s="264"/>
      <c r="W2366" s="199"/>
      <c r="X2366" s="264"/>
      <c r="Y2366" s="264"/>
      <c r="Z2366" s="386"/>
      <c r="AD2366" s="264"/>
      <c r="AE2366" s="264"/>
      <c r="AF2366" s="264"/>
      <c r="AG2366" s="264"/>
    </row>
    <row r="2367" spans="1:33" ht="26.25">
      <c r="A2367" s="264"/>
      <c r="B2367" s="264"/>
      <c r="C2367" s="264"/>
      <c r="D2367" s="264"/>
      <c r="E2367" s="264"/>
      <c r="F2367" s="264"/>
      <c r="G2367" s="264"/>
      <c r="H2367" s="264"/>
      <c r="I2367" s="264"/>
      <c r="J2367" s="327"/>
      <c r="K2367" s="327"/>
      <c r="L2367" s="327"/>
      <c r="M2367" s="321"/>
      <c r="N2367" s="321"/>
      <c r="O2367" s="364"/>
      <c r="P2367" s="381"/>
      <c r="R2367" s="392"/>
      <c r="S2367" s="61" ph="1"/>
      <c r="U2367" s="229"/>
      <c r="V2367" s="264"/>
      <c r="W2367" s="199"/>
      <c r="X2367" s="264"/>
      <c r="Y2367" s="264"/>
      <c r="Z2367" s="386"/>
      <c r="AD2367" s="264"/>
      <c r="AE2367" s="264"/>
      <c r="AF2367" s="264"/>
      <c r="AG2367" s="264"/>
    </row>
    <row r="2368" spans="1:33" ht="26.25">
      <c r="A2368" s="264"/>
      <c r="B2368" s="264"/>
      <c r="C2368" s="264"/>
      <c r="D2368" s="264"/>
      <c r="E2368" s="264"/>
      <c r="F2368" s="264"/>
      <c r="G2368" s="264"/>
      <c r="H2368" s="264"/>
      <c r="I2368" s="264"/>
      <c r="J2368" s="327"/>
      <c r="K2368" s="327"/>
      <c r="L2368" s="327"/>
      <c r="M2368" s="321"/>
      <c r="N2368" s="321"/>
      <c r="O2368" s="364"/>
      <c r="P2368" s="381"/>
      <c r="R2368" s="392"/>
      <c r="S2368" s="61" ph="1"/>
      <c r="U2368" s="229"/>
      <c r="V2368" s="264"/>
      <c r="W2368" s="199"/>
      <c r="X2368" s="264"/>
      <c r="Y2368" s="264"/>
      <c r="Z2368" s="386"/>
      <c r="AD2368" s="264"/>
      <c r="AE2368" s="264"/>
      <c r="AF2368" s="264"/>
      <c r="AG2368" s="264"/>
    </row>
    <row r="2369" spans="1:33" ht="26.25">
      <c r="A2369" s="264"/>
      <c r="B2369" s="264"/>
      <c r="C2369" s="264"/>
      <c r="D2369" s="264"/>
      <c r="E2369" s="264"/>
      <c r="F2369" s="264"/>
      <c r="G2369" s="264"/>
      <c r="H2369" s="264"/>
      <c r="I2369" s="264"/>
      <c r="J2369" s="327"/>
      <c r="K2369" s="327"/>
      <c r="L2369" s="327"/>
      <c r="M2369" s="321"/>
      <c r="N2369" s="321"/>
      <c r="O2369" s="364"/>
      <c r="P2369" s="381"/>
      <c r="R2369" s="392"/>
      <c r="S2369" s="61" ph="1"/>
      <c r="U2369" s="229"/>
      <c r="V2369" s="264"/>
      <c r="W2369" s="199"/>
      <c r="X2369" s="264"/>
      <c r="Y2369" s="264"/>
      <c r="Z2369" s="386"/>
      <c r="AD2369" s="264"/>
      <c r="AE2369" s="264"/>
      <c r="AF2369" s="264"/>
      <c r="AG2369" s="264"/>
    </row>
    <row r="2370" spans="1:33" ht="26.25">
      <c r="A2370" s="264"/>
      <c r="B2370" s="264"/>
      <c r="C2370" s="264"/>
      <c r="D2370" s="264"/>
      <c r="E2370" s="264"/>
      <c r="F2370" s="264"/>
      <c r="G2370" s="264"/>
      <c r="H2370" s="264"/>
      <c r="I2370" s="264"/>
      <c r="J2370" s="327"/>
      <c r="K2370" s="327"/>
      <c r="L2370" s="327"/>
      <c r="M2370" s="321"/>
      <c r="N2370" s="321"/>
      <c r="O2370" s="364"/>
      <c r="P2370" s="381"/>
      <c r="R2370" s="392"/>
      <c r="S2370" s="61" ph="1"/>
      <c r="U2370" s="229"/>
      <c r="V2370" s="264"/>
      <c r="W2370" s="199"/>
      <c r="X2370" s="264"/>
      <c r="Y2370" s="264"/>
      <c r="Z2370" s="386"/>
      <c r="AD2370" s="264"/>
      <c r="AE2370" s="264"/>
      <c r="AF2370" s="264"/>
      <c r="AG2370" s="264"/>
    </row>
    <row r="2371" spans="1:33" ht="26.25">
      <c r="A2371" s="264"/>
      <c r="B2371" s="264"/>
      <c r="C2371" s="264"/>
      <c r="D2371" s="264"/>
      <c r="E2371" s="264"/>
      <c r="F2371" s="264"/>
      <c r="G2371" s="264"/>
      <c r="H2371" s="264"/>
      <c r="I2371" s="264"/>
      <c r="J2371" s="327"/>
      <c r="K2371" s="327"/>
      <c r="L2371" s="327"/>
      <c r="M2371" s="321"/>
      <c r="N2371" s="321"/>
      <c r="O2371" s="364"/>
      <c r="P2371" s="381"/>
      <c r="R2371" s="392"/>
      <c r="S2371" s="61" ph="1"/>
      <c r="U2371" s="229"/>
      <c r="V2371" s="264"/>
      <c r="W2371" s="199"/>
      <c r="X2371" s="264"/>
      <c r="Y2371" s="264"/>
      <c r="Z2371" s="386"/>
      <c r="AD2371" s="264"/>
      <c r="AE2371" s="264"/>
      <c r="AF2371" s="264"/>
      <c r="AG2371" s="264"/>
    </row>
    <row r="2372" spans="1:33" ht="26.25">
      <c r="A2372" s="264"/>
      <c r="B2372" s="264"/>
      <c r="C2372" s="264"/>
      <c r="D2372" s="264"/>
      <c r="E2372" s="264"/>
      <c r="F2372" s="264"/>
      <c r="G2372" s="264"/>
      <c r="H2372" s="264"/>
      <c r="I2372" s="264"/>
      <c r="J2372" s="327"/>
      <c r="K2372" s="327"/>
      <c r="L2372" s="327"/>
      <c r="M2372" s="321"/>
      <c r="N2372" s="321"/>
      <c r="O2372" s="364"/>
      <c r="P2372" s="381"/>
      <c r="R2372" s="392"/>
      <c r="S2372" s="61" ph="1"/>
      <c r="U2372" s="229"/>
      <c r="V2372" s="264"/>
      <c r="W2372" s="199"/>
      <c r="X2372" s="264"/>
      <c r="Y2372" s="264"/>
      <c r="Z2372" s="386"/>
      <c r="AD2372" s="264"/>
      <c r="AE2372" s="264"/>
      <c r="AF2372" s="264"/>
      <c r="AG2372" s="264"/>
    </row>
    <row r="2373" spans="1:33" ht="26.25">
      <c r="A2373" s="264"/>
      <c r="B2373" s="264"/>
      <c r="C2373" s="264"/>
      <c r="D2373" s="264"/>
      <c r="E2373" s="264"/>
      <c r="F2373" s="264"/>
      <c r="G2373" s="264"/>
      <c r="H2373" s="264"/>
      <c r="I2373" s="264"/>
      <c r="J2373" s="327"/>
      <c r="K2373" s="327"/>
      <c r="L2373" s="327"/>
      <c r="M2373" s="321"/>
      <c r="N2373" s="321"/>
      <c r="O2373" s="364"/>
      <c r="P2373" s="381"/>
      <c r="R2373" s="392"/>
      <c r="S2373" s="61" ph="1"/>
      <c r="U2373" s="229"/>
      <c r="V2373" s="264"/>
      <c r="W2373" s="199"/>
      <c r="X2373" s="264"/>
      <c r="Y2373" s="264"/>
      <c r="Z2373" s="386"/>
      <c r="AD2373" s="264"/>
      <c r="AE2373" s="264"/>
      <c r="AF2373" s="264"/>
      <c r="AG2373" s="264"/>
    </row>
    <row r="2374" spans="1:33" ht="26.25">
      <c r="A2374" s="264"/>
      <c r="B2374" s="264"/>
      <c r="C2374" s="264"/>
      <c r="D2374" s="264"/>
      <c r="E2374" s="264"/>
      <c r="F2374" s="264"/>
      <c r="G2374" s="264"/>
      <c r="H2374" s="264"/>
      <c r="I2374" s="264"/>
      <c r="J2374" s="327"/>
      <c r="K2374" s="327"/>
      <c r="L2374" s="327"/>
      <c r="M2374" s="321"/>
      <c r="N2374" s="321"/>
      <c r="O2374" s="364"/>
      <c r="P2374" s="381"/>
      <c r="R2374" s="392"/>
      <c r="S2374" s="61" ph="1"/>
      <c r="U2374" s="229"/>
      <c r="V2374" s="264"/>
      <c r="W2374" s="199"/>
      <c r="X2374" s="264"/>
      <c r="Y2374" s="264"/>
      <c r="Z2374" s="386"/>
      <c r="AD2374" s="264"/>
      <c r="AE2374" s="264"/>
      <c r="AF2374" s="264"/>
      <c r="AG2374" s="264"/>
    </row>
    <row r="2375" spans="1:33" ht="26.25">
      <c r="A2375" s="264"/>
      <c r="B2375" s="264"/>
      <c r="C2375" s="264"/>
      <c r="D2375" s="264"/>
      <c r="E2375" s="264"/>
      <c r="F2375" s="264"/>
      <c r="G2375" s="264"/>
      <c r="H2375" s="264"/>
      <c r="I2375" s="264"/>
      <c r="J2375" s="327"/>
      <c r="K2375" s="327"/>
      <c r="L2375" s="327"/>
      <c r="M2375" s="321"/>
      <c r="N2375" s="321"/>
      <c r="O2375" s="364"/>
      <c r="P2375" s="381"/>
      <c r="R2375" s="392"/>
      <c r="S2375" s="61" ph="1"/>
      <c r="U2375" s="229"/>
      <c r="V2375" s="264"/>
      <c r="W2375" s="199"/>
      <c r="X2375" s="264"/>
      <c r="Y2375" s="264"/>
      <c r="Z2375" s="386"/>
      <c r="AD2375" s="264"/>
      <c r="AE2375" s="264"/>
      <c r="AF2375" s="264"/>
      <c r="AG2375" s="264"/>
    </row>
    <row r="2376" spans="1:33" ht="26.25">
      <c r="A2376" s="264"/>
      <c r="B2376" s="264"/>
      <c r="C2376" s="264"/>
      <c r="D2376" s="264"/>
      <c r="E2376" s="264"/>
      <c r="F2376" s="264"/>
      <c r="G2376" s="264"/>
      <c r="H2376" s="264"/>
      <c r="I2376" s="264"/>
      <c r="J2376" s="327"/>
      <c r="K2376" s="327"/>
      <c r="L2376" s="327"/>
      <c r="M2376" s="321"/>
      <c r="N2376" s="321"/>
      <c r="O2376" s="364"/>
      <c r="P2376" s="381"/>
      <c r="R2376" s="392"/>
      <c r="S2376" s="61" ph="1"/>
      <c r="U2376" s="229"/>
      <c r="V2376" s="264"/>
      <c r="W2376" s="199"/>
      <c r="X2376" s="264"/>
      <c r="Y2376" s="264"/>
      <c r="Z2376" s="386"/>
      <c r="AD2376" s="264"/>
      <c r="AE2376" s="264"/>
      <c r="AF2376" s="264"/>
      <c r="AG2376" s="264"/>
    </row>
    <row r="2377" spans="1:33" ht="26.25">
      <c r="A2377" s="264"/>
      <c r="B2377" s="264"/>
      <c r="C2377" s="264"/>
      <c r="D2377" s="264"/>
      <c r="E2377" s="264"/>
      <c r="F2377" s="264"/>
      <c r="G2377" s="264"/>
      <c r="H2377" s="264"/>
      <c r="I2377" s="264"/>
      <c r="J2377" s="327"/>
      <c r="K2377" s="327"/>
      <c r="L2377" s="327"/>
      <c r="M2377" s="321"/>
      <c r="N2377" s="321"/>
      <c r="O2377" s="364"/>
      <c r="P2377" s="381"/>
      <c r="R2377" s="392"/>
      <c r="S2377" s="61" ph="1"/>
      <c r="U2377" s="229"/>
      <c r="V2377" s="264"/>
      <c r="W2377" s="199"/>
      <c r="X2377" s="264"/>
      <c r="Y2377" s="264"/>
      <c r="Z2377" s="386"/>
      <c r="AD2377" s="264"/>
      <c r="AE2377" s="264"/>
      <c r="AF2377" s="264"/>
      <c r="AG2377" s="264"/>
    </row>
    <row r="2378" spans="1:33" ht="26.25">
      <c r="A2378" s="264"/>
      <c r="B2378" s="264"/>
      <c r="C2378" s="264"/>
      <c r="D2378" s="264"/>
      <c r="E2378" s="264"/>
      <c r="F2378" s="264"/>
      <c r="G2378" s="264"/>
      <c r="H2378" s="264"/>
      <c r="I2378" s="264"/>
      <c r="J2378" s="327"/>
      <c r="K2378" s="327"/>
      <c r="L2378" s="327"/>
      <c r="M2378" s="321"/>
      <c r="N2378" s="321"/>
      <c r="O2378" s="364"/>
      <c r="P2378" s="381"/>
      <c r="R2378" s="392"/>
      <c r="S2378" s="61" ph="1"/>
      <c r="U2378" s="229"/>
      <c r="V2378" s="264"/>
      <c r="W2378" s="199"/>
      <c r="X2378" s="264"/>
      <c r="Y2378" s="264"/>
      <c r="Z2378" s="386"/>
      <c r="AD2378" s="264"/>
      <c r="AE2378" s="264"/>
      <c r="AF2378" s="264"/>
      <c r="AG2378" s="264"/>
    </row>
    <row r="2379" spans="1:33" ht="26.25">
      <c r="A2379" s="264"/>
      <c r="B2379" s="264"/>
      <c r="C2379" s="264"/>
      <c r="D2379" s="264"/>
      <c r="E2379" s="264"/>
      <c r="F2379" s="264"/>
      <c r="G2379" s="264"/>
      <c r="H2379" s="264"/>
      <c r="I2379" s="264"/>
      <c r="J2379" s="327"/>
      <c r="K2379" s="327"/>
      <c r="L2379" s="327"/>
      <c r="M2379" s="321"/>
      <c r="N2379" s="321"/>
      <c r="O2379" s="364"/>
      <c r="P2379" s="381"/>
      <c r="R2379" s="392"/>
      <c r="S2379" s="61" ph="1"/>
      <c r="U2379" s="229"/>
      <c r="V2379" s="264"/>
      <c r="W2379" s="199"/>
      <c r="X2379" s="264"/>
      <c r="Y2379" s="264"/>
      <c r="Z2379" s="386"/>
      <c r="AD2379" s="264"/>
      <c r="AE2379" s="264"/>
      <c r="AF2379" s="264"/>
      <c r="AG2379" s="264"/>
    </row>
    <row r="2380" spans="1:33" ht="26.25">
      <c r="A2380" s="264"/>
      <c r="B2380" s="264"/>
      <c r="C2380" s="264"/>
      <c r="D2380" s="264"/>
      <c r="E2380" s="264"/>
      <c r="F2380" s="264"/>
      <c r="G2380" s="264"/>
      <c r="H2380" s="264"/>
      <c r="I2380" s="264"/>
      <c r="J2380" s="327"/>
      <c r="K2380" s="327"/>
      <c r="L2380" s="327"/>
      <c r="M2380" s="321"/>
      <c r="N2380" s="321"/>
      <c r="O2380" s="364"/>
      <c r="P2380" s="381"/>
      <c r="R2380" s="392"/>
      <c r="S2380" s="61" ph="1"/>
      <c r="U2380" s="229"/>
      <c r="V2380" s="264"/>
      <c r="W2380" s="199"/>
      <c r="X2380" s="264"/>
      <c r="Y2380" s="264"/>
      <c r="Z2380" s="386"/>
      <c r="AD2380" s="264"/>
      <c r="AE2380" s="264"/>
      <c r="AF2380" s="264"/>
      <c r="AG2380" s="264"/>
    </row>
    <row r="2381" spans="1:33" ht="26.25">
      <c r="A2381" s="264"/>
      <c r="B2381" s="264"/>
      <c r="C2381" s="264"/>
      <c r="D2381" s="264"/>
      <c r="E2381" s="264"/>
      <c r="F2381" s="264"/>
      <c r="G2381" s="264"/>
      <c r="H2381" s="264"/>
      <c r="I2381" s="264"/>
      <c r="J2381" s="327"/>
      <c r="K2381" s="327"/>
      <c r="L2381" s="327"/>
      <c r="M2381" s="321"/>
      <c r="N2381" s="321"/>
      <c r="O2381" s="364"/>
      <c r="P2381" s="381"/>
      <c r="R2381" s="392"/>
      <c r="S2381" s="61" ph="1"/>
      <c r="U2381" s="229"/>
      <c r="V2381" s="264"/>
      <c r="W2381" s="199"/>
      <c r="X2381" s="264"/>
      <c r="Y2381" s="264"/>
      <c r="Z2381" s="386"/>
      <c r="AD2381" s="264"/>
      <c r="AE2381" s="264"/>
      <c r="AF2381" s="264"/>
      <c r="AG2381" s="264"/>
    </row>
    <row r="2382" spans="1:33" ht="26.25">
      <c r="A2382" s="264"/>
      <c r="B2382" s="264"/>
      <c r="C2382" s="264"/>
      <c r="D2382" s="264"/>
      <c r="E2382" s="264"/>
      <c r="F2382" s="264"/>
      <c r="G2382" s="264"/>
      <c r="H2382" s="264"/>
      <c r="I2382" s="264"/>
      <c r="J2382" s="327"/>
      <c r="K2382" s="327"/>
      <c r="L2382" s="327"/>
      <c r="M2382" s="321"/>
      <c r="N2382" s="321"/>
      <c r="O2382" s="364"/>
      <c r="P2382" s="381"/>
      <c r="R2382" s="392"/>
      <c r="S2382" s="61" ph="1"/>
      <c r="U2382" s="229"/>
      <c r="V2382" s="264"/>
      <c r="W2382" s="199"/>
      <c r="X2382" s="264"/>
      <c r="Y2382" s="264"/>
      <c r="Z2382" s="386"/>
      <c r="AD2382" s="264"/>
      <c r="AE2382" s="264"/>
      <c r="AF2382" s="264"/>
      <c r="AG2382" s="264"/>
    </row>
    <row r="2383" spans="1:33" ht="26.25">
      <c r="A2383" s="264"/>
      <c r="B2383" s="264"/>
      <c r="C2383" s="264"/>
      <c r="D2383" s="264"/>
      <c r="E2383" s="264"/>
      <c r="F2383" s="264"/>
      <c r="G2383" s="264"/>
      <c r="H2383" s="264"/>
      <c r="I2383" s="264"/>
      <c r="J2383" s="327"/>
      <c r="K2383" s="327"/>
      <c r="L2383" s="327"/>
      <c r="M2383" s="321"/>
      <c r="N2383" s="321"/>
      <c r="O2383" s="364"/>
      <c r="P2383" s="381"/>
      <c r="R2383" s="392"/>
      <c r="S2383" s="61" ph="1"/>
      <c r="U2383" s="229"/>
      <c r="V2383" s="264"/>
      <c r="W2383" s="199"/>
      <c r="X2383" s="264"/>
      <c r="Y2383" s="264"/>
      <c r="Z2383" s="386"/>
      <c r="AD2383" s="264"/>
      <c r="AE2383" s="264"/>
      <c r="AF2383" s="264"/>
      <c r="AG2383" s="264"/>
    </row>
    <row r="2384" spans="1:33" ht="26.25">
      <c r="A2384" s="264"/>
      <c r="B2384" s="264"/>
      <c r="C2384" s="264"/>
      <c r="D2384" s="264"/>
      <c r="E2384" s="264"/>
      <c r="F2384" s="264"/>
      <c r="G2384" s="264"/>
      <c r="H2384" s="264"/>
      <c r="I2384" s="264"/>
      <c r="J2384" s="327"/>
      <c r="K2384" s="327"/>
      <c r="L2384" s="327"/>
      <c r="M2384" s="321"/>
      <c r="N2384" s="321"/>
      <c r="O2384" s="364"/>
      <c r="P2384" s="381"/>
      <c r="R2384" s="392"/>
      <c r="S2384" s="61" ph="1"/>
      <c r="U2384" s="229"/>
      <c r="V2384" s="264"/>
      <c r="W2384" s="199"/>
      <c r="X2384" s="264"/>
      <c r="Y2384" s="264"/>
      <c r="Z2384" s="386"/>
      <c r="AD2384" s="264"/>
      <c r="AE2384" s="264"/>
      <c r="AF2384" s="264"/>
      <c r="AG2384" s="264"/>
    </row>
    <row r="2385" spans="1:33" ht="26.25">
      <c r="A2385" s="264"/>
      <c r="B2385" s="264"/>
      <c r="C2385" s="264"/>
      <c r="D2385" s="264"/>
      <c r="E2385" s="264"/>
      <c r="F2385" s="264"/>
      <c r="G2385" s="264"/>
      <c r="H2385" s="264"/>
      <c r="I2385" s="264"/>
      <c r="J2385" s="327"/>
      <c r="K2385" s="327"/>
      <c r="L2385" s="327"/>
      <c r="M2385" s="321"/>
      <c r="N2385" s="321"/>
      <c r="O2385" s="364"/>
      <c r="P2385" s="381"/>
      <c r="R2385" s="392"/>
      <c r="S2385" s="61" ph="1"/>
      <c r="U2385" s="229"/>
      <c r="V2385" s="264"/>
      <c r="W2385" s="199"/>
      <c r="X2385" s="264"/>
      <c r="Y2385" s="264"/>
      <c r="Z2385" s="386"/>
      <c r="AD2385" s="264"/>
      <c r="AE2385" s="264"/>
      <c r="AF2385" s="264"/>
      <c r="AG2385" s="264"/>
    </row>
    <row r="2386" spans="1:33" ht="26.25">
      <c r="A2386" s="264"/>
      <c r="B2386" s="264"/>
      <c r="C2386" s="264"/>
      <c r="D2386" s="264"/>
      <c r="E2386" s="264"/>
      <c r="F2386" s="264"/>
      <c r="G2386" s="264"/>
      <c r="H2386" s="264"/>
      <c r="I2386" s="264"/>
      <c r="J2386" s="327"/>
      <c r="K2386" s="327"/>
      <c r="L2386" s="327"/>
      <c r="M2386" s="321"/>
      <c r="N2386" s="321"/>
      <c r="O2386" s="364"/>
      <c r="P2386" s="381"/>
      <c r="R2386" s="392"/>
      <c r="S2386" s="61" ph="1"/>
      <c r="U2386" s="229"/>
      <c r="V2386" s="264"/>
      <c r="W2386" s="199"/>
      <c r="X2386" s="264"/>
      <c r="Y2386" s="264"/>
      <c r="Z2386" s="386"/>
      <c r="AD2386" s="264"/>
      <c r="AE2386" s="264"/>
      <c r="AF2386" s="264"/>
      <c r="AG2386" s="264"/>
    </row>
    <row r="2387" spans="1:33" ht="26.25">
      <c r="A2387" s="264"/>
      <c r="B2387" s="264"/>
      <c r="C2387" s="264"/>
      <c r="D2387" s="264"/>
      <c r="E2387" s="264"/>
      <c r="F2387" s="264"/>
      <c r="G2387" s="264"/>
      <c r="H2387" s="264"/>
      <c r="I2387" s="264"/>
      <c r="J2387" s="327"/>
      <c r="K2387" s="327"/>
      <c r="L2387" s="327"/>
      <c r="M2387" s="321"/>
      <c r="N2387" s="321"/>
      <c r="O2387" s="364"/>
      <c r="P2387" s="381"/>
      <c r="R2387" s="392"/>
      <c r="S2387" s="61" ph="1"/>
      <c r="U2387" s="229"/>
      <c r="V2387" s="264"/>
      <c r="W2387" s="199"/>
      <c r="X2387" s="264"/>
      <c r="Y2387" s="264"/>
      <c r="Z2387" s="386"/>
      <c r="AD2387" s="264"/>
      <c r="AE2387" s="264"/>
      <c r="AF2387" s="264"/>
      <c r="AG2387" s="264"/>
    </row>
    <row r="2388" spans="1:33" ht="26.25">
      <c r="A2388" s="264"/>
      <c r="B2388" s="264"/>
      <c r="C2388" s="264"/>
      <c r="D2388" s="264"/>
      <c r="E2388" s="264"/>
      <c r="F2388" s="264"/>
      <c r="G2388" s="264"/>
      <c r="H2388" s="264"/>
      <c r="I2388" s="264"/>
      <c r="J2388" s="327"/>
      <c r="K2388" s="327"/>
      <c r="L2388" s="327"/>
      <c r="M2388" s="321"/>
      <c r="N2388" s="321"/>
      <c r="O2388" s="364"/>
      <c r="P2388" s="381"/>
      <c r="R2388" s="392"/>
      <c r="S2388" s="61" ph="1"/>
      <c r="U2388" s="229"/>
      <c r="V2388" s="264"/>
      <c r="W2388" s="199"/>
      <c r="X2388" s="264"/>
      <c r="Y2388" s="264"/>
      <c r="Z2388" s="386"/>
      <c r="AD2388" s="264"/>
      <c r="AE2388" s="264"/>
      <c r="AF2388" s="264"/>
      <c r="AG2388" s="264"/>
    </row>
    <row r="2389" spans="1:33" ht="26.25">
      <c r="A2389" s="264"/>
      <c r="B2389" s="264"/>
      <c r="C2389" s="264"/>
      <c r="D2389" s="264"/>
      <c r="E2389" s="264"/>
      <c r="F2389" s="264"/>
      <c r="G2389" s="264"/>
      <c r="H2389" s="264"/>
      <c r="I2389" s="264"/>
      <c r="J2389" s="327"/>
      <c r="K2389" s="327"/>
      <c r="L2389" s="327"/>
      <c r="M2389" s="321"/>
      <c r="N2389" s="321"/>
      <c r="O2389" s="364"/>
      <c r="P2389" s="381"/>
      <c r="R2389" s="392"/>
      <c r="S2389" s="61" ph="1"/>
      <c r="U2389" s="229"/>
      <c r="V2389" s="264"/>
      <c r="W2389" s="199"/>
      <c r="X2389" s="264"/>
      <c r="Y2389" s="264"/>
      <c r="Z2389" s="386"/>
      <c r="AD2389" s="264"/>
      <c r="AE2389" s="264"/>
      <c r="AF2389" s="264"/>
      <c r="AG2389" s="264"/>
    </row>
    <row r="2390" spans="1:33" ht="26.25">
      <c r="A2390" s="264"/>
      <c r="B2390" s="264"/>
      <c r="C2390" s="264"/>
      <c r="D2390" s="264"/>
      <c r="E2390" s="264"/>
      <c r="F2390" s="264"/>
      <c r="G2390" s="264"/>
      <c r="H2390" s="264"/>
      <c r="I2390" s="264"/>
      <c r="J2390" s="327"/>
      <c r="K2390" s="327"/>
      <c r="L2390" s="327"/>
      <c r="M2390" s="321"/>
      <c r="N2390" s="321"/>
      <c r="O2390" s="364"/>
      <c r="P2390" s="381"/>
      <c r="R2390" s="392"/>
      <c r="S2390" s="61" ph="1"/>
      <c r="U2390" s="229"/>
      <c r="V2390" s="264"/>
      <c r="W2390" s="199"/>
      <c r="X2390" s="264"/>
      <c r="Y2390" s="264"/>
      <c r="Z2390" s="386"/>
      <c r="AD2390" s="264"/>
      <c r="AE2390" s="264"/>
      <c r="AF2390" s="264"/>
      <c r="AG2390" s="264"/>
    </row>
    <row r="2391" spans="1:33" ht="26.25">
      <c r="A2391" s="264"/>
      <c r="B2391" s="264"/>
      <c r="C2391" s="264"/>
      <c r="D2391" s="264"/>
      <c r="E2391" s="264"/>
      <c r="F2391" s="264"/>
      <c r="G2391" s="264"/>
      <c r="H2391" s="264"/>
      <c r="I2391" s="264"/>
      <c r="J2391" s="327"/>
      <c r="K2391" s="327"/>
      <c r="L2391" s="327"/>
      <c r="M2391" s="321"/>
      <c r="N2391" s="321"/>
      <c r="O2391" s="364"/>
      <c r="P2391" s="381"/>
      <c r="R2391" s="392"/>
      <c r="S2391" s="61" ph="1"/>
      <c r="U2391" s="229"/>
      <c r="V2391" s="264"/>
      <c r="W2391" s="199"/>
      <c r="X2391" s="264"/>
      <c r="Y2391" s="264"/>
      <c r="Z2391" s="386"/>
      <c r="AD2391" s="264"/>
      <c r="AE2391" s="264"/>
      <c r="AF2391" s="264"/>
      <c r="AG2391" s="264"/>
    </row>
    <row r="2392" spans="1:33" ht="26.25">
      <c r="A2392" s="264"/>
      <c r="B2392" s="264"/>
      <c r="C2392" s="264"/>
      <c r="D2392" s="264"/>
      <c r="E2392" s="264"/>
      <c r="F2392" s="264"/>
      <c r="G2392" s="264"/>
      <c r="H2392" s="264"/>
      <c r="I2392" s="264"/>
      <c r="J2392" s="327"/>
      <c r="K2392" s="327"/>
      <c r="L2392" s="327"/>
      <c r="M2392" s="321"/>
      <c r="N2392" s="321"/>
      <c r="O2392" s="364"/>
      <c r="P2392" s="381"/>
      <c r="R2392" s="392"/>
      <c r="S2392" s="61" ph="1"/>
      <c r="U2392" s="229"/>
      <c r="V2392" s="264"/>
      <c r="W2392" s="199"/>
      <c r="X2392" s="264"/>
      <c r="Y2392" s="264"/>
      <c r="Z2392" s="386"/>
      <c r="AD2392" s="264"/>
      <c r="AE2392" s="264"/>
      <c r="AF2392" s="264"/>
      <c r="AG2392" s="264"/>
    </row>
    <row r="2393" spans="1:33" ht="26.25">
      <c r="A2393" s="264"/>
      <c r="B2393" s="264"/>
      <c r="C2393" s="264"/>
      <c r="D2393" s="264"/>
      <c r="E2393" s="264"/>
      <c r="F2393" s="264"/>
      <c r="G2393" s="264"/>
      <c r="H2393" s="264"/>
      <c r="I2393" s="264"/>
      <c r="J2393" s="327"/>
      <c r="K2393" s="327"/>
      <c r="L2393" s="327"/>
      <c r="M2393" s="321"/>
      <c r="N2393" s="321"/>
      <c r="O2393" s="364"/>
      <c r="P2393" s="381"/>
      <c r="R2393" s="392"/>
      <c r="S2393" s="61" ph="1"/>
      <c r="U2393" s="229"/>
      <c r="V2393" s="264"/>
      <c r="W2393" s="199"/>
      <c r="X2393" s="264"/>
      <c r="Y2393" s="264"/>
      <c r="Z2393" s="386"/>
      <c r="AD2393" s="264"/>
      <c r="AE2393" s="264"/>
      <c r="AF2393" s="264"/>
      <c r="AG2393" s="264"/>
    </row>
    <row r="2394" spans="1:33" ht="26.25">
      <c r="A2394" s="264"/>
      <c r="B2394" s="264"/>
      <c r="C2394" s="264"/>
      <c r="D2394" s="264"/>
      <c r="E2394" s="264"/>
      <c r="F2394" s="264"/>
      <c r="G2394" s="264"/>
      <c r="H2394" s="264"/>
      <c r="I2394" s="264"/>
      <c r="J2394" s="327"/>
      <c r="K2394" s="327"/>
      <c r="L2394" s="327"/>
      <c r="M2394" s="321"/>
      <c r="N2394" s="321"/>
      <c r="O2394" s="364"/>
      <c r="P2394" s="381"/>
      <c r="R2394" s="392"/>
      <c r="S2394" s="61" ph="1"/>
      <c r="U2394" s="229"/>
      <c r="V2394" s="264"/>
      <c r="W2394" s="199"/>
      <c r="X2394" s="264"/>
      <c r="Y2394" s="264"/>
      <c r="Z2394" s="386"/>
      <c r="AD2394" s="264"/>
      <c r="AE2394" s="264"/>
      <c r="AF2394" s="264"/>
      <c r="AG2394" s="264"/>
    </row>
    <row r="2395" spans="1:33" ht="26.25">
      <c r="A2395" s="264"/>
      <c r="B2395" s="264"/>
      <c r="C2395" s="264"/>
      <c r="D2395" s="264"/>
      <c r="E2395" s="264"/>
      <c r="F2395" s="264"/>
      <c r="G2395" s="264"/>
      <c r="H2395" s="264"/>
      <c r="I2395" s="264"/>
      <c r="J2395" s="327"/>
      <c r="K2395" s="327"/>
      <c r="L2395" s="327"/>
      <c r="M2395" s="321"/>
      <c r="N2395" s="321"/>
      <c r="O2395" s="364"/>
      <c r="P2395" s="381"/>
      <c r="R2395" s="392"/>
      <c r="S2395" s="61" ph="1"/>
      <c r="U2395" s="229"/>
      <c r="V2395" s="264"/>
      <c r="W2395" s="199"/>
      <c r="X2395" s="264"/>
      <c r="Y2395" s="264"/>
      <c r="Z2395" s="386"/>
      <c r="AD2395" s="264"/>
      <c r="AE2395" s="264"/>
      <c r="AF2395" s="264"/>
      <c r="AG2395" s="264"/>
    </row>
    <row r="2396" spans="1:33" ht="26.25">
      <c r="A2396" s="264"/>
      <c r="B2396" s="264"/>
      <c r="C2396" s="264"/>
      <c r="D2396" s="264"/>
      <c r="E2396" s="264"/>
      <c r="F2396" s="264"/>
      <c r="G2396" s="264"/>
      <c r="H2396" s="264"/>
      <c r="I2396" s="264"/>
      <c r="J2396" s="327"/>
      <c r="K2396" s="327"/>
      <c r="L2396" s="327"/>
      <c r="M2396" s="321"/>
      <c r="N2396" s="321"/>
      <c r="O2396" s="364"/>
      <c r="P2396" s="381"/>
      <c r="R2396" s="392"/>
      <c r="S2396" s="61" ph="1"/>
      <c r="U2396" s="229"/>
      <c r="V2396" s="264"/>
      <c r="W2396" s="199"/>
      <c r="X2396" s="264"/>
      <c r="Y2396" s="264"/>
      <c r="Z2396" s="386"/>
      <c r="AD2396" s="264"/>
      <c r="AE2396" s="264"/>
      <c r="AF2396" s="264"/>
      <c r="AG2396" s="264"/>
    </row>
    <row r="2397" spans="1:33" ht="26.25">
      <c r="A2397" s="264"/>
      <c r="B2397" s="264"/>
      <c r="C2397" s="264"/>
      <c r="D2397" s="264"/>
      <c r="E2397" s="264"/>
      <c r="F2397" s="264"/>
      <c r="G2397" s="264"/>
      <c r="H2397" s="264"/>
      <c r="I2397" s="264"/>
      <c r="J2397" s="327"/>
      <c r="K2397" s="327"/>
      <c r="L2397" s="327"/>
      <c r="M2397" s="321"/>
      <c r="N2397" s="321"/>
      <c r="O2397" s="364"/>
      <c r="P2397" s="381"/>
      <c r="R2397" s="392"/>
      <c r="S2397" s="61" ph="1"/>
      <c r="U2397" s="229"/>
      <c r="V2397" s="264"/>
      <c r="W2397" s="199"/>
      <c r="X2397" s="264"/>
      <c r="Y2397" s="264"/>
      <c r="Z2397" s="386"/>
      <c r="AD2397" s="264"/>
      <c r="AE2397" s="264"/>
      <c r="AF2397" s="264"/>
      <c r="AG2397" s="264"/>
    </row>
    <row r="2398" spans="1:33" ht="26.25">
      <c r="A2398" s="264"/>
      <c r="B2398" s="264"/>
      <c r="C2398" s="264"/>
      <c r="D2398" s="264"/>
      <c r="E2398" s="264"/>
      <c r="F2398" s="264"/>
      <c r="G2398" s="264"/>
      <c r="H2398" s="264"/>
      <c r="I2398" s="264"/>
      <c r="J2398" s="327"/>
      <c r="K2398" s="327"/>
      <c r="L2398" s="327"/>
      <c r="M2398" s="321"/>
      <c r="N2398" s="321"/>
      <c r="O2398" s="364"/>
      <c r="P2398" s="381"/>
      <c r="R2398" s="392"/>
      <c r="S2398" s="61" ph="1"/>
      <c r="U2398" s="229"/>
      <c r="V2398" s="264"/>
      <c r="W2398" s="199"/>
      <c r="X2398" s="264"/>
      <c r="Y2398" s="264"/>
      <c r="Z2398" s="386"/>
      <c r="AD2398" s="264"/>
      <c r="AE2398" s="264"/>
      <c r="AF2398" s="264"/>
      <c r="AG2398" s="264"/>
    </row>
    <row r="2399" spans="1:33" ht="26.25">
      <c r="A2399" s="264"/>
      <c r="B2399" s="264"/>
      <c r="C2399" s="264"/>
      <c r="D2399" s="264"/>
      <c r="E2399" s="264"/>
      <c r="F2399" s="264"/>
      <c r="G2399" s="264"/>
      <c r="H2399" s="264"/>
      <c r="I2399" s="264"/>
      <c r="J2399" s="327"/>
      <c r="K2399" s="327"/>
      <c r="L2399" s="327"/>
      <c r="M2399" s="321"/>
      <c r="N2399" s="321"/>
      <c r="O2399" s="364"/>
      <c r="P2399" s="381"/>
      <c r="R2399" s="392"/>
      <c r="S2399" s="61" ph="1"/>
      <c r="U2399" s="229"/>
      <c r="V2399" s="264"/>
      <c r="W2399" s="199"/>
      <c r="X2399" s="264"/>
      <c r="Y2399" s="264"/>
      <c r="Z2399" s="386"/>
      <c r="AD2399" s="264"/>
      <c r="AE2399" s="264"/>
      <c r="AF2399" s="264"/>
      <c r="AG2399" s="264"/>
    </row>
    <row r="2400" spans="1:33" ht="26.25">
      <c r="A2400" s="264"/>
      <c r="B2400" s="264"/>
      <c r="C2400" s="264"/>
      <c r="D2400" s="264"/>
      <c r="E2400" s="264"/>
      <c r="F2400" s="264"/>
      <c r="G2400" s="264"/>
      <c r="H2400" s="264"/>
      <c r="I2400" s="264"/>
      <c r="J2400" s="327"/>
      <c r="K2400" s="327"/>
      <c r="L2400" s="327"/>
      <c r="M2400" s="321"/>
      <c r="N2400" s="321"/>
      <c r="O2400" s="364"/>
      <c r="P2400" s="381"/>
      <c r="R2400" s="392"/>
      <c r="S2400" s="61" ph="1"/>
      <c r="U2400" s="229"/>
      <c r="V2400" s="264"/>
      <c r="W2400" s="199"/>
      <c r="X2400" s="264"/>
      <c r="Y2400" s="264"/>
      <c r="Z2400" s="386"/>
      <c r="AD2400" s="264"/>
      <c r="AE2400" s="264"/>
      <c r="AF2400" s="264"/>
      <c r="AG2400" s="264"/>
    </row>
    <row r="2401" spans="1:33" ht="26.25">
      <c r="A2401" s="264"/>
      <c r="B2401" s="264"/>
      <c r="C2401" s="264"/>
      <c r="D2401" s="264"/>
      <c r="E2401" s="264"/>
      <c r="F2401" s="264"/>
      <c r="G2401" s="264"/>
      <c r="H2401" s="264"/>
      <c r="I2401" s="264"/>
      <c r="J2401" s="327"/>
      <c r="K2401" s="327"/>
      <c r="L2401" s="327"/>
      <c r="M2401" s="321"/>
      <c r="N2401" s="321"/>
      <c r="O2401" s="364"/>
      <c r="P2401" s="381"/>
      <c r="R2401" s="392"/>
      <c r="S2401" s="61" ph="1"/>
      <c r="U2401" s="229"/>
      <c r="V2401" s="264"/>
      <c r="W2401" s="199"/>
      <c r="X2401" s="264"/>
      <c r="Y2401" s="264"/>
      <c r="Z2401" s="386"/>
      <c r="AD2401" s="264"/>
      <c r="AE2401" s="264"/>
      <c r="AF2401" s="264"/>
      <c r="AG2401" s="264"/>
    </row>
    <row r="2402" spans="1:33" ht="26.25">
      <c r="A2402" s="264"/>
      <c r="B2402" s="264"/>
      <c r="C2402" s="264"/>
      <c r="D2402" s="264"/>
      <c r="E2402" s="264"/>
      <c r="F2402" s="264"/>
      <c r="G2402" s="264"/>
      <c r="H2402" s="264"/>
      <c r="I2402" s="264"/>
      <c r="J2402" s="327"/>
      <c r="K2402" s="327"/>
      <c r="L2402" s="327"/>
      <c r="M2402" s="321"/>
      <c r="N2402" s="321"/>
      <c r="O2402" s="364"/>
      <c r="P2402" s="381"/>
      <c r="R2402" s="392"/>
      <c r="S2402" s="61" ph="1"/>
      <c r="U2402" s="229"/>
      <c r="V2402" s="264"/>
      <c r="W2402" s="199"/>
      <c r="X2402" s="264"/>
      <c r="Y2402" s="264"/>
      <c r="Z2402" s="386"/>
      <c r="AD2402" s="264"/>
      <c r="AE2402" s="264"/>
      <c r="AF2402" s="264"/>
      <c r="AG2402" s="264"/>
    </row>
    <row r="2403" spans="1:33" ht="26.25">
      <c r="O2403" s="364"/>
      <c r="S2403" s="61" ph="1"/>
    </row>
    <row r="2404" spans="1:33" ht="26.25">
      <c r="O2404" s="364"/>
      <c r="S2404" s="61" ph="1"/>
    </row>
    <row r="2405" spans="1:33" ht="26.25">
      <c r="O2405" s="364"/>
      <c r="S2405" s="61" ph="1"/>
    </row>
    <row r="2406" spans="1:33" ht="26.25">
      <c r="O2406" s="364"/>
      <c r="S2406" s="61" ph="1"/>
    </row>
    <row r="2407" spans="1:33" ht="26.25">
      <c r="O2407" s="364"/>
      <c r="S2407" s="61" ph="1"/>
    </row>
    <row r="2408" spans="1:33" ht="26.25">
      <c r="O2408" s="364"/>
      <c r="S2408" s="61" ph="1"/>
    </row>
    <row r="2409" spans="1:33" ht="26.25">
      <c r="O2409" s="364"/>
      <c r="S2409" s="61" ph="1"/>
    </row>
    <row r="2410" spans="1:33" ht="26.25">
      <c r="O2410" s="364"/>
      <c r="S2410" s="61" ph="1"/>
    </row>
    <row r="2411" spans="1:33" ht="26.25">
      <c r="O2411" s="364"/>
      <c r="S2411" s="61" ph="1"/>
    </row>
    <row r="2412" spans="1:33" ht="26.25">
      <c r="O2412" s="364"/>
      <c r="S2412" s="61" ph="1"/>
    </row>
    <row r="2413" spans="1:33" ht="26.25">
      <c r="O2413" s="364"/>
      <c r="S2413" s="61" ph="1"/>
    </row>
    <row r="2414" spans="1:33" ht="26.25">
      <c r="O2414" s="364"/>
      <c r="S2414" s="61" ph="1"/>
    </row>
    <row r="2415" spans="1:33" ht="26.25">
      <c r="S2415" s="61" ph="1"/>
    </row>
    <row r="2416" spans="1:33" ht="26.25">
      <c r="S2416" s="61" ph="1"/>
    </row>
    <row r="2417" spans="19:19" ht="26.25">
      <c r="S2417" s="61" ph="1"/>
    </row>
    <row r="2418" spans="19:19" ht="26.25">
      <c r="S2418" s="61" ph="1"/>
    </row>
    <row r="2419" spans="19:19" ht="26.25">
      <c r="S2419" s="61" ph="1"/>
    </row>
    <row r="2420" spans="19:19" ht="26.25">
      <c r="S2420" s="61" ph="1"/>
    </row>
    <row r="2421" spans="19:19" ht="26.25">
      <c r="S2421" s="61" ph="1"/>
    </row>
    <row r="2422" spans="19:19" ht="26.25">
      <c r="S2422" s="61" ph="1"/>
    </row>
    <row r="2423" spans="19:19" ht="26.25">
      <c r="S2423" s="61" ph="1"/>
    </row>
    <row r="2424" spans="19:19" ht="26.25">
      <c r="S2424" s="61" ph="1"/>
    </row>
    <row r="2425" spans="19:19" ht="26.25">
      <c r="S2425" s="61" ph="1"/>
    </row>
    <row r="2426" spans="19:19" ht="26.25">
      <c r="S2426" s="61" ph="1"/>
    </row>
    <row r="2427" spans="19:19" ht="26.25">
      <c r="S2427" s="61" ph="1"/>
    </row>
    <row r="2428" spans="19:19" ht="26.25">
      <c r="S2428" s="61" ph="1"/>
    </row>
    <row r="2429" spans="19:19" ht="26.25">
      <c r="S2429" s="61" ph="1"/>
    </row>
    <row r="2430" spans="19:19" ht="26.25">
      <c r="S2430" s="61" ph="1"/>
    </row>
    <row r="2431" spans="19:19" ht="26.25">
      <c r="S2431" s="61" ph="1"/>
    </row>
    <row r="2432" spans="19:19" ht="26.25">
      <c r="S2432" s="61" ph="1"/>
    </row>
    <row r="2433" spans="19:19" ht="26.25">
      <c r="S2433" s="61" ph="1"/>
    </row>
    <row r="2434" spans="19:19" ht="26.25">
      <c r="S2434" s="61" ph="1"/>
    </row>
    <row r="2435" spans="19:19" ht="26.25">
      <c r="S2435" s="61" ph="1"/>
    </row>
    <row r="2436" spans="19:19" ht="26.25">
      <c r="S2436" s="61" ph="1"/>
    </row>
    <row r="2437" spans="19:19" ht="26.25">
      <c r="S2437" s="61" ph="1"/>
    </row>
    <row r="2438" spans="19:19" ht="26.25">
      <c r="S2438" s="61" ph="1"/>
    </row>
    <row r="2439" spans="19:19" ht="26.25">
      <c r="S2439" s="61" ph="1"/>
    </row>
    <row r="2440" spans="19:19" ht="26.25">
      <c r="S2440" s="61" ph="1"/>
    </row>
    <row r="2441" spans="19:19" ht="26.25">
      <c r="S2441" s="61" ph="1"/>
    </row>
    <row r="2442" spans="19:19" ht="26.25">
      <c r="S2442" s="61" ph="1"/>
    </row>
    <row r="2443" spans="19:19" ht="26.25">
      <c r="S2443" s="61" ph="1"/>
    </row>
    <row r="2444" spans="19:19" ht="26.25">
      <c r="S2444" s="61" ph="1"/>
    </row>
    <row r="2445" spans="19:19" ht="26.25">
      <c r="S2445" s="61" ph="1"/>
    </row>
    <row r="2446" spans="19:19" ht="26.25">
      <c r="S2446" s="61" ph="1"/>
    </row>
    <row r="2447" spans="19:19" ht="26.25">
      <c r="S2447" s="61" ph="1"/>
    </row>
    <row r="2448" spans="19:19" ht="26.25">
      <c r="S2448" s="61" ph="1"/>
    </row>
    <row r="2449" spans="19:19" ht="26.25">
      <c r="S2449" s="61" ph="1"/>
    </row>
    <row r="2450" spans="19:19" ht="26.25">
      <c r="S2450" s="61" ph="1"/>
    </row>
    <row r="2451" spans="19:19" ht="26.25">
      <c r="S2451" s="61" ph="1"/>
    </row>
    <row r="2452" spans="19:19" ht="26.25">
      <c r="S2452" s="61" ph="1"/>
    </row>
    <row r="2453" spans="19:19" ht="26.25">
      <c r="S2453" s="61" ph="1"/>
    </row>
    <row r="2454" spans="19:19" ht="26.25">
      <c r="S2454" s="61" ph="1"/>
    </row>
    <row r="2455" spans="19:19" ht="26.25">
      <c r="S2455" s="61" ph="1"/>
    </row>
    <row r="2456" spans="19:19" ht="26.25">
      <c r="S2456" s="61" ph="1"/>
    </row>
    <row r="2457" spans="19:19" ht="26.25">
      <c r="S2457" s="61" ph="1"/>
    </row>
    <row r="2458" spans="19:19" ht="26.25">
      <c r="S2458" s="61" ph="1"/>
    </row>
    <row r="2459" spans="19:19" ht="26.25">
      <c r="S2459" s="61" ph="1"/>
    </row>
    <row r="2460" spans="19:19" ht="26.25">
      <c r="S2460" s="61" ph="1"/>
    </row>
    <row r="2461" spans="19:19" ht="26.25">
      <c r="S2461" s="61" ph="1"/>
    </row>
    <row r="2462" spans="19:19" ht="26.25">
      <c r="S2462" s="61" ph="1"/>
    </row>
    <row r="2463" spans="19:19" ht="26.25">
      <c r="S2463" s="61" ph="1"/>
    </row>
    <row r="2464" spans="19:19" ht="26.25">
      <c r="S2464" s="61" ph="1"/>
    </row>
    <row r="2465" spans="19:19" ht="26.25">
      <c r="S2465" s="61" ph="1"/>
    </row>
    <row r="2466" spans="19:19" ht="26.25">
      <c r="S2466" s="61" ph="1"/>
    </row>
    <row r="2467" spans="19:19" ht="26.25">
      <c r="S2467" s="61" ph="1"/>
    </row>
    <row r="2468" spans="19:19" ht="26.25">
      <c r="S2468" s="61" ph="1"/>
    </row>
    <row r="2469" spans="19:19" ht="26.25">
      <c r="S2469" s="61" ph="1"/>
    </row>
    <row r="2470" spans="19:19" ht="26.25">
      <c r="S2470" s="61" ph="1"/>
    </row>
    <row r="2471" spans="19:19" ht="26.25">
      <c r="S2471" s="61" ph="1"/>
    </row>
    <row r="2472" spans="19:19" ht="26.25">
      <c r="S2472" s="61" ph="1"/>
    </row>
    <row r="2473" spans="19:19" ht="26.25">
      <c r="S2473" s="61" ph="1"/>
    </row>
    <row r="2474" spans="19:19" ht="26.25">
      <c r="S2474" s="61" ph="1"/>
    </row>
    <row r="2475" spans="19:19" ht="26.25">
      <c r="S2475" s="61" ph="1"/>
    </row>
    <row r="2476" spans="19:19" ht="26.25">
      <c r="S2476" s="61" ph="1"/>
    </row>
    <row r="2477" spans="19:19" ht="26.25">
      <c r="S2477" s="61" ph="1"/>
    </row>
    <row r="2478" spans="19:19" ht="26.25">
      <c r="S2478" s="61" ph="1"/>
    </row>
    <row r="2479" spans="19:19" ht="26.25">
      <c r="S2479" s="61" ph="1"/>
    </row>
    <row r="2480" spans="19:19" ht="26.25">
      <c r="S2480" s="61" ph="1"/>
    </row>
    <row r="2481" spans="19:19" ht="26.25">
      <c r="S2481" s="61" ph="1"/>
    </row>
    <row r="2482" spans="19:19" ht="26.25">
      <c r="S2482" s="61" ph="1"/>
    </row>
    <row r="2483" spans="19:19" ht="26.25">
      <c r="S2483" s="61" ph="1"/>
    </row>
    <row r="2484" spans="19:19" ht="26.25">
      <c r="S2484" s="61" ph="1"/>
    </row>
    <row r="2485" spans="19:19" ht="26.25">
      <c r="S2485" s="61" ph="1"/>
    </row>
    <row r="2486" spans="19:19" ht="26.25">
      <c r="S2486" s="61" ph="1"/>
    </row>
    <row r="2487" spans="19:19" ht="26.25">
      <c r="S2487" s="61" ph="1"/>
    </row>
    <row r="2488" spans="19:19" ht="26.25">
      <c r="S2488" s="61" ph="1"/>
    </row>
    <row r="2489" spans="19:19" ht="26.25">
      <c r="S2489" s="61" ph="1"/>
    </row>
    <row r="2490" spans="19:19" ht="26.25">
      <c r="S2490" s="61" ph="1"/>
    </row>
    <row r="2491" spans="19:19" ht="26.25">
      <c r="S2491" s="61" ph="1"/>
    </row>
    <row r="2492" spans="19:19" ht="26.25">
      <c r="S2492" s="61" ph="1"/>
    </row>
    <row r="2493" spans="19:19" ht="26.25">
      <c r="S2493" s="61" ph="1"/>
    </row>
    <row r="2494" spans="19:19" ht="26.25">
      <c r="S2494" s="61" ph="1"/>
    </row>
    <row r="2495" spans="19:19" ht="26.25">
      <c r="S2495" s="61" ph="1"/>
    </row>
    <row r="2496" spans="19:19" ht="26.25">
      <c r="S2496" s="61" ph="1"/>
    </row>
    <row r="2497" spans="19:19" ht="26.25">
      <c r="S2497" s="61" ph="1"/>
    </row>
    <row r="2498" spans="19:19" ht="26.25">
      <c r="S2498" s="61" ph="1"/>
    </row>
    <row r="2499" spans="19:19" ht="26.25">
      <c r="S2499" s="61" ph="1"/>
    </row>
    <row r="2500" spans="19:19" ht="26.25">
      <c r="S2500" s="61" ph="1"/>
    </row>
    <row r="2501" spans="19:19" ht="26.25">
      <c r="S2501" s="61" ph="1"/>
    </row>
    <row r="2502" spans="19:19" ht="26.25">
      <c r="S2502" s="61" ph="1"/>
    </row>
    <row r="2503" spans="19:19" ht="26.25">
      <c r="S2503" s="61" ph="1"/>
    </row>
    <row r="2504" spans="19:19" ht="26.25">
      <c r="S2504" s="61" ph="1"/>
    </row>
    <row r="2505" spans="19:19" ht="26.25">
      <c r="S2505" s="61" ph="1"/>
    </row>
    <row r="2506" spans="19:19" ht="26.25">
      <c r="S2506" s="61" ph="1"/>
    </row>
    <row r="2507" spans="19:19" ht="26.25">
      <c r="S2507" s="61" ph="1"/>
    </row>
    <row r="2508" spans="19:19" ht="26.25">
      <c r="S2508" s="61" ph="1"/>
    </row>
    <row r="2509" spans="19:19" ht="26.25">
      <c r="S2509" s="61" ph="1"/>
    </row>
    <row r="2510" spans="19:19" ht="26.25">
      <c r="S2510" s="61" ph="1"/>
    </row>
    <row r="2511" spans="19:19" ht="26.25">
      <c r="S2511" s="61" ph="1"/>
    </row>
    <row r="2512" spans="19:19" ht="26.25">
      <c r="S2512" s="61" ph="1"/>
    </row>
    <row r="2513" spans="19:19" ht="26.25">
      <c r="S2513" s="61" ph="1"/>
    </row>
    <row r="2514" spans="19:19" ht="26.25">
      <c r="S2514" s="61" ph="1"/>
    </row>
    <row r="2515" spans="19:19" ht="26.25">
      <c r="S2515" s="61" ph="1"/>
    </row>
    <row r="2516" spans="19:19" ht="26.25">
      <c r="S2516" s="61" ph="1"/>
    </row>
    <row r="2517" spans="19:19" ht="26.25">
      <c r="S2517" s="61" ph="1"/>
    </row>
    <row r="2518" spans="19:19" ht="26.25">
      <c r="S2518" s="61" ph="1"/>
    </row>
    <row r="2519" spans="19:19" ht="26.25">
      <c r="S2519" s="61" ph="1"/>
    </row>
    <row r="2520" spans="19:19" ht="26.25">
      <c r="S2520" s="61" ph="1"/>
    </row>
    <row r="2521" spans="19:19" ht="26.25">
      <c r="S2521" s="61" ph="1"/>
    </row>
    <row r="2522" spans="19:19" ht="26.25">
      <c r="S2522" s="61" ph="1"/>
    </row>
    <row r="2523" spans="19:19" ht="26.25">
      <c r="S2523" s="61" ph="1"/>
    </row>
    <row r="2524" spans="19:19" ht="26.25">
      <c r="S2524" s="61" ph="1"/>
    </row>
    <row r="2525" spans="19:19" ht="26.25">
      <c r="S2525" s="61" ph="1"/>
    </row>
    <row r="2526" spans="19:19" ht="26.25">
      <c r="S2526" s="61" ph="1"/>
    </row>
    <row r="2527" spans="19:19" ht="26.25">
      <c r="S2527" s="61" ph="1"/>
    </row>
    <row r="2528" spans="19:19" ht="26.25">
      <c r="S2528" s="61" ph="1"/>
    </row>
    <row r="2529" spans="19:19" ht="26.25">
      <c r="S2529" s="61" ph="1"/>
    </row>
    <row r="2530" spans="19:19" ht="26.25">
      <c r="S2530" s="61" ph="1"/>
    </row>
    <row r="2531" spans="19:19" ht="26.25">
      <c r="S2531" s="61" ph="1"/>
    </row>
    <row r="2532" spans="19:19" ht="26.25">
      <c r="S2532" s="61" ph="1"/>
    </row>
    <row r="2533" spans="19:19" ht="26.25">
      <c r="S2533" s="61" ph="1"/>
    </row>
    <row r="2534" spans="19:19" ht="26.25">
      <c r="S2534" s="61" ph="1"/>
    </row>
    <row r="2535" spans="19:19" ht="26.25">
      <c r="S2535" s="61" ph="1"/>
    </row>
    <row r="2536" spans="19:19" ht="26.25">
      <c r="S2536" s="61" ph="1"/>
    </row>
    <row r="2537" spans="19:19" ht="26.25">
      <c r="S2537" s="61" ph="1"/>
    </row>
    <row r="2538" spans="19:19" ht="26.25">
      <c r="S2538" s="61" ph="1"/>
    </row>
    <row r="2539" spans="19:19" ht="26.25">
      <c r="S2539" s="61" ph="1"/>
    </row>
    <row r="2540" spans="19:19" ht="26.25">
      <c r="S2540" s="61" ph="1"/>
    </row>
    <row r="2541" spans="19:19" ht="26.25">
      <c r="S2541" s="61" ph="1"/>
    </row>
    <row r="2542" spans="19:19" ht="26.25">
      <c r="S2542" s="61" ph="1"/>
    </row>
    <row r="2543" spans="19:19" ht="26.25">
      <c r="S2543" s="61" ph="1"/>
    </row>
    <row r="2544" spans="19:19" ht="26.25">
      <c r="S2544" s="61" ph="1"/>
    </row>
    <row r="2545" spans="19:19" ht="26.25">
      <c r="S2545" s="61" ph="1"/>
    </row>
    <row r="2546" spans="19:19" ht="26.25">
      <c r="S2546" s="61" ph="1"/>
    </row>
    <row r="2547" spans="19:19" ht="26.25">
      <c r="S2547" s="61" ph="1"/>
    </row>
    <row r="2548" spans="19:19" ht="26.25">
      <c r="S2548" s="61" ph="1"/>
    </row>
    <row r="2549" spans="19:19" ht="26.25">
      <c r="S2549" s="61" ph="1"/>
    </row>
    <row r="2550" spans="19:19" ht="26.25">
      <c r="S2550" s="61" ph="1"/>
    </row>
    <row r="2551" spans="19:19" ht="26.25">
      <c r="S2551" s="61" ph="1"/>
    </row>
    <row r="2552" spans="19:19" ht="26.25">
      <c r="S2552" s="61" ph="1"/>
    </row>
    <row r="2553" spans="19:19" ht="26.25">
      <c r="S2553" s="61" ph="1"/>
    </row>
    <row r="2554" spans="19:19" ht="26.25">
      <c r="S2554" s="61" ph="1"/>
    </row>
    <row r="2555" spans="19:19" ht="26.25">
      <c r="S2555" s="61" ph="1"/>
    </row>
    <row r="2556" spans="19:19" ht="26.25">
      <c r="S2556" s="61" ph="1"/>
    </row>
    <row r="2557" spans="19:19" ht="26.25">
      <c r="S2557" s="61" ph="1"/>
    </row>
    <row r="2558" spans="19:19" ht="26.25">
      <c r="S2558" s="61" ph="1"/>
    </row>
    <row r="2559" spans="19:19" ht="26.25">
      <c r="S2559" s="61" ph="1"/>
    </row>
    <row r="2560" spans="19:19" ht="26.25">
      <c r="S2560" s="61" ph="1"/>
    </row>
    <row r="2561" spans="19:19" ht="26.25">
      <c r="S2561" s="61" ph="1"/>
    </row>
    <row r="2562" spans="19:19" ht="26.25">
      <c r="S2562" s="61" ph="1"/>
    </row>
    <row r="2563" spans="19:19" ht="26.25">
      <c r="S2563" s="61" ph="1"/>
    </row>
    <row r="2564" spans="19:19" ht="26.25">
      <c r="S2564" s="61" ph="1"/>
    </row>
    <row r="2565" spans="19:19" ht="26.25">
      <c r="S2565" s="61" ph="1"/>
    </row>
    <row r="2566" spans="19:19" ht="26.25">
      <c r="S2566" s="61" ph="1"/>
    </row>
    <row r="2567" spans="19:19" ht="26.25">
      <c r="S2567" s="61" ph="1"/>
    </row>
    <row r="2568" spans="19:19" ht="26.25">
      <c r="S2568" s="61" ph="1"/>
    </row>
    <row r="2569" spans="19:19" ht="26.25">
      <c r="S2569" s="61" ph="1"/>
    </row>
    <row r="2570" spans="19:19" ht="26.25">
      <c r="S2570" s="61" ph="1"/>
    </row>
    <row r="2571" spans="19:19" ht="26.25">
      <c r="S2571" s="61" ph="1"/>
    </row>
    <row r="2572" spans="19:19" ht="26.25">
      <c r="S2572" s="61" ph="1"/>
    </row>
    <row r="2573" spans="19:19" ht="26.25">
      <c r="S2573" s="61" ph="1"/>
    </row>
    <row r="2574" spans="19:19" ht="26.25">
      <c r="S2574" s="61" ph="1"/>
    </row>
    <row r="2575" spans="19:19" ht="26.25">
      <c r="S2575" s="61" ph="1"/>
    </row>
    <row r="2576" spans="19:19" ht="26.25">
      <c r="S2576" s="61" ph="1"/>
    </row>
    <row r="2577" spans="19:19" ht="26.25">
      <c r="S2577" s="61" ph="1"/>
    </row>
    <row r="2578" spans="19:19" ht="26.25">
      <c r="S2578" s="61" ph="1"/>
    </row>
    <row r="2579" spans="19:19" ht="26.25">
      <c r="S2579" s="61" ph="1"/>
    </row>
    <row r="2580" spans="19:19" ht="26.25">
      <c r="S2580" s="61" ph="1"/>
    </row>
    <row r="2581" spans="19:19" ht="26.25">
      <c r="S2581" s="61" ph="1"/>
    </row>
    <row r="2582" spans="19:19" ht="26.25">
      <c r="S2582" s="61" ph="1"/>
    </row>
    <row r="2583" spans="19:19" ht="26.25">
      <c r="S2583" s="61" ph="1"/>
    </row>
    <row r="2584" spans="19:19" ht="26.25">
      <c r="S2584" s="61" ph="1"/>
    </row>
    <row r="2585" spans="19:19" ht="26.25">
      <c r="S2585" s="61" ph="1"/>
    </row>
    <row r="2586" spans="19:19" ht="26.25">
      <c r="S2586" s="61" ph="1"/>
    </row>
    <row r="2587" spans="19:19" ht="26.25">
      <c r="S2587" s="61" ph="1"/>
    </row>
    <row r="2588" spans="19:19" ht="26.25">
      <c r="S2588" s="61" ph="1"/>
    </row>
    <row r="2589" spans="19:19" ht="26.25">
      <c r="S2589" s="61" ph="1"/>
    </row>
    <row r="2590" spans="19:19" ht="26.25">
      <c r="S2590" s="61" ph="1"/>
    </row>
    <row r="2591" spans="19:19" ht="26.25">
      <c r="S2591" s="61" ph="1"/>
    </row>
    <row r="2592" spans="19:19" ht="26.25">
      <c r="S2592" s="61" ph="1"/>
    </row>
    <row r="2593" spans="19:19" ht="26.25">
      <c r="S2593" s="61" ph="1"/>
    </row>
    <row r="2594" spans="19:19" ht="26.25">
      <c r="S2594" s="61" ph="1"/>
    </row>
    <row r="2595" spans="19:19" ht="26.25">
      <c r="S2595" s="61" ph="1"/>
    </row>
    <row r="2596" spans="19:19" ht="26.25">
      <c r="S2596" s="61" ph="1"/>
    </row>
    <row r="2597" spans="19:19" ht="26.25">
      <c r="S2597" s="61" ph="1"/>
    </row>
    <row r="2598" spans="19:19" ht="26.25">
      <c r="S2598" s="61" ph="1"/>
    </row>
    <row r="2599" spans="19:19" ht="26.25">
      <c r="S2599" s="61" ph="1"/>
    </row>
    <row r="2600" spans="19:19" ht="26.25">
      <c r="S2600" s="61" ph="1"/>
    </row>
    <row r="2601" spans="19:19" ht="26.25">
      <c r="S2601" s="61" ph="1"/>
    </row>
    <row r="2602" spans="19:19" ht="26.25">
      <c r="S2602" s="61" ph="1"/>
    </row>
    <row r="2603" spans="19:19" ht="26.25">
      <c r="S2603" s="61" ph="1"/>
    </row>
    <row r="2604" spans="19:19" ht="26.25">
      <c r="S2604" s="61" ph="1"/>
    </row>
    <row r="2605" spans="19:19" ht="26.25">
      <c r="S2605" s="61" ph="1"/>
    </row>
    <row r="2606" spans="19:19" ht="26.25">
      <c r="S2606" s="61" ph="1"/>
    </row>
    <row r="2607" spans="19:19" ht="26.25">
      <c r="S2607" s="61" ph="1"/>
    </row>
    <row r="2608" spans="19:19" ht="26.25">
      <c r="S2608" s="61" ph="1"/>
    </row>
    <row r="2609" spans="19:19" ht="26.25">
      <c r="S2609" s="61" ph="1"/>
    </row>
    <row r="2610" spans="19:19" ht="26.25">
      <c r="S2610" s="61" ph="1"/>
    </row>
    <row r="2611" spans="19:19" ht="26.25">
      <c r="S2611" s="61" ph="1"/>
    </row>
    <row r="2612" spans="19:19" ht="26.25">
      <c r="S2612" s="61" ph="1"/>
    </row>
    <row r="2613" spans="19:19" ht="26.25">
      <c r="S2613" s="61" ph="1"/>
    </row>
    <row r="2614" spans="19:19" ht="26.25">
      <c r="S2614" s="61" ph="1"/>
    </row>
    <row r="2615" spans="19:19" ht="26.25">
      <c r="S2615" s="61" ph="1"/>
    </row>
    <row r="2616" spans="19:19" ht="26.25">
      <c r="S2616" s="61" ph="1"/>
    </row>
    <row r="2617" spans="19:19" ht="26.25">
      <c r="S2617" s="61" ph="1"/>
    </row>
    <row r="2618" spans="19:19" ht="26.25">
      <c r="S2618" s="61" ph="1"/>
    </row>
    <row r="2619" spans="19:19" ht="26.25">
      <c r="S2619" s="61" ph="1"/>
    </row>
    <row r="2620" spans="19:19" ht="26.25">
      <c r="S2620" s="61" ph="1"/>
    </row>
    <row r="2621" spans="19:19" ht="26.25">
      <c r="S2621" s="61" ph="1"/>
    </row>
    <row r="2622" spans="19:19" ht="26.25">
      <c r="S2622" s="61" ph="1"/>
    </row>
    <row r="2623" spans="19:19" ht="26.25">
      <c r="S2623" s="61" ph="1"/>
    </row>
    <row r="2624" spans="19:19" ht="26.25">
      <c r="S2624" s="61" ph="1"/>
    </row>
    <row r="2625" spans="19:19" ht="26.25">
      <c r="S2625" s="61" ph="1"/>
    </row>
    <row r="2626" spans="19:19" ht="26.25">
      <c r="S2626" s="61" ph="1"/>
    </row>
    <row r="2627" spans="19:19" ht="26.25">
      <c r="S2627" s="61" ph="1"/>
    </row>
    <row r="2628" spans="19:19" ht="26.25">
      <c r="S2628" s="61" ph="1"/>
    </row>
    <row r="2629" spans="19:19" ht="26.25">
      <c r="S2629" s="61" ph="1"/>
    </row>
    <row r="2630" spans="19:19" ht="26.25">
      <c r="S2630" s="61" ph="1"/>
    </row>
    <row r="2631" spans="19:19" ht="26.25">
      <c r="S2631" s="61" ph="1"/>
    </row>
    <row r="2632" spans="19:19" ht="26.25">
      <c r="S2632" s="61" ph="1"/>
    </row>
    <row r="2633" spans="19:19" ht="26.25">
      <c r="S2633" s="61" ph="1"/>
    </row>
    <row r="2634" spans="19:19" ht="26.25">
      <c r="S2634" s="61" ph="1"/>
    </row>
    <row r="2635" spans="19:19" ht="26.25">
      <c r="S2635" s="61" ph="1"/>
    </row>
    <row r="2636" spans="19:19" ht="26.25">
      <c r="S2636" s="61" ph="1"/>
    </row>
    <row r="2637" spans="19:19" ht="26.25">
      <c r="S2637" s="61" ph="1"/>
    </row>
    <row r="2638" spans="19:19" ht="26.25">
      <c r="S2638" s="61" ph="1"/>
    </row>
    <row r="2639" spans="19:19" ht="26.25">
      <c r="S2639" s="61" ph="1"/>
    </row>
    <row r="2640" spans="19:19" ht="26.25">
      <c r="S2640" s="61" ph="1"/>
    </row>
    <row r="2641" spans="19:19" ht="26.25">
      <c r="S2641" s="61" ph="1"/>
    </row>
    <row r="2642" spans="19:19" ht="26.25">
      <c r="S2642" s="61" ph="1"/>
    </row>
    <row r="2643" spans="19:19" ht="26.25">
      <c r="S2643" s="61" ph="1"/>
    </row>
    <row r="2644" spans="19:19" ht="26.25">
      <c r="S2644" s="61" ph="1"/>
    </row>
    <row r="2645" spans="19:19" ht="26.25">
      <c r="S2645" s="61" ph="1"/>
    </row>
    <row r="2646" spans="19:19" ht="26.25">
      <c r="S2646" s="61" ph="1"/>
    </row>
    <row r="2647" spans="19:19" ht="26.25">
      <c r="S2647" s="61" ph="1"/>
    </row>
    <row r="2648" spans="19:19" ht="26.25">
      <c r="S2648" s="61" ph="1"/>
    </row>
    <row r="2649" spans="19:19" ht="26.25">
      <c r="S2649" s="61" ph="1"/>
    </row>
    <row r="2650" spans="19:19" ht="26.25">
      <c r="S2650" s="61" ph="1"/>
    </row>
    <row r="2651" spans="19:19" ht="26.25">
      <c r="S2651" s="61" ph="1"/>
    </row>
    <row r="2652" spans="19:19" ht="26.25">
      <c r="S2652" s="61" ph="1"/>
    </row>
    <row r="2653" spans="19:19" ht="26.25">
      <c r="S2653" s="61" ph="1"/>
    </row>
    <row r="2654" spans="19:19" ht="26.25">
      <c r="S2654" s="61" ph="1"/>
    </row>
    <row r="2655" spans="19:19" ht="26.25">
      <c r="S2655" s="61" ph="1"/>
    </row>
    <row r="2656" spans="19:19" ht="26.25">
      <c r="S2656" s="61" ph="1"/>
    </row>
    <row r="2657" spans="19:19" ht="26.25">
      <c r="S2657" s="61" ph="1"/>
    </row>
    <row r="2658" spans="19:19" ht="26.25">
      <c r="S2658" s="61" ph="1"/>
    </row>
    <row r="2659" spans="19:19" ht="26.25">
      <c r="S2659" s="61" ph="1"/>
    </row>
    <row r="2660" spans="19:19" ht="26.25">
      <c r="S2660" s="61" ph="1"/>
    </row>
    <row r="2661" spans="19:19" ht="26.25">
      <c r="S2661" s="61" ph="1"/>
    </row>
    <row r="2662" spans="19:19" ht="26.25">
      <c r="S2662" s="61" ph="1"/>
    </row>
    <row r="2663" spans="19:19" ht="26.25">
      <c r="S2663" s="61" ph="1"/>
    </row>
    <row r="2664" spans="19:19" ht="26.25">
      <c r="S2664" s="61" ph="1"/>
    </row>
    <row r="2665" spans="19:19" ht="26.25">
      <c r="S2665" s="61" ph="1"/>
    </row>
    <row r="2666" spans="19:19" ht="26.25">
      <c r="S2666" s="61" ph="1"/>
    </row>
    <row r="2667" spans="19:19" ht="26.25">
      <c r="S2667" s="61" ph="1"/>
    </row>
    <row r="2668" spans="19:19" ht="26.25">
      <c r="S2668" s="61" ph="1"/>
    </row>
    <row r="2669" spans="19:19" ht="26.25">
      <c r="S2669" s="61" ph="1"/>
    </row>
    <row r="2670" spans="19:19" ht="26.25">
      <c r="S2670" s="61" ph="1"/>
    </row>
    <row r="2671" spans="19:19" ht="26.25">
      <c r="S2671" s="61" ph="1"/>
    </row>
    <row r="2672" spans="19:19" ht="26.25">
      <c r="S2672" s="61" ph="1"/>
    </row>
    <row r="2673" spans="19:19" ht="26.25">
      <c r="S2673" s="61" ph="1"/>
    </row>
    <row r="2674" spans="19:19" ht="26.25">
      <c r="S2674" s="61" ph="1"/>
    </row>
    <row r="2675" spans="19:19" ht="26.25">
      <c r="S2675" s="61" ph="1"/>
    </row>
    <row r="2676" spans="19:19" ht="26.25">
      <c r="S2676" s="61" ph="1"/>
    </row>
    <row r="2677" spans="19:19" ht="26.25">
      <c r="S2677" s="61" ph="1"/>
    </row>
    <row r="2678" spans="19:19" ht="26.25">
      <c r="S2678" s="61" ph="1"/>
    </row>
    <row r="2679" spans="19:19" ht="26.25">
      <c r="S2679" s="61" ph="1"/>
    </row>
    <row r="2680" spans="19:19" ht="26.25">
      <c r="S2680" s="61" ph="1"/>
    </row>
    <row r="2681" spans="19:19" ht="26.25">
      <c r="S2681" s="61" ph="1"/>
    </row>
    <row r="2682" spans="19:19" ht="26.25">
      <c r="S2682" s="61" ph="1"/>
    </row>
    <row r="2683" spans="19:19" ht="26.25">
      <c r="S2683" s="61" ph="1"/>
    </row>
    <row r="2684" spans="19:19" ht="26.25">
      <c r="S2684" s="61" ph="1"/>
    </row>
    <row r="2685" spans="19:19" ht="26.25">
      <c r="S2685" s="61" ph="1"/>
    </row>
    <row r="2686" spans="19:19" ht="26.25">
      <c r="S2686" s="61" ph="1"/>
    </row>
    <row r="2687" spans="19:19" ht="26.25">
      <c r="S2687" s="61" ph="1"/>
    </row>
    <row r="2688" spans="19:19" ht="26.25">
      <c r="S2688" s="61" ph="1"/>
    </row>
    <row r="2689" spans="19:19" ht="26.25">
      <c r="S2689" s="61" ph="1"/>
    </row>
    <row r="2690" spans="19:19" ht="26.25">
      <c r="S2690" s="61" ph="1"/>
    </row>
    <row r="2691" spans="19:19" ht="26.25">
      <c r="S2691" s="61" ph="1"/>
    </row>
    <row r="2692" spans="19:19" ht="26.25">
      <c r="S2692" s="61" ph="1"/>
    </row>
    <row r="2693" spans="19:19" ht="26.25">
      <c r="S2693" s="61" ph="1"/>
    </row>
    <row r="2694" spans="19:19" ht="26.25">
      <c r="S2694" s="61" ph="1"/>
    </row>
    <row r="2695" spans="19:19" ht="26.25">
      <c r="S2695" s="61" ph="1"/>
    </row>
    <row r="2696" spans="19:19" ht="26.25">
      <c r="S2696" s="61" ph="1"/>
    </row>
    <row r="2697" spans="19:19" ht="26.25">
      <c r="S2697" s="61" ph="1"/>
    </row>
    <row r="2698" spans="19:19" ht="26.25">
      <c r="S2698" s="61" ph="1"/>
    </row>
    <row r="2699" spans="19:19" ht="26.25">
      <c r="S2699" s="61" ph="1"/>
    </row>
    <row r="2700" spans="19:19" ht="26.25">
      <c r="S2700" s="61" ph="1"/>
    </row>
    <row r="2701" spans="19:19" ht="26.25">
      <c r="S2701" s="61" ph="1"/>
    </row>
    <row r="2702" spans="19:19" ht="26.25">
      <c r="S2702" s="61" ph="1"/>
    </row>
    <row r="2703" spans="19:19" ht="26.25">
      <c r="S2703" s="61" ph="1"/>
    </row>
    <row r="2704" spans="19:19" ht="26.25">
      <c r="S2704" s="61" ph="1"/>
    </row>
    <row r="2705" spans="19:19" ht="26.25">
      <c r="S2705" s="61" ph="1"/>
    </row>
    <row r="2706" spans="19:19" ht="26.25">
      <c r="S2706" s="61" ph="1"/>
    </row>
    <row r="2707" spans="19:19" ht="26.25">
      <c r="S2707" s="61" ph="1"/>
    </row>
    <row r="2708" spans="19:19" ht="26.25">
      <c r="S2708" s="61" ph="1"/>
    </row>
    <row r="2709" spans="19:19" ht="26.25">
      <c r="S2709" s="61" ph="1"/>
    </row>
    <row r="2710" spans="19:19" ht="26.25">
      <c r="S2710" s="61" ph="1"/>
    </row>
    <row r="2711" spans="19:19" ht="26.25">
      <c r="S2711" s="61" ph="1"/>
    </row>
    <row r="2712" spans="19:19" ht="26.25">
      <c r="S2712" s="61" ph="1"/>
    </row>
    <row r="2713" spans="19:19" ht="26.25">
      <c r="S2713" s="61" ph="1"/>
    </row>
    <row r="2714" spans="19:19" ht="26.25">
      <c r="S2714" s="61" ph="1"/>
    </row>
    <row r="2715" spans="19:19" ht="26.25">
      <c r="S2715" s="61" ph="1"/>
    </row>
    <row r="2716" spans="19:19" ht="26.25">
      <c r="S2716" s="61" ph="1"/>
    </row>
    <row r="2717" spans="19:19" ht="26.25">
      <c r="S2717" s="61" ph="1"/>
    </row>
    <row r="2718" spans="19:19" ht="26.25">
      <c r="S2718" s="61" ph="1"/>
    </row>
    <row r="2719" spans="19:19" ht="26.25">
      <c r="S2719" s="61" ph="1"/>
    </row>
    <row r="2720" spans="19:19" ht="26.25">
      <c r="S2720" s="61" ph="1"/>
    </row>
    <row r="2721" spans="19:19" ht="26.25">
      <c r="S2721" s="61" ph="1"/>
    </row>
    <row r="2722" spans="19:19" ht="26.25">
      <c r="S2722" s="61" ph="1"/>
    </row>
    <row r="2723" spans="19:19" ht="26.25">
      <c r="S2723" s="61" ph="1"/>
    </row>
    <row r="2724" spans="19:19" ht="26.25">
      <c r="S2724" s="61" ph="1"/>
    </row>
    <row r="2725" spans="19:19" ht="26.25">
      <c r="S2725" s="61" ph="1"/>
    </row>
    <row r="2726" spans="19:19" ht="26.25">
      <c r="S2726" s="61" ph="1"/>
    </row>
    <row r="2727" spans="19:19" ht="26.25">
      <c r="S2727" s="61" ph="1"/>
    </row>
    <row r="2728" spans="19:19" ht="26.25">
      <c r="S2728" s="61" ph="1"/>
    </row>
    <row r="2729" spans="19:19" ht="26.25">
      <c r="S2729" s="61" ph="1"/>
    </row>
    <row r="2730" spans="19:19" ht="26.25">
      <c r="S2730" s="61" ph="1"/>
    </row>
    <row r="2731" spans="19:19" ht="26.25">
      <c r="S2731" s="61" ph="1"/>
    </row>
    <row r="2732" spans="19:19" ht="26.25">
      <c r="S2732" s="61" ph="1"/>
    </row>
    <row r="2733" spans="19:19" ht="26.25">
      <c r="S2733" s="61" ph="1"/>
    </row>
    <row r="2734" spans="19:19" ht="26.25">
      <c r="S2734" s="61" ph="1"/>
    </row>
    <row r="2735" spans="19:19" ht="26.25">
      <c r="S2735" s="61" ph="1"/>
    </row>
    <row r="2736" spans="19:19" ht="26.25">
      <c r="S2736" s="61" ph="1"/>
    </row>
    <row r="2737" spans="19:19" ht="26.25">
      <c r="S2737" s="61" ph="1"/>
    </row>
    <row r="2738" spans="19:19" ht="26.25">
      <c r="S2738" s="61" ph="1"/>
    </row>
    <row r="2739" spans="19:19" ht="26.25">
      <c r="S2739" s="61" ph="1"/>
    </row>
    <row r="2740" spans="19:19" ht="26.25">
      <c r="S2740" s="61" ph="1"/>
    </row>
    <row r="2741" spans="19:19" ht="26.25">
      <c r="S2741" s="61" ph="1"/>
    </row>
    <row r="2742" spans="19:19" ht="26.25">
      <c r="S2742" s="61" ph="1"/>
    </row>
    <row r="2743" spans="19:19" ht="26.25">
      <c r="S2743" s="61" ph="1"/>
    </row>
    <row r="2744" spans="19:19" ht="26.25">
      <c r="S2744" s="61" ph="1"/>
    </row>
    <row r="2745" spans="19:19" ht="26.25">
      <c r="S2745" s="61" ph="1"/>
    </row>
    <row r="2746" spans="19:19" ht="26.25">
      <c r="S2746" s="61" ph="1"/>
    </row>
    <row r="2747" spans="19:19" ht="26.25">
      <c r="S2747" s="61" ph="1"/>
    </row>
    <row r="2748" spans="19:19" ht="26.25">
      <c r="S2748" s="61" ph="1"/>
    </row>
    <row r="2749" spans="19:19" ht="26.25">
      <c r="S2749" s="61" ph="1"/>
    </row>
    <row r="2750" spans="19:19" ht="26.25">
      <c r="S2750" s="61" ph="1"/>
    </row>
    <row r="2751" spans="19:19" ht="26.25">
      <c r="S2751" s="61" ph="1"/>
    </row>
    <row r="2752" spans="19:19" ht="26.25">
      <c r="S2752" s="61" ph="1"/>
    </row>
    <row r="2753" spans="19:19" ht="26.25">
      <c r="S2753" s="61" ph="1"/>
    </row>
    <row r="2754" spans="19:19" ht="26.25">
      <c r="S2754" s="61" ph="1"/>
    </row>
    <row r="2755" spans="19:19" ht="26.25">
      <c r="S2755" s="61" ph="1"/>
    </row>
    <row r="2756" spans="19:19" ht="26.25">
      <c r="S2756" s="61" ph="1"/>
    </row>
    <row r="2757" spans="19:19" ht="26.25">
      <c r="S2757" s="61" ph="1"/>
    </row>
    <row r="2758" spans="19:19" ht="26.25">
      <c r="S2758" s="61" ph="1"/>
    </row>
    <row r="2759" spans="19:19" ht="26.25">
      <c r="S2759" s="61" ph="1"/>
    </row>
    <row r="2760" spans="19:19" ht="26.25">
      <c r="S2760" s="61" ph="1"/>
    </row>
    <row r="2761" spans="19:19" ht="26.25">
      <c r="S2761" s="61" ph="1"/>
    </row>
    <row r="2762" spans="19:19" ht="26.25">
      <c r="S2762" s="61" ph="1"/>
    </row>
    <row r="2763" spans="19:19" ht="26.25">
      <c r="S2763" s="61" ph="1"/>
    </row>
    <row r="2764" spans="19:19" ht="26.25">
      <c r="S2764" s="61" ph="1"/>
    </row>
    <row r="2765" spans="19:19" ht="26.25">
      <c r="S2765" s="61" ph="1"/>
    </row>
    <row r="2766" spans="19:19" ht="26.25">
      <c r="S2766" s="61" ph="1"/>
    </row>
    <row r="2767" spans="19:19" ht="26.25">
      <c r="S2767" s="61" ph="1"/>
    </row>
    <row r="2768" spans="19:19" ht="26.25">
      <c r="S2768" s="61" ph="1"/>
    </row>
    <row r="2769" spans="19:19" ht="26.25">
      <c r="S2769" s="61" ph="1"/>
    </row>
    <row r="2770" spans="19:19" ht="26.25">
      <c r="S2770" s="61" ph="1"/>
    </row>
    <row r="2771" spans="19:19" ht="26.25">
      <c r="S2771" s="61" ph="1"/>
    </row>
    <row r="2772" spans="19:19" ht="26.25">
      <c r="S2772" s="61" ph="1"/>
    </row>
    <row r="2773" spans="19:19" ht="26.25">
      <c r="S2773" s="61" ph="1"/>
    </row>
    <row r="2774" spans="19:19" ht="26.25">
      <c r="S2774" s="61" ph="1"/>
    </row>
    <row r="2775" spans="19:19" ht="26.25">
      <c r="S2775" s="61" ph="1"/>
    </row>
    <row r="2776" spans="19:19" ht="26.25">
      <c r="S2776" s="61" ph="1"/>
    </row>
    <row r="2777" spans="19:19" ht="26.25">
      <c r="S2777" s="61" ph="1"/>
    </row>
    <row r="2778" spans="19:19" ht="26.25">
      <c r="S2778" s="61" ph="1"/>
    </row>
    <row r="2779" spans="19:19" ht="26.25">
      <c r="S2779" s="61" ph="1"/>
    </row>
    <row r="2780" spans="19:19" ht="26.25">
      <c r="S2780" s="61" ph="1"/>
    </row>
    <row r="2781" spans="19:19" ht="26.25">
      <c r="S2781" s="61" ph="1"/>
    </row>
    <row r="2782" spans="19:19" ht="26.25">
      <c r="S2782" s="61" ph="1"/>
    </row>
    <row r="2783" spans="19:19" ht="26.25">
      <c r="S2783" s="61" ph="1"/>
    </row>
    <row r="2784" spans="19:19" ht="26.25">
      <c r="S2784" s="61" ph="1"/>
    </row>
    <row r="2785" spans="19:19" ht="26.25">
      <c r="S2785" s="61" ph="1"/>
    </row>
    <row r="2786" spans="19:19" ht="26.25">
      <c r="S2786" s="61" ph="1"/>
    </row>
    <row r="2787" spans="19:19" ht="26.25">
      <c r="S2787" s="61" ph="1"/>
    </row>
    <row r="2788" spans="19:19" ht="26.25">
      <c r="S2788" s="61" ph="1"/>
    </row>
    <row r="2789" spans="19:19" ht="26.25">
      <c r="S2789" s="61" ph="1"/>
    </row>
    <row r="2790" spans="19:19" ht="26.25">
      <c r="S2790" s="61" ph="1"/>
    </row>
    <row r="2791" spans="19:19" ht="26.25">
      <c r="S2791" s="61" ph="1"/>
    </row>
    <row r="2792" spans="19:19" ht="26.25">
      <c r="S2792" s="61" ph="1"/>
    </row>
    <row r="2793" spans="19:19" ht="26.25">
      <c r="S2793" s="61" ph="1"/>
    </row>
    <row r="2794" spans="19:19" ht="26.25">
      <c r="S2794" s="61" ph="1"/>
    </row>
    <row r="2795" spans="19:19" ht="26.25">
      <c r="S2795" s="61" ph="1"/>
    </row>
    <row r="2796" spans="19:19" ht="26.25">
      <c r="S2796" s="61" ph="1"/>
    </row>
    <row r="2797" spans="19:19" ht="26.25">
      <c r="S2797" s="61" ph="1"/>
    </row>
    <row r="2798" spans="19:19" ht="26.25">
      <c r="S2798" s="61" ph="1"/>
    </row>
    <row r="2799" spans="19:19" ht="26.25">
      <c r="S2799" s="61" ph="1"/>
    </row>
    <row r="2800" spans="19:19" ht="26.25">
      <c r="S2800" s="61" ph="1"/>
    </row>
    <row r="2801" spans="19:19" ht="26.25">
      <c r="S2801" s="61" ph="1"/>
    </row>
    <row r="2802" spans="19:19" ht="26.25">
      <c r="S2802" s="61" ph="1"/>
    </row>
    <row r="2803" spans="19:19" ht="26.25">
      <c r="S2803" s="61" ph="1"/>
    </row>
    <row r="2804" spans="19:19" ht="26.25">
      <c r="S2804" s="61" ph="1"/>
    </row>
    <row r="2805" spans="19:19" ht="26.25">
      <c r="S2805" s="61" ph="1"/>
    </row>
    <row r="2806" spans="19:19" ht="26.25">
      <c r="S2806" s="61" ph="1"/>
    </row>
    <row r="2807" spans="19:19" ht="26.25">
      <c r="S2807" s="61" ph="1"/>
    </row>
    <row r="2808" spans="19:19" ht="26.25">
      <c r="S2808" s="61" ph="1"/>
    </row>
    <row r="2809" spans="19:19" ht="26.25">
      <c r="S2809" s="61" ph="1"/>
    </row>
    <row r="2810" spans="19:19" ht="26.25">
      <c r="S2810" s="61" ph="1"/>
    </row>
    <row r="2811" spans="19:19" ht="26.25">
      <c r="S2811" s="61" ph="1"/>
    </row>
    <row r="2812" spans="19:19" ht="26.25">
      <c r="S2812" s="61" ph="1"/>
    </row>
    <row r="2813" spans="19:19" ht="26.25">
      <c r="S2813" s="61" ph="1"/>
    </row>
    <row r="2814" spans="19:19" ht="26.25">
      <c r="S2814" s="61" ph="1"/>
    </row>
    <row r="2815" spans="19:19" ht="26.25">
      <c r="S2815" s="61" ph="1"/>
    </row>
    <row r="2816" spans="19:19" ht="26.25">
      <c r="S2816" s="61" ph="1"/>
    </row>
    <row r="2817" spans="19:19" ht="26.25">
      <c r="S2817" s="61" ph="1"/>
    </row>
    <row r="2818" spans="19:19" ht="26.25">
      <c r="S2818" s="61" ph="1"/>
    </row>
    <row r="2819" spans="19:19" ht="26.25">
      <c r="S2819" s="61" ph="1"/>
    </row>
    <row r="2820" spans="19:19" ht="26.25">
      <c r="S2820" s="61" ph="1"/>
    </row>
    <row r="2821" spans="19:19" ht="26.25">
      <c r="S2821" s="61" ph="1"/>
    </row>
    <row r="2822" spans="19:19" ht="26.25">
      <c r="S2822" s="61" ph="1"/>
    </row>
    <row r="2823" spans="19:19" ht="26.25">
      <c r="S2823" s="61" ph="1"/>
    </row>
    <row r="2824" spans="19:19" ht="26.25">
      <c r="S2824" s="61" ph="1"/>
    </row>
    <row r="2825" spans="19:19" ht="26.25">
      <c r="S2825" s="61" ph="1"/>
    </row>
    <row r="2826" spans="19:19" ht="26.25">
      <c r="S2826" s="61" ph="1"/>
    </row>
    <row r="2827" spans="19:19" ht="26.25">
      <c r="S2827" s="61" ph="1"/>
    </row>
    <row r="2828" spans="19:19" ht="26.25">
      <c r="S2828" s="61" ph="1"/>
    </row>
    <row r="2829" spans="19:19" ht="26.25">
      <c r="S2829" s="61" ph="1"/>
    </row>
    <row r="2830" spans="19:19" ht="26.25">
      <c r="S2830" s="61" ph="1"/>
    </row>
    <row r="2831" spans="19:19" ht="26.25">
      <c r="S2831" s="61" ph="1"/>
    </row>
    <row r="2832" spans="19:19" ht="26.25">
      <c r="S2832" s="61" ph="1"/>
    </row>
    <row r="2833" spans="19:19" ht="26.25">
      <c r="S2833" s="61" ph="1"/>
    </row>
    <row r="2834" spans="19:19" ht="26.25">
      <c r="S2834" s="61" ph="1"/>
    </row>
    <row r="2835" spans="19:19" ht="26.25">
      <c r="S2835" s="61" ph="1"/>
    </row>
    <row r="2836" spans="19:19" ht="26.25">
      <c r="S2836" s="61" ph="1"/>
    </row>
    <row r="2837" spans="19:19" ht="26.25">
      <c r="S2837" s="61" ph="1"/>
    </row>
    <row r="2838" spans="19:19" ht="26.25">
      <c r="S2838" s="61" ph="1"/>
    </row>
    <row r="2839" spans="19:19" ht="26.25">
      <c r="S2839" s="61" ph="1"/>
    </row>
    <row r="2840" spans="19:19" ht="26.25">
      <c r="S2840" s="61" ph="1"/>
    </row>
    <row r="2841" spans="19:19" ht="26.25">
      <c r="S2841" s="61" ph="1"/>
    </row>
    <row r="2842" spans="19:19" ht="26.25">
      <c r="S2842" s="61" ph="1"/>
    </row>
    <row r="2843" spans="19:19" ht="26.25">
      <c r="S2843" s="61" ph="1"/>
    </row>
    <row r="2844" spans="19:19" ht="26.25">
      <c r="S2844" s="61" ph="1"/>
    </row>
    <row r="2845" spans="19:19" ht="26.25">
      <c r="S2845" s="61" ph="1"/>
    </row>
    <row r="2846" spans="19:19" ht="26.25">
      <c r="S2846" s="61" ph="1"/>
    </row>
    <row r="2847" spans="19:19" ht="26.25">
      <c r="S2847" s="61" ph="1"/>
    </row>
    <row r="2848" spans="19:19" ht="26.25">
      <c r="S2848" s="61" ph="1"/>
    </row>
    <row r="2849" spans="19:19" ht="26.25">
      <c r="S2849" s="61" ph="1"/>
    </row>
    <row r="2850" spans="19:19" ht="26.25">
      <c r="S2850" s="61" ph="1"/>
    </row>
    <row r="2851" spans="19:19" ht="26.25">
      <c r="S2851" s="61" ph="1"/>
    </row>
    <row r="2852" spans="19:19" ht="26.25">
      <c r="S2852" s="61" ph="1"/>
    </row>
    <row r="2853" spans="19:19" ht="26.25">
      <c r="S2853" s="61" ph="1"/>
    </row>
    <row r="2854" spans="19:19" ht="26.25">
      <c r="S2854" s="61" ph="1"/>
    </row>
    <row r="2855" spans="19:19" ht="26.25">
      <c r="S2855" s="61" ph="1"/>
    </row>
    <row r="2856" spans="19:19" ht="26.25">
      <c r="S2856" s="61" ph="1"/>
    </row>
    <row r="2857" spans="19:19" ht="26.25">
      <c r="S2857" s="61" ph="1"/>
    </row>
    <row r="2858" spans="19:19" ht="26.25">
      <c r="S2858" s="61" ph="1"/>
    </row>
    <row r="2859" spans="19:19" ht="26.25">
      <c r="S2859" s="61" ph="1"/>
    </row>
    <row r="2860" spans="19:19" ht="26.25">
      <c r="S2860" s="61" ph="1"/>
    </row>
    <row r="2861" spans="19:19" ht="26.25">
      <c r="S2861" s="61" ph="1"/>
    </row>
    <row r="2862" spans="19:19" ht="26.25">
      <c r="S2862" s="61" ph="1"/>
    </row>
    <row r="2863" spans="19:19" ht="26.25">
      <c r="S2863" s="61" ph="1"/>
    </row>
    <row r="2864" spans="19:19" ht="26.25">
      <c r="S2864" s="61" ph="1"/>
    </row>
    <row r="2865" spans="19:19" ht="26.25">
      <c r="S2865" s="61" ph="1"/>
    </row>
    <row r="2866" spans="19:19" ht="26.25">
      <c r="S2866" s="61" ph="1"/>
    </row>
    <row r="2867" spans="19:19" ht="26.25">
      <c r="S2867" s="61" ph="1"/>
    </row>
    <row r="2868" spans="19:19" ht="26.25">
      <c r="S2868" s="61" ph="1"/>
    </row>
    <row r="2869" spans="19:19" ht="26.25">
      <c r="S2869" s="61" ph="1"/>
    </row>
    <row r="2870" spans="19:19" ht="26.25">
      <c r="S2870" s="61" ph="1"/>
    </row>
    <row r="2871" spans="19:19" ht="26.25">
      <c r="S2871" s="61" ph="1"/>
    </row>
    <row r="2872" spans="19:19" ht="26.25">
      <c r="S2872" s="61" ph="1"/>
    </row>
    <row r="2873" spans="19:19" ht="26.25">
      <c r="S2873" s="61" ph="1"/>
    </row>
    <row r="2874" spans="19:19" ht="26.25">
      <c r="S2874" s="61" ph="1"/>
    </row>
    <row r="2875" spans="19:19" ht="26.25">
      <c r="S2875" s="61" ph="1"/>
    </row>
    <row r="2876" spans="19:19" ht="26.25">
      <c r="S2876" s="61" ph="1"/>
    </row>
    <row r="2877" spans="19:19" ht="26.25">
      <c r="S2877" s="61" ph="1"/>
    </row>
    <row r="2878" spans="19:19" ht="26.25">
      <c r="S2878" s="61" ph="1"/>
    </row>
    <row r="2879" spans="19:19" ht="26.25">
      <c r="S2879" s="61" ph="1"/>
    </row>
    <row r="2880" spans="19:19" ht="26.25">
      <c r="S2880" s="61" ph="1"/>
    </row>
    <row r="2881" spans="19:19" ht="26.25">
      <c r="S2881" s="61" ph="1"/>
    </row>
    <row r="2882" spans="19:19" ht="26.25">
      <c r="S2882" s="61" ph="1"/>
    </row>
    <row r="2883" spans="19:19" ht="26.25">
      <c r="S2883" s="61" ph="1"/>
    </row>
    <row r="2884" spans="19:19" ht="26.25">
      <c r="S2884" s="61" ph="1"/>
    </row>
    <row r="2885" spans="19:19" ht="26.25">
      <c r="S2885" s="61" ph="1"/>
    </row>
    <row r="2886" spans="19:19" ht="26.25">
      <c r="S2886" s="61" ph="1"/>
    </row>
    <row r="2887" spans="19:19" ht="26.25">
      <c r="S2887" s="61" ph="1"/>
    </row>
    <row r="2888" spans="19:19" ht="26.25">
      <c r="S2888" s="61" ph="1"/>
    </row>
    <row r="2889" spans="19:19" ht="26.25">
      <c r="S2889" s="61" ph="1"/>
    </row>
    <row r="2890" spans="19:19" ht="26.25">
      <c r="S2890" s="61" ph="1"/>
    </row>
    <row r="2891" spans="19:19" ht="26.25">
      <c r="S2891" s="61" ph="1"/>
    </row>
    <row r="2892" spans="19:19" ht="26.25">
      <c r="S2892" s="61" ph="1"/>
    </row>
    <row r="2893" spans="19:19" ht="26.25">
      <c r="S2893" s="61" ph="1"/>
    </row>
    <row r="2894" spans="19:19" ht="26.25">
      <c r="S2894" s="61" ph="1"/>
    </row>
    <row r="2895" spans="19:19" ht="26.25">
      <c r="S2895" s="61" ph="1"/>
    </row>
    <row r="2896" spans="19:19" ht="26.25">
      <c r="S2896" s="61" ph="1"/>
    </row>
    <row r="2897" spans="19:19" ht="26.25">
      <c r="S2897" s="61" ph="1"/>
    </row>
    <row r="2898" spans="19:19" ht="26.25">
      <c r="S2898" s="61" ph="1"/>
    </row>
    <row r="2899" spans="19:19" ht="26.25">
      <c r="S2899" s="61" ph="1"/>
    </row>
    <row r="2900" spans="19:19" ht="26.25">
      <c r="S2900" s="61" ph="1"/>
    </row>
    <row r="2901" spans="19:19" ht="26.25">
      <c r="S2901" s="61" ph="1"/>
    </row>
    <row r="2902" spans="19:19" ht="26.25">
      <c r="S2902" s="61" ph="1"/>
    </row>
    <row r="2903" spans="19:19" ht="26.25">
      <c r="S2903" s="61" ph="1"/>
    </row>
    <row r="2904" spans="19:19" ht="26.25">
      <c r="S2904" s="61" ph="1"/>
    </row>
    <row r="2905" spans="19:19" ht="26.25">
      <c r="S2905" s="61" ph="1"/>
    </row>
    <row r="2906" spans="19:19" ht="26.25">
      <c r="S2906" s="61" ph="1"/>
    </row>
    <row r="2907" spans="19:19" ht="26.25">
      <c r="S2907" s="61" ph="1"/>
    </row>
    <row r="2908" spans="19:19" ht="26.25">
      <c r="S2908" s="61" ph="1"/>
    </row>
    <row r="2909" spans="19:19" ht="26.25">
      <c r="S2909" s="61" ph="1"/>
    </row>
    <row r="2910" spans="19:19" ht="26.25">
      <c r="S2910" s="61" ph="1"/>
    </row>
    <row r="2911" spans="19:19" ht="26.25">
      <c r="S2911" s="61" ph="1"/>
    </row>
    <row r="2912" spans="19:19" ht="26.25">
      <c r="S2912" s="61" ph="1"/>
    </row>
    <row r="2913" spans="19:19" ht="26.25">
      <c r="S2913" s="61" ph="1"/>
    </row>
    <row r="2914" spans="19:19" ht="26.25">
      <c r="S2914" s="61" ph="1"/>
    </row>
    <row r="2915" spans="19:19" ht="26.25">
      <c r="S2915" s="61" ph="1"/>
    </row>
    <row r="2916" spans="19:19" ht="26.25">
      <c r="S2916" s="61" ph="1"/>
    </row>
    <row r="2917" spans="19:19" ht="26.25">
      <c r="S2917" s="61" ph="1"/>
    </row>
    <row r="2918" spans="19:19" ht="26.25">
      <c r="S2918" s="61" ph="1"/>
    </row>
    <row r="2919" spans="19:19" ht="26.25">
      <c r="S2919" s="61" ph="1"/>
    </row>
    <row r="2920" spans="19:19" ht="26.25">
      <c r="S2920" s="61" ph="1"/>
    </row>
    <row r="2921" spans="19:19" ht="26.25">
      <c r="S2921" s="61" ph="1"/>
    </row>
    <row r="2922" spans="19:19" ht="26.25">
      <c r="S2922" s="61" ph="1"/>
    </row>
    <row r="2923" spans="19:19" ht="26.25">
      <c r="S2923" s="61" ph="1"/>
    </row>
    <row r="2924" spans="19:19" ht="26.25">
      <c r="S2924" s="61" ph="1"/>
    </row>
    <row r="2925" spans="19:19" ht="26.25">
      <c r="S2925" s="61" ph="1"/>
    </row>
    <row r="2926" spans="19:19" ht="26.25">
      <c r="S2926" s="61" ph="1"/>
    </row>
    <row r="2927" spans="19:19" ht="26.25">
      <c r="S2927" s="61" ph="1"/>
    </row>
    <row r="2928" spans="19:19" ht="26.25">
      <c r="S2928" s="61" ph="1"/>
    </row>
    <row r="2929" spans="19:19" ht="26.25">
      <c r="S2929" s="61" ph="1"/>
    </row>
    <row r="2930" spans="19:19" ht="26.25">
      <c r="S2930" s="61" ph="1"/>
    </row>
    <row r="2931" spans="19:19" ht="26.25">
      <c r="S2931" s="61" ph="1"/>
    </row>
    <row r="2932" spans="19:19" ht="26.25">
      <c r="S2932" s="61" ph="1"/>
    </row>
    <row r="2933" spans="19:19" ht="26.25">
      <c r="S2933" s="61" ph="1"/>
    </row>
    <row r="2934" spans="19:19" ht="26.25">
      <c r="S2934" s="61" ph="1"/>
    </row>
    <row r="2935" spans="19:19" ht="26.25">
      <c r="S2935" s="61" ph="1"/>
    </row>
    <row r="2936" spans="19:19" ht="26.25">
      <c r="S2936" s="61" ph="1"/>
    </row>
    <row r="2937" spans="19:19" ht="26.25">
      <c r="S2937" s="61" ph="1"/>
    </row>
    <row r="2938" spans="19:19" ht="26.25">
      <c r="S2938" s="61" ph="1"/>
    </row>
    <row r="2939" spans="19:19" ht="26.25">
      <c r="S2939" s="61" ph="1"/>
    </row>
    <row r="2940" spans="19:19" ht="26.25">
      <c r="S2940" s="61" ph="1"/>
    </row>
    <row r="2941" spans="19:19" ht="26.25">
      <c r="S2941" s="61" ph="1"/>
    </row>
    <row r="2942" spans="19:19" ht="26.25">
      <c r="S2942" s="61" ph="1"/>
    </row>
    <row r="2943" spans="19:19" ht="26.25">
      <c r="S2943" s="61" ph="1"/>
    </row>
    <row r="2944" spans="19:19" ht="26.25">
      <c r="S2944" s="61" ph="1"/>
    </row>
    <row r="2945" spans="19:19" ht="26.25">
      <c r="S2945" s="61" ph="1"/>
    </row>
    <row r="2946" spans="19:19" ht="26.25">
      <c r="S2946" s="61" ph="1"/>
    </row>
    <row r="2947" spans="19:19" ht="26.25">
      <c r="S2947" s="61" ph="1"/>
    </row>
    <row r="2948" spans="19:19" ht="26.25">
      <c r="S2948" s="61" ph="1"/>
    </row>
    <row r="2949" spans="19:19" ht="26.25">
      <c r="S2949" s="61" ph="1"/>
    </row>
    <row r="2950" spans="19:19" ht="26.25">
      <c r="S2950" s="61" ph="1"/>
    </row>
    <row r="2951" spans="19:19" ht="26.25">
      <c r="S2951" s="61" ph="1"/>
    </row>
    <row r="2952" spans="19:19" ht="26.25">
      <c r="S2952" s="61" ph="1"/>
    </row>
    <row r="2953" spans="19:19" ht="26.25">
      <c r="S2953" s="61" ph="1"/>
    </row>
    <row r="2954" spans="19:19" ht="26.25">
      <c r="S2954" s="61" ph="1"/>
    </row>
    <row r="2955" spans="19:19" ht="26.25">
      <c r="S2955" s="61" ph="1"/>
    </row>
    <row r="2956" spans="19:19" ht="26.25">
      <c r="S2956" s="61" ph="1"/>
    </row>
    <row r="2957" spans="19:19" ht="26.25">
      <c r="S2957" s="61" ph="1"/>
    </row>
    <row r="2958" spans="19:19" ht="26.25">
      <c r="S2958" s="61" ph="1"/>
    </row>
    <row r="2959" spans="19:19" ht="26.25">
      <c r="S2959" s="61" ph="1"/>
    </row>
    <row r="2960" spans="19:19" ht="26.25">
      <c r="S2960" s="61" ph="1"/>
    </row>
    <row r="2961" spans="19:19" ht="26.25">
      <c r="S2961" s="61" ph="1"/>
    </row>
    <row r="2962" spans="19:19" ht="26.25">
      <c r="S2962" s="61" ph="1"/>
    </row>
    <row r="2963" spans="19:19" ht="26.25">
      <c r="S2963" s="61" ph="1"/>
    </row>
    <row r="2964" spans="19:19" ht="26.25">
      <c r="S2964" s="61" ph="1"/>
    </row>
    <row r="2965" spans="19:19" ht="26.25">
      <c r="S2965" s="61" ph="1"/>
    </row>
    <row r="2966" spans="19:19" ht="26.25">
      <c r="S2966" s="61" ph="1"/>
    </row>
    <row r="2967" spans="19:19" ht="26.25">
      <c r="S2967" s="61" ph="1"/>
    </row>
    <row r="2968" spans="19:19" ht="26.25">
      <c r="S2968" s="61" ph="1"/>
    </row>
    <row r="2969" spans="19:19" ht="26.25">
      <c r="S2969" s="61" ph="1"/>
    </row>
    <row r="2970" spans="19:19" ht="26.25">
      <c r="S2970" s="61" ph="1"/>
    </row>
    <row r="2971" spans="19:19" ht="26.25">
      <c r="S2971" s="61" ph="1"/>
    </row>
    <row r="2972" spans="19:19" ht="26.25">
      <c r="S2972" s="61" ph="1"/>
    </row>
    <row r="2973" spans="19:19" ht="26.25">
      <c r="S2973" s="61" ph="1"/>
    </row>
    <row r="2974" spans="19:19" ht="26.25">
      <c r="S2974" s="61" ph="1"/>
    </row>
    <row r="2975" spans="19:19" ht="26.25">
      <c r="S2975" s="61" ph="1"/>
    </row>
    <row r="2976" spans="19:19" ht="26.25">
      <c r="S2976" s="61" ph="1"/>
    </row>
    <row r="2977" spans="19:19" ht="26.25">
      <c r="S2977" s="61" ph="1"/>
    </row>
    <row r="2978" spans="19:19" ht="26.25">
      <c r="S2978" s="61" ph="1"/>
    </row>
    <row r="2979" spans="19:19" ht="26.25">
      <c r="S2979" s="61" ph="1"/>
    </row>
    <row r="2980" spans="19:19" ht="26.25">
      <c r="S2980" s="61" ph="1"/>
    </row>
    <row r="2981" spans="19:19" ht="26.25">
      <c r="S2981" s="61" ph="1"/>
    </row>
    <row r="2982" spans="19:19" ht="26.25">
      <c r="S2982" s="61" ph="1"/>
    </row>
    <row r="2983" spans="19:19" ht="26.25">
      <c r="S2983" s="61" ph="1"/>
    </row>
    <row r="2984" spans="19:19" ht="26.25">
      <c r="S2984" s="61" ph="1"/>
    </row>
    <row r="2985" spans="19:19" ht="26.25">
      <c r="S2985" s="61" ph="1"/>
    </row>
    <row r="2986" spans="19:19" ht="26.25">
      <c r="S2986" s="61" ph="1"/>
    </row>
    <row r="2987" spans="19:19" ht="26.25">
      <c r="S2987" s="61" ph="1"/>
    </row>
    <row r="2988" spans="19:19" ht="26.25">
      <c r="S2988" s="61" ph="1"/>
    </row>
    <row r="2989" spans="19:19" ht="26.25">
      <c r="S2989" s="61" ph="1"/>
    </row>
    <row r="2990" spans="19:19" ht="26.25">
      <c r="S2990" s="61" ph="1"/>
    </row>
    <row r="2991" spans="19:19" ht="26.25">
      <c r="S2991" s="61" ph="1"/>
    </row>
    <row r="2992" spans="19:19" ht="26.25">
      <c r="S2992" s="61" ph="1"/>
    </row>
    <row r="2993" spans="19:19" ht="26.25">
      <c r="S2993" s="61" ph="1"/>
    </row>
    <row r="2994" spans="19:19" ht="26.25">
      <c r="S2994" s="61" ph="1"/>
    </row>
    <row r="2995" spans="19:19" ht="26.25">
      <c r="S2995" s="61" ph="1"/>
    </row>
    <row r="2996" spans="19:19" ht="26.25">
      <c r="S2996" s="61" ph="1"/>
    </row>
    <row r="2997" spans="19:19" ht="26.25">
      <c r="S2997" s="61" ph="1"/>
    </row>
    <row r="2998" spans="19:19" ht="26.25">
      <c r="S2998" s="61" ph="1"/>
    </row>
    <row r="2999" spans="19:19" ht="26.25">
      <c r="S2999" s="61" ph="1"/>
    </row>
    <row r="3000" spans="19:19" ht="26.25">
      <c r="S3000" s="61" ph="1"/>
    </row>
    <row r="3001" spans="19:19" ht="26.25">
      <c r="S3001" s="61" ph="1"/>
    </row>
    <row r="3002" spans="19:19" ht="26.25">
      <c r="S3002" s="61" ph="1"/>
    </row>
    <row r="3003" spans="19:19" ht="26.25">
      <c r="S3003" s="61" ph="1"/>
    </row>
    <row r="3004" spans="19:19" ht="26.25">
      <c r="S3004" s="61" ph="1"/>
    </row>
    <row r="3005" spans="19:19" ht="26.25">
      <c r="S3005" s="61" ph="1"/>
    </row>
    <row r="3006" spans="19:19" ht="26.25">
      <c r="S3006" s="61" ph="1"/>
    </row>
    <row r="3007" spans="19:19" ht="26.25">
      <c r="S3007" s="61" ph="1"/>
    </row>
    <row r="3008" spans="19:19" ht="26.25">
      <c r="S3008" s="61" ph="1"/>
    </row>
    <row r="3009" spans="19:19" ht="26.25">
      <c r="S3009" s="61" ph="1"/>
    </row>
    <row r="3010" spans="19:19" ht="26.25">
      <c r="S3010" s="61" ph="1"/>
    </row>
    <row r="3011" spans="19:19" ht="26.25">
      <c r="S3011" s="61" ph="1"/>
    </row>
    <row r="3012" spans="19:19" ht="26.25">
      <c r="S3012" s="61" ph="1"/>
    </row>
    <row r="3013" spans="19:19" ht="26.25">
      <c r="S3013" s="61" ph="1"/>
    </row>
    <row r="3014" spans="19:19" ht="26.25">
      <c r="S3014" s="61" ph="1"/>
    </row>
    <row r="3015" spans="19:19" ht="26.25">
      <c r="S3015" s="61" ph="1"/>
    </row>
    <row r="3016" spans="19:19" ht="26.25">
      <c r="S3016" s="61" ph="1"/>
    </row>
    <row r="3017" spans="19:19" ht="26.25">
      <c r="S3017" s="61" ph="1"/>
    </row>
    <row r="3018" spans="19:19" ht="26.25">
      <c r="S3018" s="61" ph="1"/>
    </row>
    <row r="3019" spans="19:19" ht="26.25">
      <c r="S3019" s="61" ph="1"/>
    </row>
    <row r="3020" spans="19:19" ht="26.25">
      <c r="S3020" s="61" ph="1"/>
    </row>
    <row r="3021" spans="19:19" ht="26.25">
      <c r="S3021" s="61" ph="1"/>
    </row>
    <row r="3022" spans="19:19" ht="26.25">
      <c r="S3022" s="61" ph="1"/>
    </row>
    <row r="3023" spans="19:19" ht="26.25">
      <c r="S3023" s="61" ph="1"/>
    </row>
    <row r="3024" spans="19:19" ht="26.25">
      <c r="S3024" s="61" ph="1"/>
    </row>
    <row r="3025" spans="19:19" ht="26.25">
      <c r="S3025" s="61" ph="1"/>
    </row>
    <row r="3026" spans="19:19" ht="26.25">
      <c r="S3026" s="61" ph="1"/>
    </row>
    <row r="3027" spans="19:19" ht="26.25">
      <c r="S3027" s="61" ph="1"/>
    </row>
    <row r="3028" spans="19:19" ht="26.25">
      <c r="S3028" s="61" ph="1"/>
    </row>
    <row r="3029" spans="19:19" ht="26.25">
      <c r="S3029" s="61" ph="1"/>
    </row>
    <row r="3030" spans="19:19" ht="26.25">
      <c r="S3030" s="61" ph="1"/>
    </row>
    <row r="3031" spans="19:19" ht="26.25">
      <c r="S3031" s="61" ph="1"/>
    </row>
    <row r="3032" spans="19:19" ht="26.25">
      <c r="S3032" s="61" ph="1"/>
    </row>
    <row r="3033" spans="19:19" ht="26.25">
      <c r="S3033" s="61" ph="1"/>
    </row>
    <row r="3034" spans="19:19" ht="26.25">
      <c r="S3034" s="61" ph="1"/>
    </row>
    <row r="3035" spans="19:19" ht="26.25">
      <c r="S3035" s="61" ph="1"/>
    </row>
    <row r="3036" spans="19:19" ht="26.25">
      <c r="S3036" s="61" ph="1"/>
    </row>
    <row r="3037" spans="19:19" ht="26.25">
      <c r="S3037" s="61" ph="1"/>
    </row>
    <row r="3038" spans="19:19" ht="26.25">
      <c r="S3038" s="61" ph="1"/>
    </row>
    <row r="3039" spans="19:19" ht="26.25">
      <c r="S3039" s="61" ph="1"/>
    </row>
    <row r="3040" spans="19:19" ht="26.25">
      <c r="S3040" s="61" ph="1"/>
    </row>
    <row r="3041" spans="19:19" ht="26.25">
      <c r="S3041" s="61" ph="1"/>
    </row>
    <row r="3042" spans="19:19" ht="26.25">
      <c r="S3042" s="61" ph="1"/>
    </row>
    <row r="3043" spans="19:19" ht="26.25">
      <c r="S3043" s="61" ph="1"/>
    </row>
    <row r="3044" spans="19:19" ht="26.25">
      <c r="S3044" s="61" ph="1"/>
    </row>
    <row r="3045" spans="19:19" ht="26.25">
      <c r="S3045" s="61" ph="1"/>
    </row>
    <row r="3046" spans="19:19" ht="26.25">
      <c r="S3046" s="61" ph="1"/>
    </row>
    <row r="3047" spans="19:19" ht="26.25">
      <c r="S3047" s="61" ph="1"/>
    </row>
    <row r="3048" spans="19:19" ht="26.25">
      <c r="S3048" s="61" ph="1"/>
    </row>
    <row r="3049" spans="19:19" ht="26.25">
      <c r="S3049" s="61" ph="1"/>
    </row>
    <row r="3050" spans="19:19" ht="26.25">
      <c r="S3050" s="61" ph="1"/>
    </row>
    <row r="3051" spans="19:19" ht="26.25">
      <c r="S3051" s="61" ph="1"/>
    </row>
    <row r="3052" spans="19:19" ht="26.25">
      <c r="S3052" s="61" ph="1"/>
    </row>
    <row r="3053" spans="19:19" ht="26.25">
      <c r="S3053" s="61" ph="1"/>
    </row>
    <row r="3054" spans="19:19" ht="26.25">
      <c r="S3054" s="61" ph="1"/>
    </row>
    <row r="3055" spans="19:19" ht="26.25">
      <c r="S3055" s="61" ph="1"/>
    </row>
    <row r="3056" spans="19:19" ht="26.25">
      <c r="S3056" s="61" ph="1"/>
    </row>
    <row r="3057" spans="19:19" ht="26.25">
      <c r="S3057" s="61" ph="1"/>
    </row>
    <row r="3058" spans="19:19" ht="26.25">
      <c r="S3058" s="61" ph="1"/>
    </row>
    <row r="3059" spans="19:19" ht="26.25">
      <c r="S3059" s="61" ph="1"/>
    </row>
    <row r="3060" spans="19:19" ht="26.25">
      <c r="S3060" s="61" ph="1"/>
    </row>
    <row r="3061" spans="19:19" ht="26.25">
      <c r="S3061" s="61" ph="1"/>
    </row>
    <row r="3062" spans="19:19" ht="26.25">
      <c r="S3062" s="61" ph="1"/>
    </row>
    <row r="3063" spans="19:19" ht="26.25">
      <c r="S3063" s="61" ph="1"/>
    </row>
    <row r="3064" spans="19:19" ht="26.25">
      <c r="S3064" s="61" ph="1"/>
    </row>
    <row r="3065" spans="19:19" ht="26.25">
      <c r="S3065" s="61" ph="1"/>
    </row>
    <row r="3066" spans="19:19" ht="26.25">
      <c r="S3066" s="61" ph="1"/>
    </row>
    <row r="3067" spans="19:19" ht="26.25">
      <c r="S3067" s="61" ph="1"/>
    </row>
    <row r="3068" spans="19:19" ht="26.25">
      <c r="S3068" s="61" ph="1"/>
    </row>
    <row r="3069" spans="19:19" ht="26.25">
      <c r="S3069" s="61" ph="1"/>
    </row>
    <row r="3070" spans="19:19" ht="26.25">
      <c r="S3070" s="61" ph="1"/>
    </row>
    <row r="3071" spans="19:19" ht="26.25">
      <c r="S3071" s="61" ph="1"/>
    </row>
    <row r="3072" spans="19:19" ht="26.25">
      <c r="S3072" s="61" ph="1"/>
    </row>
    <row r="3073" spans="19:19" ht="26.25">
      <c r="S3073" s="61" ph="1"/>
    </row>
    <row r="3074" spans="19:19" ht="26.25">
      <c r="S3074" s="61" ph="1"/>
    </row>
    <row r="3075" spans="19:19" ht="26.25">
      <c r="S3075" s="61" ph="1"/>
    </row>
    <row r="3076" spans="19:19" ht="26.25">
      <c r="S3076" s="61" ph="1"/>
    </row>
    <row r="3077" spans="19:19" ht="26.25">
      <c r="S3077" s="61" ph="1"/>
    </row>
    <row r="3078" spans="19:19" ht="26.25">
      <c r="S3078" s="61" ph="1"/>
    </row>
    <row r="3079" spans="19:19" ht="26.25">
      <c r="S3079" s="61" ph="1"/>
    </row>
    <row r="3080" spans="19:19" ht="26.25">
      <c r="S3080" s="61" ph="1"/>
    </row>
    <row r="3081" spans="19:19" ht="26.25">
      <c r="S3081" s="61" ph="1"/>
    </row>
    <row r="3082" spans="19:19" ht="26.25">
      <c r="S3082" s="61" ph="1"/>
    </row>
    <row r="3083" spans="19:19" ht="26.25">
      <c r="S3083" s="61" ph="1"/>
    </row>
    <row r="3084" spans="19:19" ht="26.25">
      <c r="S3084" s="61" ph="1"/>
    </row>
    <row r="3085" spans="19:19" ht="26.25">
      <c r="S3085" s="61" ph="1"/>
    </row>
    <row r="3086" spans="19:19" ht="26.25">
      <c r="S3086" s="61" ph="1"/>
    </row>
    <row r="3087" spans="19:19" ht="26.25">
      <c r="S3087" s="61" ph="1"/>
    </row>
    <row r="3088" spans="19:19" ht="26.25">
      <c r="S3088" s="61" ph="1"/>
    </row>
    <row r="3089" spans="19:19" ht="26.25">
      <c r="S3089" s="61" ph="1"/>
    </row>
    <row r="3090" spans="19:19" ht="26.25">
      <c r="S3090" s="61" ph="1"/>
    </row>
    <row r="3091" spans="19:19" ht="26.25">
      <c r="S3091" s="61" ph="1"/>
    </row>
    <row r="3092" spans="19:19" ht="26.25">
      <c r="S3092" s="61" ph="1"/>
    </row>
    <row r="3093" spans="19:19" ht="26.25">
      <c r="S3093" s="61" ph="1"/>
    </row>
    <row r="3094" spans="19:19" ht="26.25">
      <c r="S3094" s="61" ph="1"/>
    </row>
    <row r="3095" spans="19:19" ht="26.25">
      <c r="S3095" s="61" ph="1"/>
    </row>
    <row r="3096" spans="19:19" ht="26.25">
      <c r="S3096" s="61" ph="1"/>
    </row>
    <row r="3097" spans="19:19" ht="26.25">
      <c r="S3097" s="61" ph="1"/>
    </row>
    <row r="3098" spans="19:19" ht="26.25">
      <c r="S3098" s="61" ph="1"/>
    </row>
    <row r="3099" spans="19:19" ht="26.25">
      <c r="S3099" s="61" ph="1"/>
    </row>
    <row r="3100" spans="19:19" ht="26.25">
      <c r="S3100" s="61" ph="1"/>
    </row>
    <row r="3101" spans="19:19" ht="26.25">
      <c r="S3101" s="61" ph="1"/>
    </row>
    <row r="3102" spans="19:19" ht="26.25">
      <c r="S3102" s="61" ph="1"/>
    </row>
    <row r="3103" spans="19:19" ht="26.25">
      <c r="S3103" s="61" ph="1"/>
    </row>
    <row r="3104" spans="19:19" ht="26.25">
      <c r="S3104" s="61" ph="1"/>
    </row>
    <row r="3105" spans="19:19" ht="26.25">
      <c r="S3105" s="61" ph="1"/>
    </row>
    <row r="3106" spans="19:19" ht="26.25">
      <c r="S3106" s="61" ph="1"/>
    </row>
    <row r="3107" spans="19:19" ht="26.25">
      <c r="S3107" s="61" ph="1"/>
    </row>
    <row r="3108" spans="19:19" ht="26.25">
      <c r="S3108" s="61" ph="1"/>
    </row>
    <row r="3109" spans="19:19" ht="26.25">
      <c r="S3109" s="61" ph="1"/>
    </row>
    <row r="3110" spans="19:19" ht="26.25">
      <c r="S3110" s="61" ph="1"/>
    </row>
    <row r="3111" spans="19:19" ht="26.25">
      <c r="S3111" s="61" ph="1"/>
    </row>
    <row r="3112" spans="19:19" ht="26.25">
      <c r="S3112" s="61" ph="1"/>
    </row>
    <row r="3113" spans="19:19" ht="26.25">
      <c r="S3113" s="61" ph="1"/>
    </row>
    <row r="3114" spans="19:19" ht="26.25">
      <c r="S3114" s="61" ph="1"/>
    </row>
    <row r="3115" spans="19:19" ht="26.25">
      <c r="S3115" s="61" ph="1"/>
    </row>
    <row r="3116" spans="19:19" ht="26.25">
      <c r="S3116" s="61" ph="1"/>
    </row>
    <row r="3117" spans="19:19" ht="26.25">
      <c r="S3117" s="61" ph="1"/>
    </row>
    <row r="3118" spans="19:19" ht="26.25">
      <c r="S3118" s="61" ph="1"/>
    </row>
    <row r="3119" spans="19:19" ht="26.25">
      <c r="S3119" s="61" ph="1"/>
    </row>
    <row r="3120" spans="19:19" ht="26.25">
      <c r="S3120" s="61" ph="1"/>
    </row>
    <row r="3121" spans="19:19" ht="26.25">
      <c r="S3121" s="61" ph="1"/>
    </row>
    <row r="3122" spans="19:19" ht="26.25">
      <c r="S3122" s="61" ph="1"/>
    </row>
    <row r="3123" spans="19:19" ht="26.25">
      <c r="S3123" s="61" ph="1"/>
    </row>
    <row r="3124" spans="19:19" ht="26.25">
      <c r="S3124" s="61" ph="1"/>
    </row>
    <row r="3125" spans="19:19" ht="26.25">
      <c r="S3125" s="61" ph="1"/>
    </row>
    <row r="3126" spans="19:19" ht="26.25">
      <c r="S3126" s="61" ph="1"/>
    </row>
    <row r="3127" spans="19:19" ht="26.25">
      <c r="S3127" s="61" ph="1"/>
    </row>
    <row r="3128" spans="19:19" ht="26.25">
      <c r="S3128" s="61" ph="1"/>
    </row>
    <row r="3129" spans="19:19" ht="26.25">
      <c r="S3129" s="61" ph="1"/>
    </row>
    <row r="3130" spans="19:19" ht="26.25">
      <c r="S3130" s="61" ph="1"/>
    </row>
    <row r="3131" spans="19:19" ht="26.25">
      <c r="S3131" s="61" ph="1"/>
    </row>
    <row r="3132" spans="19:19" ht="26.25">
      <c r="S3132" s="61" ph="1"/>
    </row>
    <row r="3133" spans="19:19" ht="26.25">
      <c r="S3133" s="61" ph="1"/>
    </row>
    <row r="3134" spans="19:19" ht="26.25">
      <c r="S3134" s="61" ph="1"/>
    </row>
    <row r="3135" spans="19:19" ht="26.25">
      <c r="S3135" s="61" ph="1"/>
    </row>
    <row r="3136" spans="19:19" ht="26.25">
      <c r="S3136" s="61" ph="1"/>
    </row>
    <row r="3137" spans="19:19" ht="26.25">
      <c r="S3137" s="61" ph="1"/>
    </row>
    <row r="3138" spans="19:19" ht="26.25">
      <c r="S3138" s="61" ph="1"/>
    </row>
    <row r="3139" spans="19:19" ht="26.25">
      <c r="S3139" s="61" ph="1"/>
    </row>
    <row r="3140" spans="19:19" ht="26.25">
      <c r="S3140" s="61" ph="1"/>
    </row>
    <row r="3141" spans="19:19" ht="26.25">
      <c r="S3141" s="61" ph="1"/>
    </row>
    <row r="3142" spans="19:19" ht="26.25">
      <c r="S3142" s="61" ph="1"/>
    </row>
    <row r="3143" spans="19:19" ht="26.25">
      <c r="S3143" s="61" ph="1"/>
    </row>
    <row r="3144" spans="19:19" ht="26.25">
      <c r="S3144" s="61" ph="1"/>
    </row>
    <row r="3145" spans="19:19" ht="26.25">
      <c r="S3145" s="61" ph="1"/>
    </row>
    <row r="3146" spans="19:19" ht="26.25">
      <c r="S3146" s="61" ph="1"/>
    </row>
    <row r="3147" spans="19:19" ht="26.25">
      <c r="S3147" s="61" ph="1"/>
    </row>
    <row r="3148" spans="19:19" ht="26.25">
      <c r="S3148" s="61" ph="1"/>
    </row>
    <row r="3149" spans="19:19" ht="26.25">
      <c r="S3149" s="61" ph="1"/>
    </row>
    <row r="3150" spans="19:19" ht="26.25">
      <c r="S3150" s="61" ph="1"/>
    </row>
    <row r="3151" spans="19:19" ht="26.25">
      <c r="S3151" s="61" ph="1"/>
    </row>
    <row r="3152" spans="19:19" ht="26.25">
      <c r="S3152" s="61" ph="1"/>
    </row>
    <row r="3153" spans="19:19" ht="26.25">
      <c r="S3153" s="61" ph="1"/>
    </row>
    <row r="3154" spans="19:19" ht="26.25">
      <c r="S3154" s="61" ph="1"/>
    </row>
    <row r="3155" spans="19:19" ht="26.25">
      <c r="S3155" s="61" ph="1"/>
    </row>
    <row r="3156" spans="19:19" ht="26.25">
      <c r="S3156" s="61" ph="1"/>
    </row>
    <row r="3157" spans="19:19" ht="26.25">
      <c r="S3157" s="61" ph="1"/>
    </row>
    <row r="3158" spans="19:19" ht="26.25">
      <c r="S3158" s="61" ph="1"/>
    </row>
    <row r="3159" spans="19:19" ht="26.25">
      <c r="S3159" s="61" ph="1"/>
    </row>
    <row r="3160" spans="19:19" ht="26.25">
      <c r="S3160" s="61" ph="1"/>
    </row>
    <row r="3161" spans="19:19" ht="26.25">
      <c r="S3161" s="61" ph="1"/>
    </row>
    <row r="3162" spans="19:19" ht="26.25">
      <c r="S3162" s="61" ph="1"/>
    </row>
    <row r="3163" spans="19:19" ht="26.25">
      <c r="S3163" s="61" ph="1"/>
    </row>
    <row r="3164" spans="19:19" ht="26.25">
      <c r="S3164" s="61" ph="1"/>
    </row>
    <row r="3165" spans="19:19" ht="26.25">
      <c r="S3165" s="61" ph="1"/>
    </row>
    <row r="3166" spans="19:19" ht="26.25">
      <c r="S3166" s="61" ph="1"/>
    </row>
    <row r="3167" spans="19:19" ht="26.25">
      <c r="S3167" s="61" ph="1"/>
    </row>
    <row r="3168" spans="19:19" ht="26.25">
      <c r="S3168" s="61" ph="1"/>
    </row>
    <row r="3169" spans="19:19" ht="26.25">
      <c r="S3169" s="61" ph="1"/>
    </row>
    <row r="3170" spans="19:19" ht="26.25">
      <c r="S3170" s="61" ph="1"/>
    </row>
    <row r="3171" spans="19:19" ht="26.25">
      <c r="S3171" s="61" ph="1"/>
    </row>
    <row r="3172" spans="19:19" ht="26.25">
      <c r="S3172" s="61" ph="1"/>
    </row>
    <row r="3173" spans="19:19" ht="26.25">
      <c r="S3173" s="61" ph="1"/>
    </row>
    <row r="3174" spans="19:19" ht="26.25">
      <c r="S3174" s="61" ph="1"/>
    </row>
    <row r="3175" spans="19:19" ht="26.25">
      <c r="S3175" s="61" ph="1"/>
    </row>
    <row r="3176" spans="19:19" ht="26.25">
      <c r="S3176" s="61" ph="1"/>
    </row>
    <row r="3177" spans="19:19" ht="26.25">
      <c r="S3177" s="61" ph="1"/>
    </row>
    <row r="3178" spans="19:19" ht="26.25">
      <c r="S3178" s="61" ph="1"/>
    </row>
    <row r="3179" spans="19:19" ht="26.25">
      <c r="S3179" s="61" ph="1"/>
    </row>
    <row r="3180" spans="19:19" ht="26.25">
      <c r="S3180" s="61" ph="1"/>
    </row>
    <row r="3181" spans="19:19" ht="26.25">
      <c r="S3181" s="61" ph="1"/>
    </row>
    <row r="3182" spans="19:19" ht="26.25">
      <c r="S3182" s="61" ph="1"/>
    </row>
    <row r="3183" spans="19:19" ht="26.25">
      <c r="S3183" s="61" ph="1"/>
    </row>
    <row r="3184" spans="19:19" ht="26.25">
      <c r="S3184" s="61" ph="1"/>
    </row>
    <row r="3185" spans="19:19" ht="26.25">
      <c r="S3185" s="61" ph="1"/>
    </row>
    <row r="3186" spans="19:19" ht="26.25">
      <c r="S3186" s="61" ph="1"/>
    </row>
    <row r="3187" spans="19:19" ht="26.25">
      <c r="S3187" s="61" ph="1"/>
    </row>
    <row r="3188" spans="19:19" ht="26.25">
      <c r="S3188" s="61" ph="1"/>
    </row>
    <row r="3189" spans="19:19" ht="26.25">
      <c r="S3189" s="61" ph="1"/>
    </row>
    <row r="3190" spans="19:19" ht="26.25">
      <c r="S3190" s="61" ph="1"/>
    </row>
    <row r="3191" spans="19:19" ht="26.25">
      <c r="S3191" s="61" ph="1"/>
    </row>
    <row r="3192" spans="19:19" ht="26.25">
      <c r="S3192" s="61" ph="1"/>
    </row>
    <row r="3193" spans="19:19" ht="26.25">
      <c r="S3193" s="61" ph="1"/>
    </row>
    <row r="3194" spans="19:19" ht="26.25">
      <c r="S3194" s="61" ph="1"/>
    </row>
    <row r="3195" spans="19:19" ht="26.25">
      <c r="S3195" s="61" ph="1"/>
    </row>
    <row r="3196" spans="19:19" ht="26.25">
      <c r="S3196" s="61" ph="1"/>
    </row>
    <row r="3197" spans="19:19" ht="26.25">
      <c r="S3197" s="61" ph="1"/>
    </row>
    <row r="3198" spans="19:19" ht="26.25">
      <c r="S3198" s="61" ph="1"/>
    </row>
    <row r="3199" spans="19:19" ht="26.25">
      <c r="S3199" s="61" ph="1"/>
    </row>
    <row r="3200" spans="19:19" ht="26.25">
      <c r="S3200" s="61" ph="1"/>
    </row>
    <row r="3201" spans="19:19" ht="26.25">
      <c r="S3201" s="61" ph="1"/>
    </row>
    <row r="3202" spans="19:19" ht="26.25">
      <c r="S3202" s="61" ph="1"/>
    </row>
    <row r="3203" spans="19:19" ht="26.25">
      <c r="S3203" s="61" ph="1"/>
    </row>
    <row r="3204" spans="19:19" ht="26.25">
      <c r="S3204" s="61" ph="1"/>
    </row>
    <row r="3205" spans="19:19" ht="26.25">
      <c r="S3205" s="61" ph="1"/>
    </row>
    <row r="3206" spans="19:19" ht="26.25">
      <c r="S3206" s="61" ph="1"/>
    </row>
    <row r="3207" spans="19:19" ht="26.25">
      <c r="S3207" s="61" ph="1"/>
    </row>
    <row r="3208" spans="19:19" ht="26.25">
      <c r="S3208" s="61" ph="1"/>
    </row>
    <row r="3209" spans="19:19" ht="26.25">
      <c r="S3209" s="61" ph="1"/>
    </row>
    <row r="3210" spans="19:19" ht="26.25">
      <c r="S3210" s="61" ph="1"/>
    </row>
    <row r="3211" spans="19:19" ht="26.25">
      <c r="S3211" s="61" ph="1"/>
    </row>
    <row r="3212" spans="19:19" ht="26.25">
      <c r="S3212" s="61" ph="1"/>
    </row>
    <row r="3213" spans="19:19" ht="26.25">
      <c r="S3213" s="61" ph="1"/>
    </row>
    <row r="3214" spans="19:19" ht="26.25">
      <c r="S3214" s="61" ph="1"/>
    </row>
    <row r="3215" spans="19:19" ht="26.25">
      <c r="S3215" s="61" ph="1"/>
    </row>
    <row r="3216" spans="19:19" ht="26.25">
      <c r="S3216" s="61" ph="1"/>
    </row>
    <row r="3217" spans="19:19" ht="26.25">
      <c r="S3217" s="61" ph="1"/>
    </row>
    <row r="3218" spans="19:19" ht="26.25">
      <c r="S3218" s="61" ph="1"/>
    </row>
    <row r="3219" spans="19:19" ht="26.25">
      <c r="S3219" s="61" ph="1"/>
    </row>
    <row r="3220" spans="19:19" ht="26.25">
      <c r="S3220" s="61" ph="1"/>
    </row>
    <row r="3221" spans="19:19" ht="26.25">
      <c r="S3221" s="61" ph="1"/>
    </row>
    <row r="3222" spans="19:19" ht="26.25">
      <c r="S3222" s="61" ph="1"/>
    </row>
    <row r="3223" spans="19:19" ht="26.25">
      <c r="S3223" s="61" ph="1"/>
    </row>
    <row r="3224" spans="19:19" ht="26.25">
      <c r="S3224" s="61" ph="1"/>
    </row>
    <row r="3225" spans="19:19" ht="26.25">
      <c r="S3225" s="61" ph="1"/>
    </row>
    <row r="3226" spans="19:19" ht="26.25">
      <c r="S3226" s="61" ph="1"/>
    </row>
    <row r="3227" spans="19:19" ht="26.25">
      <c r="S3227" s="61" ph="1"/>
    </row>
    <row r="3228" spans="19:19" ht="26.25">
      <c r="S3228" s="61" ph="1"/>
    </row>
    <row r="3229" spans="19:19" ht="26.25">
      <c r="S3229" s="61" ph="1"/>
    </row>
    <row r="3230" spans="19:19" ht="26.25">
      <c r="S3230" s="61" ph="1"/>
    </row>
    <row r="3231" spans="19:19" ht="26.25">
      <c r="S3231" s="61" ph="1"/>
    </row>
    <row r="3232" spans="19:19" ht="26.25">
      <c r="S3232" s="61" ph="1"/>
    </row>
    <row r="3233" spans="19:19" ht="26.25">
      <c r="S3233" s="61" ph="1"/>
    </row>
    <row r="3234" spans="19:19" ht="26.25">
      <c r="S3234" s="61" ph="1"/>
    </row>
    <row r="3235" spans="19:19" ht="26.25">
      <c r="S3235" s="61" ph="1"/>
    </row>
    <row r="3236" spans="19:19" ht="26.25">
      <c r="S3236" s="61" ph="1"/>
    </row>
    <row r="3237" spans="19:19" ht="26.25">
      <c r="S3237" s="61" ph="1"/>
    </row>
    <row r="3238" spans="19:19" ht="26.25">
      <c r="S3238" s="61" ph="1"/>
    </row>
    <row r="3239" spans="19:19" ht="26.25">
      <c r="S3239" s="61" ph="1"/>
    </row>
    <row r="3240" spans="19:19" ht="26.25">
      <c r="S3240" s="61" ph="1"/>
    </row>
    <row r="3241" spans="19:19" ht="26.25">
      <c r="S3241" s="61" ph="1"/>
    </row>
    <row r="3242" spans="19:19" ht="26.25">
      <c r="S3242" s="61" ph="1"/>
    </row>
    <row r="3243" spans="19:19" ht="26.25">
      <c r="S3243" s="61" ph="1"/>
    </row>
    <row r="3244" spans="19:19" ht="26.25">
      <c r="S3244" s="61" ph="1"/>
    </row>
    <row r="3245" spans="19:19" ht="26.25">
      <c r="S3245" s="61" ph="1"/>
    </row>
    <row r="3246" spans="19:19" ht="26.25">
      <c r="S3246" s="61" ph="1"/>
    </row>
    <row r="3247" spans="19:19" ht="26.25">
      <c r="S3247" s="61" ph="1"/>
    </row>
    <row r="3248" spans="19:19" ht="26.25">
      <c r="S3248" s="61" ph="1"/>
    </row>
    <row r="3249" spans="19:19" ht="26.25">
      <c r="S3249" s="61" ph="1"/>
    </row>
    <row r="3250" spans="19:19" ht="26.25">
      <c r="S3250" s="61" ph="1"/>
    </row>
    <row r="3251" spans="19:19" ht="26.25">
      <c r="S3251" s="61" ph="1"/>
    </row>
    <row r="3252" spans="19:19" ht="26.25">
      <c r="S3252" s="61" ph="1"/>
    </row>
    <row r="3253" spans="19:19" ht="26.25">
      <c r="S3253" s="61" ph="1"/>
    </row>
    <row r="3254" spans="19:19" ht="26.25">
      <c r="S3254" s="61" ph="1"/>
    </row>
    <row r="3255" spans="19:19" ht="26.25">
      <c r="S3255" s="61" ph="1"/>
    </row>
    <row r="3256" spans="19:19" ht="26.25">
      <c r="S3256" s="61" ph="1"/>
    </row>
    <row r="3257" spans="19:19" ht="26.25">
      <c r="S3257" s="61" ph="1"/>
    </row>
    <row r="3258" spans="19:19" ht="26.25">
      <c r="S3258" s="61" ph="1"/>
    </row>
    <row r="3259" spans="19:19" ht="26.25">
      <c r="S3259" s="61" ph="1"/>
    </row>
    <row r="3260" spans="19:19" ht="26.25">
      <c r="S3260" s="61" ph="1"/>
    </row>
    <row r="3261" spans="19:19" ht="26.25">
      <c r="S3261" s="61" ph="1"/>
    </row>
    <row r="3262" spans="19:19" ht="26.25">
      <c r="S3262" s="61" ph="1"/>
    </row>
    <row r="3263" spans="19:19" ht="26.25">
      <c r="S3263" s="61" ph="1"/>
    </row>
    <row r="3264" spans="19:19" ht="26.25">
      <c r="S3264" s="61" ph="1"/>
    </row>
    <row r="3265" spans="19:19" ht="26.25">
      <c r="S3265" s="61" ph="1"/>
    </row>
    <row r="3266" spans="19:19" ht="26.25">
      <c r="S3266" s="61" ph="1"/>
    </row>
    <row r="3267" spans="19:19" ht="26.25">
      <c r="S3267" s="61" ph="1"/>
    </row>
    <row r="3268" spans="19:19" ht="26.25">
      <c r="S3268" s="61" ph="1"/>
    </row>
    <row r="3269" spans="19:19" ht="26.25">
      <c r="S3269" s="61" ph="1"/>
    </row>
    <row r="3270" spans="19:19" ht="26.25">
      <c r="S3270" s="61" ph="1"/>
    </row>
    <row r="3271" spans="19:19" ht="26.25">
      <c r="S3271" s="61" ph="1"/>
    </row>
    <row r="3272" spans="19:19" ht="26.25">
      <c r="S3272" s="61" ph="1"/>
    </row>
    <row r="3273" spans="19:19" ht="26.25">
      <c r="S3273" s="61" ph="1"/>
    </row>
    <row r="3274" spans="19:19" ht="26.25">
      <c r="S3274" s="61" ph="1"/>
    </row>
    <row r="3275" spans="19:19" ht="26.25">
      <c r="S3275" s="61" ph="1"/>
    </row>
    <row r="3276" spans="19:19" ht="26.25">
      <c r="S3276" s="61" ph="1"/>
    </row>
    <row r="3277" spans="19:19" ht="26.25">
      <c r="S3277" s="61" ph="1"/>
    </row>
    <row r="3278" spans="19:19" ht="26.25">
      <c r="S3278" s="61" ph="1"/>
    </row>
    <row r="3279" spans="19:19" ht="26.25">
      <c r="S3279" s="61" ph="1"/>
    </row>
    <row r="3280" spans="19:19" ht="26.25">
      <c r="S3280" s="61" ph="1"/>
    </row>
    <row r="3281" spans="19:19" ht="26.25">
      <c r="S3281" s="61" ph="1"/>
    </row>
    <row r="3282" spans="19:19" ht="26.25">
      <c r="S3282" s="61" ph="1"/>
    </row>
    <row r="3283" spans="19:19" ht="26.25">
      <c r="S3283" s="61" ph="1"/>
    </row>
    <row r="3284" spans="19:19" ht="26.25">
      <c r="S3284" s="61" ph="1"/>
    </row>
    <row r="3285" spans="19:19" ht="26.25">
      <c r="S3285" s="61" ph="1"/>
    </row>
    <row r="3286" spans="19:19" ht="26.25">
      <c r="S3286" s="61" ph="1"/>
    </row>
    <row r="3287" spans="19:19" ht="26.25">
      <c r="S3287" s="61" ph="1"/>
    </row>
    <row r="3288" spans="19:19" ht="26.25">
      <c r="S3288" s="61" ph="1"/>
    </row>
    <row r="3289" spans="19:19" ht="26.25">
      <c r="S3289" s="61" ph="1"/>
    </row>
    <row r="3290" spans="19:19" ht="26.25">
      <c r="S3290" s="61" ph="1"/>
    </row>
    <row r="3291" spans="19:19" ht="26.25">
      <c r="S3291" s="61" ph="1"/>
    </row>
    <row r="3292" spans="19:19" ht="26.25">
      <c r="S3292" s="61" ph="1"/>
    </row>
    <row r="3293" spans="19:19" ht="26.25">
      <c r="S3293" s="61" ph="1"/>
    </row>
    <row r="3294" spans="19:19" ht="26.25">
      <c r="S3294" s="61" ph="1"/>
    </row>
    <row r="3295" spans="19:19" ht="26.25">
      <c r="S3295" s="61" ph="1"/>
    </row>
    <row r="3296" spans="19:19" ht="26.25">
      <c r="S3296" s="61" ph="1"/>
    </row>
    <row r="3297" spans="19:19" ht="26.25">
      <c r="S3297" s="61" ph="1"/>
    </row>
    <row r="3298" spans="19:19" ht="26.25">
      <c r="S3298" s="61" ph="1"/>
    </row>
    <row r="3299" spans="19:19" ht="26.25">
      <c r="S3299" s="61" ph="1"/>
    </row>
    <row r="3300" spans="19:19" ht="26.25">
      <c r="S3300" s="61" ph="1"/>
    </row>
    <row r="3301" spans="19:19" ht="26.25">
      <c r="S3301" s="61" ph="1"/>
    </row>
    <row r="3302" spans="19:19" ht="26.25">
      <c r="S3302" s="61" ph="1"/>
    </row>
    <row r="3303" spans="19:19" ht="26.25">
      <c r="S3303" s="61" ph="1"/>
    </row>
    <row r="3304" spans="19:19" ht="26.25">
      <c r="S3304" s="61" ph="1"/>
    </row>
    <row r="3305" spans="19:19" ht="26.25">
      <c r="S3305" s="61" ph="1"/>
    </row>
    <row r="3306" spans="19:19" ht="26.25">
      <c r="S3306" s="61" ph="1"/>
    </row>
    <row r="3307" spans="19:19" ht="26.25">
      <c r="S3307" s="61" ph="1"/>
    </row>
    <row r="3308" spans="19:19" ht="26.25">
      <c r="S3308" s="61" ph="1"/>
    </row>
    <row r="3309" spans="19:19" ht="26.25">
      <c r="S3309" s="61" ph="1"/>
    </row>
    <row r="3310" spans="19:19" ht="26.25">
      <c r="S3310" s="61" ph="1"/>
    </row>
    <row r="3311" spans="19:19" ht="26.25">
      <c r="S3311" s="61" ph="1"/>
    </row>
    <row r="3312" spans="19:19" ht="26.25">
      <c r="S3312" s="61" ph="1"/>
    </row>
    <row r="3313" spans="19:19" ht="26.25">
      <c r="S3313" s="61" ph="1"/>
    </row>
    <row r="3314" spans="19:19" ht="26.25">
      <c r="S3314" s="61" ph="1"/>
    </row>
    <row r="3315" spans="19:19" ht="26.25">
      <c r="S3315" s="61" ph="1"/>
    </row>
    <row r="3316" spans="19:19" ht="26.25">
      <c r="S3316" s="61" ph="1"/>
    </row>
    <row r="3317" spans="19:19" ht="26.25">
      <c r="S3317" s="61" ph="1"/>
    </row>
    <row r="3318" spans="19:19" ht="26.25">
      <c r="S3318" s="61" ph="1"/>
    </row>
    <row r="3319" spans="19:19" ht="26.25">
      <c r="S3319" s="61" ph="1"/>
    </row>
    <row r="3320" spans="19:19" ht="26.25">
      <c r="S3320" s="61" ph="1"/>
    </row>
    <row r="3321" spans="19:19" ht="26.25">
      <c r="S3321" s="61" ph="1"/>
    </row>
    <row r="3322" spans="19:19" ht="26.25">
      <c r="S3322" s="61" ph="1"/>
    </row>
    <row r="3323" spans="19:19" ht="26.25">
      <c r="S3323" s="61" ph="1"/>
    </row>
    <row r="3324" spans="19:19" ht="26.25">
      <c r="S3324" s="61" ph="1"/>
    </row>
    <row r="3325" spans="19:19" ht="26.25">
      <c r="S3325" s="61" ph="1"/>
    </row>
    <row r="3326" spans="19:19" ht="26.25">
      <c r="S3326" s="61" ph="1"/>
    </row>
    <row r="3327" spans="19:19" ht="26.25">
      <c r="S3327" s="61" ph="1"/>
    </row>
    <row r="3328" spans="19:19" ht="26.25">
      <c r="S3328" s="61" ph="1"/>
    </row>
    <row r="3329" spans="19:19" ht="26.25">
      <c r="S3329" s="61" ph="1"/>
    </row>
    <row r="3330" spans="19:19" ht="26.25">
      <c r="S3330" s="61" ph="1"/>
    </row>
    <row r="3331" spans="19:19" ht="26.25">
      <c r="S3331" s="61" ph="1"/>
    </row>
    <row r="3332" spans="19:19" ht="26.25">
      <c r="S3332" s="61" ph="1"/>
    </row>
    <row r="3333" spans="19:19" ht="26.25">
      <c r="S3333" s="61" ph="1"/>
    </row>
    <row r="3334" spans="19:19" ht="26.25">
      <c r="S3334" s="61" ph="1"/>
    </row>
    <row r="3335" spans="19:19" ht="26.25">
      <c r="S3335" s="61" ph="1"/>
    </row>
    <row r="3336" spans="19:19" ht="26.25">
      <c r="S3336" s="61" ph="1"/>
    </row>
    <row r="3337" spans="19:19" ht="26.25">
      <c r="S3337" s="61" ph="1"/>
    </row>
    <row r="3338" spans="19:19" ht="26.25">
      <c r="S3338" s="61" ph="1"/>
    </row>
    <row r="3339" spans="19:19" ht="26.25">
      <c r="S3339" s="61" ph="1"/>
    </row>
    <row r="3340" spans="19:19" ht="26.25">
      <c r="S3340" s="61" ph="1"/>
    </row>
    <row r="3341" spans="19:19" ht="26.25">
      <c r="S3341" s="61" ph="1"/>
    </row>
    <row r="3342" spans="19:19" ht="26.25">
      <c r="S3342" s="61" ph="1"/>
    </row>
    <row r="3343" spans="19:19" ht="26.25">
      <c r="S3343" s="61" ph="1"/>
    </row>
    <row r="3344" spans="19:19" ht="26.25">
      <c r="S3344" s="61" ph="1"/>
    </row>
    <row r="3345" spans="19:19" ht="26.25">
      <c r="S3345" s="61" ph="1"/>
    </row>
    <row r="3346" spans="19:19" ht="26.25">
      <c r="S3346" s="61" ph="1"/>
    </row>
    <row r="3347" spans="19:19" ht="26.25">
      <c r="S3347" s="61" ph="1"/>
    </row>
    <row r="3348" spans="19:19" ht="26.25">
      <c r="S3348" s="61" ph="1"/>
    </row>
    <row r="3349" spans="19:19" ht="26.25">
      <c r="S3349" s="61" ph="1"/>
    </row>
    <row r="3350" spans="19:19" ht="26.25">
      <c r="S3350" s="61" ph="1"/>
    </row>
    <row r="3351" spans="19:19" ht="26.25">
      <c r="S3351" s="61" ph="1"/>
    </row>
    <row r="3352" spans="19:19" ht="26.25">
      <c r="S3352" s="61" ph="1"/>
    </row>
    <row r="3353" spans="19:19" ht="26.25">
      <c r="S3353" s="61" ph="1"/>
    </row>
    <row r="3354" spans="19:19" ht="26.25">
      <c r="S3354" s="61" ph="1"/>
    </row>
    <row r="3355" spans="19:19" ht="26.25">
      <c r="S3355" s="61" ph="1"/>
    </row>
    <row r="3356" spans="19:19" ht="26.25">
      <c r="S3356" s="61" ph="1"/>
    </row>
    <row r="3357" spans="19:19" ht="26.25">
      <c r="S3357" s="61" ph="1"/>
    </row>
    <row r="3358" spans="19:19" ht="26.25">
      <c r="S3358" s="61" ph="1"/>
    </row>
    <row r="3359" spans="19:19" ht="26.25">
      <c r="S3359" s="61" ph="1"/>
    </row>
    <row r="3360" spans="19:19" ht="26.25">
      <c r="S3360" s="61" ph="1"/>
    </row>
    <row r="3361" spans="19:19" ht="26.25">
      <c r="S3361" s="61" ph="1"/>
    </row>
    <row r="3362" spans="19:19" ht="26.25">
      <c r="S3362" s="61" ph="1"/>
    </row>
    <row r="3363" spans="19:19" ht="26.25">
      <c r="S3363" s="61" ph="1"/>
    </row>
    <row r="3364" spans="19:19" ht="26.25">
      <c r="S3364" s="61" ph="1"/>
    </row>
    <row r="3365" spans="19:19" ht="26.25">
      <c r="S3365" s="61" ph="1"/>
    </row>
    <row r="3366" spans="19:19" ht="26.25">
      <c r="S3366" s="61" ph="1"/>
    </row>
    <row r="3367" spans="19:19" ht="26.25">
      <c r="S3367" s="61" ph="1"/>
    </row>
    <row r="3368" spans="19:19" ht="26.25">
      <c r="S3368" s="61" ph="1"/>
    </row>
    <row r="3369" spans="19:19" ht="26.25">
      <c r="S3369" s="61" ph="1"/>
    </row>
    <row r="3370" spans="19:19" ht="26.25">
      <c r="S3370" s="61" ph="1"/>
    </row>
    <row r="3371" spans="19:19" ht="26.25">
      <c r="S3371" s="61" ph="1"/>
    </row>
    <row r="3372" spans="19:19" ht="26.25">
      <c r="S3372" s="61" ph="1"/>
    </row>
    <row r="3373" spans="19:19" ht="26.25">
      <c r="S3373" s="61" ph="1"/>
    </row>
    <row r="3374" spans="19:19" ht="26.25">
      <c r="S3374" s="61" ph="1"/>
    </row>
    <row r="3375" spans="19:19" ht="26.25">
      <c r="S3375" s="61" ph="1"/>
    </row>
    <row r="3376" spans="19:19" ht="26.25">
      <c r="S3376" s="61" ph="1"/>
    </row>
    <row r="3377" spans="19:19" ht="26.25">
      <c r="S3377" s="61" ph="1"/>
    </row>
    <row r="3378" spans="19:19" ht="26.25">
      <c r="S3378" s="61" ph="1"/>
    </row>
    <row r="3379" spans="19:19" ht="26.25">
      <c r="S3379" s="61" ph="1"/>
    </row>
    <row r="3380" spans="19:19" ht="26.25">
      <c r="S3380" s="61" ph="1"/>
    </row>
    <row r="3381" spans="19:19" ht="26.25">
      <c r="S3381" s="61" ph="1"/>
    </row>
    <row r="3382" spans="19:19" ht="26.25">
      <c r="S3382" s="61" ph="1"/>
    </row>
    <row r="3383" spans="19:19" ht="26.25">
      <c r="S3383" s="61" ph="1"/>
    </row>
    <row r="3384" spans="19:19" ht="26.25">
      <c r="S3384" s="61" ph="1"/>
    </row>
    <row r="3385" spans="19:19" ht="26.25">
      <c r="S3385" s="61" ph="1"/>
    </row>
    <row r="3386" spans="19:19" ht="26.25">
      <c r="S3386" s="61" ph="1"/>
    </row>
    <row r="3387" spans="19:19" ht="26.25">
      <c r="S3387" s="61" ph="1"/>
    </row>
    <row r="3388" spans="19:19" ht="26.25">
      <c r="S3388" s="61" ph="1"/>
    </row>
    <row r="3389" spans="19:19" ht="26.25">
      <c r="S3389" s="61" ph="1"/>
    </row>
    <row r="3390" spans="19:19" ht="26.25">
      <c r="S3390" s="61" ph="1"/>
    </row>
    <row r="3391" spans="19:19" ht="26.25">
      <c r="S3391" s="61" ph="1"/>
    </row>
    <row r="3392" spans="19:19" ht="26.25">
      <c r="S3392" s="61" ph="1"/>
    </row>
    <row r="3393" spans="19:19" ht="26.25">
      <c r="S3393" s="61" ph="1"/>
    </row>
    <row r="3394" spans="19:19" ht="26.25">
      <c r="S3394" s="61" ph="1"/>
    </row>
    <row r="3395" spans="19:19" ht="26.25">
      <c r="S3395" s="61" ph="1"/>
    </row>
    <row r="3396" spans="19:19" ht="26.25">
      <c r="S3396" s="61" ph="1"/>
    </row>
    <row r="3397" spans="19:19" ht="26.25">
      <c r="S3397" s="61" ph="1"/>
    </row>
    <row r="3398" spans="19:19" ht="26.25">
      <c r="S3398" s="61" ph="1"/>
    </row>
    <row r="3399" spans="19:19" ht="26.25">
      <c r="S3399" s="61" ph="1"/>
    </row>
    <row r="3400" spans="19:19" ht="26.25">
      <c r="S3400" s="61" ph="1"/>
    </row>
    <row r="3401" spans="19:19" ht="26.25">
      <c r="S3401" s="61" ph="1"/>
    </row>
    <row r="3402" spans="19:19" ht="26.25">
      <c r="S3402" s="61" ph="1"/>
    </row>
    <row r="3403" spans="19:19" ht="26.25">
      <c r="S3403" s="61" ph="1"/>
    </row>
    <row r="3404" spans="19:19" ht="26.25">
      <c r="S3404" s="61" ph="1"/>
    </row>
    <row r="3405" spans="19:19" ht="26.25">
      <c r="S3405" s="61" ph="1"/>
    </row>
    <row r="3406" spans="19:19" ht="26.25">
      <c r="S3406" s="61" ph="1"/>
    </row>
    <row r="3407" spans="19:19" ht="26.25">
      <c r="S3407" s="61" ph="1"/>
    </row>
    <row r="3408" spans="19:19" ht="26.25">
      <c r="S3408" s="61" ph="1"/>
    </row>
    <row r="3409" spans="19:19" ht="26.25">
      <c r="S3409" s="61" ph="1"/>
    </row>
    <row r="3410" spans="19:19" ht="26.25">
      <c r="S3410" s="61" ph="1"/>
    </row>
    <row r="3411" spans="19:19" ht="26.25">
      <c r="S3411" s="61" ph="1"/>
    </row>
    <row r="3412" spans="19:19" ht="26.25">
      <c r="S3412" s="61" ph="1"/>
    </row>
    <row r="3413" spans="19:19" ht="26.25">
      <c r="S3413" s="61" ph="1"/>
    </row>
    <row r="3414" spans="19:19" ht="26.25">
      <c r="S3414" s="61" ph="1"/>
    </row>
    <row r="3415" spans="19:19" ht="26.25">
      <c r="S3415" s="61" ph="1"/>
    </row>
    <row r="3416" spans="19:19" ht="26.25">
      <c r="S3416" s="61" ph="1"/>
    </row>
    <row r="3417" spans="19:19" ht="26.25">
      <c r="S3417" s="61" ph="1"/>
    </row>
    <row r="3418" spans="19:19" ht="26.25">
      <c r="S3418" s="61" ph="1"/>
    </row>
    <row r="3419" spans="19:19" ht="26.25">
      <c r="S3419" s="61" ph="1"/>
    </row>
    <row r="3420" spans="19:19" ht="26.25">
      <c r="S3420" s="61" ph="1"/>
    </row>
    <row r="3421" spans="19:19" ht="26.25">
      <c r="S3421" s="61" ph="1"/>
    </row>
    <row r="3422" spans="19:19" ht="26.25">
      <c r="S3422" s="61" ph="1"/>
    </row>
    <row r="3423" spans="19:19" ht="26.25">
      <c r="S3423" s="61" ph="1"/>
    </row>
    <row r="3424" spans="19:19" ht="26.25">
      <c r="S3424" s="61" ph="1"/>
    </row>
    <row r="3425" spans="19:19" ht="26.25">
      <c r="S3425" s="61" ph="1"/>
    </row>
    <row r="3426" spans="19:19" ht="26.25">
      <c r="S3426" s="61" ph="1"/>
    </row>
    <row r="3427" spans="19:19" ht="26.25">
      <c r="S3427" s="61" ph="1"/>
    </row>
    <row r="3428" spans="19:19" ht="26.25">
      <c r="S3428" s="61" ph="1"/>
    </row>
    <row r="3429" spans="19:19" ht="26.25">
      <c r="S3429" s="61" ph="1"/>
    </row>
    <row r="3430" spans="19:19" ht="26.25">
      <c r="S3430" s="61" ph="1"/>
    </row>
    <row r="3431" spans="19:19" ht="26.25">
      <c r="S3431" s="61" ph="1"/>
    </row>
    <row r="3432" spans="19:19" ht="26.25">
      <c r="S3432" s="61" ph="1"/>
    </row>
    <row r="3433" spans="19:19" ht="26.25">
      <c r="S3433" s="61" ph="1"/>
    </row>
    <row r="3434" spans="19:19" ht="26.25">
      <c r="S3434" s="61" ph="1"/>
    </row>
    <row r="3435" spans="19:19" ht="26.25">
      <c r="S3435" s="61" ph="1"/>
    </row>
    <row r="3436" spans="19:19" ht="26.25">
      <c r="S3436" s="61" ph="1"/>
    </row>
    <row r="3437" spans="19:19" ht="26.25">
      <c r="S3437" s="61" ph="1"/>
    </row>
    <row r="3438" spans="19:19" ht="26.25">
      <c r="S3438" s="61" ph="1"/>
    </row>
    <row r="3439" spans="19:19" ht="26.25">
      <c r="S3439" s="61" ph="1"/>
    </row>
    <row r="3440" spans="19:19" ht="26.25">
      <c r="S3440" s="61" ph="1"/>
    </row>
    <row r="3441" spans="19:19" ht="26.25">
      <c r="S3441" s="61" ph="1"/>
    </row>
    <row r="3442" spans="19:19" ht="26.25">
      <c r="S3442" s="61" ph="1"/>
    </row>
    <row r="3443" spans="19:19" ht="26.25">
      <c r="S3443" s="61" ph="1"/>
    </row>
    <row r="3444" spans="19:19" ht="26.25">
      <c r="S3444" s="61" ph="1"/>
    </row>
    <row r="3445" spans="19:19" ht="26.25">
      <c r="S3445" s="61" ph="1"/>
    </row>
    <row r="3446" spans="19:19" ht="26.25">
      <c r="S3446" s="61" ph="1"/>
    </row>
    <row r="3447" spans="19:19" ht="26.25">
      <c r="S3447" s="61" ph="1"/>
    </row>
    <row r="3448" spans="19:19" ht="26.25">
      <c r="S3448" s="61" ph="1"/>
    </row>
    <row r="3449" spans="19:19" ht="26.25">
      <c r="S3449" s="61" ph="1"/>
    </row>
    <row r="3450" spans="19:19" ht="26.25">
      <c r="S3450" s="61" ph="1"/>
    </row>
    <row r="3451" spans="19:19" ht="26.25">
      <c r="S3451" s="61" ph="1"/>
    </row>
    <row r="3452" spans="19:19" ht="26.25">
      <c r="S3452" s="61" ph="1"/>
    </row>
    <row r="3453" spans="19:19" ht="26.25">
      <c r="S3453" s="61" ph="1"/>
    </row>
    <row r="3454" spans="19:19" ht="26.25">
      <c r="S3454" s="61" ph="1"/>
    </row>
    <row r="3455" spans="19:19" ht="26.25">
      <c r="S3455" s="61" ph="1"/>
    </row>
    <row r="3456" spans="19:19" ht="26.25">
      <c r="S3456" s="61" ph="1"/>
    </row>
    <row r="3457" spans="19:19" ht="26.25">
      <c r="S3457" s="61" ph="1"/>
    </row>
    <row r="3458" spans="19:19" ht="26.25">
      <c r="S3458" s="61" ph="1"/>
    </row>
    <row r="3459" spans="19:19" ht="26.25">
      <c r="S3459" s="61" ph="1"/>
    </row>
    <row r="3460" spans="19:19" ht="26.25">
      <c r="S3460" s="61" ph="1"/>
    </row>
    <row r="3461" spans="19:19" ht="26.25">
      <c r="S3461" s="61" ph="1"/>
    </row>
    <row r="3462" spans="19:19" ht="26.25">
      <c r="S3462" s="61" ph="1"/>
    </row>
    <row r="3463" spans="19:19" ht="26.25">
      <c r="S3463" s="61" ph="1"/>
    </row>
    <row r="3464" spans="19:19" ht="26.25">
      <c r="S3464" s="61" ph="1"/>
    </row>
    <row r="3465" spans="19:19" ht="26.25">
      <c r="S3465" s="61" ph="1"/>
    </row>
    <row r="3466" spans="19:19" ht="26.25">
      <c r="S3466" s="61" ph="1"/>
    </row>
    <row r="3467" spans="19:19" ht="26.25">
      <c r="S3467" s="61" ph="1"/>
    </row>
    <row r="3468" spans="19:19" ht="26.25">
      <c r="S3468" s="61" ph="1"/>
    </row>
    <row r="3469" spans="19:19" ht="26.25">
      <c r="S3469" s="61" ph="1"/>
    </row>
    <row r="3470" spans="19:19" ht="26.25">
      <c r="S3470" s="61" ph="1"/>
    </row>
    <row r="3471" spans="19:19" ht="26.25">
      <c r="S3471" s="61" ph="1"/>
    </row>
    <row r="3472" spans="19:19" ht="26.25">
      <c r="S3472" s="61" ph="1"/>
    </row>
    <row r="3473" spans="19:19" ht="26.25">
      <c r="S3473" s="61" ph="1"/>
    </row>
    <row r="3474" spans="19:19" ht="26.25">
      <c r="S3474" s="61" ph="1"/>
    </row>
    <row r="3475" spans="19:19" ht="26.25">
      <c r="S3475" s="61" ph="1"/>
    </row>
    <row r="3476" spans="19:19" ht="26.25">
      <c r="S3476" s="61" ph="1"/>
    </row>
    <row r="3477" spans="19:19" ht="26.25">
      <c r="S3477" s="61" ph="1"/>
    </row>
    <row r="3478" spans="19:19" ht="26.25">
      <c r="S3478" s="61" ph="1"/>
    </row>
    <row r="3479" spans="19:19" ht="26.25">
      <c r="S3479" s="61" ph="1"/>
    </row>
    <row r="3480" spans="19:19" ht="26.25">
      <c r="S3480" s="61" ph="1"/>
    </row>
    <row r="3481" spans="19:19" ht="26.25">
      <c r="S3481" s="61" ph="1"/>
    </row>
    <row r="3482" spans="19:19" ht="26.25">
      <c r="S3482" s="61" ph="1"/>
    </row>
    <row r="3483" spans="19:19" ht="26.25">
      <c r="S3483" s="61" ph="1"/>
    </row>
    <row r="3484" spans="19:19" ht="26.25">
      <c r="S3484" s="61" ph="1"/>
    </row>
    <row r="3485" spans="19:19" ht="26.25">
      <c r="S3485" s="61" ph="1"/>
    </row>
    <row r="3486" spans="19:19" ht="26.25">
      <c r="S3486" s="61" ph="1"/>
    </row>
    <row r="3487" spans="19:19" ht="26.25">
      <c r="S3487" s="61" ph="1"/>
    </row>
    <row r="3488" spans="19:19" ht="26.25">
      <c r="S3488" s="61" ph="1"/>
    </row>
    <row r="3489" spans="19:19" ht="26.25">
      <c r="S3489" s="61" ph="1"/>
    </row>
    <row r="3490" spans="19:19" ht="26.25">
      <c r="S3490" s="61" ph="1"/>
    </row>
    <row r="3491" spans="19:19" ht="26.25">
      <c r="S3491" s="61" ph="1"/>
    </row>
    <row r="3492" spans="19:19" ht="26.25">
      <c r="S3492" s="61" ph="1"/>
    </row>
    <row r="3493" spans="19:19" ht="26.25">
      <c r="S3493" s="61" ph="1"/>
    </row>
    <row r="3494" spans="19:19" ht="26.25">
      <c r="S3494" s="61" ph="1"/>
    </row>
    <row r="3495" spans="19:19" ht="26.25">
      <c r="S3495" s="61" ph="1"/>
    </row>
    <row r="3496" spans="19:19" ht="26.25">
      <c r="S3496" s="61" ph="1"/>
    </row>
    <row r="3497" spans="19:19" ht="26.25">
      <c r="S3497" s="61" ph="1"/>
    </row>
    <row r="3498" spans="19:19" ht="26.25">
      <c r="S3498" s="61" ph="1"/>
    </row>
    <row r="3499" spans="19:19" ht="26.25">
      <c r="S3499" s="61" ph="1"/>
    </row>
    <row r="3500" spans="19:19" ht="26.25">
      <c r="S3500" s="61" ph="1"/>
    </row>
    <row r="3501" spans="19:19" ht="26.25">
      <c r="S3501" s="61" ph="1"/>
    </row>
    <row r="3502" spans="19:19" ht="26.25">
      <c r="S3502" s="61" ph="1"/>
    </row>
    <row r="3503" spans="19:19" ht="26.25">
      <c r="S3503" s="61" ph="1"/>
    </row>
    <row r="3504" spans="19:19" ht="26.25">
      <c r="S3504" s="61" ph="1"/>
    </row>
    <row r="3505" spans="19:19" ht="26.25">
      <c r="S3505" s="61" ph="1"/>
    </row>
    <row r="3506" spans="19:19" ht="26.25">
      <c r="S3506" s="61" ph="1"/>
    </row>
    <row r="3507" spans="19:19" ht="26.25">
      <c r="S3507" s="61" ph="1"/>
    </row>
    <row r="3508" spans="19:19" ht="26.25">
      <c r="S3508" s="61" ph="1"/>
    </row>
    <row r="3509" spans="19:19" ht="26.25">
      <c r="S3509" s="61" ph="1"/>
    </row>
    <row r="3510" spans="19:19" ht="26.25">
      <c r="S3510" s="61" ph="1"/>
    </row>
    <row r="3511" spans="19:19" ht="26.25">
      <c r="S3511" s="61" ph="1"/>
    </row>
    <row r="3512" spans="19:19" ht="26.25">
      <c r="S3512" s="61" ph="1"/>
    </row>
    <row r="3513" spans="19:19" ht="26.25">
      <c r="S3513" s="61" ph="1"/>
    </row>
    <row r="3514" spans="19:19" ht="26.25">
      <c r="S3514" s="61" ph="1"/>
    </row>
    <row r="3515" spans="19:19" ht="26.25">
      <c r="S3515" s="61" ph="1"/>
    </row>
    <row r="3516" spans="19:19" ht="26.25">
      <c r="S3516" s="61" ph="1"/>
    </row>
    <row r="3517" spans="19:19" ht="26.25">
      <c r="S3517" s="61" ph="1"/>
    </row>
    <row r="3518" spans="19:19" ht="26.25">
      <c r="S3518" s="61" ph="1"/>
    </row>
    <row r="3519" spans="19:19" ht="26.25">
      <c r="S3519" s="61" ph="1"/>
    </row>
    <row r="3520" spans="19:19" ht="26.25">
      <c r="S3520" s="61" ph="1"/>
    </row>
    <row r="3521" spans="19:19" ht="26.25">
      <c r="S3521" s="61" ph="1"/>
    </row>
    <row r="3522" spans="19:19" ht="26.25">
      <c r="S3522" s="61" ph="1"/>
    </row>
    <row r="3523" spans="19:19" ht="26.25">
      <c r="S3523" s="61" ph="1"/>
    </row>
    <row r="3524" spans="19:19" ht="26.25">
      <c r="S3524" s="61" ph="1"/>
    </row>
    <row r="3525" spans="19:19" ht="26.25">
      <c r="S3525" s="61" ph="1"/>
    </row>
    <row r="3526" spans="19:19" ht="26.25">
      <c r="S3526" s="61" ph="1"/>
    </row>
    <row r="3527" spans="19:19" ht="26.25">
      <c r="S3527" s="61" ph="1"/>
    </row>
    <row r="3528" spans="19:19" ht="26.25">
      <c r="S3528" s="61" ph="1"/>
    </row>
    <row r="3529" spans="19:19" ht="26.25">
      <c r="S3529" s="61" ph="1"/>
    </row>
    <row r="3530" spans="19:19" ht="26.25">
      <c r="S3530" s="61" ph="1"/>
    </row>
    <row r="3531" spans="19:19" ht="26.25">
      <c r="S3531" s="61" ph="1"/>
    </row>
    <row r="3532" spans="19:19" ht="26.25">
      <c r="S3532" s="61" ph="1"/>
    </row>
    <row r="3533" spans="19:19" ht="26.25">
      <c r="S3533" s="61" ph="1"/>
    </row>
    <row r="3534" spans="19:19" ht="26.25">
      <c r="S3534" s="61" ph="1"/>
    </row>
    <row r="3535" spans="19:19" ht="26.25">
      <c r="S3535" s="61" ph="1"/>
    </row>
    <row r="3536" spans="19:19" ht="26.25">
      <c r="S3536" s="61" ph="1"/>
    </row>
    <row r="3537" spans="19:19" ht="26.25">
      <c r="S3537" s="61" ph="1"/>
    </row>
    <row r="3538" spans="19:19" ht="26.25">
      <c r="S3538" s="61" ph="1"/>
    </row>
    <row r="3539" spans="19:19" ht="26.25">
      <c r="S3539" s="61" ph="1"/>
    </row>
    <row r="3540" spans="19:19" ht="26.25">
      <c r="S3540" s="61" ph="1"/>
    </row>
    <row r="3541" spans="19:19" ht="26.25">
      <c r="S3541" s="61" ph="1"/>
    </row>
    <row r="3542" spans="19:19" ht="26.25">
      <c r="S3542" s="61" ph="1"/>
    </row>
    <row r="3543" spans="19:19" ht="26.25">
      <c r="S3543" s="61" ph="1"/>
    </row>
    <row r="3544" spans="19:19" ht="26.25">
      <c r="S3544" s="61" ph="1"/>
    </row>
    <row r="3545" spans="19:19" ht="26.25">
      <c r="S3545" s="61" ph="1"/>
    </row>
    <row r="3546" spans="19:19" ht="26.25">
      <c r="S3546" s="61" ph="1"/>
    </row>
    <row r="3547" spans="19:19" ht="26.25">
      <c r="S3547" s="61" ph="1"/>
    </row>
    <row r="3548" spans="19:19" ht="26.25">
      <c r="S3548" s="61" ph="1"/>
    </row>
    <row r="3549" spans="19:19" ht="26.25">
      <c r="S3549" s="61" ph="1"/>
    </row>
    <row r="3550" spans="19:19" ht="26.25">
      <c r="S3550" s="61" ph="1"/>
    </row>
    <row r="3551" spans="19:19" ht="26.25">
      <c r="S3551" s="61" ph="1"/>
    </row>
    <row r="3552" spans="19:19" ht="26.25">
      <c r="S3552" s="61" ph="1"/>
    </row>
    <row r="3553" spans="19:19" ht="26.25">
      <c r="S3553" s="61" ph="1"/>
    </row>
    <row r="3554" spans="19:19" ht="26.25">
      <c r="S3554" s="61" ph="1"/>
    </row>
    <row r="3555" spans="19:19" ht="26.25">
      <c r="S3555" s="61" ph="1"/>
    </row>
    <row r="3556" spans="19:19" ht="26.25">
      <c r="S3556" s="61" ph="1"/>
    </row>
    <row r="3557" spans="19:19" ht="26.25">
      <c r="S3557" s="61" ph="1"/>
    </row>
    <row r="3558" spans="19:19" ht="26.25">
      <c r="S3558" s="61" ph="1"/>
    </row>
    <row r="3559" spans="19:19" ht="26.25">
      <c r="S3559" s="61" ph="1"/>
    </row>
    <row r="3560" spans="19:19" ht="26.25">
      <c r="S3560" s="61" ph="1"/>
    </row>
    <row r="3561" spans="19:19" ht="26.25">
      <c r="S3561" s="61" ph="1"/>
    </row>
    <row r="3562" spans="19:19" ht="26.25">
      <c r="S3562" s="61" ph="1"/>
    </row>
    <row r="3563" spans="19:19" ht="26.25">
      <c r="S3563" s="61" ph="1"/>
    </row>
    <row r="3564" spans="19:19" ht="26.25">
      <c r="S3564" s="61" ph="1"/>
    </row>
    <row r="3565" spans="19:19" ht="26.25">
      <c r="S3565" s="61" ph="1"/>
    </row>
    <row r="3566" spans="19:19" ht="26.25">
      <c r="S3566" s="61" ph="1"/>
    </row>
    <row r="3567" spans="19:19" ht="26.25">
      <c r="S3567" s="61" ph="1"/>
    </row>
    <row r="3568" spans="19:19" ht="26.25">
      <c r="S3568" s="61" ph="1"/>
    </row>
    <row r="3569" spans="19:19" ht="26.25">
      <c r="S3569" s="61" ph="1"/>
    </row>
    <row r="3570" spans="19:19" ht="26.25">
      <c r="S3570" s="61" ph="1"/>
    </row>
    <row r="3571" spans="19:19" ht="26.25">
      <c r="S3571" s="61" ph="1"/>
    </row>
    <row r="3572" spans="19:19" ht="26.25">
      <c r="S3572" s="61" ph="1"/>
    </row>
    <row r="3573" spans="19:19" ht="26.25">
      <c r="S3573" s="61" ph="1"/>
    </row>
    <row r="3574" spans="19:19" ht="26.25">
      <c r="S3574" s="61" ph="1"/>
    </row>
    <row r="3575" spans="19:19" ht="26.25">
      <c r="S3575" s="61" ph="1"/>
    </row>
    <row r="3576" spans="19:19" ht="26.25">
      <c r="S3576" s="61" ph="1"/>
    </row>
    <row r="3577" spans="19:19" ht="26.25">
      <c r="S3577" s="61" ph="1"/>
    </row>
    <row r="3578" spans="19:19" ht="26.25">
      <c r="S3578" s="61" ph="1"/>
    </row>
    <row r="3579" spans="19:19" ht="26.25">
      <c r="S3579" s="61" ph="1"/>
    </row>
    <row r="3580" spans="19:19" ht="26.25">
      <c r="S3580" s="61" ph="1"/>
    </row>
    <row r="3581" spans="19:19" ht="26.25">
      <c r="S3581" s="61" ph="1"/>
    </row>
    <row r="3582" spans="19:19" ht="26.25">
      <c r="S3582" s="61" ph="1"/>
    </row>
    <row r="3583" spans="19:19" ht="26.25">
      <c r="S3583" s="61" ph="1"/>
    </row>
    <row r="3584" spans="19:19" ht="26.25">
      <c r="S3584" s="61" ph="1"/>
    </row>
    <row r="3585" spans="19:19" ht="26.25">
      <c r="S3585" s="61" ph="1"/>
    </row>
    <row r="3586" spans="19:19" ht="26.25">
      <c r="S3586" s="61" ph="1"/>
    </row>
    <row r="3587" spans="19:19" ht="26.25">
      <c r="S3587" s="61" ph="1"/>
    </row>
    <row r="3588" spans="19:19" ht="26.25">
      <c r="S3588" s="61" ph="1"/>
    </row>
    <row r="3589" spans="19:19" ht="26.25">
      <c r="S3589" s="61" ph="1"/>
    </row>
    <row r="3590" spans="19:19" ht="26.25">
      <c r="S3590" s="61" ph="1"/>
    </row>
    <row r="3591" spans="19:19" ht="26.25">
      <c r="S3591" s="61" ph="1"/>
    </row>
    <row r="3592" spans="19:19" ht="26.25">
      <c r="S3592" s="61" ph="1"/>
    </row>
    <row r="3593" spans="19:19" ht="26.25">
      <c r="S3593" s="61" ph="1"/>
    </row>
    <row r="3594" spans="19:19" ht="26.25">
      <c r="S3594" s="61" ph="1"/>
    </row>
    <row r="3595" spans="19:19" ht="26.25">
      <c r="S3595" s="61" ph="1"/>
    </row>
    <row r="3596" spans="19:19" ht="26.25">
      <c r="S3596" s="61" ph="1"/>
    </row>
    <row r="3597" spans="19:19" ht="26.25">
      <c r="S3597" s="61" ph="1"/>
    </row>
    <row r="3598" spans="19:19" ht="26.25">
      <c r="S3598" s="61" ph="1"/>
    </row>
    <row r="3599" spans="19:19" ht="26.25">
      <c r="S3599" s="61" ph="1"/>
    </row>
    <row r="3600" spans="19:19" ht="26.25">
      <c r="S3600" s="61" ph="1"/>
    </row>
    <row r="3601" spans="19:19" ht="26.25">
      <c r="S3601" s="61" ph="1"/>
    </row>
    <row r="3602" spans="19:19" ht="26.25">
      <c r="S3602" s="61" ph="1"/>
    </row>
    <row r="3603" spans="19:19" ht="26.25">
      <c r="S3603" s="61" ph="1"/>
    </row>
    <row r="3604" spans="19:19" ht="26.25">
      <c r="S3604" s="61" ph="1"/>
    </row>
    <row r="3605" spans="19:19" ht="26.25">
      <c r="S3605" s="61" ph="1"/>
    </row>
    <row r="3606" spans="19:19" ht="26.25">
      <c r="S3606" s="61" ph="1"/>
    </row>
    <row r="3607" spans="19:19" ht="26.25">
      <c r="S3607" s="61" ph="1"/>
    </row>
    <row r="3608" spans="19:19" ht="26.25">
      <c r="S3608" s="61" ph="1"/>
    </row>
    <row r="3609" spans="19:19" ht="26.25">
      <c r="S3609" s="61" ph="1"/>
    </row>
    <row r="3610" spans="19:19" ht="26.25">
      <c r="S3610" s="61" ph="1"/>
    </row>
    <row r="3611" spans="19:19" ht="26.25">
      <c r="S3611" s="61" ph="1"/>
    </row>
    <row r="3612" spans="19:19" ht="26.25">
      <c r="S3612" s="61" ph="1"/>
    </row>
    <row r="3613" spans="19:19" ht="26.25">
      <c r="S3613" s="61" ph="1"/>
    </row>
    <row r="3614" spans="19:19" ht="26.25">
      <c r="S3614" s="61" ph="1"/>
    </row>
    <row r="3615" spans="19:19" ht="26.25">
      <c r="S3615" s="61" ph="1"/>
    </row>
    <row r="3616" spans="19:19" ht="26.25">
      <c r="S3616" s="61" ph="1"/>
    </row>
    <row r="3617" spans="19:19" ht="26.25">
      <c r="S3617" s="61" ph="1"/>
    </row>
    <row r="3618" spans="19:19" ht="26.25">
      <c r="S3618" s="61" ph="1"/>
    </row>
    <row r="3619" spans="19:19" ht="26.25">
      <c r="S3619" s="61" ph="1"/>
    </row>
    <row r="3620" spans="19:19" ht="26.25">
      <c r="S3620" s="61" ph="1"/>
    </row>
    <row r="3621" spans="19:19" ht="26.25">
      <c r="S3621" s="61" ph="1"/>
    </row>
    <row r="3622" spans="19:19" ht="26.25">
      <c r="S3622" s="61" ph="1"/>
    </row>
    <row r="3623" spans="19:19" ht="26.25">
      <c r="S3623" s="61" ph="1"/>
    </row>
    <row r="3624" spans="19:19" ht="26.25">
      <c r="S3624" s="61" ph="1"/>
    </row>
    <row r="3625" spans="19:19" ht="26.25">
      <c r="S3625" s="61" ph="1"/>
    </row>
    <row r="3626" spans="19:19" ht="26.25">
      <c r="S3626" s="61" ph="1"/>
    </row>
    <row r="3627" spans="19:19" ht="26.25">
      <c r="S3627" s="61" ph="1"/>
    </row>
    <row r="3628" spans="19:19" ht="26.25">
      <c r="S3628" s="61" ph="1"/>
    </row>
    <row r="3629" spans="19:19" ht="26.25">
      <c r="S3629" s="61" ph="1"/>
    </row>
    <row r="3630" spans="19:19" ht="26.25">
      <c r="S3630" s="61" ph="1"/>
    </row>
    <row r="3631" spans="19:19" ht="26.25">
      <c r="S3631" s="61" ph="1"/>
    </row>
    <row r="3632" spans="19:19" ht="26.25">
      <c r="S3632" s="61" ph="1"/>
    </row>
    <row r="3633" spans="19:19" ht="26.25">
      <c r="S3633" s="61" ph="1"/>
    </row>
    <row r="3634" spans="19:19" ht="26.25">
      <c r="S3634" s="61" ph="1"/>
    </row>
    <row r="3635" spans="19:19" ht="26.25">
      <c r="S3635" s="61" ph="1"/>
    </row>
    <row r="3636" spans="19:19" ht="26.25">
      <c r="S3636" s="61" ph="1"/>
    </row>
    <row r="3637" spans="19:19" ht="26.25">
      <c r="S3637" s="61" ph="1"/>
    </row>
    <row r="3638" spans="19:19" ht="26.25">
      <c r="S3638" s="61" ph="1"/>
    </row>
    <row r="3639" spans="19:19" ht="26.25">
      <c r="S3639" s="61" ph="1"/>
    </row>
    <row r="3640" spans="19:19" ht="26.25">
      <c r="S3640" s="61" ph="1"/>
    </row>
    <row r="3641" spans="19:19" ht="26.25">
      <c r="S3641" s="61" ph="1"/>
    </row>
    <row r="3642" spans="19:19" ht="26.25">
      <c r="S3642" s="61" ph="1"/>
    </row>
    <row r="3643" spans="19:19" ht="26.25">
      <c r="S3643" s="61" ph="1"/>
    </row>
    <row r="3644" spans="19:19" ht="26.25">
      <c r="S3644" s="61" ph="1"/>
    </row>
    <row r="3645" spans="19:19" ht="26.25">
      <c r="S3645" s="61" ph="1"/>
    </row>
    <row r="3646" spans="19:19" ht="26.25">
      <c r="S3646" s="61" ph="1"/>
    </row>
    <row r="3647" spans="19:19" ht="26.25">
      <c r="S3647" s="61" ph="1"/>
    </row>
    <row r="3648" spans="19:19" ht="26.25">
      <c r="S3648" s="61" ph="1"/>
    </row>
    <row r="3649" spans="19:19" ht="26.25">
      <c r="S3649" s="61" ph="1"/>
    </row>
    <row r="3650" spans="19:19" ht="26.25">
      <c r="S3650" s="61" ph="1"/>
    </row>
    <row r="3651" spans="19:19" ht="26.25">
      <c r="S3651" s="61" ph="1"/>
    </row>
    <row r="3652" spans="19:19" ht="26.25">
      <c r="S3652" s="61" ph="1"/>
    </row>
    <row r="3653" spans="19:19" ht="26.25">
      <c r="S3653" s="61" ph="1"/>
    </row>
    <row r="3654" spans="19:19" ht="26.25">
      <c r="S3654" s="61" ph="1"/>
    </row>
    <row r="3655" spans="19:19" ht="26.25">
      <c r="S3655" s="61" ph="1"/>
    </row>
    <row r="3656" spans="19:19" ht="26.25">
      <c r="S3656" s="61" ph="1"/>
    </row>
    <row r="3657" spans="19:19" ht="26.25">
      <c r="S3657" s="61" ph="1"/>
    </row>
    <row r="3658" spans="19:19" ht="26.25">
      <c r="S3658" s="61" ph="1"/>
    </row>
    <row r="3659" spans="19:19" ht="26.25">
      <c r="S3659" s="61" ph="1"/>
    </row>
    <row r="3660" spans="19:19" ht="26.25">
      <c r="S3660" s="61" ph="1"/>
    </row>
    <row r="3661" spans="19:19" ht="26.25">
      <c r="S3661" s="61" ph="1"/>
    </row>
    <row r="3662" spans="19:19" ht="26.25">
      <c r="S3662" s="61" ph="1"/>
    </row>
    <row r="3663" spans="19:19" ht="26.25">
      <c r="S3663" s="61" ph="1"/>
    </row>
    <row r="3664" spans="19:19" ht="26.25">
      <c r="S3664" s="61" ph="1"/>
    </row>
    <row r="3665" spans="19:19" ht="26.25">
      <c r="S3665" s="61" ph="1"/>
    </row>
    <row r="3666" spans="19:19" ht="26.25">
      <c r="S3666" s="61" ph="1"/>
    </row>
    <row r="3667" spans="19:19" ht="26.25">
      <c r="S3667" s="61" ph="1"/>
    </row>
    <row r="3668" spans="19:19" ht="26.25">
      <c r="S3668" s="61" ph="1"/>
    </row>
    <row r="3669" spans="19:19" ht="26.25">
      <c r="S3669" s="61" ph="1"/>
    </row>
    <row r="3670" spans="19:19" ht="26.25">
      <c r="S3670" s="61" ph="1"/>
    </row>
    <row r="3671" spans="19:19" ht="26.25">
      <c r="S3671" s="61" ph="1"/>
    </row>
    <row r="3672" spans="19:19" ht="26.25">
      <c r="S3672" s="61" ph="1"/>
    </row>
    <row r="3673" spans="19:19" ht="26.25">
      <c r="S3673" s="61" ph="1"/>
    </row>
    <row r="3674" spans="19:19" ht="26.25">
      <c r="S3674" s="61" ph="1"/>
    </row>
    <row r="3675" spans="19:19" ht="26.25">
      <c r="S3675" s="61" ph="1"/>
    </row>
    <row r="3676" spans="19:19" ht="26.25">
      <c r="S3676" s="61" ph="1"/>
    </row>
    <row r="3677" spans="19:19" ht="26.25">
      <c r="S3677" s="61" ph="1"/>
    </row>
    <row r="3678" spans="19:19" ht="26.25">
      <c r="S3678" s="61" ph="1"/>
    </row>
    <row r="3679" spans="19:19" ht="26.25">
      <c r="S3679" s="61" ph="1"/>
    </row>
    <row r="3680" spans="19:19" ht="26.25">
      <c r="S3680" s="61" ph="1"/>
    </row>
    <row r="3681" spans="19:19" ht="26.25">
      <c r="S3681" s="61" ph="1"/>
    </row>
    <row r="3682" spans="19:19" ht="26.25">
      <c r="S3682" s="61" ph="1"/>
    </row>
    <row r="3683" spans="19:19" ht="26.25">
      <c r="S3683" s="61" ph="1"/>
    </row>
    <row r="3684" spans="19:19" ht="26.25">
      <c r="S3684" s="61" ph="1"/>
    </row>
    <row r="3685" spans="19:19" ht="26.25">
      <c r="S3685" s="61" ph="1"/>
    </row>
    <row r="3686" spans="19:19" ht="26.25">
      <c r="S3686" s="61" ph="1"/>
    </row>
    <row r="3687" spans="19:19" ht="26.25">
      <c r="S3687" s="61" ph="1"/>
    </row>
    <row r="3688" spans="19:19" ht="26.25">
      <c r="S3688" s="61" ph="1"/>
    </row>
    <row r="3689" spans="19:19" ht="26.25">
      <c r="S3689" s="61" ph="1"/>
    </row>
    <row r="3690" spans="19:19" ht="26.25">
      <c r="S3690" s="61" ph="1"/>
    </row>
    <row r="3691" spans="19:19" ht="26.25">
      <c r="S3691" s="61" ph="1"/>
    </row>
    <row r="3692" spans="19:19" ht="26.25">
      <c r="S3692" s="61" ph="1"/>
    </row>
    <row r="3693" spans="19:19" ht="26.25">
      <c r="S3693" s="61" ph="1"/>
    </row>
    <row r="3694" spans="19:19" ht="26.25">
      <c r="S3694" s="61" ph="1"/>
    </row>
    <row r="3695" spans="19:19" ht="26.25">
      <c r="S3695" s="61" ph="1"/>
    </row>
    <row r="3696" spans="19:19" ht="26.25">
      <c r="S3696" s="61" ph="1"/>
    </row>
    <row r="3697" spans="19:19" ht="26.25">
      <c r="S3697" s="61" ph="1"/>
    </row>
    <row r="3698" spans="19:19" ht="26.25">
      <c r="S3698" s="61" ph="1"/>
    </row>
    <row r="3699" spans="19:19" ht="26.25">
      <c r="S3699" s="61" ph="1"/>
    </row>
    <row r="3700" spans="19:19" ht="26.25">
      <c r="S3700" s="61" ph="1"/>
    </row>
    <row r="3701" spans="19:19" ht="26.25">
      <c r="S3701" s="61" ph="1"/>
    </row>
    <row r="3702" spans="19:19" ht="26.25">
      <c r="S3702" s="61" ph="1"/>
    </row>
    <row r="3703" spans="19:19" ht="26.25">
      <c r="S3703" s="61" ph="1"/>
    </row>
    <row r="3704" spans="19:19" ht="26.25">
      <c r="S3704" s="61" ph="1"/>
    </row>
    <row r="3705" spans="19:19" ht="26.25">
      <c r="S3705" s="61" ph="1"/>
    </row>
    <row r="3706" spans="19:19" ht="26.25">
      <c r="S3706" s="61" ph="1"/>
    </row>
    <row r="3707" spans="19:19" ht="26.25">
      <c r="S3707" s="61" ph="1"/>
    </row>
    <row r="3708" spans="19:19" ht="26.25">
      <c r="S3708" s="61" ph="1"/>
    </row>
    <row r="3709" spans="19:19" ht="26.25">
      <c r="S3709" s="61" ph="1"/>
    </row>
    <row r="3710" spans="19:19" ht="26.25">
      <c r="S3710" s="61" ph="1"/>
    </row>
    <row r="3711" spans="19:19" ht="26.25">
      <c r="S3711" s="61" ph="1"/>
    </row>
    <row r="3712" spans="19:19" ht="26.25">
      <c r="S3712" s="61" ph="1"/>
    </row>
    <row r="3713" spans="19:19" ht="26.25">
      <c r="S3713" s="61" ph="1"/>
    </row>
    <row r="3714" spans="19:19" ht="26.25">
      <c r="S3714" s="61" ph="1"/>
    </row>
    <row r="3715" spans="19:19" ht="26.25">
      <c r="S3715" s="61" ph="1"/>
    </row>
    <row r="3716" spans="19:19" ht="26.25">
      <c r="S3716" s="61" ph="1"/>
    </row>
    <row r="3717" spans="19:19" ht="26.25">
      <c r="S3717" s="61" ph="1"/>
    </row>
    <row r="3718" spans="19:19" ht="26.25">
      <c r="S3718" s="61" ph="1"/>
    </row>
    <row r="3719" spans="19:19" ht="26.25">
      <c r="S3719" s="61" ph="1"/>
    </row>
    <row r="3720" spans="19:19" ht="26.25">
      <c r="S3720" s="61" ph="1"/>
    </row>
    <row r="3721" spans="19:19" ht="26.25">
      <c r="S3721" s="61" ph="1"/>
    </row>
    <row r="3722" spans="19:19" ht="26.25">
      <c r="S3722" s="61" ph="1"/>
    </row>
    <row r="3723" spans="19:19" ht="26.25">
      <c r="S3723" s="61" ph="1"/>
    </row>
    <row r="3724" spans="19:19" ht="26.25">
      <c r="S3724" s="61" ph="1"/>
    </row>
    <row r="3725" spans="19:19" ht="26.25">
      <c r="S3725" s="61" ph="1"/>
    </row>
    <row r="3726" spans="19:19" ht="26.25">
      <c r="S3726" s="61" ph="1"/>
    </row>
    <row r="3727" spans="19:19" ht="26.25">
      <c r="S3727" s="61" ph="1"/>
    </row>
    <row r="3728" spans="19:19" ht="26.25">
      <c r="S3728" s="61" ph="1"/>
    </row>
    <row r="3729" spans="19:19" ht="26.25">
      <c r="S3729" s="61" ph="1"/>
    </row>
    <row r="3730" spans="19:19" ht="26.25">
      <c r="S3730" s="61" ph="1"/>
    </row>
    <row r="3731" spans="19:19" ht="26.25">
      <c r="S3731" s="61" ph="1"/>
    </row>
    <row r="3732" spans="19:19" ht="26.25">
      <c r="S3732" s="61" ph="1"/>
    </row>
    <row r="3733" spans="19:19" ht="26.25">
      <c r="S3733" s="61" ph="1"/>
    </row>
    <row r="3734" spans="19:19" ht="26.25">
      <c r="S3734" s="61" ph="1"/>
    </row>
    <row r="3735" spans="19:19" ht="26.25">
      <c r="S3735" s="61" ph="1"/>
    </row>
    <row r="3736" spans="19:19" ht="26.25">
      <c r="S3736" s="61" ph="1"/>
    </row>
    <row r="3737" spans="19:19" ht="26.25">
      <c r="S3737" s="61" ph="1"/>
    </row>
    <row r="3738" spans="19:19" ht="26.25">
      <c r="S3738" s="61" ph="1"/>
    </row>
    <row r="3739" spans="19:19" ht="26.25">
      <c r="S3739" s="61" ph="1"/>
    </row>
    <row r="3740" spans="19:19" ht="26.25">
      <c r="S3740" s="61" ph="1"/>
    </row>
    <row r="3741" spans="19:19" ht="26.25">
      <c r="S3741" s="61" ph="1"/>
    </row>
    <row r="3742" spans="19:19" ht="26.25">
      <c r="S3742" s="61" ph="1"/>
    </row>
    <row r="3743" spans="19:19" ht="26.25">
      <c r="S3743" s="61" ph="1"/>
    </row>
    <row r="3744" spans="19:19" ht="26.25">
      <c r="S3744" s="61" ph="1"/>
    </row>
    <row r="3745" spans="19:19" ht="26.25">
      <c r="S3745" s="61" ph="1"/>
    </row>
    <row r="3746" spans="19:19" ht="26.25">
      <c r="S3746" s="61" ph="1"/>
    </row>
    <row r="3747" spans="19:19" ht="26.25">
      <c r="S3747" s="61" ph="1"/>
    </row>
    <row r="3748" spans="19:19" ht="26.25">
      <c r="S3748" s="61" ph="1"/>
    </row>
    <row r="3749" spans="19:19" ht="26.25">
      <c r="S3749" s="61" ph="1"/>
    </row>
    <row r="3750" spans="19:19" ht="26.25">
      <c r="S3750" s="61" ph="1"/>
    </row>
    <row r="3751" spans="19:19" ht="26.25">
      <c r="S3751" s="61" ph="1"/>
    </row>
    <row r="3752" spans="19:19" ht="26.25">
      <c r="S3752" s="61" ph="1"/>
    </row>
    <row r="3753" spans="19:19" ht="26.25">
      <c r="S3753" s="61" ph="1"/>
    </row>
    <row r="3754" spans="19:19" ht="26.25">
      <c r="S3754" s="61" ph="1"/>
    </row>
    <row r="3755" spans="19:19" ht="26.25">
      <c r="S3755" s="61" ph="1"/>
    </row>
    <row r="3756" spans="19:19" ht="26.25">
      <c r="S3756" s="61" ph="1"/>
    </row>
    <row r="3757" spans="19:19" ht="26.25">
      <c r="S3757" s="61" ph="1"/>
    </row>
    <row r="3758" spans="19:19" ht="26.25">
      <c r="S3758" s="61" ph="1"/>
    </row>
    <row r="3759" spans="19:19" ht="26.25">
      <c r="S3759" s="61" ph="1"/>
    </row>
    <row r="3760" spans="19:19" ht="26.25">
      <c r="S3760" s="61" ph="1"/>
    </row>
    <row r="3761" spans="19:19" ht="26.25">
      <c r="S3761" s="61" ph="1"/>
    </row>
    <row r="3762" spans="19:19" ht="26.25">
      <c r="S3762" s="61" ph="1"/>
    </row>
    <row r="3763" spans="19:19" ht="26.25">
      <c r="S3763" s="61" ph="1"/>
    </row>
    <row r="3764" spans="19:19" ht="26.25">
      <c r="S3764" s="61" ph="1"/>
    </row>
    <row r="3765" spans="19:19" ht="26.25">
      <c r="S3765" s="61" ph="1"/>
    </row>
    <row r="3766" spans="19:19" ht="26.25">
      <c r="S3766" s="61" ph="1"/>
    </row>
    <row r="3767" spans="19:19" ht="26.25">
      <c r="S3767" s="61" ph="1"/>
    </row>
    <row r="3768" spans="19:19" ht="26.25">
      <c r="S3768" s="61" ph="1"/>
    </row>
    <row r="3769" spans="19:19" ht="26.25">
      <c r="S3769" s="61" ph="1"/>
    </row>
    <row r="3770" spans="19:19" ht="26.25">
      <c r="S3770" s="61" ph="1"/>
    </row>
    <row r="3771" spans="19:19" ht="26.25">
      <c r="S3771" s="61" ph="1"/>
    </row>
    <row r="3772" spans="19:19" ht="26.25">
      <c r="S3772" s="61" ph="1"/>
    </row>
    <row r="3773" spans="19:19" ht="26.25">
      <c r="S3773" s="61" ph="1"/>
    </row>
    <row r="3774" spans="19:19" ht="26.25">
      <c r="S3774" s="61" ph="1"/>
    </row>
    <row r="3775" spans="19:19" ht="26.25">
      <c r="S3775" s="61" ph="1"/>
    </row>
    <row r="3776" spans="19:19" ht="26.25">
      <c r="S3776" s="61" ph="1"/>
    </row>
    <row r="3777" spans="19:19" ht="26.25">
      <c r="S3777" s="61" ph="1"/>
    </row>
    <row r="3778" spans="19:19" ht="26.25">
      <c r="S3778" s="61" ph="1"/>
    </row>
    <row r="3779" spans="19:19" ht="26.25">
      <c r="S3779" s="61" ph="1"/>
    </row>
    <row r="3780" spans="19:19" ht="26.25">
      <c r="S3780" s="61" ph="1"/>
    </row>
    <row r="3781" spans="19:19" ht="26.25">
      <c r="S3781" s="61" ph="1"/>
    </row>
    <row r="3782" spans="19:19" ht="26.25">
      <c r="S3782" s="61" ph="1"/>
    </row>
    <row r="3783" spans="19:19" ht="26.25">
      <c r="S3783" s="61" ph="1"/>
    </row>
    <row r="3784" spans="19:19" ht="26.25">
      <c r="S3784" s="61" ph="1"/>
    </row>
    <row r="3785" spans="19:19" ht="26.25">
      <c r="S3785" s="61" ph="1"/>
    </row>
    <row r="3786" spans="19:19" ht="26.25">
      <c r="S3786" s="61" ph="1"/>
    </row>
    <row r="3787" spans="19:19" ht="26.25">
      <c r="S3787" s="61" ph="1"/>
    </row>
    <row r="3788" spans="19:19" ht="26.25">
      <c r="S3788" s="61" ph="1"/>
    </row>
    <row r="3789" spans="19:19" ht="26.25">
      <c r="S3789" s="61" ph="1"/>
    </row>
    <row r="3790" spans="19:19" ht="26.25">
      <c r="S3790" s="61" ph="1"/>
    </row>
    <row r="3791" spans="19:19" ht="26.25">
      <c r="S3791" s="61" ph="1"/>
    </row>
    <row r="3792" spans="19:19" ht="26.25">
      <c r="S3792" s="61" ph="1"/>
    </row>
    <row r="3793" spans="19:19" ht="26.25">
      <c r="S3793" s="61" ph="1"/>
    </row>
    <row r="3794" spans="19:19" ht="26.25">
      <c r="S3794" s="61" ph="1"/>
    </row>
    <row r="3795" spans="19:19" ht="26.25">
      <c r="S3795" s="61" ph="1"/>
    </row>
    <row r="3796" spans="19:19" ht="26.25">
      <c r="S3796" s="61" ph="1"/>
    </row>
    <row r="3797" spans="19:19" ht="26.25">
      <c r="S3797" s="61" ph="1"/>
    </row>
    <row r="3798" spans="19:19" ht="26.25">
      <c r="S3798" s="61" ph="1"/>
    </row>
    <row r="3799" spans="19:19" ht="26.25">
      <c r="S3799" s="61" ph="1"/>
    </row>
    <row r="3800" spans="19:19" ht="26.25">
      <c r="S3800" s="61" ph="1"/>
    </row>
    <row r="3801" spans="19:19" ht="26.25">
      <c r="S3801" s="61" ph="1"/>
    </row>
    <row r="3802" spans="19:19" ht="26.25">
      <c r="S3802" s="61" ph="1"/>
    </row>
    <row r="3803" spans="19:19" ht="26.25">
      <c r="S3803" s="61" ph="1"/>
    </row>
    <row r="3804" spans="19:19" ht="26.25">
      <c r="S3804" s="61" ph="1"/>
    </row>
    <row r="3805" spans="19:19" ht="26.25">
      <c r="S3805" s="61" ph="1"/>
    </row>
    <row r="3806" spans="19:19" ht="26.25">
      <c r="S3806" s="61" ph="1"/>
    </row>
    <row r="3807" spans="19:19" ht="26.25">
      <c r="S3807" s="61" ph="1"/>
    </row>
    <row r="3808" spans="19:19" ht="26.25">
      <c r="S3808" s="61" ph="1"/>
    </row>
    <row r="3809" spans="19:19" ht="26.25">
      <c r="S3809" s="61" ph="1"/>
    </row>
    <row r="3810" spans="19:19" ht="26.25">
      <c r="S3810" s="61" ph="1"/>
    </row>
    <row r="3811" spans="19:19" ht="26.25">
      <c r="S3811" s="61" ph="1"/>
    </row>
    <row r="3812" spans="19:19" ht="26.25">
      <c r="S3812" s="61" ph="1"/>
    </row>
    <row r="3813" spans="19:19" ht="26.25">
      <c r="S3813" s="61" ph="1"/>
    </row>
    <row r="3814" spans="19:19" ht="26.25">
      <c r="S3814" s="61" ph="1"/>
    </row>
    <row r="3815" spans="19:19" ht="26.25">
      <c r="S3815" s="61" ph="1"/>
    </row>
    <row r="3816" spans="19:19" ht="26.25">
      <c r="S3816" s="61" ph="1"/>
    </row>
    <row r="3817" spans="19:19" ht="26.25">
      <c r="S3817" s="61" ph="1"/>
    </row>
    <row r="3818" spans="19:19" ht="26.25">
      <c r="S3818" s="61" ph="1"/>
    </row>
    <row r="3819" spans="19:19" ht="26.25">
      <c r="S3819" s="61" ph="1"/>
    </row>
    <row r="3820" spans="19:19" ht="26.25">
      <c r="S3820" s="61" ph="1"/>
    </row>
    <row r="3821" spans="19:19" ht="26.25">
      <c r="S3821" s="61" ph="1"/>
    </row>
    <row r="3822" spans="19:19" ht="26.25">
      <c r="S3822" s="61" ph="1"/>
    </row>
    <row r="3823" spans="19:19" ht="26.25">
      <c r="S3823" s="61" ph="1"/>
    </row>
    <row r="3824" spans="19:19" ht="26.25">
      <c r="S3824" s="61" ph="1"/>
    </row>
    <row r="3825" spans="19:19" ht="26.25">
      <c r="S3825" s="61" ph="1"/>
    </row>
    <row r="3826" spans="19:19" ht="26.25">
      <c r="S3826" s="61" ph="1"/>
    </row>
    <row r="3827" spans="19:19" ht="26.25">
      <c r="S3827" s="61" ph="1"/>
    </row>
    <row r="3828" spans="19:19" ht="26.25">
      <c r="S3828" s="61" ph="1"/>
    </row>
    <row r="3829" spans="19:19" ht="26.25">
      <c r="S3829" s="61" ph="1"/>
    </row>
    <row r="3830" spans="19:19" ht="26.25">
      <c r="S3830" s="61" ph="1"/>
    </row>
    <row r="3831" spans="19:19" ht="26.25">
      <c r="S3831" s="61" ph="1"/>
    </row>
    <row r="3832" spans="19:19" ht="26.25">
      <c r="S3832" s="61" ph="1"/>
    </row>
    <row r="3833" spans="19:19" ht="26.25">
      <c r="S3833" s="61" ph="1"/>
    </row>
    <row r="3834" spans="19:19" ht="26.25">
      <c r="S3834" s="61" ph="1"/>
    </row>
    <row r="3835" spans="19:19" ht="26.25">
      <c r="S3835" s="61" ph="1"/>
    </row>
    <row r="3836" spans="19:19" ht="26.25">
      <c r="S3836" s="61" ph="1"/>
    </row>
    <row r="3837" spans="19:19" ht="26.25">
      <c r="S3837" s="61" ph="1"/>
    </row>
    <row r="3838" spans="19:19" ht="26.25">
      <c r="S3838" s="61" ph="1"/>
    </row>
    <row r="3839" spans="19:19" ht="26.25">
      <c r="S3839" s="61" ph="1"/>
    </row>
    <row r="3840" spans="19:19" ht="26.25">
      <c r="S3840" s="61" ph="1"/>
    </row>
    <row r="3841" spans="19:19" ht="26.25">
      <c r="S3841" s="61" ph="1"/>
    </row>
    <row r="3842" spans="19:19" ht="26.25">
      <c r="S3842" s="61" ph="1"/>
    </row>
    <row r="3843" spans="19:19" ht="26.25">
      <c r="S3843" s="61" ph="1"/>
    </row>
    <row r="3844" spans="19:19" ht="26.25">
      <c r="S3844" s="61" ph="1"/>
    </row>
    <row r="3845" spans="19:19" ht="26.25">
      <c r="S3845" s="61" ph="1"/>
    </row>
    <row r="3846" spans="19:19" ht="26.25">
      <c r="S3846" s="61" ph="1"/>
    </row>
    <row r="3847" spans="19:19" ht="26.25">
      <c r="S3847" s="61" ph="1"/>
    </row>
    <row r="3848" spans="19:19" ht="26.25">
      <c r="S3848" s="61" ph="1"/>
    </row>
    <row r="3849" spans="19:19" ht="26.25">
      <c r="S3849" s="61" ph="1"/>
    </row>
    <row r="3850" spans="19:19" ht="26.25">
      <c r="S3850" s="61" ph="1"/>
    </row>
    <row r="3851" spans="19:19" ht="26.25">
      <c r="S3851" s="61" ph="1"/>
    </row>
    <row r="3852" spans="19:19" ht="26.25">
      <c r="S3852" s="61" ph="1"/>
    </row>
    <row r="3853" spans="19:19" ht="26.25">
      <c r="S3853" s="61" ph="1"/>
    </row>
    <row r="3854" spans="19:19" ht="26.25">
      <c r="S3854" s="61" ph="1"/>
    </row>
    <row r="3855" spans="19:19" ht="26.25">
      <c r="S3855" s="61" ph="1"/>
    </row>
    <row r="3856" spans="19:19" ht="26.25">
      <c r="S3856" s="61" ph="1"/>
    </row>
    <row r="3857" spans="19:19" ht="26.25">
      <c r="S3857" s="61" ph="1"/>
    </row>
    <row r="3858" spans="19:19" ht="26.25">
      <c r="S3858" s="61" ph="1"/>
    </row>
    <row r="3859" spans="19:19" ht="26.25">
      <c r="S3859" s="61" ph="1"/>
    </row>
    <row r="3860" spans="19:19" ht="26.25">
      <c r="S3860" s="61" ph="1"/>
    </row>
    <row r="3861" spans="19:19" ht="26.25">
      <c r="S3861" s="61" ph="1"/>
    </row>
    <row r="3862" spans="19:19" ht="26.25">
      <c r="S3862" s="61" ph="1"/>
    </row>
    <row r="3863" spans="19:19" ht="26.25">
      <c r="S3863" s="61" ph="1"/>
    </row>
    <row r="3864" spans="19:19" ht="26.25">
      <c r="S3864" s="61" ph="1"/>
    </row>
    <row r="3865" spans="19:19" ht="26.25">
      <c r="S3865" s="61" ph="1"/>
    </row>
    <row r="3866" spans="19:19" ht="26.25">
      <c r="S3866" s="61" ph="1"/>
    </row>
    <row r="3867" spans="19:19" ht="26.25">
      <c r="S3867" s="61" ph="1"/>
    </row>
    <row r="3868" spans="19:19" ht="26.25">
      <c r="S3868" s="61" ph="1"/>
    </row>
    <row r="3869" spans="19:19" ht="26.25">
      <c r="S3869" s="61" ph="1"/>
    </row>
    <row r="3870" spans="19:19" ht="26.25">
      <c r="S3870" s="61" ph="1"/>
    </row>
    <row r="3871" spans="19:19" ht="26.25">
      <c r="S3871" s="61" ph="1"/>
    </row>
    <row r="3872" spans="19:19" ht="26.25">
      <c r="S3872" s="61" ph="1"/>
    </row>
    <row r="3873" spans="19:19" ht="26.25">
      <c r="S3873" s="61" ph="1"/>
    </row>
    <row r="3874" spans="19:19" ht="26.25">
      <c r="S3874" s="61" ph="1"/>
    </row>
    <row r="3875" spans="19:19" ht="26.25">
      <c r="S3875" s="61" ph="1"/>
    </row>
    <row r="3876" spans="19:19" ht="26.25">
      <c r="S3876" s="61" ph="1"/>
    </row>
    <row r="3877" spans="19:19" ht="26.25">
      <c r="S3877" s="61" ph="1"/>
    </row>
    <row r="3878" spans="19:19" ht="26.25">
      <c r="S3878" s="61" ph="1"/>
    </row>
    <row r="3879" spans="19:19" ht="26.25">
      <c r="S3879" s="61" ph="1"/>
    </row>
    <row r="3880" spans="19:19" ht="26.25">
      <c r="S3880" s="61" ph="1"/>
    </row>
    <row r="3881" spans="19:19" ht="26.25">
      <c r="S3881" s="61" ph="1"/>
    </row>
    <row r="3882" spans="19:19" ht="26.25">
      <c r="S3882" s="61" ph="1"/>
    </row>
    <row r="3883" spans="19:19" ht="26.25">
      <c r="S3883" s="61" ph="1"/>
    </row>
    <row r="3884" spans="19:19" ht="26.25">
      <c r="S3884" s="61" ph="1"/>
    </row>
    <row r="3885" spans="19:19" ht="26.25">
      <c r="S3885" s="61" ph="1"/>
    </row>
    <row r="3886" spans="19:19" ht="26.25">
      <c r="S3886" s="61" ph="1"/>
    </row>
    <row r="3887" spans="19:19" ht="26.25">
      <c r="S3887" s="61" ph="1"/>
    </row>
    <row r="3888" spans="19:19" ht="26.25">
      <c r="S3888" s="61" ph="1"/>
    </row>
    <row r="3889" spans="19:19" ht="26.25">
      <c r="S3889" s="61" ph="1"/>
    </row>
    <row r="3890" spans="19:19" ht="26.25">
      <c r="S3890" s="61" ph="1"/>
    </row>
    <row r="3891" spans="19:19" ht="26.25">
      <c r="S3891" s="61" ph="1"/>
    </row>
    <row r="3892" spans="19:19" ht="26.25">
      <c r="S3892" s="61" ph="1"/>
    </row>
    <row r="3893" spans="19:19" ht="26.25">
      <c r="S3893" s="61" ph="1"/>
    </row>
    <row r="3894" spans="19:19" ht="26.25">
      <c r="S3894" s="61" ph="1"/>
    </row>
    <row r="3895" spans="19:19" ht="26.25">
      <c r="S3895" s="61" ph="1"/>
    </row>
    <row r="3896" spans="19:19" ht="26.25">
      <c r="S3896" s="61" ph="1"/>
    </row>
    <row r="3897" spans="19:19" ht="26.25">
      <c r="S3897" s="61" ph="1"/>
    </row>
    <row r="3898" spans="19:19" ht="26.25">
      <c r="S3898" s="61" ph="1"/>
    </row>
    <row r="3899" spans="19:19" ht="26.25">
      <c r="S3899" s="61" ph="1"/>
    </row>
    <row r="3900" spans="19:19" ht="26.25">
      <c r="S3900" s="61" ph="1"/>
    </row>
    <row r="3901" spans="19:19" ht="26.25">
      <c r="S3901" s="61" ph="1"/>
    </row>
    <row r="3902" spans="19:19" ht="26.25">
      <c r="S3902" s="61" ph="1"/>
    </row>
    <row r="3903" spans="19:19" ht="26.25">
      <c r="S3903" s="61" ph="1"/>
    </row>
    <row r="3904" spans="19:19" ht="26.25">
      <c r="S3904" s="61" ph="1"/>
    </row>
    <row r="3905" spans="19:19" ht="26.25">
      <c r="S3905" s="61" ph="1"/>
    </row>
    <row r="3906" spans="19:19" ht="26.25">
      <c r="S3906" s="61" ph="1"/>
    </row>
    <row r="3907" spans="19:19" ht="26.25">
      <c r="S3907" s="61" ph="1"/>
    </row>
    <row r="3908" spans="19:19" ht="26.25">
      <c r="S3908" s="61" ph="1"/>
    </row>
    <row r="3909" spans="19:19" ht="26.25">
      <c r="S3909" s="61" ph="1"/>
    </row>
    <row r="3910" spans="19:19" ht="26.25">
      <c r="S3910" s="61" ph="1"/>
    </row>
    <row r="3911" spans="19:19" ht="26.25">
      <c r="S3911" s="61" ph="1"/>
    </row>
    <row r="3912" spans="19:19" ht="26.25">
      <c r="S3912" s="61" ph="1"/>
    </row>
    <row r="3913" spans="19:19" ht="26.25">
      <c r="S3913" s="61" ph="1"/>
    </row>
    <row r="3914" spans="19:19" ht="26.25">
      <c r="S3914" s="61" ph="1"/>
    </row>
    <row r="3915" spans="19:19" ht="26.25">
      <c r="S3915" s="61" ph="1"/>
    </row>
    <row r="3916" spans="19:19" ht="26.25">
      <c r="S3916" s="61" ph="1"/>
    </row>
    <row r="3917" spans="19:19" ht="26.25">
      <c r="S3917" s="61" ph="1"/>
    </row>
    <row r="3918" spans="19:19" ht="26.25">
      <c r="S3918" s="61" ph="1"/>
    </row>
    <row r="3919" spans="19:19" ht="26.25">
      <c r="S3919" s="61" ph="1"/>
    </row>
    <row r="3920" spans="19:19" ht="26.25">
      <c r="S3920" s="61" ph="1"/>
    </row>
    <row r="3921" spans="19:19" ht="26.25">
      <c r="S3921" s="61" ph="1"/>
    </row>
    <row r="3922" spans="19:19" ht="26.25">
      <c r="S3922" s="61" ph="1"/>
    </row>
    <row r="3923" spans="19:19" ht="26.25">
      <c r="S3923" s="61" ph="1"/>
    </row>
    <row r="3924" spans="19:19" ht="26.25">
      <c r="S3924" s="61" ph="1"/>
    </row>
    <row r="3925" spans="19:19" ht="26.25">
      <c r="S3925" s="61" ph="1"/>
    </row>
    <row r="3926" spans="19:19" ht="26.25">
      <c r="S3926" s="61" ph="1"/>
    </row>
    <row r="3927" spans="19:19" ht="26.25">
      <c r="S3927" s="61" ph="1"/>
    </row>
    <row r="3928" spans="19:19" ht="26.25">
      <c r="S3928" s="61" ph="1"/>
    </row>
    <row r="3929" spans="19:19" ht="26.25">
      <c r="S3929" s="61" ph="1"/>
    </row>
    <row r="3930" spans="19:19" ht="26.25">
      <c r="S3930" s="61" ph="1"/>
    </row>
    <row r="3931" spans="19:19" ht="26.25">
      <c r="S3931" s="61" ph="1"/>
    </row>
    <row r="3932" spans="19:19" ht="26.25">
      <c r="S3932" s="61" ph="1"/>
    </row>
    <row r="3933" spans="19:19" ht="26.25">
      <c r="S3933" s="61" ph="1"/>
    </row>
    <row r="3934" spans="19:19" ht="26.25">
      <c r="S3934" s="61" ph="1"/>
    </row>
    <row r="3935" spans="19:19" ht="26.25">
      <c r="S3935" s="61" ph="1"/>
    </row>
    <row r="3936" spans="19:19" ht="26.25">
      <c r="S3936" s="61" ph="1"/>
    </row>
    <row r="3937" spans="19:19" ht="26.25">
      <c r="S3937" s="61" ph="1"/>
    </row>
    <row r="3938" spans="19:19" ht="26.25">
      <c r="S3938" s="61" ph="1"/>
    </row>
    <row r="3939" spans="19:19" ht="26.25">
      <c r="S3939" s="61" ph="1"/>
    </row>
    <row r="3940" spans="19:19" ht="26.25">
      <c r="S3940" s="61" ph="1"/>
    </row>
    <row r="3941" spans="19:19" ht="26.25">
      <c r="S3941" s="61" ph="1"/>
    </row>
    <row r="3942" spans="19:19" ht="26.25">
      <c r="S3942" s="61" ph="1"/>
    </row>
    <row r="3943" spans="19:19" ht="26.25">
      <c r="S3943" s="61" ph="1"/>
    </row>
    <row r="3944" spans="19:19" ht="26.25">
      <c r="S3944" s="61" ph="1"/>
    </row>
    <row r="3945" spans="19:19" ht="26.25">
      <c r="S3945" s="61" ph="1"/>
    </row>
    <row r="3946" spans="19:19" ht="26.25">
      <c r="S3946" s="61" ph="1"/>
    </row>
    <row r="3947" spans="19:19" ht="26.25">
      <c r="S3947" s="61" ph="1"/>
    </row>
    <row r="3948" spans="19:19" ht="26.25">
      <c r="S3948" s="61" ph="1"/>
    </row>
    <row r="3949" spans="19:19" ht="26.25">
      <c r="S3949" s="61" ph="1"/>
    </row>
    <row r="3950" spans="19:19" ht="26.25">
      <c r="S3950" s="61" ph="1"/>
    </row>
    <row r="3951" spans="19:19" ht="26.25">
      <c r="S3951" s="61" ph="1"/>
    </row>
    <row r="3952" spans="19:19" ht="26.25">
      <c r="S3952" s="61" ph="1"/>
    </row>
    <row r="3953" spans="19:19" ht="26.25">
      <c r="S3953" s="61" ph="1"/>
    </row>
    <row r="3954" spans="19:19" ht="26.25">
      <c r="S3954" s="61" ph="1"/>
    </row>
    <row r="3955" spans="19:19" ht="26.25">
      <c r="S3955" s="61" ph="1"/>
    </row>
    <row r="3956" spans="19:19" ht="26.25">
      <c r="S3956" s="61" ph="1"/>
    </row>
    <row r="3957" spans="19:19" ht="26.25">
      <c r="S3957" s="61" ph="1"/>
    </row>
    <row r="3958" spans="19:19" ht="26.25">
      <c r="S3958" s="61" ph="1"/>
    </row>
    <row r="3959" spans="19:19" ht="26.25">
      <c r="S3959" s="61" ph="1"/>
    </row>
    <row r="3960" spans="19:19" ht="26.25">
      <c r="S3960" s="61" ph="1"/>
    </row>
    <row r="3961" spans="19:19" ht="26.25">
      <c r="S3961" s="61" ph="1"/>
    </row>
    <row r="3962" spans="19:19" ht="26.25">
      <c r="S3962" s="61" ph="1"/>
    </row>
    <row r="3963" spans="19:19" ht="26.25">
      <c r="S3963" s="61" ph="1"/>
    </row>
    <row r="3964" spans="19:19" ht="26.25">
      <c r="S3964" s="61" ph="1"/>
    </row>
    <row r="3965" spans="19:19" ht="26.25">
      <c r="S3965" s="61" ph="1"/>
    </row>
    <row r="3966" spans="19:19" ht="26.25">
      <c r="S3966" s="61" ph="1"/>
    </row>
    <row r="3967" spans="19:19" ht="26.25">
      <c r="S3967" s="61" ph="1"/>
    </row>
    <row r="3968" spans="19:19" ht="26.25">
      <c r="S3968" s="61" ph="1"/>
    </row>
    <row r="3969" spans="19:19" ht="26.25">
      <c r="S3969" s="61" ph="1"/>
    </row>
    <row r="3970" spans="19:19" ht="26.25">
      <c r="S3970" s="61" ph="1"/>
    </row>
    <row r="3971" spans="19:19" ht="26.25">
      <c r="S3971" s="61" ph="1"/>
    </row>
    <row r="3972" spans="19:19" ht="26.25">
      <c r="S3972" s="61" ph="1"/>
    </row>
    <row r="3973" spans="19:19" ht="26.25">
      <c r="S3973" s="61" ph="1"/>
    </row>
    <row r="3974" spans="19:19" ht="26.25">
      <c r="S3974" s="61" ph="1"/>
    </row>
    <row r="3975" spans="19:19" ht="26.25">
      <c r="S3975" s="61" ph="1"/>
    </row>
    <row r="3976" spans="19:19" ht="26.25">
      <c r="S3976" s="61" ph="1"/>
    </row>
    <row r="3977" spans="19:19" ht="26.25">
      <c r="S3977" s="61" ph="1"/>
    </row>
    <row r="3978" spans="19:19" ht="26.25">
      <c r="S3978" s="61" ph="1"/>
    </row>
    <row r="3979" spans="19:19" ht="26.25">
      <c r="S3979" s="61" ph="1"/>
    </row>
    <row r="3980" spans="19:19" ht="26.25">
      <c r="S3980" s="61" ph="1"/>
    </row>
    <row r="3981" spans="19:19" ht="26.25">
      <c r="S3981" s="61" ph="1"/>
    </row>
    <row r="3982" spans="19:19" ht="26.25">
      <c r="S3982" s="61" ph="1"/>
    </row>
    <row r="3983" spans="19:19" ht="26.25">
      <c r="S3983" s="61" ph="1"/>
    </row>
    <row r="3984" spans="19:19" ht="26.25">
      <c r="S3984" s="61" ph="1"/>
    </row>
    <row r="3985" spans="19:19" ht="26.25">
      <c r="S3985" s="61" ph="1"/>
    </row>
    <row r="3986" spans="19:19" ht="26.25">
      <c r="S3986" s="61" ph="1"/>
    </row>
    <row r="3987" spans="19:19" ht="26.25">
      <c r="S3987" s="61" ph="1"/>
    </row>
    <row r="3988" spans="19:19" ht="26.25">
      <c r="S3988" s="61" ph="1"/>
    </row>
    <row r="3989" spans="19:19" ht="26.25">
      <c r="S3989" s="61" ph="1"/>
    </row>
    <row r="3990" spans="19:19" ht="26.25">
      <c r="S3990" s="61" ph="1"/>
    </row>
    <row r="3991" spans="19:19" ht="26.25">
      <c r="S3991" s="61" ph="1"/>
    </row>
    <row r="3992" spans="19:19" ht="26.25">
      <c r="S3992" s="61" ph="1"/>
    </row>
    <row r="3993" spans="19:19" ht="26.25">
      <c r="S3993" s="61" ph="1"/>
    </row>
    <row r="3994" spans="19:19" ht="26.25">
      <c r="S3994" s="61" ph="1"/>
    </row>
    <row r="3995" spans="19:19" ht="26.25">
      <c r="S3995" s="61" ph="1"/>
    </row>
    <row r="3996" spans="19:19" ht="26.25">
      <c r="S3996" s="61" ph="1"/>
    </row>
    <row r="3997" spans="19:19" ht="26.25">
      <c r="S3997" s="61" ph="1"/>
    </row>
    <row r="3998" spans="19:19" ht="26.25">
      <c r="S3998" s="61" ph="1"/>
    </row>
    <row r="3999" spans="19:19" ht="26.25">
      <c r="S3999" s="61" ph="1"/>
    </row>
    <row r="4000" spans="19:19" ht="26.25">
      <c r="S4000" s="61" ph="1"/>
    </row>
    <row r="4001" spans="19:19" ht="26.25">
      <c r="S4001" s="61" ph="1"/>
    </row>
    <row r="4002" spans="19:19" ht="26.25">
      <c r="S4002" s="61" ph="1"/>
    </row>
    <row r="4003" spans="19:19" ht="26.25">
      <c r="S4003" s="61" ph="1"/>
    </row>
    <row r="4004" spans="19:19" ht="26.25">
      <c r="S4004" s="61" ph="1"/>
    </row>
    <row r="4005" spans="19:19" ht="26.25">
      <c r="S4005" s="61" ph="1"/>
    </row>
    <row r="4006" spans="19:19" ht="26.25">
      <c r="S4006" s="61" ph="1"/>
    </row>
    <row r="4007" spans="19:19" ht="26.25">
      <c r="S4007" s="61" ph="1"/>
    </row>
    <row r="4008" spans="19:19" ht="26.25">
      <c r="S4008" s="61" ph="1"/>
    </row>
    <row r="4009" spans="19:19" ht="26.25">
      <c r="S4009" s="61" ph="1"/>
    </row>
    <row r="4010" spans="19:19" ht="26.25">
      <c r="S4010" s="61" ph="1"/>
    </row>
    <row r="4011" spans="19:19" ht="26.25">
      <c r="S4011" s="61" ph="1"/>
    </row>
    <row r="4012" spans="19:19" ht="26.25">
      <c r="S4012" s="61" ph="1"/>
    </row>
    <row r="4013" spans="19:19" ht="26.25">
      <c r="S4013" s="61" ph="1"/>
    </row>
    <row r="4014" spans="19:19" ht="26.25">
      <c r="S4014" s="61" ph="1"/>
    </row>
    <row r="4015" spans="19:19" ht="26.25">
      <c r="S4015" s="61" ph="1"/>
    </row>
    <row r="4016" spans="19:19" ht="26.25">
      <c r="S4016" s="61" ph="1"/>
    </row>
    <row r="4017" spans="19:19" ht="26.25">
      <c r="S4017" s="61" ph="1"/>
    </row>
    <row r="4018" spans="19:19" ht="26.25">
      <c r="S4018" s="61" ph="1"/>
    </row>
    <row r="4019" spans="19:19" ht="26.25">
      <c r="S4019" s="61" ph="1"/>
    </row>
    <row r="4020" spans="19:19" ht="26.25">
      <c r="S4020" s="61" ph="1"/>
    </row>
    <row r="4021" spans="19:19" ht="26.25">
      <c r="S4021" s="61" ph="1"/>
    </row>
    <row r="4022" spans="19:19" ht="26.25">
      <c r="S4022" s="61" ph="1"/>
    </row>
    <row r="4023" spans="19:19" ht="26.25">
      <c r="S4023" s="61" ph="1"/>
    </row>
    <row r="4024" spans="19:19" ht="26.25">
      <c r="S4024" s="61" ph="1"/>
    </row>
    <row r="4025" spans="19:19" ht="26.25">
      <c r="S4025" s="61" ph="1"/>
    </row>
    <row r="4026" spans="19:19" ht="26.25">
      <c r="S4026" s="61" ph="1"/>
    </row>
    <row r="4027" spans="19:19" ht="26.25">
      <c r="S4027" s="61" ph="1"/>
    </row>
    <row r="4028" spans="19:19" ht="26.25">
      <c r="S4028" s="61" ph="1"/>
    </row>
    <row r="4029" spans="19:19" ht="26.25">
      <c r="S4029" s="61" ph="1"/>
    </row>
    <row r="4030" spans="19:19" ht="26.25">
      <c r="S4030" s="61" ph="1"/>
    </row>
    <row r="4031" spans="19:19" ht="26.25">
      <c r="S4031" s="61" ph="1"/>
    </row>
    <row r="4032" spans="19:19" ht="26.25">
      <c r="S4032" s="61" ph="1"/>
    </row>
    <row r="4033" spans="19:19" ht="26.25">
      <c r="S4033" s="61" ph="1"/>
    </row>
    <row r="4034" spans="19:19" ht="26.25">
      <c r="S4034" s="61" ph="1"/>
    </row>
    <row r="4035" spans="19:19" ht="26.25">
      <c r="S4035" s="61" ph="1"/>
    </row>
    <row r="4036" spans="19:19" ht="26.25">
      <c r="S4036" s="61" ph="1"/>
    </row>
    <row r="4037" spans="19:19" ht="26.25">
      <c r="S4037" s="61" ph="1"/>
    </row>
    <row r="4038" spans="19:19" ht="26.25">
      <c r="S4038" s="61" ph="1"/>
    </row>
    <row r="4039" spans="19:19" ht="26.25">
      <c r="S4039" s="61" ph="1"/>
    </row>
    <row r="4040" spans="19:19" ht="26.25">
      <c r="S4040" s="61" ph="1"/>
    </row>
    <row r="4041" spans="19:19" ht="26.25">
      <c r="S4041" s="61" ph="1"/>
    </row>
    <row r="4042" spans="19:19" ht="26.25">
      <c r="S4042" s="61" ph="1"/>
    </row>
    <row r="4043" spans="19:19" ht="26.25">
      <c r="S4043" s="61" ph="1"/>
    </row>
    <row r="4044" spans="19:19" ht="26.25">
      <c r="S4044" s="61" ph="1"/>
    </row>
    <row r="4045" spans="19:19" ht="26.25">
      <c r="S4045" s="61" ph="1"/>
    </row>
    <row r="4046" spans="19:19" ht="26.25">
      <c r="S4046" s="61" ph="1"/>
    </row>
    <row r="4047" spans="19:19" ht="26.25">
      <c r="S4047" s="61" ph="1"/>
    </row>
    <row r="4048" spans="19:19" ht="26.25">
      <c r="S4048" s="61" ph="1"/>
    </row>
    <row r="4049" spans="19:19" ht="26.25">
      <c r="S4049" s="61" ph="1"/>
    </row>
    <row r="4050" spans="19:19" ht="26.25">
      <c r="S4050" s="61" ph="1"/>
    </row>
    <row r="4051" spans="19:19" ht="26.25">
      <c r="S4051" s="61" ph="1"/>
    </row>
    <row r="4052" spans="19:19" ht="26.25">
      <c r="S4052" s="61" ph="1"/>
    </row>
    <row r="4053" spans="19:19" ht="26.25">
      <c r="S4053" s="61" ph="1"/>
    </row>
    <row r="4054" spans="19:19" ht="26.25">
      <c r="S4054" s="61" ph="1"/>
    </row>
    <row r="4055" spans="19:19" ht="26.25">
      <c r="S4055" s="61" ph="1"/>
    </row>
    <row r="4056" spans="19:19" ht="26.25">
      <c r="S4056" s="61" ph="1"/>
    </row>
    <row r="4057" spans="19:19" ht="26.25">
      <c r="S4057" s="61" ph="1"/>
    </row>
    <row r="4058" spans="19:19" ht="26.25">
      <c r="S4058" s="61" ph="1"/>
    </row>
    <row r="4059" spans="19:19" ht="26.25">
      <c r="S4059" s="61" ph="1"/>
    </row>
    <row r="4060" spans="19:19" ht="26.25">
      <c r="S4060" s="61" ph="1"/>
    </row>
    <row r="4061" spans="19:19" ht="26.25">
      <c r="S4061" s="61" ph="1"/>
    </row>
    <row r="4062" spans="19:19" ht="26.25">
      <c r="S4062" s="61" ph="1"/>
    </row>
    <row r="4063" spans="19:19" ht="26.25">
      <c r="S4063" s="61" ph="1"/>
    </row>
    <row r="4064" spans="19:19" ht="26.25">
      <c r="S4064" s="61" ph="1"/>
    </row>
    <row r="4065" spans="19:19" ht="26.25">
      <c r="S4065" s="61" ph="1"/>
    </row>
    <row r="4066" spans="19:19" ht="26.25">
      <c r="S4066" s="61" ph="1"/>
    </row>
    <row r="4067" spans="19:19" ht="26.25">
      <c r="S4067" s="61" ph="1"/>
    </row>
    <row r="4068" spans="19:19" ht="26.25">
      <c r="S4068" s="61" ph="1"/>
    </row>
    <row r="4069" spans="19:19" ht="26.25">
      <c r="S4069" s="61" ph="1"/>
    </row>
    <row r="4070" spans="19:19" ht="26.25">
      <c r="S4070" s="61" ph="1"/>
    </row>
    <row r="4071" spans="19:19" ht="26.25">
      <c r="S4071" s="61" ph="1"/>
    </row>
    <row r="4072" spans="19:19" ht="26.25">
      <c r="S4072" s="61" ph="1"/>
    </row>
    <row r="4073" spans="19:19" ht="26.25">
      <c r="S4073" s="61" ph="1"/>
    </row>
    <row r="4074" spans="19:19" ht="26.25">
      <c r="S4074" s="61" ph="1"/>
    </row>
    <row r="4075" spans="19:19" ht="26.25">
      <c r="S4075" s="61" ph="1"/>
    </row>
    <row r="4076" spans="19:19" ht="26.25">
      <c r="S4076" s="61" ph="1"/>
    </row>
    <row r="4077" spans="19:19" ht="26.25">
      <c r="S4077" s="61" ph="1"/>
    </row>
    <row r="4078" spans="19:19" ht="26.25">
      <c r="S4078" s="61" ph="1"/>
    </row>
    <row r="4079" spans="19:19" ht="26.25">
      <c r="S4079" s="61" ph="1"/>
    </row>
    <row r="4080" spans="19:19" ht="26.25">
      <c r="S4080" s="61" ph="1"/>
    </row>
    <row r="4081" spans="19:19" ht="26.25">
      <c r="S4081" s="61" ph="1"/>
    </row>
    <row r="4082" spans="19:19" ht="26.25">
      <c r="S4082" s="61" ph="1"/>
    </row>
    <row r="4083" spans="19:19" ht="26.25">
      <c r="S4083" s="61" ph="1"/>
    </row>
    <row r="4084" spans="19:19" ht="26.25">
      <c r="S4084" s="61" ph="1"/>
    </row>
    <row r="4085" spans="19:19" ht="26.25">
      <c r="S4085" s="61" ph="1"/>
    </row>
    <row r="4086" spans="19:19" ht="26.25">
      <c r="S4086" s="61" ph="1"/>
    </row>
    <row r="4087" spans="19:19" ht="26.25">
      <c r="S4087" s="61" ph="1"/>
    </row>
    <row r="4088" spans="19:19" ht="26.25">
      <c r="S4088" s="61" ph="1"/>
    </row>
    <row r="4089" spans="19:19" ht="26.25">
      <c r="S4089" s="61" ph="1"/>
    </row>
    <row r="4090" spans="19:19" ht="26.25">
      <c r="S4090" s="61" ph="1"/>
    </row>
    <row r="4091" spans="19:19" ht="26.25">
      <c r="S4091" s="61" ph="1"/>
    </row>
    <row r="4092" spans="19:19" ht="26.25">
      <c r="S4092" s="61" ph="1"/>
    </row>
    <row r="4093" spans="19:19" ht="26.25">
      <c r="S4093" s="61" ph="1"/>
    </row>
    <row r="4094" spans="19:19" ht="26.25">
      <c r="S4094" s="61" ph="1"/>
    </row>
    <row r="4095" spans="19:19" ht="26.25">
      <c r="S4095" s="61" ph="1"/>
    </row>
    <row r="4096" spans="19:19" ht="26.25">
      <c r="S4096" s="61" ph="1"/>
    </row>
    <row r="4097" spans="19:19" ht="26.25">
      <c r="S4097" s="61" ph="1"/>
    </row>
    <row r="4098" spans="19:19" ht="26.25">
      <c r="S4098" s="61" ph="1"/>
    </row>
    <row r="4099" spans="19:19" ht="26.25">
      <c r="S4099" s="61" ph="1"/>
    </row>
    <row r="4100" spans="19:19" ht="26.25">
      <c r="S4100" s="61" ph="1"/>
    </row>
    <row r="4101" spans="19:19" ht="26.25">
      <c r="S4101" s="61" ph="1"/>
    </row>
    <row r="4102" spans="19:19" ht="26.25">
      <c r="S4102" s="61" ph="1"/>
    </row>
    <row r="4103" spans="19:19" ht="26.25">
      <c r="S4103" s="61" ph="1"/>
    </row>
    <row r="4104" spans="19:19" ht="26.25">
      <c r="S4104" s="61" ph="1"/>
    </row>
    <row r="4105" spans="19:19" ht="26.25">
      <c r="S4105" s="61" ph="1"/>
    </row>
    <row r="4106" spans="19:19" ht="26.25">
      <c r="S4106" s="61" ph="1"/>
    </row>
    <row r="4107" spans="19:19" ht="26.25">
      <c r="S4107" s="61" ph="1"/>
    </row>
    <row r="4108" spans="19:19" ht="26.25">
      <c r="S4108" s="61" ph="1"/>
    </row>
    <row r="4109" spans="19:19" ht="26.25">
      <c r="S4109" s="61" ph="1"/>
    </row>
    <row r="4110" spans="19:19" ht="26.25">
      <c r="S4110" s="61" ph="1"/>
    </row>
    <row r="4111" spans="19:19" ht="26.25">
      <c r="S4111" s="61" ph="1"/>
    </row>
    <row r="4112" spans="19:19" ht="26.25">
      <c r="S4112" s="61" ph="1"/>
    </row>
    <row r="4113" spans="19:19" ht="26.25">
      <c r="S4113" s="61" ph="1"/>
    </row>
    <row r="4114" spans="19:19" ht="26.25">
      <c r="S4114" s="61" ph="1"/>
    </row>
    <row r="4115" spans="19:19" ht="26.25">
      <c r="S4115" s="61" ph="1"/>
    </row>
    <row r="4116" spans="19:19" ht="26.25">
      <c r="S4116" s="61" ph="1"/>
    </row>
    <row r="4117" spans="19:19" ht="26.25">
      <c r="S4117" s="61" ph="1"/>
    </row>
    <row r="4118" spans="19:19" ht="26.25">
      <c r="S4118" s="61" ph="1"/>
    </row>
    <row r="4119" spans="19:19" ht="26.25">
      <c r="S4119" s="61" ph="1"/>
    </row>
    <row r="4120" spans="19:19" ht="26.25">
      <c r="S4120" s="61" ph="1"/>
    </row>
    <row r="4121" spans="19:19" ht="26.25">
      <c r="S4121" s="61" ph="1"/>
    </row>
    <row r="4122" spans="19:19" ht="26.25">
      <c r="S4122" s="61" ph="1"/>
    </row>
    <row r="4123" spans="19:19" ht="26.25">
      <c r="S4123" s="61" ph="1"/>
    </row>
    <row r="4124" spans="19:19" ht="26.25">
      <c r="S4124" s="61" ph="1"/>
    </row>
    <row r="4125" spans="19:19" ht="26.25">
      <c r="S4125" s="61" ph="1"/>
    </row>
    <row r="4126" spans="19:19" ht="26.25">
      <c r="S4126" s="61" ph="1"/>
    </row>
    <row r="4127" spans="19:19" ht="26.25">
      <c r="S4127" s="61" ph="1"/>
    </row>
    <row r="4128" spans="19:19" ht="26.25">
      <c r="S4128" s="61" ph="1"/>
    </row>
    <row r="4129" spans="19:19" ht="26.25">
      <c r="S4129" s="61" ph="1"/>
    </row>
    <row r="4130" spans="19:19" ht="26.25">
      <c r="S4130" s="61" ph="1"/>
    </row>
    <row r="4131" spans="19:19" ht="26.25">
      <c r="S4131" s="61" ph="1"/>
    </row>
    <row r="4132" spans="19:19" ht="26.25">
      <c r="S4132" s="61" ph="1"/>
    </row>
    <row r="4133" spans="19:19" ht="26.25">
      <c r="S4133" s="61" ph="1"/>
    </row>
    <row r="4134" spans="19:19" ht="26.25">
      <c r="S4134" s="61" ph="1"/>
    </row>
    <row r="4135" spans="19:19" ht="26.25">
      <c r="S4135" s="61" ph="1"/>
    </row>
    <row r="4136" spans="19:19" ht="26.25">
      <c r="S4136" s="61" ph="1"/>
    </row>
    <row r="4137" spans="19:19" ht="26.25">
      <c r="S4137" s="61" ph="1"/>
    </row>
    <row r="4138" spans="19:19" ht="26.25">
      <c r="S4138" s="61" ph="1"/>
    </row>
    <row r="4139" spans="19:19" ht="26.25">
      <c r="S4139" s="61" ph="1"/>
    </row>
    <row r="4140" spans="19:19" ht="26.25">
      <c r="S4140" s="61" ph="1"/>
    </row>
    <row r="4141" spans="19:19" ht="26.25">
      <c r="S4141" s="61" ph="1"/>
    </row>
    <row r="4142" spans="19:19" ht="26.25">
      <c r="S4142" s="61" ph="1"/>
    </row>
    <row r="4143" spans="19:19" ht="26.25">
      <c r="S4143" s="61" ph="1"/>
    </row>
    <row r="4144" spans="19:19" ht="26.25">
      <c r="S4144" s="61" ph="1"/>
    </row>
    <row r="4145" spans="19:19" ht="26.25">
      <c r="S4145" s="61" ph="1"/>
    </row>
    <row r="4146" spans="19:19" ht="26.25">
      <c r="S4146" s="61" ph="1"/>
    </row>
    <row r="4147" spans="19:19" ht="26.25">
      <c r="S4147" s="61" ph="1"/>
    </row>
    <row r="4148" spans="19:19" ht="26.25">
      <c r="S4148" s="61" ph="1"/>
    </row>
    <row r="4149" spans="19:19" ht="26.25">
      <c r="S4149" s="61" ph="1"/>
    </row>
    <row r="4150" spans="19:19" ht="26.25">
      <c r="S4150" s="61" ph="1"/>
    </row>
    <row r="4151" spans="19:19" ht="26.25">
      <c r="S4151" s="61" ph="1"/>
    </row>
    <row r="4152" spans="19:19" ht="26.25">
      <c r="S4152" s="61" ph="1"/>
    </row>
    <row r="4153" spans="19:19" ht="26.25">
      <c r="S4153" s="61" ph="1"/>
    </row>
    <row r="4154" spans="19:19" ht="26.25">
      <c r="S4154" s="61" ph="1"/>
    </row>
    <row r="4155" spans="19:19" ht="26.25">
      <c r="S4155" s="61" ph="1"/>
    </row>
    <row r="4156" spans="19:19" ht="26.25">
      <c r="S4156" s="61" ph="1"/>
    </row>
    <row r="4157" spans="19:19" ht="26.25">
      <c r="S4157" s="61" ph="1"/>
    </row>
    <row r="4158" spans="19:19" ht="26.25">
      <c r="S4158" s="61" ph="1"/>
    </row>
    <row r="4159" spans="19:19" ht="26.25">
      <c r="S4159" s="61" ph="1"/>
    </row>
    <row r="4160" spans="19:19" ht="26.25">
      <c r="S4160" s="61" ph="1"/>
    </row>
    <row r="4161" spans="19:19" ht="26.25">
      <c r="S4161" s="61" ph="1"/>
    </row>
    <row r="4162" spans="19:19" ht="26.25">
      <c r="S4162" s="61" ph="1"/>
    </row>
    <row r="4163" spans="19:19" ht="26.25">
      <c r="S4163" s="61" ph="1"/>
    </row>
    <row r="4164" spans="19:19" ht="26.25">
      <c r="S4164" s="61" ph="1"/>
    </row>
    <row r="4165" spans="19:19" ht="26.25">
      <c r="S4165" s="61" ph="1"/>
    </row>
    <row r="4166" spans="19:19" ht="26.25">
      <c r="S4166" s="61" ph="1"/>
    </row>
    <row r="4167" spans="19:19" ht="26.25">
      <c r="S4167" s="61" ph="1"/>
    </row>
    <row r="4168" spans="19:19" ht="26.25">
      <c r="S4168" s="61" ph="1"/>
    </row>
    <row r="4169" spans="19:19" ht="26.25">
      <c r="S4169" s="61" ph="1"/>
    </row>
    <row r="4170" spans="19:19" ht="26.25">
      <c r="S4170" s="61" ph="1"/>
    </row>
    <row r="4171" spans="19:19" ht="26.25">
      <c r="S4171" s="61" ph="1"/>
    </row>
    <row r="4172" spans="19:19" ht="26.25">
      <c r="S4172" s="61" ph="1"/>
    </row>
    <row r="4173" spans="19:19" ht="26.25">
      <c r="S4173" s="61" ph="1"/>
    </row>
    <row r="4174" spans="19:19" ht="26.25">
      <c r="S4174" s="61" ph="1"/>
    </row>
    <row r="4175" spans="19:19" ht="26.25">
      <c r="S4175" s="61" ph="1"/>
    </row>
    <row r="4176" spans="19:19" ht="26.25">
      <c r="S4176" s="61" ph="1"/>
    </row>
    <row r="4177" spans="19:19" ht="26.25">
      <c r="S4177" s="61" ph="1"/>
    </row>
    <row r="4178" spans="19:19" ht="26.25">
      <c r="S4178" s="61" ph="1"/>
    </row>
    <row r="4179" spans="19:19" ht="26.25">
      <c r="S4179" s="61" ph="1"/>
    </row>
    <row r="4180" spans="19:19" ht="26.25">
      <c r="S4180" s="61" ph="1"/>
    </row>
    <row r="4181" spans="19:19" ht="26.25">
      <c r="S4181" s="61" ph="1"/>
    </row>
    <row r="4182" spans="19:19" ht="26.25">
      <c r="S4182" s="61" ph="1"/>
    </row>
    <row r="4183" spans="19:19" ht="26.25">
      <c r="S4183" s="61" ph="1"/>
    </row>
    <row r="4184" spans="19:19" ht="26.25">
      <c r="S4184" s="61" ph="1"/>
    </row>
    <row r="4185" spans="19:19" ht="26.25">
      <c r="S4185" s="61" ph="1"/>
    </row>
    <row r="4186" spans="19:19" ht="26.25">
      <c r="S4186" s="61" ph="1"/>
    </row>
    <row r="4187" spans="19:19" ht="26.25">
      <c r="S4187" s="61" ph="1"/>
    </row>
    <row r="4188" spans="19:19" ht="26.25">
      <c r="S4188" s="61" ph="1"/>
    </row>
    <row r="4189" spans="19:19" ht="26.25">
      <c r="S4189" s="61" ph="1"/>
    </row>
    <row r="4190" spans="19:19" ht="26.25">
      <c r="S4190" s="61" ph="1"/>
    </row>
    <row r="4191" spans="19:19" ht="26.25">
      <c r="S4191" s="61" ph="1"/>
    </row>
    <row r="4192" spans="19:19" ht="26.25">
      <c r="S4192" s="61" ph="1"/>
    </row>
    <row r="4193" spans="19:19" ht="26.25">
      <c r="S4193" s="61" ph="1"/>
    </row>
    <row r="4194" spans="19:19" ht="26.25">
      <c r="S4194" s="61" ph="1"/>
    </row>
    <row r="4195" spans="19:19" ht="26.25">
      <c r="S4195" s="61" ph="1"/>
    </row>
    <row r="4196" spans="19:19" ht="26.25">
      <c r="S4196" s="61" ph="1"/>
    </row>
    <row r="4197" spans="19:19" ht="26.25">
      <c r="S4197" s="61" ph="1"/>
    </row>
    <row r="4198" spans="19:19" ht="26.25">
      <c r="S4198" s="61" ph="1"/>
    </row>
    <row r="4199" spans="19:19" ht="26.25">
      <c r="S4199" s="61" ph="1"/>
    </row>
    <row r="4200" spans="19:19" ht="26.25">
      <c r="S4200" s="61" ph="1"/>
    </row>
    <row r="4201" spans="19:19" ht="26.25">
      <c r="S4201" s="61" ph="1"/>
    </row>
    <row r="4202" spans="19:19" ht="26.25">
      <c r="S4202" s="61" ph="1"/>
    </row>
    <row r="4203" spans="19:19" ht="26.25">
      <c r="S4203" s="61" ph="1"/>
    </row>
    <row r="4204" spans="19:19" ht="26.25">
      <c r="S4204" s="61" ph="1"/>
    </row>
    <row r="4205" spans="19:19" ht="26.25">
      <c r="S4205" s="61" ph="1"/>
    </row>
    <row r="4206" spans="19:19" ht="26.25">
      <c r="S4206" s="61" ph="1"/>
    </row>
    <row r="4207" spans="19:19" ht="26.25">
      <c r="S4207" s="61" ph="1"/>
    </row>
    <row r="4208" spans="19:19" ht="26.25">
      <c r="S4208" s="61" ph="1"/>
    </row>
    <row r="4209" spans="19:19" ht="26.25">
      <c r="S4209" s="61" ph="1"/>
    </row>
    <row r="4210" spans="19:19" ht="26.25">
      <c r="S4210" s="61" ph="1"/>
    </row>
    <row r="4211" spans="19:19" ht="26.25">
      <c r="S4211" s="61" ph="1"/>
    </row>
    <row r="4212" spans="19:19" ht="26.25">
      <c r="S4212" s="61" ph="1"/>
    </row>
    <row r="4213" spans="19:19" ht="26.25">
      <c r="S4213" s="61" ph="1"/>
    </row>
    <row r="4214" spans="19:19" ht="26.25">
      <c r="S4214" s="61" ph="1"/>
    </row>
    <row r="4215" spans="19:19" ht="26.25">
      <c r="S4215" s="61" ph="1"/>
    </row>
    <row r="4216" spans="19:19" ht="26.25">
      <c r="S4216" s="61" ph="1"/>
    </row>
    <row r="4217" spans="19:19" ht="26.25">
      <c r="S4217" s="61" ph="1"/>
    </row>
    <row r="4218" spans="19:19" ht="26.25">
      <c r="S4218" s="61" ph="1"/>
    </row>
    <row r="4219" spans="19:19" ht="26.25">
      <c r="S4219" s="61" ph="1"/>
    </row>
    <row r="4220" spans="19:19" ht="26.25">
      <c r="S4220" s="61" ph="1"/>
    </row>
    <row r="4221" spans="19:19" ht="26.25">
      <c r="S4221" s="61" ph="1"/>
    </row>
    <row r="4222" spans="19:19" ht="26.25">
      <c r="S4222" s="61" ph="1"/>
    </row>
    <row r="4223" spans="19:19" ht="26.25">
      <c r="S4223" s="61" ph="1"/>
    </row>
    <row r="4224" spans="19:19" ht="26.25">
      <c r="S4224" s="61" ph="1"/>
    </row>
    <row r="4225" spans="19:19" ht="26.25">
      <c r="S4225" s="61" ph="1"/>
    </row>
    <row r="4226" spans="19:19" ht="26.25">
      <c r="S4226" s="61" ph="1"/>
    </row>
    <row r="4227" spans="19:19" ht="26.25">
      <c r="S4227" s="61" ph="1"/>
    </row>
    <row r="4228" spans="19:19" ht="26.25">
      <c r="S4228" s="61" ph="1"/>
    </row>
    <row r="4229" spans="19:19" ht="26.25">
      <c r="S4229" s="61" ph="1"/>
    </row>
    <row r="4230" spans="19:19" ht="26.25">
      <c r="S4230" s="61" ph="1"/>
    </row>
    <row r="4231" spans="19:19" ht="26.25">
      <c r="S4231" s="61" ph="1"/>
    </row>
    <row r="4232" spans="19:19" ht="26.25">
      <c r="S4232" s="61" ph="1"/>
    </row>
    <row r="4233" spans="19:19" ht="26.25">
      <c r="S4233" s="61" ph="1"/>
    </row>
    <row r="4234" spans="19:19" ht="26.25">
      <c r="S4234" s="61" ph="1"/>
    </row>
    <row r="4235" spans="19:19" ht="26.25">
      <c r="S4235" s="61" ph="1"/>
    </row>
    <row r="4236" spans="19:19" ht="26.25">
      <c r="S4236" s="61" ph="1"/>
    </row>
    <row r="4237" spans="19:19" ht="26.25">
      <c r="S4237" s="61" ph="1"/>
    </row>
    <row r="4238" spans="19:19" ht="26.25">
      <c r="S4238" s="61" ph="1"/>
    </row>
    <row r="4239" spans="19:19" ht="26.25">
      <c r="S4239" s="61" ph="1"/>
    </row>
    <row r="4240" spans="19:19" ht="26.25">
      <c r="S4240" s="61" ph="1"/>
    </row>
    <row r="4241" spans="19:19" ht="26.25">
      <c r="S4241" s="61" ph="1"/>
    </row>
    <row r="4242" spans="19:19" ht="26.25">
      <c r="S4242" s="61" ph="1"/>
    </row>
    <row r="4243" spans="19:19" ht="26.25">
      <c r="S4243" s="61" ph="1"/>
    </row>
    <row r="4244" spans="19:19" ht="26.25">
      <c r="S4244" s="61" ph="1"/>
    </row>
    <row r="4245" spans="19:19" ht="26.25">
      <c r="S4245" s="61" ph="1"/>
    </row>
    <row r="4246" spans="19:19" ht="26.25">
      <c r="S4246" s="61" ph="1"/>
    </row>
    <row r="4247" spans="19:19" ht="26.25">
      <c r="S4247" s="61" ph="1"/>
    </row>
    <row r="4248" spans="19:19" ht="26.25">
      <c r="S4248" s="61" ph="1"/>
    </row>
    <row r="4249" spans="19:19" ht="26.25">
      <c r="S4249" s="61" ph="1"/>
    </row>
    <row r="4250" spans="19:19" ht="26.25">
      <c r="S4250" s="61" ph="1"/>
    </row>
    <row r="4251" spans="19:19" ht="26.25">
      <c r="S4251" s="61" ph="1"/>
    </row>
    <row r="4252" spans="19:19" ht="26.25">
      <c r="S4252" s="61" ph="1"/>
    </row>
    <row r="4253" spans="19:19" ht="26.25">
      <c r="S4253" s="61" ph="1"/>
    </row>
    <row r="4254" spans="19:19" ht="26.25">
      <c r="S4254" s="61" ph="1"/>
    </row>
    <row r="4255" spans="19:19" ht="26.25">
      <c r="S4255" s="61" ph="1"/>
    </row>
    <row r="4256" spans="19:19" ht="26.25">
      <c r="S4256" s="61" ph="1"/>
    </row>
    <row r="4257" spans="19:19" ht="26.25">
      <c r="S4257" s="61" ph="1"/>
    </row>
    <row r="4258" spans="19:19" ht="26.25">
      <c r="S4258" s="61" ph="1"/>
    </row>
    <row r="4259" spans="19:19" ht="26.25">
      <c r="S4259" s="61" ph="1"/>
    </row>
    <row r="4260" spans="19:19" ht="26.25">
      <c r="S4260" s="61" ph="1"/>
    </row>
    <row r="4261" spans="19:19" ht="26.25">
      <c r="S4261" s="61" ph="1"/>
    </row>
    <row r="4262" spans="19:19" ht="26.25">
      <c r="S4262" s="61" ph="1"/>
    </row>
    <row r="4263" spans="19:19" ht="26.25">
      <c r="S4263" s="61" ph="1"/>
    </row>
    <row r="4264" spans="19:19" ht="26.25">
      <c r="S4264" s="61" ph="1"/>
    </row>
    <row r="4265" spans="19:19" ht="26.25">
      <c r="S4265" s="61" ph="1"/>
    </row>
    <row r="4266" spans="19:19" ht="26.25">
      <c r="S4266" s="61" ph="1"/>
    </row>
    <row r="4267" spans="19:19" ht="26.25">
      <c r="S4267" s="61" ph="1"/>
    </row>
    <row r="4268" spans="19:19" ht="26.25">
      <c r="S4268" s="61" ph="1"/>
    </row>
    <row r="4269" spans="19:19" ht="26.25">
      <c r="S4269" s="61" ph="1"/>
    </row>
    <row r="4270" spans="19:19" ht="26.25">
      <c r="S4270" s="61" ph="1"/>
    </row>
    <row r="4271" spans="19:19" ht="26.25">
      <c r="S4271" s="61" ph="1"/>
    </row>
    <row r="4272" spans="19:19" ht="26.25">
      <c r="S4272" s="61" ph="1"/>
    </row>
    <row r="4273" spans="19:19" ht="26.25">
      <c r="S4273" s="61" ph="1"/>
    </row>
    <row r="4274" spans="19:19" ht="26.25">
      <c r="S4274" s="61" ph="1"/>
    </row>
    <row r="4275" spans="19:19" ht="26.25">
      <c r="S4275" s="61" ph="1"/>
    </row>
    <row r="4276" spans="19:19" ht="26.25">
      <c r="S4276" s="61" ph="1"/>
    </row>
    <row r="4277" spans="19:19" ht="26.25">
      <c r="S4277" s="61" ph="1"/>
    </row>
    <row r="4278" spans="19:19" ht="26.25">
      <c r="S4278" s="61" ph="1"/>
    </row>
    <row r="4279" spans="19:19" ht="26.25">
      <c r="S4279" s="61" ph="1"/>
    </row>
    <row r="4280" spans="19:19" ht="26.25">
      <c r="S4280" s="61" ph="1"/>
    </row>
    <row r="4281" spans="19:19" ht="26.25">
      <c r="S4281" s="61" ph="1"/>
    </row>
    <row r="4282" spans="19:19" ht="26.25">
      <c r="S4282" s="61" ph="1"/>
    </row>
    <row r="4283" spans="19:19" ht="26.25">
      <c r="S4283" s="61" ph="1"/>
    </row>
    <row r="4284" spans="19:19" ht="26.25">
      <c r="S4284" s="61" ph="1"/>
    </row>
    <row r="4285" spans="19:19" ht="26.25">
      <c r="S4285" s="61" ph="1"/>
    </row>
    <row r="4286" spans="19:19" ht="26.25">
      <c r="S4286" s="61" ph="1"/>
    </row>
    <row r="4287" spans="19:19" ht="26.25">
      <c r="S4287" s="61" ph="1"/>
    </row>
    <row r="4288" spans="19:19" ht="26.25">
      <c r="S4288" s="61" ph="1"/>
    </row>
    <row r="4289" spans="19:19" ht="26.25">
      <c r="S4289" s="61" ph="1"/>
    </row>
    <row r="4290" spans="19:19" ht="26.25">
      <c r="S4290" s="61" ph="1"/>
    </row>
    <row r="4291" spans="19:19" ht="26.25">
      <c r="S4291" s="61" ph="1"/>
    </row>
    <row r="4292" spans="19:19" ht="26.25">
      <c r="S4292" s="61" ph="1"/>
    </row>
    <row r="4293" spans="19:19" ht="26.25">
      <c r="S4293" s="61" ph="1"/>
    </row>
    <row r="4294" spans="19:19" ht="26.25">
      <c r="S4294" s="61" ph="1"/>
    </row>
    <row r="4295" spans="19:19" ht="26.25">
      <c r="S4295" s="61" ph="1"/>
    </row>
    <row r="4296" spans="19:19" ht="26.25">
      <c r="S4296" s="61" ph="1"/>
    </row>
    <row r="4297" spans="19:19" ht="26.25">
      <c r="S4297" s="61" ph="1"/>
    </row>
    <row r="4298" spans="19:19" ht="26.25">
      <c r="S4298" s="61" ph="1"/>
    </row>
    <row r="4299" spans="19:19" ht="26.25">
      <c r="S4299" s="61" ph="1"/>
    </row>
    <row r="4300" spans="19:19" ht="26.25">
      <c r="S4300" s="61" ph="1"/>
    </row>
    <row r="4301" spans="19:19" ht="26.25">
      <c r="S4301" s="61" ph="1"/>
    </row>
    <row r="4302" spans="19:19" ht="26.25">
      <c r="S4302" s="61" ph="1"/>
    </row>
    <row r="4303" spans="19:19" ht="26.25">
      <c r="S4303" s="61" ph="1"/>
    </row>
    <row r="4304" spans="19:19" ht="26.25">
      <c r="S4304" s="61" ph="1"/>
    </row>
    <row r="4305" spans="19:19" ht="26.25">
      <c r="S4305" s="61" ph="1"/>
    </row>
    <row r="4306" spans="19:19" ht="26.25">
      <c r="S4306" s="61" ph="1"/>
    </row>
    <row r="4307" spans="19:19" ht="26.25">
      <c r="S4307" s="61" ph="1"/>
    </row>
    <row r="4308" spans="19:19" ht="26.25">
      <c r="S4308" s="61" ph="1"/>
    </row>
    <row r="4309" spans="19:19" ht="26.25">
      <c r="S4309" s="61" ph="1"/>
    </row>
    <row r="4310" spans="19:19" ht="26.25">
      <c r="S4310" s="61" ph="1"/>
    </row>
    <row r="4311" spans="19:19" ht="26.25">
      <c r="S4311" s="61" ph="1"/>
    </row>
    <row r="4312" spans="19:19" ht="26.25">
      <c r="S4312" s="61" ph="1"/>
    </row>
    <row r="4313" spans="19:19" ht="26.25">
      <c r="S4313" s="61" ph="1"/>
    </row>
    <row r="4314" spans="19:19" ht="26.25">
      <c r="S4314" s="61" ph="1"/>
    </row>
    <row r="4315" spans="19:19" ht="26.25">
      <c r="S4315" s="61" ph="1"/>
    </row>
    <row r="4316" spans="19:19" ht="26.25">
      <c r="S4316" s="61" ph="1"/>
    </row>
    <row r="4317" spans="19:19" ht="26.25">
      <c r="S4317" s="61" ph="1"/>
    </row>
    <row r="4318" spans="19:19" ht="26.25">
      <c r="S4318" s="61" ph="1"/>
    </row>
    <row r="4319" spans="19:19" ht="26.25">
      <c r="S4319" s="61" ph="1"/>
    </row>
    <row r="4320" spans="19:19" ht="26.25">
      <c r="S4320" s="61" ph="1"/>
    </row>
    <row r="4321" spans="19:19" ht="26.25">
      <c r="S4321" s="61" ph="1"/>
    </row>
    <row r="4322" spans="19:19" ht="26.25">
      <c r="S4322" s="61" ph="1"/>
    </row>
    <row r="4323" spans="19:19" ht="26.25">
      <c r="S4323" s="61" ph="1"/>
    </row>
    <row r="4324" spans="19:19" ht="26.25">
      <c r="S4324" s="61" ph="1"/>
    </row>
    <row r="4325" spans="19:19" ht="26.25">
      <c r="S4325" s="61" ph="1"/>
    </row>
    <row r="4326" spans="19:19" ht="26.25">
      <c r="S4326" s="61" ph="1"/>
    </row>
    <row r="4327" spans="19:19" ht="26.25">
      <c r="S4327" s="61" ph="1"/>
    </row>
    <row r="4328" spans="19:19" ht="26.25">
      <c r="S4328" s="61" ph="1"/>
    </row>
    <row r="4329" spans="19:19" ht="26.25">
      <c r="S4329" s="61" ph="1"/>
    </row>
    <row r="4330" spans="19:19" ht="26.25">
      <c r="S4330" s="61" ph="1"/>
    </row>
    <row r="4331" spans="19:19" ht="26.25">
      <c r="S4331" s="61" ph="1"/>
    </row>
    <row r="4332" spans="19:19" ht="26.25">
      <c r="S4332" s="61" ph="1"/>
    </row>
    <row r="4333" spans="19:19" ht="26.25">
      <c r="S4333" s="61" ph="1"/>
    </row>
    <row r="4334" spans="19:19" ht="26.25">
      <c r="S4334" s="61" ph="1"/>
    </row>
    <row r="4335" spans="19:19" ht="26.25">
      <c r="S4335" s="61" ph="1"/>
    </row>
    <row r="4336" spans="19:19" ht="26.25">
      <c r="S4336" s="61" ph="1"/>
    </row>
    <row r="4337" spans="19:19" ht="26.25">
      <c r="S4337" s="61" ph="1"/>
    </row>
    <row r="4338" spans="19:19" ht="26.25">
      <c r="S4338" s="61" ph="1"/>
    </row>
    <row r="4339" spans="19:19" ht="26.25">
      <c r="S4339" s="61" ph="1"/>
    </row>
    <row r="4340" spans="19:19" ht="26.25">
      <c r="S4340" s="61" ph="1"/>
    </row>
    <row r="4341" spans="19:19" ht="26.25">
      <c r="S4341" s="61" ph="1"/>
    </row>
    <row r="4342" spans="19:19" ht="26.25">
      <c r="S4342" s="61" ph="1"/>
    </row>
    <row r="4343" spans="19:19" ht="26.25">
      <c r="S4343" s="61" ph="1"/>
    </row>
    <row r="4344" spans="19:19" ht="26.25">
      <c r="S4344" s="61" ph="1"/>
    </row>
    <row r="4345" spans="19:19" ht="26.25">
      <c r="S4345" s="61" ph="1"/>
    </row>
    <row r="4346" spans="19:19" ht="26.25">
      <c r="S4346" s="61" ph="1"/>
    </row>
    <row r="4347" spans="19:19" ht="26.25">
      <c r="S4347" s="61" ph="1"/>
    </row>
    <row r="4348" spans="19:19" ht="26.25">
      <c r="S4348" s="61" ph="1"/>
    </row>
    <row r="4349" spans="19:19" ht="26.25">
      <c r="S4349" s="61" ph="1"/>
    </row>
    <row r="4350" spans="19:19" ht="26.25">
      <c r="S4350" s="61" ph="1"/>
    </row>
    <row r="4351" spans="19:19" ht="26.25">
      <c r="S4351" s="61" ph="1"/>
    </row>
    <row r="4352" spans="19:19" ht="26.25">
      <c r="S4352" s="61" ph="1"/>
    </row>
    <row r="4353" spans="19:19" ht="26.25">
      <c r="S4353" s="61" ph="1"/>
    </row>
    <row r="4354" spans="19:19" ht="26.25">
      <c r="S4354" s="61" ph="1"/>
    </row>
    <row r="4355" spans="19:19" ht="26.25">
      <c r="S4355" s="61" ph="1"/>
    </row>
    <row r="4356" spans="19:19" ht="26.25">
      <c r="S4356" s="61" ph="1"/>
    </row>
    <row r="4357" spans="19:19" ht="26.25">
      <c r="S4357" s="61" ph="1"/>
    </row>
    <row r="4358" spans="19:19" ht="26.25">
      <c r="S4358" s="61" ph="1"/>
    </row>
    <row r="4359" spans="19:19" ht="26.25">
      <c r="S4359" s="61" ph="1"/>
    </row>
    <row r="4360" spans="19:19" ht="26.25">
      <c r="S4360" s="61" ph="1"/>
    </row>
    <row r="4361" spans="19:19" ht="26.25">
      <c r="S4361" s="61" ph="1"/>
    </row>
    <row r="4362" spans="19:19" ht="26.25">
      <c r="S4362" s="61" ph="1"/>
    </row>
    <row r="4363" spans="19:19" ht="26.25">
      <c r="S4363" s="61" ph="1"/>
    </row>
    <row r="4364" spans="19:19" ht="26.25">
      <c r="S4364" s="61" ph="1"/>
    </row>
    <row r="4365" spans="19:19" ht="26.25">
      <c r="S4365" s="61" ph="1"/>
    </row>
    <row r="4366" spans="19:19" ht="26.25">
      <c r="S4366" s="61" ph="1"/>
    </row>
    <row r="4367" spans="19:19" ht="26.25">
      <c r="S4367" s="61" ph="1"/>
    </row>
    <row r="4368" spans="19:19" ht="26.25">
      <c r="S4368" s="61" ph="1"/>
    </row>
    <row r="4369" spans="19:19" ht="26.25">
      <c r="S4369" s="61" ph="1"/>
    </row>
    <row r="4370" spans="19:19" ht="26.25">
      <c r="S4370" s="61" ph="1"/>
    </row>
    <row r="4371" spans="19:19" ht="26.25">
      <c r="S4371" s="61" ph="1"/>
    </row>
    <row r="4372" spans="19:19" ht="26.25">
      <c r="S4372" s="61" ph="1"/>
    </row>
    <row r="4373" spans="19:19" ht="26.25">
      <c r="S4373" s="61" ph="1"/>
    </row>
    <row r="4374" spans="19:19" ht="26.25">
      <c r="S4374" s="61" ph="1"/>
    </row>
    <row r="4375" spans="19:19" ht="26.25">
      <c r="S4375" s="61" ph="1"/>
    </row>
    <row r="4376" spans="19:19" ht="26.25">
      <c r="S4376" s="61" ph="1"/>
    </row>
    <row r="4377" spans="19:19" ht="26.25">
      <c r="S4377" s="61" ph="1"/>
    </row>
    <row r="4378" spans="19:19" ht="26.25">
      <c r="S4378" s="61" ph="1"/>
    </row>
    <row r="4379" spans="19:19" ht="26.25">
      <c r="S4379" s="61" ph="1"/>
    </row>
    <row r="4380" spans="19:19" ht="26.25">
      <c r="S4380" s="61" ph="1"/>
    </row>
    <row r="4381" spans="19:19" ht="26.25">
      <c r="S4381" s="61" ph="1"/>
    </row>
    <row r="4382" spans="19:19" ht="26.25">
      <c r="S4382" s="61" ph="1"/>
    </row>
    <row r="4383" spans="19:19" ht="26.25">
      <c r="S4383" s="61" ph="1"/>
    </row>
    <row r="4384" spans="19:19" ht="26.25">
      <c r="S4384" s="61" ph="1"/>
    </row>
    <row r="4385" spans="19:19" ht="26.25">
      <c r="S4385" s="61" ph="1"/>
    </row>
    <row r="4386" spans="19:19" ht="26.25">
      <c r="S4386" s="61" ph="1"/>
    </row>
    <row r="4387" spans="19:19" ht="26.25">
      <c r="S4387" s="61" ph="1"/>
    </row>
    <row r="4388" spans="19:19" ht="26.25">
      <c r="S4388" s="61" ph="1"/>
    </row>
    <row r="4389" spans="19:19" ht="26.25">
      <c r="S4389" s="61" ph="1"/>
    </row>
    <row r="4390" spans="19:19" ht="26.25">
      <c r="S4390" s="61" ph="1"/>
    </row>
    <row r="4391" spans="19:19" ht="26.25">
      <c r="S4391" s="61" ph="1"/>
    </row>
    <row r="4392" spans="19:19" ht="26.25">
      <c r="S4392" s="61" ph="1"/>
    </row>
    <row r="4393" spans="19:19" ht="26.25">
      <c r="S4393" s="61" ph="1"/>
    </row>
    <row r="4394" spans="19:19" ht="26.25">
      <c r="S4394" s="61" ph="1"/>
    </row>
    <row r="4395" spans="19:19" ht="26.25">
      <c r="S4395" s="61" ph="1"/>
    </row>
    <row r="4396" spans="19:19" ht="26.25">
      <c r="S4396" s="61" ph="1"/>
    </row>
    <row r="4397" spans="19:19" ht="26.25">
      <c r="S4397" s="61" ph="1"/>
    </row>
    <row r="4398" spans="19:19" ht="26.25">
      <c r="S4398" s="61" ph="1"/>
    </row>
    <row r="4399" spans="19:19" ht="26.25">
      <c r="S4399" s="61" ph="1"/>
    </row>
    <row r="4400" spans="19:19" ht="26.25">
      <c r="S4400" s="61" ph="1"/>
    </row>
    <row r="4401" spans="19:19" ht="26.25">
      <c r="S4401" s="61" ph="1"/>
    </row>
    <row r="4402" spans="19:19" ht="26.25">
      <c r="S4402" s="61" ph="1"/>
    </row>
    <row r="4403" spans="19:19" ht="26.25">
      <c r="S4403" s="61" ph="1"/>
    </row>
    <row r="4404" spans="19:19" ht="26.25">
      <c r="S4404" s="61" ph="1"/>
    </row>
    <row r="4405" spans="19:19" ht="26.25">
      <c r="S4405" s="61" ph="1"/>
    </row>
    <row r="4406" spans="19:19" ht="26.25">
      <c r="S4406" s="61" ph="1"/>
    </row>
    <row r="4407" spans="19:19" ht="26.25">
      <c r="S4407" s="61" ph="1"/>
    </row>
    <row r="4408" spans="19:19" ht="26.25">
      <c r="S4408" s="61" ph="1"/>
    </row>
    <row r="4409" spans="19:19" ht="26.25">
      <c r="S4409" s="61" ph="1"/>
    </row>
    <row r="4410" spans="19:19" ht="26.25">
      <c r="S4410" s="61" ph="1"/>
    </row>
    <row r="4411" spans="19:19" ht="26.25">
      <c r="S4411" s="61" ph="1"/>
    </row>
    <row r="4412" spans="19:19" ht="26.25">
      <c r="S4412" s="61" ph="1"/>
    </row>
    <row r="4413" spans="19:19" ht="26.25">
      <c r="S4413" s="61" ph="1"/>
    </row>
    <row r="4414" spans="19:19" ht="26.25">
      <c r="S4414" s="61" ph="1"/>
    </row>
    <row r="4415" spans="19:19" ht="26.25">
      <c r="S4415" s="61" ph="1"/>
    </row>
    <row r="4416" spans="19:19" ht="26.25">
      <c r="S4416" s="61" ph="1"/>
    </row>
    <row r="4417" spans="19:19" ht="26.25">
      <c r="S4417" s="61" ph="1"/>
    </row>
    <row r="4418" spans="19:19" ht="26.25">
      <c r="S4418" s="61" ph="1"/>
    </row>
    <row r="4419" spans="19:19" ht="26.25">
      <c r="S4419" s="61" ph="1"/>
    </row>
    <row r="4420" spans="19:19" ht="26.25">
      <c r="S4420" s="61" ph="1"/>
    </row>
    <row r="4421" spans="19:19" ht="26.25">
      <c r="S4421" s="61" ph="1"/>
    </row>
    <row r="4422" spans="19:19" ht="26.25">
      <c r="S4422" s="61" ph="1"/>
    </row>
    <row r="4423" spans="19:19" ht="26.25">
      <c r="S4423" s="61" ph="1"/>
    </row>
    <row r="4424" spans="19:19" ht="26.25">
      <c r="S4424" s="61" ph="1"/>
    </row>
    <row r="4425" spans="19:19" ht="26.25">
      <c r="S4425" s="61" ph="1"/>
    </row>
    <row r="4426" spans="19:19" ht="26.25">
      <c r="S4426" s="61" ph="1"/>
    </row>
    <row r="4427" spans="19:19" ht="26.25">
      <c r="S4427" s="61" ph="1"/>
    </row>
    <row r="4428" spans="19:19" ht="26.25">
      <c r="S4428" s="61" ph="1"/>
    </row>
    <row r="4429" spans="19:19" ht="26.25">
      <c r="S4429" s="61" ph="1"/>
    </row>
    <row r="4430" spans="19:19" ht="26.25">
      <c r="S4430" s="61" ph="1"/>
    </row>
    <row r="4431" spans="19:19" ht="26.25">
      <c r="S4431" s="61" ph="1"/>
    </row>
    <row r="4432" spans="19:19" ht="26.25">
      <c r="S4432" s="61" ph="1"/>
    </row>
    <row r="4433" spans="19:19" ht="26.25">
      <c r="S4433" s="61" ph="1"/>
    </row>
    <row r="4434" spans="19:19" ht="26.25">
      <c r="S4434" s="61" ph="1"/>
    </row>
    <row r="4435" spans="19:19" ht="26.25">
      <c r="S4435" s="61" ph="1"/>
    </row>
    <row r="4436" spans="19:19" ht="26.25">
      <c r="S4436" s="61" ph="1"/>
    </row>
    <row r="4437" spans="19:19" ht="26.25">
      <c r="S4437" s="61" ph="1"/>
    </row>
    <row r="4438" spans="19:19" ht="26.25">
      <c r="S4438" s="61" ph="1"/>
    </row>
    <row r="4439" spans="19:19" ht="26.25">
      <c r="S4439" s="61" ph="1"/>
    </row>
    <row r="4440" spans="19:19" ht="26.25">
      <c r="S4440" s="61" ph="1"/>
    </row>
    <row r="4441" spans="19:19" ht="26.25">
      <c r="S4441" s="61" ph="1"/>
    </row>
    <row r="4442" spans="19:19" ht="26.25">
      <c r="S4442" s="61" ph="1"/>
    </row>
    <row r="4443" spans="19:19" ht="26.25">
      <c r="S4443" s="61" ph="1"/>
    </row>
    <row r="4444" spans="19:19" ht="26.25">
      <c r="S4444" s="61" ph="1"/>
    </row>
    <row r="4445" spans="19:19" ht="26.25">
      <c r="S4445" s="61" ph="1"/>
    </row>
    <row r="4446" spans="19:19" ht="26.25">
      <c r="S4446" s="61" ph="1"/>
    </row>
    <row r="4447" spans="19:19" ht="26.25">
      <c r="S4447" s="61" ph="1"/>
    </row>
    <row r="4448" spans="19:19" ht="26.25">
      <c r="S4448" s="61" ph="1"/>
    </row>
    <row r="4449" spans="19:19" ht="26.25">
      <c r="S4449" s="61" ph="1"/>
    </row>
    <row r="4450" spans="19:19" ht="26.25">
      <c r="S4450" s="61" ph="1"/>
    </row>
    <row r="4451" spans="19:19" ht="26.25">
      <c r="S4451" s="61" ph="1"/>
    </row>
    <row r="4452" spans="19:19" ht="26.25">
      <c r="S4452" s="61" ph="1"/>
    </row>
    <row r="4453" spans="19:19" ht="26.25">
      <c r="S4453" s="61" ph="1"/>
    </row>
    <row r="4454" spans="19:19" ht="26.25">
      <c r="S4454" s="61" ph="1"/>
    </row>
    <row r="4455" spans="19:19" ht="26.25">
      <c r="S4455" s="61" ph="1"/>
    </row>
    <row r="4456" spans="19:19" ht="26.25">
      <c r="S4456" s="61" ph="1"/>
    </row>
    <row r="4457" spans="19:19" ht="26.25">
      <c r="S4457" s="61" ph="1"/>
    </row>
    <row r="4458" spans="19:19" ht="26.25">
      <c r="S4458" s="61" ph="1"/>
    </row>
    <row r="4459" spans="19:19" ht="26.25">
      <c r="S4459" s="61" ph="1"/>
    </row>
    <row r="4460" spans="19:19" ht="26.25">
      <c r="S4460" s="61" ph="1"/>
    </row>
    <row r="4461" spans="19:19" ht="26.25">
      <c r="S4461" s="61" ph="1"/>
    </row>
    <row r="4462" spans="19:19" ht="26.25">
      <c r="S4462" s="61" ph="1"/>
    </row>
    <row r="4463" spans="19:19" ht="26.25">
      <c r="S4463" s="61" ph="1"/>
    </row>
    <row r="4464" spans="19:19" ht="26.25">
      <c r="S4464" s="61" ph="1"/>
    </row>
    <row r="4465" spans="19:19" ht="26.25">
      <c r="S4465" s="61" ph="1"/>
    </row>
    <row r="4466" spans="19:19" ht="26.25">
      <c r="S4466" s="61" ph="1"/>
    </row>
    <row r="4467" spans="19:19" ht="26.25">
      <c r="S4467" s="61" ph="1"/>
    </row>
    <row r="4468" spans="19:19" ht="26.25">
      <c r="S4468" s="61" ph="1"/>
    </row>
    <row r="4469" spans="19:19" ht="26.25">
      <c r="S4469" s="61" ph="1"/>
    </row>
    <row r="4470" spans="19:19" ht="26.25">
      <c r="S4470" s="61" ph="1"/>
    </row>
    <row r="4471" spans="19:19" ht="26.25">
      <c r="S4471" s="61" ph="1"/>
    </row>
    <row r="4472" spans="19:19" ht="26.25">
      <c r="S4472" s="61" ph="1"/>
    </row>
    <row r="4473" spans="19:19" ht="26.25">
      <c r="S4473" s="61" ph="1"/>
    </row>
    <row r="4474" spans="19:19" ht="26.25">
      <c r="S4474" s="61" ph="1"/>
    </row>
    <row r="4475" spans="19:19" ht="26.25">
      <c r="S4475" s="61" ph="1"/>
    </row>
    <row r="4476" spans="19:19" ht="26.25">
      <c r="S4476" s="61" ph="1"/>
    </row>
    <row r="4477" spans="19:19" ht="26.25">
      <c r="S4477" s="61" ph="1"/>
    </row>
    <row r="4478" spans="19:19" ht="26.25">
      <c r="S4478" s="61" ph="1"/>
    </row>
    <row r="4479" spans="19:19" ht="26.25">
      <c r="S4479" s="61" ph="1"/>
    </row>
    <row r="4480" spans="19:19" ht="26.25">
      <c r="S4480" s="61" ph="1"/>
    </row>
    <row r="4481" spans="19:19" ht="26.25">
      <c r="S4481" s="61" ph="1"/>
    </row>
    <row r="4482" spans="19:19" ht="26.25">
      <c r="S4482" s="61" ph="1"/>
    </row>
    <row r="4483" spans="19:19" ht="26.25">
      <c r="S4483" s="61" ph="1"/>
    </row>
    <row r="4484" spans="19:19" ht="26.25">
      <c r="S4484" s="61" ph="1"/>
    </row>
    <row r="4485" spans="19:19" ht="26.25">
      <c r="S4485" s="61" ph="1"/>
    </row>
    <row r="4486" spans="19:19" ht="26.25">
      <c r="S4486" s="61" ph="1"/>
    </row>
    <row r="4487" spans="19:19" ht="26.25">
      <c r="S4487" s="61" ph="1"/>
    </row>
    <row r="4488" spans="19:19" ht="26.25">
      <c r="S4488" s="61" ph="1"/>
    </row>
    <row r="4489" spans="19:19" ht="26.25">
      <c r="S4489" s="61" ph="1"/>
    </row>
    <row r="4490" spans="19:19" ht="26.25">
      <c r="S4490" s="61" ph="1"/>
    </row>
    <row r="4491" spans="19:19" ht="26.25">
      <c r="S4491" s="61" ph="1"/>
    </row>
    <row r="4492" spans="19:19" ht="26.25">
      <c r="S4492" s="61" ph="1"/>
    </row>
    <row r="4493" spans="19:19" ht="26.25">
      <c r="S4493" s="61" ph="1"/>
    </row>
    <row r="4494" spans="19:19" ht="26.25">
      <c r="S4494" s="61" ph="1"/>
    </row>
    <row r="4495" spans="19:19" ht="26.25">
      <c r="S4495" s="61" ph="1"/>
    </row>
    <row r="4496" spans="19:19" ht="26.25">
      <c r="S4496" s="61" ph="1"/>
    </row>
    <row r="4497" spans="19:19" ht="26.25">
      <c r="S4497" s="61" ph="1"/>
    </row>
    <row r="4498" spans="19:19" ht="26.25">
      <c r="S4498" s="61" ph="1"/>
    </row>
    <row r="4499" spans="19:19" ht="26.25">
      <c r="S4499" s="61" ph="1"/>
    </row>
    <row r="4500" spans="19:19" ht="26.25">
      <c r="S4500" s="61" ph="1"/>
    </row>
    <row r="4501" spans="19:19" ht="26.25">
      <c r="S4501" s="61" ph="1"/>
    </row>
    <row r="4502" spans="19:19" ht="26.25">
      <c r="S4502" s="61" ph="1"/>
    </row>
    <row r="4503" spans="19:19" ht="26.25">
      <c r="S4503" s="61" ph="1"/>
    </row>
    <row r="4504" spans="19:19" ht="26.25">
      <c r="S4504" s="61" ph="1"/>
    </row>
    <row r="4505" spans="19:19" ht="26.25">
      <c r="S4505" s="61" ph="1"/>
    </row>
    <row r="4506" spans="19:19" ht="26.25">
      <c r="S4506" s="61" ph="1"/>
    </row>
    <row r="4507" spans="19:19" ht="26.25">
      <c r="S4507" s="61" ph="1"/>
    </row>
    <row r="4508" spans="19:19" ht="26.25">
      <c r="S4508" s="61" ph="1"/>
    </row>
    <row r="4509" spans="19:19" ht="26.25">
      <c r="S4509" s="61" ph="1"/>
    </row>
    <row r="4510" spans="19:19" ht="26.25">
      <c r="S4510" s="61" ph="1"/>
    </row>
    <row r="4511" spans="19:19" ht="26.25">
      <c r="S4511" s="61" ph="1"/>
    </row>
    <row r="4512" spans="19:19" ht="26.25">
      <c r="S4512" s="61" ph="1"/>
    </row>
    <row r="4513" spans="19:19" ht="26.25">
      <c r="S4513" s="61" ph="1"/>
    </row>
    <row r="4514" spans="19:19" ht="26.25">
      <c r="S4514" s="61" ph="1"/>
    </row>
    <row r="4515" spans="19:19" ht="26.25">
      <c r="S4515" s="61" ph="1"/>
    </row>
    <row r="4516" spans="19:19" ht="26.25">
      <c r="S4516" s="61" ph="1"/>
    </row>
    <row r="4517" spans="19:19" ht="26.25">
      <c r="S4517" s="61" ph="1"/>
    </row>
    <row r="4518" spans="19:19" ht="26.25">
      <c r="S4518" s="61" ph="1"/>
    </row>
    <row r="4519" spans="19:19" ht="26.25">
      <c r="S4519" s="61" ph="1"/>
    </row>
    <row r="4520" spans="19:19" ht="26.25">
      <c r="S4520" s="61" ph="1"/>
    </row>
    <row r="4521" spans="19:19" ht="26.25">
      <c r="S4521" s="61" ph="1"/>
    </row>
    <row r="4522" spans="19:19" ht="26.25">
      <c r="S4522" s="61" ph="1"/>
    </row>
    <row r="4523" spans="19:19" ht="26.25">
      <c r="S4523" s="61" ph="1"/>
    </row>
    <row r="4524" spans="19:19" ht="26.25">
      <c r="S4524" s="61" ph="1"/>
    </row>
    <row r="4525" spans="19:19" ht="26.25">
      <c r="S4525" s="61" ph="1"/>
    </row>
    <row r="4526" spans="19:19" ht="26.25">
      <c r="S4526" s="61" ph="1"/>
    </row>
    <row r="4527" spans="19:19" ht="26.25">
      <c r="S4527" s="61" ph="1"/>
    </row>
    <row r="4528" spans="19:19" ht="26.25">
      <c r="S4528" s="61" ph="1"/>
    </row>
    <row r="4529" spans="19:19" ht="26.25">
      <c r="S4529" s="61" ph="1"/>
    </row>
    <row r="4530" spans="19:19" ht="26.25">
      <c r="S4530" s="61" ph="1"/>
    </row>
    <row r="4531" spans="19:19" ht="26.25">
      <c r="S4531" s="61" ph="1"/>
    </row>
    <row r="4532" spans="19:19" ht="26.25">
      <c r="S4532" s="61" ph="1"/>
    </row>
    <row r="4533" spans="19:19" ht="26.25">
      <c r="S4533" s="61" ph="1"/>
    </row>
    <row r="4534" spans="19:19" ht="26.25">
      <c r="S4534" s="61" ph="1"/>
    </row>
    <row r="4535" spans="19:19" ht="26.25">
      <c r="S4535" s="61" ph="1"/>
    </row>
    <row r="4536" spans="19:19" ht="26.25">
      <c r="S4536" s="61" ph="1"/>
    </row>
    <row r="4537" spans="19:19" ht="26.25">
      <c r="S4537" s="61" ph="1"/>
    </row>
    <row r="4538" spans="19:19" ht="26.25">
      <c r="S4538" s="61" ph="1"/>
    </row>
    <row r="4539" spans="19:19" ht="26.25">
      <c r="S4539" s="61" ph="1"/>
    </row>
    <row r="4540" spans="19:19" ht="26.25">
      <c r="S4540" s="61" ph="1"/>
    </row>
    <row r="4541" spans="19:19" ht="26.25">
      <c r="S4541" s="61" ph="1"/>
    </row>
    <row r="4542" spans="19:19" ht="26.25">
      <c r="S4542" s="61" ph="1"/>
    </row>
    <row r="4543" spans="19:19" ht="26.25">
      <c r="S4543" s="61" ph="1"/>
    </row>
    <row r="4544" spans="19:19" ht="26.25">
      <c r="S4544" s="61" ph="1"/>
    </row>
    <row r="4545" spans="19:19" ht="26.25">
      <c r="S4545" s="61" ph="1"/>
    </row>
    <row r="4546" spans="19:19" ht="26.25">
      <c r="S4546" s="61" ph="1"/>
    </row>
    <row r="4547" spans="19:19" ht="26.25">
      <c r="S4547" s="61" ph="1"/>
    </row>
    <row r="4548" spans="19:19" ht="26.25">
      <c r="S4548" s="61" ph="1"/>
    </row>
    <row r="4549" spans="19:19" ht="26.25">
      <c r="S4549" s="61" ph="1"/>
    </row>
    <row r="4550" spans="19:19" ht="26.25">
      <c r="S4550" s="61" ph="1"/>
    </row>
    <row r="4551" spans="19:19" ht="26.25">
      <c r="S4551" s="61" ph="1"/>
    </row>
    <row r="4552" spans="19:19" ht="26.25">
      <c r="S4552" s="61" ph="1"/>
    </row>
    <row r="4553" spans="19:19" ht="26.25">
      <c r="S4553" s="61" ph="1"/>
    </row>
    <row r="4554" spans="19:19" ht="26.25">
      <c r="S4554" s="61" ph="1"/>
    </row>
    <row r="4555" spans="19:19" ht="26.25">
      <c r="S4555" s="61" ph="1"/>
    </row>
    <row r="4556" spans="19:19" ht="26.25">
      <c r="S4556" s="61" ph="1"/>
    </row>
    <row r="4557" spans="19:19" ht="26.25">
      <c r="S4557" s="61" ph="1"/>
    </row>
    <row r="4558" spans="19:19" ht="26.25">
      <c r="S4558" s="61" ph="1"/>
    </row>
    <row r="4559" spans="19:19" ht="26.25">
      <c r="S4559" s="61" ph="1"/>
    </row>
    <row r="4560" spans="19:19" ht="26.25">
      <c r="S4560" s="61" ph="1"/>
    </row>
    <row r="4561" spans="19:19" ht="26.25">
      <c r="S4561" s="61" ph="1"/>
    </row>
    <row r="4562" spans="19:19" ht="26.25">
      <c r="S4562" s="61" ph="1"/>
    </row>
    <row r="4563" spans="19:19" ht="26.25">
      <c r="S4563" s="61" ph="1"/>
    </row>
    <row r="4564" spans="19:19" ht="26.25">
      <c r="S4564" s="61" ph="1"/>
    </row>
    <row r="4565" spans="19:19" ht="26.25">
      <c r="S4565" s="61" ph="1"/>
    </row>
    <row r="4566" spans="19:19" ht="26.25">
      <c r="S4566" s="61" ph="1"/>
    </row>
    <row r="4567" spans="19:19" ht="26.25">
      <c r="S4567" s="61" ph="1"/>
    </row>
    <row r="4568" spans="19:19" ht="26.25">
      <c r="S4568" s="61" ph="1"/>
    </row>
    <row r="4569" spans="19:19" ht="26.25">
      <c r="S4569" s="61" ph="1"/>
    </row>
    <row r="4570" spans="19:19" ht="26.25">
      <c r="S4570" s="61" ph="1"/>
    </row>
    <row r="4571" spans="19:19" ht="26.25">
      <c r="S4571" s="61" ph="1"/>
    </row>
    <row r="4572" spans="19:19" ht="26.25">
      <c r="S4572" s="61" ph="1"/>
    </row>
    <row r="4573" spans="19:19" ht="26.25">
      <c r="S4573" s="61" ph="1"/>
    </row>
    <row r="4574" spans="19:19" ht="26.25">
      <c r="S4574" s="61" ph="1"/>
    </row>
    <row r="4575" spans="19:19" ht="26.25">
      <c r="S4575" s="61" ph="1"/>
    </row>
    <row r="4576" spans="19:19" ht="26.25">
      <c r="S4576" s="61" ph="1"/>
    </row>
    <row r="4577" spans="19:19" ht="26.25">
      <c r="S4577" s="61" ph="1"/>
    </row>
    <row r="4578" spans="19:19" ht="26.25">
      <c r="S4578" s="61" ph="1"/>
    </row>
    <row r="4579" spans="19:19" ht="26.25">
      <c r="S4579" s="61" ph="1"/>
    </row>
    <row r="4580" spans="19:19" ht="26.25">
      <c r="S4580" s="61" ph="1"/>
    </row>
    <row r="4581" spans="19:19" ht="26.25">
      <c r="S4581" s="61" ph="1"/>
    </row>
    <row r="4582" spans="19:19" ht="26.25">
      <c r="S4582" s="61" ph="1"/>
    </row>
    <row r="4583" spans="19:19" ht="26.25">
      <c r="S4583" s="61" ph="1"/>
    </row>
    <row r="4584" spans="19:19" ht="26.25">
      <c r="S4584" s="61" ph="1"/>
    </row>
    <row r="4585" spans="19:19" ht="26.25">
      <c r="S4585" s="61" ph="1"/>
    </row>
    <row r="4586" spans="19:19" ht="26.25">
      <c r="S4586" s="61" ph="1"/>
    </row>
    <row r="4587" spans="19:19" ht="26.25">
      <c r="S4587" s="61" ph="1"/>
    </row>
    <row r="4588" spans="19:19" ht="26.25">
      <c r="S4588" s="61" ph="1"/>
    </row>
    <row r="4589" spans="19:19" ht="26.25">
      <c r="S4589" s="61" ph="1"/>
    </row>
    <row r="4590" spans="19:19" ht="26.25">
      <c r="S4590" s="61" ph="1"/>
    </row>
    <row r="4591" spans="19:19" ht="26.25">
      <c r="S4591" s="61" ph="1"/>
    </row>
    <row r="4592" spans="19:19" ht="26.25">
      <c r="S4592" s="61" ph="1"/>
    </row>
    <row r="4593" spans="19:19" ht="26.25">
      <c r="S4593" s="61" ph="1"/>
    </row>
    <row r="4594" spans="19:19" ht="26.25">
      <c r="S4594" s="61" ph="1"/>
    </row>
    <row r="4595" spans="19:19" ht="26.25">
      <c r="S4595" s="61" ph="1"/>
    </row>
    <row r="4596" spans="19:19" ht="26.25">
      <c r="S4596" s="61" ph="1"/>
    </row>
    <row r="4597" spans="19:19" ht="26.25">
      <c r="S4597" s="61" ph="1"/>
    </row>
    <row r="4598" spans="19:19" ht="26.25">
      <c r="S4598" s="61" ph="1"/>
    </row>
    <row r="4599" spans="19:19" ht="26.25">
      <c r="S4599" s="61" ph="1"/>
    </row>
    <row r="4600" spans="19:19" ht="26.25">
      <c r="S4600" s="61" ph="1"/>
    </row>
    <row r="4601" spans="19:19" ht="26.25">
      <c r="S4601" s="61" ph="1"/>
    </row>
    <row r="4602" spans="19:19" ht="26.25">
      <c r="S4602" s="61" ph="1"/>
    </row>
    <row r="4603" spans="19:19" ht="26.25">
      <c r="S4603" s="61" ph="1"/>
    </row>
    <row r="4604" spans="19:19" ht="26.25">
      <c r="S4604" s="61" ph="1"/>
    </row>
    <row r="4605" spans="19:19" ht="26.25">
      <c r="S4605" s="61" ph="1"/>
    </row>
    <row r="4606" spans="19:19" ht="26.25">
      <c r="S4606" s="61" ph="1"/>
    </row>
    <row r="4607" spans="19:19" ht="26.25">
      <c r="S4607" s="61" ph="1"/>
    </row>
    <row r="4608" spans="19:19" ht="26.25">
      <c r="S4608" s="61" ph="1"/>
    </row>
    <row r="4609" spans="19:19" ht="26.25">
      <c r="S4609" s="61" ph="1"/>
    </row>
    <row r="4610" spans="19:19" ht="26.25">
      <c r="S4610" s="61" ph="1"/>
    </row>
    <row r="4611" spans="19:19" ht="26.25">
      <c r="S4611" s="61" ph="1"/>
    </row>
    <row r="4612" spans="19:19" ht="26.25">
      <c r="S4612" s="61" ph="1"/>
    </row>
    <row r="4613" spans="19:19" ht="26.25">
      <c r="S4613" s="61" ph="1"/>
    </row>
    <row r="4614" spans="19:19" ht="26.25">
      <c r="S4614" s="61" ph="1"/>
    </row>
    <row r="4615" spans="19:19" ht="26.25">
      <c r="S4615" s="61" ph="1"/>
    </row>
    <row r="4616" spans="19:19" ht="26.25">
      <c r="S4616" s="61" ph="1"/>
    </row>
    <row r="4617" spans="19:19" ht="26.25">
      <c r="S4617" s="61" ph="1"/>
    </row>
    <row r="4618" spans="19:19" ht="26.25">
      <c r="S4618" s="61" ph="1"/>
    </row>
    <row r="4619" spans="19:19" ht="26.25">
      <c r="S4619" s="61" ph="1"/>
    </row>
    <row r="4620" spans="19:19" ht="26.25">
      <c r="S4620" s="61" ph="1"/>
    </row>
    <row r="4621" spans="19:19" ht="26.25">
      <c r="S4621" s="61" ph="1"/>
    </row>
    <row r="4622" spans="19:19" ht="26.25">
      <c r="S4622" s="61" ph="1"/>
    </row>
    <row r="4623" spans="19:19" ht="26.25">
      <c r="S4623" s="61" ph="1"/>
    </row>
    <row r="4624" spans="19:19" ht="26.25">
      <c r="S4624" s="61" ph="1"/>
    </row>
    <row r="4625" spans="19:19" ht="26.25">
      <c r="S4625" s="61" ph="1"/>
    </row>
    <row r="4626" spans="19:19" ht="26.25">
      <c r="S4626" s="61" ph="1"/>
    </row>
    <row r="4627" spans="19:19" ht="26.25">
      <c r="S4627" s="61" ph="1"/>
    </row>
    <row r="4628" spans="19:19" ht="26.25">
      <c r="S4628" s="61" ph="1"/>
    </row>
    <row r="4629" spans="19:19" ht="26.25">
      <c r="S4629" s="61" ph="1"/>
    </row>
    <row r="4630" spans="19:19" ht="26.25">
      <c r="S4630" s="61" ph="1"/>
    </row>
    <row r="4631" spans="19:19" ht="26.25">
      <c r="S4631" s="61" ph="1"/>
    </row>
    <row r="4632" spans="19:19" ht="26.25">
      <c r="S4632" s="61" ph="1"/>
    </row>
    <row r="4633" spans="19:19" ht="26.25">
      <c r="S4633" s="61" ph="1"/>
    </row>
    <row r="4634" spans="19:19" ht="26.25">
      <c r="S4634" s="61" ph="1"/>
    </row>
    <row r="4635" spans="19:19" ht="26.25">
      <c r="S4635" s="61" ph="1"/>
    </row>
    <row r="4636" spans="19:19" ht="26.25">
      <c r="S4636" s="61" ph="1"/>
    </row>
    <row r="4637" spans="19:19" ht="26.25">
      <c r="S4637" s="61" ph="1"/>
    </row>
    <row r="4638" spans="19:19" ht="26.25">
      <c r="S4638" s="61" ph="1"/>
    </row>
    <row r="4639" spans="19:19" ht="26.25">
      <c r="S4639" s="61" ph="1"/>
    </row>
    <row r="4640" spans="19:19" ht="26.25">
      <c r="S4640" s="61" ph="1"/>
    </row>
    <row r="4641" spans="19:19" ht="26.25">
      <c r="S4641" s="61" ph="1"/>
    </row>
    <row r="4642" spans="19:19" ht="26.25">
      <c r="S4642" s="61" ph="1"/>
    </row>
    <row r="4643" spans="19:19" ht="26.25">
      <c r="S4643" s="61" ph="1"/>
    </row>
    <row r="4644" spans="19:19" ht="26.25">
      <c r="S4644" s="61" ph="1"/>
    </row>
    <row r="4645" spans="19:19" ht="26.25">
      <c r="S4645" s="61" ph="1"/>
    </row>
    <row r="4646" spans="19:19" ht="26.25">
      <c r="S4646" s="61" ph="1"/>
    </row>
    <row r="4647" spans="19:19" ht="26.25">
      <c r="S4647" s="61" ph="1"/>
    </row>
    <row r="4648" spans="19:19" ht="26.25">
      <c r="S4648" s="61" ph="1"/>
    </row>
    <row r="4649" spans="19:19" ht="26.25">
      <c r="S4649" s="61" ph="1"/>
    </row>
    <row r="4650" spans="19:19" ht="26.25">
      <c r="S4650" s="61" ph="1"/>
    </row>
    <row r="4651" spans="19:19" ht="26.25">
      <c r="S4651" s="61" ph="1"/>
    </row>
    <row r="4652" spans="19:19" ht="26.25">
      <c r="S4652" s="61" ph="1"/>
    </row>
    <row r="4653" spans="19:19" ht="26.25">
      <c r="S4653" s="61" ph="1"/>
    </row>
    <row r="4654" spans="19:19" ht="26.25">
      <c r="S4654" s="61" ph="1"/>
    </row>
    <row r="4655" spans="19:19" ht="26.25">
      <c r="S4655" s="61" ph="1"/>
    </row>
    <row r="4656" spans="19:19" ht="26.25">
      <c r="S4656" s="61" ph="1"/>
    </row>
    <row r="4657" spans="19:19" ht="26.25">
      <c r="S4657" s="61" ph="1"/>
    </row>
    <row r="4658" spans="19:19" ht="26.25">
      <c r="S4658" s="61" ph="1"/>
    </row>
    <row r="4659" spans="19:19" ht="26.25">
      <c r="S4659" s="61" ph="1"/>
    </row>
    <row r="4660" spans="19:19" ht="26.25">
      <c r="S4660" s="61" ph="1"/>
    </row>
    <row r="4661" spans="19:19" ht="26.25">
      <c r="S4661" s="61" ph="1"/>
    </row>
    <row r="4662" spans="19:19" ht="26.25">
      <c r="S4662" s="61" ph="1"/>
    </row>
    <row r="4663" spans="19:19" ht="26.25">
      <c r="S4663" s="61" ph="1"/>
    </row>
    <row r="4664" spans="19:19" ht="26.25">
      <c r="S4664" s="61" ph="1"/>
    </row>
    <row r="4665" spans="19:19" ht="26.25">
      <c r="S4665" s="61" ph="1"/>
    </row>
    <row r="4666" spans="19:19" ht="26.25">
      <c r="S4666" s="61" ph="1"/>
    </row>
    <row r="4667" spans="19:19" ht="26.25">
      <c r="S4667" s="61" ph="1"/>
    </row>
    <row r="4668" spans="19:19" ht="26.25">
      <c r="S4668" s="61" ph="1"/>
    </row>
    <row r="4669" spans="19:19" ht="26.25">
      <c r="S4669" s="61" ph="1"/>
    </row>
    <row r="4670" spans="19:19" ht="26.25">
      <c r="S4670" s="61" ph="1"/>
    </row>
    <row r="4671" spans="19:19" ht="26.25">
      <c r="S4671" s="61" ph="1"/>
    </row>
    <row r="4672" spans="19:19" ht="26.25">
      <c r="S4672" s="61" ph="1"/>
    </row>
    <row r="4673" spans="19:19" ht="26.25">
      <c r="S4673" s="61" ph="1"/>
    </row>
    <row r="4674" spans="19:19" ht="26.25">
      <c r="S4674" s="61" ph="1"/>
    </row>
    <row r="4675" spans="19:19" ht="26.25">
      <c r="S4675" s="61" ph="1"/>
    </row>
    <row r="4676" spans="19:19" ht="26.25">
      <c r="S4676" s="61" ph="1"/>
    </row>
    <row r="4677" spans="19:19" ht="26.25">
      <c r="S4677" s="61" ph="1"/>
    </row>
    <row r="4678" spans="19:19" ht="26.25">
      <c r="S4678" s="61" ph="1"/>
    </row>
    <row r="4679" spans="19:19" ht="26.25">
      <c r="S4679" s="61" ph="1"/>
    </row>
    <row r="4680" spans="19:19" ht="26.25">
      <c r="S4680" s="61" ph="1"/>
    </row>
    <row r="4681" spans="19:19" ht="26.25">
      <c r="S4681" s="61" ph="1"/>
    </row>
    <row r="4682" spans="19:19" ht="26.25">
      <c r="S4682" s="61" ph="1"/>
    </row>
    <row r="4683" spans="19:19" ht="26.25">
      <c r="S4683" s="61" ph="1"/>
    </row>
    <row r="4684" spans="19:19" ht="26.25">
      <c r="S4684" s="61" ph="1"/>
    </row>
    <row r="4685" spans="19:19" ht="26.25">
      <c r="S4685" s="61" ph="1"/>
    </row>
    <row r="4686" spans="19:19" ht="26.25">
      <c r="S4686" s="61" ph="1"/>
    </row>
    <row r="4687" spans="19:19" ht="26.25">
      <c r="S4687" s="61" ph="1"/>
    </row>
    <row r="4688" spans="19:19" ht="26.25">
      <c r="S4688" s="61" ph="1"/>
    </row>
    <row r="4689" spans="19:19" ht="26.25">
      <c r="S4689" s="61" ph="1"/>
    </row>
    <row r="4690" spans="19:19" ht="26.25">
      <c r="S4690" s="61" ph="1"/>
    </row>
    <row r="4691" spans="19:19" ht="26.25">
      <c r="S4691" s="61" ph="1"/>
    </row>
    <row r="4692" spans="19:19" ht="26.25">
      <c r="S4692" s="61" ph="1"/>
    </row>
    <row r="4693" spans="19:19" ht="26.25">
      <c r="S4693" s="61" ph="1"/>
    </row>
    <row r="4694" spans="19:19" ht="26.25">
      <c r="S4694" s="61" ph="1"/>
    </row>
    <row r="4695" spans="19:19" ht="26.25">
      <c r="S4695" s="61" ph="1"/>
    </row>
    <row r="4696" spans="19:19" ht="26.25">
      <c r="S4696" s="61" ph="1"/>
    </row>
    <row r="4697" spans="19:19" ht="26.25">
      <c r="S4697" s="61" ph="1"/>
    </row>
    <row r="4698" spans="19:19" ht="26.25">
      <c r="S4698" s="61" ph="1"/>
    </row>
    <row r="4699" spans="19:19" ht="26.25">
      <c r="S4699" s="61" ph="1"/>
    </row>
    <row r="4700" spans="19:19" ht="26.25">
      <c r="S4700" s="61" ph="1"/>
    </row>
    <row r="4701" spans="19:19" ht="26.25">
      <c r="S4701" s="61" ph="1"/>
    </row>
    <row r="4702" spans="19:19" ht="26.25">
      <c r="S4702" s="61" ph="1"/>
    </row>
    <row r="4703" spans="19:19" ht="26.25">
      <c r="S4703" s="61" ph="1"/>
    </row>
    <row r="4704" spans="19:19" ht="26.25">
      <c r="S4704" s="61" ph="1"/>
    </row>
    <row r="4705" spans="19:19" ht="26.25">
      <c r="S4705" s="61" ph="1"/>
    </row>
    <row r="4706" spans="19:19" ht="26.25">
      <c r="S4706" s="61" ph="1"/>
    </row>
    <row r="4707" spans="19:19" ht="26.25">
      <c r="S4707" s="61" ph="1"/>
    </row>
    <row r="4708" spans="19:19" ht="26.25">
      <c r="S4708" s="61" ph="1"/>
    </row>
    <row r="4709" spans="19:19" ht="26.25">
      <c r="S4709" s="61" ph="1"/>
    </row>
    <row r="4710" spans="19:19" ht="26.25">
      <c r="S4710" s="61" ph="1"/>
    </row>
    <row r="4711" spans="19:19" ht="26.25">
      <c r="S4711" s="61" ph="1"/>
    </row>
    <row r="4712" spans="19:19" ht="26.25">
      <c r="S4712" s="61" ph="1"/>
    </row>
    <row r="4713" spans="19:19" ht="26.25">
      <c r="S4713" s="61" ph="1"/>
    </row>
    <row r="4714" spans="19:19" ht="26.25">
      <c r="S4714" s="61" ph="1"/>
    </row>
    <row r="4715" spans="19:19" ht="26.25">
      <c r="S4715" s="61" ph="1"/>
    </row>
    <row r="4716" spans="19:19" ht="26.25">
      <c r="S4716" s="61" ph="1"/>
    </row>
    <row r="4717" spans="19:19" ht="26.25">
      <c r="S4717" s="61" ph="1"/>
    </row>
    <row r="4718" spans="19:19" ht="26.25">
      <c r="S4718" s="61" ph="1"/>
    </row>
    <row r="4719" spans="19:19" ht="26.25">
      <c r="S4719" s="61" ph="1"/>
    </row>
    <row r="4720" spans="19:19" ht="26.25">
      <c r="S4720" s="61" ph="1"/>
    </row>
    <row r="4721" spans="19:19" ht="26.25">
      <c r="S4721" s="61" ph="1"/>
    </row>
    <row r="4722" spans="19:19" ht="26.25">
      <c r="S4722" s="61" ph="1"/>
    </row>
    <row r="4723" spans="19:19" ht="26.25">
      <c r="S4723" s="61" ph="1"/>
    </row>
    <row r="4724" spans="19:19" ht="26.25">
      <c r="S4724" s="61" ph="1"/>
    </row>
    <row r="4725" spans="19:19" ht="26.25">
      <c r="S4725" s="61" ph="1"/>
    </row>
    <row r="4726" spans="19:19" ht="26.25">
      <c r="S4726" s="61" ph="1"/>
    </row>
    <row r="4727" spans="19:19" ht="26.25">
      <c r="S4727" s="61" ph="1"/>
    </row>
    <row r="4728" spans="19:19" ht="26.25">
      <c r="S4728" s="61" ph="1"/>
    </row>
    <row r="4729" spans="19:19" ht="26.25">
      <c r="S4729" s="61" ph="1"/>
    </row>
    <row r="4730" spans="19:19" ht="26.25">
      <c r="S4730" s="61" ph="1"/>
    </row>
    <row r="4731" spans="19:19" ht="26.25">
      <c r="S4731" s="61" ph="1"/>
    </row>
    <row r="4732" spans="19:19" ht="26.25">
      <c r="S4732" s="61" ph="1"/>
    </row>
    <row r="4733" spans="19:19" ht="26.25">
      <c r="S4733" s="61" ph="1"/>
    </row>
    <row r="4734" spans="19:19" ht="26.25">
      <c r="S4734" s="61" ph="1"/>
    </row>
    <row r="4735" spans="19:19" ht="26.25">
      <c r="S4735" s="61" ph="1"/>
    </row>
    <row r="4736" spans="19:19" ht="26.25">
      <c r="S4736" s="61" ph="1"/>
    </row>
    <row r="4737" spans="19:19" ht="26.25">
      <c r="S4737" s="61" ph="1"/>
    </row>
    <row r="4738" spans="19:19" ht="26.25">
      <c r="S4738" s="61" ph="1"/>
    </row>
    <row r="4739" spans="19:19" ht="26.25">
      <c r="S4739" s="61" ph="1"/>
    </row>
    <row r="4740" spans="19:19" ht="26.25">
      <c r="S4740" s="61" ph="1"/>
    </row>
    <row r="4741" spans="19:19" ht="26.25">
      <c r="S4741" s="61" ph="1"/>
    </row>
    <row r="4742" spans="19:19" ht="26.25">
      <c r="S4742" s="61" ph="1"/>
    </row>
    <row r="4743" spans="19:19" ht="26.25">
      <c r="S4743" s="61" ph="1"/>
    </row>
    <row r="4744" spans="19:19" ht="26.25">
      <c r="S4744" s="61" ph="1"/>
    </row>
    <row r="4745" spans="19:19" ht="26.25">
      <c r="S4745" s="61" ph="1"/>
    </row>
    <row r="4746" spans="19:19" ht="26.25">
      <c r="S4746" s="61" ph="1"/>
    </row>
    <row r="4747" spans="19:19" ht="26.25">
      <c r="S4747" s="61" ph="1"/>
    </row>
    <row r="4748" spans="19:19" ht="26.25">
      <c r="S4748" s="61" ph="1"/>
    </row>
    <row r="4749" spans="19:19" ht="26.25">
      <c r="S4749" s="61" ph="1"/>
    </row>
    <row r="4750" spans="19:19" ht="26.25">
      <c r="S4750" s="61" ph="1"/>
    </row>
    <row r="4751" spans="19:19" ht="26.25">
      <c r="S4751" s="61" ph="1"/>
    </row>
    <row r="4752" spans="19:19" ht="26.25">
      <c r="S4752" s="61" ph="1"/>
    </row>
    <row r="4753" spans="19:19" ht="26.25">
      <c r="S4753" s="61" ph="1"/>
    </row>
    <row r="4754" spans="19:19" ht="26.25">
      <c r="S4754" s="61" ph="1"/>
    </row>
    <row r="4755" spans="19:19" ht="26.25">
      <c r="S4755" s="61" ph="1"/>
    </row>
    <row r="4756" spans="19:19" ht="26.25">
      <c r="S4756" s="61" ph="1"/>
    </row>
    <row r="4757" spans="19:19" ht="26.25">
      <c r="S4757" s="61" ph="1"/>
    </row>
    <row r="4758" spans="19:19" ht="26.25">
      <c r="S4758" s="61" ph="1"/>
    </row>
    <row r="4759" spans="19:19" ht="26.25">
      <c r="S4759" s="61" ph="1"/>
    </row>
    <row r="4760" spans="19:19" ht="26.25">
      <c r="S4760" s="61" ph="1"/>
    </row>
    <row r="4761" spans="19:19" ht="26.25">
      <c r="S4761" s="61" ph="1"/>
    </row>
    <row r="4762" spans="19:19" ht="26.25">
      <c r="S4762" s="61" ph="1"/>
    </row>
    <row r="4763" spans="19:19" ht="26.25">
      <c r="S4763" s="61" ph="1"/>
    </row>
    <row r="4764" spans="19:19" ht="26.25">
      <c r="S4764" s="61" ph="1"/>
    </row>
    <row r="4765" spans="19:19" ht="26.25">
      <c r="S4765" s="61" ph="1"/>
    </row>
    <row r="4766" spans="19:19" ht="26.25">
      <c r="S4766" s="61" ph="1"/>
    </row>
    <row r="4767" spans="19:19" ht="26.25">
      <c r="S4767" s="61" ph="1"/>
    </row>
    <row r="4768" spans="19:19" ht="26.25">
      <c r="S4768" s="61" ph="1"/>
    </row>
    <row r="4769" spans="19:19" ht="26.25">
      <c r="S4769" s="61" ph="1"/>
    </row>
    <row r="4770" spans="19:19" ht="26.25">
      <c r="S4770" s="61" ph="1"/>
    </row>
    <row r="4771" spans="19:19" ht="26.25">
      <c r="S4771" s="61" ph="1"/>
    </row>
    <row r="4772" spans="19:19" ht="26.25">
      <c r="S4772" s="61" ph="1"/>
    </row>
    <row r="4773" spans="19:19" ht="26.25">
      <c r="S4773" s="61" ph="1"/>
    </row>
    <row r="4774" spans="19:19" ht="26.25">
      <c r="S4774" s="61" ph="1"/>
    </row>
    <row r="4775" spans="19:19" ht="26.25">
      <c r="S4775" s="61" ph="1"/>
    </row>
    <row r="4776" spans="19:19" ht="26.25">
      <c r="S4776" s="61" ph="1"/>
    </row>
    <row r="4777" spans="19:19" ht="26.25">
      <c r="S4777" s="61" ph="1"/>
    </row>
    <row r="4778" spans="19:19" ht="26.25">
      <c r="S4778" s="61" ph="1"/>
    </row>
    <row r="4779" spans="19:19" ht="26.25">
      <c r="S4779" s="61" ph="1"/>
    </row>
    <row r="4780" spans="19:19" ht="26.25">
      <c r="S4780" s="61" ph="1"/>
    </row>
    <row r="4781" spans="19:19" ht="26.25">
      <c r="S4781" s="61" ph="1"/>
    </row>
    <row r="4782" spans="19:19" ht="26.25">
      <c r="S4782" s="61" ph="1"/>
    </row>
    <row r="4783" spans="19:19" ht="26.25">
      <c r="S4783" s="61" ph="1"/>
    </row>
    <row r="4784" spans="19:19" ht="26.25">
      <c r="S4784" s="61" ph="1"/>
    </row>
    <row r="4785" spans="19:19" ht="26.25">
      <c r="S4785" s="61" ph="1"/>
    </row>
    <row r="4786" spans="19:19" ht="26.25">
      <c r="S4786" s="61" ph="1"/>
    </row>
    <row r="4787" spans="19:19" ht="26.25">
      <c r="S4787" s="61" ph="1"/>
    </row>
    <row r="4788" spans="19:19" ht="26.25">
      <c r="S4788" s="61" ph="1"/>
    </row>
    <row r="4789" spans="19:19" ht="26.25">
      <c r="S4789" s="61" ph="1"/>
    </row>
    <row r="4790" spans="19:19" ht="26.25">
      <c r="S4790" s="61" ph="1"/>
    </row>
    <row r="4791" spans="19:19" ht="26.25">
      <c r="S4791" s="61" ph="1"/>
    </row>
    <row r="4792" spans="19:19" ht="26.25">
      <c r="S4792" s="61" ph="1"/>
    </row>
    <row r="4793" spans="19:19" ht="26.25">
      <c r="S4793" s="61" ph="1"/>
    </row>
    <row r="4794" spans="19:19" ht="26.25">
      <c r="S4794" s="61" ph="1"/>
    </row>
    <row r="4795" spans="19:19" ht="26.25">
      <c r="S4795" s="61" ph="1"/>
    </row>
    <row r="4796" spans="19:19" ht="26.25">
      <c r="S4796" s="61" ph="1"/>
    </row>
    <row r="4797" spans="19:19" ht="26.25">
      <c r="S4797" s="61" ph="1"/>
    </row>
    <row r="4798" spans="19:19" ht="26.25">
      <c r="S4798" s="61" ph="1"/>
    </row>
    <row r="4799" spans="19:19" ht="26.25">
      <c r="S4799" s="61" ph="1"/>
    </row>
    <row r="4800" spans="19:19" ht="26.25">
      <c r="S4800" s="61" ph="1"/>
    </row>
    <row r="4801" spans="19:19" ht="26.25">
      <c r="S4801" s="61" ph="1"/>
    </row>
    <row r="4802" spans="19:19" ht="26.25">
      <c r="S4802" s="61" ph="1"/>
    </row>
    <row r="4803" spans="19:19" ht="26.25">
      <c r="S4803" s="61" ph="1"/>
    </row>
    <row r="4804" spans="19:19" ht="26.25">
      <c r="S4804" s="61" ph="1"/>
    </row>
    <row r="4805" spans="19:19" ht="26.25">
      <c r="S4805" s="61" ph="1"/>
    </row>
    <row r="4806" spans="19:19" ht="26.25">
      <c r="S4806" s="61" ph="1"/>
    </row>
    <row r="4807" spans="19:19" ht="26.25">
      <c r="S4807" s="61" ph="1"/>
    </row>
    <row r="4808" spans="19:19" ht="26.25">
      <c r="S4808" s="61" ph="1"/>
    </row>
    <row r="4809" spans="19:19" ht="26.25">
      <c r="S4809" s="61" ph="1"/>
    </row>
    <row r="4810" spans="19:19" ht="26.25">
      <c r="S4810" s="61" ph="1"/>
    </row>
    <row r="4811" spans="19:19" ht="26.25">
      <c r="S4811" s="61" ph="1"/>
    </row>
    <row r="4812" spans="19:19" ht="26.25">
      <c r="S4812" s="61" ph="1"/>
    </row>
    <row r="4813" spans="19:19" ht="26.25">
      <c r="S4813" s="61" ph="1"/>
    </row>
    <row r="4814" spans="19:19" ht="26.25">
      <c r="S4814" s="61" ph="1"/>
    </row>
    <row r="4815" spans="19:19" ht="26.25">
      <c r="S4815" s="61" ph="1"/>
    </row>
    <row r="4816" spans="19:19" ht="26.25">
      <c r="S4816" s="61" ph="1"/>
    </row>
    <row r="4817" spans="19:19" ht="26.25">
      <c r="S4817" s="61" ph="1"/>
    </row>
    <row r="4818" spans="19:19" ht="26.25">
      <c r="S4818" s="61" ph="1"/>
    </row>
    <row r="4819" spans="19:19" ht="26.25">
      <c r="S4819" s="61" ph="1"/>
    </row>
    <row r="4820" spans="19:19" ht="26.25">
      <c r="S4820" s="61" ph="1"/>
    </row>
    <row r="4821" spans="19:19" ht="26.25">
      <c r="S4821" s="61" ph="1"/>
    </row>
    <row r="4822" spans="19:19" ht="26.25">
      <c r="S4822" s="61" ph="1"/>
    </row>
    <row r="4823" spans="19:19" ht="26.25">
      <c r="S4823" s="61" ph="1"/>
    </row>
    <row r="4824" spans="19:19" ht="26.25">
      <c r="S4824" s="61" ph="1"/>
    </row>
    <row r="4825" spans="19:19" ht="26.25">
      <c r="S4825" s="61" ph="1"/>
    </row>
    <row r="4826" spans="19:19" ht="26.25">
      <c r="S4826" s="61" ph="1"/>
    </row>
    <row r="4827" spans="19:19" ht="26.25">
      <c r="S4827" s="61" ph="1"/>
    </row>
    <row r="4828" spans="19:19" ht="26.25">
      <c r="S4828" s="61" ph="1"/>
    </row>
    <row r="4829" spans="19:19" ht="26.25">
      <c r="S4829" s="61" ph="1"/>
    </row>
    <row r="4830" spans="19:19" ht="26.25">
      <c r="S4830" s="61" ph="1"/>
    </row>
    <row r="4831" spans="19:19" ht="26.25">
      <c r="S4831" s="61" ph="1"/>
    </row>
    <row r="4832" spans="19:19" ht="26.25">
      <c r="S4832" s="61" ph="1"/>
    </row>
    <row r="4833" spans="19:19" ht="26.25">
      <c r="S4833" s="61" ph="1"/>
    </row>
    <row r="4834" spans="19:19" ht="26.25">
      <c r="S4834" s="61" ph="1"/>
    </row>
    <row r="4835" spans="19:19" ht="26.25">
      <c r="S4835" s="61" ph="1"/>
    </row>
    <row r="4836" spans="19:19" ht="26.25">
      <c r="S4836" s="61" ph="1"/>
    </row>
    <row r="4837" spans="19:19" ht="26.25">
      <c r="S4837" s="61" ph="1"/>
    </row>
    <row r="4838" spans="19:19" ht="26.25">
      <c r="S4838" s="61" ph="1"/>
    </row>
    <row r="4839" spans="19:19" ht="26.25">
      <c r="S4839" s="61" ph="1"/>
    </row>
    <row r="4840" spans="19:19" ht="26.25">
      <c r="S4840" s="61" ph="1"/>
    </row>
    <row r="4841" spans="19:19" ht="26.25">
      <c r="S4841" s="61" ph="1"/>
    </row>
    <row r="4842" spans="19:19" ht="26.25">
      <c r="S4842" s="61" ph="1"/>
    </row>
    <row r="4843" spans="19:19" ht="26.25">
      <c r="S4843" s="61" ph="1"/>
    </row>
    <row r="4844" spans="19:19" ht="26.25">
      <c r="S4844" s="61" ph="1"/>
    </row>
    <row r="4845" spans="19:19" ht="26.25">
      <c r="S4845" s="61" ph="1"/>
    </row>
    <row r="4846" spans="19:19" ht="26.25">
      <c r="S4846" s="61" ph="1"/>
    </row>
    <row r="4847" spans="19:19" ht="26.25">
      <c r="S4847" s="61" ph="1"/>
    </row>
    <row r="4848" spans="19:19" ht="26.25">
      <c r="S4848" s="61" ph="1"/>
    </row>
    <row r="4849" spans="19:19" ht="26.25">
      <c r="S4849" s="61" ph="1"/>
    </row>
    <row r="4850" spans="19:19" ht="26.25">
      <c r="S4850" s="61" ph="1"/>
    </row>
    <row r="4851" spans="19:19" ht="26.25">
      <c r="S4851" s="61" ph="1"/>
    </row>
    <row r="4852" spans="19:19" ht="26.25">
      <c r="S4852" s="61" ph="1"/>
    </row>
    <row r="4853" spans="19:19" ht="26.25">
      <c r="S4853" s="61" ph="1"/>
    </row>
    <row r="4854" spans="19:19" ht="26.25">
      <c r="S4854" s="61" ph="1"/>
    </row>
    <row r="4855" spans="19:19" ht="26.25">
      <c r="S4855" s="61" ph="1"/>
    </row>
    <row r="4856" spans="19:19" ht="26.25">
      <c r="S4856" s="61" ph="1"/>
    </row>
    <row r="4857" spans="19:19" ht="26.25">
      <c r="S4857" s="61" ph="1"/>
    </row>
    <row r="4858" spans="19:19" ht="26.25">
      <c r="S4858" s="61" ph="1"/>
    </row>
    <row r="4859" spans="19:19" ht="26.25">
      <c r="S4859" s="61" ph="1"/>
    </row>
    <row r="4860" spans="19:19" ht="26.25">
      <c r="S4860" s="61" ph="1"/>
    </row>
    <row r="4861" spans="19:19" ht="26.25">
      <c r="S4861" s="61" ph="1"/>
    </row>
    <row r="4862" spans="19:19" ht="26.25">
      <c r="S4862" s="61" ph="1"/>
    </row>
    <row r="4863" spans="19:19" ht="26.25">
      <c r="S4863" s="61" ph="1"/>
    </row>
    <row r="4864" spans="19:19" ht="26.25">
      <c r="S4864" s="61" ph="1"/>
    </row>
    <row r="4865" spans="19:19" ht="26.25">
      <c r="S4865" s="61" ph="1"/>
    </row>
    <row r="4866" spans="19:19" ht="26.25">
      <c r="S4866" s="61" ph="1"/>
    </row>
    <row r="4867" spans="19:19" ht="26.25">
      <c r="S4867" s="61" ph="1"/>
    </row>
    <row r="4868" spans="19:19" ht="26.25">
      <c r="S4868" s="61" ph="1"/>
    </row>
    <row r="4869" spans="19:19" ht="26.25">
      <c r="S4869" s="61" ph="1"/>
    </row>
    <row r="4870" spans="19:19" ht="26.25">
      <c r="S4870" s="61" ph="1"/>
    </row>
    <row r="4871" spans="19:19" ht="26.25">
      <c r="S4871" s="61" ph="1"/>
    </row>
    <row r="4872" spans="19:19" ht="26.25">
      <c r="S4872" s="61" ph="1"/>
    </row>
    <row r="4873" spans="19:19" ht="26.25">
      <c r="S4873" s="61" ph="1"/>
    </row>
    <row r="4874" spans="19:19" ht="26.25">
      <c r="S4874" s="61" ph="1"/>
    </row>
    <row r="4875" spans="19:19" ht="26.25">
      <c r="S4875" s="61" ph="1"/>
    </row>
    <row r="4876" spans="19:19" ht="26.25">
      <c r="S4876" s="61" ph="1"/>
    </row>
    <row r="4877" spans="19:19" ht="26.25">
      <c r="S4877" s="61" ph="1"/>
    </row>
    <row r="4878" spans="19:19" ht="26.25">
      <c r="S4878" s="61" ph="1"/>
    </row>
    <row r="4879" spans="19:19" ht="26.25">
      <c r="S4879" s="61" ph="1"/>
    </row>
    <row r="4880" spans="19:19" ht="26.25">
      <c r="S4880" s="61" ph="1"/>
    </row>
    <row r="4881" spans="19:19" ht="26.25">
      <c r="S4881" s="61" ph="1"/>
    </row>
    <row r="4882" spans="19:19" ht="26.25">
      <c r="S4882" s="61" ph="1"/>
    </row>
    <row r="4883" spans="19:19" ht="26.25">
      <c r="S4883" s="61" ph="1"/>
    </row>
    <row r="4884" spans="19:19" ht="26.25">
      <c r="S4884" s="61" ph="1"/>
    </row>
    <row r="4885" spans="19:19" ht="26.25">
      <c r="S4885" s="61" ph="1"/>
    </row>
    <row r="4886" spans="19:19" ht="26.25">
      <c r="S4886" s="61" ph="1"/>
    </row>
    <row r="4887" spans="19:19" ht="26.25">
      <c r="S4887" s="61" ph="1"/>
    </row>
    <row r="4888" spans="19:19" ht="26.25">
      <c r="S4888" s="61" ph="1"/>
    </row>
    <row r="4889" spans="19:19" ht="26.25">
      <c r="S4889" s="61" ph="1"/>
    </row>
    <row r="4890" spans="19:19" ht="26.25">
      <c r="S4890" s="61" ph="1"/>
    </row>
    <row r="4891" spans="19:19" ht="26.25">
      <c r="S4891" s="61" ph="1"/>
    </row>
    <row r="4892" spans="19:19" ht="26.25">
      <c r="S4892" s="61" ph="1"/>
    </row>
    <row r="4893" spans="19:19" ht="26.25">
      <c r="S4893" s="61" ph="1"/>
    </row>
    <row r="4894" spans="19:19" ht="26.25">
      <c r="S4894" s="61" ph="1"/>
    </row>
    <row r="4895" spans="19:19" ht="26.25">
      <c r="S4895" s="61" ph="1"/>
    </row>
    <row r="4896" spans="19:19" ht="26.25">
      <c r="S4896" s="61" ph="1"/>
    </row>
    <row r="4897" spans="19:19" ht="26.25">
      <c r="S4897" s="61" ph="1"/>
    </row>
    <row r="4898" spans="19:19" ht="26.25">
      <c r="S4898" s="61" ph="1"/>
    </row>
    <row r="4899" spans="19:19" ht="26.25">
      <c r="S4899" s="61" ph="1"/>
    </row>
    <row r="4900" spans="19:19" ht="26.25">
      <c r="S4900" s="61" ph="1"/>
    </row>
    <row r="4901" spans="19:19" ht="26.25">
      <c r="S4901" s="61" ph="1"/>
    </row>
    <row r="4902" spans="19:19" ht="26.25">
      <c r="S4902" s="61" ph="1"/>
    </row>
    <row r="4903" spans="19:19" ht="26.25">
      <c r="S4903" s="61" ph="1"/>
    </row>
    <row r="4904" spans="19:19" ht="26.25">
      <c r="S4904" s="61" ph="1"/>
    </row>
    <row r="4905" spans="19:19" ht="26.25">
      <c r="S4905" s="61" ph="1"/>
    </row>
    <row r="4906" spans="19:19" ht="26.25">
      <c r="S4906" s="61" ph="1"/>
    </row>
    <row r="4907" spans="19:19" ht="26.25">
      <c r="S4907" s="61" ph="1"/>
    </row>
    <row r="4908" spans="19:19" ht="26.25">
      <c r="S4908" s="61" ph="1"/>
    </row>
    <row r="4909" spans="19:19" ht="26.25">
      <c r="S4909" s="61" ph="1"/>
    </row>
    <row r="4910" spans="19:19" ht="26.25">
      <c r="S4910" s="61" ph="1"/>
    </row>
    <row r="4911" spans="19:19" ht="26.25">
      <c r="S4911" s="61" ph="1"/>
    </row>
    <row r="4912" spans="19:19" ht="26.25">
      <c r="S4912" s="61" ph="1"/>
    </row>
    <row r="4913" spans="19:19" ht="26.25">
      <c r="S4913" s="61" ph="1"/>
    </row>
    <row r="4914" spans="19:19" ht="26.25">
      <c r="S4914" s="61" ph="1"/>
    </row>
    <row r="4915" spans="19:19" ht="26.25">
      <c r="S4915" s="61" ph="1"/>
    </row>
    <row r="4916" spans="19:19" ht="26.25">
      <c r="S4916" s="61" ph="1"/>
    </row>
    <row r="4917" spans="19:19" ht="26.25">
      <c r="S4917" s="61" ph="1"/>
    </row>
    <row r="4918" spans="19:19" ht="26.25">
      <c r="S4918" s="61" ph="1"/>
    </row>
    <row r="4919" spans="19:19" ht="26.25">
      <c r="S4919" s="61" ph="1"/>
    </row>
    <row r="4920" spans="19:19" ht="26.25">
      <c r="S4920" s="61" ph="1"/>
    </row>
    <row r="4921" spans="19:19" ht="26.25">
      <c r="S4921" s="61" ph="1"/>
    </row>
    <row r="4922" spans="19:19" ht="26.25">
      <c r="S4922" s="61" ph="1"/>
    </row>
    <row r="4923" spans="19:19" ht="26.25">
      <c r="S4923" s="61" ph="1"/>
    </row>
    <row r="4924" spans="19:19" ht="26.25">
      <c r="S4924" s="61" ph="1"/>
    </row>
    <row r="4925" spans="19:19" ht="26.25">
      <c r="S4925" s="61" ph="1"/>
    </row>
    <row r="4926" spans="19:19" ht="26.25">
      <c r="S4926" s="61" ph="1"/>
    </row>
    <row r="4927" spans="19:19" ht="26.25">
      <c r="S4927" s="61" ph="1"/>
    </row>
    <row r="4928" spans="19:19" ht="26.25">
      <c r="S4928" s="61" ph="1"/>
    </row>
    <row r="4929" spans="19:19" ht="26.25">
      <c r="S4929" s="61" ph="1"/>
    </row>
    <row r="4930" spans="19:19" ht="26.25">
      <c r="S4930" s="61" ph="1"/>
    </row>
    <row r="4931" spans="19:19" ht="26.25">
      <c r="S4931" s="61" ph="1"/>
    </row>
    <row r="4932" spans="19:19" ht="26.25">
      <c r="S4932" s="61" ph="1"/>
    </row>
    <row r="4933" spans="19:19" ht="26.25">
      <c r="S4933" s="61" ph="1"/>
    </row>
    <row r="4934" spans="19:19" ht="26.25">
      <c r="S4934" s="61" ph="1"/>
    </row>
    <row r="4935" spans="19:19" ht="26.25">
      <c r="S4935" s="61" ph="1"/>
    </row>
    <row r="4936" spans="19:19" ht="26.25">
      <c r="S4936" s="61" ph="1"/>
    </row>
    <row r="4937" spans="19:19" ht="26.25">
      <c r="S4937" s="61" ph="1"/>
    </row>
    <row r="4938" spans="19:19" ht="26.25">
      <c r="S4938" s="61" ph="1"/>
    </row>
    <row r="4939" spans="19:19" ht="26.25">
      <c r="S4939" s="61" ph="1"/>
    </row>
    <row r="4940" spans="19:19" ht="26.25">
      <c r="S4940" s="61" ph="1"/>
    </row>
    <row r="4941" spans="19:19" ht="26.25">
      <c r="S4941" s="61" ph="1"/>
    </row>
    <row r="4942" spans="19:19" ht="26.25">
      <c r="S4942" s="61" ph="1"/>
    </row>
    <row r="4943" spans="19:19" ht="26.25">
      <c r="S4943" s="61" ph="1"/>
    </row>
    <row r="4944" spans="19:19" ht="26.25">
      <c r="S4944" s="61" ph="1"/>
    </row>
    <row r="4945" spans="19:19" ht="26.25">
      <c r="S4945" s="61" ph="1"/>
    </row>
    <row r="4946" spans="19:19" ht="26.25">
      <c r="S4946" s="61" ph="1"/>
    </row>
    <row r="4947" spans="19:19" ht="26.25">
      <c r="S4947" s="61" ph="1"/>
    </row>
    <row r="4948" spans="19:19" ht="26.25">
      <c r="S4948" s="61" ph="1"/>
    </row>
    <row r="4949" spans="19:19" ht="26.25">
      <c r="S4949" s="61" ph="1"/>
    </row>
    <row r="4950" spans="19:19" ht="26.25">
      <c r="S4950" s="61" ph="1"/>
    </row>
    <row r="4951" spans="19:19" ht="26.25">
      <c r="S4951" s="61" ph="1"/>
    </row>
    <row r="4952" spans="19:19" ht="26.25">
      <c r="S4952" s="61" ph="1"/>
    </row>
    <row r="4953" spans="19:19" ht="26.25">
      <c r="S4953" s="61" ph="1"/>
    </row>
    <row r="4954" spans="19:19" ht="26.25">
      <c r="S4954" s="61" ph="1"/>
    </row>
    <row r="4955" spans="19:19" ht="26.25">
      <c r="S4955" s="61" ph="1"/>
    </row>
    <row r="4956" spans="19:19" ht="26.25">
      <c r="S4956" s="61" ph="1"/>
    </row>
    <row r="4957" spans="19:19" ht="26.25">
      <c r="S4957" s="61" ph="1"/>
    </row>
    <row r="4958" spans="19:19" ht="26.25">
      <c r="S4958" s="61" ph="1"/>
    </row>
    <row r="4959" spans="19:19" ht="26.25">
      <c r="S4959" s="61" ph="1"/>
    </row>
    <row r="4960" spans="19:19" ht="26.25">
      <c r="S4960" s="61" ph="1"/>
    </row>
    <row r="4961" spans="19:19" ht="26.25">
      <c r="S4961" s="61" ph="1"/>
    </row>
    <row r="4962" spans="19:19" ht="26.25">
      <c r="S4962" s="61" ph="1"/>
    </row>
    <row r="4963" spans="19:19" ht="26.25">
      <c r="S4963" s="61" ph="1"/>
    </row>
    <row r="4964" spans="19:19" ht="26.25">
      <c r="S4964" s="61" ph="1"/>
    </row>
    <row r="4965" spans="19:19" ht="26.25">
      <c r="S4965" s="61" ph="1"/>
    </row>
    <row r="4966" spans="19:19" ht="26.25">
      <c r="S4966" s="61" ph="1"/>
    </row>
    <row r="4967" spans="19:19" ht="26.25">
      <c r="S4967" s="61" ph="1"/>
    </row>
    <row r="4968" spans="19:19" ht="26.25">
      <c r="S4968" s="61" ph="1"/>
    </row>
    <row r="4969" spans="19:19" ht="26.25">
      <c r="S4969" s="61" ph="1"/>
    </row>
    <row r="4970" spans="19:19" ht="26.25">
      <c r="S4970" s="61" ph="1"/>
    </row>
    <row r="4971" spans="19:19" ht="26.25">
      <c r="S4971" s="61" ph="1"/>
    </row>
    <row r="4972" spans="19:19" ht="26.25">
      <c r="S4972" s="61" ph="1"/>
    </row>
    <row r="4973" spans="19:19" ht="26.25">
      <c r="S4973" s="61" ph="1"/>
    </row>
    <row r="4974" spans="19:19" ht="26.25">
      <c r="S4974" s="61" ph="1"/>
    </row>
    <row r="4975" spans="19:19" ht="26.25">
      <c r="S4975" s="61" ph="1"/>
    </row>
    <row r="4976" spans="19:19" ht="26.25">
      <c r="S4976" s="61" ph="1"/>
    </row>
    <row r="4977" spans="19:19" ht="26.25">
      <c r="S4977" s="61" ph="1"/>
    </row>
    <row r="4978" spans="19:19" ht="26.25">
      <c r="S4978" s="61" ph="1"/>
    </row>
    <row r="4979" spans="19:19" ht="26.25">
      <c r="S4979" s="61" ph="1"/>
    </row>
    <row r="4980" spans="19:19" ht="26.25">
      <c r="S4980" s="61" ph="1"/>
    </row>
    <row r="4981" spans="19:19" ht="26.25">
      <c r="S4981" s="61" ph="1"/>
    </row>
    <row r="4982" spans="19:19" ht="26.25">
      <c r="S4982" s="61" ph="1"/>
    </row>
    <row r="4983" spans="19:19" ht="26.25">
      <c r="S4983" s="61" ph="1"/>
    </row>
    <row r="4984" spans="19:19" ht="26.25">
      <c r="S4984" s="61" ph="1"/>
    </row>
    <row r="4985" spans="19:19" ht="26.25">
      <c r="S4985" s="61" ph="1"/>
    </row>
    <row r="4986" spans="19:19" ht="26.25">
      <c r="S4986" s="61" ph="1"/>
    </row>
    <row r="4987" spans="19:19" ht="26.25">
      <c r="S4987" s="61" ph="1"/>
    </row>
    <row r="4988" spans="19:19" ht="26.25">
      <c r="S4988" s="61" ph="1"/>
    </row>
    <row r="4989" spans="19:19" ht="26.25">
      <c r="S4989" s="61" ph="1"/>
    </row>
    <row r="4990" spans="19:19" ht="26.25">
      <c r="S4990" s="61" ph="1"/>
    </row>
    <row r="4991" spans="19:19" ht="26.25">
      <c r="S4991" s="61" ph="1"/>
    </row>
    <row r="4992" spans="19:19" ht="26.25">
      <c r="S4992" s="61" ph="1"/>
    </row>
    <row r="4993" spans="19:19" ht="26.25">
      <c r="S4993" s="61" ph="1"/>
    </row>
    <row r="4994" spans="19:19" ht="26.25">
      <c r="S4994" s="61" ph="1"/>
    </row>
    <row r="4995" spans="19:19" ht="26.25">
      <c r="S4995" s="61" ph="1"/>
    </row>
    <row r="4996" spans="19:19" ht="26.25">
      <c r="S4996" s="61" ph="1"/>
    </row>
    <row r="4997" spans="19:19" ht="26.25">
      <c r="S4997" s="61" ph="1"/>
    </row>
    <row r="4998" spans="19:19" ht="26.25">
      <c r="S4998" s="61" ph="1"/>
    </row>
    <row r="4999" spans="19:19" ht="26.25">
      <c r="S4999" s="61" ph="1"/>
    </row>
    <row r="5000" spans="19:19" ht="26.25">
      <c r="S5000" s="61" ph="1"/>
    </row>
    <row r="5001" spans="19:19" ht="26.25">
      <c r="S5001" s="61" ph="1"/>
    </row>
    <row r="5002" spans="19:19" ht="26.25">
      <c r="S5002" s="61" ph="1"/>
    </row>
    <row r="5003" spans="19:19" ht="26.25">
      <c r="S5003" s="61" ph="1"/>
    </row>
    <row r="5004" spans="19:19" ht="26.25">
      <c r="S5004" s="61" ph="1"/>
    </row>
    <row r="5005" spans="19:19" ht="26.25">
      <c r="S5005" s="61" ph="1"/>
    </row>
    <row r="5006" spans="19:19" ht="26.25">
      <c r="S5006" s="61" ph="1"/>
    </row>
    <row r="5007" spans="19:19" ht="26.25">
      <c r="S5007" s="61" ph="1"/>
    </row>
    <row r="5008" spans="19:19" ht="26.25">
      <c r="S5008" s="61" ph="1"/>
    </row>
    <row r="5009" spans="19:19" ht="26.25">
      <c r="S5009" s="61" ph="1"/>
    </row>
    <row r="5010" spans="19:19" ht="26.25">
      <c r="S5010" s="61" ph="1"/>
    </row>
    <row r="5011" spans="19:19" ht="26.25">
      <c r="S5011" s="61" ph="1"/>
    </row>
    <row r="5012" spans="19:19" ht="26.25">
      <c r="S5012" s="61" ph="1"/>
    </row>
    <row r="5013" spans="19:19" ht="26.25">
      <c r="S5013" s="61" ph="1"/>
    </row>
    <row r="5014" spans="19:19" ht="26.25">
      <c r="S5014" s="61" ph="1"/>
    </row>
    <row r="5015" spans="19:19" ht="26.25">
      <c r="S5015" s="61" ph="1"/>
    </row>
    <row r="5016" spans="19:19" ht="26.25">
      <c r="S5016" s="61" ph="1"/>
    </row>
    <row r="5017" spans="19:19" ht="26.25">
      <c r="S5017" s="61" ph="1"/>
    </row>
    <row r="5018" spans="19:19" ht="26.25">
      <c r="S5018" s="61" ph="1"/>
    </row>
    <row r="5019" spans="19:19" ht="26.25">
      <c r="S5019" s="61" ph="1"/>
    </row>
    <row r="5020" spans="19:19" ht="26.25">
      <c r="S5020" s="61" ph="1"/>
    </row>
    <row r="5021" spans="19:19" ht="26.25">
      <c r="S5021" s="61" ph="1"/>
    </row>
    <row r="5022" spans="19:19" ht="26.25">
      <c r="S5022" s="61" ph="1"/>
    </row>
    <row r="5023" spans="19:19" ht="26.25">
      <c r="S5023" s="61" ph="1"/>
    </row>
    <row r="5024" spans="19:19" ht="26.25">
      <c r="S5024" s="61" ph="1"/>
    </row>
    <row r="5025" spans="19:19" ht="26.25">
      <c r="S5025" s="61" ph="1"/>
    </row>
    <row r="5026" spans="19:19" ht="26.25">
      <c r="S5026" s="61" ph="1"/>
    </row>
    <row r="5027" spans="19:19" ht="26.25">
      <c r="S5027" s="61" ph="1"/>
    </row>
    <row r="5028" spans="19:19" ht="26.25">
      <c r="S5028" s="61" ph="1"/>
    </row>
    <row r="5029" spans="19:19" ht="26.25">
      <c r="S5029" s="61" ph="1"/>
    </row>
    <row r="5030" spans="19:19" ht="26.25">
      <c r="S5030" s="61" ph="1"/>
    </row>
    <row r="5031" spans="19:19" ht="26.25">
      <c r="S5031" s="61" ph="1"/>
    </row>
    <row r="5032" spans="19:19" ht="26.25">
      <c r="S5032" s="61" ph="1"/>
    </row>
    <row r="5033" spans="19:19" ht="26.25">
      <c r="S5033" s="61" ph="1"/>
    </row>
    <row r="5034" spans="19:19" ht="26.25">
      <c r="S5034" s="61" ph="1"/>
    </row>
    <row r="5035" spans="19:19" ht="26.25">
      <c r="S5035" s="61" ph="1"/>
    </row>
    <row r="5036" spans="19:19" ht="26.25">
      <c r="S5036" s="61" ph="1"/>
    </row>
    <row r="5037" spans="19:19" ht="26.25">
      <c r="S5037" s="61" ph="1"/>
    </row>
    <row r="5038" spans="19:19" ht="26.25">
      <c r="S5038" s="61" ph="1"/>
    </row>
    <row r="5039" spans="19:19" ht="26.25">
      <c r="S5039" s="61" ph="1"/>
    </row>
    <row r="5040" spans="19:19" ht="26.25">
      <c r="S5040" s="61" ph="1"/>
    </row>
    <row r="5041" spans="19:19" ht="26.25">
      <c r="S5041" s="61" ph="1"/>
    </row>
    <row r="5042" spans="19:19" ht="26.25">
      <c r="S5042" s="61" ph="1"/>
    </row>
    <row r="5043" spans="19:19" ht="26.25">
      <c r="S5043" s="61" ph="1"/>
    </row>
    <row r="5044" spans="19:19" ht="26.25">
      <c r="S5044" s="61" ph="1"/>
    </row>
    <row r="5045" spans="19:19" ht="26.25">
      <c r="S5045" s="61" ph="1"/>
    </row>
    <row r="5046" spans="19:19" ht="26.25">
      <c r="S5046" s="61" ph="1"/>
    </row>
    <row r="5047" spans="19:19" ht="26.25">
      <c r="S5047" s="61" ph="1"/>
    </row>
    <row r="5048" spans="19:19" ht="26.25">
      <c r="S5048" s="61" ph="1"/>
    </row>
    <row r="5049" spans="19:19" ht="26.25">
      <c r="S5049" s="61" ph="1"/>
    </row>
    <row r="5050" spans="19:19" ht="26.25">
      <c r="S5050" s="61" ph="1"/>
    </row>
    <row r="5051" spans="19:19" ht="26.25">
      <c r="S5051" s="61" ph="1"/>
    </row>
    <row r="5052" spans="19:19" ht="26.25">
      <c r="S5052" s="61" ph="1"/>
    </row>
    <row r="5053" spans="19:19" ht="26.25">
      <c r="S5053" s="61" ph="1"/>
    </row>
    <row r="5054" spans="19:19" ht="26.25">
      <c r="S5054" s="61" ph="1"/>
    </row>
    <row r="5055" spans="19:19" ht="26.25">
      <c r="S5055" s="61" ph="1"/>
    </row>
    <row r="5056" spans="19:19" ht="26.25">
      <c r="S5056" s="61" ph="1"/>
    </row>
    <row r="5057" spans="19:19" ht="26.25">
      <c r="S5057" s="61" ph="1"/>
    </row>
    <row r="5058" spans="19:19" ht="26.25">
      <c r="S5058" s="61" ph="1"/>
    </row>
    <row r="5059" spans="19:19" ht="26.25">
      <c r="S5059" s="61" ph="1"/>
    </row>
    <row r="5060" spans="19:19" ht="26.25">
      <c r="S5060" s="61" ph="1"/>
    </row>
    <row r="5061" spans="19:19" ht="26.25">
      <c r="S5061" s="61" ph="1"/>
    </row>
    <row r="5062" spans="19:19" ht="26.25">
      <c r="S5062" s="61" ph="1"/>
    </row>
    <row r="5063" spans="19:19" ht="26.25">
      <c r="S5063" s="61" ph="1"/>
    </row>
    <row r="5064" spans="19:19" ht="26.25">
      <c r="S5064" s="61" ph="1"/>
    </row>
    <row r="5065" spans="19:19" ht="26.25">
      <c r="S5065" s="61" ph="1"/>
    </row>
    <row r="5066" spans="19:19" ht="26.25">
      <c r="S5066" s="61" ph="1"/>
    </row>
    <row r="5067" spans="19:19" ht="26.25">
      <c r="S5067" s="61" ph="1"/>
    </row>
    <row r="5068" spans="19:19" ht="26.25">
      <c r="S5068" s="61" ph="1"/>
    </row>
    <row r="5069" spans="19:19" ht="26.25">
      <c r="S5069" s="61" ph="1"/>
    </row>
    <row r="5070" spans="19:19" ht="26.25">
      <c r="S5070" s="61" ph="1"/>
    </row>
    <row r="5071" spans="19:19" ht="26.25">
      <c r="S5071" s="61" ph="1"/>
    </row>
    <row r="5072" spans="19:19" ht="26.25">
      <c r="S5072" s="61" ph="1"/>
    </row>
    <row r="5073" spans="19:19" ht="26.25">
      <c r="S5073" s="61" ph="1"/>
    </row>
    <row r="5074" spans="19:19" ht="26.25">
      <c r="S5074" s="61" ph="1"/>
    </row>
    <row r="5075" spans="19:19" ht="26.25">
      <c r="S5075" s="61" ph="1"/>
    </row>
    <row r="5076" spans="19:19" ht="26.25">
      <c r="S5076" s="61" ph="1"/>
    </row>
    <row r="5077" spans="19:19" ht="26.25">
      <c r="S5077" s="61" ph="1"/>
    </row>
    <row r="5078" spans="19:19" ht="26.25">
      <c r="S5078" s="61" ph="1"/>
    </row>
    <row r="5079" spans="19:19" ht="26.25">
      <c r="S5079" s="61" ph="1"/>
    </row>
    <row r="5080" spans="19:19" ht="26.25">
      <c r="S5080" s="61" ph="1"/>
    </row>
    <row r="5081" spans="19:19" ht="26.25">
      <c r="S5081" s="61" ph="1"/>
    </row>
    <row r="5082" spans="19:19" ht="26.25">
      <c r="S5082" s="61" ph="1"/>
    </row>
    <row r="5083" spans="19:19" ht="26.25">
      <c r="S5083" s="61" ph="1"/>
    </row>
    <row r="5084" spans="19:19" ht="26.25">
      <c r="S5084" s="61" ph="1"/>
    </row>
    <row r="5085" spans="19:19" ht="26.25">
      <c r="S5085" s="61" ph="1"/>
    </row>
    <row r="5086" spans="19:19" ht="26.25">
      <c r="S5086" s="61" ph="1"/>
    </row>
    <row r="5087" spans="19:19" ht="26.25">
      <c r="S5087" s="61" ph="1"/>
    </row>
    <row r="5088" spans="19:19" ht="26.25">
      <c r="S5088" s="61" ph="1"/>
    </row>
    <row r="5089" spans="19:19" ht="26.25">
      <c r="S5089" s="61" ph="1"/>
    </row>
    <row r="5090" spans="19:19" ht="26.25">
      <c r="S5090" s="61" ph="1"/>
    </row>
    <row r="5091" spans="19:19" ht="26.25">
      <c r="S5091" s="61" ph="1"/>
    </row>
    <row r="5092" spans="19:19" ht="26.25">
      <c r="S5092" s="61" ph="1"/>
    </row>
    <row r="5093" spans="19:19" ht="26.25">
      <c r="S5093" s="61" ph="1"/>
    </row>
    <row r="5094" spans="19:19" ht="26.25">
      <c r="S5094" s="61" ph="1"/>
    </row>
    <row r="5095" spans="19:19" ht="26.25">
      <c r="S5095" s="61" ph="1"/>
    </row>
    <row r="5096" spans="19:19" ht="26.25">
      <c r="S5096" s="61" ph="1"/>
    </row>
    <row r="5097" spans="19:19" ht="26.25">
      <c r="S5097" s="61" ph="1"/>
    </row>
    <row r="5098" spans="19:19" ht="26.25">
      <c r="S5098" s="61" ph="1"/>
    </row>
    <row r="5099" spans="19:19" ht="26.25">
      <c r="S5099" s="61" ph="1"/>
    </row>
    <row r="5100" spans="19:19" ht="26.25">
      <c r="S5100" s="61" ph="1"/>
    </row>
    <row r="5101" spans="19:19" ht="26.25">
      <c r="S5101" s="61" ph="1"/>
    </row>
    <row r="5102" spans="19:19" ht="26.25">
      <c r="S5102" s="61" ph="1"/>
    </row>
    <row r="5103" spans="19:19" ht="26.25">
      <c r="S5103" s="61" ph="1"/>
    </row>
    <row r="5104" spans="19:19" ht="26.25">
      <c r="S5104" s="61" ph="1"/>
    </row>
    <row r="5105" spans="19:19" ht="26.25">
      <c r="S5105" s="61" ph="1"/>
    </row>
    <row r="5106" spans="19:19" ht="26.25">
      <c r="S5106" s="61" ph="1"/>
    </row>
    <row r="5107" spans="19:19" ht="26.25">
      <c r="S5107" s="61" ph="1"/>
    </row>
    <row r="5108" spans="19:19" ht="26.25">
      <c r="S5108" s="61" ph="1"/>
    </row>
    <row r="5109" spans="19:19" ht="26.25">
      <c r="S5109" s="61" ph="1"/>
    </row>
    <row r="5110" spans="19:19" ht="26.25">
      <c r="S5110" s="61" ph="1"/>
    </row>
    <row r="5111" spans="19:19" ht="26.25">
      <c r="S5111" s="61" ph="1"/>
    </row>
    <row r="5112" spans="19:19" ht="26.25">
      <c r="S5112" s="61" ph="1"/>
    </row>
    <row r="5113" spans="19:19" ht="26.25">
      <c r="S5113" s="61" ph="1"/>
    </row>
    <row r="5114" spans="19:19" ht="26.25">
      <c r="S5114" s="61" ph="1"/>
    </row>
    <row r="5115" spans="19:19" ht="26.25">
      <c r="S5115" s="61" ph="1"/>
    </row>
    <row r="5116" spans="19:19" ht="26.25">
      <c r="S5116" s="61" ph="1"/>
    </row>
    <row r="5117" spans="19:19" ht="26.25">
      <c r="S5117" s="61" ph="1"/>
    </row>
    <row r="5118" spans="19:19" ht="26.25">
      <c r="S5118" s="61" ph="1"/>
    </row>
    <row r="5119" spans="19:19" ht="26.25">
      <c r="S5119" s="61" ph="1"/>
    </row>
    <row r="5120" spans="19:19" ht="26.25">
      <c r="S5120" s="61" ph="1"/>
    </row>
    <row r="5121" spans="19:19" ht="26.25">
      <c r="S5121" s="61" ph="1"/>
    </row>
    <row r="5122" spans="19:19" ht="26.25">
      <c r="S5122" s="61" ph="1"/>
    </row>
    <row r="5123" spans="19:19" ht="26.25">
      <c r="S5123" s="61" ph="1"/>
    </row>
    <row r="5124" spans="19:19" ht="26.25">
      <c r="S5124" s="61" ph="1"/>
    </row>
    <row r="5125" spans="19:19" ht="26.25">
      <c r="S5125" s="61" ph="1"/>
    </row>
    <row r="5126" spans="19:19" ht="26.25">
      <c r="S5126" s="61" ph="1"/>
    </row>
    <row r="5127" spans="19:19" ht="26.25">
      <c r="S5127" s="61" ph="1"/>
    </row>
    <row r="5128" spans="19:19" ht="26.25">
      <c r="S5128" s="61" ph="1"/>
    </row>
    <row r="5129" spans="19:19" ht="26.25">
      <c r="S5129" s="61" ph="1"/>
    </row>
    <row r="5130" spans="19:19" ht="26.25">
      <c r="S5130" s="61" ph="1"/>
    </row>
    <row r="5131" spans="19:19" ht="26.25">
      <c r="S5131" s="61" ph="1"/>
    </row>
    <row r="5132" spans="19:19" ht="26.25">
      <c r="S5132" s="61" ph="1"/>
    </row>
    <row r="5133" spans="19:19" ht="26.25">
      <c r="S5133" s="61" ph="1"/>
    </row>
    <row r="5134" spans="19:19" ht="26.25">
      <c r="S5134" s="61" ph="1"/>
    </row>
    <row r="5135" spans="19:19" ht="26.25">
      <c r="S5135" s="61" ph="1"/>
    </row>
    <row r="5136" spans="19:19" ht="26.25">
      <c r="S5136" s="61" ph="1"/>
    </row>
    <row r="5137" spans="19:19" ht="26.25">
      <c r="S5137" s="61" ph="1"/>
    </row>
    <row r="5138" spans="19:19" ht="26.25">
      <c r="S5138" s="61" ph="1"/>
    </row>
    <row r="5139" spans="19:19" ht="26.25">
      <c r="S5139" s="61" ph="1"/>
    </row>
    <row r="5140" spans="19:19" ht="26.25">
      <c r="S5140" s="61" ph="1"/>
    </row>
    <row r="5141" spans="19:19" ht="26.25">
      <c r="S5141" s="61" ph="1"/>
    </row>
    <row r="5142" spans="19:19" ht="26.25">
      <c r="S5142" s="61" ph="1"/>
    </row>
    <row r="5143" spans="19:19" ht="26.25">
      <c r="S5143" s="61" ph="1"/>
    </row>
    <row r="5144" spans="19:19" ht="26.25">
      <c r="S5144" s="61" ph="1"/>
    </row>
    <row r="5145" spans="19:19" ht="26.25">
      <c r="S5145" s="61" ph="1"/>
    </row>
    <row r="5146" spans="19:19" ht="26.25">
      <c r="S5146" s="61" ph="1"/>
    </row>
    <row r="5147" spans="19:19" ht="26.25">
      <c r="S5147" s="61" ph="1"/>
    </row>
    <row r="5148" spans="19:19" ht="26.25">
      <c r="S5148" s="61" ph="1"/>
    </row>
    <row r="5149" spans="19:19" ht="26.25">
      <c r="S5149" s="61" ph="1"/>
    </row>
    <row r="5150" spans="19:19" ht="26.25">
      <c r="S5150" s="61" ph="1"/>
    </row>
    <row r="5151" spans="19:19" ht="26.25">
      <c r="S5151" s="61" ph="1"/>
    </row>
    <row r="5152" spans="19:19" ht="26.25">
      <c r="S5152" s="61" ph="1"/>
    </row>
    <row r="5153" spans="19:19" ht="26.25">
      <c r="S5153" s="61" ph="1"/>
    </row>
    <row r="5154" spans="19:19" ht="26.25">
      <c r="S5154" s="61" ph="1"/>
    </row>
    <row r="5155" spans="19:19" ht="26.25">
      <c r="S5155" s="61" ph="1"/>
    </row>
    <row r="5156" spans="19:19" ht="26.25">
      <c r="S5156" s="61" ph="1"/>
    </row>
    <row r="5157" spans="19:19" ht="26.25">
      <c r="S5157" s="61" ph="1"/>
    </row>
    <row r="5158" spans="19:19" ht="26.25">
      <c r="S5158" s="61" ph="1"/>
    </row>
    <row r="5159" spans="19:19" ht="26.25">
      <c r="S5159" s="61" ph="1"/>
    </row>
    <row r="5160" spans="19:19" ht="26.25">
      <c r="S5160" s="61" ph="1"/>
    </row>
    <row r="5161" spans="19:19" ht="26.25">
      <c r="S5161" s="61" ph="1"/>
    </row>
    <row r="5162" spans="19:19" ht="26.25">
      <c r="S5162" s="61" ph="1"/>
    </row>
    <row r="5163" spans="19:19" ht="26.25">
      <c r="S5163" s="61" ph="1"/>
    </row>
    <row r="5164" spans="19:19" ht="26.25">
      <c r="S5164" s="61" ph="1"/>
    </row>
    <row r="5165" spans="19:19" ht="26.25">
      <c r="S5165" s="61" ph="1"/>
    </row>
    <row r="5166" spans="19:19" ht="26.25">
      <c r="S5166" s="61" ph="1"/>
    </row>
    <row r="5167" spans="19:19" ht="26.25">
      <c r="S5167" s="61" ph="1"/>
    </row>
    <row r="5168" spans="19:19" ht="26.25">
      <c r="S5168" s="61" ph="1"/>
    </row>
    <row r="5169" spans="19:19" ht="26.25">
      <c r="S5169" s="61" ph="1"/>
    </row>
    <row r="5170" spans="19:19" ht="26.25">
      <c r="S5170" s="61" ph="1"/>
    </row>
    <row r="5171" spans="19:19" ht="26.25">
      <c r="S5171" s="61" ph="1"/>
    </row>
    <row r="5172" spans="19:19" ht="26.25">
      <c r="S5172" s="61" ph="1"/>
    </row>
    <row r="5173" spans="19:19" ht="26.25">
      <c r="S5173" s="61" ph="1"/>
    </row>
    <row r="5174" spans="19:19" ht="26.25">
      <c r="S5174" s="61" ph="1"/>
    </row>
    <row r="5175" spans="19:19" ht="26.25">
      <c r="S5175" s="61" ph="1"/>
    </row>
    <row r="5176" spans="19:19" ht="26.25">
      <c r="S5176" s="61" ph="1"/>
    </row>
    <row r="5177" spans="19:19" ht="26.25">
      <c r="S5177" s="61" ph="1"/>
    </row>
    <row r="5178" spans="19:19" ht="26.25">
      <c r="S5178" s="61" ph="1"/>
    </row>
    <row r="5179" spans="19:19" ht="26.25">
      <c r="S5179" s="61" ph="1"/>
    </row>
    <row r="5180" spans="19:19" ht="26.25">
      <c r="S5180" s="61" ph="1"/>
    </row>
    <row r="5181" spans="19:19" ht="26.25">
      <c r="S5181" s="61" ph="1"/>
    </row>
    <row r="5182" spans="19:19" ht="26.25">
      <c r="S5182" s="61" ph="1"/>
    </row>
    <row r="5183" spans="19:19" ht="26.25">
      <c r="S5183" s="61" ph="1"/>
    </row>
    <row r="5184" spans="19:19" ht="26.25">
      <c r="S5184" s="61" ph="1"/>
    </row>
    <row r="5185" spans="19:19" ht="26.25">
      <c r="S5185" s="61" ph="1"/>
    </row>
    <row r="5186" spans="19:19" ht="26.25">
      <c r="S5186" s="61" ph="1"/>
    </row>
    <row r="5187" spans="19:19" ht="26.25">
      <c r="S5187" s="61" ph="1"/>
    </row>
    <row r="5188" spans="19:19" ht="26.25">
      <c r="S5188" s="61" ph="1"/>
    </row>
    <row r="5189" spans="19:19" ht="26.25">
      <c r="S5189" s="61" ph="1"/>
    </row>
    <row r="5190" spans="19:19" ht="26.25">
      <c r="S5190" s="61" ph="1"/>
    </row>
    <row r="5191" spans="19:19" ht="26.25">
      <c r="S5191" s="61" ph="1"/>
    </row>
    <row r="5192" spans="19:19" ht="26.25">
      <c r="S5192" s="61" ph="1"/>
    </row>
    <row r="5193" spans="19:19" ht="26.25">
      <c r="S5193" s="61" ph="1"/>
    </row>
    <row r="5194" spans="19:19" ht="26.25">
      <c r="S5194" s="61" ph="1"/>
    </row>
    <row r="5195" spans="19:19" ht="26.25">
      <c r="S5195" s="61" ph="1"/>
    </row>
    <row r="5196" spans="19:19" ht="26.25">
      <c r="S5196" s="61" ph="1"/>
    </row>
    <row r="5197" spans="19:19" ht="26.25">
      <c r="S5197" s="61" ph="1"/>
    </row>
    <row r="5198" spans="19:19" ht="26.25">
      <c r="S5198" s="61" ph="1"/>
    </row>
    <row r="5199" spans="19:19" ht="26.25">
      <c r="S5199" s="61" ph="1"/>
    </row>
    <row r="5200" spans="19:19" ht="26.25">
      <c r="S5200" s="61" ph="1"/>
    </row>
    <row r="5201" spans="19:19" ht="26.25">
      <c r="S5201" s="61" ph="1"/>
    </row>
    <row r="5202" spans="19:19" ht="26.25">
      <c r="S5202" s="61" ph="1"/>
    </row>
    <row r="5203" spans="19:19" ht="26.25">
      <c r="S5203" s="61" ph="1"/>
    </row>
    <row r="5204" spans="19:19" ht="26.25">
      <c r="S5204" s="61" ph="1"/>
    </row>
    <row r="5205" spans="19:19" ht="26.25">
      <c r="S5205" s="61" ph="1"/>
    </row>
    <row r="5206" spans="19:19" ht="26.25">
      <c r="S5206" s="61" ph="1"/>
    </row>
    <row r="5207" spans="19:19" ht="26.25">
      <c r="S5207" s="61" ph="1"/>
    </row>
    <row r="5208" spans="19:19" ht="26.25">
      <c r="S5208" s="61" ph="1"/>
    </row>
    <row r="5209" spans="19:19" ht="26.25">
      <c r="S5209" s="61" ph="1"/>
    </row>
    <row r="5210" spans="19:19" ht="26.25">
      <c r="S5210" s="61" ph="1"/>
    </row>
    <row r="5211" spans="19:19" ht="26.25">
      <c r="S5211" s="61" ph="1"/>
    </row>
    <row r="5212" spans="19:19" ht="26.25">
      <c r="S5212" s="61" ph="1"/>
    </row>
    <row r="5213" spans="19:19" ht="26.25">
      <c r="S5213" s="61" ph="1"/>
    </row>
    <row r="5214" spans="19:19" ht="26.25">
      <c r="S5214" s="61" ph="1"/>
    </row>
    <row r="5215" spans="19:19" ht="26.25">
      <c r="S5215" s="61" ph="1"/>
    </row>
    <row r="5216" spans="19:19" ht="26.25">
      <c r="S5216" s="61" ph="1"/>
    </row>
    <row r="5217" spans="19:19" ht="26.25">
      <c r="S5217" s="61" ph="1"/>
    </row>
    <row r="5218" spans="19:19" ht="26.25">
      <c r="S5218" s="61" ph="1"/>
    </row>
    <row r="5219" spans="19:19" ht="26.25">
      <c r="S5219" s="61" ph="1"/>
    </row>
    <row r="5220" spans="19:19" ht="26.25">
      <c r="S5220" s="61" ph="1"/>
    </row>
    <row r="5221" spans="19:19" ht="26.25">
      <c r="S5221" s="61" ph="1"/>
    </row>
    <row r="5222" spans="19:19" ht="26.25">
      <c r="S5222" s="61" ph="1"/>
    </row>
    <row r="5223" spans="19:19" ht="26.25">
      <c r="S5223" s="61" ph="1"/>
    </row>
    <row r="5224" spans="19:19" ht="26.25">
      <c r="S5224" s="61" ph="1"/>
    </row>
    <row r="5225" spans="19:19" ht="26.25">
      <c r="S5225" s="61" ph="1"/>
    </row>
    <row r="5226" spans="19:19" ht="26.25">
      <c r="S5226" s="61" ph="1"/>
    </row>
    <row r="5227" spans="19:19" ht="26.25">
      <c r="S5227" s="61" ph="1"/>
    </row>
    <row r="5228" spans="19:19" ht="26.25">
      <c r="S5228" s="61" ph="1"/>
    </row>
    <row r="5229" spans="19:19" ht="26.25">
      <c r="S5229" s="61" ph="1"/>
    </row>
    <row r="5230" spans="19:19" ht="26.25">
      <c r="S5230" s="61" ph="1"/>
    </row>
    <row r="5231" spans="19:19" ht="26.25">
      <c r="S5231" s="61" ph="1"/>
    </row>
    <row r="5232" spans="19:19" ht="26.25">
      <c r="S5232" s="61" ph="1"/>
    </row>
    <row r="5233" spans="19:19" ht="26.25">
      <c r="S5233" s="61" ph="1"/>
    </row>
    <row r="5234" spans="19:19" ht="26.25">
      <c r="S5234" s="61" ph="1"/>
    </row>
    <row r="5235" spans="19:19" ht="26.25">
      <c r="S5235" s="61" ph="1"/>
    </row>
    <row r="5236" spans="19:19" ht="26.25">
      <c r="S5236" s="61" ph="1"/>
    </row>
    <row r="5237" spans="19:19" ht="26.25">
      <c r="S5237" s="61" ph="1"/>
    </row>
    <row r="5238" spans="19:19" ht="26.25">
      <c r="S5238" s="61" ph="1"/>
    </row>
    <row r="5239" spans="19:19" ht="26.25">
      <c r="S5239" s="61" ph="1"/>
    </row>
    <row r="5240" spans="19:19" ht="26.25">
      <c r="S5240" s="61" ph="1"/>
    </row>
    <row r="5241" spans="19:19" ht="26.25">
      <c r="S5241" s="61" ph="1"/>
    </row>
    <row r="5242" spans="19:19" ht="26.25">
      <c r="S5242" s="61" ph="1"/>
    </row>
    <row r="5243" spans="19:19" ht="26.25">
      <c r="S5243" s="61" ph="1"/>
    </row>
    <row r="5244" spans="19:19" ht="26.25">
      <c r="S5244" s="61" ph="1"/>
    </row>
    <row r="5245" spans="19:19" ht="26.25">
      <c r="S5245" s="61" ph="1"/>
    </row>
    <row r="5246" spans="19:19" ht="26.25">
      <c r="S5246" s="61" ph="1"/>
    </row>
    <row r="5247" spans="19:19" ht="26.25">
      <c r="S5247" s="61" ph="1"/>
    </row>
    <row r="5248" spans="19:19" ht="26.25">
      <c r="S5248" s="61" ph="1"/>
    </row>
    <row r="5249" spans="19:19" ht="26.25">
      <c r="S5249" s="61" ph="1"/>
    </row>
    <row r="5250" spans="19:19" ht="26.25">
      <c r="S5250" s="61" ph="1"/>
    </row>
    <row r="5251" spans="19:19" ht="26.25">
      <c r="S5251" s="61" ph="1"/>
    </row>
    <row r="5252" spans="19:19" ht="26.25">
      <c r="S5252" s="61" ph="1"/>
    </row>
    <row r="5253" spans="19:19" ht="26.25">
      <c r="S5253" s="61" ph="1"/>
    </row>
    <row r="5254" spans="19:19" ht="26.25">
      <c r="S5254" s="61" ph="1"/>
    </row>
    <row r="5255" spans="19:19" ht="26.25">
      <c r="S5255" s="61" ph="1"/>
    </row>
    <row r="5256" spans="19:19" ht="26.25">
      <c r="S5256" s="61" ph="1"/>
    </row>
    <row r="5257" spans="19:19" ht="26.25">
      <c r="S5257" s="61" ph="1"/>
    </row>
    <row r="5258" spans="19:19" ht="26.25">
      <c r="S5258" s="61" ph="1"/>
    </row>
    <row r="5259" spans="19:19" ht="26.25">
      <c r="S5259" s="61" ph="1"/>
    </row>
    <row r="5260" spans="19:19" ht="26.25">
      <c r="S5260" s="61" ph="1"/>
    </row>
    <row r="5261" spans="19:19" ht="26.25">
      <c r="S5261" s="61" ph="1"/>
    </row>
    <row r="5262" spans="19:19" ht="26.25">
      <c r="S5262" s="61" ph="1"/>
    </row>
    <row r="5263" spans="19:19" ht="26.25">
      <c r="S5263" s="61" ph="1"/>
    </row>
    <row r="5264" spans="19:19" ht="26.25">
      <c r="S5264" s="61" ph="1"/>
    </row>
    <row r="5265" spans="19:19" ht="26.25">
      <c r="S5265" s="61" ph="1"/>
    </row>
    <row r="5266" spans="19:19" ht="26.25">
      <c r="S5266" s="61" ph="1"/>
    </row>
    <row r="5267" spans="19:19" ht="26.25">
      <c r="S5267" s="61" ph="1"/>
    </row>
    <row r="5268" spans="19:19" ht="26.25">
      <c r="S5268" s="61" ph="1"/>
    </row>
    <row r="5269" spans="19:19" ht="26.25">
      <c r="S5269" s="61" ph="1"/>
    </row>
    <row r="5270" spans="19:19" ht="26.25">
      <c r="S5270" s="61" ph="1"/>
    </row>
    <row r="5271" spans="19:19" ht="26.25">
      <c r="S5271" s="61" ph="1"/>
    </row>
    <row r="5272" spans="19:19" ht="26.25">
      <c r="S5272" s="61" ph="1"/>
    </row>
    <row r="5273" spans="19:19" ht="26.25">
      <c r="S5273" s="61" ph="1"/>
    </row>
    <row r="5274" spans="19:19" ht="26.25">
      <c r="S5274" s="61" ph="1"/>
    </row>
    <row r="5275" spans="19:19" ht="26.25">
      <c r="S5275" s="61" ph="1"/>
    </row>
    <row r="5276" spans="19:19" ht="26.25">
      <c r="S5276" s="61" ph="1"/>
    </row>
    <row r="5277" spans="19:19" ht="26.25">
      <c r="S5277" s="61" ph="1"/>
    </row>
    <row r="5278" spans="19:19" ht="26.25">
      <c r="S5278" s="61" ph="1"/>
    </row>
    <row r="5279" spans="19:19" ht="26.25">
      <c r="S5279" s="61" ph="1"/>
    </row>
    <row r="5280" spans="19:19" ht="26.25">
      <c r="S5280" s="61" ph="1"/>
    </row>
    <row r="5281" spans="19:19" ht="26.25">
      <c r="S5281" s="61" ph="1"/>
    </row>
    <row r="5282" spans="19:19" ht="26.25">
      <c r="S5282" s="61" ph="1"/>
    </row>
    <row r="5283" spans="19:19" ht="26.25">
      <c r="S5283" s="61" ph="1"/>
    </row>
    <row r="5284" spans="19:19" ht="26.25">
      <c r="S5284" s="61" ph="1"/>
    </row>
    <row r="5285" spans="19:19" ht="26.25">
      <c r="S5285" s="61" ph="1"/>
    </row>
    <row r="5286" spans="19:19" ht="26.25">
      <c r="S5286" s="61" ph="1"/>
    </row>
    <row r="5287" spans="19:19" ht="26.25">
      <c r="S5287" s="61" ph="1"/>
    </row>
    <row r="5288" spans="19:19" ht="26.25">
      <c r="S5288" s="61" ph="1"/>
    </row>
    <row r="5289" spans="19:19" ht="26.25">
      <c r="S5289" s="61" ph="1"/>
    </row>
    <row r="5290" spans="19:19" ht="26.25">
      <c r="S5290" s="61" ph="1"/>
    </row>
    <row r="5291" spans="19:19" ht="26.25">
      <c r="S5291" s="61" ph="1"/>
    </row>
    <row r="5292" spans="19:19" ht="26.25">
      <c r="S5292" s="61" ph="1"/>
    </row>
    <row r="5293" spans="19:19" ht="26.25">
      <c r="S5293" s="61" ph="1"/>
    </row>
    <row r="5294" spans="19:19" ht="26.25">
      <c r="S5294" s="61" ph="1"/>
    </row>
    <row r="5295" spans="19:19" ht="26.25">
      <c r="S5295" s="61" ph="1"/>
    </row>
    <row r="5296" spans="19:19" ht="26.25">
      <c r="S5296" s="61" ph="1"/>
    </row>
    <row r="5297" spans="19:19" ht="26.25">
      <c r="S5297" s="61" ph="1"/>
    </row>
    <row r="5298" spans="19:19" ht="26.25">
      <c r="S5298" s="61" ph="1"/>
    </row>
    <row r="5299" spans="19:19" ht="26.25">
      <c r="S5299" s="61" ph="1"/>
    </row>
    <row r="5300" spans="19:19" ht="26.25">
      <c r="S5300" s="61" ph="1"/>
    </row>
    <row r="5301" spans="19:19" ht="26.25">
      <c r="S5301" s="61" ph="1"/>
    </row>
    <row r="5302" spans="19:19" ht="26.25">
      <c r="S5302" s="61" ph="1"/>
    </row>
    <row r="5303" spans="19:19" ht="26.25">
      <c r="S5303" s="61" ph="1"/>
    </row>
    <row r="5304" spans="19:19" ht="26.25">
      <c r="S5304" s="61" ph="1"/>
    </row>
    <row r="5305" spans="19:19" ht="26.25">
      <c r="S5305" s="61" ph="1"/>
    </row>
    <row r="5306" spans="19:19" ht="26.25">
      <c r="S5306" s="61" ph="1"/>
    </row>
    <row r="5307" spans="19:19" ht="26.25">
      <c r="S5307" s="61" ph="1"/>
    </row>
    <row r="5308" spans="19:19" ht="26.25">
      <c r="S5308" s="61" ph="1"/>
    </row>
    <row r="5309" spans="19:19" ht="26.25">
      <c r="S5309" s="61" ph="1"/>
    </row>
    <row r="5310" spans="19:19" ht="26.25">
      <c r="S5310" s="61" ph="1"/>
    </row>
    <row r="5311" spans="19:19" ht="26.25">
      <c r="S5311" s="61" ph="1"/>
    </row>
    <row r="5312" spans="19:19" ht="26.25">
      <c r="S5312" s="61" ph="1"/>
    </row>
    <row r="5313" spans="19:19" ht="26.25">
      <c r="S5313" s="61" ph="1"/>
    </row>
    <row r="5314" spans="19:19" ht="26.25">
      <c r="S5314" s="61" ph="1"/>
    </row>
    <row r="5315" spans="19:19" ht="26.25">
      <c r="S5315" s="61" ph="1"/>
    </row>
    <row r="5316" spans="19:19" ht="26.25">
      <c r="S5316" s="61" ph="1"/>
    </row>
    <row r="5317" spans="19:19" ht="26.25">
      <c r="S5317" s="61" ph="1"/>
    </row>
    <row r="5318" spans="19:19" ht="26.25">
      <c r="S5318" s="61" ph="1"/>
    </row>
    <row r="5319" spans="19:19" ht="26.25">
      <c r="S5319" s="61" ph="1"/>
    </row>
    <row r="5320" spans="19:19" ht="26.25">
      <c r="S5320" s="61" ph="1"/>
    </row>
    <row r="5321" spans="19:19" ht="26.25">
      <c r="S5321" s="61" ph="1"/>
    </row>
    <row r="5322" spans="19:19" ht="26.25">
      <c r="S5322" s="61" ph="1"/>
    </row>
    <row r="5323" spans="19:19" ht="26.25">
      <c r="S5323" s="61" ph="1"/>
    </row>
    <row r="5324" spans="19:19" ht="26.25">
      <c r="S5324" s="61" ph="1"/>
    </row>
    <row r="5325" spans="19:19" ht="26.25">
      <c r="S5325" s="61" ph="1"/>
    </row>
    <row r="5326" spans="19:19" ht="26.25">
      <c r="S5326" s="61" ph="1"/>
    </row>
    <row r="5327" spans="19:19" ht="26.25">
      <c r="S5327" s="61" ph="1"/>
    </row>
    <row r="5328" spans="19:19" ht="26.25">
      <c r="S5328" s="61" ph="1"/>
    </row>
    <row r="5329" spans="19:19" ht="26.25">
      <c r="S5329" s="61" ph="1"/>
    </row>
    <row r="5330" spans="19:19" ht="26.25">
      <c r="S5330" s="61" ph="1"/>
    </row>
    <row r="5331" spans="19:19" ht="26.25">
      <c r="S5331" s="61" ph="1"/>
    </row>
    <row r="5332" spans="19:19" ht="26.25">
      <c r="S5332" s="61" ph="1"/>
    </row>
    <row r="5333" spans="19:19" ht="26.25">
      <c r="S5333" s="61" ph="1"/>
    </row>
    <row r="5334" spans="19:19" ht="26.25">
      <c r="S5334" s="61" ph="1"/>
    </row>
    <row r="5335" spans="19:19" ht="26.25">
      <c r="S5335" s="61" ph="1"/>
    </row>
    <row r="5336" spans="19:19" ht="26.25">
      <c r="S5336" s="61" ph="1"/>
    </row>
    <row r="5337" spans="19:19" ht="26.25">
      <c r="S5337" s="61" ph="1"/>
    </row>
    <row r="5338" spans="19:19" ht="26.25">
      <c r="S5338" s="61" ph="1"/>
    </row>
    <row r="5339" spans="19:19" ht="26.25">
      <c r="S5339" s="61" ph="1"/>
    </row>
    <row r="5340" spans="19:19" ht="26.25">
      <c r="S5340" s="61" ph="1"/>
    </row>
    <row r="5341" spans="19:19" ht="26.25">
      <c r="S5341" s="61" ph="1"/>
    </row>
    <row r="5342" spans="19:19" ht="26.25">
      <c r="S5342" s="61" ph="1"/>
    </row>
    <row r="5343" spans="19:19" ht="26.25">
      <c r="S5343" s="61" ph="1"/>
    </row>
    <row r="5344" spans="19:19" ht="26.25">
      <c r="S5344" s="61" ph="1"/>
    </row>
    <row r="5345" spans="19:19" ht="26.25">
      <c r="S5345" s="61" ph="1"/>
    </row>
    <row r="5346" spans="19:19" ht="26.25">
      <c r="S5346" s="61" ph="1"/>
    </row>
    <row r="5347" spans="19:19" ht="26.25">
      <c r="S5347" s="61" ph="1"/>
    </row>
    <row r="5348" spans="19:19" ht="26.25">
      <c r="S5348" s="61" ph="1"/>
    </row>
    <row r="5349" spans="19:19" ht="26.25">
      <c r="S5349" s="61" ph="1"/>
    </row>
    <row r="5350" spans="19:19" ht="26.25">
      <c r="S5350" s="61" ph="1"/>
    </row>
    <row r="5351" spans="19:19" ht="26.25">
      <c r="S5351" s="61" ph="1"/>
    </row>
    <row r="5352" spans="19:19" ht="26.25">
      <c r="S5352" s="61" ph="1"/>
    </row>
    <row r="5353" spans="19:19" ht="26.25">
      <c r="S5353" s="61" ph="1"/>
    </row>
    <row r="5354" spans="19:19" ht="26.25">
      <c r="S5354" s="61" ph="1"/>
    </row>
    <row r="5355" spans="19:19" ht="26.25">
      <c r="S5355" s="61" ph="1"/>
    </row>
    <row r="5356" spans="19:19" ht="26.25">
      <c r="S5356" s="61" ph="1"/>
    </row>
    <row r="5357" spans="19:19" ht="26.25">
      <c r="S5357" s="61" ph="1"/>
    </row>
    <row r="5358" spans="19:19" ht="26.25">
      <c r="S5358" s="61" ph="1"/>
    </row>
    <row r="5359" spans="19:19" ht="26.25">
      <c r="S5359" s="61" ph="1"/>
    </row>
    <row r="5360" spans="19:19" ht="26.25">
      <c r="S5360" s="61" ph="1"/>
    </row>
    <row r="5361" spans="19:19" ht="26.25">
      <c r="S5361" s="61" ph="1"/>
    </row>
    <row r="5362" spans="19:19" ht="26.25">
      <c r="S5362" s="61" ph="1"/>
    </row>
    <row r="5363" spans="19:19" ht="26.25">
      <c r="S5363" s="61" ph="1"/>
    </row>
    <row r="5364" spans="19:19" ht="26.25">
      <c r="S5364" s="61" ph="1"/>
    </row>
    <row r="5365" spans="19:19" ht="26.25">
      <c r="S5365" s="61" ph="1"/>
    </row>
    <row r="5366" spans="19:19" ht="26.25">
      <c r="S5366" s="61" ph="1"/>
    </row>
    <row r="5367" spans="19:19" ht="26.25">
      <c r="S5367" s="61" ph="1"/>
    </row>
    <row r="5368" spans="19:19" ht="26.25">
      <c r="S5368" s="61" ph="1"/>
    </row>
    <row r="5369" spans="19:19" ht="26.25">
      <c r="S5369" s="61" ph="1"/>
    </row>
    <row r="5370" spans="19:19" ht="26.25">
      <c r="S5370" s="61" ph="1"/>
    </row>
    <row r="5371" spans="19:19" ht="26.25">
      <c r="S5371" s="61" ph="1"/>
    </row>
    <row r="5372" spans="19:19" ht="26.25">
      <c r="S5372" s="61" ph="1"/>
    </row>
    <row r="5373" spans="19:19" ht="26.25">
      <c r="S5373" s="61" ph="1"/>
    </row>
    <row r="5374" spans="19:19" ht="26.25">
      <c r="S5374" s="61" ph="1"/>
    </row>
    <row r="5375" spans="19:19" ht="26.25">
      <c r="S5375" s="61" ph="1"/>
    </row>
    <row r="5376" spans="19:19" ht="26.25">
      <c r="S5376" s="61" ph="1"/>
    </row>
    <row r="5377" spans="19:19" ht="26.25">
      <c r="S5377" s="61" ph="1"/>
    </row>
    <row r="5378" spans="19:19" ht="26.25">
      <c r="S5378" s="61" ph="1"/>
    </row>
    <row r="5379" spans="19:19" ht="26.25">
      <c r="S5379" s="61" ph="1"/>
    </row>
    <row r="5380" spans="19:19" ht="26.25">
      <c r="S5380" s="61" ph="1"/>
    </row>
    <row r="5381" spans="19:19" ht="26.25">
      <c r="S5381" s="61" ph="1"/>
    </row>
    <row r="5382" spans="19:19" ht="26.25">
      <c r="S5382" s="61" ph="1"/>
    </row>
    <row r="5383" spans="19:19" ht="26.25">
      <c r="S5383" s="61" ph="1"/>
    </row>
    <row r="5384" spans="19:19" ht="26.25">
      <c r="S5384" s="61" ph="1"/>
    </row>
    <row r="5385" spans="19:19" ht="26.25">
      <c r="S5385" s="61" ph="1"/>
    </row>
    <row r="5386" spans="19:19" ht="26.25">
      <c r="S5386" s="61" ph="1"/>
    </row>
    <row r="5387" spans="19:19" ht="26.25">
      <c r="S5387" s="61" ph="1"/>
    </row>
    <row r="5388" spans="19:19" ht="26.25">
      <c r="S5388" s="61" ph="1"/>
    </row>
    <row r="5389" spans="19:19" ht="26.25">
      <c r="S5389" s="61" ph="1"/>
    </row>
    <row r="5390" spans="19:19" ht="26.25">
      <c r="S5390" s="61" ph="1"/>
    </row>
    <row r="5391" spans="19:19" ht="26.25">
      <c r="S5391" s="61" ph="1"/>
    </row>
    <row r="5392" spans="19:19" ht="26.25">
      <c r="S5392" s="61" ph="1"/>
    </row>
    <row r="5393" spans="19:19" ht="26.25">
      <c r="S5393" s="61" ph="1"/>
    </row>
    <row r="5394" spans="19:19" ht="26.25">
      <c r="S5394" s="61" ph="1"/>
    </row>
    <row r="5395" spans="19:19" ht="26.25">
      <c r="S5395" s="61" ph="1"/>
    </row>
    <row r="5396" spans="19:19" ht="26.25">
      <c r="S5396" s="61" ph="1"/>
    </row>
    <row r="5397" spans="19:19" ht="26.25">
      <c r="S5397" s="61" ph="1"/>
    </row>
    <row r="5398" spans="19:19" ht="26.25">
      <c r="S5398" s="61" ph="1"/>
    </row>
    <row r="5399" spans="19:19" ht="26.25">
      <c r="S5399" s="61" ph="1"/>
    </row>
    <row r="5400" spans="19:19" ht="26.25">
      <c r="S5400" s="61" ph="1"/>
    </row>
    <row r="5401" spans="19:19" ht="26.25">
      <c r="S5401" s="61" ph="1"/>
    </row>
    <row r="5402" spans="19:19" ht="26.25">
      <c r="S5402" s="61" ph="1"/>
    </row>
    <row r="5403" spans="19:19" ht="26.25">
      <c r="S5403" s="61" ph="1"/>
    </row>
    <row r="5404" spans="19:19" ht="26.25">
      <c r="S5404" s="61" ph="1"/>
    </row>
    <row r="5405" spans="19:19" ht="26.25">
      <c r="S5405" s="61" ph="1"/>
    </row>
    <row r="5406" spans="19:19" ht="26.25">
      <c r="S5406" s="61" ph="1"/>
    </row>
    <row r="5407" spans="19:19" ht="26.25">
      <c r="S5407" s="61" ph="1"/>
    </row>
    <row r="5408" spans="19:19" ht="26.25">
      <c r="S5408" s="61" ph="1"/>
    </row>
    <row r="5409" spans="19:19" ht="26.25">
      <c r="S5409" s="61" ph="1"/>
    </row>
    <row r="5410" spans="19:19" ht="26.25">
      <c r="S5410" s="61" ph="1"/>
    </row>
    <row r="5411" spans="19:19" ht="26.25">
      <c r="S5411" s="61" ph="1"/>
    </row>
    <row r="5412" spans="19:19" ht="26.25">
      <c r="S5412" s="61" ph="1"/>
    </row>
    <row r="5413" spans="19:19" ht="26.25">
      <c r="S5413" s="61" ph="1"/>
    </row>
    <row r="5414" spans="19:19" ht="26.25">
      <c r="S5414" s="61" ph="1"/>
    </row>
    <row r="5415" spans="19:19" ht="26.25">
      <c r="S5415" s="61" ph="1"/>
    </row>
    <row r="5416" spans="19:19" ht="26.25">
      <c r="S5416" s="61" ph="1"/>
    </row>
    <row r="5417" spans="19:19" ht="26.25">
      <c r="S5417" s="61" ph="1"/>
    </row>
    <row r="5418" spans="19:19" ht="26.25">
      <c r="S5418" s="61" ph="1"/>
    </row>
    <row r="5419" spans="19:19" ht="26.25">
      <c r="S5419" s="61" ph="1"/>
    </row>
    <row r="5420" spans="19:19" ht="26.25">
      <c r="S5420" s="61" ph="1"/>
    </row>
    <row r="5421" spans="19:19" ht="26.25">
      <c r="S5421" s="61" ph="1"/>
    </row>
    <row r="5422" spans="19:19" ht="26.25">
      <c r="S5422" s="61" ph="1"/>
    </row>
    <row r="5423" spans="19:19" ht="26.25">
      <c r="S5423" s="61" ph="1"/>
    </row>
    <row r="5424" spans="19:19" ht="26.25">
      <c r="S5424" s="61" ph="1"/>
    </row>
    <row r="5425" spans="19:19" ht="26.25">
      <c r="S5425" s="61" ph="1"/>
    </row>
    <row r="5426" spans="19:19" ht="26.25">
      <c r="S5426" s="61" ph="1"/>
    </row>
    <row r="5427" spans="19:19" ht="26.25">
      <c r="S5427" s="61" ph="1"/>
    </row>
    <row r="5428" spans="19:19" ht="26.25">
      <c r="S5428" s="61" ph="1"/>
    </row>
    <row r="5429" spans="19:19" ht="26.25">
      <c r="S5429" s="61" ph="1"/>
    </row>
    <row r="5430" spans="19:19" ht="26.25">
      <c r="S5430" s="61" ph="1"/>
    </row>
    <row r="5431" spans="19:19" ht="26.25">
      <c r="S5431" s="61" ph="1"/>
    </row>
    <row r="5432" spans="19:19" ht="26.25">
      <c r="S5432" s="61" ph="1"/>
    </row>
    <row r="5433" spans="19:19" ht="26.25">
      <c r="S5433" s="61" ph="1"/>
    </row>
    <row r="5434" spans="19:19" ht="26.25">
      <c r="S5434" s="61" ph="1"/>
    </row>
    <row r="5435" spans="19:19" ht="26.25">
      <c r="S5435" s="61" ph="1"/>
    </row>
    <row r="5436" spans="19:19" ht="26.25">
      <c r="S5436" s="61" ph="1"/>
    </row>
    <row r="5437" spans="19:19" ht="26.25">
      <c r="S5437" s="61" ph="1"/>
    </row>
    <row r="5438" spans="19:19" ht="26.25">
      <c r="S5438" s="61" ph="1"/>
    </row>
    <row r="5439" spans="19:19" ht="26.25">
      <c r="S5439" s="61" ph="1"/>
    </row>
    <row r="5440" spans="19:19" ht="26.25">
      <c r="S5440" s="61" ph="1"/>
    </row>
    <row r="5441" spans="19:19" ht="26.25">
      <c r="S5441" s="61" ph="1"/>
    </row>
    <row r="5442" spans="19:19" ht="26.25">
      <c r="S5442" s="61" ph="1"/>
    </row>
    <row r="5443" spans="19:19" ht="26.25">
      <c r="S5443" s="61" ph="1"/>
    </row>
    <row r="5444" spans="19:19" ht="26.25">
      <c r="S5444" s="61" ph="1"/>
    </row>
    <row r="5445" spans="19:19" ht="26.25">
      <c r="S5445" s="61" ph="1"/>
    </row>
    <row r="5446" spans="19:19" ht="26.25">
      <c r="S5446" s="61" ph="1"/>
    </row>
    <row r="5447" spans="19:19" ht="26.25">
      <c r="S5447" s="61" ph="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FF0000"/>
  </sheetPr>
  <dimension ref="A1:AM1854"/>
  <sheetViews>
    <sheetView topLeftCell="A489" workbookViewId="0">
      <selection activeCell="J516" sqref="J516"/>
    </sheetView>
  </sheetViews>
  <sheetFormatPr defaultColWidth="9.140625" defaultRowHeight="16.5"/>
  <cols>
    <col min="1" max="1" width="5.7109375" style="130" customWidth="1"/>
    <col min="2" max="5" width="5.7109375" style="92" customWidth="1"/>
    <col min="6" max="6" width="8.7109375" style="63" customWidth="1"/>
    <col min="7" max="7" width="7.7109375" style="41" customWidth="1"/>
    <col min="8" max="8" width="5.7109375" style="42" customWidth="1"/>
    <col min="9" max="9" width="8.7109375" style="9" customWidth="1"/>
    <col min="10" max="10" width="6.7109375" style="31" customWidth="1"/>
    <col min="11" max="11" width="6.7109375" style="320" customWidth="1"/>
    <col min="12" max="12" width="6.7109375" style="73" customWidth="1"/>
    <col min="13" max="13" width="6.7109375" style="318" customWidth="1"/>
    <col min="14" max="14" width="7.7109375" style="320" customWidth="1"/>
    <col min="15" max="15" width="5.7109375" style="365" customWidth="1"/>
    <col min="16" max="16" width="5.7109375" style="374" customWidth="1"/>
    <col min="17" max="17" width="2.7109375" style="245" customWidth="1"/>
    <col min="18" max="18" width="7" style="151" customWidth="1"/>
    <col min="19" max="19" width="7.7109375" style="85" customWidth="1"/>
    <col min="20" max="20" width="6.7109375" style="354" customWidth="1"/>
    <col min="21" max="21" width="7.7109375" style="228" customWidth="1"/>
    <col min="22" max="22" width="9.7109375" style="203" customWidth="1"/>
    <col min="23" max="23" width="9.7109375" style="200" customWidth="1"/>
    <col min="24" max="24" width="9.7109375" style="58" customWidth="1"/>
    <col min="25" max="25" width="8.7109375" style="11" customWidth="1"/>
    <col min="26" max="26" width="6.7109375" style="413" customWidth="1"/>
    <col min="27" max="27" width="3.7109375" style="46" customWidth="1"/>
    <col min="28" max="28" width="3.7109375" style="5" customWidth="1"/>
    <col min="29" max="29" width="4.7109375" style="30" customWidth="1"/>
    <col min="30" max="30" width="8.7109375" style="9" customWidth="1"/>
    <col min="31" max="31" width="11.7109375" style="84" customWidth="1"/>
    <col min="32" max="32" width="11.7109375" style="83" customWidth="1"/>
    <col min="33" max="33" width="4.7109375" style="78" customWidth="1"/>
    <col min="34" max="34" width="8.7109375" style="122" customWidth="1"/>
    <col min="35" max="35" width="7.7109375" style="280" customWidth="1"/>
    <col min="36" max="36" width="7.7109375" style="270" customWidth="1"/>
    <col min="37" max="37" width="7.7109375" style="344" customWidth="1"/>
    <col min="38" max="38" width="2.7109375" style="302" customWidth="1"/>
    <col min="39" max="16384" width="9.140625" style="264"/>
  </cols>
  <sheetData>
    <row r="1" spans="1:38">
      <c r="B1" s="79"/>
      <c r="C1" s="79"/>
      <c r="D1" s="79"/>
      <c r="E1" s="79"/>
      <c r="F1" s="57"/>
      <c r="G1" s="41" t="s">
        <v>3740</v>
      </c>
      <c r="H1" s="17"/>
      <c r="I1" s="22" t="s">
        <v>3741</v>
      </c>
      <c r="J1" s="201">
        <v>55.11</v>
      </c>
      <c r="K1" s="323">
        <v>35.979999999999997</v>
      </c>
      <c r="L1" s="73">
        <v>0.41</v>
      </c>
      <c r="N1" s="318">
        <f>J1+K1+L1+M1</f>
        <v>91.5</v>
      </c>
      <c r="O1" s="26"/>
      <c r="P1" s="374">
        <v>7.78</v>
      </c>
      <c r="R1" s="151">
        <v>7.78</v>
      </c>
      <c r="S1" s="198">
        <v>0.35</v>
      </c>
      <c r="T1" s="352"/>
      <c r="U1" s="57"/>
      <c r="V1" s="13">
        <f>RTD("money.excel",,"0050","Price")</f>
        <v>134.55000000000001</v>
      </c>
      <c r="W1" s="65"/>
      <c r="X1" s="15">
        <f>V1-W1</f>
        <v>134.55000000000001</v>
      </c>
      <c r="Y1" s="3" t="e">
        <f>X1/W1</f>
        <v>#DIV/0!</v>
      </c>
      <c r="AA1" s="2"/>
      <c r="AD1" s="22" t="s">
        <v>3741</v>
      </c>
      <c r="AG1" s="33">
        <f>AF1-AE1</f>
        <v>0</v>
      </c>
      <c r="AH1" s="43"/>
      <c r="AI1" s="310"/>
      <c r="AJ1" s="268"/>
      <c r="AK1" s="339"/>
    </row>
    <row r="2" spans="1:38">
      <c r="B2" s="79"/>
      <c r="C2" s="79"/>
      <c r="D2" s="79"/>
      <c r="E2" s="79"/>
      <c r="F2" s="57"/>
      <c r="H2" s="17"/>
      <c r="I2" s="22"/>
      <c r="J2" s="201"/>
      <c r="K2" s="323"/>
      <c r="N2" s="318"/>
      <c r="O2" s="26"/>
      <c r="S2" s="198"/>
      <c r="T2" s="352"/>
      <c r="U2" s="57"/>
      <c r="V2" s="13"/>
      <c r="W2" s="65"/>
      <c r="X2" s="15"/>
      <c r="Y2" s="3"/>
      <c r="AA2" s="2"/>
      <c r="AD2" s="22"/>
      <c r="AG2" s="33"/>
      <c r="AH2" s="43"/>
      <c r="AI2" s="310"/>
      <c r="AJ2" s="268"/>
      <c r="AK2" s="339"/>
    </row>
    <row r="3" spans="1:38">
      <c r="A3" s="130" t="s">
        <v>1732</v>
      </c>
      <c r="B3" s="91" t="s">
        <v>1588</v>
      </c>
      <c r="C3" s="91" t="s">
        <v>1589</v>
      </c>
      <c r="D3" s="91" t="s">
        <v>1590</v>
      </c>
      <c r="E3" s="91" t="s">
        <v>1591</v>
      </c>
      <c r="F3" s="8" t="s">
        <v>1066</v>
      </c>
      <c r="G3" s="27" t="s">
        <v>858</v>
      </c>
      <c r="H3" s="55" t="s">
        <v>322</v>
      </c>
      <c r="I3" s="8" t="s">
        <v>3882</v>
      </c>
      <c r="J3" s="317" t="s">
        <v>1467</v>
      </c>
      <c r="K3" s="317" t="s">
        <v>1157</v>
      </c>
      <c r="L3" s="317" t="s">
        <v>284</v>
      </c>
      <c r="M3" s="317" t="s">
        <v>1059</v>
      </c>
      <c r="N3" s="317" t="s">
        <v>5048</v>
      </c>
      <c r="O3" s="26" t="s">
        <v>5107</v>
      </c>
      <c r="P3" s="373" t="s">
        <v>5059</v>
      </c>
      <c r="Q3" s="245" t="s">
        <v>5087</v>
      </c>
      <c r="R3" s="345" t="s">
        <v>5059</v>
      </c>
      <c r="S3" s="10" t="s">
        <v>66</v>
      </c>
      <c r="T3" s="351" t="s">
        <v>5076</v>
      </c>
      <c r="U3" s="68" t="s">
        <v>3493</v>
      </c>
      <c r="V3" s="28" t="s">
        <v>2</v>
      </c>
      <c r="W3" s="17" t="s">
        <v>1405</v>
      </c>
      <c r="X3" s="14" t="s">
        <v>5</v>
      </c>
      <c r="Y3" s="21" t="s">
        <v>3</v>
      </c>
      <c r="Z3" s="97" t="s">
        <v>6627</v>
      </c>
      <c r="AA3" s="406" t="s">
        <v>8647</v>
      </c>
      <c r="AB3" s="407" t="s">
        <v>8648</v>
      </c>
      <c r="AC3" s="408" t="s">
        <v>8649</v>
      </c>
      <c r="AD3" s="8" t="s">
        <v>3882</v>
      </c>
      <c r="AE3" s="71" t="s">
        <v>1406</v>
      </c>
      <c r="AF3" s="72" t="s">
        <v>1163</v>
      </c>
      <c r="AG3" s="32" t="s">
        <v>1164</v>
      </c>
      <c r="AH3" s="25" t="s">
        <v>8650</v>
      </c>
      <c r="AI3" s="8" t="s">
        <v>3852</v>
      </c>
      <c r="AJ3" s="50" t="s">
        <v>3586</v>
      </c>
      <c r="AK3" s="339" t="s">
        <v>5038</v>
      </c>
    </row>
    <row r="4" spans="1:38">
      <c r="A4" s="415">
        <v>612</v>
      </c>
      <c r="B4" s="80">
        <v>-21</v>
      </c>
      <c r="C4" s="80">
        <v>-33</v>
      </c>
      <c r="D4" s="80">
        <v>-1</v>
      </c>
      <c r="E4" s="79">
        <v>1</v>
      </c>
      <c r="F4" s="57">
        <v>19.64</v>
      </c>
      <c r="G4" s="79">
        <v>1101</v>
      </c>
      <c r="H4" s="8" t="s">
        <v>293</v>
      </c>
      <c r="I4" s="158" t="s">
        <v>276</v>
      </c>
      <c r="J4" s="323">
        <v>68.58</v>
      </c>
      <c r="K4" s="73">
        <v>25.73</v>
      </c>
      <c r="L4" s="323">
        <v>0.46</v>
      </c>
      <c r="N4" s="318">
        <f>J4+K4+L4+M4</f>
        <v>94.77</v>
      </c>
      <c r="O4" s="81">
        <f>IFERROR(VLOOKUP($G4,'321買'!A:E,3,0),"'沒有資料'")</f>
        <v>1</v>
      </c>
      <c r="P4" s="380">
        <f>IFERROR(VLOOKUP($G4,'321買'!$A:$G,7,0),"'沒有資料'")</f>
        <v>783</v>
      </c>
      <c r="Q4" s="245" t="s">
        <v>3818</v>
      </c>
      <c r="R4" s="297">
        <f>IFERROR(RANK(VLOOKUP($G4,連買!$A:$D,4,0),連買!$D:$D,0),"'沒有資料'")</f>
        <v>687</v>
      </c>
      <c r="S4" s="65">
        <v>3.37</v>
      </c>
      <c r="T4" s="353">
        <f t="shared" ref="T4:T10" si="0">S4/V4</f>
        <v>7.0649895178197059E-2</v>
      </c>
      <c r="U4" s="57">
        <v>4.28</v>
      </c>
      <c r="V4" s="36">
        <f>RTD("money.excel",,$G4,"Price")</f>
        <v>47.7</v>
      </c>
      <c r="W4" s="66"/>
      <c r="X4" s="15">
        <f t="shared" ref="X4:X10" si="1">V4-W4</f>
        <v>47.7</v>
      </c>
      <c r="Y4" s="3" t="e">
        <v>#DIV/0!</v>
      </c>
      <c r="Z4" s="413" t="s">
        <v>1997</v>
      </c>
      <c r="AA4" s="161">
        <v>0</v>
      </c>
      <c r="AB4" s="409">
        <v>0</v>
      </c>
      <c r="AC4" s="259">
        <f t="shared" ref="AC4" si="2">AA4-AB4</f>
        <v>0</v>
      </c>
      <c r="AD4" s="22" t="s">
        <v>276</v>
      </c>
      <c r="AG4" s="33">
        <v>0</v>
      </c>
      <c r="AH4" s="120" t="s">
        <v>3483</v>
      </c>
      <c r="AI4" s="63">
        <f t="shared" ref="AI4:AI10" si="3">AJ4/(A4*10000)</f>
        <v>2.9369281045751633E-3</v>
      </c>
      <c r="AJ4" s="307">
        <f>RTD("money.excel",,$G4,"PredictVolume")</f>
        <v>17974</v>
      </c>
      <c r="AK4" s="339"/>
    </row>
    <row r="5" spans="1:38">
      <c r="A5" s="415">
        <v>359</v>
      </c>
      <c r="B5" s="79">
        <v>0</v>
      </c>
      <c r="C5" s="80">
        <v>-4</v>
      </c>
      <c r="D5" s="79">
        <v>20</v>
      </c>
      <c r="E5" s="79">
        <v>27</v>
      </c>
      <c r="F5" s="57">
        <v>19.13</v>
      </c>
      <c r="G5" s="79">
        <v>1102</v>
      </c>
      <c r="H5" s="8" t="s">
        <v>293</v>
      </c>
      <c r="I5" s="22" t="s">
        <v>19</v>
      </c>
      <c r="J5" s="323">
        <v>78.87</v>
      </c>
      <c r="K5" s="323">
        <v>22.18</v>
      </c>
      <c r="L5" s="323">
        <v>0.32</v>
      </c>
      <c r="N5" s="318">
        <f t="shared" ref="N5:N10" si="4">J5+K5+L5+M5</f>
        <v>101.37</v>
      </c>
      <c r="O5" s="81">
        <f>IFERROR(VLOOKUP($G5,'321買'!A:E,3,0),"'沒有資料'")</f>
        <v>5</v>
      </c>
      <c r="P5" s="380">
        <f>IFERROR(VLOOKUP($G5,'321買'!$A:$G,7,0),"'沒有資料'")</f>
        <v>558</v>
      </c>
      <c r="R5" s="297">
        <f>IFERROR(RANK(VLOOKUP($G5,連買!$A:$D,4,0),連買!$D:$D,0),"'沒有資料'")</f>
        <v>315</v>
      </c>
      <c r="S5" s="66">
        <v>3.46</v>
      </c>
      <c r="T5" s="353">
        <f t="shared" si="0"/>
        <v>7.3305084745762708E-2</v>
      </c>
      <c r="U5" s="57">
        <v>4.8899999999999997</v>
      </c>
      <c r="V5" s="36">
        <f>RTD("money.excel",,$G5,"Price")</f>
        <v>47.2</v>
      </c>
      <c r="W5" s="66"/>
      <c r="X5" s="15">
        <f t="shared" si="1"/>
        <v>47.2</v>
      </c>
      <c r="Y5" s="3" t="e">
        <v>#DIV/0!</v>
      </c>
      <c r="Z5" s="413" t="s">
        <v>1997</v>
      </c>
      <c r="AA5" s="161">
        <v>0</v>
      </c>
      <c r="AB5" s="409">
        <v>0</v>
      </c>
      <c r="AC5" s="259">
        <f t="shared" ref="AC5:AC67" si="5">AA5-AB5</f>
        <v>0</v>
      </c>
      <c r="AD5" s="22" t="s">
        <v>19</v>
      </c>
      <c r="AG5" s="33">
        <v>0</v>
      </c>
      <c r="AH5" s="120" t="s">
        <v>3484</v>
      </c>
      <c r="AI5" s="63">
        <f t="shared" si="3"/>
        <v>9.9303621169916437E-4</v>
      </c>
      <c r="AJ5" s="307">
        <f>RTD("money.excel",,$G5,"PredictVolume")</f>
        <v>3565</v>
      </c>
      <c r="AK5" s="339"/>
    </row>
    <row r="6" spans="1:38">
      <c r="A6" s="416">
        <v>77.400000000000006</v>
      </c>
      <c r="B6" s="80">
        <v>-106</v>
      </c>
      <c r="C6" s="80">
        <v>-176</v>
      </c>
      <c r="D6" s="80">
        <v>-11</v>
      </c>
      <c r="E6" s="80">
        <v>-6</v>
      </c>
      <c r="F6" s="6">
        <v>-31.99</v>
      </c>
      <c r="G6" s="79">
        <v>1103</v>
      </c>
      <c r="H6" s="8" t="s">
        <v>293</v>
      </c>
      <c r="I6" s="22" t="s">
        <v>859</v>
      </c>
      <c r="J6" s="323">
        <v>80.23</v>
      </c>
      <c r="K6" s="323">
        <v>5.1100000000000003</v>
      </c>
      <c r="L6" s="323">
        <v>1.17</v>
      </c>
      <c r="N6" s="318">
        <f t="shared" si="4"/>
        <v>86.51</v>
      </c>
      <c r="O6" s="81">
        <f>IFERROR(VLOOKUP($G6,'321買'!A:E,3,0),"'沒有資料'")</f>
        <v>0</v>
      </c>
      <c r="P6" s="380">
        <f>IFERROR(VLOOKUP($G6,'321買'!$A:$G,7,0),"'沒有資料'")</f>
        <v>911</v>
      </c>
      <c r="R6" s="297">
        <f>IFERROR(RANK(VLOOKUP($G6,連買!$A:$D,4,0),連買!$D:$D,0),"'沒有資料'")</f>
        <v>602</v>
      </c>
      <c r="S6" s="34">
        <v>1.4</v>
      </c>
      <c r="T6" s="353">
        <f t="shared" si="0"/>
        <v>6.8459657701711488E-2</v>
      </c>
      <c r="U6" s="95">
        <v>2.74</v>
      </c>
      <c r="V6" s="36">
        <f>RTD("money.excel",,$G6,"Price")</f>
        <v>20.45</v>
      </c>
      <c r="W6" s="66"/>
      <c r="X6" s="15">
        <f t="shared" si="1"/>
        <v>20.45</v>
      </c>
      <c r="Y6" s="3" t="e">
        <v>#DIV/0!</v>
      </c>
      <c r="Z6" s="413" t="s">
        <v>1801</v>
      </c>
      <c r="AA6" s="161">
        <v>0</v>
      </c>
      <c r="AB6" s="409">
        <v>0</v>
      </c>
      <c r="AC6" s="259">
        <f t="shared" si="5"/>
        <v>0</v>
      </c>
      <c r="AD6" s="22" t="s">
        <v>859</v>
      </c>
      <c r="AG6" s="33">
        <v>0</v>
      </c>
      <c r="AH6" s="43" t="s">
        <v>2162</v>
      </c>
      <c r="AI6" s="63">
        <f t="shared" si="3"/>
        <v>2.7648578811369511E-4</v>
      </c>
      <c r="AJ6" s="307">
        <f>RTD("money.excel",,$G6,"PredictVolume")</f>
        <v>214</v>
      </c>
      <c r="AK6" s="339"/>
    </row>
    <row r="7" spans="1:38">
      <c r="A7" s="416">
        <v>65.3</v>
      </c>
      <c r="B7" s="79">
        <v>5</v>
      </c>
      <c r="C7" s="79">
        <v>523</v>
      </c>
      <c r="D7" s="79">
        <v>5</v>
      </c>
      <c r="E7" s="79">
        <v>19</v>
      </c>
      <c r="F7" s="6">
        <v>7.05</v>
      </c>
      <c r="G7" s="79">
        <v>1104</v>
      </c>
      <c r="H7" s="8" t="s">
        <v>293</v>
      </c>
      <c r="I7" s="22" t="s">
        <v>860</v>
      </c>
      <c r="J7" s="73">
        <v>75.510000000000005</v>
      </c>
      <c r="K7" s="73">
        <v>11.92</v>
      </c>
      <c r="L7" s="73">
        <v>0.6</v>
      </c>
      <c r="N7" s="318">
        <f t="shared" si="4"/>
        <v>88.03</v>
      </c>
      <c r="O7" s="81">
        <f>IFERROR(VLOOKUP($G7,'321買'!A:E,3,0),"'沒有資料'")</f>
        <v>0</v>
      </c>
      <c r="P7" s="380">
        <f>IFERROR(VLOOKUP($G7,'321買'!$A:$G,7,0),"'沒有資料'")</f>
        <v>911</v>
      </c>
      <c r="R7" s="297">
        <f>IFERROR(RANK(VLOOKUP($G7,連買!$A:$D,4,0),連買!$D:$D,0),"'沒有資料'")</f>
        <v>1461</v>
      </c>
      <c r="S7" s="34">
        <v>1.1000000000000001</v>
      </c>
      <c r="T7" s="353">
        <f t="shared" si="0"/>
        <v>5.2256532066508314E-2</v>
      </c>
      <c r="U7" s="95">
        <v>1.91</v>
      </c>
      <c r="V7" s="36">
        <f>RTD("money.excel",,$G7,"Price")</f>
        <v>21.05</v>
      </c>
      <c r="W7" s="66"/>
      <c r="X7" s="15">
        <f t="shared" si="1"/>
        <v>21.05</v>
      </c>
      <c r="Y7" s="3" t="e">
        <v>#DIV/0!</v>
      </c>
      <c r="Z7" s="413" t="s">
        <v>1801</v>
      </c>
      <c r="AA7" s="161">
        <v>0</v>
      </c>
      <c r="AB7" s="409">
        <v>0</v>
      </c>
      <c r="AC7" s="259">
        <f t="shared" si="5"/>
        <v>0</v>
      </c>
      <c r="AD7" s="22" t="s">
        <v>860</v>
      </c>
      <c r="AG7" s="33">
        <v>0</v>
      </c>
      <c r="AH7" s="43" t="s">
        <v>3485</v>
      </c>
      <c r="AI7" s="63">
        <f t="shared" si="3"/>
        <v>2.2817764165390507E-4</v>
      </c>
      <c r="AJ7" s="307">
        <f>RTD("money.excel",,$G7,"PredictVolume")</f>
        <v>149</v>
      </c>
      <c r="AK7" s="339"/>
    </row>
    <row r="8" spans="1:38">
      <c r="A8" s="416">
        <v>40.4</v>
      </c>
      <c r="B8" s="206">
        <v>36473</v>
      </c>
      <c r="C8" s="140">
        <v>1774</v>
      </c>
      <c r="D8" s="91">
        <v>7</v>
      </c>
      <c r="E8" s="91">
        <v>40</v>
      </c>
      <c r="F8" s="6">
        <v>3.26</v>
      </c>
      <c r="G8" s="79">
        <v>1108</v>
      </c>
      <c r="H8" s="8" t="s">
        <v>293</v>
      </c>
      <c r="I8" s="22" t="s">
        <v>861</v>
      </c>
      <c r="J8" s="73">
        <v>82.69</v>
      </c>
      <c r="K8" s="73">
        <v>2.15</v>
      </c>
      <c r="L8" s="73">
        <v>0.99</v>
      </c>
      <c r="N8" s="318">
        <f t="shared" si="4"/>
        <v>85.83</v>
      </c>
      <c r="O8" s="81">
        <f>IFERROR(VLOOKUP($G8,'321買'!A:E,3,0),"'沒有資料'")</f>
        <v>0</v>
      </c>
      <c r="P8" s="380">
        <f>IFERROR(VLOOKUP($G8,'321買'!$A:$G,7,0),"'沒有資料'")</f>
        <v>911</v>
      </c>
      <c r="R8" s="297">
        <f>IFERROR(RANK(VLOOKUP($G8,連買!$A:$D,4,0),連買!$D:$D,0),"'沒有資料'")</f>
        <v>1290</v>
      </c>
      <c r="S8" s="34">
        <v>0.7</v>
      </c>
      <c r="T8" s="353">
        <f t="shared" si="0"/>
        <v>5.8577405857740586E-2</v>
      </c>
      <c r="U8" s="95">
        <v>0.97</v>
      </c>
      <c r="V8" s="36">
        <f>RTD("money.excel",,$G8,"Price")</f>
        <v>11.95</v>
      </c>
      <c r="W8" s="66"/>
      <c r="X8" s="15">
        <f t="shared" si="1"/>
        <v>11.95</v>
      </c>
      <c r="Y8" s="3" t="e">
        <v>#DIV/0!</v>
      </c>
      <c r="AA8" s="161">
        <v>0</v>
      </c>
      <c r="AB8" s="409">
        <v>0</v>
      </c>
      <c r="AC8" s="259">
        <f t="shared" si="5"/>
        <v>0</v>
      </c>
      <c r="AD8" s="22" t="s">
        <v>861</v>
      </c>
      <c r="AG8" s="33">
        <v>0</v>
      </c>
      <c r="AH8" s="43" t="s">
        <v>293</v>
      </c>
      <c r="AI8" s="63">
        <f t="shared" si="3"/>
        <v>7.1039603960396038E-4</v>
      </c>
      <c r="AJ8" s="307">
        <f>RTD("money.excel",,$G8,"PredictVolume")</f>
        <v>287</v>
      </c>
      <c r="AK8" s="339"/>
    </row>
    <row r="9" spans="1:38">
      <c r="A9" s="415">
        <v>34.200000000000003</v>
      </c>
      <c r="B9" s="79">
        <v>31</v>
      </c>
      <c r="C9" s="79">
        <v>32</v>
      </c>
      <c r="D9" s="79">
        <v>36</v>
      </c>
      <c r="E9" s="79">
        <v>59</v>
      </c>
      <c r="F9" s="57">
        <v>26.61</v>
      </c>
      <c r="G9" s="79">
        <v>1109</v>
      </c>
      <c r="H9" s="8" t="s">
        <v>293</v>
      </c>
      <c r="I9" s="22" t="s">
        <v>862</v>
      </c>
      <c r="J9" s="323">
        <v>87.64</v>
      </c>
      <c r="K9" s="73">
        <v>3.73</v>
      </c>
      <c r="L9" s="73">
        <v>6.5</v>
      </c>
      <c r="N9" s="318">
        <f t="shared" si="4"/>
        <v>97.87</v>
      </c>
      <c r="O9" s="81">
        <f>IFERROR(VLOOKUP($G9,'321買'!A:E,3,0),"'沒有資料'")</f>
        <v>0</v>
      </c>
      <c r="P9" s="380">
        <f>IFERROR(VLOOKUP($G9,'321買'!$A:$G,7,0),"'沒有資料'")</f>
        <v>911</v>
      </c>
      <c r="R9" s="297">
        <f>IFERROR(RANK(VLOOKUP($G9,連買!$A:$D,4,0),連買!$D:$D,0),"'沒有資料'")</f>
        <v>1289</v>
      </c>
      <c r="S9" s="34">
        <v>1.5</v>
      </c>
      <c r="T9" s="353">
        <f t="shared" si="0"/>
        <v>7.1770334928229665E-2</v>
      </c>
      <c r="U9" s="57">
        <v>2.94</v>
      </c>
      <c r="V9" s="36">
        <f>RTD("money.excel",,$G9,"Price")</f>
        <v>20.9</v>
      </c>
      <c r="W9" s="66"/>
      <c r="X9" s="15">
        <f t="shared" si="1"/>
        <v>20.9</v>
      </c>
      <c r="Y9" s="3" t="e">
        <v>#DIV/0!</v>
      </c>
      <c r="Z9" s="413" t="s">
        <v>1801</v>
      </c>
      <c r="AA9" s="161">
        <v>0</v>
      </c>
      <c r="AB9" s="409">
        <v>0</v>
      </c>
      <c r="AC9" s="259">
        <f t="shared" si="5"/>
        <v>0</v>
      </c>
      <c r="AD9" s="22" t="s">
        <v>862</v>
      </c>
      <c r="AG9" s="33">
        <v>0</v>
      </c>
      <c r="AH9" s="43" t="s">
        <v>293</v>
      </c>
      <c r="AI9" s="63">
        <f t="shared" si="3"/>
        <v>5.9064327485380114E-4</v>
      </c>
      <c r="AJ9" s="307">
        <f>RTD("money.excel",,$G9,"PredictVolume")</f>
        <v>202</v>
      </c>
      <c r="AK9" s="339"/>
    </row>
    <row r="10" spans="1:38">
      <c r="A10" s="416">
        <v>57.2</v>
      </c>
      <c r="B10" s="91">
        <v>-94</v>
      </c>
      <c r="C10" s="91">
        <v>-107</v>
      </c>
      <c r="D10" s="91">
        <v>-14</v>
      </c>
      <c r="E10" s="91">
        <v>9</v>
      </c>
      <c r="F10" s="6">
        <v>-2.66</v>
      </c>
      <c r="G10" s="79">
        <v>1110</v>
      </c>
      <c r="H10" s="8" t="s">
        <v>293</v>
      </c>
      <c r="I10" s="22" t="s">
        <v>863</v>
      </c>
      <c r="J10" s="73">
        <v>95.04</v>
      </c>
      <c r="K10" s="73">
        <v>8.33</v>
      </c>
      <c r="L10" s="73">
        <v>0.5</v>
      </c>
      <c r="N10" s="318">
        <f t="shared" si="4"/>
        <v>103.87</v>
      </c>
      <c r="O10" s="81">
        <f>IFERROR(VLOOKUP($G10,'321買'!A:E,3,0),"'沒有資料'")</f>
        <v>0</v>
      </c>
      <c r="P10" s="380">
        <f>IFERROR(VLOOKUP($G10,'321買'!$A:$G,7,0),"'沒有資料'")</f>
        <v>911</v>
      </c>
      <c r="R10" s="297">
        <f>IFERROR(RANK(VLOOKUP($G10,連買!$A:$D,4,0),連買!$D:$D,0),"'沒有資料'")</f>
        <v>798</v>
      </c>
      <c r="S10" s="34">
        <v>0.1</v>
      </c>
      <c r="T10" s="353">
        <f t="shared" si="0"/>
        <v>4.9261083743842365E-3</v>
      </c>
      <c r="U10" s="95">
        <v>0.04</v>
      </c>
      <c r="V10" s="36">
        <f>RTD("money.excel",,$G10,"Price")</f>
        <v>20.3</v>
      </c>
      <c r="W10" s="66"/>
      <c r="X10" s="15">
        <f t="shared" si="1"/>
        <v>20.3</v>
      </c>
      <c r="Y10" s="3" t="e">
        <v>#DIV/0!</v>
      </c>
      <c r="Z10" s="413" t="s">
        <v>1801</v>
      </c>
      <c r="AA10" s="161">
        <v>0</v>
      </c>
      <c r="AB10" s="409">
        <v>0</v>
      </c>
      <c r="AC10" s="259">
        <f t="shared" si="5"/>
        <v>0</v>
      </c>
      <c r="AD10" s="22" t="s">
        <v>863</v>
      </c>
      <c r="AG10" s="33">
        <v>0</v>
      </c>
      <c r="AH10" s="43" t="s">
        <v>293</v>
      </c>
      <c r="AI10" s="63">
        <f t="shared" si="3"/>
        <v>5.5944055944055944E-4</v>
      </c>
      <c r="AJ10" s="307">
        <f>RTD("money.excel",,$G10,"PredictVolume")</f>
        <v>320</v>
      </c>
      <c r="AK10" s="339"/>
    </row>
    <row r="11" spans="1:38">
      <c r="A11" s="146"/>
      <c r="B11" s="91"/>
      <c r="C11" s="91"/>
      <c r="D11" s="91"/>
      <c r="E11" s="91"/>
      <c r="F11" s="6"/>
      <c r="G11" s="79"/>
      <c r="H11" s="8"/>
      <c r="I11" s="22"/>
      <c r="J11" s="73"/>
      <c r="K11" s="73"/>
      <c r="N11" s="318"/>
      <c r="R11" s="297"/>
      <c r="S11" s="34"/>
      <c r="T11" s="353"/>
      <c r="U11" s="95"/>
      <c r="V11" s="13"/>
      <c r="W11" s="66"/>
      <c r="X11" s="15"/>
      <c r="Y11" s="3"/>
      <c r="AA11" s="2"/>
      <c r="AD11" s="22"/>
      <c r="AG11" s="33"/>
      <c r="AH11" s="43"/>
      <c r="AI11" s="63"/>
      <c r="AJ11" s="307"/>
      <c r="AK11" s="339"/>
    </row>
    <row r="12" spans="1:38">
      <c r="A12" s="130" t="s">
        <v>1732</v>
      </c>
      <c r="B12" s="91" t="s">
        <v>1588</v>
      </c>
      <c r="C12" s="91" t="s">
        <v>1589</v>
      </c>
      <c r="D12" s="91" t="s">
        <v>1590</v>
      </c>
      <c r="E12" s="91" t="s">
        <v>1591</v>
      </c>
      <c r="F12" s="8" t="s">
        <v>1066</v>
      </c>
      <c r="G12" s="27" t="s">
        <v>771</v>
      </c>
      <c r="H12" s="55" t="s">
        <v>322</v>
      </c>
      <c r="I12" s="50" t="s">
        <v>3883</v>
      </c>
      <c r="J12" s="317" t="s">
        <v>1467</v>
      </c>
      <c r="K12" s="317" t="s">
        <v>251</v>
      </c>
      <c r="L12" s="317" t="s">
        <v>284</v>
      </c>
      <c r="M12" s="317" t="s">
        <v>1059</v>
      </c>
      <c r="N12" s="317" t="s">
        <v>5048</v>
      </c>
      <c r="O12" s="26" t="s">
        <v>5107</v>
      </c>
      <c r="P12" s="373" t="s">
        <v>5059</v>
      </c>
      <c r="Q12" s="245" t="s">
        <v>5087</v>
      </c>
      <c r="R12" s="345" t="s">
        <v>5059</v>
      </c>
      <c r="S12" s="10" t="s">
        <v>66</v>
      </c>
      <c r="T12" s="351" t="s">
        <v>5076</v>
      </c>
      <c r="U12" s="68" t="s">
        <v>3493</v>
      </c>
      <c r="V12" s="28" t="s">
        <v>2</v>
      </c>
      <c r="W12" s="17" t="s">
        <v>1405</v>
      </c>
      <c r="X12" s="14" t="s">
        <v>5</v>
      </c>
      <c r="Y12" s="21" t="s">
        <v>3</v>
      </c>
      <c r="Z12" s="97" t="s">
        <v>6627</v>
      </c>
      <c r="AA12" s="406" t="s">
        <v>8647</v>
      </c>
      <c r="AB12" s="407" t="s">
        <v>8648</v>
      </c>
      <c r="AC12" s="408" t="s">
        <v>8649</v>
      </c>
      <c r="AD12" s="50" t="s">
        <v>3883</v>
      </c>
      <c r="AE12" s="71" t="s">
        <v>1406</v>
      </c>
      <c r="AF12" s="72" t="s">
        <v>1163</v>
      </c>
      <c r="AG12" s="32" t="s">
        <v>1164</v>
      </c>
      <c r="AH12" s="25" t="s">
        <v>8650</v>
      </c>
      <c r="AI12" s="8" t="s">
        <v>3852</v>
      </c>
      <c r="AJ12" s="50" t="s">
        <v>3586</v>
      </c>
      <c r="AK12" s="339" t="s">
        <v>5038</v>
      </c>
    </row>
    <row r="13" spans="1:38">
      <c r="A13" s="416">
        <v>50.6</v>
      </c>
      <c r="B13" s="91">
        <v>-74</v>
      </c>
      <c r="C13" s="91">
        <v>-2</v>
      </c>
      <c r="D13" s="91">
        <v>-7</v>
      </c>
      <c r="E13" s="91">
        <v>-1</v>
      </c>
      <c r="F13" s="6">
        <v>3.47</v>
      </c>
      <c r="G13" s="79">
        <v>1201</v>
      </c>
      <c r="H13" s="8" t="s">
        <v>294</v>
      </c>
      <c r="I13" s="22" t="s">
        <v>87</v>
      </c>
      <c r="J13" s="73">
        <v>64.959999999999994</v>
      </c>
      <c r="K13" s="73">
        <v>10.06</v>
      </c>
      <c r="L13" s="73">
        <v>3.55</v>
      </c>
      <c r="N13" s="318">
        <f t="shared" ref="N13:N39" si="6">J13+K13+L13+M13</f>
        <v>78.569999999999993</v>
      </c>
      <c r="O13" s="81">
        <f>IFERROR(VLOOKUP($G13,'321買'!A:E,3,0),"'沒有資料'")</f>
        <v>0</v>
      </c>
      <c r="P13" s="380">
        <f>IFERROR(VLOOKUP($G13,'321買'!$A:$G,7,0),"'沒有資料'")</f>
        <v>911</v>
      </c>
      <c r="R13" s="297">
        <f>IFERROR(RANK(VLOOKUP($G13,連買!$A:$D,4,0),連買!$D:$D,0),"'沒有資料'")</f>
        <v>1075</v>
      </c>
      <c r="S13" s="34">
        <v>0.53</v>
      </c>
      <c r="T13" s="353">
        <f t="shared" ref="T13:T39" si="7">S13/V13</f>
        <v>2.4766355140186918E-2</v>
      </c>
      <c r="U13" s="95">
        <v>1.06</v>
      </c>
      <c r="V13" s="36">
        <f>RTD("money.excel",,$G13,"Price")</f>
        <v>21.4</v>
      </c>
      <c r="W13" s="66"/>
      <c r="X13" s="15">
        <f t="shared" ref="X13:X39" si="8">V13-W13</f>
        <v>21.4</v>
      </c>
      <c r="Y13" s="3" t="e">
        <f t="shared" ref="Y13:Y39" si="9">X13/W13</f>
        <v>#DIV/0!</v>
      </c>
      <c r="AA13" s="161">
        <v>0</v>
      </c>
      <c r="AB13" s="409">
        <v>0</v>
      </c>
      <c r="AC13" s="259">
        <f t="shared" si="5"/>
        <v>0</v>
      </c>
      <c r="AD13" s="22" t="s">
        <v>87</v>
      </c>
      <c r="AG13" s="33">
        <v>0</v>
      </c>
      <c r="AH13" s="120" t="s">
        <v>294</v>
      </c>
      <c r="AI13" s="63">
        <f t="shared" ref="AI13:AI39" si="10">AJ13/(A13*10000)</f>
        <v>5.7509881422924904E-4</v>
      </c>
      <c r="AJ13" s="307">
        <f>RTD("money.excel",,$G13,"PredictVolume")</f>
        <v>291</v>
      </c>
      <c r="AK13" s="339"/>
    </row>
    <row r="14" spans="1:38">
      <c r="A14" s="415">
        <v>24</v>
      </c>
      <c r="B14" s="91">
        <v>5</v>
      </c>
      <c r="C14" s="91">
        <v>7</v>
      </c>
      <c r="D14" s="91">
        <v>5</v>
      </c>
      <c r="E14" s="91">
        <v>5</v>
      </c>
      <c r="F14" s="57">
        <v>16.09</v>
      </c>
      <c r="G14" s="79">
        <v>1203</v>
      </c>
      <c r="H14" s="8" t="s">
        <v>294</v>
      </c>
      <c r="I14" s="22" t="s">
        <v>775</v>
      </c>
      <c r="J14" s="73">
        <v>84.59</v>
      </c>
      <c r="K14" s="73">
        <v>2.2400000000000002</v>
      </c>
      <c r="L14" s="73">
        <v>0.97</v>
      </c>
      <c r="N14" s="318">
        <f t="shared" si="6"/>
        <v>87.8</v>
      </c>
      <c r="O14" s="81">
        <f>IFERROR(VLOOKUP($G14,'321買'!A:E,3,0),"'沒有資料'")</f>
        <v>0</v>
      </c>
      <c r="P14" s="380">
        <f>IFERROR(VLOOKUP($G14,'321買'!$A:$G,7,0),"'沒有資料'")</f>
        <v>911</v>
      </c>
      <c r="R14" s="297">
        <f>IFERROR(RANK(VLOOKUP($G14,連買!$A:$D,4,0),連買!$D:$D,0),"'沒有資料'")</f>
        <v>1019</v>
      </c>
      <c r="S14" s="34">
        <v>1.1000000000000001</v>
      </c>
      <c r="T14" s="353">
        <f t="shared" si="7"/>
        <v>3.2835820895522394E-2</v>
      </c>
      <c r="U14" s="95">
        <v>1.81</v>
      </c>
      <c r="V14" s="36">
        <f>RTD("money.excel",,$G14,"Price")</f>
        <v>33.5</v>
      </c>
      <c r="W14" s="66"/>
      <c r="X14" s="15">
        <f t="shared" si="8"/>
        <v>33.5</v>
      </c>
      <c r="Y14" s="3" t="e">
        <f t="shared" si="9"/>
        <v>#DIV/0!</v>
      </c>
      <c r="AA14" s="161">
        <v>0</v>
      </c>
      <c r="AB14" s="409">
        <v>0</v>
      </c>
      <c r="AC14" s="259">
        <f t="shared" si="5"/>
        <v>0</v>
      </c>
      <c r="AD14" s="22" t="s">
        <v>775</v>
      </c>
      <c r="AG14" s="33">
        <v>0</v>
      </c>
      <c r="AH14" s="43" t="s">
        <v>2790</v>
      </c>
      <c r="AI14" s="63">
        <f t="shared" si="10"/>
        <v>1.6666666666666667E-5</v>
      </c>
      <c r="AJ14" s="307">
        <f>RTD("money.excel",,$G14,"PredictVolume")</f>
        <v>4</v>
      </c>
      <c r="AK14" s="339"/>
      <c r="AL14" s="303"/>
    </row>
    <row r="15" spans="1:38">
      <c r="A15" s="416">
        <v>82.7</v>
      </c>
      <c r="B15" s="79">
        <v>37</v>
      </c>
      <c r="C15" s="79">
        <v>24</v>
      </c>
      <c r="D15" s="80">
        <v>10</v>
      </c>
      <c r="E15" s="79">
        <v>37</v>
      </c>
      <c r="F15" s="6">
        <v>5.6</v>
      </c>
      <c r="G15" s="79">
        <v>1210</v>
      </c>
      <c r="H15" s="8" t="s">
        <v>294</v>
      </c>
      <c r="I15" s="22" t="s">
        <v>776</v>
      </c>
      <c r="J15" s="323">
        <v>64.05</v>
      </c>
      <c r="K15" s="73">
        <v>13.83</v>
      </c>
      <c r="L15" s="73">
        <v>1.67</v>
      </c>
      <c r="N15" s="318">
        <f t="shared" si="6"/>
        <v>79.55</v>
      </c>
      <c r="O15" s="81">
        <f>IFERROR(VLOOKUP($G15,'321買'!A:E,3,0),"'沒有資料'")</f>
        <v>0</v>
      </c>
      <c r="P15" s="380">
        <f>IFERROR(VLOOKUP($G15,'321買'!$A:$G,7,0),"'沒有資料'")</f>
        <v>911</v>
      </c>
      <c r="R15" s="297">
        <f>IFERROR(RANK(VLOOKUP($G15,連買!$A:$D,4,0),連買!$D:$D,0),"'沒有資料'")</f>
        <v>363</v>
      </c>
      <c r="S15" s="66">
        <v>3</v>
      </c>
      <c r="T15" s="353">
        <f t="shared" si="7"/>
        <v>5.4644808743169397E-2</v>
      </c>
      <c r="U15" s="95">
        <v>3.99</v>
      </c>
      <c r="V15" s="36">
        <f>RTD("money.excel",,$G15,"Price")</f>
        <v>54.9</v>
      </c>
      <c r="W15" s="66"/>
      <c r="X15" s="15">
        <f t="shared" si="8"/>
        <v>54.9</v>
      </c>
      <c r="Y15" s="3" t="e">
        <f t="shared" si="9"/>
        <v>#DIV/0!</v>
      </c>
      <c r="Z15" s="413" t="s">
        <v>1997</v>
      </c>
      <c r="AA15" s="161">
        <v>0</v>
      </c>
      <c r="AB15" s="409">
        <v>0</v>
      </c>
      <c r="AC15" s="259">
        <f t="shared" si="5"/>
        <v>0</v>
      </c>
      <c r="AD15" s="22" t="s">
        <v>776</v>
      </c>
      <c r="AG15" s="33">
        <v>0</v>
      </c>
      <c r="AH15" s="43" t="s">
        <v>2791</v>
      </c>
      <c r="AI15" s="63">
        <f t="shared" si="10"/>
        <v>3.5755743651753324E-3</v>
      </c>
      <c r="AJ15" s="307">
        <f>RTD("money.excel",,$G15,"PredictVolume")</f>
        <v>2957</v>
      </c>
      <c r="AK15" s="339"/>
    </row>
    <row r="16" spans="1:38">
      <c r="A16" s="416">
        <v>5.66</v>
      </c>
      <c r="B16" s="91">
        <v>72</v>
      </c>
      <c r="C16" s="91">
        <v>-48</v>
      </c>
      <c r="D16" s="91">
        <v>4</v>
      </c>
      <c r="E16" s="91">
        <v>2</v>
      </c>
      <c r="F16" s="6">
        <v>-12.4</v>
      </c>
      <c r="G16" s="79">
        <v>1213</v>
      </c>
      <c r="H16" s="8" t="s">
        <v>294</v>
      </c>
      <c r="I16" s="22" t="s">
        <v>778</v>
      </c>
      <c r="J16" s="73">
        <v>72.84</v>
      </c>
      <c r="K16" s="73">
        <v>0.09</v>
      </c>
      <c r="L16" s="73">
        <v>1.1299999999999999</v>
      </c>
      <c r="N16" s="318">
        <f t="shared" si="6"/>
        <v>74.06</v>
      </c>
      <c r="O16" s="81">
        <f>IFERROR(VLOOKUP($G16,'321買'!A:E,3,0),"'沒有資料'")</f>
        <v>0</v>
      </c>
      <c r="P16" s="380">
        <f>IFERROR(VLOOKUP($G16,'321買'!$A:$G,7,0),"'沒有資料'")</f>
        <v>911</v>
      </c>
      <c r="R16" s="297">
        <f>IFERROR(RANK(VLOOKUP($G16,連買!$A:$D,4,0),連買!$D:$D,0),"'沒有資料'")</f>
        <v>1385</v>
      </c>
      <c r="S16" s="34">
        <v>0</v>
      </c>
      <c r="T16" s="355" t="e">
        <f t="shared" si="7"/>
        <v>#VALUE!</v>
      </c>
      <c r="U16" s="95">
        <v>-0.48</v>
      </c>
      <c r="V16" s="36" t="str">
        <f>RTD("money.excel",,$G16,"Price")</f>
        <v>無資料</v>
      </c>
      <c r="W16" s="66"/>
      <c r="X16" s="15" t="e">
        <f t="shared" si="8"/>
        <v>#VALUE!</v>
      </c>
      <c r="Y16" s="3" t="e">
        <f t="shared" si="9"/>
        <v>#VALUE!</v>
      </c>
      <c r="AA16" s="161">
        <v>0</v>
      </c>
      <c r="AB16" s="409">
        <v>0</v>
      </c>
      <c r="AC16" s="259">
        <f t="shared" si="5"/>
        <v>0</v>
      </c>
      <c r="AD16" s="22" t="s">
        <v>778</v>
      </c>
      <c r="AG16" s="33">
        <v>0</v>
      </c>
      <c r="AH16" s="43" t="s">
        <v>1539</v>
      </c>
      <c r="AI16" s="63">
        <f t="shared" si="10"/>
        <v>0</v>
      </c>
      <c r="AJ16" s="307">
        <f>RTD("money.excel",,$G16,"PredictVolume")</f>
        <v>0</v>
      </c>
      <c r="AK16" s="339"/>
    </row>
    <row r="17" spans="1:37">
      <c r="A17" s="416">
        <v>26.8</v>
      </c>
      <c r="B17" s="79">
        <v>6</v>
      </c>
      <c r="C17" s="80">
        <v>-6</v>
      </c>
      <c r="D17" s="79">
        <v>0</v>
      </c>
      <c r="E17" s="79">
        <v>3</v>
      </c>
      <c r="F17" s="6">
        <v>8.57</v>
      </c>
      <c r="G17" s="79">
        <v>1215</v>
      </c>
      <c r="H17" s="8" t="s">
        <v>294</v>
      </c>
      <c r="I17" s="22" t="s">
        <v>779</v>
      </c>
      <c r="J17" s="323">
        <v>66.849999999999994</v>
      </c>
      <c r="K17" s="323">
        <v>41.28</v>
      </c>
      <c r="L17" s="323">
        <v>1.25</v>
      </c>
      <c r="N17" s="318">
        <f t="shared" si="6"/>
        <v>109.38</v>
      </c>
      <c r="O17" s="81">
        <f>IFERROR(VLOOKUP($G17,'321買'!A:E,3,0),"'沒有資料'")</f>
        <v>1</v>
      </c>
      <c r="P17" s="380">
        <f>IFERROR(VLOOKUP($G17,'321買'!$A:$G,7,0),"'沒有資料'")</f>
        <v>783</v>
      </c>
      <c r="R17" s="297">
        <f>IFERROR(RANK(VLOOKUP($G17,連買!$A:$D,4,0),連買!$D:$D,0),"'沒有資料'")</f>
        <v>335</v>
      </c>
      <c r="S17" s="66">
        <v>4</v>
      </c>
      <c r="T17" s="353">
        <f t="shared" si="7"/>
        <v>4.8959608323133411E-2</v>
      </c>
      <c r="U17" s="95">
        <v>6.18</v>
      </c>
      <c r="V17" s="36">
        <f>RTD("money.excel",,$G17,"Price")</f>
        <v>81.7</v>
      </c>
      <c r="W17" s="66"/>
      <c r="X17" s="15">
        <f t="shared" si="8"/>
        <v>81.7</v>
      </c>
      <c r="Y17" s="3" t="e">
        <f t="shared" si="9"/>
        <v>#DIV/0!</v>
      </c>
      <c r="Z17" s="413" t="s">
        <v>1997</v>
      </c>
      <c r="AA17" s="161">
        <v>0</v>
      </c>
      <c r="AB17" s="409">
        <v>0</v>
      </c>
      <c r="AC17" s="259">
        <f t="shared" si="5"/>
        <v>0</v>
      </c>
      <c r="AD17" s="22" t="s">
        <v>779</v>
      </c>
      <c r="AG17" s="33">
        <v>0</v>
      </c>
      <c r="AH17" s="43" t="s">
        <v>2791</v>
      </c>
      <c r="AI17" s="63">
        <f t="shared" si="10"/>
        <v>1.7164179104477613E-3</v>
      </c>
      <c r="AJ17" s="307">
        <f>RTD("money.excel",,$G17,"PredictVolume")</f>
        <v>460</v>
      </c>
      <c r="AK17" s="339"/>
    </row>
    <row r="18" spans="1:37">
      <c r="A18" s="416">
        <v>568</v>
      </c>
      <c r="B18" s="80">
        <v>-6</v>
      </c>
      <c r="C18" s="80">
        <v>-4</v>
      </c>
      <c r="D18" s="80">
        <v>-29</v>
      </c>
      <c r="E18" s="79">
        <v>7</v>
      </c>
      <c r="F18" s="6">
        <v>6</v>
      </c>
      <c r="G18" s="79">
        <v>1216</v>
      </c>
      <c r="H18" s="8" t="s">
        <v>294</v>
      </c>
      <c r="I18" s="158" t="s">
        <v>10</v>
      </c>
      <c r="J18" s="323">
        <v>88.88</v>
      </c>
      <c r="K18" s="73">
        <v>42.74</v>
      </c>
      <c r="L18" s="73">
        <v>0.09</v>
      </c>
      <c r="M18" s="73">
        <v>15.87</v>
      </c>
      <c r="N18" s="73">
        <f t="shared" si="6"/>
        <v>147.58000000000001</v>
      </c>
      <c r="O18" s="81">
        <f>IFERROR(VLOOKUP($G18,'321買'!A:E,3,0),"'沒有資料'")</f>
        <v>0</v>
      </c>
      <c r="P18" s="380">
        <f>IFERROR(VLOOKUP($G18,'321買'!$A:$G,7,0),"'沒有資料'")</f>
        <v>911</v>
      </c>
      <c r="Q18" s="245" t="s">
        <v>3818</v>
      </c>
      <c r="R18" s="297">
        <f>IFERROR(RANK(VLOOKUP($G18,連買!$A:$D,4,0),連買!$D:$D,0),"'沒有資料'")</f>
        <v>1588</v>
      </c>
      <c r="S18" s="197">
        <v>2.7</v>
      </c>
      <c r="T18" s="353">
        <f t="shared" si="7"/>
        <v>4.072398190045249E-2</v>
      </c>
      <c r="U18" s="57">
        <v>3.5</v>
      </c>
      <c r="V18" s="13">
        <f>RTD("money.excel",,$G18,"Price")</f>
        <v>66.3</v>
      </c>
      <c r="W18" s="66"/>
      <c r="X18" s="15">
        <f t="shared" si="8"/>
        <v>66.3</v>
      </c>
      <c r="Y18" s="3" t="e">
        <f t="shared" si="9"/>
        <v>#DIV/0!</v>
      </c>
      <c r="Z18" s="413">
        <v>-14.17</v>
      </c>
      <c r="AA18" s="161">
        <v>0</v>
      </c>
      <c r="AB18" s="409">
        <v>0</v>
      </c>
      <c r="AC18" s="259">
        <f t="shared" si="5"/>
        <v>0</v>
      </c>
      <c r="AD18" s="158" t="s">
        <v>10</v>
      </c>
      <c r="AG18" s="33">
        <v>0</v>
      </c>
      <c r="AH18" s="120" t="s">
        <v>294</v>
      </c>
      <c r="AI18" s="63">
        <f t="shared" si="10"/>
        <v>7.6602112676056339E-4</v>
      </c>
      <c r="AJ18" s="307">
        <f>RTD("money.excel",,$G18,"PredictVolume")</f>
        <v>4351</v>
      </c>
      <c r="AK18" s="339">
        <v>0.4</v>
      </c>
    </row>
    <row r="19" spans="1:37">
      <c r="A19" s="416">
        <v>49.4</v>
      </c>
      <c r="B19" s="91">
        <v>139</v>
      </c>
      <c r="C19" s="91">
        <v>75</v>
      </c>
      <c r="D19" s="91">
        <v>-1</v>
      </c>
      <c r="E19" s="91">
        <v>-4</v>
      </c>
      <c r="F19" s="6">
        <v>7.13</v>
      </c>
      <c r="G19" s="79">
        <v>1217</v>
      </c>
      <c r="H19" s="8" t="s">
        <v>294</v>
      </c>
      <c r="I19" s="22" t="s">
        <v>780</v>
      </c>
      <c r="J19" s="73">
        <v>47.75</v>
      </c>
      <c r="K19" s="73">
        <v>8.07</v>
      </c>
      <c r="L19" s="73">
        <v>5.53</v>
      </c>
      <c r="N19" s="318">
        <f t="shared" si="6"/>
        <v>61.35</v>
      </c>
      <c r="O19" s="81">
        <f>IFERROR(VLOOKUP($G19,'321買'!A:E,3,0),"'沒有資料'")</f>
        <v>4</v>
      </c>
      <c r="P19" s="380">
        <f>IFERROR(VLOOKUP($G19,'321買'!$A:$G,7,0),"'沒有資料'")</f>
        <v>521</v>
      </c>
      <c r="R19" s="297">
        <f>IFERROR(RANK(VLOOKUP($G19,連買!$A:$D,4,0),連買!$D:$D,0),"'沒有資料'")</f>
        <v>1160</v>
      </c>
      <c r="S19" s="34">
        <v>0</v>
      </c>
      <c r="T19" s="353">
        <f t="shared" si="7"/>
        <v>0</v>
      </c>
      <c r="U19" s="95">
        <v>0.47</v>
      </c>
      <c r="V19" s="36">
        <f>RTD("money.excel",,$G19,"Price")</f>
        <v>11.4</v>
      </c>
      <c r="W19" s="66"/>
      <c r="X19" s="15">
        <f t="shared" si="8"/>
        <v>11.4</v>
      </c>
      <c r="Y19" s="3" t="e">
        <f t="shared" si="9"/>
        <v>#DIV/0!</v>
      </c>
      <c r="AA19" s="161">
        <v>0</v>
      </c>
      <c r="AB19" s="409">
        <v>0</v>
      </c>
      <c r="AC19" s="259">
        <f t="shared" si="5"/>
        <v>0</v>
      </c>
      <c r="AD19" s="22" t="s">
        <v>780</v>
      </c>
      <c r="AG19" s="33">
        <v>0</v>
      </c>
      <c r="AH19" s="43" t="s">
        <v>1540</v>
      </c>
      <c r="AI19" s="63">
        <f t="shared" si="10"/>
        <v>1.7874493927125506E-3</v>
      </c>
      <c r="AJ19" s="307">
        <f>RTD("money.excel",,$G19,"PredictVolume")</f>
        <v>883</v>
      </c>
      <c r="AK19" s="339"/>
    </row>
    <row r="20" spans="1:37">
      <c r="A20" s="416">
        <v>50</v>
      </c>
      <c r="B20" s="91">
        <v>37</v>
      </c>
      <c r="C20" s="91">
        <v>67</v>
      </c>
      <c r="D20" s="91">
        <v>21</v>
      </c>
      <c r="E20" s="91">
        <v>14</v>
      </c>
      <c r="F20" s="6">
        <v>4.9400000000000004</v>
      </c>
      <c r="G20" s="79">
        <v>1218</v>
      </c>
      <c r="H20" s="8" t="s">
        <v>294</v>
      </c>
      <c r="I20" s="22" t="s">
        <v>781</v>
      </c>
      <c r="J20" s="323">
        <v>76.459999999999994</v>
      </c>
      <c r="K20" s="323">
        <v>1.79</v>
      </c>
      <c r="L20" s="323">
        <v>7.62</v>
      </c>
      <c r="N20" s="318">
        <f t="shared" si="6"/>
        <v>85.87</v>
      </c>
      <c r="O20" s="81">
        <f>IFERROR(VLOOKUP($G20,'321買'!A:E,3,0),"'沒有資料'")</f>
        <v>0</v>
      </c>
      <c r="P20" s="380">
        <f>IFERROR(VLOOKUP($G20,'321買'!$A:$G,7,0),"'沒有資料'")</f>
        <v>911</v>
      </c>
      <c r="R20" s="297">
        <f>IFERROR(RANK(VLOOKUP($G20,連買!$A:$D,4,0),連買!$D:$D,0),"'沒有資料'")</f>
        <v>1284</v>
      </c>
      <c r="S20" s="34">
        <v>1.4</v>
      </c>
      <c r="T20" s="353">
        <f t="shared" si="7"/>
        <v>4.8275862068965517E-2</v>
      </c>
      <c r="U20" s="95">
        <v>1.75</v>
      </c>
      <c r="V20" s="36">
        <f>RTD("money.excel",,$G20,"Price")</f>
        <v>29</v>
      </c>
      <c r="W20" s="66"/>
      <c r="X20" s="15">
        <f t="shared" si="8"/>
        <v>29</v>
      </c>
      <c r="Y20" s="3" t="e">
        <f t="shared" si="9"/>
        <v>#DIV/0!</v>
      </c>
      <c r="Z20" s="413" t="s">
        <v>1801</v>
      </c>
      <c r="AA20" s="161">
        <v>0</v>
      </c>
      <c r="AB20" s="409">
        <v>0</v>
      </c>
      <c r="AC20" s="259">
        <f t="shared" si="5"/>
        <v>0</v>
      </c>
      <c r="AD20" s="22" t="s">
        <v>781</v>
      </c>
      <c r="AG20" s="33">
        <v>0</v>
      </c>
      <c r="AH20" s="43" t="s">
        <v>2792</v>
      </c>
      <c r="AI20" s="63">
        <f t="shared" si="10"/>
        <v>2.4399999999999999E-3</v>
      </c>
      <c r="AJ20" s="307">
        <f>RTD("money.excel",,$G20,"PredictVolume")</f>
        <v>1220</v>
      </c>
      <c r="AK20" s="339"/>
    </row>
    <row r="21" spans="1:37">
      <c r="A21" s="416">
        <v>32.299999999999997</v>
      </c>
      <c r="B21" s="80">
        <v>-15</v>
      </c>
      <c r="C21" s="79">
        <v>267</v>
      </c>
      <c r="D21" s="79">
        <v>23</v>
      </c>
      <c r="E21" s="79">
        <v>28</v>
      </c>
      <c r="F21" s="6">
        <v>3.95</v>
      </c>
      <c r="G21" s="79">
        <v>1219</v>
      </c>
      <c r="H21" s="8" t="s">
        <v>294</v>
      </c>
      <c r="I21" s="22" t="s">
        <v>782</v>
      </c>
      <c r="J21" s="323">
        <v>71.45</v>
      </c>
      <c r="K21" s="323">
        <v>3.7</v>
      </c>
      <c r="L21" s="73">
        <v>4.3099999999999996</v>
      </c>
      <c r="N21" s="318">
        <f t="shared" si="6"/>
        <v>79.460000000000008</v>
      </c>
      <c r="O21" s="81">
        <f>IFERROR(VLOOKUP($G21,'321買'!A:E,3,0),"'沒有資料'")</f>
        <v>1</v>
      </c>
      <c r="P21" s="380">
        <f>IFERROR(VLOOKUP($G21,'321買'!$A:$G,7,0),"'沒有資料'")</f>
        <v>783</v>
      </c>
      <c r="R21" s="297">
        <f>IFERROR(RANK(VLOOKUP($G21,連買!$A:$D,4,0),連買!$D:$D,0),"'沒有資料'")</f>
        <v>604</v>
      </c>
      <c r="S21" s="34">
        <v>1</v>
      </c>
      <c r="T21" s="353">
        <f t="shared" si="7"/>
        <v>4.4247787610619468E-2</v>
      </c>
      <c r="U21" s="57">
        <v>1.74</v>
      </c>
      <c r="V21" s="36">
        <f>RTD("money.excel",,$G21,"Price")</f>
        <v>22.6</v>
      </c>
      <c r="W21" s="66"/>
      <c r="X21" s="15">
        <f t="shared" si="8"/>
        <v>22.6</v>
      </c>
      <c r="Y21" s="3" t="e">
        <f t="shared" si="9"/>
        <v>#DIV/0!</v>
      </c>
      <c r="Z21" s="413" t="s">
        <v>1801</v>
      </c>
      <c r="AA21" s="161">
        <v>0</v>
      </c>
      <c r="AB21" s="409">
        <v>0</v>
      </c>
      <c r="AC21" s="259">
        <f t="shared" si="5"/>
        <v>0</v>
      </c>
      <c r="AD21" s="22" t="s">
        <v>782</v>
      </c>
      <c r="AG21" s="33">
        <v>0</v>
      </c>
      <c r="AH21" s="43" t="s">
        <v>2793</v>
      </c>
      <c r="AI21" s="63">
        <f t="shared" si="10"/>
        <v>4.4061919504643964E-2</v>
      </c>
      <c r="AJ21" s="307">
        <f>RTD("money.excel",,$G21,"PredictVolume")</f>
        <v>14232</v>
      </c>
      <c r="AK21" s="339"/>
    </row>
    <row r="22" spans="1:37">
      <c r="A22" s="416">
        <v>17.7</v>
      </c>
      <c r="B22" s="91">
        <v>40</v>
      </c>
      <c r="C22" s="91">
        <v>25</v>
      </c>
      <c r="D22" s="91">
        <v>1</v>
      </c>
      <c r="E22" s="91">
        <v>30</v>
      </c>
      <c r="F22" s="6">
        <v>7.28</v>
      </c>
      <c r="G22" s="79">
        <v>1220</v>
      </c>
      <c r="H22" s="8" t="s">
        <v>294</v>
      </c>
      <c r="I22" s="22" t="s">
        <v>783</v>
      </c>
      <c r="J22" s="73">
        <v>81.040000000000006</v>
      </c>
      <c r="K22" s="73">
        <v>9.2799999999999994</v>
      </c>
      <c r="L22" s="73">
        <v>3.35</v>
      </c>
      <c r="N22" s="318">
        <f t="shared" si="6"/>
        <v>93.67</v>
      </c>
      <c r="O22" s="81">
        <f>IFERROR(VLOOKUP($G22,'321買'!A:E,3,0),"'沒有資料'")</f>
        <v>0</v>
      </c>
      <c r="P22" s="380">
        <f>IFERROR(VLOOKUP($G22,'321買'!$A:$G,7,0),"'沒有資料'")</f>
        <v>911</v>
      </c>
      <c r="R22" s="297">
        <f>IFERROR(RANK(VLOOKUP($G22,連買!$A:$D,4,0),連買!$D:$D,0),"'沒有資料'")</f>
        <v>907</v>
      </c>
      <c r="S22" s="34">
        <v>1</v>
      </c>
      <c r="T22" s="353">
        <f t="shared" si="7"/>
        <v>5.5865921787709501E-2</v>
      </c>
      <c r="U22" s="95">
        <v>1.02</v>
      </c>
      <c r="V22" s="36">
        <f>RTD("money.excel",,$G22,"Price")</f>
        <v>17.899999999999999</v>
      </c>
      <c r="W22" s="66"/>
      <c r="X22" s="15">
        <f t="shared" si="8"/>
        <v>17.899999999999999</v>
      </c>
      <c r="Y22" s="3" t="e">
        <f t="shared" si="9"/>
        <v>#DIV/0!</v>
      </c>
      <c r="AA22" s="161">
        <v>0</v>
      </c>
      <c r="AB22" s="409">
        <v>0</v>
      </c>
      <c r="AC22" s="259">
        <f t="shared" si="5"/>
        <v>0</v>
      </c>
      <c r="AD22" s="22" t="s">
        <v>783</v>
      </c>
      <c r="AG22" s="33">
        <v>0</v>
      </c>
      <c r="AH22" s="43" t="s">
        <v>2794</v>
      </c>
      <c r="AI22" s="63">
        <f t="shared" si="10"/>
        <v>8.0395480225988695E-3</v>
      </c>
      <c r="AJ22" s="307">
        <f>RTD("money.excel",,$G22,"PredictVolume")</f>
        <v>1423</v>
      </c>
      <c r="AK22" s="339"/>
    </row>
    <row r="23" spans="1:37">
      <c r="A23" s="416">
        <v>21.8</v>
      </c>
      <c r="B23" s="91">
        <v>-9</v>
      </c>
      <c r="C23" s="91">
        <v>2</v>
      </c>
      <c r="D23" s="91">
        <v>6</v>
      </c>
      <c r="E23" s="91">
        <v>26</v>
      </c>
      <c r="F23" s="6">
        <v>2.67</v>
      </c>
      <c r="G23" s="79">
        <v>1225</v>
      </c>
      <c r="H23" s="8" t="s">
        <v>294</v>
      </c>
      <c r="I23" s="22" t="s">
        <v>784</v>
      </c>
      <c r="J23" s="73">
        <v>95.36</v>
      </c>
      <c r="K23" s="73">
        <v>0.81</v>
      </c>
      <c r="L23" s="73">
        <v>19.68</v>
      </c>
      <c r="N23" s="318">
        <f t="shared" si="6"/>
        <v>115.85</v>
      </c>
      <c r="O23" s="81">
        <f>IFERROR(VLOOKUP($G23,'321買'!A:E,3,0),"'沒有資料'")</f>
        <v>0</v>
      </c>
      <c r="P23" s="380">
        <f>IFERROR(VLOOKUP($G23,'321買'!$A:$G,7,0),"'沒有資料'")</f>
        <v>911</v>
      </c>
      <c r="R23" s="297">
        <f>IFERROR(RANK(VLOOKUP($G23,連買!$A:$D,4,0),連買!$D:$D,0),"'沒有資料'")</f>
        <v>399</v>
      </c>
      <c r="S23" s="34">
        <v>1.4</v>
      </c>
      <c r="T23" s="353">
        <f t="shared" si="7"/>
        <v>2.3333333333333331E-2</v>
      </c>
      <c r="U23" s="95">
        <v>1.72</v>
      </c>
      <c r="V23" s="36">
        <f>RTD("money.excel",,$G23,"Price")</f>
        <v>60</v>
      </c>
      <c r="W23" s="66"/>
      <c r="X23" s="15">
        <f t="shared" si="8"/>
        <v>60</v>
      </c>
      <c r="Y23" s="3" t="e">
        <f t="shared" si="9"/>
        <v>#DIV/0!</v>
      </c>
      <c r="Z23" s="413" t="s">
        <v>1801</v>
      </c>
      <c r="AA23" s="161">
        <v>0</v>
      </c>
      <c r="AB23" s="409">
        <v>0</v>
      </c>
      <c r="AC23" s="259">
        <f t="shared" si="5"/>
        <v>0</v>
      </c>
      <c r="AD23" s="22" t="s">
        <v>784</v>
      </c>
      <c r="AG23" s="33">
        <v>0</v>
      </c>
      <c r="AH23" s="43" t="s">
        <v>2795</v>
      </c>
      <c r="AI23" s="63">
        <f t="shared" si="10"/>
        <v>4.9541284403669728E-4</v>
      </c>
      <c r="AJ23" s="307">
        <f>RTD("money.excel",,$G23,"PredictVolume")</f>
        <v>108</v>
      </c>
      <c r="AK23" s="339"/>
    </row>
    <row r="24" spans="1:37">
      <c r="A24" s="415">
        <v>91.5</v>
      </c>
      <c r="B24" s="80">
        <v>-5</v>
      </c>
      <c r="C24" s="80">
        <v>-8</v>
      </c>
      <c r="D24" s="79">
        <v>20</v>
      </c>
      <c r="E24" s="80">
        <v>-21</v>
      </c>
      <c r="F24" s="57">
        <v>11.73</v>
      </c>
      <c r="G24" s="79">
        <v>1227</v>
      </c>
      <c r="H24" s="8" t="s">
        <v>294</v>
      </c>
      <c r="I24" s="22" t="s">
        <v>3884</v>
      </c>
      <c r="J24" s="323">
        <v>69.930000000000007</v>
      </c>
      <c r="K24" s="73">
        <v>7.3</v>
      </c>
      <c r="L24" s="323">
        <v>0.95</v>
      </c>
      <c r="N24" s="318">
        <f t="shared" si="6"/>
        <v>78.180000000000007</v>
      </c>
      <c r="O24" s="81">
        <f>IFERROR(VLOOKUP($G24,'321買'!A:E,3,0),"'沒有資料'")</f>
        <v>0</v>
      </c>
      <c r="P24" s="380">
        <f>IFERROR(VLOOKUP($G24,'321買'!$A:$G,7,0),"'沒有資料'")</f>
        <v>911</v>
      </c>
      <c r="R24" s="297">
        <f>IFERROR(RANK(VLOOKUP($G24,連買!$A:$D,4,0),連買!$D:$D,0),"'沒有資料'")</f>
        <v>1696</v>
      </c>
      <c r="S24" s="34">
        <v>2.5</v>
      </c>
      <c r="T24" s="353">
        <f t="shared" si="7"/>
        <v>5.0505050505050504E-2</v>
      </c>
      <c r="U24" s="57">
        <v>3.54</v>
      </c>
      <c r="V24" s="36">
        <f>RTD("money.excel",,$G24,"Price")</f>
        <v>49.5</v>
      </c>
      <c r="W24" s="66"/>
      <c r="X24" s="15">
        <f t="shared" si="8"/>
        <v>49.5</v>
      </c>
      <c r="Y24" s="3" t="e">
        <f t="shared" si="9"/>
        <v>#DIV/0!</v>
      </c>
      <c r="AA24" s="161">
        <v>0</v>
      </c>
      <c r="AB24" s="409">
        <v>0</v>
      </c>
      <c r="AC24" s="259">
        <f t="shared" si="5"/>
        <v>0</v>
      </c>
      <c r="AD24" s="22" t="s">
        <v>3884</v>
      </c>
      <c r="AG24" s="33">
        <v>0</v>
      </c>
      <c r="AH24" s="120" t="s">
        <v>2796</v>
      </c>
      <c r="AI24" s="63">
        <f t="shared" si="10"/>
        <v>1.0273224043715846E-3</v>
      </c>
      <c r="AJ24" s="307">
        <f>RTD("money.excel",,$G24,"PredictVolume")</f>
        <v>940</v>
      </c>
      <c r="AK24" s="339"/>
    </row>
    <row r="25" spans="1:37">
      <c r="A25" s="415">
        <v>128</v>
      </c>
      <c r="B25" s="79">
        <v>0</v>
      </c>
      <c r="C25" s="79">
        <v>19</v>
      </c>
      <c r="D25" s="80">
        <v>-13</v>
      </c>
      <c r="E25" s="79">
        <v>8</v>
      </c>
      <c r="F25" s="57">
        <v>14.3</v>
      </c>
      <c r="G25" s="79">
        <v>1229</v>
      </c>
      <c r="H25" s="8" t="s">
        <v>294</v>
      </c>
      <c r="I25" s="22" t="s">
        <v>785</v>
      </c>
      <c r="J25" s="73">
        <v>64.28</v>
      </c>
      <c r="K25" s="323">
        <v>11.57</v>
      </c>
      <c r="L25" s="323">
        <v>0.37</v>
      </c>
      <c r="N25" s="318">
        <f t="shared" si="6"/>
        <v>76.22</v>
      </c>
      <c r="O25" s="81">
        <f>IFERROR(VLOOKUP($G25,'321買'!A:E,3,0),"'沒有資料'")</f>
        <v>0</v>
      </c>
      <c r="P25" s="380">
        <f>IFERROR(VLOOKUP($G25,'321買'!$A:$G,7,0),"'沒有資料'")</f>
        <v>911</v>
      </c>
      <c r="R25" s="297">
        <f>IFERROR(RANK(VLOOKUP($G25,連買!$A:$D,4,0),連買!$D:$D,0),"'沒有資料'")</f>
        <v>381</v>
      </c>
      <c r="S25" s="34">
        <v>2.7</v>
      </c>
      <c r="T25" s="353">
        <f t="shared" si="7"/>
        <v>4.0785498489425982E-2</v>
      </c>
      <c r="U25" s="95">
        <v>2.61</v>
      </c>
      <c r="V25" s="36">
        <f>RTD("money.excel",,$G25,"Price")</f>
        <v>66.2</v>
      </c>
      <c r="W25" s="66"/>
      <c r="X25" s="15">
        <f t="shared" si="8"/>
        <v>66.2</v>
      </c>
      <c r="Y25" s="3" t="e">
        <f t="shared" si="9"/>
        <v>#DIV/0!</v>
      </c>
      <c r="Z25" s="413" t="s">
        <v>1801</v>
      </c>
      <c r="AA25" s="161">
        <v>0</v>
      </c>
      <c r="AB25" s="409">
        <v>0</v>
      </c>
      <c r="AC25" s="259">
        <f t="shared" si="5"/>
        <v>0</v>
      </c>
      <c r="AD25" s="22" t="s">
        <v>785</v>
      </c>
      <c r="AG25" s="33">
        <v>0</v>
      </c>
      <c r="AH25" s="43" t="s">
        <v>2797</v>
      </c>
      <c r="AI25" s="63">
        <f t="shared" si="10"/>
        <v>7.3671874999999996E-4</v>
      </c>
      <c r="AJ25" s="307">
        <f>RTD("money.excel",,$G25,"PredictVolume")</f>
        <v>943</v>
      </c>
      <c r="AK25" s="339"/>
    </row>
    <row r="26" spans="1:37">
      <c r="A26" s="416">
        <v>18.3</v>
      </c>
      <c r="B26" s="91">
        <v>1</v>
      </c>
      <c r="C26" s="91">
        <v>-2</v>
      </c>
      <c r="D26" s="91">
        <v>-25</v>
      </c>
      <c r="E26" s="91">
        <v>-13</v>
      </c>
      <c r="F26" s="6">
        <v>5.15</v>
      </c>
      <c r="G26" s="79">
        <v>1231</v>
      </c>
      <c r="H26" s="8" t="s">
        <v>294</v>
      </c>
      <c r="I26" s="22" t="s">
        <v>786</v>
      </c>
      <c r="J26" s="73">
        <v>69.02</v>
      </c>
      <c r="K26" s="73">
        <v>4.4400000000000004</v>
      </c>
      <c r="L26" s="73">
        <v>0.41</v>
      </c>
      <c r="N26" s="318">
        <f t="shared" si="6"/>
        <v>73.86999999999999</v>
      </c>
      <c r="O26" s="81">
        <f>IFERROR(VLOOKUP($G26,'321買'!A:E,3,0),"'沒有資料'")</f>
        <v>0</v>
      </c>
      <c r="P26" s="380">
        <f>IFERROR(VLOOKUP($G26,'321買'!$A:$G,7,0),"'沒有資料'")</f>
        <v>911</v>
      </c>
      <c r="R26" s="297">
        <f>IFERROR(RANK(VLOOKUP($G26,連買!$A:$D,4,0),連買!$D:$D,0),"'沒有資料'")</f>
        <v>279</v>
      </c>
      <c r="S26" s="34">
        <v>2.6</v>
      </c>
      <c r="T26" s="353">
        <f t="shared" si="7"/>
        <v>3.0588235294117649E-2</v>
      </c>
      <c r="U26" s="95">
        <v>3.78</v>
      </c>
      <c r="V26" s="36">
        <f>RTD("money.excel",,$G26,"Price")</f>
        <v>85</v>
      </c>
      <c r="W26" s="66"/>
      <c r="X26" s="15">
        <f t="shared" si="8"/>
        <v>85</v>
      </c>
      <c r="Y26" s="3" t="e">
        <f t="shared" si="9"/>
        <v>#DIV/0!</v>
      </c>
      <c r="Z26" s="413" t="s">
        <v>1801</v>
      </c>
      <c r="AA26" s="161">
        <v>0</v>
      </c>
      <c r="AB26" s="409">
        <v>0</v>
      </c>
      <c r="AC26" s="259">
        <f t="shared" si="5"/>
        <v>0</v>
      </c>
      <c r="AD26" s="22" t="s">
        <v>786</v>
      </c>
      <c r="AG26" s="33">
        <v>0</v>
      </c>
      <c r="AH26" s="43" t="s">
        <v>2798</v>
      </c>
      <c r="AI26" s="63">
        <f t="shared" si="10"/>
        <v>3.0655737704918034E-3</v>
      </c>
      <c r="AJ26" s="307">
        <f>RTD("money.excel",,$G26,"PredictVolume")</f>
        <v>561</v>
      </c>
      <c r="AK26" s="339"/>
    </row>
    <row r="27" spans="1:37">
      <c r="A27" s="416">
        <v>16</v>
      </c>
      <c r="B27" s="79">
        <v>17</v>
      </c>
      <c r="C27" s="79">
        <v>18</v>
      </c>
      <c r="D27" s="79">
        <v>5</v>
      </c>
      <c r="E27" s="79">
        <v>10</v>
      </c>
      <c r="F27" s="6">
        <v>8.7200000000000006</v>
      </c>
      <c r="G27" s="79">
        <v>1232</v>
      </c>
      <c r="H27" s="8" t="s">
        <v>294</v>
      </c>
      <c r="I27" s="22" t="s">
        <v>787</v>
      </c>
      <c r="J27" s="323">
        <v>76.86</v>
      </c>
      <c r="K27" s="323">
        <v>1.63</v>
      </c>
      <c r="L27" s="323">
        <v>0.17</v>
      </c>
      <c r="N27" s="318">
        <f t="shared" si="6"/>
        <v>78.66</v>
      </c>
      <c r="O27" s="81">
        <f>IFERROR(VLOOKUP($G27,'321買'!A:E,3,0),"'沒有資料'")</f>
        <v>0</v>
      </c>
      <c r="P27" s="380">
        <f>IFERROR(VLOOKUP($G27,'321買'!$A:$G,7,0),"'沒有資料'")</f>
        <v>911</v>
      </c>
      <c r="R27" s="297">
        <f>IFERROR(RANK(VLOOKUP($G27,連買!$A:$D,4,0),連買!$D:$D,0),"'沒有資料'")</f>
        <v>154</v>
      </c>
      <c r="S27" s="66">
        <v>6</v>
      </c>
      <c r="T27" s="353">
        <f t="shared" si="7"/>
        <v>3.8585209003215437E-2</v>
      </c>
      <c r="U27" s="95">
        <v>8.08</v>
      </c>
      <c r="V27" s="36">
        <f>RTD("money.excel",,$G27,"Price")</f>
        <v>155.5</v>
      </c>
      <c r="W27" s="66"/>
      <c r="X27" s="15">
        <f t="shared" si="8"/>
        <v>155.5</v>
      </c>
      <c r="Y27" s="3" t="e">
        <f t="shared" si="9"/>
        <v>#DIV/0!</v>
      </c>
      <c r="Z27" s="413" t="s">
        <v>1997</v>
      </c>
      <c r="AA27" s="161">
        <v>0</v>
      </c>
      <c r="AB27" s="409">
        <v>0</v>
      </c>
      <c r="AC27" s="259">
        <f t="shared" si="5"/>
        <v>0</v>
      </c>
      <c r="AD27" s="22" t="s">
        <v>787</v>
      </c>
      <c r="AG27" s="33">
        <v>0</v>
      </c>
      <c r="AH27" s="43" t="s">
        <v>2799</v>
      </c>
      <c r="AI27" s="63">
        <f t="shared" si="10"/>
        <v>2.1249999999999999E-4</v>
      </c>
      <c r="AJ27" s="307">
        <f>RTD("money.excel",,$G27,"PredictVolume")</f>
        <v>34</v>
      </c>
      <c r="AK27" s="339"/>
    </row>
    <row r="28" spans="1:37">
      <c r="A28" s="416">
        <v>9.06</v>
      </c>
      <c r="B28" s="91">
        <v>-70</v>
      </c>
      <c r="C28" s="91">
        <v>-72</v>
      </c>
      <c r="D28" s="91">
        <v>-1</v>
      </c>
      <c r="E28" s="91">
        <v>-23</v>
      </c>
      <c r="F28" s="6">
        <v>2.66</v>
      </c>
      <c r="G28" s="79">
        <v>1233</v>
      </c>
      <c r="H28" s="8" t="s">
        <v>294</v>
      </c>
      <c r="I28" s="22" t="s">
        <v>788</v>
      </c>
      <c r="J28" s="73">
        <v>68.430000000000007</v>
      </c>
      <c r="K28" s="73">
        <v>5.36</v>
      </c>
      <c r="L28" s="73">
        <v>0.06</v>
      </c>
      <c r="N28" s="318">
        <f t="shared" si="6"/>
        <v>73.850000000000009</v>
      </c>
      <c r="O28" s="81">
        <f>IFERROR(VLOOKUP($G28,'321買'!A:E,3,0),"'沒有資料'")</f>
        <v>0</v>
      </c>
      <c r="P28" s="380">
        <f>IFERROR(VLOOKUP($G28,'321買'!$A:$G,7,0),"'沒有資料'")</f>
        <v>911</v>
      </c>
      <c r="R28" s="297">
        <f>IFERROR(RANK(VLOOKUP($G28,連買!$A:$D,4,0),連買!$D:$D,0),"'沒有資料'")</f>
        <v>1498</v>
      </c>
      <c r="S28" s="34">
        <v>0.8</v>
      </c>
      <c r="T28" s="353">
        <f t="shared" si="7"/>
        <v>2.3988005997001498E-2</v>
      </c>
      <c r="U28" s="95">
        <v>0.63</v>
      </c>
      <c r="V28" s="36">
        <f>RTD("money.excel",,$G28,"Price")</f>
        <v>33.35</v>
      </c>
      <c r="W28" s="66"/>
      <c r="X28" s="15">
        <f t="shared" si="8"/>
        <v>33.35</v>
      </c>
      <c r="Y28" s="3" t="e">
        <f t="shared" si="9"/>
        <v>#DIV/0!</v>
      </c>
      <c r="AA28" s="161">
        <v>0</v>
      </c>
      <c r="AB28" s="409">
        <v>0</v>
      </c>
      <c r="AC28" s="259">
        <f t="shared" si="5"/>
        <v>0</v>
      </c>
      <c r="AD28" s="22" t="s">
        <v>788</v>
      </c>
      <c r="AG28" s="33">
        <v>0</v>
      </c>
      <c r="AH28" s="43" t="s">
        <v>2347</v>
      </c>
      <c r="AI28" s="63">
        <f t="shared" si="10"/>
        <v>9.9337748344370861E-5</v>
      </c>
      <c r="AJ28" s="307">
        <f>RTD("money.excel",,$G28,"PredictVolume")</f>
        <v>9</v>
      </c>
      <c r="AK28" s="339"/>
    </row>
    <row r="29" spans="1:37">
      <c r="A29" s="416">
        <v>40.1</v>
      </c>
      <c r="B29" s="79">
        <v>4</v>
      </c>
      <c r="C29" s="79">
        <v>45</v>
      </c>
      <c r="D29" s="80">
        <v>-2</v>
      </c>
      <c r="E29" s="80">
        <v>-1</v>
      </c>
      <c r="F29" s="6">
        <v>7.2</v>
      </c>
      <c r="G29" s="79">
        <v>1234</v>
      </c>
      <c r="H29" s="8" t="s">
        <v>294</v>
      </c>
      <c r="I29" s="22" t="s">
        <v>789</v>
      </c>
      <c r="J29" s="73">
        <v>80.17</v>
      </c>
      <c r="K29" s="73">
        <v>4.2</v>
      </c>
      <c r="L29" s="73">
        <v>0.19</v>
      </c>
      <c r="N29" s="318">
        <f t="shared" si="6"/>
        <v>84.56</v>
      </c>
      <c r="O29" s="81">
        <f>IFERROR(VLOOKUP($G29,'321買'!A:E,3,0),"'沒有資料'")</f>
        <v>0</v>
      </c>
      <c r="P29" s="380">
        <f>IFERROR(VLOOKUP($G29,'321買'!$A:$G,7,0),"'沒有資料'")</f>
        <v>911</v>
      </c>
      <c r="R29" s="297">
        <f>IFERROR(RANK(VLOOKUP($G29,連買!$A:$D,4,0),連買!$D:$D,0),"'沒有資料'")</f>
        <v>503</v>
      </c>
      <c r="S29" s="34">
        <v>1.8</v>
      </c>
      <c r="T29" s="353">
        <f t="shared" si="7"/>
        <v>5.0420168067226885E-2</v>
      </c>
      <c r="U29" s="95">
        <v>2.2200000000000002</v>
      </c>
      <c r="V29" s="36">
        <f>RTD("money.excel",,$G29,"Price")</f>
        <v>35.700000000000003</v>
      </c>
      <c r="W29" s="66"/>
      <c r="X29" s="15">
        <f t="shared" si="8"/>
        <v>35.700000000000003</v>
      </c>
      <c r="Y29" s="3" t="e">
        <f t="shared" si="9"/>
        <v>#DIV/0!</v>
      </c>
      <c r="Z29" s="413" t="s">
        <v>1801</v>
      </c>
      <c r="AA29" s="161">
        <v>0</v>
      </c>
      <c r="AB29" s="409">
        <v>0</v>
      </c>
      <c r="AC29" s="259">
        <f t="shared" si="5"/>
        <v>0</v>
      </c>
      <c r="AD29" s="22" t="s">
        <v>789</v>
      </c>
      <c r="AG29" s="33">
        <v>0</v>
      </c>
      <c r="AH29" s="43" t="s">
        <v>2315</v>
      </c>
      <c r="AI29" s="63">
        <f t="shared" si="10"/>
        <v>4.5885286783042394E-4</v>
      </c>
      <c r="AJ29" s="307">
        <f>RTD("money.excel",,$G29,"PredictVolume")</f>
        <v>184</v>
      </c>
      <c r="AK29" s="339"/>
    </row>
    <row r="30" spans="1:37">
      <c r="A30" s="415">
        <v>10.4</v>
      </c>
      <c r="B30" s="91">
        <v>52</v>
      </c>
      <c r="C30" s="91">
        <v>116</v>
      </c>
      <c r="D30" s="91">
        <v>-78</v>
      </c>
      <c r="E30" s="91">
        <v>35</v>
      </c>
      <c r="F30" s="57">
        <v>47.38</v>
      </c>
      <c r="G30" s="79">
        <v>1235</v>
      </c>
      <c r="H30" s="8" t="s">
        <v>294</v>
      </c>
      <c r="I30" s="22" t="s">
        <v>790</v>
      </c>
      <c r="J30" s="73">
        <v>90.89</v>
      </c>
      <c r="K30" s="73">
        <v>0.21</v>
      </c>
      <c r="L30" s="73">
        <v>36.28</v>
      </c>
      <c r="N30" s="318">
        <f t="shared" si="6"/>
        <v>127.38</v>
      </c>
      <c r="O30" s="81">
        <f>IFERROR(VLOOKUP($G30,'321買'!A:E,3,0),"'沒有資料'")</f>
        <v>0</v>
      </c>
      <c r="P30" s="380">
        <f>IFERROR(VLOOKUP($G30,'321買'!$A:$G,7,0),"'沒有資料'")</f>
        <v>911</v>
      </c>
      <c r="R30" s="297">
        <f>IFERROR(RANK(VLOOKUP($G30,連買!$A:$D,4,0),連買!$D:$D,0),"'沒有資料'")</f>
        <v>870</v>
      </c>
      <c r="S30" s="34">
        <v>1.1000000000000001</v>
      </c>
      <c r="T30" s="353">
        <f t="shared" si="7"/>
        <v>2.452619843924192E-2</v>
      </c>
      <c r="U30" s="95">
        <v>0.68</v>
      </c>
      <c r="V30" s="36">
        <f>RTD("money.excel",,$G30,"Price")</f>
        <v>44.85</v>
      </c>
      <c r="W30" s="66"/>
      <c r="X30" s="15">
        <f t="shared" si="8"/>
        <v>44.85</v>
      </c>
      <c r="Y30" s="3" t="e">
        <f t="shared" si="9"/>
        <v>#DIV/0!</v>
      </c>
      <c r="AA30" s="161">
        <v>0</v>
      </c>
      <c r="AB30" s="409">
        <v>0</v>
      </c>
      <c r="AC30" s="259">
        <f t="shared" si="5"/>
        <v>0</v>
      </c>
      <c r="AD30" s="22" t="s">
        <v>790</v>
      </c>
      <c r="AG30" s="33">
        <v>0</v>
      </c>
      <c r="AH30" s="43" t="s">
        <v>2800</v>
      </c>
      <c r="AI30" s="63">
        <f t="shared" si="10"/>
        <v>3.5576923076923079E-4</v>
      </c>
      <c r="AJ30" s="307">
        <f>RTD("money.excel",,$G30,"PredictVolume")</f>
        <v>37</v>
      </c>
      <c r="AK30" s="339"/>
    </row>
    <row r="31" spans="1:37">
      <c r="A31" s="416">
        <v>10.8</v>
      </c>
      <c r="B31" s="80">
        <v>-69</v>
      </c>
      <c r="C31" s="80">
        <v>-72</v>
      </c>
      <c r="D31" s="79">
        <v>23</v>
      </c>
      <c r="E31" s="79">
        <v>3</v>
      </c>
      <c r="F31" s="6">
        <v>-3.61</v>
      </c>
      <c r="G31" s="79">
        <v>1236</v>
      </c>
      <c r="H31" s="8" t="s">
        <v>294</v>
      </c>
      <c r="I31" s="22" t="s">
        <v>791</v>
      </c>
      <c r="J31" s="323">
        <v>80.97</v>
      </c>
      <c r="K31" s="73">
        <v>0.39</v>
      </c>
      <c r="L31" s="73">
        <v>9.34</v>
      </c>
      <c r="M31" s="73">
        <v>18.510000000000002</v>
      </c>
      <c r="N31" s="318">
        <f t="shared" si="6"/>
        <v>109.21000000000001</v>
      </c>
      <c r="O31" s="81">
        <f>IFERROR(VLOOKUP($G31,'321買'!A:E,3,0),"'沒有資料'")</f>
        <v>2</v>
      </c>
      <c r="P31" s="380">
        <f>IFERROR(VLOOKUP($G31,'321買'!$A:$G,7,0),"'沒有資料'")</f>
        <v>706</v>
      </c>
      <c r="Q31" s="245" t="s">
        <v>3816</v>
      </c>
      <c r="R31" s="297">
        <f>IFERROR(RANK(VLOOKUP($G31,連買!$A:$D,4,0),連買!$D:$D,0),"'沒有資料'")</f>
        <v>880</v>
      </c>
      <c r="S31" s="34">
        <v>0.2</v>
      </c>
      <c r="T31" s="353">
        <f t="shared" si="7"/>
        <v>7.6335877862595426E-3</v>
      </c>
      <c r="U31" s="57">
        <v>-0.1</v>
      </c>
      <c r="V31" s="36">
        <f>RTD("money.excel",,$G31,"Price")</f>
        <v>26.2</v>
      </c>
      <c r="W31" s="66"/>
      <c r="X31" s="15">
        <f t="shared" si="8"/>
        <v>26.2</v>
      </c>
      <c r="Y31" s="3" t="e">
        <f t="shared" si="9"/>
        <v>#DIV/0!</v>
      </c>
      <c r="Z31" s="413" t="s">
        <v>1801</v>
      </c>
      <c r="AA31" s="161">
        <v>0</v>
      </c>
      <c r="AB31" s="409">
        <v>0</v>
      </c>
      <c r="AC31" s="259">
        <f t="shared" si="5"/>
        <v>0</v>
      </c>
      <c r="AD31" s="22" t="s">
        <v>791</v>
      </c>
      <c r="AG31" s="33">
        <v>0</v>
      </c>
      <c r="AH31" s="43" t="s">
        <v>2801</v>
      </c>
      <c r="AI31" s="63">
        <f t="shared" si="10"/>
        <v>1.7870370370370371E-3</v>
      </c>
      <c r="AJ31" s="307">
        <f>RTD("money.excel",,$G31,"PredictVolume")</f>
        <v>193</v>
      </c>
      <c r="AK31" s="339"/>
    </row>
    <row r="32" spans="1:37">
      <c r="A32" s="415">
        <v>3.38</v>
      </c>
      <c r="B32" s="80">
        <v>33</v>
      </c>
      <c r="C32" s="80">
        <v>25</v>
      </c>
      <c r="D32" s="79">
        <v>61</v>
      </c>
      <c r="E32" s="80">
        <v>136</v>
      </c>
      <c r="F32" s="57">
        <v>29.29</v>
      </c>
      <c r="G32" s="79">
        <v>1256</v>
      </c>
      <c r="H32" s="8" t="s">
        <v>294</v>
      </c>
      <c r="I32" s="22" t="s">
        <v>792</v>
      </c>
      <c r="J32" s="73">
        <v>61.68</v>
      </c>
      <c r="K32" s="323">
        <v>4.0599999999999996</v>
      </c>
      <c r="L32" s="323">
        <v>1.61</v>
      </c>
      <c r="N32" s="318">
        <f t="shared" si="6"/>
        <v>67.349999999999994</v>
      </c>
      <c r="O32" s="81">
        <f>IFERROR(VLOOKUP($G32,'321買'!A:E,3,0),"'沒有資料'")</f>
        <v>0</v>
      </c>
      <c r="P32" s="380">
        <f>IFERROR(VLOOKUP($G32,'321買'!$A:$G,7,0),"'沒有資料'")</f>
        <v>911</v>
      </c>
      <c r="R32" s="297">
        <f>IFERROR(RANK(VLOOKUP($G32,連買!$A:$D,4,0),連買!$D:$D,0),"'沒有資料'")</f>
        <v>1746</v>
      </c>
      <c r="S32" s="66">
        <v>12</v>
      </c>
      <c r="T32" s="353">
        <f t="shared" si="7"/>
        <v>4.2704626334519574E-2</v>
      </c>
      <c r="U32" s="95">
        <v>23</v>
      </c>
      <c r="V32" s="36">
        <f>RTD("money.excel",,$G32,"Price")</f>
        <v>281</v>
      </c>
      <c r="W32" s="66"/>
      <c r="X32" s="15">
        <f t="shared" si="8"/>
        <v>281</v>
      </c>
      <c r="Y32" s="3" t="e">
        <f t="shared" si="9"/>
        <v>#DIV/0!</v>
      </c>
      <c r="Z32" s="413" t="s">
        <v>1997</v>
      </c>
      <c r="AA32" s="161">
        <v>0</v>
      </c>
      <c r="AB32" s="409">
        <v>0</v>
      </c>
      <c r="AC32" s="259">
        <f t="shared" si="5"/>
        <v>0</v>
      </c>
      <c r="AD32" s="22" t="s">
        <v>792</v>
      </c>
      <c r="AG32" s="33">
        <v>0</v>
      </c>
      <c r="AH32" s="43" t="s">
        <v>2802</v>
      </c>
      <c r="AI32" s="63">
        <f t="shared" si="10"/>
        <v>2.6627218934911241E-4</v>
      </c>
      <c r="AJ32" s="307">
        <f>RTD("money.excel",,$G32,"PredictVolume")</f>
        <v>9</v>
      </c>
      <c r="AK32" s="339"/>
    </row>
    <row r="33" spans="1:38">
      <c r="A33" s="416">
        <v>3.68</v>
      </c>
      <c r="B33" s="91">
        <v>84</v>
      </c>
      <c r="C33" s="91">
        <v>115</v>
      </c>
      <c r="D33" s="91">
        <v>1</v>
      </c>
      <c r="E33" s="91">
        <v>-25</v>
      </c>
      <c r="F33" s="6">
        <v>0.49</v>
      </c>
      <c r="G33" s="79">
        <v>1258</v>
      </c>
      <c r="H33" s="8" t="s">
        <v>294</v>
      </c>
      <c r="I33" s="16" t="s">
        <v>137</v>
      </c>
      <c r="J33" s="323">
        <v>71.75</v>
      </c>
      <c r="K33" s="323">
        <v>72.930000000000007</v>
      </c>
      <c r="L33" s="323">
        <v>3.41</v>
      </c>
      <c r="N33" s="318">
        <f t="shared" si="6"/>
        <v>148.09</v>
      </c>
      <c r="O33" s="81">
        <f>IFERROR(VLOOKUP($G33,'321買'!A:E,3,0),"'沒有資料'")</f>
        <v>1</v>
      </c>
      <c r="P33" s="380">
        <f>IFERROR(VLOOKUP($G33,'321買'!$A:$G,7,0),"'沒有資料'")</f>
        <v>783</v>
      </c>
      <c r="R33" s="297">
        <f>IFERROR(RANK(VLOOKUP($G33,連買!$A:$D,4,0),連買!$D:$D,0),"'沒有資料'")</f>
        <v>1222</v>
      </c>
      <c r="S33" s="34">
        <v>0</v>
      </c>
      <c r="T33" s="353">
        <f t="shared" si="7"/>
        <v>0</v>
      </c>
      <c r="U33" s="57">
        <v>-0.43</v>
      </c>
      <c r="V33" s="36">
        <f>RTD("money.excel",,$G33,"Price")</f>
        <v>23.6</v>
      </c>
      <c r="W33" s="66"/>
      <c r="X33" s="15">
        <f t="shared" si="8"/>
        <v>23.6</v>
      </c>
      <c r="Y33" s="3" t="e">
        <f t="shared" si="9"/>
        <v>#DIV/0!</v>
      </c>
      <c r="AA33" s="161">
        <v>0</v>
      </c>
      <c r="AB33" s="409">
        <v>0</v>
      </c>
      <c r="AC33" s="259">
        <f t="shared" si="5"/>
        <v>0</v>
      </c>
      <c r="AD33" s="16" t="s">
        <v>137</v>
      </c>
      <c r="AG33" s="33">
        <v>0</v>
      </c>
      <c r="AH33" s="120" t="s">
        <v>2824</v>
      </c>
      <c r="AI33" s="63">
        <f t="shared" si="10"/>
        <v>4.1304347826086954E-3</v>
      </c>
      <c r="AJ33" s="307">
        <f>RTD("money.excel",,$G33,"PredictVolume")</f>
        <v>152</v>
      </c>
      <c r="AK33" s="339"/>
    </row>
    <row r="34" spans="1:38">
      <c r="A34" s="415">
        <v>3.37</v>
      </c>
      <c r="B34" s="79">
        <v>7</v>
      </c>
      <c r="C34" s="79">
        <v>8</v>
      </c>
      <c r="D34" s="80">
        <v>-1</v>
      </c>
      <c r="E34" s="79">
        <v>44</v>
      </c>
      <c r="F34" s="57">
        <v>18.13</v>
      </c>
      <c r="G34" s="79">
        <v>1264</v>
      </c>
      <c r="H34" s="8" t="s">
        <v>294</v>
      </c>
      <c r="I34" s="16" t="s">
        <v>772</v>
      </c>
      <c r="J34" s="73">
        <v>24.8</v>
      </c>
      <c r="K34" s="73">
        <v>8.42</v>
      </c>
      <c r="L34" s="323">
        <v>0.12</v>
      </c>
      <c r="N34" s="318">
        <f t="shared" si="6"/>
        <v>33.339999999999996</v>
      </c>
      <c r="O34" s="81">
        <f>IFERROR(VLOOKUP($G34,'321買'!A:E,3,0),"'沒有資料'")</f>
        <v>0</v>
      </c>
      <c r="P34" s="380">
        <f>IFERROR(VLOOKUP($G34,'321買'!$A:$G,7,0),"'沒有資料'")</f>
        <v>911</v>
      </c>
      <c r="R34" s="297">
        <f>IFERROR(RANK(VLOOKUP($G34,連買!$A:$D,4,0),連買!$D:$D,0),"'沒有資料'")</f>
        <v>495</v>
      </c>
      <c r="S34" s="66">
        <v>12</v>
      </c>
      <c r="T34" s="353">
        <f t="shared" si="7"/>
        <v>4.2704626334519574E-2</v>
      </c>
      <c r="U34" s="95">
        <v>16</v>
      </c>
      <c r="V34" s="36">
        <f>RTD("money.excel",,$G34,"Price")</f>
        <v>281</v>
      </c>
      <c r="W34" s="66"/>
      <c r="X34" s="15">
        <f t="shared" si="8"/>
        <v>281</v>
      </c>
      <c r="Y34" s="3" t="e">
        <f t="shared" si="9"/>
        <v>#DIV/0!</v>
      </c>
      <c r="Z34" s="413" t="s">
        <v>1997</v>
      </c>
      <c r="AA34" s="161">
        <v>0</v>
      </c>
      <c r="AB34" s="409">
        <v>0</v>
      </c>
      <c r="AC34" s="259">
        <f t="shared" si="5"/>
        <v>0</v>
      </c>
      <c r="AD34" s="16" t="s">
        <v>772</v>
      </c>
      <c r="AG34" s="33">
        <v>0</v>
      </c>
      <c r="AH34" s="43" t="s">
        <v>2825</v>
      </c>
      <c r="AI34" s="63">
        <f t="shared" si="10"/>
        <v>2.967359050445104E-5</v>
      </c>
      <c r="AJ34" s="307">
        <f>RTD("money.excel",,$G34,"PredictVolume")</f>
        <v>1</v>
      </c>
      <c r="AK34" s="339"/>
    </row>
    <row r="35" spans="1:38">
      <c r="A35" s="146">
        <v>29.4</v>
      </c>
      <c r="B35" s="79">
        <v>32</v>
      </c>
      <c r="C35" s="79">
        <v>18</v>
      </c>
      <c r="D35" s="79">
        <v>24</v>
      </c>
      <c r="E35" s="79">
        <v>9</v>
      </c>
      <c r="F35" s="6">
        <v>9.16</v>
      </c>
      <c r="G35" s="79">
        <v>1702</v>
      </c>
      <c r="H35" s="17" t="s">
        <v>294</v>
      </c>
      <c r="I35" s="158" t="s">
        <v>6</v>
      </c>
      <c r="J35" s="323">
        <v>62.97</v>
      </c>
      <c r="K35" s="73">
        <v>15.33</v>
      </c>
      <c r="L35" s="323">
        <v>1.07</v>
      </c>
      <c r="M35" s="323">
        <v>35.76</v>
      </c>
      <c r="N35" s="318">
        <f t="shared" si="6"/>
        <v>115.13</v>
      </c>
      <c r="O35" s="81">
        <f>IFERROR(VLOOKUP($G35,'321買'!A:E,3,0),"'沒有資料'")</f>
        <v>0</v>
      </c>
      <c r="P35" s="380">
        <f>IFERROR(VLOOKUP($G35,'321買'!$A:$G,7,0),"'沒有資料'")</f>
        <v>911</v>
      </c>
      <c r="Q35" s="245" t="s">
        <v>5079</v>
      </c>
      <c r="R35" s="297">
        <f>IFERROR(RANK(VLOOKUP($G35,連買!$A:$D,4,0),連買!$D:$D,0),"'沒有資料'")</f>
        <v>538</v>
      </c>
      <c r="S35" s="197">
        <v>2</v>
      </c>
      <c r="T35" s="353">
        <f t="shared" si="7"/>
        <v>4.145077720207254E-2</v>
      </c>
      <c r="U35" s="95">
        <v>4.45</v>
      </c>
      <c r="V35" s="36">
        <f>RTD("money.excel",,"1702","Price")</f>
        <v>48.25</v>
      </c>
      <c r="W35" s="66"/>
      <c r="X35" s="15">
        <f t="shared" si="8"/>
        <v>48.25</v>
      </c>
      <c r="Y35" s="3" t="e">
        <f t="shared" si="9"/>
        <v>#DIV/0!</v>
      </c>
      <c r="Z35" s="413" t="s">
        <v>1801</v>
      </c>
      <c r="AA35" s="161">
        <v>0</v>
      </c>
      <c r="AB35" s="409">
        <v>0</v>
      </c>
      <c r="AC35" s="259">
        <f t="shared" si="5"/>
        <v>0</v>
      </c>
      <c r="AD35" s="22" t="s">
        <v>6</v>
      </c>
      <c r="AG35" s="33">
        <v>0</v>
      </c>
      <c r="AH35" s="43" t="s">
        <v>2803</v>
      </c>
      <c r="AI35" s="63">
        <f t="shared" si="10"/>
        <v>7.6870748299319729E-4</v>
      </c>
      <c r="AJ35" s="307">
        <f>RTD("money.excel",,$G35,"PredictVolume")</f>
        <v>226</v>
      </c>
      <c r="AK35" s="339">
        <v>2.6</v>
      </c>
    </row>
    <row r="36" spans="1:38">
      <c r="A36" s="415">
        <v>20</v>
      </c>
      <c r="B36" s="80">
        <v>-20</v>
      </c>
      <c r="C36" s="80">
        <v>-6</v>
      </c>
      <c r="D36" s="80">
        <v>-10</v>
      </c>
      <c r="E36" s="80">
        <v>-4</v>
      </c>
      <c r="F36" s="57">
        <v>12.89</v>
      </c>
      <c r="G36" s="79">
        <v>1737</v>
      </c>
      <c r="H36" s="8" t="s">
        <v>294</v>
      </c>
      <c r="I36" s="22" t="s">
        <v>793</v>
      </c>
      <c r="J36" s="73">
        <v>60.16</v>
      </c>
      <c r="K36" s="73">
        <v>10.63</v>
      </c>
      <c r="L36" s="73">
        <v>0.46</v>
      </c>
      <c r="N36" s="318">
        <f t="shared" si="6"/>
        <v>71.249999999999986</v>
      </c>
      <c r="O36" s="81">
        <f>IFERROR(VLOOKUP($G36,'321買'!A:E,3,0),"'沒有資料'")</f>
        <v>0</v>
      </c>
      <c r="P36" s="380">
        <f>IFERROR(VLOOKUP($G36,'321買'!$A:$G,7,0),"'沒有資料'")</f>
        <v>911</v>
      </c>
      <c r="R36" s="297">
        <f>IFERROR(RANK(VLOOKUP($G36,連買!$A:$D,4,0),連買!$D:$D,0),"'沒有資料'")</f>
        <v>680</v>
      </c>
      <c r="S36" s="34">
        <v>1.35</v>
      </c>
      <c r="T36" s="353">
        <f t="shared" si="7"/>
        <v>3.941605839416059E-2</v>
      </c>
      <c r="U36" s="95">
        <v>1.83</v>
      </c>
      <c r="V36" s="36">
        <f>RTD("money.excel",,$G36,"Price")</f>
        <v>34.25</v>
      </c>
      <c r="W36" s="66"/>
      <c r="X36" s="15">
        <f t="shared" si="8"/>
        <v>34.25</v>
      </c>
      <c r="Y36" s="3" t="e">
        <f t="shared" si="9"/>
        <v>#DIV/0!</v>
      </c>
      <c r="Z36" s="413" t="s">
        <v>1801</v>
      </c>
      <c r="AA36" s="161">
        <v>0</v>
      </c>
      <c r="AB36" s="409">
        <v>0</v>
      </c>
      <c r="AC36" s="259">
        <f t="shared" si="5"/>
        <v>0</v>
      </c>
      <c r="AD36" s="22" t="s">
        <v>793</v>
      </c>
      <c r="AG36" s="33">
        <v>0</v>
      </c>
      <c r="AH36" s="43" t="s">
        <v>2804</v>
      </c>
      <c r="AI36" s="63">
        <f t="shared" si="10"/>
        <v>6.9499999999999998E-4</v>
      </c>
      <c r="AJ36" s="307">
        <f>RTD("money.excel",,$G36,"PredictVolume")</f>
        <v>139</v>
      </c>
      <c r="AK36" s="339"/>
    </row>
    <row r="37" spans="1:38">
      <c r="A37" s="416">
        <v>3.99</v>
      </c>
      <c r="B37" s="91">
        <v>90</v>
      </c>
      <c r="C37" s="91">
        <v>150</v>
      </c>
      <c r="D37" s="91">
        <v>1</v>
      </c>
      <c r="E37" s="91">
        <v>73</v>
      </c>
      <c r="F37" s="6">
        <v>2.6</v>
      </c>
      <c r="G37" s="79">
        <v>1796</v>
      </c>
      <c r="H37" s="8" t="s">
        <v>294</v>
      </c>
      <c r="I37" s="16" t="s">
        <v>1120</v>
      </c>
      <c r="J37" s="73">
        <v>48.94</v>
      </c>
      <c r="K37" s="73">
        <v>0.72</v>
      </c>
      <c r="N37" s="318">
        <f t="shared" si="6"/>
        <v>49.66</v>
      </c>
      <c r="O37" s="81" t="str">
        <f>IFERROR(VLOOKUP($G37,'321買'!A:E,3,0),"'沒有資料'")</f>
        <v>'沒有資料'</v>
      </c>
      <c r="P37" s="380" t="str">
        <f>IFERROR(VLOOKUP($G37,'321買'!$A:$G,7,0),"'沒有資料'")</f>
        <v>'沒有資料'</v>
      </c>
      <c r="R37" s="297">
        <f>IFERROR(RANK(VLOOKUP($G37,連買!$A:$D,4,0),連買!$D:$D,0),"'沒有資料'")</f>
        <v>1010</v>
      </c>
      <c r="S37" s="34">
        <v>0.08</v>
      </c>
      <c r="T37" s="353">
        <f t="shared" si="7"/>
        <v>1.7917133258678612E-3</v>
      </c>
      <c r="U37" s="95">
        <v>0.16</v>
      </c>
      <c r="V37" s="36">
        <f>RTD("money.excel",,$G37,"Price")</f>
        <v>44.65</v>
      </c>
      <c r="W37" s="66"/>
      <c r="X37" s="15">
        <f t="shared" si="8"/>
        <v>44.65</v>
      </c>
      <c r="Y37" s="3" t="e">
        <f t="shared" si="9"/>
        <v>#DIV/0!</v>
      </c>
      <c r="AA37" s="161">
        <v>0</v>
      </c>
      <c r="AB37" s="409">
        <v>0</v>
      </c>
      <c r="AC37" s="259">
        <f t="shared" si="5"/>
        <v>0</v>
      </c>
      <c r="AD37" s="16" t="s">
        <v>1120</v>
      </c>
      <c r="AG37" s="33">
        <v>0</v>
      </c>
      <c r="AH37" s="43" t="s">
        <v>2634</v>
      </c>
      <c r="AI37" s="63">
        <f t="shared" si="10"/>
        <v>4.2606516290726818E-4</v>
      </c>
      <c r="AJ37" s="307">
        <f>RTD("money.excel",,$G37,"PredictVolume")</f>
        <v>17</v>
      </c>
      <c r="AK37" s="339"/>
    </row>
    <row r="38" spans="1:38">
      <c r="A38" s="415">
        <v>8.07</v>
      </c>
      <c r="B38" s="91">
        <v>23</v>
      </c>
      <c r="C38" s="91">
        <v>20</v>
      </c>
      <c r="D38" s="91">
        <v>6</v>
      </c>
      <c r="E38" s="91">
        <v>-1</v>
      </c>
      <c r="F38" s="57">
        <v>25.34</v>
      </c>
      <c r="G38" s="79">
        <v>4205</v>
      </c>
      <c r="H38" s="8" t="s">
        <v>294</v>
      </c>
      <c r="I38" s="16" t="s">
        <v>773</v>
      </c>
      <c r="J38" s="73">
        <v>68.819999999999993</v>
      </c>
      <c r="K38" s="323">
        <v>0.2</v>
      </c>
      <c r="L38" s="73">
        <v>0.03</v>
      </c>
      <c r="N38" s="318">
        <f t="shared" si="6"/>
        <v>69.05</v>
      </c>
      <c r="O38" s="81">
        <f>IFERROR(VLOOKUP($G38,'321買'!A:E,3,0),"'沒有資料'")</f>
        <v>0</v>
      </c>
      <c r="P38" s="380">
        <f>IFERROR(VLOOKUP($G38,'321買'!$A:$G,7,0),"'沒有資料'")</f>
        <v>911</v>
      </c>
      <c r="R38" s="297">
        <f>IFERROR(RANK(VLOOKUP($G38,連買!$A:$D,4,0),連買!$D:$D,0),"'沒有資料'")</f>
        <v>1571</v>
      </c>
      <c r="S38" s="66">
        <v>3</v>
      </c>
      <c r="T38" s="353">
        <f t="shared" si="7"/>
        <v>2.553191489361702E-2</v>
      </c>
      <c r="U38" s="95">
        <v>4.21</v>
      </c>
      <c r="V38" s="36">
        <f>RTD("money.excel",,$G38,"Price")</f>
        <v>117.5</v>
      </c>
      <c r="W38" s="66"/>
      <c r="X38" s="15">
        <f t="shared" si="8"/>
        <v>117.5</v>
      </c>
      <c r="Y38" s="3" t="e">
        <f t="shared" si="9"/>
        <v>#DIV/0!</v>
      </c>
      <c r="Z38" s="413" t="s">
        <v>1831</v>
      </c>
      <c r="AA38" s="161">
        <v>0</v>
      </c>
      <c r="AB38" s="409">
        <v>0</v>
      </c>
      <c r="AC38" s="259">
        <f t="shared" si="5"/>
        <v>0</v>
      </c>
      <c r="AD38" s="16" t="s">
        <v>773</v>
      </c>
      <c r="AG38" s="33">
        <v>0</v>
      </c>
      <c r="AH38" s="43" t="s">
        <v>2826</v>
      </c>
      <c r="AI38" s="63">
        <f t="shared" si="10"/>
        <v>6.1957868649318467E-5</v>
      </c>
      <c r="AJ38" s="307">
        <f>RTD("money.excel",,$G38,"PredictVolume")</f>
        <v>5</v>
      </c>
      <c r="AK38" s="339"/>
    </row>
    <row r="39" spans="1:38">
      <c r="A39" s="416">
        <v>16.2</v>
      </c>
      <c r="B39" s="91">
        <v>140</v>
      </c>
      <c r="C39" s="91">
        <v>104</v>
      </c>
      <c r="D39" s="91">
        <v>9</v>
      </c>
      <c r="E39" s="91">
        <v>17</v>
      </c>
      <c r="F39" s="6">
        <v>8.7100000000000009</v>
      </c>
      <c r="G39" s="79">
        <v>4207</v>
      </c>
      <c r="H39" s="8" t="s">
        <v>294</v>
      </c>
      <c r="I39" s="16" t="s">
        <v>774</v>
      </c>
      <c r="J39" s="73">
        <v>65.260000000000005</v>
      </c>
      <c r="K39" s="73">
        <v>0.01</v>
      </c>
      <c r="L39" s="73">
        <v>4.2699999999999996</v>
      </c>
      <c r="N39" s="318">
        <f t="shared" si="6"/>
        <v>69.540000000000006</v>
      </c>
      <c r="O39" s="81">
        <f>IFERROR(VLOOKUP($G39,'321買'!A:E,3,0),"'沒有資料'")</f>
        <v>0</v>
      </c>
      <c r="P39" s="380">
        <f>IFERROR(VLOOKUP($G39,'321買'!$A:$G,7,0),"'沒有資料'")</f>
        <v>911</v>
      </c>
      <c r="R39" s="297">
        <f>IFERROR(RANK(VLOOKUP($G39,連買!$A:$D,4,0),連買!$D:$D,0),"'沒有資料'")</f>
        <v>1251</v>
      </c>
      <c r="S39" s="34">
        <v>0.37</v>
      </c>
      <c r="T39" s="353">
        <f t="shared" si="7"/>
        <v>2.4503311258278145E-2</v>
      </c>
      <c r="U39" s="95">
        <v>0.91</v>
      </c>
      <c r="V39" s="36">
        <f>RTD("money.excel",,$G39,"Price")</f>
        <v>15.1</v>
      </c>
      <c r="W39" s="66"/>
      <c r="X39" s="15">
        <f t="shared" si="8"/>
        <v>15.1</v>
      </c>
      <c r="Y39" s="3" t="e">
        <f t="shared" si="9"/>
        <v>#DIV/0!</v>
      </c>
      <c r="AA39" s="161">
        <v>0</v>
      </c>
      <c r="AB39" s="409">
        <v>0</v>
      </c>
      <c r="AC39" s="259">
        <f t="shared" si="5"/>
        <v>0</v>
      </c>
      <c r="AD39" s="16" t="s">
        <v>774</v>
      </c>
      <c r="AG39" s="33">
        <v>0</v>
      </c>
      <c r="AH39" s="43" t="s">
        <v>2827</v>
      </c>
      <c r="AI39" s="63">
        <f t="shared" si="10"/>
        <v>8.5061728395061723E-3</v>
      </c>
      <c r="AJ39" s="307">
        <f>RTD("money.excel",,$G39,"PredictVolume")</f>
        <v>1378</v>
      </c>
      <c r="AK39" s="339"/>
    </row>
    <row r="40" spans="1:38">
      <c r="A40" s="146"/>
      <c r="B40" s="91"/>
      <c r="C40" s="91"/>
      <c r="D40" s="91"/>
      <c r="E40" s="140"/>
      <c r="F40" s="73"/>
      <c r="G40" s="79"/>
      <c r="H40" s="8"/>
      <c r="I40" s="16"/>
      <c r="J40" s="73"/>
      <c r="K40" s="73"/>
      <c r="N40" s="318"/>
      <c r="O40" s="26"/>
      <c r="S40" s="34"/>
      <c r="T40" s="351"/>
      <c r="U40" s="95"/>
      <c r="V40" s="13"/>
      <c r="W40" s="66"/>
      <c r="X40" s="15"/>
      <c r="Y40" s="3"/>
      <c r="AA40" s="2"/>
      <c r="AD40" s="16"/>
      <c r="AG40" s="33"/>
      <c r="AH40" s="43"/>
      <c r="AI40" s="63"/>
      <c r="AJ40" s="307"/>
      <c r="AK40" s="339"/>
    </row>
    <row r="41" spans="1:38">
      <c r="A41" s="130" t="s">
        <v>1732</v>
      </c>
      <c r="B41" s="91" t="s">
        <v>1588</v>
      </c>
      <c r="C41" s="91" t="s">
        <v>1589</v>
      </c>
      <c r="D41" s="91" t="s">
        <v>1590</v>
      </c>
      <c r="E41" s="91" t="s">
        <v>1591</v>
      </c>
      <c r="F41" s="8" t="s">
        <v>1066</v>
      </c>
      <c r="G41" s="27" t="s">
        <v>590</v>
      </c>
      <c r="H41" s="55" t="s">
        <v>322</v>
      </c>
      <c r="I41" s="50" t="s">
        <v>3551</v>
      </c>
      <c r="J41" s="317" t="s">
        <v>1467</v>
      </c>
      <c r="K41" s="317" t="s">
        <v>1157</v>
      </c>
      <c r="L41" s="317" t="s">
        <v>284</v>
      </c>
      <c r="M41" s="317" t="s">
        <v>1059</v>
      </c>
      <c r="N41" s="317" t="s">
        <v>5048</v>
      </c>
      <c r="O41" s="26" t="s">
        <v>5107</v>
      </c>
      <c r="P41" s="373" t="s">
        <v>5059</v>
      </c>
      <c r="Q41" s="245" t="s">
        <v>5087</v>
      </c>
      <c r="R41" s="345" t="s">
        <v>5059</v>
      </c>
      <c r="S41" s="10" t="s">
        <v>66</v>
      </c>
      <c r="T41" s="351" t="s">
        <v>5076</v>
      </c>
      <c r="U41" s="68" t="s">
        <v>3493</v>
      </c>
      <c r="V41" s="28" t="s">
        <v>2</v>
      </c>
      <c r="W41" s="17" t="s">
        <v>1405</v>
      </c>
      <c r="X41" s="14" t="s">
        <v>5</v>
      </c>
      <c r="Y41" s="21" t="s">
        <v>3</v>
      </c>
      <c r="Z41" s="97" t="s">
        <v>6627</v>
      </c>
      <c r="AA41" s="406" t="s">
        <v>8647</v>
      </c>
      <c r="AB41" s="407" t="s">
        <v>8648</v>
      </c>
      <c r="AC41" s="408" t="s">
        <v>8649</v>
      </c>
      <c r="AD41" s="50" t="s">
        <v>3551</v>
      </c>
      <c r="AE41" s="71" t="s">
        <v>1406</v>
      </c>
      <c r="AF41" s="72" t="s">
        <v>1163</v>
      </c>
      <c r="AG41" s="32" t="s">
        <v>1164</v>
      </c>
      <c r="AH41" s="25" t="s">
        <v>8650</v>
      </c>
      <c r="AI41" s="8" t="s">
        <v>3852</v>
      </c>
      <c r="AJ41" s="50" t="s">
        <v>3586</v>
      </c>
      <c r="AK41" s="339" t="s">
        <v>5038</v>
      </c>
      <c r="AL41" s="303"/>
    </row>
    <row r="42" spans="1:38">
      <c r="A42" s="415">
        <v>636</v>
      </c>
      <c r="B42" s="79">
        <v>256</v>
      </c>
      <c r="C42" s="79">
        <v>251</v>
      </c>
      <c r="D42" s="80">
        <v>-13</v>
      </c>
      <c r="E42" s="79">
        <v>25</v>
      </c>
      <c r="F42" s="57">
        <v>21.99</v>
      </c>
      <c r="G42" s="79">
        <v>1301</v>
      </c>
      <c r="H42" s="17" t="s">
        <v>3551</v>
      </c>
      <c r="I42" s="22" t="s">
        <v>67</v>
      </c>
      <c r="J42" s="201">
        <v>86.47</v>
      </c>
      <c r="K42" s="323">
        <v>38.619999999999997</v>
      </c>
      <c r="L42" s="73">
        <v>0.15</v>
      </c>
      <c r="M42" s="73">
        <v>15.98</v>
      </c>
      <c r="N42" s="73">
        <f>J42+K42+L42+M42</f>
        <v>141.22</v>
      </c>
      <c r="O42" s="81">
        <f>IFERROR(VLOOKUP($G42,'321買'!A:E,3,0),"'沒有資料'")</f>
        <v>0</v>
      </c>
      <c r="P42" s="380">
        <f>IFERROR(VLOOKUP($G42,'321買'!$A:$G,7,0),"'沒有資料'")</f>
        <v>911</v>
      </c>
      <c r="Q42" s="245" t="s">
        <v>3816</v>
      </c>
      <c r="R42" s="297">
        <f>IFERROR(RANK(VLOOKUP($G42,連買!$A:$D,4,0),連買!$D:$D,0),"'沒有資料'")</f>
        <v>140</v>
      </c>
      <c r="S42" s="6">
        <v>8.1999999999999993</v>
      </c>
      <c r="T42" s="353">
        <f t="shared" ref="T42" si="11">S42/V42</f>
        <v>7.772511848341232E-2</v>
      </c>
      <c r="U42" s="57">
        <v>11.21</v>
      </c>
      <c r="V42" s="36">
        <f>RTD("money.excel",,$G42,"Price")</f>
        <v>105.5</v>
      </c>
      <c r="W42" s="65"/>
      <c r="X42" s="15">
        <f t="shared" ref="X42" si="12">V42-W42</f>
        <v>105.5</v>
      </c>
      <c r="Y42" s="3" t="e">
        <f t="shared" ref="Y42:Y67" si="13">X42/W42</f>
        <v>#DIV/0!</v>
      </c>
      <c r="Z42" s="413" t="s">
        <v>8617</v>
      </c>
      <c r="AA42" s="161">
        <v>0</v>
      </c>
      <c r="AB42" s="409">
        <v>0</v>
      </c>
      <c r="AC42" s="259">
        <f t="shared" si="5"/>
        <v>0</v>
      </c>
      <c r="AD42" s="22" t="s">
        <v>67</v>
      </c>
      <c r="AG42" s="33">
        <v>0</v>
      </c>
      <c r="AH42" s="43" t="s">
        <v>3801</v>
      </c>
      <c r="AI42" s="63">
        <f t="shared" ref="AI42:AI67" si="14">AJ42/(A42*10000)</f>
        <v>6.3113207547169808E-4</v>
      </c>
      <c r="AJ42" s="307">
        <f>RTD("money.excel",,$G42,"PredictVolume")</f>
        <v>4014</v>
      </c>
      <c r="AK42" s="339">
        <v>0.7</v>
      </c>
      <c r="AL42" s="264"/>
    </row>
    <row r="43" spans="1:38">
      <c r="A43" s="415">
        <v>793</v>
      </c>
      <c r="B43" s="79">
        <v>215</v>
      </c>
      <c r="C43" s="79">
        <v>281</v>
      </c>
      <c r="D43" s="80">
        <v>-15</v>
      </c>
      <c r="E43" s="79">
        <v>14</v>
      </c>
      <c r="F43" s="57">
        <v>19.68</v>
      </c>
      <c r="G43" s="79">
        <v>1303</v>
      </c>
      <c r="H43" s="17" t="s">
        <v>3551</v>
      </c>
      <c r="I43" s="22" t="s">
        <v>1064</v>
      </c>
      <c r="J43" s="201">
        <v>86.77</v>
      </c>
      <c r="K43" s="323">
        <v>34.1</v>
      </c>
      <c r="L43" s="73">
        <v>7.0000000000000007E-2</v>
      </c>
      <c r="M43" s="73">
        <v>18.28</v>
      </c>
      <c r="N43" s="73">
        <f t="shared" ref="N43" si="15">J43+K43+L43+M43</f>
        <v>139.22</v>
      </c>
      <c r="O43" s="81">
        <f>IFERROR(VLOOKUP($G43,'321買'!A:E,3,0),"'沒有資料'")</f>
        <v>0</v>
      </c>
      <c r="P43" s="380">
        <f>IFERROR(VLOOKUP($G43,'321買'!$A:$G,7,0),"'沒有資料'")</f>
        <v>911</v>
      </c>
      <c r="Q43" s="245" t="s">
        <v>3817</v>
      </c>
      <c r="R43" s="297">
        <f>IFERROR(RANK(VLOOKUP($G43,連買!$A:$D,4,0),連買!$D:$D,0),"'沒有資料'")</f>
        <v>181</v>
      </c>
      <c r="S43" s="6">
        <v>7.5</v>
      </c>
      <c r="T43" s="353">
        <f t="shared" ref="T43:T67" si="16">S43/V43</f>
        <v>8.3612040133779264E-2</v>
      </c>
      <c r="U43" s="57">
        <v>10.25</v>
      </c>
      <c r="V43" s="36">
        <f>RTD("money.excel",,$G43,"Price")</f>
        <v>89.7</v>
      </c>
      <c r="W43" s="65"/>
      <c r="X43" s="15">
        <f t="shared" ref="X43:X67" si="17">V43-W43</f>
        <v>89.7</v>
      </c>
      <c r="Y43" s="3" t="e">
        <f t="shared" si="13"/>
        <v>#DIV/0!</v>
      </c>
      <c r="Z43" s="413">
        <v>-0.64</v>
      </c>
      <c r="AA43" s="161">
        <v>0</v>
      </c>
      <c r="AB43" s="409">
        <v>0</v>
      </c>
      <c r="AC43" s="259">
        <f t="shared" si="5"/>
        <v>0</v>
      </c>
      <c r="AD43" s="22" t="s">
        <v>1064</v>
      </c>
      <c r="AG43" s="33">
        <v>0</v>
      </c>
      <c r="AH43" s="43" t="s">
        <v>2782</v>
      </c>
      <c r="AI43" s="63">
        <f t="shared" si="14"/>
        <v>1.467717528373266E-3</v>
      </c>
      <c r="AJ43" s="307">
        <f>RTD("money.excel",,$G43,"PredictVolume")</f>
        <v>11639</v>
      </c>
      <c r="AK43" s="339">
        <v>0.35</v>
      </c>
      <c r="AL43" s="264"/>
    </row>
    <row r="44" spans="1:38">
      <c r="A44" s="415">
        <v>118</v>
      </c>
      <c r="B44" s="79">
        <v>301</v>
      </c>
      <c r="C44" s="79">
        <v>268</v>
      </c>
      <c r="D44" s="80">
        <v>-1</v>
      </c>
      <c r="E44" s="79">
        <v>46</v>
      </c>
      <c r="F44" s="57">
        <v>18.739999999999998</v>
      </c>
      <c r="G44" s="79">
        <v>1304</v>
      </c>
      <c r="H44" s="208" t="s">
        <v>3551</v>
      </c>
      <c r="I44" s="22" t="s">
        <v>3885</v>
      </c>
      <c r="J44" s="73">
        <v>63.52</v>
      </c>
      <c r="K44" s="73">
        <v>36.159999999999997</v>
      </c>
      <c r="L44" s="323">
        <v>6.11</v>
      </c>
      <c r="N44" s="318">
        <f t="shared" ref="N44:N67" si="18">J44+K44+L44+M44</f>
        <v>105.79</v>
      </c>
      <c r="O44" s="81">
        <f>IFERROR(VLOOKUP($G44,'321買'!A:E,3,0),"'沒有資料'")</f>
        <v>8</v>
      </c>
      <c r="P44" s="380">
        <f>IFERROR(VLOOKUP($G44,'321買'!$A:$G,7,0),"'沒有資料'")</f>
        <v>475</v>
      </c>
      <c r="R44" s="297">
        <f>IFERROR(RANK(VLOOKUP($G44,連買!$A:$D,4,0),連買!$D:$D,0),"'沒有資料'")</f>
        <v>1550</v>
      </c>
      <c r="S44" s="34">
        <v>1</v>
      </c>
      <c r="T44" s="353">
        <f t="shared" si="16"/>
        <v>3.4542314335060449E-2</v>
      </c>
      <c r="U44" s="57">
        <v>4.1500000000000004</v>
      </c>
      <c r="V44" s="36">
        <f>RTD("money.excel",,$G44,"Price")</f>
        <v>28.95</v>
      </c>
      <c r="W44" s="66"/>
      <c r="X44" s="15">
        <f t="shared" si="17"/>
        <v>28.95</v>
      </c>
      <c r="Y44" s="3" t="e">
        <f t="shared" si="13"/>
        <v>#DIV/0!</v>
      </c>
      <c r="Z44" s="413" t="s">
        <v>1801</v>
      </c>
      <c r="AA44" s="161">
        <v>0</v>
      </c>
      <c r="AB44" s="409">
        <v>0</v>
      </c>
      <c r="AC44" s="259">
        <f t="shared" si="5"/>
        <v>0</v>
      </c>
      <c r="AD44" s="22" t="s">
        <v>3885</v>
      </c>
      <c r="AG44" s="33">
        <v>0</v>
      </c>
      <c r="AH44" s="120" t="s">
        <v>2735</v>
      </c>
      <c r="AI44" s="63">
        <f t="shared" si="14"/>
        <v>2.0296610169491525E-3</v>
      </c>
      <c r="AJ44" s="307">
        <f>RTD("money.excel",,$G44,"PredictVolume")</f>
        <v>2395</v>
      </c>
      <c r="AK44" s="339"/>
      <c r="AL44" s="264"/>
    </row>
    <row r="45" spans="1:38">
      <c r="A45" s="415">
        <v>58.1</v>
      </c>
      <c r="B45" s="79">
        <v>197</v>
      </c>
      <c r="C45" s="79">
        <v>226</v>
      </c>
      <c r="D45" s="79">
        <v>6</v>
      </c>
      <c r="E45" s="79">
        <v>50</v>
      </c>
      <c r="F45" s="57">
        <v>16.78</v>
      </c>
      <c r="G45" s="79">
        <v>1305</v>
      </c>
      <c r="H45" s="8" t="s">
        <v>3551</v>
      </c>
      <c r="I45" s="22" t="s">
        <v>596</v>
      </c>
      <c r="J45" s="323">
        <v>49.9</v>
      </c>
      <c r="K45" s="323">
        <v>12.08</v>
      </c>
      <c r="L45" s="73">
        <v>12.39</v>
      </c>
      <c r="N45" s="318">
        <f t="shared" si="18"/>
        <v>74.37</v>
      </c>
      <c r="O45" s="81">
        <f>IFERROR(VLOOKUP($G45,'321買'!A:E,3,0),"'沒有資料'")</f>
        <v>15</v>
      </c>
      <c r="P45" s="380">
        <f>IFERROR(VLOOKUP($G45,'321買'!$A:$G,7,0),"'沒有資料'")</f>
        <v>290</v>
      </c>
      <c r="R45" s="297">
        <f>IFERROR(RANK(VLOOKUP($G45,連買!$A:$D,4,0),連買!$D:$D,0),"'沒有資料'")</f>
        <v>1504</v>
      </c>
      <c r="S45" s="34">
        <v>2.2999999999999998</v>
      </c>
      <c r="T45" s="353">
        <f t="shared" si="16"/>
        <v>6.774668630338733E-2</v>
      </c>
      <c r="U45" s="57">
        <v>5.09</v>
      </c>
      <c r="V45" s="36">
        <f>RTD("money.excel",,$G45,"Price")</f>
        <v>33.950000000000003</v>
      </c>
      <c r="W45" s="66"/>
      <c r="X45" s="15">
        <f t="shared" si="17"/>
        <v>33.950000000000003</v>
      </c>
      <c r="Y45" s="3" t="e">
        <f t="shared" si="13"/>
        <v>#DIV/0!</v>
      </c>
      <c r="Z45" s="413" t="s">
        <v>1801</v>
      </c>
      <c r="AA45" s="161">
        <v>0</v>
      </c>
      <c r="AB45" s="409">
        <v>0</v>
      </c>
      <c r="AC45" s="259">
        <f t="shared" si="5"/>
        <v>0</v>
      </c>
      <c r="AD45" s="22" t="s">
        <v>596</v>
      </c>
      <c r="AG45" s="33">
        <v>0</v>
      </c>
      <c r="AH45" s="43" t="s">
        <v>3802</v>
      </c>
      <c r="AI45" s="63">
        <f t="shared" si="14"/>
        <v>1.648881239242685E-3</v>
      </c>
      <c r="AJ45" s="307">
        <f>RTD("money.excel",,$G45,"PredictVolume")</f>
        <v>958</v>
      </c>
      <c r="AK45" s="339"/>
      <c r="AL45" s="264"/>
    </row>
    <row r="46" spans="1:38">
      <c r="A46" s="416">
        <v>39.700000000000003</v>
      </c>
      <c r="B46" s="80">
        <v>-87</v>
      </c>
      <c r="C46" s="80">
        <v>-70</v>
      </c>
      <c r="D46" s="79">
        <v>23</v>
      </c>
      <c r="E46" s="80">
        <v>-8</v>
      </c>
      <c r="F46" s="6">
        <v>1.86</v>
      </c>
      <c r="G46" s="79">
        <v>1307</v>
      </c>
      <c r="H46" s="8" t="s">
        <v>3551</v>
      </c>
      <c r="I46" s="22" t="s">
        <v>597</v>
      </c>
      <c r="J46" s="73">
        <v>79.89</v>
      </c>
      <c r="K46" s="323">
        <v>11.16</v>
      </c>
      <c r="L46" s="323">
        <v>0.91</v>
      </c>
      <c r="N46" s="318">
        <f t="shared" si="18"/>
        <v>91.96</v>
      </c>
      <c r="O46" s="81">
        <f>IFERROR(VLOOKUP($G46,'321買'!A:E,3,0),"'沒有資料'")</f>
        <v>0</v>
      </c>
      <c r="P46" s="380">
        <f>IFERROR(VLOOKUP($G46,'321買'!$A:$G,7,0),"'沒有資料'")</f>
        <v>911</v>
      </c>
      <c r="R46" s="297">
        <f>IFERROR(RANK(VLOOKUP($G46,連買!$A:$D,4,0),連買!$D:$D,0),"'沒有資料'")</f>
        <v>1564</v>
      </c>
      <c r="S46" s="34">
        <v>0.5</v>
      </c>
      <c r="T46" s="353">
        <f t="shared" si="16"/>
        <v>2.4691358024691357E-2</v>
      </c>
      <c r="U46" s="95">
        <v>0.55000000000000004</v>
      </c>
      <c r="V46" s="36">
        <f>RTD("money.excel",,$G46,"Price")</f>
        <v>20.25</v>
      </c>
      <c r="W46" s="66"/>
      <c r="X46" s="15">
        <f t="shared" si="17"/>
        <v>20.25</v>
      </c>
      <c r="Y46" s="3" t="e">
        <f t="shared" si="13"/>
        <v>#DIV/0!</v>
      </c>
      <c r="Z46" s="413" t="s">
        <v>1801</v>
      </c>
      <c r="AA46" s="161">
        <v>0</v>
      </c>
      <c r="AB46" s="409">
        <v>0</v>
      </c>
      <c r="AC46" s="259">
        <f t="shared" si="5"/>
        <v>0</v>
      </c>
      <c r="AD46" s="22" t="s">
        <v>597</v>
      </c>
      <c r="AG46" s="33">
        <v>0</v>
      </c>
      <c r="AH46" s="43" t="s">
        <v>2736</v>
      </c>
      <c r="AI46" s="63">
        <f t="shared" si="14"/>
        <v>1.234256926952141E-4</v>
      </c>
      <c r="AJ46" s="307">
        <f>RTD("money.excel",,$G46,"PredictVolume")</f>
        <v>49</v>
      </c>
      <c r="AK46" s="339"/>
      <c r="AL46" s="264"/>
    </row>
    <row r="47" spans="1:38">
      <c r="A47" s="415">
        <v>58.2</v>
      </c>
      <c r="B47" s="79">
        <v>7</v>
      </c>
      <c r="C47" s="79">
        <v>9</v>
      </c>
      <c r="D47" s="80">
        <v>-5</v>
      </c>
      <c r="E47" s="80">
        <v>-22</v>
      </c>
      <c r="F47" s="57">
        <v>12.57</v>
      </c>
      <c r="G47" s="79">
        <v>1308</v>
      </c>
      <c r="H47" s="8" t="s">
        <v>3551</v>
      </c>
      <c r="I47" s="22" t="s">
        <v>109</v>
      </c>
      <c r="J47" s="73">
        <v>56.67</v>
      </c>
      <c r="K47" s="323">
        <v>4.59</v>
      </c>
      <c r="L47" s="323">
        <v>7.31</v>
      </c>
      <c r="N47" s="318">
        <f t="shared" si="18"/>
        <v>68.570000000000007</v>
      </c>
      <c r="O47" s="81">
        <f>IFERROR(VLOOKUP($G47,'321買'!A:E,3,0),"'沒有資料'")</f>
        <v>41</v>
      </c>
      <c r="P47" s="380">
        <f>IFERROR(VLOOKUP($G47,'321買'!$A:$G,7,0),"'沒有資料'")</f>
        <v>104</v>
      </c>
      <c r="R47" s="297">
        <f>IFERROR(RANK(VLOOKUP($G47,連買!$A:$D,4,0),連買!$D:$D,0),"'沒有資料'")</f>
        <v>517</v>
      </c>
      <c r="S47" s="34">
        <v>1.4</v>
      </c>
      <c r="T47" s="353">
        <f t="shared" si="16"/>
        <v>3.8251366120218573E-2</v>
      </c>
      <c r="U47" s="95">
        <v>1.92</v>
      </c>
      <c r="V47" s="36">
        <f>RTD("money.excel",,$G47,"Price")</f>
        <v>36.6</v>
      </c>
      <c r="W47" s="66"/>
      <c r="X47" s="15">
        <f t="shared" si="17"/>
        <v>36.6</v>
      </c>
      <c r="Y47" s="3" t="e">
        <f t="shared" si="13"/>
        <v>#DIV/0!</v>
      </c>
      <c r="Z47" s="413" t="s">
        <v>1801</v>
      </c>
      <c r="AA47" s="161">
        <v>0</v>
      </c>
      <c r="AB47" s="409">
        <v>0</v>
      </c>
      <c r="AC47" s="259">
        <f t="shared" si="5"/>
        <v>0</v>
      </c>
      <c r="AD47" s="22" t="s">
        <v>109</v>
      </c>
      <c r="AG47" s="33">
        <v>0</v>
      </c>
      <c r="AH47" s="120" t="s">
        <v>2938</v>
      </c>
      <c r="AI47" s="63">
        <f t="shared" si="14"/>
        <v>1.9862542955326459E-3</v>
      </c>
      <c r="AJ47" s="307">
        <f>RTD("money.excel",,$G47,"PredictVolume")</f>
        <v>1156</v>
      </c>
      <c r="AK47" s="339"/>
      <c r="AL47" s="264"/>
    </row>
    <row r="48" spans="1:38">
      <c r="A48" s="415">
        <v>37.799999999999997</v>
      </c>
      <c r="B48" s="79">
        <v>23</v>
      </c>
      <c r="C48" s="79">
        <v>22</v>
      </c>
      <c r="D48" s="79">
        <v>2</v>
      </c>
      <c r="E48" s="79">
        <v>30</v>
      </c>
      <c r="F48" s="57">
        <v>11.17</v>
      </c>
      <c r="G48" s="79">
        <v>1309</v>
      </c>
      <c r="H48" s="8" t="s">
        <v>3551</v>
      </c>
      <c r="I48" s="22" t="s">
        <v>3886</v>
      </c>
      <c r="J48" s="73">
        <v>42.24</v>
      </c>
      <c r="K48" s="323">
        <v>3.37</v>
      </c>
      <c r="L48" s="323">
        <v>8.84</v>
      </c>
      <c r="N48" s="318">
        <f t="shared" si="18"/>
        <v>54.45</v>
      </c>
      <c r="O48" s="81">
        <f>IFERROR(VLOOKUP($G48,'321買'!A:E,3,0),"'沒有資料'")</f>
        <v>9</v>
      </c>
      <c r="P48" s="380">
        <f>IFERROR(VLOOKUP($G48,'321買'!$A:$G,7,0),"'沒有資料'")</f>
        <v>433</v>
      </c>
      <c r="R48" s="297">
        <f>IFERROR(RANK(VLOOKUP($G48,連買!$A:$D,4,0),連買!$D:$D,0),"'沒有資料'")</f>
        <v>713</v>
      </c>
      <c r="S48" s="66">
        <v>3</v>
      </c>
      <c r="T48" s="353">
        <f t="shared" si="16"/>
        <v>9.2165898617511524E-2</v>
      </c>
      <c r="U48" s="95">
        <v>6.21</v>
      </c>
      <c r="V48" s="36">
        <f>RTD("money.excel",,$G48,"Price")</f>
        <v>32.549999999999997</v>
      </c>
      <c r="W48" s="66"/>
      <c r="X48" s="15">
        <f t="shared" si="17"/>
        <v>32.549999999999997</v>
      </c>
      <c r="Y48" s="3" t="e">
        <f t="shared" si="13"/>
        <v>#DIV/0!</v>
      </c>
      <c r="Z48" s="413" t="s">
        <v>1997</v>
      </c>
      <c r="AA48" s="161">
        <v>0</v>
      </c>
      <c r="AB48" s="409">
        <v>0</v>
      </c>
      <c r="AC48" s="259">
        <f t="shared" si="5"/>
        <v>0</v>
      </c>
      <c r="AD48" s="22" t="s">
        <v>3886</v>
      </c>
      <c r="AG48" s="33">
        <v>0</v>
      </c>
      <c r="AH48" s="43" t="s">
        <v>3800</v>
      </c>
      <c r="AI48" s="63">
        <f t="shared" si="14"/>
        <v>1.0608465608465609E-3</v>
      </c>
      <c r="AJ48" s="307">
        <f>RTD("money.excel",,$G48,"PredictVolume")</f>
        <v>401</v>
      </c>
      <c r="AK48" s="339"/>
      <c r="AL48" s="264"/>
    </row>
    <row r="49" spans="1:38">
      <c r="A49" s="416">
        <v>52.7</v>
      </c>
      <c r="B49" s="80">
        <v>-126</v>
      </c>
      <c r="C49" s="80">
        <v>-141</v>
      </c>
      <c r="D49" s="80">
        <v>-1</v>
      </c>
      <c r="E49" s="80">
        <v>-35</v>
      </c>
      <c r="F49" s="6">
        <v>-8.2899999999999991</v>
      </c>
      <c r="G49" s="79">
        <v>1310</v>
      </c>
      <c r="H49" s="8" t="s">
        <v>3551</v>
      </c>
      <c r="I49" s="22" t="s">
        <v>598</v>
      </c>
      <c r="J49" s="73">
        <v>30.86</v>
      </c>
      <c r="K49" s="323">
        <v>9.76</v>
      </c>
      <c r="L49" s="323">
        <v>3.44</v>
      </c>
      <c r="N49" s="318">
        <f t="shared" si="18"/>
        <v>44.059999999999995</v>
      </c>
      <c r="O49" s="81">
        <f>IFERROR(VLOOKUP($G49,'321買'!A:E,3,0),"'沒有資料'")</f>
        <v>5</v>
      </c>
      <c r="P49" s="380">
        <f>IFERROR(VLOOKUP($G49,'321買'!$A:$G,7,0),"'沒有資料'")</f>
        <v>521</v>
      </c>
      <c r="R49" s="297">
        <f>IFERROR(RANK(VLOOKUP($G49,連買!$A:$D,4,0),連買!$D:$D,0),"'沒有資料'")</f>
        <v>1468</v>
      </c>
      <c r="S49" s="34">
        <v>0.5</v>
      </c>
      <c r="T49" s="353">
        <f t="shared" si="16"/>
        <v>2.9498525073746312E-2</v>
      </c>
      <c r="U49" s="95">
        <v>0.55000000000000004</v>
      </c>
      <c r="V49" s="36">
        <f>RTD("money.excel",,$G49,"Price")</f>
        <v>16.95</v>
      </c>
      <c r="W49" s="66"/>
      <c r="X49" s="15">
        <f t="shared" si="17"/>
        <v>16.95</v>
      </c>
      <c r="Y49" s="3" t="e">
        <f t="shared" si="13"/>
        <v>#DIV/0!</v>
      </c>
      <c r="Z49" s="413" t="s">
        <v>1801</v>
      </c>
      <c r="AA49" s="161">
        <v>0</v>
      </c>
      <c r="AB49" s="409">
        <v>0</v>
      </c>
      <c r="AC49" s="259">
        <f t="shared" si="5"/>
        <v>0</v>
      </c>
      <c r="AD49" s="22" t="s">
        <v>598</v>
      </c>
      <c r="AG49" s="33">
        <v>0</v>
      </c>
      <c r="AH49" s="43" t="s">
        <v>2939</v>
      </c>
      <c r="AI49" s="63">
        <f t="shared" si="14"/>
        <v>1.0037950664136621E-3</v>
      </c>
      <c r="AJ49" s="307">
        <f>RTD("money.excel",,$G49,"PredictVolume")</f>
        <v>529</v>
      </c>
      <c r="AK49" s="339"/>
      <c r="AL49" s="264"/>
    </row>
    <row r="50" spans="1:38">
      <c r="A50" s="416">
        <v>90.6</v>
      </c>
      <c r="B50" s="80">
        <v>23</v>
      </c>
      <c r="C50" s="80">
        <v>-46</v>
      </c>
      <c r="D50" s="79">
        <v>7</v>
      </c>
      <c r="E50" s="80">
        <v>1</v>
      </c>
      <c r="F50" s="6">
        <v>5.94</v>
      </c>
      <c r="G50" s="79">
        <v>1312</v>
      </c>
      <c r="H50" s="8" t="s">
        <v>3551</v>
      </c>
      <c r="I50" s="22" t="s">
        <v>182</v>
      </c>
      <c r="J50" s="323">
        <v>61.4</v>
      </c>
      <c r="K50" s="323">
        <v>43.49</v>
      </c>
      <c r="L50" s="323">
        <v>11.62</v>
      </c>
      <c r="N50" s="318">
        <f t="shared" si="18"/>
        <v>116.51</v>
      </c>
      <c r="O50" s="81">
        <f>IFERROR(VLOOKUP($G50,'321買'!A:E,3,0),"'沒有資料'")</f>
        <v>15</v>
      </c>
      <c r="P50" s="380">
        <f>IFERROR(VLOOKUP($G50,'321買'!$A:$G,7,0),"'沒有資料'")</f>
        <v>273</v>
      </c>
      <c r="R50" s="297">
        <f>IFERROR(RANK(VLOOKUP($G50,連買!$A:$D,4,0),連買!$D:$D,0),"'沒有資料'")</f>
        <v>762</v>
      </c>
      <c r="S50" s="34">
        <v>0</v>
      </c>
      <c r="T50" s="353">
        <f t="shared" si="16"/>
        <v>0</v>
      </c>
      <c r="U50" s="95">
        <v>4.53</v>
      </c>
      <c r="V50" s="36">
        <f>RTD("money.excel",,$G50,"Price")</f>
        <v>26.55</v>
      </c>
      <c r="W50" s="66"/>
      <c r="X50" s="15">
        <f t="shared" si="17"/>
        <v>26.55</v>
      </c>
      <c r="Y50" s="3" t="e">
        <f t="shared" si="13"/>
        <v>#DIV/0!</v>
      </c>
      <c r="Z50" s="413" t="s">
        <v>1801</v>
      </c>
      <c r="AA50" s="161">
        <v>0</v>
      </c>
      <c r="AB50" s="409">
        <v>0</v>
      </c>
      <c r="AC50" s="259">
        <f t="shared" si="5"/>
        <v>0</v>
      </c>
      <c r="AD50" s="22" t="s">
        <v>182</v>
      </c>
      <c r="AG50" s="33">
        <v>0</v>
      </c>
      <c r="AH50" s="43" t="s">
        <v>3803</v>
      </c>
      <c r="AI50" s="63">
        <f t="shared" si="14"/>
        <v>6.1092715231788079E-3</v>
      </c>
      <c r="AJ50" s="307">
        <f>RTD("money.excel",,$G50,"PredictVolume")</f>
        <v>5535</v>
      </c>
      <c r="AK50" s="339"/>
      <c r="AL50" s="264"/>
    </row>
    <row r="51" spans="1:38">
      <c r="A51" s="416">
        <v>133</v>
      </c>
      <c r="B51" s="93">
        <v>1491</v>
      </c>
      <c r="C51" s="79">
        <v>284</v>
      </c>
      <c r="D51" s="80">
        <v>-2</v>
      </c>
      <c r="E51" s="79">
        <v>2</v>
      </c>
      <c r="F51" s="6">
        <v>2.09</v>
      </c>
      <c r="G51" s="79">
        <v>1313</v>
      </c>
      <c r="H51" s="8" t="s">
        <v>3551</v>
      </c>
      <c r="I51" s="22" t="s">
        <v>599</v>
      </c>
      <c r="J51" s="73">
        <v>71.83</v>
      </c>
      <c r="K51" s="73">
        <v>13.64</v>
      </c>
      <c r="L51" s="73">
        <v>6.17</v>
      </c>
      <c r="N51" s="318">
        <f t="shared" si="18"/>
        <v>91.64</v>
      </c>
      <c r="O51" s="81">
        <f>IFERROR(VLOOKUP($G51,'321買'!A:E,3,0),"'沒有資料'")</f>
        <v>2</v>
      </c>
      <c r="P51" s="380">
        <f>IFERROR(VLOOKUP($G51,'321買'!$A:$G,7,0),"'沒有資料'")</f>
        <v>706</v>
      </c>
      <c r="R51" s="297">
        <f>IFERROR(RANK(VLOOKUP($G51,連買!$A:$D,4,0),連買!$D:$D,0),"'沒有資料'")</f>
        <v>1596</v>
      </c>
      <c r="S51" s="34">
        <v>1</v>
      </c>
      <c r="T51" s="353">
        <f t="shared" si="16"/>
        <v>5.7142857142857141E-2</v>
      </c>
      <c r="U51" s="95">
        <v>1.62</v>
      </c>
      <c r="V51" s="36">
        <f>RTD("money.excel",,$G51,"Price")</f>
        <v>17.5</v>
      </c>
      <c r="W51" s="66"/>
      <c r="X51" s="15">
        <f t="shared" si="17"/>
        <v>17.5</v>
      </c>
      <c r="Y51" s="3" t="e">
        <f t="shared" si="13"/>
        <v>#DIV/0!</v>
      </c>
      <c r="Z51" s="413" t="s">
        <v>1801</v>
      </c>
      <c r="AA51" s="161">
        <v>0</v>
      </c>
      <c r="AB51" s="409">
        <v>0</v>
      </c>
      <c r="AC51" s="259">
        <f t="shared" si="5"/>
        <v>0</v>
      </c>
      <c r="AD51" s="22" t="s">
        <v>599</v>
      </c>
      <c r="AG51" s="33">
        <v>0</v>
      </c>
      <c r="AH51" s="43" t="s">
        <v>3804</v>
      </c>
      <c r="AI51" s="63">
        <f t="shared" si="14"/>
        <v>1.2571428571428571E-3</v>
      </c>
      <c r="AJ51" s="307">
        <f>RTD("money.excel",,$G51,"PredictVolume")</f>
        <v>1672</v>
      </c>
      <c r="AK51" s="339"/>
      <c r="AL51" s="264"/>
    </row>
    <row r="52" spans="1:38">
      <c r="A52" s="416">
        <v>378</v>
      </c>
      <c r="B52" s="93">
        <v>7219</v>
      </c>
      <c r="C52" s="79">
        <v>243</v>
      </c>
      <c r="D52" s="80">
        <v>-6</v>
      </c>
      <c r="E52" s="79">
        <v>114</v>
      </c>
      <c r="F52" s="6">
        <v>8.64</v>
      </c>
      <c r="G52" s="79">
        <v>1314</v>
      </c>
      <c r="H52" s="204" t="s">
        <v>3551</v>
      </c>
      <c r="I52" s="22" t="s">
        <v>124</v>
      </c>
      <c r="J52" s="73">
        <v>35.479999999999997</v>
      </c>
      <c r="K52" s="323">
        <v>11.17</v>
      </c>
      <c r="L52" s="73">
        <v>16.87</v>
      </c>
      <c r="M52" s="73">
        <v>2.4500000000000002</v>
      </c>
      <c r="N52" s="318">
        <f>K52+J52+L52+M52</f>
        <v>65.97</v>
      </c>
      <c r="O52" s="81">
        <f>IFERROR(VLOOKUP($G52,'321買'!A:E,3,0),"'沒有資料'")</f>
        <v>3</v>
      </c>
      <c r="P52" s="380">
        <f>IFERROR(VLOOKUP($G52,'321買'!$A:$G,7,0),"'沒有資料'")</f>
        <v>592</v>
      </c>
      <c r="Q52" s="245" t="s">
        <v>3817</v>
      </c>
      <c r="R52" s="297">
        <f>IFERROR(RANK(VLOOKUP($G52,連買!$A:$D,4,0),連買!$D:$D,0),"'沒有資料'")</f>
        <v>1170</v>
      </c>
      <c r="S52" s="34">
        <v>0</v>
      </c>
      <c r="T52" s="353">
        <f t="shared" si="16"/>
        <v>0</v>
      </c>
      <c r="U52" s="95">
        <v>1.22</v>
      </c>
      <c r="V52" s="36">
        <f>RTD("money.excel",,$G52,"Price")</f>
        <v>12.35</v>
      </c>
      <c r="W52" s="66"/>
      <c r="X52" s="15">
        <f t="shared" si="17"/>
        <v>12.35</v>
      </c>
      <c r="Y52" s="3" t="e">
        <f t="shared" si="13"/>
        <v>#DIV/0!</v>
      </c>
      <c r="Z52" s="413" t="s">
        <v>1801</v>
      </c>
      <c r="AA52" s="161">
        <v>0</v>
      </c>
      <c r="AB52" s="409">
        <v>0</v>
      </c>
      <c r="AC52" s="259">
        <f t="shared" si="5"/>
        <v>0</v>
      </c>
      <c r="AD52" s="22" t="s">
        <v>3887</v>
      </c>
      <c r="AG52" s="33">
        <v>0</v>
      </c>
      <c r="AH52" s="120" t="s">
        <v>2940</v>
      </c>
      <c r="AI52" s="63">
        <f t="shared" si="14"/>
        <v>8.1142857142857145E-3</v>
      </c>
      <c r="AJ52" s="307">
        <f>RTD("money.excel",,$G52,"PredictVolume")</f>
        <v>30672</v>
      </c>
      <c r="AK52" s="339"/>
      <c r="AL52" s="264"/>
    </row>
    <row r="53" spans="1:38">
      <c r="A53" s="416">
        <v>13.8</v>
      </c>
      <c r="B53" s="80">
        <v>-104</v>
      </c>
      <c r="C53" s="79">
        <v>195</v>
      </c>
      <c r="D53" s="80">
        <v>-11</v>
      </c>
      <c r="E53" s="80">
        <v>-4</v>
      </c>
      <c r="F53" s="6">
        <v>0.83</v>
      </c>
      <c r="G53" s="79">
        <v>1315</v>
      </c>
      <c r="H53" s="8" t="s">
        <v>3551</v>
      </c>
      <c r="I53" s="22" t="s">
        <v>600</v>
      </c>
      <c r="J53" s="323">
        <v>71.88</v>
      </c>
      <c r="K53" s="323">
        <v>1.68</v>
      </c>
      <c r="L53" s="323">
        <v>1.47</v>
      </c>
      <c r="N53" s="318">
        <f t="shared" si="18"/>
        <v>75.03</v>
      </c>
      <c r="O53" s="81">
        <f>IFERROR(VLOOKUP($G53,'321買'!A:E,3,0),"'沒有資料'")</f>
        <v>0</v>
      </c>
      <c r="P53" s="380">
        <f>IFERROR(VLOOKUP($G53,'321買'!$A:$G,7,0),"'沒有資料'")</f>
        <v>911</v>
      </c>
      <c r="R53" s="297">
        <f>IFERROR(RANK(VLOOKUP($G53,連買!$A:$D,4,0),連買!$D:$D,0),"'沒有資料'")</f>
        <v>422</v>
      </c>
      <c r="S53" s="66">
        <v>4</v>
      </c>
      <c r="T53" s="353">
        <f t="shared" si="16"/>
        <v>4.9200492004920049E-2</v>
      </c>
      <c r="U53" s="57">
        <v>-0.28000000000000003</v>
      </c>
      <c r="V53" s="36">
        <f>RTD("money.excel",,$G53,"Price")</f>
        <v>81.3</v>
      </c>
      <c r="W53" s="66"/>
      <c r="X53" s="15">
        <f t="shared" si="17"/>
        <v>81.3</v>
      </c>
      <c r="Y53" s="3" t="e">
        <f t="shared" si="13"/>
        <v>#DIV/0!</v>
      </c>
      <c r="Z53" s="413" t="s">
        <v>1831</v>
      </c>
      <c r="AA53" s="161">
        <v>0</v>
      </c>
      <c r="AB53" s="409">
        <v>0</v>
      </c>
      <c r="AC53" s="259">
        <f t="shared" si="5"/>
        <v>0</v>
      </c>
      <c r="AD53" s="22" t="s">
        <v>600</v>
      </c>
      <c r="AG53" s="33">
        <v>0</v>
      </c>
      <c r="AH53" s="43" t="s">
        <v>2941</v>
      </c>
      <c r="AI53" s="63">
        <f t="shared" si="14"/>
        <v>2.6086956521739128E-4</v>
      </c>
      <c r="AJ53" s="307">
        <f>RTD("money.excel",,$G53,"PredictVolume")</f>
        <v>36</v>
      </c>
      <c r="AK53" s="339"/>
      <c r="AL53" s="264"/>
    </row>
    <row r="54" spans="1:38">
      <c r="A54" s="416">
        <v>22.7</v>
      </c>
      <c r="B54" s="93">
        <v>4677</v>
      </c>
      <c r="C54" s="79">
        <v>177</v>
      </c>
      <c r="D54" s="80">
        <v>-1</v>
      </c>
      <c r="E54" s="79">
        <v>4</v>
      </c>
      <c r="F54" s="6">
        <v>1.84</v>
      </c>
      <c r="G54" s="79">
        <v>1321</v>
      </c>
      <c r="H54" s="8" t="s">
        <v>3551</v>
      </c>
      <c r="I54" s="22" t="s">
        <v>601</v>
      </c>
      <c r="J54" s="73">
        <v>73.38</v>
      </c>
      <c r="K54" s="73">
        <v>2.61</v>
      </c>
      <c r="L54" s="73">
        <v>5.8</v>
      </c>
      <c r="N54" s="318">
        <f t="shared" si="18"/>
        <v>81.789999999999992</v>
      </c>
      <c r="O54" s="81">
        <f>IFERROR(VLOOKUP($G54,'321買'!A:E,3,0),"'沒有資料'")</f>
        <v>0</v>
      </c>
      <c r="P54" s="380">
        <f>IFERROR(VLOOKUP($G54,'321買'!$A:$G,7,0),"'沒有資料'")</f>
        <v>911</v>
      </c>
      <c r="R54" s="297">
        <f>IFERROR(RANK(VLOOKUP($G54,連買!$A:$D,4,0),連買!$D:$D,0),"'沒有資料'")</f>
        <v>784</v>
      </c>
      <c r="S54" s="34">
        <v>1</v>
      </c>
      <c r="T54" s="353">
        <f t="shared" si="16"/>
        <v>2.9282576866764276E-2</v>
      </c>
      <c r="U54" s="95">
        <v>3.24</v>
      </c>
      <c r="V54" s="36">
        <f>RTD("money.excel",,$G54,"Price")</f>
        <v>34.15</v>
      </c>
      <c r="W54" s="66"/>
      <c r="X54" s="15">
        <f t="shared" si="17"/>
        <v>34.15</v>
      </c>
      <c r="Y54" s="3" t="e">
        <f t="shared" si="13"/>
        <v>#DIV/0!</v>
      </c>
      <c r="Z54" s="413" t="s">
        <v>1801</v>
      </c>
      <c r="AA54" s="161">
        <v>0</v>
      </c>
      <c r="AB54" s="409">
        <v>0</v>
      </c>
      <c r="AC54" s="259">
        <f t="shared" si="5"/>
        <v>0</v>
      </c>
      <c r="AD54" s="22" t="s">
        <v>601</v>
      </c>
      <c r="AG54" s="33">
        <v>0</v>
      </c>
      <c r="AH54" s="43" t="s">
        <v>2942</v>
      </c>
      <c r="AI54" s="63">
        <f t="shared" si="14"/>
        <v>2.9515418502202645E-4</v>
      </c>
      <c r="AJ54" s="307">
        <f>RTD("money.excel",,$G54,"PredictVolume")</f>
        <v>67</v>
      </c>
      <c r="AK54" s="339"/>
      <c r="AL54" s="264"/>
    </row>
    <row r="55" spans="1:38">
      <c r="A55" s="415">
        <v>9.1300000000000008</v>
      </c>
      <c r="B55" s="91">
        <v>1</v>
      </c>
      <c r="C55" s="91">
        <v>7</v>
      </c>
      <c r="D55" s="91">
        <v>-3</v>
      </c>
      <c r="E55" s="91">
        <v>-7</v>
      </c>
      <c r="F55" s="57">
        <v>13.51</v>
      </c>
      <c r="G55" s="79">
        <v>1323</v>
      </c>
      <c r="H55" s="8" t="s">
        <v>3551</v>
      </c>
      <c r="I55" s="22" t="s">
        <v>602</v>
      </c>
      <c r="J55" s="73">
        <v>57.41</v>
      </c>
      <c r="K55" s="73">
        <v>3.74</v>
      </c>
      <c r="L55" s="73">
        <v>20.29</v>
      </c>
      <c r="N55" s="318">
        <f t="shared" si="18"/>
        <v>81.44</v>
      </c>
      <c r="O55" s="81">
        <f>IFERROR(VLOOKUP($G55,'321買'!A:E,3,0),"'沒有資料'")</f>
        <v>0</v>
      </c>
      <c r="P55" s="380">
        <f>IFERROR(VLOOKUP($G55,'321買'!$A:$G,7,0),"'沒有資料'")</f>
        <v>911</v>
      </c>
      <c r="R55" s="297">
        <f>IFERROR(RANK(VLOOKUP($G55,連買!$A:$D,4,0),連買!$D:$D,0),"'沒有資料'")</f>
        <v>531</v>
      </c>
      <c r="S55" s="34">
        <v>1.6</v>
      </c>
      <c r="T55" s="353">
        <f t="shared" si="16"/>
        <v>4.4817927170868348E-2</v>
      </c>
      <c r="U55" s="95">
        <v>3.2</v>
      </c>
      <c r="V55" s="36">
        <f>RTD("money.excel",,$G55,"Price")</f>
        <v>35.700000000000003</v>
      </c>
      <c r="W55" s="66"/>
      <c r="X55" s="15">
        <f t="shared" si="17"/>
        <v>35.700000000000003</v>
      </c>
      <c r="Y55" s="3" t="e">
        <f t="shared" si="13"/>
        <v>#DIV/0!</v>
      </c>
      <c r="AA55" s="161">
        <v>0</v>
      </c>
      <c r="AB55" s="409">
        <v>0</v>
      </c>
      <c r="AC55" s="259">
        <f t="shared" si="5"/>
        <v>0</v>
      </c>
      <c r="AD55" s="22" t="s">
        <v>602</v>
      </c>
      <c r="AG55" s="33">
        <v>0</v>
      </c>
      <c r="AH55" s="43" t="s">
        <v>2943</v>
      </c>
      <c r="AI55" s="63">
        <f t="shared" si="14"/>
        <v>6.9003285870755735E-4</v>
      </c>
      <c r="AJ55" s="307">
        <f>RTD("money.excel",,$G55,"PredictVolume")</f>
        <v>63</v>
      </c>
      <c r="AK55" s="339"/>
      <c r="AL55" s="264"/>
    </row>
    <row r="56" spans="1:38">
      <c r="A56" s="416">
        <v>7.51</v>
      </c>
      <c r="B56" s="91">
        <v>759</v>
      </c>
      <c r="C56" s="91">
        <v>301</v>
      </c>
      <c r="D56" s="91">
        <v>-20</v>
      </c>
      <c r="E56" s="91">
        <v>7</v>
      </c>
      <c r="F56" s="6">
        <v>1.1399999999999999</v>
      </c>
      <c r="G56" s="79">
        <v>1324</v>
      </c>
      <c r="H56" s="8" t="s">
        <v>3551</v>
      </c>
      <c r="I56" s="22" t="s">
        <v>603</v>
      </c>
      <c r="J56" s="73">
        <v>72.09</v>
      </c>
      <c r="K56" s="73">
        <v>0.41</v>
      </c>
      <c r="L56" s="73">
        <v>16.07</v>
      </c>
      <c r="N56" s="318">
        <f t="shared" si="18"/>
        <v>88.57</v>
      </c>
      <c r="O56" s="81">
        <f>IFERROR(VLOOKUP($G56,'321買'!A:E,3,0),"'沒有資料'")</f>
        <v>0</v>
      </c>
      <c r="P56" s="380">
        <f>IFERROR(VLOOKUP($G56,'321買'!$A:$G,7,0),"'沒有資料'")</f>
        <v>911</v>
      </c>
      <c r="R56" s="297">
        <f>IFERROR(RANK(VLOOKUP($G56,連買!$A:$D,4,0),連買!$D:$D,0),"'沒有資料'")</f>
        <v>1132</v>
      </c>
      <c r="S56" s="34">
        <v>0.3</v>
      </c>
      <c r="T56" s="353">
        <f t="shared" si="16"/>
        <v>2.7649769585253454E-2</v>
      </c>
      <c r="U56" s="95">
        <v>0.22</v>
      </c>
      <c r="V56" s="36">
        <f>RTD("money.excel",,$G56,"Price")</f>
        <v>10.85</v>
      </c>
      <c r="W56" s="66"/>
      <c r="X56" s="15">
        <f t="shared" si="17"/>
        <v>10.85</v>
      </c>
      <c r="Y56" s="3" t="e">
        <f t="shared" si="13"/>
        <v>#DIV/0!</v>
      </c>
      <c r="AA56" s="161">
        <v>0</v>
      </c>
      <c r="AB56" s="409">
        <v>0</v>
      </c>
      <c r="AC56" s="259">
        <f t="shared" si="5"/>
        <v>0</v>
      </c>
      <c r="AD56" s="22" t="s">
        <v>603</v>
      </c>
      <c r="AG56" s="33">
        <v>0</v>
      </c>
      <c r="AH56" s="43" t="s">
        <v>2944</v>
      </c>
      <c r="AI56" s="63">
        <f t="shared" si="14"/>
        <v>6.9241011984021302E-4</v>
      </c>
      <c r="AJ56" s="307">
        <f>RTD("money.excel",,$G56,"PredictVolume")</f>
        <v>52</v>
      </c>
      <c r="AK56" s="339"/>
      <c r="AL56" s="264"/>
    </row>
    <row r="57" spans="1:38">
      <c r="A57" s="415">
        <v>8.5299999999999994</v>
      </c>
      <c r="B57" s="80">
        <v>-81</v>
      </c>
      <c r="C57" s="80">
        <v>-79</v>
      </c>
      <c r="D57" s="79">
        <v>11</v>
      </c>
      <c r="E57" s="80">
        <v>-81</v>
      </c>
      <c r="F57" s="57">
        <v>35.44</v>
      </c>
      <c r="G57" s="79">
        <v>1325</v>
      </c>
      <c r="H57" s="8" t="s">
        <v>295</v>
      </c>
      <c r="I57" s="22" t="s">
        <v>604</v>
      </c>
      <c r="J57" s="323">
        <v>41.08</v>
      </c>
      <c r="K57" s="73">
        <v>8.82</v>
      </c>
      <c r="L57" s="323">
        <v>21.62</v>
      </c>
      <c r="M57" s="323">
        <v>32.61</v>
      </c>
      <c r="N57" s="318">
        <f t="shared" si="18"/>
        <v>104.13</v>
      </c>
      <c r="O57" s="81">
        <f>IFERROR(VLOOKUP($G57,'321買'!A:E,3,0),"'沒有資料'")</f>
        <v>16</v>
      </c>
      <c r="P57" s="380">
        <f>IFERROR(VLOOKUP($G57,'321買'!$A:$G,7,0),"'沒有資料'")</f>
        <v>273</v>
      </c>
      <c r="Q57" s="245" t="s">
        <v>3817</v>
      </c>
      <c r="R57" s="297">
        <f>IFERROR(RANK(VLOOKUP($G57,連買!$A:$D,4,0),連買!$D:$D,0),"'沒有資料'")</f>
        <v>169</v>
      </c>
      <c r="S57" s="66">
        <v>12</v>
      </c>
      <c r="T57" s="353">
        <f t="shared" si="16"/>
        <v>0.27906976744186046</v>
      </c>
      <c r="U57" s="95">
        <v>9.64</v>
      </c>
      <c r="V57" s="36">
        <f>RTD("money.excel",,$G57,"Price")</f>
        <v>43</v>
      </c>
      <c r="W57" s="66"/>
      <c r="X57" s="15">
        <f t="shared" si="17"/>
        <v>43</v>
      </c>
      <c r="Y57" s="3" t="e">
        <f t="shared" si="13"/>
        <v>#DIV/0!</v>
      </c>
      <c r="Z57" s="413" t="s">
        <v>1997</v>
      </c>
      <c r="AA57" s="161">
        <v>0</v>
      </c>
      <c r="AB57" s="409">
        <v>0</v>
      </c>
      <c r="AC57" s="259">
        <f t="shared" si="5"/>
        <v>0</v>
      </c>
      <c r="AD57" s="22" t="s">
        <v>604</v>
      </c>
      <c r="AG57" s="33">
        <f>AF57-AE57</f>
        <v>0</v>
      </c>
      <c r="AH57" s="43" t="s">
        <v>2718</v>
      </c>
      <c r="AI57" s="63">
        <f t="shared" si="14"/>
        <v>1.3774912075029308E-2</v>
      </c>
      <c r="AJ57" s="307">
        <f>RTD("money.excel",,$G57,"PredictVolume")</f>
        <v>1175</v>
      </c>
      <c r="AK57" s="339">
        <v>54.39</v>
      </c>
      <c r="AL57" s="264"/>
    </row>
    <row r="58" spans="1:38">
      <c r="A58" s="416">
        <v>586</v>
      </c>
      <c r="B58" s="79">
        <v>98</v>
      </c>
      <c r="C58" s="79">
        <v>124</v>
      </c>
      <c r="D58" s="80">
        <v>-5</v>
      </c>
      <c r="E58" s="79">
        <v>13</v>
      </c>
      <c r="F58" s="6">
        <v>9.41</v>
      </c>
      <c r="G58" s="79">
        <v>1326</v>
      </c>
      <c r="H58" s="17" t="s">
        <v>3551</v>
      </c>
      <c r="I58" s="22" t="s">
        <v>3888</v>
      </c>
      <c r="J58" s="326">
        <v>87.29</v>
      </c>
      <c r="K58" s="323">
        <v>35.58</v>
      </c>
      <c r="L58" s="73">
        <v>0.1</v>
      </c>
      <c r="M58" s="73">
        <v>6.5</v>
      </c>
      <c r="N58" s="318">
        <f t="shared" si="18"/>
        <v>129.47</v>
      </c>
      <c r="O58" s="81">
        <f>IFERROR(VLOOKUP($G58,'321買'!A:E,3,0),"'沒有資料'")</f>
        <v>0</v>
      </c>
      <c r="P58" s="380">
        <f>IFERROR(VLOOKUP($G58,'321買'!$A:$G,7,0),"'沒有資料'")</f>
        <v>911</v>
      </c>
      <c r="Q58" s="245" t="s">
        <v>3816</v>
      </c>
      <c r="R58" s="297">
        <f>IFERROR(RANK(VLOOKUP($G58,連買!$A:$D,4,0),連買!$D:$D,0),"'沒有資料'")</f>
        <v>1653</v>
      </c>
      <c r="S58" s="6">
        <v>4.8</v>
      </c>
      <c r="T58" s="353">
        <f t="shared" si="16"/>
        <v>6.0225846925972396E-2</v>
      </c>
      <c r="U58" s="57">
        <v>6.56</v>
      </c>
      <c r="V58" s="36">
        <f>RTD("money.excel",,$G58,"Price")</f>
        <v>79.7</v>
      </c>
      <c r="W58" s="65"/>
      <c r="X58" s="15">
        <f t="shared" si="17"/>
        <v>79.7</v>
      </c>
      <c r="Y58" s="3" t="e">
        <f t="shared" si="13"/>
        <v>#DIV/0!</v>
      </c>
      <c r="Z58" s="413">
        <v>-13.99</v>
      </c>
      <c r="AA58" s="161">
        <v>0</v>
      </c>
      <c r="AB58" s="409">
        <v>0</v>
      </c>
      <c r="AC58" s="259">
        <f t="shared" si="5"/>
        <v>0</v>
      </c>
      <c r="AD58" s="22" t="s">
        <v>3888</v>
      </c>
      <c r="AG58" s="33">
        <v>0</v>
      </c>
      <c r="AH58" s="43" t="s">
        <v>3805</v>
      </c>
      <c r="AI58" s="63">
        <f t="shared" si="14"/>
        <v>4.546075085324232E-4</v>
      </c>
      <c r="AJ58" s="307">
        <f>RTD("money.excel",,$G58,"PredictVolume")</f>
        <v>2664</v>
      </c>
      <c r="AK58" s="339">
        <v>0.41</v>
      </c>
      <c r="AL58" s="264"/>
    </row>
    <row r="59" spans="1:38">
      <c r="A59" s="416">
        <v>26.9</v>
      </c>
      <c r="B59" s="80">
        <v>-104</v>
      </c>
      <c r="C59" s="80">
        <v>-103</v>
      </c>
      <c r="D59" s="79">
        <v>84</v>
      </c>
      <c r="E59" s="79">
        <v>11</v>
      </c>
      <c r="F59" s="73">
        <v>-133.83000000000001</v>
      </c>
      <c r="G59" s="79">
        <v>1337</v>
      </c>
      <c r="H59" s="8" t="s">
        <v>3551</v>
      </c>
      <c r="I59" s="22" t="s">
        <v>605</v>
      </c>
      <c r="J59" s="323">
        <v>28.06</v>
      </c>
      <c r="K59" s="73">
        <v>23.84</v>
      </c>
      <c r="L59" s="73">
        <v>9.8699999999999992</v>
      </c>
      <c r="N59" s="318">
        <f t="shared" si="18"/>
        <v>61.769999999999996</v>
      </c>
      <c r="O59" s="81">
        <f>IFERROR(VLOOKUP($G59,'321買'!A:E,3,0),"'沒有資料'")</f>
        <v>1</v>
      </c>
      <c r="P59" s="380">
        <f>IFERROR(VLOOKUP($G59,'321買'!$A:$G,7,0),"'沒有資料'")</f>
        <v>783</v>
      </c>
      <c r="R59" s="297">
        <f>IFERROR(RANK(VLOOKUP($G59,連買!$A:$D,4,0),連買!$D:$D,0),"'沒有資料'")</f>
        <v>1245</v>
      </c>
      <c r="S59" s="34">
        <v>0</v>
      </c>
      <c r="T59" s="353">
        <f t="shared" si="16"/>
        <v>0</v>
      </c>
      <c r="U59" s="95">
        <v>-4.88</v>
      </c>
      <c r="V59" s="36">
        <f>RTD("money.excel",,$G59,"Price")</f>
        <v>6.83</v>
      </c>
      <c r="W59" s="66"/>
      <c r="X59" s="15">
        <f t="shared" si="17"/>
        <v>6.83</v>
      </c>
      <c r="Y59" s="3" t="e">
        <f t="shared" si="13"/>
        <v>#DIV/0!</v>
      </c>
      <c r="Z59" s="413" t="s">
        <v>1801</v>
      </c>
      <c r="AA59" s="161">
        <v>0</v>
      </c>
      <c r="AB59" s="409">
        <v>0</v>
      </c>
      <c r="AC59" s="259">
        <f t="shared" si="5"/>
        <v>0</v>
      </c>
      <c r="AD59" s="22" t="s">
        <v>605</v>
      </c>
      <c r="AG59" s="33">
        <v>0</v>
      </c>
      <c r="AH59" s="43" t="s">
        <v>2945</v>
      </c>
      <c r="AI59" s="63">
        <f t="shared" si="14"/>
        <v>8.1412639405204466E-4</v>
      </c>
      <c r="AJ59" s="307">
        <f>RTD("money.excel",,$G59,"PredictVolume")</f>
        <v>219</v>
      </c>
      <c r="AK59" s="339"/>
    </row>
    <row r="60" spans="1:38">
      <c r="A60" s="416">
        <v>15.2</v>
      </c>
      <c r="B60" s="91">
        <v>-27</v>
      </c>
      <c r="C60" s="91">
        <v>-11</v>
      </c>
      <c r="D60" s="91">
        <v>22</v>
      </c>
      <c r="E60" s="91">
        <v>-3</v>
      </c>
      <c r="F60" s="6">
        <v>-58.64</v>
      </c>
      <c r="G60" s="79">
        <v>1340</v>
      </c>
      <c r="H60" s="8" t="s">
        <v>3551</v>
      </c>
      <c r="I60" s="22" t="s">
        <v>606</v>
      </c>
      <c r="J60" s="323">
        <v>40.479999999999997</v>
      </c>
      <c r="K60" s="323">
        <v>37.049999999999997</v>
      </c>
      <c r="L60" s="323">
        <v>8.08</v>
      </c>
      <c r="N60" s="318">
        <f t="shared" si="18"/>
        <v>85.61</v>
      </c>
      <c r="O60" s="81">
        <f>IFERROR(VLOOKUP($G60,'321買'!A:E,3,0),"'沒有資料'")</f>
        <v>0</v>
      </c>
      <c r="P60" s="380">
        <f>IFERROR(VLOOKUP($G60,'321買'!$A:$G,7,0),"'沒有資料'")</f>
        <v>911</v>
      </c>
      <c r="R60" s="297">
        <f>IFERROR(RANK(VLOOKUP($G60,連買!$A:$D,4,0),連買!$D:$D,0),"'沒有資料'")</f>
        <v>1300</v>
      </c>
      <c r="S60" s="34">
        <v>0</v>
      </c>
      <c r="T60" s="353">
        <f t="shared" si="16"/>
        <v>0</v>
      </c>
      <c r="U60" s="95">
        <v>-2.5499999999999998</v>
      </c>
      <c r="V60" s="36">
        <f>RTD("money.excel",,$G60,"Price")</f>
        <v>10.45</v>
      </c>
      <c r="W60" s="66"/>
      <c r="X60" s="15">
        <f t="shared" si="17"/>
        <v>10.45</v>
      </c>
      <c r="Y60" s="3" t="e">
        <f t="shared" si="13"/>
        <v>#DIV/0!</v>
      </c>
      <c r="AA60" s="161">
        <v>0</v>
      </c>
      <c r="AB60" s="409">
        <v>0</v>
      </c>
      <c r="AC60" s="259">
        <f t="shared" si="5"/>
        <v>0</v>
      </c>
      <c r="AD60" s="22" t="s">
        <v>606</v>
      </c>
      <c r="AG60" s="33">
        <v>0</v>
      </c>
      <c r="AH60" s="43" t="s">
        <v>2670</v>
      </c>
      <c r="AI60" s="63">
        <f t="shared" si="14"/>
        <v>6.2500000000000001E-4</v>
      </c>
      <c r="AJ60" s="307">
        <f>RTD("money.excel",,$G60,"PredictVolume")</f>
        <v>95</v>
      </c>
      <c r="AK60" s="339"/>
    </row>
    <row r="61" spans="1:38">
      <c r="A61" s="415">
        <v>5.04</v>
      </c>
      <c r="B61" s="79">
        <v>93</v>
      </c>
      <c r="C61" s="79">
        <v>90</v>
      </c>
      <c r="D61" s="80">
        <v>-28</v>
      </c>
      <c r="E61" s="80">
        <v>-33</v>
      </c>
      <c r="F61" s="57">
        <v>16.149999999999999</v>
      </c>
      <c r="G61" s="79">
        <v>1341</v>
      </c>
      <c r="H61" s="8" t="s">
        <v>3551</v>
      </c>
      <c r="I61" s="22" t="s">
        <v>1856</v>
      </c>
      <c r="J61" s="323">
        <v>79.67</v>
      </c>
      <c r="K61" s="323">
        <v>83.57</v>
      </c>
      <c r="L61" s="323"/>
      <c r="N61" s="318">
        <f t="shared" si="18"/>
        <v>163.24</v>
      </c>
      <c r="O61" s="81" t="str">
        <f>IFERROR(VLOOKUP($G61,'321買'!A:E,3,0),"'沒有資料'")</f>
        <v>'沒有資料'</v>
      </c>
      <c r="P61" s="380" t="str">
        <f>IFERROR(VLOOKUP($G61,'321買'!$A:$G,7,0),"'沒有資料'")</f>
        <v>'沒有資料'</v>
      </c>
      <c r="R61" s="297">
        <f>IFERROR(RANK(VLOOKUP($G61,連買!$A:$D,4,0),連買!$D:$D,0),"'沒有資料'")</f>
        <v>1529</v>
      </c>
      <c r="S61" s="66">
        <v>6</v>
      </c>
      <c r="T61" s="353">
        <f t="shared" si="16"/>
        <v>8.0645161290322578E-2</v>
      </c>
      <c r="U61" s="57">
        <v>8.19</v>
      </c>
      <c r="V61" s="36">
        <f>RTD("money.excel",,$G61,"Price")</f>
        <v>74.400000000000006</v>
      </c>
      <c r="W61" s="66"/>
      <c r="X61" s="15">
        <f t="shared" si="17"/>
        <v>74.400000000000006</v>
      </c>
      <c r="Y61" s="3" t="e">
        <f t="shared" si="13"/>
        <v>#DIV/0!</v>
      </c>
      <c r="Z61" s="413" t="s">
        <v>1831</v>
      </c>
      <c r="AA61" s="161">
        <v>0</v>
      </c>
      <c r="AB61" s="409">
        <v>0</v>
      </c>
      <c r="AC61" s="259">
        <f t="shared" si="5"/>
        <v>0</v>
      </c>
      <c r="AD61" s="22" t="s">
        <v>1856</v>
      </c>
      <c r="AG61" s="33">
        <v>0</v>
      </c>
      <c r="AH61" s="43" t="s">
        <v>2946</v>
      </c>
      <c r="AI61" s="63">
        <f t="shared" si="14"/>
        <v>2.380952380952381E-4</v>
      </c>
      <c r="AJ61" s="307">
        <f>RTD("money.excel",,$G61,"PredictVolume")</f>
        <v>12</v>
      </c>
      <c r="AK61" s="339"/>
    </row>
    <row r="62" spans="1:38">
      <c r="A62" s="416">
        <v>7</v>
      </c>
      <c r="B62" s="91">
        <v>-135</v>
      </c>
      <c r="C62" s="91">
        <v>-13</v>
      </c>
      <c r="D62" s="91">
        <v>41</v>
      </c>
      <c r="E62" s="91">
        <v>40</v>
      </c>
      <c r="F62" s="6">
        <v>3.44</v>
      </c>
      <c r="G62" s="79">
        <v>4303</v>
      </c>
      <c r="H62" s="8" t="s">
        <v>3551</v>
      </c>
      <c r="I62" s="16" t="s">
        <v>591</v>
      </c>
      <c r="J62" s="73">
        <v>75.23</v>
      </c>
      <c r="K62" s="73">
        <v>0.05</v>
      </c>
      <c r="L62" s="73">
        <v>5.45</v>
      </c>
      <c r="N62" s="318">
        <f t="shared" si="18"/>
        <v>80.73</v>
      </c>
      <c r="O62" s="81">
        <f>IFERROR(VLOOKUP($G62,'321買'!A:E,3,0),"'沒有資料'")</f>
        <v>1</v>
      </c>
      <c r="P62" s="380">
        <f>IFERROR(VLOOKUP($G62,'321買'!$A:$G,7,0),"'沒有資料'")</f>
        <v>783</v>
      </c>
      <c r="R62" s="297">
        <f>IFERROR(RANK(VLOOKUP($G62,連買!$A:$D,4,0),連買!$D:$D,0),"'沒有資料'")</f>
        <v>803</v>
      </c>
      <c r="S62" s="34">
        <v>0.3</v>
      </c>
      <c r="T62" s="353">
        <f t="shared" si="16"/>
        <v>1.2903225806451613E-2</v>
      </c>
      <c r="U62" s="95">
        <v>-0.41</v>
      </c>
      <c r="V62" s="36">
        <f>RTD("money.excel",,$G62,"Price")</f>
        <v>23.25</v>
      </c>
      <c r="W62" s="66"/>
      <c r="X62" s="15">
        <f t="shared" si="17"/>
        <v>23.25</v>
      </c>
      <c r="Y62" s="3" t="e">
        <f t="shared" si="13"/>
        <v>#DIV/0!</v>
      </c>
      <c r="AA62" s="161">
        <v>0</v>
      </c>
      <c r="AB62" s="409">
        <v>0</v>
      </c>
      <c r="AC62" s="259">
        <f t="shared" si="5"/>
        <v>0</v>
      </c>
      <c r="AD62" s="16" t="s">
        <v>591</v>
      </c>
      <c r="AG62" s="33">
        <v>0</v>
      </c>
      <c r="AH62" s="43" t="s">
        <v>2811</v>
      </c>
      <c r="AI62" s="63">
        <f t="shared" si="14"/>
        <v>1.4E-3</v>
      </c>
      <c r="AJ62" s="307">
        <f>RTD("money.excel",,$G62,"PredictVolume")</f>
        <v>98</v>
      </c>
      <c r="AK62" s="339"/>
    </row>
    <row r="63" spans="1:38">
      <c r="A63" s="416">
        <v>3.6</v>
      </c>
      <c r="B63" s="91">
        <v>-56</v>
      </c>
      <c r="C63" s="91">
        <v>-190</v>
      </c>
      <c r="D63" s="91">
        <v>-2</v>
      </c>
      <c r="E63" s="91">
        <v>50</v>
      </c>
      <c r="F63" s="6">
        <v>-9.68</v>
      </c>
      <c r="G63" s="79">
        <v>4304</v>
      </c>
      <c r="H63" s="8" t="s">
        <v>3551</v>
      </c>
      <c r="I63" s="16" t="s">
        <v>592</v>
      </c>
      <c r="J63" s="73">
        <v>70.47</v>
      </c>
      <c r="K63" s="73">
        <v>0</v>
      </c>
      <c r="L63" s="73">
        <v>0</v>
      </c>
      <c r="N63" s="318">
        <f t="shared" si="18"/>
        <v>70.47</v>
      </c>
      <c r="O63" s="81">
        <f>IFERROR(VLOOKUP($G63,'321買'!A:E,3,0),"'沒有資料'")</f>
        <v>0</v>
      </c>
      <c r="P63" s="380">
        <f>IFERROR(VLOOKUP($G63,'321買'!$A:$G,7,0),"'沒有資料'")</f>
        <v>911</v>
      </c>
      <c r="R63" s="297">
        <f>IFERROR(RANK(VLOOKUP($G63,連買!$A:$D,4,0),連買!$D:$D,0),"'沒有資料'")</f>
        <v>1402</v>
      </c>
      <c r="S63" s="34">
        <v>0</v>
      </c>
      <c r="T63" s="353">
        <f t="shared" si="16"/>
        <v>0</v>
      </c>
      <c r="U63" s="95">
        <v>-1.1399999999999999</v>
      </c>
      <c r="V63" s="36">
        <f>RTD("money.excel",,$G63,"Price")</f>
        <v>13.85</v>
      </c>
      <c r="W63" s="66"/>
      <c r="X63" s="15">
        <f t="shared" si="17"/>
        <v>13.85</v>
      </c>
      <c r="Y63" s="3" t="e">
        <f t="shared" si="13"/>
        <v>#DIV/0!</v>
      </c>
      <c r="AA63" s="161">
        <v>0</v>
      </c>
      <c r="AB63" s="409">
        <v>0</v>
      </c>
      <c r="AC63" s="259">
        <f t="shared" si="5"/>
        <v>0</v>
      </c>
      <c r="AD63" s="16" t="s">
        <v>592</v>
      </c>
      <c r="AG63" s="33">
        <v>0</v>
      </c>
      <c r="AH63" s="43" t="s">
        <v>2812</v>
      </c>
      <c r="AI63" s="63">
        <f t="shared" si="14"/>
        <v>1.2777777777777779E-3</v>
      </c>
      <c r="AJ63" s="307">
        <f>RTD("money.excel",,$G63,"PredictVolume")</f>
        <v>46</v>
      </c>
      <c r="AK63" s="339"/>
    </row>
    <row r="64" spans="1:38">
      <c r="A64" s="415">
        <v>5.5</v>
      </c>
      <c r="B64" s="91">
        <v>-27</v>
      </c>
      <c r="C64" s="91">
        <v>-12</v>
      </c>
      <c r="D64" s="91">
        <v>-9</v>
      </c>
      <c r="E64" s="91">
        <v>22</v>
      </c>
      <c r="F64" s="57">
        <v>15.4</v>
      </c>
      <c r="G64" s="79">
        <v>4305</v>
      </c>
      <c r="H64" s="8" t="s">
        <v>3551</v>
      </c>
      <c r="I64" s="16" t="s">
        <v>593</v>
      </c>
      <c r="J64" s="73">
        <v>86.27</v>
      </c>
      <c r="K64" s="73">
        <v>0.01</v>
      </c>
      <c r="L64" s="73">
        <v>0.03</v>
      </c>
      <c r="N64" s="318">
        <f t="shared" si="18"/>
        <v>86.31</v>
      </c>
      <c r="O64" s="81" t="str">
        <f>IFERROR(VLOOKUP($G64,'321買'!A:E,3,0),"'沒有資料'")</f>
        <v>'沒有資料'</v>
      </c>
      <c r="P64" s="380" t="str">
        <f>IFERROR(VLOOKUP($G64,'321買'!$A:$G,7,0),"'沒有資料'")</f>
        <v>'沒有資料'</v>
      </c>
      <c r="R64" s="297">
        <f>IFERROR(RANK(VLOOKUP($G64,連買!$A:$D,4,0),連買!$D:$D,0),"'沒有資料'")</f>
        <v>1278</v>
      </c>
      <c r="S64" s="34">
        <v>1.8</v>
      </c>
      <c r="T64" s="353" t="e">
        <f t="shared" si="16"/>
        <v>#VALUE!</v>
      </c>
      <c r="U64" s="95">
        <v>2.08</v>
      </c>
      <c r="V64" s="36" t="str">
        <f>RTD("money.excel",,$G64,"Price")</f>
        <v>無資料</v>
      </c>
      <c r="W64" s="66"/>
      <c r="X64" s="15" t="e">
        <f t="shared" si="17"/>
        <v>#VALUE!</v>
      </c>
      <c r="Y64" s="3" t="e">
        <f t="shared" si="13"/>
        <v>#VALUE!</v>
      </c>
      <c r="AA64" s="161">
        <v>0</v>
      </c>
      <c r="AB64" s="409">
        <v>0</v>
      </c>
      <c r="AC64" s="259">
        <f t="shared" si="5"/>
        <v>0</v>
      </c>
      <c r="AD64" s="16" t="s">
        <v>593</v>
      </c>
      <c r="AG64" s="33">
        <v>0</v>
      </c>
      <c r="AH64" s="43" t="s">
        <v>2813</v>
      </c>
      <c r="AI64" s="63">
        <f t="shared" si="14"/>
        <v>0</v>
      </c>
      <c r="AJ64" s="307">
        <f>RTD("money.excel",,$G64,"PredictVolume")</f>
        <v>0</v>
      </c>
      <c r="AK64" s="339"/>
    </row>
    <row r="65" spans="1:38">
      <c r="A65" s="416">
        <v>58.5</v>
      </c>
      <c r="B65" s="80">
        <v>-89</v>
      </c>
      <c r="C65" s="80">
        <v>-73</v>
      </c>
      <c r="D65" s="80">
        <v>-5</v>
      </c>
      <c r="E65" s="80">
        <v>-17</v>
      </c>
      <c r="F65" s="6">
        <v>1.23</v>
      </c>
      <c r="G65" s="79">
        <v>4306</v>
      </c>
      <c r="H65" s="8" t="s">
        <v>3551</v>
      </c>
      <c r="I65" s="22" t="s">
        <v>607</v>
      </c>
      <c r="J65" s="73">
        <v>58.9</v>
      </c>
      <c r="K65" s="73">
        <v>6.39</v>
      </c>
      <c r="L65" s="73">
        <v>6.84</v>
      </c>
      <c r="N65" s="318">
        <f t="shared" si="18"/>
        <v>72.13</v>
      </c>
      <c r="O65" s="81">
        <f>IFERROR(VLOOKUP($G65,'321買'!A:E,3,0),"'沒有資料'")</f>
        <v>6</v>
      </c>
      <c r="P65" s="380">
        <f>IFERROR(VLOOKUP($G65,'321買'!$A:$G,7,0),"'沒有資料'")</f>
        <v>521</v>
      </c>
      <c r="R65" s="297">
        <f>IFERROR(RANK(VLOOKUP($G65,連買!$A:$D,4,0),連買!$D:$D,0),"'沒有資料'")</f>
        <v>1511</v>
      </c>
      <c r="S65" s="34">
        <v>1.03</v>
      </c>
      <c r="T65" s="353">
        <f t="shared" si="16"/>
        <v>6.5189873417721519E-2</v>
      </c>
      <c r="U65" s="95">
        <v>1.51</v>
      </c>
      <c r="V65" s="36">
        <f>RTD("money.excel",,$G65,"Price")</f>
        <v>15.8</v>
      </c>
      <c r="W65" s="66"/>
      <c r="X65" s="15">
        <f t="shared" si="17"/>
        <v>15.8</v>
      </c>
      <c r="Y65" s="3" t="e">
        <f t="shared" si="13"/>
        <v>#DIV/0!</v>
      </c>
      <c r="Z65" s="413" t="s">
        <v>1801</v>
      </c>
      <c r="AA65" s="161">
        <v>0</v>
      </c>
      <c r="AB65" s="409">
        <v>0</v>
      </c>
      <c r="AC65" s="259">
        <f t="shared" si="5"/>
        <v>0</v>
      </c>
      <c r="AD65" s="22" t="s">
        <v>607</v>
      </c>
      <c r="AG65" s="33">
        <v>0</v>
      </c>
      <c r="AH65" s="43" t="s">
        <v>2947</v>
      </c>
      <c r="AI65" s="63">
        <f t="shared" si="14"/>
        <v>2.0273504273504274E-3</v>
      </c>
      <c r="AJ65" s="307">
        <f>RTD("money.excel",,$G65,"PredictVolume")</f>
        <v>1186</v>
      </c>
      <c r="AK65" s="339"/>
    </row>
    <row r="66" spans="1:38">
      <c r="A66" s="416">
        <v>7.85</v>
      </c>
      <c r="B66" s="91">
        <v>-65</v>
      </c>
      <c r="C66" s="91">
        <v>297</v>
      </c>
      <c r="D66" s="91">
        <v>10</v>
      </c>
      <c r="E66" s="91">
        <v>45</v>
      </c>
      <c r="F66" s="6">
        <v>11.3</v>
      </c>
      <c r="G66" s="79">
        <v>8354</v>
      </c>
      <c r="H66" s="8" t="s">
        <v>3551</v>
      </c>
      <c r="I66" s="16" t="s">
        <v>594</v>
      </c>
      <c r="J66" s="73">
        <v>70.59</v>
      </c>
      <c r="K66" s="73">
        <v>0.19</v>
      </c>
      <c r="L66" s="73">
        <v>4.43</v>
      </c>
      <c r="N66" s="318">
        <f t="shared" si="18"/>
        <v>75.210000000000008</v>
      </c>
      <c r="O66" s="81">
        <f>IFERROR(VLOOKUP($G66,'321買'!A:E,3,0),"'沒有資料'")</f>
        <v>0</v>
      </c>
      <c r="P66" s="380">
        <f>IFERROR(VLOOKUP($G66,'321買'!$A:$G,7,0),"'沒有資料'")</f>
        <v>911</v>
      </c>
      <c r="R66" s="297">
        <f>IFERROR(RANK(VLOOKUP($G66,連買!$A:$D,4,0),連買!$D:$D,0),"'沒有資料'")</f>
        <v>1531</v>
      </c>
      <c r="S66" s="34">
        <v>0.3</v>
      </c>
      <c r="T66" s="353">
        <f t="shared" si="16"/>
        <v>2.0270270270270268E-2</v>
      </c>
      <c r="U66" s="95">
        <v>0.48</v>
      </c>
      <c r="V66" s="36">
        <f>RTD("money.excel",,$G66,"Price")</f>
        <v>14.8</v>
      </c>
      <c r="W66" s="66"/>
      <c r="X66" s="15">
        <f t="shared" si="17"/>
        <v>14.8</v>
      </c>
      <c r="Y66" s="3" t="e">
        <f t="shared" si="13"/>
        <v>#DIV/0!</v>
      </c>
      <c r="AA66" s="161">
        <v>0</v>
      </c>
      <c r="AB66" s="409">
        <v>0</v>
      </c>
      <c r="AC66" s="259">
        <f t="shared" si="5"/>
        <v>0</v>
      </c>
      <c r="AD66" s="16" t="s">
        <v>594</v>
      </c>
      <c r="AG66" s="33">
        <v>0</v>
      </c>
      <c r="AH66" s="43" t="s">
        <v>2814</v>
      </c>
      <c r="AI66" s="63">
        <f t="shared" si="14"/>
        <v>2.9299363057324842E-4</v>
      </c>
      <c r="AJ66" s="307">
        <f>RTD("money.excel",,$G66,"PredictVolume")</f>
        <v>23</v>
      </c>
      <c r="AK66" s="339"/>
    </row>
    <row r="67" spans="1:38">
      <c r="A67" s="416">
        <v>14.7</v>
      </c>
      <c r="B67" s="91">
        <v>-127</v>
      </c>
      <c r="C67" s="91">
        <v>-99</v>
      </c>
      <c r="D67" s="91">
        <v>61</v>
      </c>
      <c r="E67" s="91">
        <v>-59</v>
      </c>
      <c r="F67" s="6">
        <v>-33.42</v>
      </c>
      <c r="G67" s="79">
        <v>9950</v>
      </c>
      <c r="H67" s="8" t="s">
        <v>3551</v>
      </c>
      <c r="I67" s="16" t="s">
        <v>595</v>
      </c>
      <c r="J67" s="73">
        <v>82.1</v>
      </c>
      <c r="K67" s="73">
        <v>0</v>
      </c>
      <c r="L67" s="73">
        <v>12.38</v>
      </c>
      <c r="N67" s="318">
        <f t="shared" si="18"/>
        <v>94.47999999999999</v>
      </c>
      <c r="O67" s="81" t="str">
        <f>IFERROR(VLOOKUP($G67,'321買'!A:E,3,0),"'沒有資料'")</f>
        <v>'沒有資料'</v>
      </c>
      <c r="P67" s="380" t="str">
        <f>IFERROR(VLOOKUP($G67,'321買'!$A:$G,7,0),"'沒有資料'")</f>
        <v>'沒有資料'</v>
      </c>
      <c r="R67" s="297">
        <f>IFERROR(RANK(VLOOKUP($G67,連買!$A:$D,4,0),連買!$D:$D,0),"'沒有資料'")</f>
        <v>1337</v>
      </c>
      <c r="S67" s="34">
        <v>0</v>
      </c>
      <c r="T67" s="353">
        <f t="shared" si="16"/>
        <v>0</v>
      </c>
      <c r="U67" s="95">
        <v>-2.3199999999999998</v>
      </c>
      <c r="V67" s="36">
        <f>RTD("money.excel",,$G67,"Price")</f>
        <v>11.65</v>
      </c>
      <c r="W67" s="66"/>
      <c r="X67" s="15">
        <f t="shared" si="17"/>
        <v>11.65</v>
      </c>
      <c r="Y67" s="3" t="e">
        <f t="shared" si="13"/>
        <v>#DIV/0!</v>
      </c>
      <c r="AA67" s="161">
        <v>0</v>
      </c>
      <c r="AB67" s="409">
        <v>0</v>
      </c>
      <c r="AC67" s="259">
        <f t="shared" si="5"/>
        <v>0</v>
      </c>
      <c r="AD67" s="16" t="s">
        <v>595</v>
      </c>
      <c r="AG67" s="33">
        <v>0</v>
      </c>
      <c r="AH67" s="43" t="s">
        <v>2815</v>
      </c>
      <c r="AI67" s="63">
        <f t="shared" si="14"/>
        <v>1.0204081632653062E-4</v>
      </c>
      <c r="AJ67" s="307">
        <f>RTD("money.excel",,$G67,"PredictVolume")</f>
        <v>15</v>
      </c>
      <c r="AK67" s="339"/>
      <c r="AL67" s="303"/>
    </row>
    <row r="68" spans="1:38">
      <c r="A68" s="146"/>
      <c r="B68" s="91"/>
      <c r="C68" s="91"/>
      <c r="D68" s="91"/>
      <c r="E68" s="91"/>
      <c r="F68" s="6"/>
      <c r="G68" s="79"/>
      <c r="H68" s="8"/>
      <c r="I68" s="16"/>
      <c r="J68" s="73"/>
      <c r="K68" s="73"/>
      <c r="N68" s="318"/>
      <c r="O68" s="26"/>
      <c r="P68" s="380"/>
      <c r="R68" s="297"/>
      <c r="S68" s="34"/>
      <c r="T68" s="353"/>
      <c r="U68" s="95"/>
      <c r="V68" s="36"/>
      <c r="W68" s="66"/>
      <c r="X68" s="15"/>
      <c r="Y68" s="3"/>
      <c r="AA68" s="2"/>
      <c r="AD68" s="16"/>
      <c r="AG68" s="33"/>
      <c r="AH68" s="43"/>
      <c r="AI68" s="63"/>
      <c r="AJ68" s="307"/>
      <c r="AK68" s="339"/>
      <c r="AL68" s="264"/>
    </row>
    <row r="69" spans="1:38">
      <c r="A69" s="130" t="s">
        <v>1732</v>
      </c>
      <c r="B69" s="91" t="s">
        <v>1588</v>
      </c>
      <c r="C69" s="91" t="s">
        <v>1589</v>
      </c>
      <c r="D69" s="91" t="s">
        <v>1590</v>
      </c>
      <c r="E69" s="91" t="s">
        <v>1591</v>
      </c>
      <c r="F69" s="8" t="s">
        <v>1066</v>
      </c>
      <c r="G69" s="27" t="s">
        <v>712</v>
      </c>
      <c r="H69" s="55" t="s">
        <v>322</v>
      </c>
      <c r="I69" s="50" t="s">
        <v>296</v>
      </c>
      <c r="J69" s="317" t="s">
        <v>1467</v>
      </c>
      <c r="K69" s="317" t="s">
        <v>1157</v>
      </c>
      <c r="L69" s="317" t="s">
        <v>284</v>
      </c>
      <c r="M69" s="317" t="s">
        <v>1059</v>
      </c>
      <c r="N69" s="317" t="s">
        <v>5048</v>
      </c>
      <c r="O69" s="26" t="s">
        <v>5107</v>
      </c>
      <c r="P69" s="373" t="s">
        <v>5059</v>
      </c>
      <c r="Q69" s="245" t="s">
        <v>5087</v>
      </c>
      <c r="R69" s="345" t="s">
        <v>5059</v>
      </c>
      <c r="S69" s="10" t="s">
        <v>66</v>
      </c>
      <c r="T69" s="351" t="s">
        <v>5076</v>
      </c>
      <c r="U69" s="68" t="s">
        <v>3493</v>
      </c>
      <c r="V69" s="28" t="s">
        <v>2</v>
      </c>
      <c r="W69" s="17" t="s">
        <v>1405</v>
      </c>
      <c r="X69" s="14" t="s">
        <v>5</v>
      </c>
      <c r="Y69" s="21" t="s">
        <v>3</v>
      </c>
      <c r="Z69" s="97" t="s">
        <v>6627</v>
      </c>
      <c r="AA69" s="406" t="s">
        <v>8647</v>
      </c>
      <c r="AB69" s="407" t="s">
        <v>8648</v>
      </c>
      <c r="AC69" s="408" t="s">
        <v>8649</v>
      </c>
      <c r="AD69" s="50" t="s">
        <v>296</v>
      </c>
      <c r="AE69" s="71" t="s">
        <v>1406</v>
      </c>
      <c r="AF69" s="72" t="s">
        <v>1163</v>
      </c>
      <c r="AG69" s="32" t="s">
        <v>1164</v>
      </c>
      <c r="AH69" s="25" t="s">
        <v>8650</v>
      </c>
      <c r="AI69" s="8" t="s">
        <v>3852</v>
      </c>
      <c r="AJ69" s="50" t="s">
        <v>3586</v>
      </c>
      <c r="AK69" s="339" t="s">
        <v>5038</v>
      </c>
      <c r="AL69" s="264"/>
    </row>
    <row r="70" spans="1:38">
      <c r="A70" s="416">
        <v>535</v>
      </c>
      <c r="B70" s="80">
        <v>-19</v>
      </c>
      <c r="C70" s="80">
        <v>-35</v>
      </c>
      <c r="D70" s="79">
        <v>11</v>
      </c>
      <c r="E70" s="80">
        <v>-3</v>
      </c>
      <c r="F70" s="6">
        <v>4.93</v>
      </c>
      <c r="G70" s="79">
        <v>1402</v>
      </c>
      <c r="H70" s="8" t="s">
        <v>3390</v>
      </c>
      <c r="I70" s="22" t="s">
        <v>267</v>
      </c>
      <c r="J70" s="73">
        <v>87.43</v>
      </c>
      <c r="K70" s="73">
        <v>18.48</v>
      </c>
      <c r="L70" s="73">
        <v>0.35</v>
      </c>
      <c r="N70" s="318">
        <f>J70+K70+L70+M70</f>
        <v>106.26</v>
      </c>
      <c r="O70" s="81">
        <f>IFERROR(VLOOKUP($G70,'321買'!A:E,3,0),"'沒有資料'")</f>
        <v>0</v>
      </c>
      <c r="P70" s="380">
        <f>IFERROR(VLOOKUP($G70,'321買'!$A:$G,7,0),"'沒有資料'")</f>
        <v>911</v>
      </c>
      <c r="R70" s="297">
        <f>IFERROR(RANK(VLOOKUP($G70,連買!$A:$D,4,0),連買!$D:$D,0),"'沒有資料'")</f>
        <v>578</v>
      </c>
      <c r="S70" s="34">
        <v>1.35</v>
      </c>
      <c r="T70" s="353">
        <f t="shared" ref="T70:T101" si="19">S70/V70</f>
        <v>4.4117647058823532E-2</v>
      </c>
      <c r="U70" s="95">
        <v>1.62</v>
      </c>
      <c r="V70" s="36">
        <f>RTD("money.excel",,"1402","Price")</f>
        <v>30.6</v>
      </c>
      <c r="W70" s="66"/>
      <c r="X70" s="15">
        <f t="shared" ref="X70:X125" si="20">V70-W70</f>
        <v>30.6</v>
      </c>
      <c r="Y70" s="3" t="e">
        <f t="shared" ref="Y70:Y125" si="21">X70/W70</f>
        <v>#DIV/0!</v>
      </c>
      <c r="Z70" s="413" t="s">
        <v>1801</v>
      </c>
      <c r="AA70" s="161">
        <v>0</v>
      </c>
      <c r="AB70" s="409">
        <v>0</v>
      </c>
      <c r="AC70" s="259">
        <f t="shared" ref="AC70:AC132" si="22">AA70-AB70</f>
        <v>0</v>
      </c>
      <c r="AD70" s="22" t="s">
        <v>267</v>
      </c>
      <c r="AG70" s="33">
        <f t="shared" ref="AG70:AG125" si="23">AF70-AE70</f>
        <v>0</v>
      </c>
      <c r="AH70" s="120" t="s">
        <v>2949</v>
      </c>
      <c r="AI70" s="63">
        <f t="shared" ref="AI70:AI101" si="24">AJ70/(A70*10000)</f>
        <v>6.7943925233644861E-4</v>
      </c>
      <c r="AJ70" s="307">
        <f>RTD("money.excel",,$G70,"PredictVolume")</f>
        <v>3635</v>
      </c>
      <c r="AK70" s="339"/>
      <c r="AL70" s="264"/>
    </row>
    <row r="71" spans="1:38">
      <c r="A71" s="416">
        <v>161</v>
      </c>
      <c r="B71" s="79">
        <v>76</v>
      </c>
      <c r="C71" s="80">
        <v>-9</v>
      </c>
      <c r="D71" s="79">
        <v>1</v>
      </c>
      <c r="E71" s="80">
        <v>-27</v>
      </c>
      <c r="F71" s="6">
        <v>8.48</v>
      </c>
      <c r="G71" s="79">
        <v>1409</v>
      </c>
      <c r="H71" s="8" t="s">
        <v>3390</v>
      </c>
      <c r="I71" s="22" t="s">
        <v>720</v>
      </c>
      <c r="J71" s="73">
        <v>76.19</v>
      </c>
      <c r="K71" s="73">
        <v>13.86</v>
      </c>
      <c r="L71" s="73">
        <v>2.02</v>
      </c>
      <c r="N71" s="318">
        <f t="shared" ref="N71:N125" si="25">J71+K71+L71+M71</f>
        <v>92.07</v>
      </c>
      <c r="O71" s="81">
        <f>IFERROR(VLOOKUP($G71,'321買'!A:E,3,0),"'沒有資料'")</f>
        <v>3</v>
      </c>
      <c r="P71" s="380">
        <f>IFERROR(VLOOKUP($G71,'321買'!$A:$G,7,0),"'沒有資料'")</f>
        <v>636</v>
      </c>
      <c r="R71" s="297">
        <f>IFERROR(RANK(VLOOKUP($G71,連買!$A:$D,4,0),連買!$D:$D,0),"'沒有資料'")</f>
        <v>611</v>
      </c>
      <c r="S71" s="34">
        <v>1.1000000000000001</v>
      </c>
      <c r="T71" s="353">
        <f t="shared" si="19"/>
        <v>5.4054054054054057E-2</v>
      </c>
      <c r="U71" s="95">
        <v>1.79</v>
      </c>
      <c r="V71" s="36">
        <f>RTD("money.excel",,"1409","Price")</f>
        <v>20.350000000000001</v>
      </c>
      <c r="W71" s="66"/>
      <c r="X71" s="15">
        <f t="shared" si="20"/>
        <v>20.350000000000001</v>
      </c>
      <c r="Y71" s="3" t="e">
        <f t="shared" si="21"/>
        <v>#DIV/0!</v>
      </c>
      <c r="Z71" s="413" t="s">
        <v>1801</v>
      </c>
      <c r="AA71" s="161">
        <v>0</v>
      </c>
      <c r="AB71" s="409">
        <v>0</v>
      </c>
      <c r="AC71" s="259">
        <f t="shared" si="22"/>
        <v>0</v>
      </c>
      <c r="AD71" s="22" t="s">
        <v>720</v>
      </c>
      <c r="AG71" s="33">
        <f t="shared" si="23"/>
        <v>0</v>
      </c>
      <c r="AH71" s="43" t="s">
        <v>5090</v>
      </c>
      <c r="AI71" s="63">
        <f t="shared" si="24"/>
        <v>2.6608695652173913E-3</v>
      </c>
      <c r="AJ71" s="307">
        <f>RTD("money.excel",,$G71,"PredictVolume")</f>
        <v>4284</v>
      </c>
      <c r="AK71" s="339"/>
      <c r="AL71" s="264"/>
    </row>
    <row r="72" spans="1:38">
      <c r="A72" s="415">
        <v>6.3</v>
      </c>
      <c r="B72" s="91">
        <v>-20</v>
      </c>
      <c r="C72" s="91">
        <v>11</v>
      </c>
      <c r="D72" s="91">
        <v>-14</v>
      </c>
      <c r="E72" s="91">
        <v>48</v>
      </c>
      <c r="F72" s="57">
        <v>19.350000000000001</v>
      </c>
      <c r="G72" s="79">
        <v>1410</v>
      </c>
      <c r="H72" s="8" t="s">
        <v>3390</v>
      </c>
      <c r="I72" s="22" t="s">
        <v>721</v>
      </c>
      <c r="J72" s="73">
        <v>72.89</v>
      </c>
      <c r="K72" s="73">
        <v>15.82</v>
      </c>
      <c r="L72" s="73">
        <v>1.44</v>
      </c>
      <c r="N72" s="318">
        <f t="shared" si="25"/>
        <v>90.15</v>
      </c>
      <c r="O72" s="81">
        <f>IFERROR(VLOOKUP($G72,'321買'!A:E,3,0),"'沒有資料'")</f>
        <v>0</v>
      </c>
      <c r="P72" s="380">
        <f>IFERROR(VLOOKUP($G72,'321買'!$A:$G,7,0),"'沒有資料'")</f>
        <v>911</v>
      </c>
      <c r="R72" s="297">
        <f>IFERROR(RANK(VLOOKUP($G72,連買!$A:$D,4,0),連買!$D:$D,0),"'沒有資料'")</f>
        <v>775</v>
      </c>
      <c r="S72" s="34">
        <v>0.9</v>
      </c>
      <c r="T72" s="353">
        <f t="shared" si="19"/>
        <v>2.4390243902439025E-2</v>
      </c>
      <c r="U72" s="95">
        <v>0.95</v>
      </c>
      <c r="V72" s="13">
        <f>RTD("money.excel",,"1410","Price")</f>
        <v>36.9</v>
      </c>
      <c r="W72" s="66"/>
      <c r="X72" s="15">
        <f t="shared" si="20"/>
        <v>36.9</v>
      </c>
      <c r="Y72" s="3" t="e">
        <f t="shared" si="21"/>
        <v>#DIV/0!</v>
      </c>
      <c r="AA72" s="161">
        <v>0</v>
      </c>
      <c r="AB72" s="409">
        <v>0</v>
      </c>
      <c r="AC72" s="259">
        <f t="shared" si="22"/>
        <v>0</v>
      </c>
      <c r="AD72" s="22" t="s">
        <v>721</v>
      </c>
      <c r="AG72" s="33">
        <f t="shared" si="23"/>
        <v>0</v>
      </c>
      <c r="AH72" s="43" t="s">
        <v>2571</v>
      </c>
      <c r="AI72" s="63">
        <f t="shared" si="24"/>
        <v>5.2380952380952383E-4</v>
      </c>
      <c r="AJ72" s="307">
        <f>RTD("money.excel",,$G72,"PredictVolume")</f>
        <v>33</v>
      </c>
      <c r="AK72" s="339"/>
      <c r="AL72" s="264"/>
    </row>
    <row r="73" spans="1:38">
      <c r="A73" s="416">
        <v>13.2</v>
      </c>
      <c r="B73" s="80">
        <v>-53</v>
      </c>
      <c r="C73" s="80">
        <v>-52</v>
      </c>
      <c r="D73" s="79">
        <v>19</v>
      </c>
      <c r="E73" s="80">
        <v>-36</v>
      </c>
      <c r="F73" s="6">
        <v>3.04</v>
      </c>
      <c r="G73" s="79">
        <v>1413</v>
      </c>
      <c r="H73" s="8" t="s">
        <v>3390</v>
      </c>
      <c r="I73" s="22" t="s">
        <v>722</v>
      </c>
      <c r="J73" s="323">
        <v>66.38</v>
      </c>
      <c r="K73" s="323">
        <v>0.27</v>
      </c>
      <c r="L73" s="323"/>
      <c r="N73" s="318">
        <f t="shared" si="25"/>
        <v>66.649999999999991</v>
      </c>
      <c r="O73" s="81">
        <f>IFERROR(VLOOKUP($G73,'321買'!A:E,3,0),"'沒有資料'")</f>
        <v>0</v>
      </c>
      <c r="P73" s="380">
        <f>IFERROR(VLOOKUP($G73,'321買'!$A:$G,7,0),"'沒有資料'")</f>
        <v>911</v>
      </c>
      <c r="R73" s="297">
        <f>IFERROR(RANK(VLOOKUP($G73,連買!$A:$D,4,0),連買!$D:$D,0),"'沒有資料'")</f>
        <v>1206</v>
      </c>
      <c r="S73" s="34">
        <v>0</v>
      </c>
      <c r="T73" s="353">
        <f t="shared" si="19"/>
        <v>0</v>
      </c>
      <c r="U73" s="95">
        <v>-1.23</v>
      </c>
      <c r="V73" s="36">
        <f>RTD("money.excel",,"1413","Price")</f>
        <v>10.5</v>
      </c>
      <c r="W73" s="66"/>
      <c r="X73" s="15">
        <f t="shared" si="20"/>
        <v>10.5</v>
      </c>
      <c r="Y73" s="3" t="e">
        <f t="shared" si="21"/>
        <v>#DIV/0!</v>
      </c>
      <c r="Z73" s="413" t="s">
        <v>1801</v>
      </c>
      <c r="AA73" s="161">
        <v>0</v>
      </c>
      <c r="AB73" s="409">
        <v>0</v>
      </c>
      <c r="AC73" s="259">
        <f t="shared" si="22"/>
        <v>0</v>
      </c>
      <c r="AD73" s="22" t="s">
        <v>722</v>
      </c>
      <c r="AG73" s="33">
        <f t="shared" si="23"/>
        <v>0</v>
      </c>
      <c r="AH73" s="43" t="s">
        <v>1533</v>
      </c>
      <c r="AI73" s="63">
        <f t="shared" si="24"/>
        <v>6.4393939393939397E-4</v>
      </c>
      <c r="AJ73" s="307">
        <f>RTD("money.excel",,$G73,"PredictVolume")</f>
        <v>85</v>
      </c>
      <c r="AK73" s="339"/>
      <c r="AL73" s="264"/>
    </row>
    <row r="74" spans="1:38">
      <c r="A74" s="416">
        <v>22</v>
      </c>
      <c r="B74" s="91">
        <v>458</v>
      </c>
      <c r="C74" s="91">
        <v>55</v>
      </c>
      <c r="D74" s="91">
        <v>-20</v>
      </c>
      <c r="E74" s="91">
        <v>24</v>
      </c>
      <c r="F74" s="6">
        <v>-4.16</v>
      </c>
      <c r="G74" s="79">
        <v>1414</v>
      </c>
      <c r="H74" s="8" t="s">
        <v>3390</v>
      </c>
      <c r="I74" s="22" t="s">
        <v>723</v>
      </c>
      <c r="J74" s="73">
        <v>60.24</v>
      </c>
      <c r="K74" s="73">
        <v>1.1599999999999999</v>
      </c>
      <c r="L74" s="73">
        <v>4.6500000000000004</v>
      </c>
      <c r="N74" s="318">
        <f t="shared" si="25"/>
        <v>66.05</v>
      </c>
      <c r="O74" s="81">
        <f>IFERROR(VLOOKUP($G74,'321買'!A:E,3,0),"'沒有資料'")</f>
        <v>11</v>
      </c>
      <c r="P74" s="380">
        <f>IFERROR(VLOOKUP($G74,'321買'!$A:$G,7,0),"'沒有資料'")</f>
        <v>348</v>
      </c>
      <c r="R74" s="297">
        <f>IFERROR(RANK(VLOOKUP($G74,連買!$A:$D,4,0),連買!$D:$D,0),"'沒有資料'")</f>
        <v>1104</v>
      </c>
      <c r="S74" s="34">
        <v>0.2</v>
      </c>
      <c r="T74" s="353">
        <f t="shared" si="19"/>
        <v>1.0869565217391306E-2</v>
      </c>
      <c r="U74" s="95">
        <v>0.27</v>
      </c>
      <c r="V74" s="13">
        <f>RTD("money.excel",,"1414","Price")</f>
        <v>18.399999999999999</v>
      </c>
      <c r="W74" s="66"/>
      <c r="X74" s="15">
        <f t="shared" si="20"/>
        <v>18.399999999999999</v>
      </c>
      <c r="Y74" s="3" t="e">
        <f t="shared" si="21"/>
        <v>#DIV/0!</v>
      </c>
      <c r="AA74" s="161">
        <v>0</v>
      </c>
      <c r="AB74" s="409">
        <v>0</v>
      </c>
      <c r="AC74" s="259">
        <f t="shared" si="22"/>
        <v>0</v>
      </c>
      <c r="AD74" s="22" t="s">
        <v>723</v>
      </c>
      <c r="AG74" s="33">
        <f t="shared" si="23"/>
        <v>0</v>
      </c>
      <c r="AH74" s="43" t="s">
        <v>2950</v>
      </c>
      <c r="AI74" s="63">
        <f t="shared" si="24"/>
        <v>2.0999999999999999E-3</v>
      </c>
      <c r="AJ74" s="307">
        <f>RTD("money.excel",,$G74,"PredictVolume")</f>
        <v>462</v>
      </c>
      <c r="AK74" s="339"/>
    </row>
    <row r="75" spans="1:38">
      <c r="A75" s="416">
        <v>18.899999999999999</v>
      </c>
      <c r="B75" s="80">
        <v>-113</v>
      </c>
      <c r="C75" s="80">
        <v>-26</v>
      </c>
      <c r="D75" s="80">
        <v>-10</v>
      </c>
      <c r="E75" s="80">
        <v>-28</v>
      </c>
      <c r="F75" s="6">
        <v>-26.68</v>
      </c>
      <c r="G75" s="79">
        <v>1417</v>
      </c>
      <c r="H75" s="8" t="s">
        <v>3390</v>
      </c>
      <c r="I75" s="22" t="s">
        <v>725</v>
      </c>
      <c r="J75" s="73">
        <v>52.47</v>
      </c>
      <c r="K75" s="323">
        <v>2.82</v>
      </c>
      <c r="L75" s="73">
        <v>10.82</v>
      </c>
      <c r="N75" s="318">
        <f t="shared" si="25"/>
        <v>66.11</v>
      </c>
      <c r="O75" s="81">
        <f>IFERROR(VLOOKUP($G75,'321買'!A:E,3,0),"'沒有資料'")</f>
        <v>5</v>
      </c>
      <c r="P75" s="380">
        <f>IFERROR(VLOOKUP($G75,'321買'!$A:$G,7,0),"'沒有資料'")</f>
        <v>558</v>
      </c>
      <c r="R75" s="297">
        <f>IFERROR(RANK(VLOOKUP($G75,連買!$A:$D,4,0),連買!$D:$D,0),"'沒有資料'")</f>
        <v>1045</v>
      </c>
      <c r="S75" s="34">
        <v>0.3</v>
      </c>
      <c r="T75" s="353">
        <f t="shared" si="19"/>
        <v>2.2900763358778626E-2</v>
      </c>
      <c r="U75" s="95">
        <v>-1.86</v>
      </c>
      <c r="V75" s="36">
        <f>RTD("money.excel",,"1417","Price")</f>
        <v>13.1</v>
      </c>
      <c r="W75" s="66"/>
      <c r="X75" s="15">
        <f t="shared" si="20"/>
        <v>13.1</v>
      </c>
      <c r="Y75" s="3" t="e">
        <f t="shared" si="21"/>
        <v>#DIV/0!</v>
      </c>
      <c r="Z75" s="413" t="s">
        <v>1801</v>
      </c>
      <c r="AA75" s="161">
        <v>0</v>
      </c>
      <c r="AB75" s="409">
        <v>0</v>
      </c>
      <c r="AC75" s="259">
        <f t="shared" si="22"/>
        <v>0</v>
      </c>
      <c r="AD75" s="22" t="s">
        <v>725</v>
      </c>
      <c r="AG75" s="33">
        <f t="shared" si="23"/>
        <v>0</v>
      </c>
      <c r="AH75" s="43" t="s">
        <v>1530</v>
      </c>
      <c r="AI75" s="63">
        <f t="shared" si="24"/>
        <v>5.3439153439153444E-4</v>
      </c>
      <c r="AJ75" s="307">
        <f>RTD("money.excel",,$G75,"PredictVolume")</f>
        <v>101</v>
      </c>
      <c r="AK75" s="339"/>
    </row>
    <row r="76" spans="1:38">
      <c r="A76" s="416">
        <v>5.68</v>
      </c>
      <c r="B76" s="91">
        <v>-19</v>
      </c>
      <c r="C76" s="91">
        <v>-31</v>
      </c>
      <c r="D76" s="91">
        <v>-45</v>
      </c>
      <c r="E76" s="91">
        <v>-32</v>
      </c>
      <c r="F76" s="73">
        <v>-246.01</v>
      </c>
      <c r="G76" s="79">
        <v>1418</v>
      </c>
      <c r="H76" s="8" t="s">
        <v>3390</v>
      </c>
      <c r="I76" s="22" t="s">
        <v>726</v>
      </c>
      <c r="J76" s="73">
        <v>70.709999999999994</v>
      </c>
      <c r="K76" s="73">
        <v>0.61</v>
      </c>
      <c r="N76" s="318">
        <f t="shared" si="25"/>
        <v>71.319999999999993</v>
      </c>
      <c r="O76" s="81">
        <f>IFERROR(VLOOKUP($G76,'321買'!A:E,3,0),"'沒有資料'")</f>
        <v>0</v>
      </c>
      <c r="P76" s="380">
        <f>IFERROR(VLOOKUP($G76,'321買'!$A:$G,7,0),"'沒有資料'")</f>
        <v>911</v>
      </c>
      <c r="R76" s="297">
        <f>IFERROR(RANK(VLOOKUP($G76,連買!$A:$D,4,0),連買!$D:$D,0),"'沒有資料'")</f>
        <v>1377</v>
      </c>
      <c r="S76" s="34">
        <v>0</v>
      </c>
      <c r="T76" s="353">
        <f t="shared" si="19"/>
        <v>0</v>
      </c>
      <c r="U76" s="95">
        <v>-4.2</v>
      </c>
      <c r="V76" s="13">
        <f>RTD("money.excel",,"1418","Price")</f>
        <v>16.149999999999999</v>
      </c>
      <c r="W76" s="66"/>
      <c r="X76" s="15">
        <f t="shared" si="20"/>
        <v>16.149999999999999</v>
      </c>
      <c r="Y76" s="3" t="e">
        <f t="shared" si="21"/>
        <v>#DIV/0!</v>
      </c>
      <c r="AA76" s="161">
        <v>0</v>
      </c>
      <c r="AB76" s="409">
        <v>0</v>
      </c>
      <c r="AC76" s="259">
        <f t="shared" si="22"/>
        <v>0</v>
      </c>
      <c r="AD76" s="22" t="s">
        <v>726</v>
      </c>
      <c r="AG76" s="33">
        <f t="shared" si="23"/>
        <v>0</v>
      </c>
      <c r="AH76" s="43" t="s">
        <v>2951</v>
      </c>
      <c r="AI76" s="63">
        <f t="shared" si="24"/>
        <v>3.1690140845070422E-4</v>
      </c>
      <c r="AJ76" s="307">
        <f>RTD("money.excel",,$G76,"PredictVolume")</f>
        <v>18</v>
      </c>
      <c r="AK76" s="339"/>
    </row>
    <row r="77" spans="1:38">
      <c r="A77" s="416">
        <v>30</v>
      </c>
      <c r="B77" s="91">
        <v>-16</v>
      </c>
      <c r="C77" s="91">
        <v>81</v>
      </c>
      <c r="D77" s="91">
        <v>-17</v>
      </c>
      <c r="E77" s="91">
        <v>18</v>
      </c>
      <c r="F77" s="6">
        <v>4.6399999999999997</v>
      </c>
      <c r="G77" s="79">
        <v>1419</v>
      </c>
      <c r="H77" s="8" t="s">
        <v>3390</v>
      </c>
      <c r="I77" s="22" t="s">
        <v>727</v>
      </c>
      <c r="J77" s="73">
        <v>91.62</v>
      </c>
      <c r="K77" s="73">
        <v>2.04</v>
      </c>
      <c r="L77" s="73">
        <v>0.11</v>
      </c>
      <c r="N77" s="318">
        <f t="shared" si="25"/>
        <v>93.77000000000001</v>
      </c>
      <c r="O77" s="81">
        <f>IFERROR(VLOOKUP($G77,'321買'!A:E,3,0),"'沒有資料'")</f>
        <v>0</v>
      </c>
      <c r="P77" s="380">
        <f>IFERROR(VLOOKUP($G77,'321買'!$A:$G,7,0),"'沒有資料'")</f>
        <v>911</v>
      </c>
      <c r="R77" s="297">
        <f>IFERROR(RANK(VLOOKUP($G77,連買!$A:$D,4,0),連買!$D:$D,0),"'沒有資料'")</f>
        <v>650</v>
      </c>
      <c r="S77" s="34">
        <v>1</v>
      </c>
      <c r="T77" s="353">
        <f t="shared" si="19"/>
        <v>2.3668639053254437E-2</v>
      </c>
      <c r="U77" s="95">
        <v>1.22</v>
      </c>
      <c r="V77" s="13">
        <f>RTD("money.excel",,"1419","Price")</f>
        <v>42.25</v>
      </c>
      <c r="W77" s="66"/>
      <c r="X77" s="15">
        <f t="shared" si="20"/>
        <v>42.25</v>
      </c>
      <c r="Y77" s="3" t="e">
        <f t="shared" si="21"/>
        <v>#DIV/0!</v>
      </c>
      <c r="AA77" s="161">
        <v>0</v>
      </c>
      <c r="AB77" s="409">
        <v>0</v>
      </c>
      <c r="AC77" s="259">
        <f t="shared" si="22"/>
        <v>0</v>
      </c>
      <c r="AD77" s="22" t="s">
        <v>727</v>
      </c>
      <c r="AG77" s="33">
        <f t="shared" si="23"/>
        <v>0</v>
      </c>
      <c r="AH77" s="43" t="s">
        <v>2952</v>
      </c>
      <c r="AI77" s="63">
        <f t="shared" si="24"/>
        <v>3.0000000000000001E-5</v>
      </c>
      <c r="AJ77" s="307">
        <f>RTD("money.excel",,$G77,"PredictVolume")</f>
        <v>9</v>
      </c>
      <c r="AK77" s="339"/>
      <c r="AL77" s="303"/>
    </row>
    <row r="78" spans="1:38">
      <c r="A78" s="416">
        <v>13.8</v>
      </c>
      <c r="B78" s="91">
        <v>-300</v>
      </c>
      <c r="C78" s="91">
        <v>-153</v>
      </c>
      <c r="D78" s="91">
        <v>44</v>
      </c>
      <c r="E78" s="91">
        <v>44</v>
      </c>
      <c r="F78" s="6">
        <v>-99.87</v>
      </c>
      <c r="G78" s="79">
        <v>1423</v>
      </c>
      <c r="H78" s="8" t="s">
        <v>3390</v>
      </c>
      <c r="I78" s="22" t="s">
        <v>728</v>
      </c>
      <c r="J78" s="73">
        <v>68.91</v>
      </c>
      <c r="K78" s="73">
        <v>1.86</v>
      </c>
      <c r="L78" s="73">
        <v>17.5</v>
      </c>
      <c r="N78" s="318">
        <f t="shared" si="25"/>
        <v>88.27</v>
      </c>
      <c r="O78" s="81">
        <f>IFERROR(VLOOKUP($G78,'321買'!A:E,3,0),"'沒有資料'")</f>
        <v>0</v>
      </c>
      <c r="P78" s="380">
        <f>IFERROR(VLOOKUP($G78,'321買'!$A:$G,7,0),"'沒有資料'")</f>
        <v>911</v>
      </c>
      <c r="R78" s="297">
        <f>IFERROR(RANK(VLOOKUP($G78,連買!$A:$D,4,0),連買!$D:$D,0),"'沒有資料'")</f>
        <v>981</v>
      </c>
      <c r="S78" s="34">
        <v>1.8</v>
      </c>
      <c r="T78" s="353">
        <f t="shared" si="19"/>
        <v>9.0909090909090912E-2</v>
      </c>
      <c r="U78" s="95">
        <v>2.56</v>
      </c>
      <c r="V78" s="13">
        <f>RTD("money.excel",,"1423","Price")</f>
        <v>19.8</v>
      </c>
      <c r="W78" s="66"/>
      <c r="X78" s="15">
        <f t="shared" si="20"/>
        <v>19.8</v>
      </c>
      <c r="Y78" s="3" t="e">
        <f t="shared" si="21"/>
        <v>#DIV/0!</v>
      </c>
      <c r="AA78" s="161">
        <v>0</v>
      </c>
      <c r="AB78" s="409">
        <v>0</v>
      </c>
      <c r="AC78" s="259">
        <f t="shared" si="22"/>
        <v>0</v>
      </c>
      <c r="AD78" s="22" t="s">
        <v>728</v>
      </c>
      <c r="AG78" s="33">
        <f t="shared" si="23"/>
        <v>0</v>
      </c>
      <c r="AH78" s="43" t="s">
        <v>1531</v>
      </c>
      <c r="AI78" s="63">
        <f t="shared" si="24"/>
        <v>3.9130434782608698E-4</v>
      </c>
      <c r="AJ78" s="307">
        <f>RTD("money.excel",,$G78,"PredictVolume")</f>
        <v>54</v>
      </c>
      <c r="AK78" s="339"/>
    </row>
    <row r="79" spans="1:38">
      <c r="A79" s="416">
        <v>168</v>
      </c>
      <c r="B79" s="80">
        <v>-52</v>
      </c>
      <c r="C79" s="80">
        <v>-83</v>
      </c>
      <c r="D79" s="79">
        <v>1</v>
      </c>
      <c r="E79" s="80">
        <v>-15</v>
      </c>
      <c r="F79" s="6">
        <v>1.59</v>
      </c>
      <c r="G79" s="79">
        <v>1434</v>
      </c>
      <c r="H79" s="8" t="s">
        <v>3390</v>
      </c>
      <c r="I79" s="22" t="s">
        <v>256</v>
      </c>
      <c r="J79" s="323">
        <v>79.150000000000006</v>
      </c>
      <c r="K79" s="323">
        <v>18.22</v>
      </c>
      <c r="L79" s="323">
        <v>0.5</v>
      </c>
      <c r="N79" s="318">
        <f t="shared" si="25"/>
        <v>97.87</v>
      </c>
      <c r="O79" s="81">
        <f>IFERROR(VLOOKUP($G79,'321買'!A:E,3,0),"'沒有資料'")</f>
        <v>2</v>
      </c>
      <c r="P79" s="380">
        <f>IFERROR(VLOOKUP($G79,'321買'!$A:$G,7,0),"'沒有資料'")</f>
        <v>706</v>
      </c>
      <c r="R79" s="297">
        <f>IFERROR(RANK(VLOOKUP($G79,連買!$A:$D,4,0),連買!$D:$D,0),"'沒有資料'")</f>
        <v>1584</v>
      </c>
      <c r="S79" s="34">
        <v>1</v>
      </c>
      <c r="T79" s="353">
        <f t="shared" si="19"/>
        <v>3.5971223021582732E-2</v>
      </c>
      <c r="U79" s="95">
        <v>1.25</v>
      </c>
      <c r="V79" s="36">
        <f>RTD("money.excel",,"1434","Price")</f>
        <v>27.8</v>
      </c>
      <c r="W79" s="66"/>
      <c r="X79" s="15">
        <f t="shared" si="20"/>
        <v>27.8</v>
      </c>
      <c r="Y79" s="3" t="e">
        <f t="shared" si="21"/>
        <v>#DIV/0!</v>
      </c>
      <c r="Z79" s="413" t="s">
        <v>1801</v>
      </c>
      <c r="AA79" s="161">
        <v>0</v>
      </c>
      <c r="AB79" s="409">
        <v>0</v>
      </c>
      <c r="AC79" s="259">
        <f t="shared" si="22"/>
        <v>0</v>
      </c>
      <c r="AD79" s="22" t="s">
        <v>256</v>
      </c>
      <c r="AG79" s="33">
        <f t="shared" si="23"/>
        <v>0</v>
      </c>
      <c r="AH79" s="120" t="s">
        <v>2953</v>
      </c>
      <c r="AI79" s="63">
        <f t="shared" si="24"/>
        <v>9.0892857142857138E-4</v>
      </c>
      <c r="AJ79" s="307">
        <f>RTD("money.excel",,$G79,"PredictVolume")</f>
        <v>1527</v>
      </c>
      <c r="AK79" s="339"/>
    </row>
    <row r="80" spans="1:38">
      <c r="A80" s="416">
        <v>9.1999999999999993</v>
      </c>
      <c r="B80" s="93">
        <v>1497</v>
      </c>
      <c r="C80" s="79">
        <v>28</v>
      </c>
      <c r="D80" s="80">
        <v>-88</v>
      </c>
      <c r="E80" s="80">
        <v>-81</v>
      </c>
      <c r="F80" s="6">
        <v>-28.69</v>
      </c>
      <c r="G80" s="79">
        <v>1439</v>
      </c>
      <c r="H80" s="8" t="s">
        <v>3390</v>
      </c>
      <c r="I80" s="22" t="s">
        <v>729</v>
      </c>
      <c r="J80" s="323">
        <v>66.17</v>
      </c>
      <c r="K80" s="323">
        <v>1.49</v>
      </c>
      <c r="L80" s="323">
        <v>13.24</v>
      </c>
      <c r="N80" s="318">
        <f t="shared" si="25"/>
        <v>80.899999999999991</v>
      </c>
      <c r="O80" s="81">
        <f>IFERROR(VLOOKUP($G80,'321買'!A:E,3,0),"'沒有資料'")</f>
        <v>0</v>
      </c>
      <c r="P80" s="380">
        <f>IFERROR(VLOOKUP($G80,'321買'!$A:$G,7,0),"'沒有資料'")</f>
        <v>911</v>
      </c>
      <c r="R80" s="297">
        <f>IFERROR(RANK(VLOOKUP($G80,連買!$A:$D,4,0),連買!$D:$D,0),"'沒有資料'")</f>
        <v>1060</v>
      </c>
      <c r="S80" s="34">
        <v>0</v>
      </c>
      <c r="T80" s="353">
        <f t="shared" si="19"/>
        <v>0</v>
      </c>
      <c r="U80" s="95">
        <v>-2.65</v>
      </c>
      <c r="V80" s="36">
        <f>RTD("money.excel",,"1439","Price")</f>
        <v>23.85</v>
      </c>
      <c r="W80" s="66"/>
      <c r="X80" s="15">
        <f t="shared" si="20"/>
        <v>23.85</v>
      </c>
      <c r="Y80" s="3" t="e">
        <f t="shared" si="21"/>
        <v>#DIV/0!</v>
      </c>
      <c r="AA80" s="161">
        <v>0</v>
      </c>
      <c r="AB80" s="409">
        <v>0</v>
      </c>
      <c r="AC80" s="259">
        <f t="shared" si="22"/>
        <v>0</v>
      </c>
      <c r="AD80" s="22" t="s">
        <v>729</v>
      </c>
      <c r="AG80" s="33">
        <f t="shared" si="23"/>
        <v>0</v>
      </c>
      <c r="AH80" s="43" t="s">
        <v>1531</v>
      </c>
      <c r="AI80" s="63">
        <f t="shared" si="24"/>
        <v>6.9565217391304353E-4</v>
      </c>
      <c r="AJ80" s="307">
        <f>RTD("money.excel",,$G80,"PredictVolume")</f>
        <v>64</v>
      </c>
      <c r="AK80" s="339"/>
    </row>
    <row r="81" spans="1:38">
      <c r="A81" s="416">
        <v>165</v>
      </c>
      <c r="B81" s="93">
        <v>5603</v>
      </c>
      <c r="C81" s="79">
        <v>397</v>
      </c>
      <c r="D81" s="80">
        <v>-17</v>
      </c>
      <c r="E81" s="79">
        <v>14</v>
      </c>
      <c r="F81" s="6">
        <v>8.9700000000000006</v>
      </c>
      <c r="G81" s="79">
        <v>1440</v>
      </c>
      <c r="H81" s="8" t="s">
        <v>3390</v>
      </c>
      <c r="I81" s="22" t="s">
        <v>730</v>
      </c>
      <c r="J81" s="73">
        <v>73.22</v>
      </c>
      <c r="K81" s="323">
        <v>9.23</v>
      </c>
      <c r="L81" s="323">
        <v>4.78</v>
      </c>
      <c r="N81" s="318">
        <f t="shared" si="25"/>
        <v>87.23</v>
      </c>
      <c r="O81" s="81">
        <f>IFERROR(VLOOKUP($G81,'321買'!A:E,3,0),"'沒有資料'")</f>
        <v>10</v>
      </c>
      <c r="P81" s="380">
        <f>IFERROR(VLOOKUP($G81,'321買'!$A:$G,7,0),"'沒有資料'")</f>
        <v>408</v>
      </c>
      <c r="R81" s="297">
        <f>IFERROR(RANK(VLOOKUP($G81,連買!$A:$D,4,0),連買!$D:$D,0),"'沒有資料'")</f>
        <v>732</v>
      </c>
      <c r="S81" s="34">
        <v>0.35</v>
      </c>
      <c r="T81" s="353">
        <f t="shared" si="19"/>
        <v>1.515151515151515E-2</v>
      </c>
      <c r="U81" s="57">
        <v>1.9</v>
      </c>
      <c r="V81" s="36">
        <f>RTD("money.excel",,"1440","Price")</f>
        <v>23.1</v>
      </c>
      <c r="W81" s="66"/>
      <c r="X81" s="15">
        <f t="shared" si="20"/>
        <v>23.1</v>
      </c>
      <c r="Y81" s="3" t="e">
        <f t="shared" si="21"/>
        <v>#DIV/0!</v>
      </c>
      <c r="Z81" s="413" t="s">
        <v>1801</v>
      </c>
      <c r="AA81" s="161">
        <v>0</v>
      </c>
      <c r="AB81" s="409">
        <v>0</v>
      </c>
      <c r="AC81" s="259">
        <f t="shared" si="22"/>
        <v>0</v>
      </c>
      <c r="AD81" s="22" t="s">
        <v>730</v>
      </c>
      <c r="AG81" s="33">
        <f t="shared" si="23"/>
        <v>0</v>
      </c>
      <c r="AH81" s="43" t="s">
        <v>2948</v>
      </c>
      <c r="AI81" s="63">
        <f t="shared" si="24"/>
        <v>1.2581818181818182E-3</v>
      </c>
      <c r="AJ81" s="307">
        <f>RTD("money.excel",,$G81,"PredictVolume")</f>
        <v>2076</v>
      </c>
      <c r="AK81" s="339"/>
    </row>
    <row r="82" spans="1:38">
      <c r="A82" s="416">
        <v>10</v>
      </c>
      <c r="B82" s="80">
        <v>-123</v>
      </c>
      <c r="C82" s="80">
        <v>-43</v>
      </c>
      <c r="D82" s="79">
        <v>28</v>
      </c>
      <c r="E82" s="80">
        <v>-11</v>
      </c>
      <c r="F82" s="6">
        <v>-21.01</v>
      </c>
      <c r="G82" s="79">
        <v>1441</v>
      </c>
      <c r="H82" s="8" t="s">
        <v>3390</v>
      </c>
      <c r="I82" s="22" t="s">
        <v>731</v>
      </c>
      <c r="J82" s="73">
        <v>67.290000000000006</v>
      </c>
      <c r="K82" s="73">
        <v>1.44</v>
      </c>
      <c r="L82" s="323">
        <v>11.63</v>
      </c>
      <c r="N82" s="318">
        <f t="shared" si="25"/>
        <v>80.36</v>
      </c>
      <c r="O82" s="81">
        <f>IFERROR(VLOOKUP($G82,'321買'!A:E,3,0),"'沒有資料'")</f>
        <v>0</v>
      </c>
      <c r="P82" s="380">
        <f>IFERROR(VLOOKUP($G82,'321買'!$A:$G,7,0),"'沒有資料'")</f>
        <v>911</v>
      </c>
      <c r="R82" s="297">
        <f>IFERROR(RANK(VLOOKUP($G82,連買!$A:$D,4,0),連買!$D:$D,0),"'沒有資料'")</f>
        <v>1317</v>
      </c>
      <c r="S82" s="34">
        <v>0</v>
      </c>
      <c r="T82" s="353">
        <f t="shared" si="19"/>
        <v>0</v>
      </c>
      <c r="U82" s="95">
        <v>-2.46</v>
      </c>
      <c r="V82" s="36">
        <f>RTD("money.excel",,"1441","Price")</f>
        <v>8.68</v>
      </c>
      <c r="W82" s="66"/>
      <c r="X82" s="15">
        <f t="shared" si="20"/>
        <v>8.68</v>
      </c>
      <c r="Y82" s="3" t="e">
        <f t="shared" si="21"/>
        <v>#DIV/0!</v>
      </c>
      <c r="Z82" s="413" t="s">
        <v>1801</v>
      </c>
      <c r="AA82" s="161">
        <v>0</v>
      </c>
      <c r="AB82" s="409">
        <v>0</v>
      </c>
      <c r="AC82" s="259">
        <f t="shared" si="22"/>
        <v>0</v>
      </c>
      <c r="AD82" s="22" t="s">
        <v>731</v>
      </c>
      <c r="AG82" s="33">
        <f t="shared" si="23"/>
        <v>0</v>
      </c>
      <c r="AH82" s="43" t="s">
        <v>1532</v>
      </c>
      <c r="AI82" s="63">
        <f t="shared" si="24"/>
        <v>6.0999999999999997E-4</v>
      </c>
      <c r="AJ82" s="307">
        <f>RTD("money.excel",,$G82,"PredictVolume")</f>
        <v>61</v>
      </c>
      <c r="AK82" s="339"/>
    </row>
    <row r="83" spans="1:38">
      <c r="A83" s="415">
        <v>13.5</v>
      </c>
      <c r="B83" s="91">
        <v>-156</v>
      </c>
      <c r="C83" s="91">
        <v>-28</v>
      </c>
      <c r="D83" s="91">
        <v>15</v>
      </c>
      <c r="E83" s="91">
        <v>26</v>
      </c>
      <c r="F83" s="57">
        <v>13.5</v>
      </c>
      <c r="G83" s="79">
        <v>1443</v>
      </c>
      <c r="H83" s="8" t="s">
        <v>3390</v>
      </c>
      <c r="I83" s="22" t="s">
        <v>732</v>
      </c>
      <c r="J83" s="73">
        <v>77.95</v>
      </c>
      <c r="K83" s="73">
        <v>7.0000000000000007E-2</v>
      </c>
      <c r="N83" s="318">
        <f t="shared" si="25"/>
        <v>78.02</v>
      </c>
      <c r="O83" s="81">
        <f>IFERROR(VLOOKUP($G83,'321買'!A:E,3,0),"'沒有資料'")</f>
        <v>0</v>
      </c>
      <c r="P83" s="380">
        <f>IFERROR(VLOOKUP($G83,'321買'!$A:$G,7,0),"'沒有資料'")</f>
        <v>911</v>
      </c>
      <c r="R83" s="297">
        <f>IFERROR(RANK(VLOOKUP($G83,連買!$A:$D,4,0),連買!$D:$D,0),"'沒有資料'")</f>
        <v>1401</v>
      </c>
      <c r="S83" s="34">
        <v>0</v>
      </c>
      <c r="T83" s="353">
        <f t="shared" si="19"/>
        <v>0</v>
      </c>
      <c r="U83" s="95">
        <v>-0.28999999999999998</v>
      </c>
      <c r="V83" s="13">
        <f>RTD("money.excel",,"1443","Price")</f>
        <v>15.95</v>
      </c>
      <c r="W83" s="66"/>
      <c r="X83" s="15">
        <f t="shared" si="20"/>
        <v>15.95</v>
      </c>
      <c r="Y83" s="3" t="e">
        <f t="shared" si="21"/>
        <v>#DIV/0!</v>
      </c>
      <c r="AA83" s="161">
        <v>0</v>
      </c>
      <c r="AB83" s="409">
        <v>0</v>
      </c>
      <c r="AC83" s="259">
        <f t="shared" si="22"/>
        <v>0</v>
      </c>
      <c r="AD83" s="22" t="s">
        <v>732</v>
      </c>
      <c r="AG83" s="33">
        <f t="shared" si="23"/>
        <v>0</v>
      </c>
      <c r="AH83" s="43" t="s">
        <v>2954</v>
      </c>
      <c r="AI83" s="63">
        <f t="shared" si="24"/>
        <v>1.8518518518518518E-4</v>
      </c>
      <c r="AJ83" s="307">
        <f>RTD("money.excel",,$G83,"PredictVolume")</f>
        <v>25</v>
      </c>
      <c r="AK83" s="339"/>
      <c r="AL83" s="303"/>
    </row>
    <row r="84" spans="1:38">
      <c r="A84" s="416">
        <v>95.7</v>
      </c>
      <c r="B84" s="80">
        <v>-369</v>
      </c>
      <c r="C84" s="80">
        <v>-183</v>
      </c>
      <c r="D84" s="79">
        <v>27</v>
      </c>
      <c r="E84" s="80">
        <v>-33</v>
      </c>
      <c r="F84" s="6">
        <v>-2.48</v>
      </c>
      <c r="G84" s="79">
        <v>1444</v>
      </c>
      <c r="H84" s="8" t="s">
        <v>3390</v>
      </c>
      <c r="I84" s="22" t="s">
        <v>3889</v>
      </c>
      <c r="J84" s="323">
        <v>65.83</v>
      </c>
      <c r="K84" s="323">
        <v>7.79</v>
      </c>
      <c r="L84" s="323">
        <v>5.16</v>
      </c>
      <c r="N84" s="318">
        <f t="shared" si="25"/>
        <v>78.78</v>
      </c>
      <c r="O84" s="81">
        <f>IFERROR(VLOOKUP($G84,'321買'!A:E,3,0),"'沒有資料'")</f>
        <v>3</v>
      </c>
      <c r="P84" s="380">
        <f>IFERROR(VLOOKUP($G84,'321買'!$A:$G,7,0),"'沒有資料'")</f>
        <v>636</v>
      </c>
      <c r="R84" s="297">
        <f>IFERROR(RANK(VLOOKUP($G84,連買!$A:$D,4,0),連買!$D:$D,0),"'沒有資料'")</f>
        <v>1118</v>
      </c>
      <c r="S84" s="34">
        <v>0</v>
      </c>
      <c r="T84" s="353">
        <f t="shared" si="19"/>
        <v>0</v>
      </c>
      <c r="U84" s="95">
        <v>-0.38</v>
      </c>
      <c r="V84" s="36">
        <f>RTD("money.excel",,"1444","Price")</f>
        <v>11.25</v>
      </c>
      <c r="W84" s="66"/>
      <c r="X84" s="15">
        <f t="shared" si="20"/>
        <v>11.25</v>
      </c>
      <c r="Y84" s="3" t="e">
        <f t="shared" si="21"/>
        <v>#DIV/0!</v>
      </c>
      <c r="Z84" s="413" t="s">
        <v>1801</v>
      </c>
      <c r="AA84" s="161">
        <v>0</v>
      </c>
      <c r="AB84" s="409">
        <v>0</v>
      </c>
      <c r="AC84" s="259">
        <f t="shared" si="22"/>
        <v>0</v>
      </c>
      <c r="AD84" s="22" t="s">
        <v>3889</v>
      </c>
      <c r="AG84" s="33">
        <f t="shared" si="23"/>
        <v>0</v>
      </c>
      <c r="AH84" s="122" t="s">
        <v>1533</v>
      </c>
      <c r="AI84" s="63">
        <f t="shared" si="24"/>
        <v>2.0950888192267504E-3</v>
      </c>
      <c r="AJ84" s="307">
        <f>RTD("money.excel",,$G84,"PredictVolume")</f>
        <v>2005</v>
      </c>
      <c r="AK84" s="339"/>
    </row>
    <row r="85" spans="1:38">
      <c r="A85" s="416">
        <v>13</v>
      </c>
      <c r="B85" s="80">
        <v>-43</v>
      </c>
      <c r="C85" s="80">
        <v>-102</v>
      </c>
      <c r="D85" s="79">
        <v>11</v>
      </c>
      <c r="E85" s="80">
        <v>-1</v>
      </c>
      <c r="F85" s="6">
        <v>-13.28</v>
      </c>
      <c r="G85" s="79">
        <v>1445</v>
      </c>
      <c r="H85" s="8" t="s">
        <v>3390</v>
      </c>
      <c r="I85" s="22" t="s">
        <v>733</v>
      </c>
      <c r="J85" s="323">
        <v>60.33</v>
      </c>
      <c r="K85" s="73">
        <v>1.91</v>
      </c>
      <c r="L85" s="73">
        <v>10.92</v>
      </c>
      <c r="N85" s="318">
        <f t="shared" si="25"/>
        <v>73.16</v>
      </c>
      <c r="O85" s="81">
        <f>IFERROR(VLOOKUP($G85,'321買'!A:E,3,0),"'沒有資料'")</f>
        <v>0</v>
      </c>
      <c r="P85" s="380">
        <f>IFERROR(VLOOKUP($G85,'321買'!$A:$G,7,0),"'沒有資料'")</f>
        <v>911</v>
      </c>
      <c r="R85" s="297">
        <f>IFERROR(RANK(VLOOKUP($G85,連買!$A:$D,4,0),連買!$D:$D,0),"'沒有資料'")</f>
        <v>1061</v>
      </c>
      <c r="S85" s="34">
        <v>0.2</v>
      </c>
      <c r="T85" s="353">
        <f t="shared" si="19"/>
        <v>1.3071895424836602E-2</v>
      </c>
      <c r="U85" s="57">
        <v>-0.44</v>
      </c>
      <c r="V85" s="36">
        <f>RTD("money.excel",,"1445","Price")</f>
        <v>15.3</v>
      </c>
      <c r="W85" s="66"/>
      <c r="X85" s="15">
        <f t="shared" si="20"/>
        <v>15.3</v>
      </c>
      <c r="Y85" s="3" t="e">
        <f t="shared" si="21"/>
        <v>#DIV/0!</v>
      </c>
      <c r="AA85" s="161">
        <v>0</v>
      </c>
      <c r="AB85" s="409">
        <v>0</v>
      </c>
      <c r="AC85" s="259">
        <f t="shared" si="22"/>
        <v>0</v>
      </c>
      <c r="AD85" s="22" t="s">
        <v>733</v>
      </c>
      <c r="AG85" s="33">
        <f t="shared" si="23"/>
        <v>0</v>
      </c>
      <c r="AH85" s="43" t="s">
        <v>2955</v>
      </c>
      <c r="AI85" s="63">
        <f t="shared" si="24"/>
        <v>3.3076923076923078E-4</v>
      </c>
      <c r="AJ85" s="307">
        <f>RTD("money.excel",,$G85,"PredictVolume")</f>
        <v>43</v>
      </c>
      <c r="AK85" s="339"/>
    </row>
    <row r="86" spans="1:38">
      <c r="A86" s="416">
        <v>13.7</v>
      </c>
      <c r="B86" s="91">
        <v>37</v>
      </c>
      <c r="C86" s="91">
        <v>48</v>
      </c>
      <c r="D86" s="91">
        <v>-1</v>
      </c>
      <c r="E86" s="91">
        <v>-14</v>
      </c>
      <c r="F86" s="6">
        <v>-4.4800000000000004</v>
      </c>
      <c r="G86" s="79">
        <v>1446</v>
      </c>
      <c r="H86" s="8" t="s">
        <v>3390</v>
      </c>
      <c r="I86" s="22" t="s">
        <v>734</v>
      </c>
      <c r="J86" s="73">
        <v>76.290000000000006</v>
      </c>
      <c r="K86" s="73">
        <v>1.25</v>
      </c>
      <c r="L86" s="73">
        <v>9.86</v>
      </c>
      <c r="N86" s="318">
        <f t="shared" si="25"/>
        <v>87.4</v>
      </c>
      <c r="O86" s="81">
        <f>IFERROR(VLOOKUP($G86,'321買'!A:E,3,0),"'沒有資料'")</f>
        <v>0</v>
      </c>
      <c r="P86" s="380">
        <f>IFERROR(VLOOKUP($G86,'321買'!$A:$G,7,0),"'沒有資料'")</f>
        <v>911</v>
      </c>
      <c r="R86" s="297">
        <f>IFERROR(RANK(VLOOKUP($G86,連買!$A:$D,4,0),連買!$D:$D,0),"'沒有資料'")</f>
        <v>1057</v>
      </c>
      <c r="S86" s="34">
        <v>0.3</v>
      </c>
      <c r="T86" s="353">
        <f t="shared" si="19"/>
        <v>9.2879256965944269E-3</v>
      </c>
      <c r="U86" s="95">
        <v>-0.05</v>
      </c>
      <c r="V86" s="13">
        <f>RTD("money.excel",,"1446","Price")</f>
        <v>32.299999999999997</v>
      </c>
      <c r="W86" s="66"/>
      <c r="X86" s="15">
        <f t="shared" si="20"/>
        <v>32.299999999999997</v>
      </c>
      <c r="Y86" s="3" t="e">
        <f t="shared" si="21"/>
        <v>#DIV/0!</v>
      </c>
      <c r="AA86" s="161">
        <v>0</v>
      </c>
      <c r="AB86" s="409">
        <v>0</v>
      </c>
      <c r="AC86" s="259">
        <f t="shared" si="22"/>
        <v>0</v>
      </c>
      <c r="AD86" s="22" t="s">
        <v>734</v>
      </c>
      <c r="AG86" s="33">
        <f t="shared" si="23"/>
        <v>0</v>
      </c>
      <c r="AH86" s="43" t="s">
        <v>2956</v>
      </c>
      <c r="AI86" s="63">
        <f t="shared" si="24"/>
        <v>3.7226277372262774E-4</v>
      </c>
      <c r="AJ86" s="307">
        <f>RTD("money.excel",,$G86,"PredictVolume")</f>
        <v>51</v>
      </c>
      <c r="AK86" s="339"/>
    </row>
    <row r="87" spans="1:38">
      <c r="A87" s="416">
        <v>91.4</v>
      </c>
      <c r="B87" s="80">
        <v>-369</v>
      </c>
      <c r="C87" s="80">
        <v>-247</v>
      </c>
      <c r="D87" s="80">
        <v>-7</v>
      </c>
      <c r="E87" s="79">
        <v>80</v>
      </c>
      <c r="F87" s="6">
        <v>-5.3</v>
      </c>
      <c r="G87" s="79">
        <v>1447</v>
      </c>
      <c r="H87" s="8" t="s">
        <v>3390</v>
      </c>
      <c r="I87" s="22" t="s">
        <v>735</v>
      </c>
      <c r="J87" s="73">
        <v>68.459999999999994</v>
      </c>
      <c r="K87" s="73">
        <v>7.71</v>
      </c>
      <c r="L87" s="73">
        <v>9.7899999999999991</v>
      </c>
      <c r="N87" s="318">
        <f t="shared" si="25"/>
        <v>85.95999999999998</v>
      </c>
      <c r="O87" s="81">
        <f>IFERROR(VLOOKUP($G87,'321買'!A:E,3,0),"'沒有資料'")</f>
        <v>5</v>
      </c>
      <c r="P87" s="380">
        <f>IFERROR(VLOOKUP($G87,'321買'!$A:$G,7,0),"'沒有資料'")</f>
        <v>521</v>
      </c>
      <c r="R87" s="297">
        <f>IFERROR(RANK(VLOOKUP($G87,連買!$A:$D,4,0),連買!$D:$D,0),"'沒有資料'")</f>
        <v>1255</v>
      </c>
      <c r="S87" s="34">
        <v>0</v>
      </c>
      <c r="T87" s="353">
        <f t="shared" si="19"/>
        <v>0</v>
      </c>
      <c r="U87" s="95">
        <v>-0.48</v>
      </c>
      <c r="V87" s="36">
        <f>RTD("money.excel",,"1447","Price")</f>
        <v>9.1300000000000008</v>
      </c>
      <c r="W87" s="66"/>
      <c r="X87" s="15">
        <f t="shared" si="20"/>
        <v>9.1300000000000008</v>
      </c>
      <c r="Y87" s="3" t="e">
        <f t="shared" si="21"/>
        <v>#DIV/0!</v>
      </c>
      <c r="Z87" s="413" t="s">
        <v>1801</v>
      </c>
      <c r="AA87" s="161">
        <v>0</v>
      </c>
      <c r="AB87" s="409">
        <v>0</v>
      </c>
      <c r="AC87" s="259">
        <f t="shared" si="22"/>
        <v>0</v>
      </c>
      <c r="AD87" s="22" t="s">
        <v>735</v>
      </c>
      <c r="AG87" s="33">
        <f t="shared" si="23"/>
        <v>0</v>
      </c>
      <c r="AH87" s="43" t="s">
        <v>5091</v>
      </c>
      <c r="AI87" s="63">
        <f t="shared" si="24"/>
        <v>8.8074398249452955E-4</v>
      </c>
      <c r="AJ87" s="307">
        <f>RTD("money.excel",,$G87,"PredictVolume")</f>
        <v>805</v>
      </c>
      <c r="AK87" s="339"/>
    </row>
    <row r="88" spans="1:38">
      <c r="A88" s="416">
        <v>8.35</v>
      </c>
      <c r="B88" s="79">
        <v>73</v>
      </c>
      <c r="C88" s="79">
        <v>61</v>
      </c>
      <c r="D88" s="79">
        <v>34</v>
      </c>
      <c r="E88" s="80">
        <v>-9</v>
      </c>
      <c r="F88" s="6">
        <v>-4.38</v>
      </c>
      <c r="G88" s="79">
        <v>1449</v>
      </c>
      <c r="H88" s="8" t="s">
        <v>3390</v>
      </c>
      <c r="I88" s="22" t="s">
        <v>736</v>
      </c>
      <c r="J88" s="73">
        <v>74.260000000000005</v>
      </c>
      <c r="K88" s="323">
        <v>10.32</v>
      </c>
      <c r="N88" s="318">
        <f t="shared" si="25"/>
        <v>84.580000000000013</v>
      </c>
      <c r="O88" s="81">
        <f>IFERROR(VLOOKUP($G88,'321買'!A:E,3,0),"'沒有資料'")</f>
        <v>0</v>
      </c>
      <c r="P88" s="380">
        <f>IFERROR(VLOOKUP($G88,'321買'!$A:$G,7,0),"'沒有資料'")</f>
        <v>911</v>
      </c>
      <c r="R88" s="297">
        <f>IFERROR(RANK(VLOOKUP($G88,連買!$A:$D,4,0),連買!$D:$D,0),"'沒有資料'")</f>
        <v>1140</v>
      </c>
      <c r="S88" s="34">
        <v>0</v>
      </c>
      <c r="T88" s="353">
        <f t="shared" si="19"/>
        <v>0</v>
      </c>
      <c r="U88" s="95">
        <v>-0.95</v>
      </c>
      <c r="V88" s="36">
        <f>RTD("money.excel",,"1449","Price")</f>
        <v>14.1</v>
      </c>
      <c r="W88" s="66"/>
      <c r="X88" s="15">
        <f t="shared" si="20"/>
        <v>14.1</v>
      </c>
      <c r="Y88" s="3" t="e">
        <f t="shared" si="21"/>
        <v>#DIV/0!</v>
      </c>
      <c r="AA88" s="161">
        <v>0</v>
      </c>
      <c r="AB88" s="409">
        <v>0</v>
      </c>
      <c r="AC88" s="259">
        <f t="shared" si="22"/>
        <v>0</v>
      </c>
      <c r="AD88" s="22" t="s">
        <v>736</v>
      </c>
      <c r="AG88" s="33">
        <f t="shared" si="23"/>
        <v>0</v>
      </c>
      <c r="AH88" s="43" t="s">
        <v>1967</v>
      </c>
      <c r="AI88" s="63">
        <f t="shared" si="24"/>
        <v>2.9940119760479042E-4</v>
      </c>
      <c r="AJ88" s="307">
        <f>RTD("money.excel",,$G88,"PredictVolume")</f>
        <v>25</v>
      </c>
      <c r="AK88" s="339"/>
    </row>
    <row r="89" spans="1:38">
      <c r="A89" s="416">
        <v>19.8</v>
      </c>
      <c r="B89" s="94">
        <v>-2381</v>
      </c>
      <c r="C89" s="80">
        <v>-380</v>
      </c>
      <c r="D89" s="80">
        <v>-5</v>
      </c>
      <c r="E89" s="80">
        <v>-6</v>
      </c>
      <c r="F89" s="6">
        <v>-6.91</v>
      </c>
      <c r="G89" s="79">
        <v>1451</v>
      </c>
      <c r="H89" s="8" t="s">
        <v>3390</v>
      </c>
      <c r="I89" s="22" t="s">
        <v>737</v>
      </c>
      <c r="J89" s="73">
        <v>60.04</v>
      </c>
      <c r="K89" s="73">
        <v>10.37</v>
      </c>
      <c r="L89" s="73">
        <v>0.72</v>
      </c>
      <c r="N89" s="318">
        <f t="shared" si="25"/>
        <v>71.13</v>
      </c>
      <c r="O89" s="81">
        <f>IFERROR(VLOOKUP($G89,'321買'!A:E,3,0),"'沒有資料'")</f>
        <v>0</v>
      </c>
      <c r="P89" s="380">
        <f>IFERROR(VLOOKUP($G89,'321買'!$A:$G,7,0),"'沒有資料'")</f>
        <v>911</v>
      </c>
      <c r="R89" s="297">
        <f>IFERROR(RANK(VLOOKUP($G89,連買!$A:$D,4,0),連買!$D:$D,0),"'沒有資料'")</f>
        <v>957</v>
      </c>
      <c r="S89" s="34">
        <v>0.6</v>
      </c>
      <c r="T89" s="353">
        <f t="shared" si="19"/>
        <v>2.9776674937965261E-2</v>
      </c>
      <c r="U89" s="95">
        <v>-2.14</v>
      </c>
      <c r="V89" s="36">
        <f>RTD("money.excel",,"1451","Price")</f>
        <v>20.149999999999999</v>
      </c>
      <c r="W89" s="66"/>
      <c r="X89" s="15">
        <f t="shared" si="20"/>
        <v>20.149999999999999</v>
      </c>
      <c r="Y89" s="3" t="e">
        <f t="shared" si="21"/>
        <v>#DIV/0!</v>
      </c>
      <c r="AA89" s="161">
        <v>0</v>
      </c>
      <c r="AB89" s="409">
        <v>0</v>
      </c>
      <c r="AC89" s="259">
        <f t="shared" si="22"/>
        <v>0</v>
      </c>
      <c r="AD89" s="22" t="s">
        <v>737</v>
      </c>
      <c r="AG89" s="33">
        <f t="shared" si="23"/>
        <v>0</v>
      </c>
      <c r="AH89" s="43" t="s">
        <v>2161</v>
      </c>
      <c r="AI89" s="63">
        <f t="shared" si="24"/>
        <v>2.5252525252525253E-4</v>
      </c>
      <c r="AJ89" s="307">
        <f>RTD("money.excel",,$G89,"PredictVolume")</f>
        <v>50</v>
      </c>
      <c r="AK89" s="339"/>
    </row>
    <row r="90" spans="1:38">
      <c r="A90" s="416">
        <v>13.2</v>
      </c>
      <c r="B90" s="80">
        <v>-117</v>
      </c>
      <c r="C90" s="80">
        <v>-108</v>
      </c>
      <c r="D90" s="79">
        <v>6</v>
      </c>
      <c r="E90" s="80">
        <v>-1</v>
      </c>
      <c r="F90" s="6">
        <v>-1.79</v>
      </c>
      <c r="G90" s="79">
        <v>1452</v>
      </c>
      <c r="H90" s="8" t="s">
        <v>3390</v>
      </c>
      <c r="I90" s="22" t="s">
        <v>738</v>
      </c>
      <c r="J90" s="323">
        <v>25.6</v>
      </c>
      <c r="K90" s="73">
        <v>3.92</v>
      </c>
      <c r="L90" s="323">
        <v>2.0099999999999998</v>
      </c>
      <c r="N90" s="318">
        <f t="shared" si="25"/>
        <v>31.53</v>
      </c>
      <c r="O90" s="81">
        <f>IFERROR(VLOOKUP($G90,'321買'!A:E,3,0),"'沒有資料'")</f>
        <v>17</v>
      </c>
      <c r="P90" s="380">
        <f>IFERROR(VLOOKUP($G90,'321買'!$A:$G,7,0),"'沒有資料'")</f>
        <v>273</v>
      </c>
      <c r="R90" s="297">
        <f>IFERROR(RANK(VLOOKUP($G90,連買!$A:$D,4,0),連買!$D:$D,0),"'沒有資料'")</f>
        <v>763</v>
      </c>
      <c r="S90" s="34">
        <v>0.7</v>
      </c>
      <c r="T90" s="353">
        <f t="shared" si="19"/>
        <v>2.8806584362139915E-2</v>
      </c>
      <c r="U90" s="95">
        <v>0.74</v>
      </c>
      <c r="V90" s="36">
        <f>RTD("money.excel",,"1452","Price")</f>
        <v>24.3</v>
      </c>
      <c r="W90" s="66"/>
      <c r="X90" s="15">
        <f t="shared" si="20"/>
        <v>24.3</v>
      </c>
      <c r="Y90" s="3" t="e">
        <f t="shared" si="21"/>
        <v>#DIV/0!</v>
      </c>
      <c r="Z90" s="413" t="s">
        <v>1801</v>
      </c>
      <c r="AA90" s="161">
        <v>0</v>
      </c>
      <c r="AB90" s="409">
        <v>0</v>
      </c>
      <c r="AC90" s="259">
        <f t="shared" si="22"/>
        <v>0</v>
      </c>
      <c r="AD90" s="22" t="s">
        <v>738</v>
      </c>
      <c r="AG90" s="33">
        <f t="shared" si="23"/>
        <v>0</v>
      </c>
      <c r="AH90" s="43" t="s">
        <v>1533</v>
      </c>
      <c r="AI90" s="63">
        <f t="shared" si="24"/>
        <v>1.6515151515151514E-3</v>
      </c>
      <c r="AJ90" s="307">
        <f>RTD("money.excel",,$G90,"PredictVolume")</f>
        <v>218</v>
      </c>
      <c r="AK90" s="339"/>
    </row>
    <row r="91" spans="1:38">
      <c r="A91" s="415">
        <v>10</v>
      </c>
      <c r="B91" s="140">
        <v>1495</v>
      </c>
      <c r="C91" s="91">
        <v>211</v>
      </c>
      <c r="D91" s="140">
        <v>9356</v>
      </c>
      <c r="E91" s="91">
        <v>-21</v>
      </c>
      <c r="F91" s="57">
        <v>10.93</v>
      </c>
      <c r="G91" s="79">
        <v>1453</v>
      </c>
      <c r="H91" s="8" t="s">
        <v>3390</v>
      </c>
      <c r="I91" s="22" t="s">
        <v>739</v>
      </c>
      <c r="J91" s="73">
        <v>77.989999999999995</v>
      </c>
      <c r="K91" s="73">
        <v>0.08</v>
      </c>
      <c r="L91" s="73">
        <v>5.71</v>
      </c>
      <c r="N91" s="318">
        <f t="shared" si="25"/>
        <v>83.779999999999987</v>
      </c>
      <c r="O91" s="81">
        <f>IFERROR(VLOOKUP($G91,'321買'!A:E,3,0),"'沒有資料'")</f>
        <v>1</v>
      </c>
      <c r="P91" s="380">
        <f>IFERROR(VLOOKUP($G91,'321買'!$A:$G,7,0),"'沒有資料'")</f>
        <v>783</v>
      </c>
      <c r="R91" s="297">
        <f>IFERROR(RANK(VLOOKUP($G91,連買!$A:$D,4,0),連買!$D:$D,0),"'沒有資料'")</f>
        <v>1270</v>
      </c>
      <c r="S91" s="34">
        <v>0</v>
      </c>
      <c r="T91" s="353">
        <f t="shared" si="19"/>
        <v>0</v>
      </c>
      <c r="U91" s="95">
        <v>0.15</v>
      </c>
      <c r="V91" s="13">
        <f>RTD("money.excel",,"1453","Price")</f>
        <v>14.95</v>
      </c>
      <c r="W91" s="66"/>
      <c r="X91" s="15">
        <f t="shared" si="20"/>
        <v>14.95</v>
      </c>
      <c r="Y91" s="3" t="e">
        <f t="shared" si="21"/>
        <v>#DIV/0!</v>
      </c>
      <c r="AA91" s="161">
        <v>0</v>
      </c>
      <c r="AB91" s="409">
        <v>0</v>
      </c>
      <c r="AC91" s="259">
        <f t="shared" si="22"/>
        <v>0</v>
      </c>
      <c r="AD91" s="22" t="s">
        <v>739</v>
      </c>
      <c r="AG91" s="33">
        <f t="shared" si="23"/>
        <v>0</v>
      </c>
      <c r="AH91" s="43" t="s">
        <v>2957</v>
      </c>
      <c r="AI91" s="63">
        <f t="shared" si="24"/>
        <v>1.77E-2</v>
      </c>
      <c r="AJ91" s="307">
        <f>RTD("money.excel",,$G91,"PredictVolume")</f>
        <v>1770</v>
      </c>
      <c r="AK91" s="339"/>
    </row>
    <row r="92" spans="1:38">
      <c r="A92" s="416">
        <v>12.9</v>
      </c>
      <c r="B92" s="91">
        <v>-218</v>
      </c>
      <c r="C92" s="91">
        <v>-410</v>
      </c>
      <c r="D92" s="91">
        <v>-7</v>
      </c>
      <c r="E92" s="91">
        <v>1</v>
      </c>
      <c r="F92" s="6">
        <v>-9.39</v>
      </c>
      <c r="G92" s="79">
        <v>1454</v>
      </c>
      <c r="H92" s="8" t="s">
        <v>3390</v>
      </c>
      <c r="I92" s="22" t="s">
        <v>740</v>
      </c>
      <c r="J92" s="73">
        <v>74.92</v>
      </c>
      <c r="K92" s="73">
        <v>0.42</v>
      </c>
      <c r="L92" s="73">
        <v>9.7799999999999994</v>
      </c>
      <c r="N92" s="318">
        <f t="shared" si="25"/>
        <v>85.12</v>
      </c>
      <c r="O92" s="81">
        <f>IFERROR(VLOOKUP($G92,'321買'!A:E,3,0),"'沒有資料'")</f>
        <v>0</v>
      </c>
      <c r="P92" s="380">
        <f>IFERROR(VLOOKUP($G92,'321買'!$A:$G,7,0),"'沒有資料'")</f>
        <v>911</v>
      </c>
      <c r="R92" s="297">
        <f>IFERROR(RANK(VLOOKUP($G92,連買!$A:$D,4,0),連買!$D:$D,0),"'沒有資料'")</f>
        <v>1126</v>
      </c>
      <c r="S92" s="34">
        <v>0.2</v>
      </c>
      <c r="T92" s="353">
        <f t="shared" si="19"/>
        <v>1.3937282229965159E-2</v>
      </c>
      <c r="U92" s="95">
        <v>-0.31</v>
      </c>
      <c r="V92" s="13">
        <f>RTD("money.excel",,"1454","Price")</f>
        <v>14.35</v>
      </c>
      <c r="W92" s="66"/>
      <c r="X92" s="15">
        <f t="shared" si="20"/>
        <v>14.35</v>
      </c>
      <c r="Y92" s="3" t="e">
        <f t="shared" si="21"/>
        <v>#DIV/0!</v>
      </c>
      <c r="AA92" s="161">
        <v>0</v>
      </c>
      <c r="AB92" s="409">
        <v>0</v>
      </c>
      <c r="AC92" s="259">
        <f t="shared" si="22"/>
        <v>0</v>
      </c>
      <c r="AD92" s="22" t="s">
        <v>740</v>
      </c>
      <c r="AG92" s="33">
        <f t="shared" si="23"/>
        <v>0</v>
      </c>
      <c r="AH92" s="43" t="s">
        <v>2958</v>
      </c>
      <c r="AI92" s="63">
        <f t="shared" si="24"/>
        <v>1.937984496124031E-4</v>
      </c>
      <c r="AJ92" s="307">
        <f>RTD("money.excel",,$G92,"PredictVolume")</f>
        <v>25</v>
      </c>
      <c r="AK92" s="339"/>
    </row>
    <row r="93" spans="1:38">
      <c r="A93" s="416">
        <v>53.1</v>
      </c>
      <c r="B93" s="79">
        <v>351</v>
      </c>
      <c r="C93" s="79">
        <v>214</v>
      </c>
      <c r="D93" s="80">
        <v>-2</v>
      </c>
      <c r="E93" s="79">
        <v>37</v>
      </c>
      <c r="F93" s="6">
        <v>8.9700000000000006</v>
      </c>
      <c r="G93" s="79">
        <v>1455</v>
      </c>
      <c r="H93" s="8" t="s">
        <v>3390</v>
      </c>
      <c r="I93" s="22" t="s">
        <v>169</v>
      </c>
      <c r="J93" s="73">
        <v>56.05</v>
      </c>
      <c r="K93" s="73">
        <v>8.93</v>
      </c>
      <c r="L93" s="323">
        <v>15.11</v>
      </c>
      <c r="N93" s="318">
        <f t="shared" si="25"/>
        <v>80.089999999999989</v>
      </c>
      <c r="O93" s="81">
        <f>IFERROR(VLOOKUP($G93,'321買'!A:E,3,0),"'沒有資料'")</f>
        <v>29</v>
      </c>
      <c r="P93" s="380">
        <f>IFERROR(VLOOKUP($G93,'321買'!$A:$G,7,0),"'沒有資料'")</f>
        <v>163</v>
      </c>
      <c r="R93" s="297">
        <f>IFERROR(RANK(VLOOKUP($G93,連買!$A:$D,4,0),連買!$D:$D,0),"'沒有資料'")</f>
        <v>1466</v>
      </c>
      <c r="S93" s="34">
        <v>0.3</v>
      </c>
      <c r="T93" s="353">
        <f t="shared" si="19"/>
        <v>1.935483870967742E-2</v>
      </c>
      <c r="U93" s="57">
        <v>2.2599999999999998</v>
      </c>
      <c r="V93" s="36">
        <f>RTD("money.excel",,"1455","Price")</f>
        <v>15.5</v>
      </c>
      <c r="W93" s="66"/>
      <c r="X93" s="15">
        <f t="shared" si="20"/>
        <v>15.5</v>
      </c>
      <c r="Y93" s="3" t="e">
        <f t="shared" si="21"/>
        <v>#DIV/0!</v>
      </c>
      <c r="Z93" s="413" t="s">
        <v>1801</v>
      </c>
      <c r="AA93" s="161">
        <v>0</v>
      </c>
      <c r="AB93" s="409">
        <v>0</v>
      </c>
      <c r="AC93" s="259">
        <f t="shared" si="22"/>
        <v>0</v>
      </c>
      <c r="AD93" s="22" t="s">
        <v>169</v>
      </c>
      <c r="AG93" s="33">
        <f t="shared" si="23"/>
        <v>0</v>
      </c>
      <c r="AH93" s="120" t="s">
        <v>1533</v>
      </c>
      <c r="AI93" s="63">
        <f t="shared" si="24"/>
        <v>7.0527306967984931E-3</v>
      </c>
      <c r="AJ93" s="307">
        <f>RTD("money.excel",,$G93,"PredictVolume")</f>
        <v>3745</v>
      </c>
      <c r="AK93" s="339"/>
    </row>
    <row r="94" spans="1:38">
      <c r="A94" s="416">
        <v>9.3699999999999992</v>
      </c>
      <c r="B94" s="91">
        <v>-769</v>
      </c>
      <c r="C94" s="91">
        <v>-35</v>
      </c>
      <c r="D94" s="91">
        <v>-40</v>
      </c>
      <c r="E94" s="91">
        <v>14</v>
      </c>
      <c r="F94" s="6">
        <v>6.38</v>
      </c>
      <c r="G94" s="79">
        <v>1456</v>
      </c>
      <c r="H94" s="8" t="s">
        <v>3390</v>
      </c>
      <c r="I94" s="22" t="s">
        <v>741</v>
      </c>
      <c r="J94" s="73">
        <v>85.88</v>
      </c>
      <c r="K94" s="73">
        <v>0.16</v>
      </c>
      <c r="L94" s="73">
        <v>2.7</v>
      </c>
      <c r="N94" s="318">
        <f t="shared" si="25"/>
        <v>88.74</v>
      </c>
      <c r="O94" s="81">
        <f>IFERROR(VLOOKUP($G94,'321買'!A:E,3,0),"'沒有資料'")</f>
        <v>3</v>
      </c>
      <c r="P94" s="380">
        <f>IFERROR(VLOOKUP($G94,'321買'!$A:$G,7,0),"'沒有資料'")</f>
        <v>636</v>
      </c>
      <c r="R94" s="297">
        <f>IFERROR(RANK(VLOOKUP($G94,連買!$A:$D,4,0),連買!$D:$D,0),"'沒有資料'")</f>
        <v>1103</v>
      </c>
      <c r="S94" s="34">
        <v>0</v>
      </c>
      <c r="T94" s="353">
        <f t="shared" si="19"/>
        <v>0</v>
      </c>
      <c r="U94" s="95">
        <v>0.73</v>
      </c>
      <c r="V94" s="13">
        <f>RTD("money.excel",,"1456","Price")</f>
        <v>20.55</v>
      </c>
      <c r="W94" s="66"/>
      <c r="X94" s="15">
        <f t="shared" si="20"/>
        <v>20.55</v>
      </c>
      <c r="Y94" s="3" t="e">
        <f t="shared" si="21"/>
        <v>#DIV/0!</v>
      </c>
      <c r="AA94" s="161">
        <v>0</v>
      </c>
      <c r="AB94" s="409">
        <v>0</v>
      </c>
      <c r="AC94" s="259">
        <f t="shared" si="22"/>
        <v>0</v>
      </c>
      <c r="AD94" s="22" t="s">
        <v>741</v>
      </c>
      <c r="AG94" s="33">
        <f t="shared" si="23"/>
        <v>0</v>
      </c>
      <c r="AH94" s="43" t="s">
        <v>2959</v>
      </c>
      <c r="AI94" s="63">
        <f t="shared" si="24"/>
        <v>4.3756670224119539E-4</v>
      </c>
      <c r="AJ94" s="307">
        <f>RTD("money.excel",,$G94,"PredictVolume")</f>
        <v>41</v>
      </c>
      <c r="AK94" s="339"/>
    </row>
    <row r="95" spans="1:38">
      <c r="A95" s="415">
        <v>30.1</v>
      </c>
      <c r="B95" s="79">
        <v>10</v>
      </c>
      <c r="C95" s="79">
        <v>34</v>
      </c>
      <c r="D95" s="79">
        <v>9</v>
      </c>
      <c r="E95" s="80">
        <v>-11</v>
      </c>
      <c r="F95" s="57">
        <v>48.84</v>
      </c>
      <c r="G95" s="79">
        <v>1457</v>
      </c>
      <c r="H95" s="8" t="s">
        <v>3390</v>
      </c>
      <c r="I95" s="22" t="s">
        <v>742</v>
      </c>
      <c r="J95" s="73">
        <v>58.94</v>
      </c>
      <c r="K95" s="73">
        <v>2.19</v>
      </c>
      <c r="L95" s="73">
        <v>4.46</v>
      </c>
      <c r="N95" s="318">
        <f t="shared" si="25"/>
        <v>65.589999999999989</v>
      </c>
      <c r="O95" s="81">
        <f>IFERROR(VLOOKUP($G95,'321買'!A:E,3,0),"'沒有資料'")</f>
        <v>1</v>
      </c>
      <c r="P95" s="380">
        <f>IFERROR(VLOOKUP($G95,'321買'!$A:$G,7,0),"'沒有資料'")</f>
        <v>783</v>
      </c>
      <c r="R95" s="297">
        <f>IFERROR(RANK(VLOOKUP($G95,連買!$A:$D,4,0),連買!$D:$D,0),"'沒有資料'")</f>
        <v>849</v>
      </c>
      <c r="S95" s="34">
        <v>1</v>
      </c>
      <c r="T95" s="353">
        <f t="shared" si="19"/>
        <v>5.3908355795148244E-2</v>
      </c>
      <c r="U95" s="95">
        <v>2.89</v>
      </c>
      <c r="V95" s="36">
        <f>RTD("money.excel",,"1457","Price")</f>
        <v>18.55</v>
      </c>
      <c r="W95" s="66"/>
      <c r="X95" s="15">
        <f t="shared" si="20"/>
        <v>18.55</v>
      </c>
      <c r="Y95" s="3" t="e">
        <f t="shared" si="21"/>
        <v>#DIV/0!</v>
      </c>
      <c r="Z95" s="413" t="s">
        <v>1801</v>
      </c>
      <c r="AA95" s="161">
        <v>0</v>
      </c>
      <c r="AB95" s="409">
        <v>0</v>
      </c>
      <c r="AC95" s="259">
        <f t="shared" si="22"/>
        <v>0</v>
      </c>
      <c r="AD95" s="22" t="s">
        <v>742</v>
      </c>
      <c r="AG95" s="33">
        <f t="shared" si="23"/>
        <v>0</v>
      </c>
      <c r="AH95" s="43" t="s">
        <v>1533</v>
      </c>
      <c r="AI95" s="63">
        <f t="shared" si="24"/>
        <v>8.3056478405315617E-4</v>
      </c>
      <c r="AJ95" s="307">
        <f>RTD("money.excel",,$G95,"PredictVolume")</f>
        <v>250</v>
      </c>
      <c r="AK95" s="339"/>
    </row>
    <row r="96" spans="1:38">
      <c r="A96" s="416">
        <v>35.799999999999997</v>
      </c>
      <c r="B96" s="94">
        <v>-2488</v>
      </c>
      <c r="C96" s="80">
        <v>-95</v>
      </c>
      <c r="D96" s="79">
        <v>14</v>
      </c>
      <c r="E96" s="80">
        <v>-41</v>
      </c>
      <c r="F96" s="6">
        <v>-16.96</v>
      </c>
      <c r="G96" s="79">
        <v>1459</v>
      </c>
      <c r="H96" s="8" t="s">
        <v>3390</v>
      </c>
      <c r="I96" s="22" t="s">
        <v>743</v>
      </c>
      <c r="J96" s="73">
        <v>82.9</v>
      </c>
      <c r="K96" s="73">
        <v>1.82</v>
      </c>
      <c r="L96" s="73">
        <v>0</v>
      </c>
      <c r="N96" s="318">
        <f t="shared" si="25"/>
        <v>84.72</v>
      </c>
      <c r="O96" s="81">
        <f>IFERROR(VLOOKUP($G96,'321買'!A:E,3,0),"'沒有資料'")</f>
        <v>0</v>
      </c>
      <c r="P96" s="380">
        <f>IFERROR(VLOOKUP($G96,'321買'!$A:$G,7,0),"'沒有資料'")</f>
        <v>911</v>
      </c>
      <c r="R96" s="297">
        <f>IFERROR(RANK(VLOOKUP($G96,連買!$A:$D,4,0),連買!$D:$D,0),"'沒有資料'")</f>
        <v>1471</v>
      </c>
      <c r="S96" s="34">
        <v>0</v>
      </c>
      <c r="T96" s="353">
        <f t="shared" si="19"/>
        <v>0</v>
      </c>
      <c r="U96" s="95">
        <v>-0.57999999999999996</v>
      </c>
      <c r="V96" s="36">
        <f>RTD("money.excel",,"1459","Price")</f>
        <v>11.2</v>
      </c>
      <c r="W96" s="66"/>
      <c r="X96" s="15">
        <f t="shared" si="20"/>
        <v>11.2</v>
      </c>
      <c r="Y96" s="3" t="e">
        <f t="shared" si="21"/>
        <v>#DIV/0!</v>
      </c>
      <c r="Z96" s="413" t="s">
        <v>1801</v>
      </c>
      <c r="AA96" s="161">
        <v>0</v>
      </c>
      <c r="AB96" s="409">
        <v>0</v>
      </c>
      <c r="AC96" s="259">
        <f t="shared" si="22"/>
        <v>0</v>
      </c>
      <c r="AD96" s="22" t="s">
        <v>743</v>
      </c>
      <c r="AG96" s="33">
        <f t="shared" si="23"/>
        <v>0</v>
      </c>
      <c r="AH96" s="43" t="s">
        <v>2130</v>
      </c>
      <c r="AI96" s="63">
        <f t="shared" si="24"/>
        <v>4.7206703910614525E-4</v>
      </c>
      <c r="AJ96" s="307">
        <f>RTD("money.excel",,$G96,"PredictVolume")</f>
        <v>169</v>
      </c>
      <c r="AK96" s="339"/>
    </row>
    <row r="97" spans="1:37">
      <c r="A97" s="416">
        <v>69.400000000000006</v>
      </c>
      <c r="B97" s="79">
        <v>116</v>
      </c>
      <c r="C97" s="79">
        <v>140</v>
      </c>
      <c r="D97" s="79">
        <v>32</v>
      </c>
      <c r="E97" s="79">
        <v>53</v>
      </c>
      <c r="F97" s="6">
        <v>3.68</v>
      </c>
      <c r="G97" s="79">
        <v>1460</v>
      </c>
      <c r="H97" s="8" t="s">
        <v>3390</v>
      </c>
      <c r="I97" s="22" t="s">
        <v>744</v>
      </c>
      <c r="J97" s="323">
        <v>56.13</v>
      </c>
      <c r="K97" s="323">
        <v>3.3</v>
      </c>
      <c r="L97" s="323"/>
      <c r="N97" s="318">
        <f t="shared" si="25"/>
        <v>59.43</v>
      </c>
      <c r="O97" s="81">
        <f>IFERROR(VLOOKUP($G97,'321買'!A:E,3,0),"'沒有資料'")</f>
        <v>0</v>
      </c>
      <c r="P97" s="380">
        <f>IFERROR(VLOOKUP($G97,'321買'!$A:$G,7,0),"'沒有資料'")</f>
        <v>911</v>
      </c>
      <c r="R97" s="297">
        <f>IFERROR(RANK(VLOOKUP($G97,連買!$A:$D,4,0),連買!$D:$D,0),"'沒有資料'")</f>
        <v>1525</v>
      </c>
      <c r="S97" s="34">
        <v>0</v>
      </c>
      <c r="T97" s="353">
        <f t="shared" si="19"/>
        <v>0</v>
      </c>
      <c r="U97" s="57">
        <v>-1.1100000000000001</v>
      </c>
      <c r="V97" s="36">
        <f>RTD("money.excel",,"1460","Price")</f>
        <v>8.86</v>
      </c>
      <c r="W97" s="66"/>
      <c r="X97" s="15">
        <f t="shared" si="20"/>
        <v>8.86</v>
      </c>
      <c r="Y97" s="3" t="e">
        <f t="shared" si="21"/>
        <v>#DIV/0!</v>
      </c>
      <c r="Z97" s="413" t="s">
        <v>1801</v>
      </c>
      <c r="AA97" s="161">
        <v>0</v>
      </c>
      <c r="AB97" s="409">
        <v>0</v>
      </c>
      <c r="AC97" s="259">
        <f t="shared" si="22"/>
        <v>0</v>
      </c>
      <c r="AD97" s="22" t="s">
        <v>744</v>
      </c>
      <c r="AG97" s="33">
        <f t="shared" si="23"/>
        <v>0</v>
      </c>
      <c r="AH97" s="43" t="s">
        <v>3554</v>
      </c>
      <c r="AI97" s="63">
        <f t="shared" si="24"/>
        <v>1.4899135446685878E-3</v>
      </c>
      <c r="AJ97" s="307">
        <f>RTD("money.excel",,$G97,"PredictVolume")</f>
        <v>1034</v>
      </c>
      <c r="AK97" s="339"/>
    </row>
    <row r="98" spans="1:37">
      <c r="A98" s="416">
        <v>17.3</v>
      </c>
      <c r="B98" s="91">
        <v>-70</v>
      </c>
      <c r="C98" s="91">
        <v>-89</v>
      </c>
      <c r="D98" s="91">
        <v>13</v>
      </c>
      <c r="E98" s="91">
        <v>6</v>
      </c>
      <c r="F98" s="6">
        <v>1.05</v>
      </c>
      <c r="G98" s="79">
        <v>1463</v>
      </c>
      <c r="H98" s="8" t="s">
        <v>3390</v>
      </c>
      <c r="I98" s="22" t="s">
        <v>745</v>
      </c>
      <c r="J98" s="73">
        <v>51.56</v>
      </c>
      <c r="K98" s="323">
        <v>6.56</v>
      </c>
      <c r="L98" s="73">
        <v>5.59</v>
      </c>
      <c r="N98" s="318">
        <f t="shared" si="25"/>
        <v>63.710000000000008</v>
      </c>
      <c r="O98" s="81">
        <f>IFERROR(VLOOKUP($G98,'321買'!A:E,3,0),"'沒有資料'")</f>
        <v>1</v>
      </c>
      <c r="P98" s="380">
        <f>IFERROR(VLOOKUP($G98,'321買'!$A:$G,7,0),"'沒有資料'")</f>
        <v>783</v>
      </c>
      <c r="R98" s="297">
        <f>IFERROR(RANK(VLOOKUP($G98,連買!$A:$D,4,0),連買!$D:$D,0),"'沒有資料'")</f>
        <v>1201</v>
      </c>
      <c r="S98" s="34">
        <v>0.3</v>
      </c>
      <c r="T98" s="353">
        <f t="shared" si="19"/>
        <v>2.1276595744680851E-2</v>
      </c>
      <c r="U98" s="95">
        <v>0.33</v>
      </c>
      <c r="V98" s="13">
        <f>RTD("money.excel",,"1463","Price")</f>
        <v>14.1</v>
      </c>
      <c r="W98" s="66"/>
      <c r="X98" s="15">
        <f t="shared" si="20"/>
        <v>14.1</v>
      </c>
      <c r="Y98" s="3" t="e">
        <f t="shared" si="21"/>
        <v>#DIV/0!</v>
      </c>
      <c r="AA98" s="161">
        <v>0</v>
      </c>
      <c r="AB98" s="409">
        <v>0</v>
      </c>
      <c r="AC98" s="259">
        <f t="shared" si="22"/>
        <v>0</v>
      </c>
      <c r="AD98" s="22" t="s">
        <v>745</v>
      </c>
      <c r="AG98" s="33">
        <f t="shared" si="23"/>
        <v>0</v>
      </c>
      <c r="AH98" s="43" t="s">
        <v>2571</v>
      </c>
      <c r="AI98" s="63">
        <f t="shared" si="24"/>
        <v>5.6647398843930638E-4</v>
      </c>
      <c r="AJ98" s="307">
        <f>RTD("money.excel",,$G98,"PredictVolume")</f>
        <v>98</v>
      </c>
      <c r="AK98" s="339"/>
    </row>
    <row r="99" spans="1:37">
      <c r="A99" s="416">
        <v>38.4</v>
      </c>
      <c r="B99" s="80">
        <v>-124</v>
      </c>
      <c r="C99" s="80">
        <v>-112</v>
      </c>
      <c r="D99" s="80">
        <v>-2</v>
      </c>
      <c r="E99" s="80">
        <v>-25</v>
      </c>
      <c r="F99" s="6">
        <v>-1.03</v>
      </c>
      <c r="G99" s="79">
        <v>1464</v>
      </c>
      <c r="H99" s="8" t="s">
        <v>3390</v>
      </c>
      <c r="I99" s="22" t="s">
        <v>746</v>
      </c>
      <c r="J99" s="73">
        <v>56.21</v>
      </c>
      <c r="K99" s="73">
        <v>1.75</v>
      </c>
      <c r="L99" s="73">
        <v>1.99</v>
      </c>
      <c r="N99" s="318">
        <f t="shared" si="25"/>
        <v>59.95</v>
      </c>
      <c r="O99" s="81">
        <f>IFERROR(VLOOKUP($G99,'321買'!A:E,3,0),"'沒有資料'")</f>
        <v>0</v>
      </c>
      <c r="P99" s="380">
        <f>IFERROR(VLOOKUP($G99,'321買'!$A:$G,7,0),"'沒有資料'")</f>
        <v>911</v>
      </c>
      <c r="R99" s="297">
        <f>IFERROR(RANK(VLOOKUP($G99,連買!$A:$D,4,0),連買!$D:$D,0),"'沒有資料'")</f>
        <v>977</v>
      </c>
      <c r="S99" s="34">
        <v>0</v>
      </c>
      <c r="T99" s="353">
        <f t="shared" si="19"/>
        <v>0</v>
      </c>
      <c r="U99" s="95">
        <v>-0.54</v>
      </c>
      <c r="V99" s="36">
        <f>RTD("money.excel",,"1464","Price")</f>
        <v>15.65</v>
      </c>
      <c r="W99" s="66"/>
      <c r="X99" s="15">
        <f t="shared" si="20"/>
        <v>15.65</v>
      </c>
      <c r="Y99" s="3" t="e">
        <f t="shared" si="21"/>
        <v>#DIV/0!</v>
      </c>
      <c r="Z99" s="413" t="s">
        <v>1801</v>
      </c>
      <c r="AA99" s="161">
        <v>0</v>
      </c>
      <c r="AB99" s="409">
        <v>0</v>
      </c>
      <c r="AC99" s="259">
        <f t="shared" si="22"/>
        <v>0</v>
      </c>
      <c r="AD99" s="22" t="s">
        <v>746</v>
      </c>
      <c r="AG99" s="33">
        <f t="shared" si="23"/>
        <v>0</v>
      </c>
      <c r="AH99" s="43" t="s">
        <v>2160</v>
      </c>
      <c r="AI99" s="63">
        <f t="shared" si="24"/>
        <v>9.713541666666667E-4</v>
      </c>
      <c r="AJ99" s="307">
        <f>RTD("money.excel",,$G99,"PredictVolume")</f>
        <v>373</v>
      </c>
      <c r="AK99" s="339"/>
    </row>
    <row r="100" spans="1:37">
      <c r="A100" s="416">
        <v>10.3</v>
      </c>
      <c r="B100" s="91">
        <v>-102</v>
      </c>
      <c r="C100" s="91">
        <v>85</v>
      </c>
      <c r="D100" s="91">
        <v>-38</v>
      </c>
      <c r="E100" s="91">
        <v>-23</v>
      </c>
      <c r="F100" s="6">
        <v>-2.91</v>
      </c>
      <c r="G100" s="79">
        <v>1465</v>
      </c>
      <c r="H100" s="8" t="s">
        <v>3390</v>
      </c>
      <c r="I100" s="22" t="s">
        <v>747</v>
      </c>
      <c r="J100" s="73">
        <v>67.52</v>
      </c>
      <c r="K100" s="73">
        <v>0.16</v>
      </c>
      <c r="L100" s="73">
        <v>29.14</v>
      </c>
      <c r="N100" s="318">
        <f t="shared" si="25"/>
        <v>96.82</v>
      </c>
      <c r="O100" s="81">
        <f>IFERROR(VLOOKUP($G100,'321買'!A:E,3,0),"'沒有資料'")</f>
        <v>0</v>
      </c>
      <c r="P100" s="380">
        <f>IFERROR(VLOOKUP($G100,'321買'!$A:$G,7,0),"'沒有資料'")</f>
        <v>911</v>
      </c>
      <c r="R100" s="297">
        <f>IFERROR(RANK(VLOOKUP($G100,連買!$A:$D,4,0),連買!$D:$D,0),"'沒有資料'")</f>
        <v>1267</v>
      </c>
      <c r="S100" s="34">
        <v>0.3</v>
      </c>
      <c r="T100" s="353">
        <f t="shared" si="19"/>
        <v>2.4E-2</v>
      </c>
      <c r="U100" s="95">
        <v>-0.24</v>
      </c>
      <c r="V100" s="13">
        <f>RTD("money.excel",,"1465","Price")</f>
        <v>12.5</v>
      </c>
      <c r="W100" s="66"/>
      <c r="X100" s="15">
        <f t="shared" si="20"/>
        <v>12.5</v>
      </c>
      <c r="Y100" s="3" t="e">
        <f t="shared" si="21"/>
        <v>#DIV/0!</v>
      </c>
      <c r="AA100" s="161">
        <v>0</v>
      </c>
      <c r="AB100" s="409">
        <v>0</v>
      </c>
      <c r="AC100" s="259">
        <f t="shared" si="22"/>
        <v>0</v>
      </c>
      <c r="AD100" s="22" t="s">
        <v>747</v>
      </c>
      <c r="AG100" s="33">
        <f t="shared" si="23"/>
        <v>0</v>
      </c>
      <c r="AH100" s="43" t="s">
        <v>1534</v>
      </c>
      <c r="AI100" s="63">
        <f t="shared" si="24"/>
        <v>2.621359223300971E-4</v>
      </c>
      <c r="AJ100" s="307">
        <f>RTD("money.excel",,$G100,"PredictVolume")</f>
        <v>27</v>
      </c>
      <c r="AK100" s="339"/>
    </row>
    <row r="101" spans="1:37">
      <c r="A101" s="416">
        <v>11.1</v>
      </c>
      <c r="B101" s="79">
        <v>287</v>
      </c>
      <c r="C101" s="79">
        <v>320</v>
      </c>
      <c r="D101" s="80">
        <v>-3</v>
      </c>
      <c r="E101" s="79">
        <v>60</v>
      </c>
      <c r="F101" s="6">
        <v>7.57</v>
      </c>
      <c r="G101" s="79">
        <v>1466</v>
      </c>
      <c r="H101" s="8" t="s">
        <v>3390</v>
      </c>
      <c r="I101" s="22" t="s">
        <v>748</v>
      </c>
      <c r="J101" s="73">
        <v>50.65</v>
      </c>
      <c r="K101" s="73">
        <v>0.97</v>
      </c>
      <c r="L101" s="323">
        <v>20.67</v>
      </c>
      <c r="N101" s="318">
        <f t="shared" si="25"/>
        <v>72.289999999999992</v>
      </c>
      <c r="O101" s="81">
        <f>IFERROR(VLOOKUP($G101,'321買'!A:E,3,0),"'沒有資料'")</f>
        <v>8</v>
      </c>
      <c r="P101" s="380">
        <f>IFERROR(VLOOKUP($G101,'321買'!$A:$G,7,0),"'沒有資料'")</f>
        <v>448</v>
      </c>
      <c r="R101" s="297">
        <f>IFERROR(RANK(VLOOKUP($G101,連買!$A:$D,4,0),連買!$D:$D,0),"'沒有資料'")</f>
        <v>1217</v>
      </c>
      <c r="S101" s="34">
        <v>0</v>
      </c>
      <c r="T101" s="353">
        <f t="shared" si="19"/>
        <v>0</v>
      </c>
      <c r="U101" s="57">
        <v>1.7</v>
      </c>
      <c r="V101" s="36">
        <f>RTD("money.excel",,"1466","Price")</f>
        <v>14.85</v>
      </c>
      <c r="W101" s="66"/>
      <c r="X101" s="15">
        <f t="shared" si="20"/>
        <v>14.85</v>
      </c>
      <c r="Y101" s="3" t="e">
        <f t="shared" si="21"/>
        <v>#DIV/0!</v>
      </c>
      <c r="Z101" s="413" t="s">
        <v>1801</v>
      </c>
      <c r="AA101" s="161">
        <v>0</v>
      </c>
      <c r="AB101" s="409">
        <v>0</v>
      </c>
      <c r="AC101" s="259">
        <f t="shared" si="22"/>
        <v>0</v>
      </c>
      <c r="AD101" s="22" t="s">
        <v>748</v>
      </c>
      <c r="AG101" s="33">
        <f t="shared" si="23"/>
        <v>0</v>
      </c>
      <c r="AH101" s="43" t="s">
        <v>1533</v>
      </c>
      <c r="AI101" s="63">
        <f t="shared" si="24"/>
        <v>5.5855855855855858E-4</v>
      </c>
      <c r="AJ101" s="307">
        <f>RTD("money.excel",,$G101,"PredictVolume")</f>
        <v>62</v>
      </c>
      <c r="AK101" s="339"/>
    </row>
    <row r="102" spans="1:37">
      <c r="A102" s="416">
        <v>23.3</v>
      </c>
      <c r="B102" s="79">
        <v>83</v>
      </c>
      <c r="C102" s="79">
        <v>114</v>
      </c>
      <c r="D102" s="80">
        <v>-6</v>
      </c>
      <c r="E102" s="80">
        <v>-53</v>
      </c>
      <c r="F102" s="6">
        <v>1.52</v>
      </c>
      <c r="G102" s="79">
        <v>1467</v>
      </c>
      <c r="H102" s="8" t="s">
        <v>3390</v>
      </c>
      <c r="I102" s="22" t="s">
        <v>749</v>
      </c>
      <c r="J102" s="323">
        <v>64.459999999999994</v>
      </c>
      <c r="K102" s="323">
        <v>18.850000000000001</v>
      </c>
      <c r="L102" s="73">
        <v>33.159999999999997</v>
      </c>
      <c r="N102" s="318">
        <f t="shared" si="25"/>
        <v>116.47</v>
      </c>
      <c r="O102" s="81">
        <f>IFERROR(VLOOKUP($G102,'321買'!A:E,3,0),"'沒有資料'")</f>
        <v>2</v>
      </c>
      <c r="P102" s="380">
        <f>IFERROR(VLOOKUP($G102,'321買'!$A:$G,7,0),"'沒有資料'")</f>
        <v>706</v>
      </c>
      <c r="R102" s="297">
        <f>IFERROR(RANK(VLOOKUP($G102,連買!$A:$D,4,0),連買!$D:$D,0),"'沒有資料'")</f>
        <v>582</v>
      </c>
      <c r="S102" s="34">
        <v>0.7</v>
      </c>
      <c r="T102" s="353">
        <f t="shared" ref="T102:T125" si="26">S102/V102</f>
        <v>5.128205128205128E-2</v>
      </c>
      <c r="U102" s="57">
        <v>1.99</v>
      </c>
      <c r="V102" s="36">
        <f>RTD("money.excel",,"1467","Price")</f>
        <v>13.65</v>
      </c>
      <c r="W102" s="66"/>
      <c r="X102" s="15">
        <f t="shared" si="20"/>
        <v>13.65</v>
      </c>
      <c r="Y102" s="3" t="e">
        <f t="shared" si="21"/>
        <v>#DIV/0!</v>
      </c>
      <c r="AA102" s="161">
        <v>0</v>
      </c>
      <c r="AB102" s="409">
        <v>0</v>
      </c>
      <c r="AC102" s="259">
        <f t="shared" si="22"/>
        <v>0</v>
      </c>
      <c r="AD102" s="22" t="s">
        <v>749</v>
      </c>
      <c r="AG102" s="33">
        <f t="shared" si="23"/>
        <v>0</v>
      </c>
      <c r="AH102" s="43" t="s">
        <v>3684</v>
      </c>
      <c r="AI102" s="63">
        <f t="shared" ref="AI102:AI125" si="27">AJ102/(A102*10000)</f>
        <v>6.7811158798283264E-3</v>
      </c>
      <c r="AJ102" s="307">
        <f>RTD("money.excel",,$G102,"PredictVolume")</f>
        <v>1580</v>
      </c>
      <c r="AK102" s="339"/>
    </row>
    <row r="103" spans="1:37">
      <c r="A103" s="416">
        <v>16</v>
      </c>
      <c r="B103" s="91">
        <v>-6</v>
      </c>
      <c r="C103" s="91">
        <v>-44</v>
      </c>
      <c r="D103" s="91">
        <v>22</v>
      </c>
      <c r="E103" s="91">
        <v>61</v>
      </c>
      <c r="F103" s="6">
        <v>2.89</v>
      </c>
      <c r="G103" s="79">
        <v>1468</v>
      </c>
      <c r="H103" s="8" t="s">
        <v>3390</v>
      </c>
      <c r="I103" s="22" t="s">
        <v>750</v>
      </c>
      <c r="J103" s="73">
        <v>98.03</v>
      </c>
      <c r="K103" s="73">
        <v>1.84</v>
      </c>
      <c r="N103" s="318">
        <f t="shared" si="25"/>
        <v>99.87</v>
      </c>
      <c r="O103" s="81">
        <f>IFERROR(VLOOKUP($G103,'321買'!A:E,3,0),"'沒有資料'")</f>
        <v>0</v>
      </c>
      <c r="P103" s="380">
        <f>IFERROR(VLOOKUP($G103,'321買'!$A:$G,7,0),"'沒有資料'")</f>
        <v>911</v>
      </c>
      <c r="R103" s="297">
        <f>IFERROR(RANK(VLOOKUP($G103,連買!$A:$D,4,0),連買!$D:$D,0),"'沒有資料'")</f>
        <v>1197</v>
      </c>
      <c r="S103" s="34">
        <v>0</v>
      </c>
      <c r="T103" s="353">
        <f t="shared" si="26"/>
        <v>0</v>
      </c>
      <c r="U103" s="95">
        <v>0.26</v>
      </c>
      <c r="V103" s="13">
        <f>RTD("money.excel",,"1468","Price")</f>
        <v>12.3</v>
      </c>
      <c r="W103" s="66"/>
      <c r="X103" s="15">
        <f t="shared" si="20"/>
        <v>12.3</v>
      </c>
      <c r="Y103" s="3" t="e">
        <f t="shared" si="21"/>
        <v>#DIV/0!</v>
      </c>
      <c r="AA103" s="161">
        <v>0</v>
      </c>
      <c r="AB103" s="409">
        <v>0</v>
      </c>
      <c r="AC103" s="259">
        <f t="shared" si="22"/>
        <v>0</v>
      </c>
      <c r="AD103" s="22" t="s">
        <v>750</v>
      </c>
      <c r="AG103" s="33">
        <f t="shared" si="23"/>
        <v>0</v>
      </c>
      <c r="AH103" s="43" t="s">
        <v>1535</v>
      </c>
      <c r="AI103" s="63">
        <f t="shared" si="27"/>
        <v>3.2499999999999999E-4</v>
      </c>
      <c r="AJ103" s="307">
        <f>RTD("money.excel",,$G103,"PredictVolume")</f>
        <v>52</v>
      </c>
      <c r="AK103" s="339"/>
    </row>
    <row r="104" spans="1:37">
      <c r="A104" s="416">
        <v>8.58</v>
      </c>
      <c r="B104" s="91">
        <v>-71</v>
      </c>
      <c r="C104" s="91">
        <v>-83</v>
      </c>
      <c r="D104" s="91">
        <v>0</v>
      </c>
      <c r="E104" s="91">
        <v>21</v>
      </c>
      <c r="F104" s="6">
        <v>5.8</v>
      </c>
      <c r="G104" s="79">
        <v>1470</v>
      </c>
      <c r="H104" s="8" t="s">
        <v>3390</v>
      </c>
      <c r="I104" s="22" t="s">
        <v>1111</v>
      </c>
      <c r="J104" s="73">
        <v>86.95</v>
      </c>
      <c r="K104" s="73">
        <v>0.28999999999999998</v>
      </c>
      <c r="L104" s="73">
        <v>0.01</v>
      </c>
      <c r="N104" s="318">
        <f t="shared" si="25"/>
        <v>87.250000000000014</v>
      </c>
      <c r="O104" s="81">
        <f>IFERROR(VLOOKUP($G104,'321買'!A:E,3,0),"'沒有資料'")</f>
        <v>0</v>
      </c>
      <c r="P104" s="380">
        <f>IFERROR(VLOOKUP($G104,'321買'!$A:$G,7,0),"'沒有資料'")</f>
        <v>911</v>
      </c>
      <c r="R104" s="297">
        <f>IFERROR(RANK(VLOOKUP($G104,連買!$A:$D,4,0),連買!$D:$D,0),"'沒有資料'")</f>
        <v>1121</v>
      </c>
      <c r="S104" s="34">
        <v>0.42</v>
      </c>
      <c r="T104" s="353">
        <f t="shared" si="26"/>
        <v>1.891891891891892E-2</v>
      </c>
      <c r="U104" s="95">
        <v>0.41</v>
      </c>
      <c r="V104" s="13">
        <f>RTD("money.excel",,"1470","Price")</f>
        <v>22.2</v>
      </c>
      <c r="W104" s="66"/>
      <c r="X104" s="15">
        <f t="shared" si="20"/>
        <v>22.2</v>
      </c>
      <c r="Y104" s="3" t="e">
        <f t="shared" si="21"/>
        <v>#DIV/0!</v>
      </c>
      <c r="AA104" s="161">
        <v>0</v>
      </c>
      <c r="AB104" s="409">
        <v>0</v>
      </c>
      <c r="AC104" s="259">
        <f t="shared" si="22"/>
        <v>0</v>
      </c>
      <c r="AD104" s="22" t="s">
        <v>1111</v>
      </c>
      <c r="AG104" s="33">
        <f t="shared" si="23"/>
        <v>0</v>
      </c>
      <c r="AH104" s="43" t="s">
        <v>2571</v>
      </c>
      <c r="AI104" s="63">
        <f t="shared" si="27"/>
        <v>5.2447552447552448E-4</v>
      </c>
      <c r="AJ104" s="307">
        <f>RTD("money.excel",,$G104,"PredictVolume")</f>
        <v>45</v>
      </c>
      <c r="AK104" s="339"/>
    </row>
    <row r="105" spans="1:37">
      <c r="A105" s="416">
        <v>8.61</v>
      </c>
      <c r="B105" s="91">
        <v>-426</v>
      </c>
      <c r="C105" s="91">
        <v>-237</v>
      </c>
      <c r="D105" s="91">
        <v>-25</v>
      </c>
      <c r="E105" s="91">
        <v>-35</v>
      </c>
      <c r="F105" s="6">
        <v>-12</v>
      </c>
      <c r="G105" s="79">
        <v>1472</v>
      </c>
      <c r="H105" s="8" t="s">
        <v>3390</v>
      </c>
      <c r="I105" s="22" t="s">
        <v>751</v>
      </c>
      <c r="J105" s="73">
        <v>58.02</v>
      </c>
      <c r="K105" s="73">
        <v>0.08</v>
      </c>
      <c r="N105" s="318">
        <f t="shared" si="25"/>
        <v>58.1</v>
      </c>
      <c r="O105" s="81">
        <f>IFERROR(VLOOKUP($G105,'321買'!A:E,3,0),"'沒有資料'")</f>
        <v>0</v>
      </c>
      <c r="P105" s="380">
        <f>IFERROR(VLOOKUP($G105,'321買'!$A:$G,7,0),"'沒有資料'")</f>
        <v>911</v>
      </c>
      <c r="R105" s="297">
        <f>IFERROR(RANK(VLOOKUP($G105,連買!$A:$D,4,0),連買!$D:$D,0),"'沒有資料'")</f>
        <v>1378</v>
      </c>
      <c r="S105" s="34">
        <v>0</v>
      </c>
      <c r="T105" s="353" t="e">
        <f t="shared" si="26"/>
        <v>#VALUE!</v>
      </c>
      <c r="U105" s="95">
        <v>-9.08</v>
      </c>
      <c r="V105" s="13" t="str">
        <f>RTD("money.excel",,"1472","Price")</f>
        <v>無資料</v>
      </c>
      <c r="W105" s="66"/>
      <c r="X105" s="15" t="e">
        <f t="shared" si="20"/>
        <v>#VALUE!</v>
      </c>
      <c r="Y105" s="3" t="e">
        <f t="shared" si="21"/>
        <v>#VALUE!</v>
      </c>
      <c r="AA105" s="161">
        <v>0</v>
      </c>
      <c r="AB105" s="409">
        <v>0</v>
      </c>
      <c r="AC105" s="259">
        <f t="shared" si="22"/>
        <v>0</v>
      </c>
      <c r="AD105" s="22" t="s">
        <v>751</v>
      </c>
      <c r="AG105" s="33">
        <f t="shared" si="23"/>
        <v>0</v>
      </c>
      <c r="AH105" s="43" t="s">
        <v>2570</v>
      </c>
      <c r="AI105" s="63">
        <f t="shared" si="27"/>
        <v>0</v>
      </c>
      <c r="AJ105" s="307">
        <f>RTD("money.excel",,$G105,"PredictVolume")</f>
        <v>0</v>
      </c>
      <c r="AK105" s="339"/>
    </row>
    <row r="106" spans="1:37">
      <c r="A106" s="416">
        <v>14.7</v>
      </c>
      <c r="B106" s="91">
        <v>-274</v>
      </c>
      <c r="C106" s="91">
        <v>-227</v>
      </c>
      <c r="D106" s="91">
        <v>23</v>
      </c>
      <c r="E106" s="91">
        <v>-24</v>
      </c>
      <c r="F106" s="6">
        <v>-0.6</v>
      </c>
      <c r="G106" s="79">
        <v>1473</v>
      </c>
      <c r="H106" s="8" t="s">
        <v>3390</v>
      </c>
      <c r="I106" s="22" t="s">
        <v>752</v>
      </c>
      <c r="J106" s="73">
        <v>63.3</v>
      </c>
      <c r="K106" s="73">
        <v>10.39</v>
      </c>
      <c r="L106" s="73">
        <v>0.56999999999999995</v>
      </c>
      <c r="N106" s="318">
        <f t="shared" si="25"/>
        <v>74.259999999999991</v>
      </c>
      <c r="O106" s="81">
        <f>IFERROR(VLOOKUP($G106,'321買'!A:E,3,0),"'沒有資料'")</f>
        <v>0</v>
      </c>
      <c r="P106" s="380">
        <f>IFERROR(VLOOKUP($G106,'321買'!$A:$G,7,0),"'沒有資料'")</f>
        <v>911</v>
      </c>
      <c r="R106" s="297">
        <f>IFERROR(RANK(VLOOKUP($G106,連買!$A:$D,4,0),連買!$D:$D,0),"'沒有資料'")</f>
        <v>1004</v>
      </c>
      <c r="S106" s="34">
        <v>0.2</v>
      </c>
      <c r="T106" s="353">
        <f t="shared" si="26"/>
        <v>1.0638297872340425E-2</v>
      </c>
      <c r="U106" s="95">
        <v>-2.4500000000000002</v>
      </c>
      <c r="V106" s="13">
        <f>RTD("money.excel",,"1473","Price")</f>
        <v>18.8</v>
      </c>
      <c r="W106" s="66"/>
      <c r="X106" s="15">
        <f t="shared" si="20"/>
        <v>18.8</v>
      </c>
      <c r="Y106" s="3" t="e">
        <f t="shared" si="21"/>
        <v>#DIV/0!</v>
      </c>
      <c r="AA106" s="161">
        <v>0</v>
      </c>
      <c r="AB106" s="409">
        <v>0</v>
      </c>
      <c r="AC106" s="259">
        <f t="shared" si="22"/>
        <v>0</v>
      </c>
      <c r="AD106" s="22" t="s">
        <v>752</v>
      </c>
      <c r="AG106" s="33">
        <f t="shared" si="23"/>
        <v>0</v>
      </c>
      <c r="AH106" s="43" t="s">
        <v>2565</v>
      </c>
      <c r="AI106" s="63">
        <f t="shared" si="27"/>
        <v>1.4489795918367348E-3</v>
      </c>
      <c r="AJ106" s="307">
        <f>RTD("money.excel",,$G106,"PredictVolume")</f>
        <v>213</v>
      </c>
      <c r="AK106" s="339"/>
    </row>
    <row r="107" spans="1:37">
      <c r="A107" s="416">
        <v>12.9</v>
      </c>
      <c r="B107" s="93">
        <v>7158</v>
      </c>
      <c r="C107" s="79">
        <v>437</v>
      </c>
      <c r="D107" s="79">
        <v>17</v>
      </c>
      <c r="E107" s="79">
        <v>31</v>
      </c>
      <c r="F107" s="6">
        <v>6.63</v>
      </c>
      <c r="G107" s="79">
        <v>1474</v>
      </c>
      <c r="H107" s="8" t="s">
        <v>3390</v>
      </c>
      <c r="I107" s="22" t="s">
        <v>753</v>
      </c>
      <c r="J107" s="73">
        <v>43.7</v>
      </c>
      <c r="K107" s="73">
        <v>2.12</v>
      </c>
      <c r="L107" s="323">
        <v>15.79</v>
      </c>
      <c r="N107" s="318">
        <f t="shared" si="25"/>
        <v>61.61</v>
      </c>
      <c r="O107" s="81">
        <f>IFERROR(VLOOKUP($G107,'321買'!A:E,3,0),"'沒有資料'")</f>
        <v>16</v>
      </c>
      <c r="P107" s="380">
        <f>IFERROR(VLOOKUP($G107,'321買'!$A:$G,7,0),"'沒有資料'")</f>
        <v>321</v>
      </c>
      <c r="R107" s="297">
        <f>IFERROR(RANK(VLOOKUP($G107,連買!$A:$D,4,0),連買!$D:$D,0),"'沒有資料'")</f>
        <v>991</v>
      </c>
      <c r="S107" s="34">
        <v>0.4</v>
      </c>
      <c r="T107" s="353">
        <f t="shared" si="26"/>
        <v>2.7210884353741499E-2</v>
      </c>
      <c r="U107" s="95">
        <v>1.1499999999999999</v>
      </c>
      <c r="V107" s="36">
        <f>RTD("money.excel",,"1474","Price")</f>
        <v>14.7</v>
      </c>
      <c r="W107" s="66"/>
      <c r="X107" s="15">
        <f t="shared" si="20"/>
        <v>14.7</v>
      </c>
      <c r="Y107" s="3" t="e">
        <f t="shared" si="21"/>
        <v>#DIV/0!</v>
      </c>
      <c r="Z107" s="413" t="s">
        <v>1801</v>
      </c>
      <c r="AA107" s="161">
        <v>0</v>
      </c>
      <c r="AB107" s="409">
        <v>0</v>
      </c>
      <c r="AC107" s="259">
        <f t="shared" si="22"/>
        <v>0</v>
      </c>
      <c r="AD107" s="22" t="s">
        <v>753</v>
      </c>
      <c r="AG107" s="33">
        <f t="shared" si="23"/>
        <v>0</v>
      </c>
      <c r="AH107" s="43" t="s">
        <v>1800</v>
      </c>
      <c r="AI107" s="63">
        <f t="shared" si="27"/>
        <v>1.5891472868217054E-3</v>
      </c>
      <c r="AJ107" s="307">
        <f>RTD("money.excel",,$G107,"PredictVolume")</f>
        <v>205</v>
      </c>
      <c r="AK107" s="339"/>
    </row>
    <row r="108" spans="1:37">
      <c r="A108" s="416">
        <v>2.6</v>
      </c>
      <c r="B108" s="79">
        <v>396</v>
      </c>
      <c r="C108" s="79">
        <v>202</v>
      </c>
      <c r="D108" s="80">
        <v>-41</v>
      </c>
      <c r="E108" s="79">
        <v>546</v>
      </c>
      <c r="F108" s="6">
        <v>6.75</v>
      </c>
      <c r="G108" s="79">
        <v>1475</v>
      </c>
      <c r="H108" s="8" t="s">
        <v>3390</v>
      </c>
      <c r="I108" s="22" t="s">
        <v>3223</v>
      </c>
      <c r="J108" s="73">
        <v>65.8</v>
      </c>
      <c r="K108" s="73">
        <v>0.25</v>
      </c>
      <c r="N108" s="318">
        <f t="shared" si="25"/>
        <v>66.05</v>
      </c>
      <c r="O108" s="81">
        <f>IFERROR(VLOOKUP($G108,'321買'!A:E,3,0),"'沒有資料'")</f>
        <v>0</v>
      </c>
      <c r="P108" s="380">
        <f>IFERROR(VLOOKUP($G108,'321買'!$A:$G,7,0),"'沒有資料'")</f>
        <v>911</v>
      </c>
      <c r="R108" s="297">
        <f>IFERROR(RANK(VLOOKUP($G108,連買!$A:$D,4,0),連買!$D:$D,0),"'沒有資料'")</f>
        <v>974</v>
      </c>
      <c r="S108" s="34">
        <v>0</v>
      </c>
      <c r="T108" s="353">
        <f t="shared" si="26"/>
        <v>0</v>
      </c>
      <c r="U108" s="57">
        <v>0.86</v>
      </c>
      <c r="V108" s="36">
        <f>RTD("money.excel",,"1475","Price")</f>
        <v>75.900000000000006</v>
      </c>
      <c r="W108" s="66"/>
      <c r="X108" s="15">
        <f t="shared" si="20"/>
        <v>75.900000000000006</v>
      </c>
      <c r="Y108" s="3" t="e">
        <f t="shared" si="21"/>
        <v>#DIV/0!</v>
      </c>
      <c r="AA108" s="161">
        <v>0</v>
      </c>
      <c r="AB108" s="409">
        <v>0</v>
      </c>
      <c r="AC108" s="259">
        <f t="shared" si="22"/>
        <v>0</v>
      </c>
      <c r="AD108" s="22" t="s">
        <v>3223</v>
      </c>
      <c r="AG108" s="33">
        <f t="shared" si="23"/>
        <v>0</v>
      </c>
      <c r="AH108" s="43" t="s">
        <v>2569</v>
      </c>
      <c r="AI108" s="63">
        <f t="shared" si="27"/>
        <v>2.7E-2</v>
      </c>
      <c r="AJ108" s="307">
        <f>RTD("money.excel",,$G108,"PredictVolume")</f>
        <v>702</v>
      </c>
      <c r="AK108" s="339"/>
    </row>
    <row r="109" spans="1:37">
      <c r="A109" s="415">
        <v>27.4</v>
      </c>
      <c r="B109" s="79">
        <v>44</v>
      </c>
      <c r="C109" s="79">
        <v>40</v>
      </c>
      <c r="D109" s="80">
        <v>-12</v>
      </c>
      <c r="E109" s="79">
        <v>32</v>
      </c>
      <c r="F109" s="57">
        <v>18.47</v>
      </c>
      <c r="G109" s="79">
        <v>1476</v>
      </c>
      <c r="H109" s="8" t="s">
        <v>3390</v>
      </c>
      <c r="I109" s="22" t="s">
        <v>3890</v>
      </c>
      <c r="J109" s="323">
        <v>68.760000000000005</v>
      </c>
      <c r="K109" s="323">
        <v>43.81</v>
      </c>
      <c r="L109" s="73">
        <v>0.48</v>
      </c>
      <c r="M109" s="73">
        <v>20.62</v>
      </c>
      <c r="N109" s="73">
        <f t="shared" si="25"/>
        <v>133.67000000000002</v>
      </c>
      <c r="O109" s="81">
        <f>IFERROR(VLOOKUP($G109,'321買'!A:E,3,0),"'沒有資料'")</f>
        <v>5</v>
      </c>
      <c r="P109" s="380">
        <f>IFERROR(VLOOKUP($G109,'321買'!$A:$G,7,0),"'沒有資料'")</f>
        <v>558</v>
      </c>
      <c r="Q109" s="245" t="s">
        <v>3816</v>
      </c>
      <c r="R109" s="297">
        <f>IFERROR(RANK(VLOOKUP($G109,連買!$A:$D,4,0),連買!$D:$D,0),"'沒有資料'")</f>
        <v>1719</v>
      </c>
      <c r="S109" s="66">
        <v>11</v>
      </c>
      <c r="T109" s="353">
        <f t="shared" si="26"/>
        <v>2.2821576763485476E-2</v>
      </c>
      <c r="U109" s="57">
        <v>19.829999999999998</v>
      </c>
      <c r="V109" s="13">
        <f>RTD("money.excel",,"1476","Price")</f>
        <v>482</v>
      </c>
      <c r="W109" s="66"/>
      <c r="X109" s="15">
        <f t="shared" si="20"/>
        <v>482</v>
      </c>
      <c r="Y109" s="3" t="e">
        <f t="shared" si="21"/>
        <v>#DIV/0!</v>
      </c>
      <c r="Z109" s="413" t="s">
        <v>1997</v>
      </c>
      <c r="AA109" s="161">
        <v>0</v>
      </c>
      <c r="AB109" s="409">
        <v>0</v>
      </c>
      <c r="AC109" s="259">
        <f t="shared" si="22"/>
        <v>0</v>
      </c>
      <c r="AD109" s="22" t="s">
        <v>3890</v>
      </c>
      <c r="AG109" s="33">
        <f t="shared" si="23"/>
        <v>0</v>
      </c>
      <c r="AH109" s="120" t="s">
        <v>2566</v>
      </c>
      <c r="AI109" s="63">
        <f t="shared" si="27"/>
        <v>1.3832116788321169E-3</v>
      </c>
      <c r="AJ109" s="307">
        <f>RTD("money.excel",,$G109,"PredictVolume")</f>
        <v>379</v>
      </c>
      <c r="AK109" s="339">
        <v>2.02</v>
      </c>
    </row>
    <row r="110" spans="1:37">
      <c r="A110" s="415">
        <v>24.1</v>
      </c>
      <c r="B110" s="79">
        <v>7</v>
      </c>
      <c r="C110" s="79">
        <v>7</v>
      </c>
      <c r="D110" s="79">
        <v>45</v>
      </c>
      <c r="E110" s="79">
        <v>12</v>
      </c>
      <c r="F110" s="57">
        <v>10.7</v>
      </c>
      <c r="G110" s="79">
        <v>1477</v>
      </c>
      <c r="H110" s="8" t="s">
        <v>3390</v>
      </c>
      <c r="I110" s="22" t="s">
        <v>3891</v>
      </c>
      <c r="J110" s="73">
        <v>55.83</v>
      </c>
      <c r="K110" s="323">
        <v>30.44</v>
      </c>
      <c r="L110" s="323">
        <v>2.66</v>
      </c>
      <c r="N110" s="318">
        <f t="shared" si="25"/>
        <v>88.929999999999993</v>
      </c>
      <c r="O110" s="81">
        <f>IFERROR(VLOOKUP($G110,'321買'!A:E,3,0),"'沒有資料'")</f>
        <v>11</v>
      </c>
      <c r="P110" s="380">
        <f>IFERROR(VLOOKUP($G110,'321買'!$A:$G,7,0),"'沒有資料'")</f>
        <v>408</v>
      </c>
      <c r="R110" s="297">
        <f>IFERROR(RANK(VLOOKUP($G110,連買!$A:$D,4,0),連買!$D:$D,0),"'沒有資料'")</f>
        <v>540</v>
      </c>
      <c r="S110" s="66">
        <v>8</v>
      </c>
      <c r="T110" s="353">
        <f t="shared" si="26"/>
        <v>4.3715846994535519E-2</v>
      </c>
      <c r="U110" s="57">
        <v>9.35</v>
      </c>
      <c r="V110" s="36">
        <f>RTD("money.excel",,"1477","Price")</f>
        <v>183</v>
      </c>
      <c r="W110" s="66"/>
      <c r="X110" s="15">
        <f t="shared" si="20"/>
        <v>183</v>
      </c>
      <c r="Y110" s="3" t="e">
        <f t="shared" si="21"/>
        <v>#DIV/0!</v>
      </c>
      <c r="Z110" s="413" t="s">
        <v>1997</v>
      </c>
      <c r="AA110" s="161">
        <v>0</v>
      </c>
      <c r="AB110" s="409">
        <v>0</v>
      </c>
      <c r="AC110" s="259">
        <f t="shared" si="22"/>
        <v>0</v>
      </c>
      <c r="AD110" s="22" t="s">
        <v>3891</v>
      </c>
      <c r="AG110" s="33">
        <f t="shared" si="23"/>
        <v>0</v>
      </c>
      <c r="AH110" s="120" t="s">
        <v>3555</v>
      </c>
      <c r="AI110" s="63">
        <f t="shared" si="27"/>
        <v>5.2323651452282158E-3</v>
      </c>
      <c r="AJ110" s="307">
        <f>RTD("money.excel",,$G110,"PredictVolume")</f>
        <v>1261</v>
      </c>
      <c r="AK110" s="339"/>
    </row>
    <row r="111" spans="1:37">
      <c r="A111" s="416">
        <v>12</v>
      </c>
      <c r="B111" s="91">
        <v>-86</v>
      </c>
      <c r="C111" s="91">
        <v>-83</v>
      </c>
      <c r="D111" s="91">
        <v>37</v>
      </c>
      <c r="E111" s="91">
        <v>66</v>
      </c>
      <c r="F111" s="6">
        <v>1.7</v>
      </c>
      <c r="G111" s="79">
        <v>4401</v>
      </c>
      <c r="H111" s="8" t="s">
        <v>3390</v>
      </c>
      <c r="I111" s="16" t="s">
        <v>229</v>
      </c>
      <c r="J111" s="323">
        <v>68.14</v>
      </c>
      <c r="K111" s="323">
        <v>11.14</v>
      </c>
      <c r="L111" s="73">
        <v>10.61</v>
      </c>
      <c r="N111" s="318">
        <f t="shared" si="25"/>
        <v>89.89</v>
      </c>
      <c r="O111" s="81">
        <f>IFERROR(VLOOKUP($G111,'321買'!A:E,3,0),"'沒有資料'")</f>
        <v>2</v>
      </c>
      <c r="P111" s="380">
        <f>IFERROR(VLOOKUP($G111,'321買'!$A:$G,7,0),"'沒有資料'")</f>
        <v>706</v>
      </c>
      <c r="R111" s="297">
        <f>IFERROR(RANK(VLOOKUP($G111,連買!$A:$D,4,0),連買!$D:$D,0),"'沒有資料'")</f>
        <v>1636</v>
      </c>
      <c r="S111" s="34">
        <v>1</v>
      </c>
      <c r="T111" s="353">
        <f t="shared" si="26"/>
        <v>3.012048192771084E-2</v>
      </c>
      <c r="U111" s="95">
        <v>0.7</v>
      </c>
      <c r="V111" s="13">
        <f>RTD("money.excel",,"4401","Price")</f>
        <v>33.200000000000003</v>
      </c>
      <c r="W111" s="66"/>
      <c r="X111" s="15">
        <f t="shared" si="20"/>
        <v>33.200000000000003</v>
      </c>
      <c r="Y111" s="3" t="e">
        <f t="shared" si="21"/>
        <v>#DIV/0!</v>
      </c>
      <c r="AA111" s="161">
        <v>0</v>
      </c>
      <c r="AB111" s="409">
        <v>0</v>
      </c>
      <c r="AC111" s="259">
        <f t="shared" si="22"/>
        <v>0</v>
      </c>
      <c r="AD111" s="16" t="s">
        <v>229</v>
      </c>
      <c r="AG111" s="33">
        <f t="shared" si="23"/>
        <v>0</v>
      </c>
      <c r="AH111" s="43" t="s">
        <v>2816</v>
      </c>
      <c r="AI111" s="63">
        <f t="shared" si="27"/>
        <v>3.5833333333333333E-4</v>
      </c>
      <c r="AJ111" s="307">
        <f>RTD("money.excel",,$G111,"PredictVolume")</f>
        <v>43</v>
      </c>
      <c r="AK111" s="339"/>
    </row>
    <row r="112" spans="1:37">
      <c r="A112" s="416">
        <v>4.5999999999999996</v>
      </c>
      <c r="B112" s="91">
        <v>-110</v>
      </c>
      <c r="C112" s="91">
        <v>27</v>
      </c>
      <c r="D112" s="91">
        <v>-7</v>
      </c>
      <c r="E112" s="91">
        <v>-22</v>
      </c>
      <c r="F112" s="6">
        <v>-28.88</v>
      </c>
      <c r="G112" s="79">
        <v>4402</v>
      </c>
      <c r="H112" s="8" t="s">
        <v>3390</v>
      </c>
      <c r="I112" s="16" t="s">
        <v>713</v>
      </c>
      <c r="J112" s="73">
        <v>44</v>
      </c>
      <c r="K112" s="73">
        <v>0</v>
      </c>
      <c r="N112" s="318">
        <f t="shared" si="25"/>
        <v>44</v>
      </c>
      <c r="O112" s="81" t="str">
        <f>IFERROR(VLOOKUP($G112,'321買'!A:E,3,0),"'沒有資料'")</f>
        <v>'沒有資料'</v>
      </c>
      <c r="P112" s="380" t="str">
        <f>IFERROR(VLOOKUP($G112,'321買'!$A:$G,7,0),"'沒有資料'")</f>
        <v>'沒有資料'</v>
      </c>
      <c r="R112" s="297">
        <f>IFERROR(RANK(VLOOKUP($G112,連買!$A:$D,4,0),連買!$D:$D,0),"'沒有資料'")</f>
        <v>1297</v>
      </c>
      <c r="S112" s="34">
        <v>0</v>
      </c>
      <c r="T112" s="353">
        <f t="shared" si="26"/>
        <v>0</v>
      </c>
      <c r="U112" s="95">
        <v>-1.0900000000000001</v>
      </c>
      <c r="V112" s="36">
        <f>RTD("money.excel",,"4402","Price")</f>
        <v>9.4</v>
      </c>
      <c r="W112" s="66"/>
      <c r="X112" s="15">
        <f t="shared" si="20"/>
        <v>9.4</v>
      </c>
      <c r="Y112" s="3" t="e">
        <f t="shared" si="21"/>
        <v>#DIV/0!</v>
      </c>
      <c r="AA112" s="161">
        <v>0</v>
      </c>
      <c r="AB112" s="409">
        <v>0</v>
      </c>
      <c r="AC112" s="259">
        <f t="shared" si="22"/>
        <v>0</v>
      </c>
      <c r="AD112" s="16" t="s">
        <v>713</v>
      </c>
      <c r="AG112" s="33">
        <f t="shared" si="23"/>
        <v>0</v>
      </c>
      <c r="AH112" s="43" t="s">
        <v>2817</v>
      </c>
      <c r="AI112" s="63">
        <f t="shared" si="27"/>
        <v>3.7847826086956519E-2</v>
      </c>
      <c r="AJ112" s="307">
        <f>RTD("money.excel",,$G112,"PredictVolume")</f>
        <v>1741</v>
      </c>
      <c r="AK112" s="339"/>
    </row>
    <row r="113" spans="1:37">
      <c r="A113" s="416">
        <v>5.19</v>
      </c>
      <c r="B113" s="91">
        <v>-442</v>
      </c>
      <c r="C113" s="91">
        <v>-38</v>
      </c>
      <c r="D113" s="91">
        <v>-12</v>
      </c>
      <c r="E113" s="91">
        <v>6</v>
      </c>
      <c r="F113" s="6">
        <v>-13.61</v>
      </c>
      <c r="G113" s="79">
        <v>4406</v>
      </c>
      <c r="H113" s="8" t="s">
        <v>3390</v>
      </c>
      <c r="I113" s="16" t="s">
        <v>714</v>
      </c>
      <c r="J113" s="73">
        <v>80.510000000000005</v>
      </c>
      <c r="K113" s="73">
        <v>0.2</v>
      </c>
      <c r="L113" s="73">
        <v>0.82</v>
      </c>
      <c r="N113" s="318">
        <f t="shared" si="25"/>
        <v>81.53</v>
      </c>
      <c r="O113" s="81" t="str">
        <f>IFERROR(VLOOKUP($G113,'321買'!A:E,3,0),"'沒有資料'")</f>
        <v>'沒有資料'</v>
      </c>
      <c r="P113" s="380" t="str">
        <f>IFERROR(VLOOKUP($G113,'321買'!$A:$G,7,0),"'沒有資料'")</f>
        <v>'沒有資料'</v>
      </c>
      <c r="R113" s="297">
        <f>IFERROR(RANK(VLOOKUP($G113,連買!$A:$D,4,0),連買!$D:$D,0),"'沒有資料'")</f>
        <v>1449</v>
      </c>
      <c r="S113" s="34">
        <v>0</v>
      </c>
      <c r="T113" s="353">
        <f t="shared" si="26"/>
        <v>0</v>
      </c>
      <c r="U113" s="95">
        <v>-0.94</v>
      </c>
      <c r="V113" s="36">
        <f>RTD("money.excel",,"4406","Price")</f>
        <v>10.4</v>
      </c>
      <c r="W113" s="66"/>
      <c r="X113" s="15">
        <f t="shared" si="20"/>
        <v>10.4</v>
      </c>
      <c r="Y113" s="3" t="e">
        <f t="shared" si="21"/>
        <v>#DIV/0!</v>
      </c>
      <c r="AA113" s="161">
        <v>0</v>
      </c>
      <c r="AB113" s="409">
        <v>0</v>
      </c>
      <c r="AC113" s="259">
        <f t="shared" si="22"/>
        <v>0</v>
      </c>
      <c r="AD113" s="16" t="s">
        <v>714</v>
      </c>
      <c r="AG113" s="33">
        <f t="shared" si="23"/>
        <v>0</v>
      </c>
      <c r="AH113" s="43" t="s">
        <v>1533</v>
      </c>
      <c r="AI113" s="63">
        <f t="shared" si="27"/>
        <v>1.6955684007707126E-3</v>
      </c>
      <c r="AJ113" s="307">
        <f>RTD("money.excel",,$G113,"PredictVolume")</f>
        <v>88</v>
      </c>
      <c r="AK113" s="339"/>
    </row>
    <row r="114" spans="1:37">
      <c r="A114" s="416">
        <v>3.13</v>
      </c>
      <c r="B114" s="91">
        <v>-135</v>
      </c>
      <c r="C114" s="91">
        <v>-125</v>
      </c>
      <c r="D114" s="91">
        <v>184</v>
      </c>
      <c r="E114" s="91">
        <v>130</v>
      </c>
      <c r="F114" s="6">
        <v>-1.19</v>
      </c>
      <c r="G114" s="79">
        <v>4413</v>
      </c>
      <c r="H114" s="8" t="s">
        <v>3390</v>
      </c>
      <c r="I114" s="16" t="s">
        <v>1112</v>
      </c>
      <c r="J114" s="73">
        <v>70.790000000000006</v>
      </c>
      <c r="K114" s="73">
        <v>7.57</v>
      </c>
      <c r="N114" s="318">
        <f t="shared" si="25"/>
        <v>78.360000000000014</v>
      </c>
      <c r="O114" s="81" t="str">
        <f>IFERROR(VLOOKUP($G114,'321買'!A:E,3,0),"'沒有資料'")</f>
        <v>'沒有資料'</v>
      </c>
      <c r="P114" s="380" t="str">
        <f>IFERROR(VLOOKUP($G114,'321買'!$A:$G,7,0),"'沒有資料'")</f>
        <v>'沒有資料'</v>
      </c>
      <c r="R114" s="297">
        <f>IFERROR(RANK(VLOOKUP($G114,連買!$A:$D,4,0),連買!$D:$D,0),"'沒有資料'")</f>
        <v>1352</v>
      </c>
      <c r="S114" s="34">
        <v>0</v>
      </c>
      <c r="T114" s="353">
        <f t="shared" si="26"/>
        <v>0</v>
      </c>
      <c r="U114" s="95">
        <v>-0.79</v>
      </c>
      <c r="V114" s="13">
        <f>RTD("money.excel",,"4413","Price")</f>
        <v>12.3</v>
      </c>
      <c r="W114" s="66"/>
      <c r="X114" s="15">
        <f t="shared" si="20"/>
        <v>12.3</v>
      </c>
      <c r="Y114" s="3" t="e">
        <f t="shared" si="21"/>
        <v>#DIV/0!</v>
      </c>
      <c r="AA114" s="161">
        <v>0</v>
      </c>
      <c r="AB114" s="409">
        <v>0</v>
      </c>
      <c r="AC114" s="259">
        <f t="shared" si="22"/>
        <v>0</v>
      </c>
      <c r="AD114" s="16" t="s">
        <v>1112</v>
      </c>
      <c r="AG114" s="33">
        <f t="shared" si="23"/>
        <v>0</v>
      </c>
      <c r="AH114" s="43" t="s">
        <v>2818</v>
      </c>
      <c r="AI114" s="63">
        <f t="shared" si="27"/>
        <v>3.2268370607028752E-3</v>
      </c>
      <c r="AJ114" s="307">
        <f>RTD("money.excel",,$G114,"PredictVolume")</f>
        <v>101</v>
      </c>
      <c r="AK114" s="339"/>
    </row>
    <row r="115" spans="1:37">
      <c r="A115" s="416">
        <v>81.8</v>
      </c>
      <c r="B115" s="91">
        <v>-30</v>
      </c>
      <c r="C115" s="91">
        <v>29</v>
      </c>
      <c r="D115" s="91">
        <v>-20</v>
      </c>
      <c r="E115" s="91">
        <v>-7</v>
      </c>
      <c r="F115" s="6">
        <v>-0.99</v>
      </c>
      <c r="G115" s="79">
        <v>4414</v>
      </c>
      <c r="H115" s="8" t="s">
        <v>3390</v>
      </c>
      <c r="I115" s="22" t="s">
        <v>754</v>
      </c>
      <c r="J115" s="73">
        <v>79.47</v>
      </c>
      <c r="K115" s="73">
        <v>12.51</v>
      </c>
      <c r="L115" s="73">
        <v>27.22</v>
      </c>
      <c r="N115" s="318">
        <f t="shared" si="25"/>
        <v>119.2</v>
      </c>
      <c r="O115" s="81">
        <f>IFERROR(VLOOKUP($G115,'321買'!A:E,3,0),"'沒有資料'")</f>
        <v>0</v>
      </c>
      <c r="P115" s="380">
        <f>IFERROR(VLOOKUP($G115,'321買'!$A:$G,7,0),"'沒有資料'")</f>
        <v>911</v>
      </c>
      <c r="R115" s="297">
        <f>IFERROR(RANK(VLOOKUP($G115,連買!$A:$D,4,0),連買!$D:$D,0),"'沒有資料'")</f>
        <v>1515</v>
      </c>
      <c r="S115" s="34">
        <v>0</v>
      </c>
      <c r="T115" s="353">
        <f t="shared" si="26"/>
        <v>0</v>
      </c>
      <c r="U115" s="95">
        <v>-0.16</v>
      </c>
      <c r="V115" s="13">
        <f>RTD("money.excel",,"4414","Price")</f>
        <v>5.46</v>
      </c>
      <c r="W115" s="66"/>
      <c r="X115" s="15">
        <f t="shared" si="20"/>
        <v>5.46</v>
      </c>
      <c r="Y115" s="3" t="e">
        <f t="shared" si="21"/>
        <v>#DIV/0!</v>
      </c>
      <c r="AA115" s="161">
        <v>0</v>
      </c>
      <c r="AB115" s="409">
        <v>0</v>
      </c>
      <c r="AC115" s="259">
        <f t="shared" si="22"/>
        <v>0</v>
      </c>
      <c r="AD115" s="22" t="s">
        <v>754</v>
      </c>
      <c r="AG115" s="33">
        <f t="shared" si="23"/>
        <v>0</v>
      </c>
      <c r="AH115" s="43" t="s">
        <v>2567</v>
      </c>
      <c r="AI115" s="63">
        <f t="shared" si="27"/>
        <v>3.9046454767726162E-3</v>
      </c>
      <c r="AJ115" s="307">
        <f>RTD("money.excel",,$G115,"PredictVolume")</f>
        <v>3194</v>
      </c>
      <c r="AK115" s="339"/>
    </row>
    <row r="116" spans="1:37">
      <c r="A116" s="415">
        <v>8.4</v>
      </c>
      <c r="B116" s="91">
        <v>72</v>
      </c>
      <c r="C116" s="91">
        <v>4</v>
      </c>
      <c r="D116" s="91">
        <v>-7</v>
      </c>
      <c r="E116" s="91">
        <v>57</v>
      </c>
      <c r="F116" s="57">
        <v>13.72</v>
      </c>
      <c r="G116" s="79">
        <v>4417</v>
      </c>
      <c r="H116" s="8" t="s">
        <v>3390</v>
      </c>
      <c r="I116" s="16" t="s">
        <v>715</v>
      </c>
      <c r="J116" s="73">
        <v>46.56</v>
      </c>
      <c r="K116" s="73">
        <v>2.93</v>
      </c>
      <c r="L116" s="73">
        <v>1.31</v>
      </c>
      <c r="N116" s="318">
        <f t="shared" si="25"/>
        <v>50.800000000000004</v>
      </c>
      <c r="O116" s="81" t="str">
        <f>IFERROR(VLOOKUP($G116,'321買'!A:E,3,0),"'沒有資料'")</f>
        <v>'沒有資料'</v>
      </c>
      <c r="P116" s="380" t="str">
        <f>IFERROR(VLOOKUP($G116,'321買'!$A:$G,7,0),"'沒有資料'")</f>
        <v>'沒有資料'</v>
      </c>
      <c r="R116" s="297">
        <f>IFERROR(RANK(VLOOKUP($G116,連買!$A:$D,4,0),連買!$D:$D,0),"'沒有資料'")</f>
        <v>1271</v>
      </c>
      <c r="S116" s="34">
        <v>2.5</v>
      </c>
      <c r="T116" s="353">
        <f t="shared" si="26"/>
        <v>7.2568940493468792E-2</v>
      </c>
      <c r="U116" s="95">
        <v>3.76</v>
      </c>
      <c r="V116" s="36">
        <f>RTD("money.excel",,"4417","Price")</f>
        <v>34.450000000000003</v>
      </c>
      <c r="W116" s="66"/>
      <c r="X116" s="15">
        <f t="shared" si="20"/>
        <v>34.450000000000003</v>
      </c>
      <c r="Y116" s="3" t="e">
        <f t="shared" si="21"/>
        <v>#DIV/0!</v>
      </c>
      <c r="AA116" s="161">
        <v>0</v>
      </c>
      <c r="AB116" s="409">
        <v>0</v>
      </c>
      <c r="AC116" s="259">
        <f t="shared" si="22"/>
        <v>0</v>
      </c>
      <c r="AD116" s="16" t="s">
        <v>715</v>
      </c>
      <c r="AG116" s="33">
        <f t="shared" si="23"/>
        <v>0</v>
      </c>
      <c r="AH116" s="43" t="s">
        <v>2819</v>
      </c>
      <c r="AI116" s="63">
        <f t="shared" si="27"/>
        <v>1.9047619047619048E-4</v>
      </c>
      <c r="AJ116" s="307">
        <f>RTD("money.excel",,$G116,"PredictVolume")</f>
        <v>16</v>
      </c>
      <c r="AK116" s="339"/>
    </row>
    <row r="117" spans="1:37">
      <c r="A117" s="416">
        <v>4.66</v>
      </c>
      <c r="B117" s="91">
        <v>-183</v>
      </c>
      <c r="C117" s="91">
        <v>10</v>
      </c>
      <c r="D117" s="91">
        <v>497</v>
      </c>
      <c r="E117" s="91">
        <v>633</v>
      </c>
      <c r="F117" s="6">
        <v>-31</v>
      </c>
      <c r="G117" s="79">
        <v>4419</v>
      </c>
      <c r="H117" s="8" t="s">
        <v>3390</v>
      </c>
      <c r="I117" s="16" t="s">
        <v>716</v>
      </c>
      <c r="J117" s="73">
        <v>77.37</v>
      </c>
      <c r="K117" s="73">
        <v>0.01</v>
      </c>
      <c r="N117" s="318">
        <f t="shared" si="25"/>
        <v>77.38000000000001</v>
      </c>
      <c r="O117" s="81" t="str">
        <f>IFERROR(VLOOKUP($G117,'321買'!A:E,3,0),"'沒有資料'")</f>
        <v>'沒有資料'</v>
      </c>
      <c r="P117" s="380" t="str">
        <f>IFERROR(VLOOKUP($G117,'321買'!$A:$G,7,0),"'沒有資料'")</f>
        <v>'沒有資料'</v>
      </c>
      <c r="R117" s="297">
        <f>IFERROR(RANK(VLOOKUP($G117,連買!$A:$D,4,0),連買!$D:$D,0),"'沒有資料'")</f>
        <v>1388</v>
      </c>
      <c r="S117" s="34">
        <v>0</v>
      </c>
      <c r="T117" s="353" t="e">
        <f t="shared" si="26"/>
        <v>#VALUE!</v>
      </c>
      <c r="U117" s="95">
        <v>-1.38</v>
      </c>
      <c r="V117" s="13" t="str">
        <f>RTD("money.excel",,"4419","Price")</f>
        <v>無資料</v>
      </c>
      <c r="W117" s="66"/>
      <c r="X117" s="15" t="e">
        <f t="shared" si="20"/>
        <v>#VALUE!</v>
      </c>
      <c r="Y117" s="3" t="e">
        <f t="shared" si="21"/>
        <v>#VALUE!</v>
      </c>
      <c r="AA117" s="161">
        <v>0</v>
      </c>
      <c r="AB117" s="409">
        <v>0</v>
      </c>
      <c r="AC117" s="259">
        <f t="shared" si="22"/>
        <v>0</v>
      </c>
      <c r="AD117" s="16" t="s">
        <v>716</v>
      </c>
      <c r="AG117" s="33">
        <f t="shared" si="23"/>
        <v>0</v>
      </c>
      <c r="AH117" s="43" t="s">
        <v>1533</v>
      </c>
      <c r="AI117" s="63">
        <f t="shared" si="27"/>
        <v>0</v>
      </c>
      <c r="AJ117" s="307">
        <f>RTD("money.excel",,$G117,"PredictVolume")</f>
        <v>0</v>
      </c>
      <c r="AK117" s="339"/>
    </row>
    <row r="118" spans="1:37">
      <c r="A118" s="416">
        <v>4.05</v>
      </c>
      <c r="B118" s="91">
        <v>-106</v>
      </c>
      <c r="C118" s="91">
        <v>-101</v>
      </c>
      <c r="D118" s="91">
        <v>-14</v>
      </c>
      <c r="E118" s="91">
        <v>45</v>
      </c>
      <c r="F118" s="6">
        <v>6.2</v>
      </c>
      <c r="G118" s="79">
        <v>4420</v>
      </c>
      <c r="H118" s="8" t="s">
        <v>3390</v>
      </c>
      <c r="I118" s="16" t="s">
        <v>717</v>
      </c>
      <c r="J118" s="73">
        <v>71.69</v>
      </c>
      <c r="K118" s="73">
        <v>0</v>
      </c>
      <c r="L118" s="73">
        <v>6.32</v>
      </c>
      <c r="N118" s="318">
        <f t="shared" si="25"/>
        <v>78.009999999999991</v>
      </c>
      <c r="O118" s="81" t="str">
        <f>IFERROR(VLOOKUP($G118,'321買'!A:E,3,0),"'沒有資料'")</f>
        <v>'沒有資料'</v>
      </c>
      <c r="P118" s="380" t="str">
        <f>IFERROR(VLOOKUP($G118,'321買'!$A:$G,7,0),"'沒有資料'")</f>
        <v>'沒有資料'</v>
      </c>
      <c r="R118" s="297">
        <f>IFERROR(RANK(VLOOKUP($G118,連買!$A:$D,4,0),連買!$D:$D,0),"'沒有資料'")</f>
        <v>930</v>
      </c>
      <c r="S118" s="34">
        <v>2</v>
      </c>
      <c r="T118" s="353">
        <f t="shared" si="26"/>
        <v>5.8823529411764705E-2</v>
      </c>
      <c r="U118" s="95">
        <v>-0.46</v>
      </c>
      <c r="V118" s="13">
        <f>RTD("money.excel",,"4420","Price")</f>
        <v>34</v>
      </c>
      <c r="W118" s="66"/>
      <c r="X118" s="15">
        <f t="shared" si="20"/>
        <v>34</v>
      </c>
      <c r="Y118" s="3" t="e">
        <f t="shared" si="21"/>
        <v>#DIV/0!</v>
      </c>
      <c r="AA118" s="161">
        <v>0</v>
      </c>
      <c r="AB118" s="409">
        <v>0</v>
      </c>
      <c r="AC118" s="259">
        <f t="shared" si="22"/>
        <v>0</v>
      </c>
      <c r="AD118" s="16" t="s">
        <v>717</v>
      </c>
      <c r="AG118" s="33">
        <f t="shared" si="23"/>
        <v>0</v>
      </c>
      <c r="AH118" s="43" t="s">
        <v>2820</v>
      </c>
      <c r="AI118" s="63">
        <f t="shared" si="27"/>
        <v>3.2098765432098765E-4</v>
      </c>
      <c r="AJ118" s="307">
        <f>RTD("money.excel",,$G118,"PredictVolume")</f>
        <v>13</v>
      </c>
      <c r="AK118" s="339"/>
    </row>
    <row r="119" spans="1:37">
      <c r="A119" s="416">
        <v>17.2</v>
      </c>
      <c r="B119" s="91">
        <v>16</v>
      </c>
      <c r="C119" s="91">
        <v>25</v>
      </c>
      <c r="D119" s="91">
        <v>-9</v>
      </c>
      <c r="E119" s="91">
        <v>17</v>
      </c>
      <c r="F119" s="6">
        <v>-11.71</v>
      </c>
      <c r="G119" s="79">
        <v>4426</v>
      </c>
      <c r="H119" s="8" t="s">
        <v>3390</v>
      </c>
      <c r="I119" s="22" t="s">
        <v>755</v>
      </c>
      <c r="J119" s="323">
        <v>63.11</v>
      </c>
      <c r="K119" s="323">
        <v>9.69</v>
      </c>
      <c r="L119" s="73">
        <v>13.68</v>
      </c>
      <c r="N119" s="318">
        <f t="shared" si="25"/>
        <v>86.47999999999999</v>
      </c>
      <c r="O119" s="81">
        <f>IFERROR(VLOOKUP($G119,'321買'!A:E,3,0),"'沒有資料'")</f>
        <v>0</v>
      </c>
      <c r="P119" s="380">
        <f>IFERROR(VLOOKUP($G119,'321買'!$A:$G,7,0),"'沒有資料'")</f>
        <v>911</v>
      </c>
      <c r="R119" s="297">
        <f>IFERROR(RANK(VLOOKUP($G119,連買!$A:$D,4,0),連買!$D:$D,0),"'沒有資料'")</f>
        <v>824</v>
      </c>
      <c r="S119" s="34">
        <v>0</v>
      </c>
      <c r="T119" s="353">
        <f t="shared" si="26"/>
        <v>0</v>
      </c>
      <c r="U119" s="57">
        <v>-0.65</v>
      </c>
      <c r="V119" s="36">
        <f>RTD("money.excel",,"4426","Price")</f>
        <v>23.65</v>
      </c>
      <c r="W119" s="66"/>
      <c r="X119" s="15">
        <f t="shared" si="20"/>
        <v>23.65</v>
      </c>
      <c r="Y119" s="3" t="e">
        <f t="shared" si="21"/>
        <v>#DIV/0!</v>
      </c>
      <c r="AA119" s="161">
        <v>0</v>
      </c>
      <c r="AB119" s="409">
        <v>0</v>
      </c>
      <c r="AC119" s="259">
        <f t="shared" si="22"/>
        <v>0</v>
      </c>
      <c r="AD119" s="22" t="s">
        <v>755</v>
      </c>
      <c r="AG119" s="33">
        <f t="shared" si="23"/>
        <v>0</v>
      </c>
      <c r="AH119" s="43" t="s">
        <v>1536</v>
      </c>
      <c r="AI119" s="63">
        <f t="shared" si="27"/>
        <v>2.0290697674418606E-3</v>
      </c>
      <c r="AJ119" s="307">
        <f>RTD("money.excel",,$G119,"PredictVolume")</f>
        <v>349</v>
      </c>
      <c r="AK119" s="339"/>
    </row>
    <row r="120" spans="1:37">
      <c r="A120" s="416">
        <v>3.44</v>
      </c>
      <c r="B120" s="91">
        <v>86</v>
      </c>
      <c r="C120" s="91">
        <v>-89</v>
      </c>
      <c r="D120" s="91">
        <v>-1</v>
      </c>
      <c r="E120" s="91">
        <v>4</v>
      </c>
      <c r="F120" s="6">
        <v>0.21</v>
      </c>
      <c r="G120" s="79">
        <v>4429</v>
      </c>
      <c r="H120" s="8" t="s">
        <v>3390</v>
      </c>
      <c r="I120" s="16" t="s">
        <v>718</v>
      </c>
      <c r="J120" s="73">
        <v>68.53</v>
      </c>
      <c r="K120" s="73">
        <v>1.56</v>
      </c>
      <c r="L120" s="73">
        <v>0.93</v>
      </c>
      <c r="N120" s="318">
        <f t="shared" si="25"/>
        <v>71.02000000000001</v>
      </c>
      <c r="O120" s="81" t="str">
        <f>IFERROR(VLOOKUP($G120,'321買'!A:E,3,0),"'沒有資料'")</f>
        <v>'沒有資料'</v>
      </c>
      <c r="P120" s="380" t="str">
        <f>IFERROR(VLOOKUP($G120,'321買'!$A:$G,7,0),"'沒有資料'")</f>
        <v>'沒有資料'</v>
      </c>
      <c r="R120" s="297">
        <f>IFERROR(RANK(VLOOKUP($G120,連買!$A:$D,4,0),連買!$D:$D,0),"'沒有資料'")</f>
        <v>1146</v>
      </c>
      <c r="S120" s="34">
        <v>0</v>
      </c>
      <c r="T120" s="353">
        <f t="shared" si="26"/>
        <v>0</v>
      </c>
      <c r="U120" s="95">
        <v>-1.24</v>
      </c>
      <c r="V120" s="13">
        <f>RTD("money.excel",,"4429","Price")</f>
        <v>40</v>
      </c>
      <c r="W120" s="66"/>
      <c r="X120" s="15">
        <f t="shared" si="20"/>
        <v>40</v>
      </c>
      <c r="Y120" s="3" t="e">
        <f t="shared" si="21"/>
        <v>#DIV/0!</v>
      </c>
      <c r="AA120" s="161">
        <v>0</v>
      </c>
      <c r="AB120" s="409">
        <v>0</v>
      </c>
      <c r="AC120" s="259">
        <f t="shared" si="22"/>
        <v>0</v>
      </c>
      <c r="AD120" s="16" t="s">
        <v>718</v>
      </c>
      <c r="AG120" s="33">
        <f t="shared" si="23"/>
        <v>0</v>
      </c>
      <c r="AH120" s="43" t="s">
        <v>2821</v>
      </c>
      <c r="AI120" s="63">
        <f t="shared" si="27"/>
        <v>1.1627906976744187E-4</v>
      </c>
      <c r="AJ120" s="307">
        <f>RTD("money.excel",,$G120,"PredictVolume")</f>
        <v>4</v>
      </c>
      <c r="AK120" s="339"/>
    </row>
    <row r="121" spans="1:37">
      <c r="A121" s="416">
        <v>50.6</v>
      </c>
      <c r="B121" s="79">
        <v>88</v>
      </c>
      <c r="C121" s="79">
        <v>54</v>
      </c>
      <c r="D121" s="80">
        <v>-43</v>
      </c>
      <c r="E121" s="80">
        <v>-38</v>
      </c>
      <c r="F121" s="6">
        <v>-0.99</v>
      </c>
      <c r="G121" s="79">
        <v>4432</v>
      </c>
      <c r="H121" s="17" t="s">
        <v>3390</v>
      </c>
      <c r="I121" s="171" t="s">
        <v>3892</v>
      </c>
      <c r="J121" s="323">
        <v>46.43</v>
      </c>
      <c r="K121" s="73">
        <v>0.95</v>
      </c>
      <c r="L121" s="73">
        <v>7.88</v>
      </c>
      <c r="N121" s="318">
        <f t="shared" si="25"/>
        <v>55.260000000000005</v>
      </c>
      <c r="O121" s="81">
        <f>IFERROR(VLOOKUP($G121,'321買'!A:E,3,0),"'沒有資料'")</f>
        <v>0</v>
      </c>
      <c r="P121" s="380">
        <f>IFERROR(VLOOKUP($G121,'321買'!$A:$G,7,0),"'沒有資料'")</f>
        <v>911</v>
      </c>
      <c r="R121" s="297">
        <f>IFERROR(RANK(VLOOKUP($G121,連買!$A:$D,4,0),連買!$D:$D,0),"'沒有資料'")</f>
        <v>1159</v>
      </c>
      <c r="S121" s="197">
        <v>0</v>
      </c>
      <c r="T121" s="353">
        <f t="shared" si="26"/>
        <v>0</v>
      </c>
      <c r="U121" s="95">
        <v>-0.18</v>
      </c>
      <c r="V121" s="36">
        <f>RTD("money.excel",,"4432","Price")</f>
        <v>15.55</v>
      </c>
      <c r="W121" s="66"/>
      <c r="X121" s="15">
        <f t="shared" si="20"/>
        <v>15.55</v>
      </c>
      <c r="Y121" s="3" t="e">
        <f t="shared" si="21"/>
        <v>#DIV/0!</v>
      </c>
      <c r="AA121" s="161">
        <v>0</v>
      </c>
      <c r="AB121" s="409">
        <v>0</v>
      </c>
      <c r="AC121" s="259">
        <f t="shared" si="22"/>
        <v>0</v>
      </c>
      <c r="AD121" s="16" t="s">
        <v>3892</v>
      </c>
      <c r="AG121" s="33">
        <f t="shared" si="23"/>
        <v>0</v>
      </c>
      <c r="AH121" s="43" t="s">
        <v>1454</v>
      </c>
      <c r="AI121" s="63">
        <f t="shared" si="27"/>
        <v>1.8972332015810276E-4</v>
      </c>
      <c r="AJ121" s="307">
        <f>RTD("money.excel",,$G121,"PredictVolume")</f>
        <v>96</v>
      </c>
      <c r="AK121" s="339"/>
    </row>
    <row r="122" spans="1:37">
      <c r="A122" s="416">
        <v>4.7</v>
      </c>
      <c r="B122" s="93">
        <v>1721</v>
      </c>
      <c r="C122" s="79">
        <v>109</v>
      </c>
      <c r="D122" s="79">
        <v>101</v>
      </c>
      <c r="E122" s="79">
        <v>51</v>
      </c>
      <c r="F122" s="6">
        <v>4.4800000000000004</v>
      </c>
      <c r="G122" s="79">
        <v>4433</v>
      </c>
      <c r="H122" s="8" t="s">
        <v>3390</v>
      </c>
      <c r="I122" s="16" t="s">
        <v>719</v>
      </c>
      <c r="J122" s="323">
        <v>47.97</v>
      </c>
      <c r="K122" s="73">
        <v>0.75</v>
      </c>
      <c r="L122" s="73">
        <v>8.67</v>
      </c>
      <c r="N122" s="318">
        <f t="shared" si="25"/>
        <v>57.39</v>
      </c>
      <c r="O122" s="81">
        <f>IFERROR(VLOOKUP($G122,'321買'!A:E,3,0),"'沒有資料'")</f>
        <v>0</v>
      </c>
      <c r="P122" s="380">
        <f>IFERROR(VLOOKUP($G122,'321買'!$A:$G,7,0),"'沒有資料'")</f>
        <v>911</v>
      </c>
      <c r="R122" s="297">
        <f>IFERROR(RANK(VLOOKUP($G122,連買!$A:$D,4,0),連買!$D:$D,0),"'沒有資料'")</f>
        <v>707</v>
      </c>
      <c r="S122" s="34">
        <v>2</v>
      </c>
      <c r="T122" s="353">
        <f t="shared" si="26"/>
        <v>6.6445182724252483E-2</v>
      </c>
      <c r="U122" s="95">
        <v>7.84</v>
      </c>
      <c r="V122" s="36">
        <f>RTD("money.excel",,"4433","Price")</f>
        <v>30.1</v>
      </c>
      <c r="W122" s="66"/>
      <c r="X122" s="15">
        <f t="shared" si="20"/>
        <v>30.1</v>
      </c>
      <c r="Y122" s="3" t="e">
        <f t="shared" si="21"/>
        <v>#DIV/0!</v>
      </c>
      <c r="Z122" s="413" t="s">
        <v>1801</v>
      </c>
      <c r="AA122" s="161">
        <v>0</v>
      </c>
      <c r="AB122" s="409">
        <v>0</v>
      </c>
      <c r="AC122" s="259">
        <f t="shared" si="22"/>
        <v>0</v>
      </c>
      <c r="AD122" s="16" t="s">
        <v>719</v>
      </c>
      <c r="AG122" s="33">
        <f t="shared" si="23"/>
        <v>0</v>
      </c>
      <c r="AH122" s="43" t="s">
        <v>3548</v>
      </c>
      <c r="AI122" s="63">
        <f t="shared" si="27"/>
        <v>7.659574468085106E-4</v>
      </c>
      <c r="AJ122" s="307">
        <f>RTD("money.excel",,$G122,"PredictVolume")</f>
        <v>36</v>
      </c>
      <c r="AK122" s="339"/>
    </row>
    <row r="123" spans="1:37">
      <c r="A123" s="416">
        <v>10.3</v>
      </c>
      <c r="B123" s="91">
        <v>-54</v>
      </c>
      <c r="C123" s="91">
        <v>-65</v>
      </c>
      <c r="D123" s="91">
        <v>17</v>
      </c>
      <c r="E123" s="91">
        <v>-17</v>
      </c>
      <c r="F123" s="6">
        <v>4.3899999999999997</v>
      </c>
      <c r="G123" s="79">
        <v>4438</v>
      </c>
      <c r="H123" s="8" t="s">
        <v>3390</v>
      </c>
      <c r="I123" s="22" t="s">
        <v>756</v>
      </c>
      <c r="J123" s="73">
        <v>63.37</v>
      </c>
      <c r="K123" s="73">
        <v>3.77</v>
      </c>
      <c r="L123" s="73">
        <v>4.4000000000000004</v>
      </c>
      <c r="N123" s="318">
        <f t="shared" si="25"/>
        <v>71.540000000000006</v>
      </c>
      <c r="O123" s="81">
        <f>IFERROR(VLOOKUP($G123,'321買'!A:E,3,0),"'沒有資料'")</f>
        <v>0</v>
      </c>
      <c r="P123" s="380">
        <f>IFERROR(VLOOKUP($G123,'321買'!$A:$G,7,0),"'沒有資料'")</f>
        <v>911</v>
      </c>
      <c r="R123" s="297">
        <f>IFERROR(RANK(VLOOKUP($G123,連買!$A:$D,4,0),連買!$D:$D,0),"'沒有資料'")</f>
        <v>448</v>
      </c>
      <c r="S123" s="66">
        <v>3.2</v>
      </c>
      <c r="T123" s="353">
        <f t="shared" si="26"/>
        <v>2.8193832599118944E-2</v>
      </c>
      <c r="U123" s="57">
        <v>5.2</v>
      </c>
      <c r="V123" s="36">
        <f>RTD("money.excel",,"4438","Price")</f>
        <v>113.5</v>
      </c>
      <c r="W123" s="66"/>
      <c r="X123" s="15">
        <f t="shared" si="20"/>
        <v>113.5</v>
      </c>
      <c r="Y123" s="3" t="e">
        <f t="shared" si="21"/>
        <v>#DIV/0!</v>
      </c>
      <c r="Z123" s="413" t="s">
        <v>1997</v>
      </c>
      <c r="AA123" s="161">
        <v>0</v>
      </c>
      <c r="AB123" s="409">
        <v>0</v>
      </c>
      <c r="AC123" s="259">
        <f t="shared" si="22"/>
        <v>0</v>
      </c>
      <c r="AD123" s="22" t="s">
        <v>756</v>
      </c>
      <c r="AG123" s="33">
        <f t="shared" si="23"/>
        <v>0</v>
      </c>
      <c r="AH123" s="43" t="s">
        <v>3224</v>
      </c>
      <c r="AI123" s="63">
        <f t="shared" si="27"/>
        <v>8.4466019417475733E-4</v>
      </c>
      <c r="AJ123" s="307">
        <f>RTD("money.excel",,$G123,"PredictVolume")</f>
        <v>87</v>
      </c>
      <c r="AK123" s="339"/>
    </row>
    <row r="124" spans="1:37">
      <c r="A124" s="416">
        <v>3.15</v>
      </c>
      <c r="B124" s="80">
        <v>-35</v>
      </c>
      <c r="C124" s="80">
        <v>-40</v>
      </c>
      <c r="D124" s="79">
        <v>17</v>
      </c>
      <c r="E124" s="80">
        <v>-13</v>
      </c>
      <c r="F124" s="6">
        <v>7.24</v>
      </c>
      <c r="G124" s="79">
        <v>4439</v>
      </c>
      <c r="H124" s="8" t="s">
        <v>3390</v>
      </c>
      <c r="I124" s="22" t="s">
        <v>1868</v>
      </c>
      <c r="J124" s="73">
        <v>71.319999999999993</v>
      </c>
      <c r="K124" s="323">
        <v>63.98</v>
      </c>
      <c r="L124" s="323">
        <v>2.13</v>
      </c>
      <c r="N124" s="318">
        <f t="shared" si="25"/>
        <v>137.42999999999998</v>
      </c>
      <c r="O124" s="81">
        <f>IFERROR(VLOOKUP($G124,'321買'!A:E,3,0),"'沒有資料'")</f>
        <v>0</v>
      </c>
      <c r="P124" s="380">
        <f>IFERROR(VLOOKUP($G124,'321買'!$A:$G,7,0),"'沒有資料'")</f>
        <v>911</v>
      </c>
      <c r="R124" s="297">
        <f>IFERROR(RANK(VLOOKUP($G124,連買!$A:$D,4,0),連買!$D:$D,0),"'沒有資料'")</f>
        <v>1618</v>
      </c>
      <c r="S124" s="66">
        <v>6.5</v>
      </c>
      <c r="T124" s="353">
        <f t="shared" si="26"/>
        <v>4.8148148148148148E-2</v>
      </c>
      <c r="U124" s="95">
        <v>13.24</v>
      </c>
      <c r="V124" s="13">
        <f>RTD("money.excel",,"4439","Price")</f>
        <v>135</v>
      </c>
      <c r="W124" s="66"/>
      <c r="X124" s="15">
        <f t="shared" si="20"/>
        <v>135</v>
      </c>
      <c r="Y124" s="3" t="e">
        <f t="shared" si="21"/>
        <v>#DIV/0!</v>
      </c>
      <c r="Z124" s="413" t="s">
        <v>1997</v>
      </c>
      <c r="AA124" s="161">
        <v>0</v>
      </c>
      <c r="AB124" s="409">
        <v>0</v>
      </c>
      <c r="AC124" s="259">
        <f t="shared" si="22"/>
        <v>0</v>
      </c>
      <c r="AD124" s="22" t="s">
        <v>1868</v>
      </c>
      <c r="AG124" s="33">
        <f t="shared" si="23"/>
        <v>0</v>
      </c>
      <c r="AH124" s="43" t="s">
        <v>2568</v>
      </c>
      <c r="AI124" s="63">
        <f t="shared" si="27"/>
        <v>3.1746031746031746E-4</v>
      </c>
      <c r="AJ124" s="307">
        <f>RTD("money.excel",,$G124,"PredictVolume")</f>
        <v>10</v>
      </c>
      <c r="AK124" s="339"/>
    </row>
    <row r="125" spans="1:37">
      <c r="A125" s="415">
        <v>6.76</v>
      </c>
      <c r="B125" s="79">
        <v>242</v>
      </c>
      <c r="C125" s="79">
        <v>182</v>
      </c>
      <c r="D125" s="79">
        <v>7</v>
      </c>
      <c r="E125" s="79">
        <v>36</v>
      </c>
      <c r="F125" s="57">
        <v>20.91</v>
      </c>
      <c r="G125" s="79">
        <v>4440</v>
      </c>
      <c r="H125" s="8" t="s">
        <v>3390</v>
      </c>
      <c r="I125" s="22" t="s">
        <v>3749</v>
      </c>
      <c r="J125" s="73">
        <v>34.19</v>
      </c>
      <c r="K125" s="73">
        <v>0.7</v>
      </c>
      <c r="M125" s="73"/>
      <c r="N125" s="318">
        <f t="shared" si="25"/>
        <v>34.89</v>
      </c>
      <c r="O125" s="81" t="str">
        <f>IFERROR(VLOOKUP($G125,'321買'!A:E,3,0),"'沒有資料'")</f>
        <v>'沒有資料'</v>
      </c>
      <c r="P125" s="380" t="str">
        <f>IFERROR(VLOOKUP($G125,'321買'!$A:$G,7,0),"'沒有資料'")</f>
        <v>'沒有資料'</v>
      </c>
      <c r="R125" s="297">
        <f>IFERROR(RANK(VLOOKUP($G125,連買!$A:$D,4,0),連買!$D:$D,0),"'沒有資料'")</f>
        <v>1134</v>
      </c>
      <c r="S125" s="66">
        <v>4.4000000000000004</v>
      </c>
      <c r="T125" s="353">
        <f t="shared" si="26"/>
        <v>8.9068825910931182E-2</v>
      </c>
      <c r="U125" s="95">
        <v>5.67</v>
      </c>
      <c r="V125" s="36">
        <f>RTD("money.excel",,"4440","Price")</f>
        <v>49.4</v>
      </c>
      <c r="W125" s="66"/>
      <c r="X125" s="15">
        <f t="shared" si="20"/>
        <v>49.4</v>
      </c>
      <c r="Y125" s="3" t="e">
        <f t="shared" si="21"/>
        <v>#DIV/0!</v>
      </c>
      <c r="Z125" s="413" t="s">
        <v>1831</v>
      </c>
      <c r="AA125" s="161">
        <v>0</v>
      </c>
      <c r="AB125" s="409">
        <v>0</v>
      </c>
      <c r="AC125" s="259">
        <f t="shared" si="22"/>
        <v>0</v>
      </c>
      <c r="AD125" s="22" t="s">
        <v>3749</v>
      </c>
      <c r="AG125" s="33">
        <f t="shared" si="23"/>
        <v>0</v>
      </c>
      <c r="AH125" s="43" t="s">
        <v>3753</v>
      </c>
      <c r="AI125" s="63">
        <f t="shared" si="27"/>
        <v>1.3609467455621301E-3</v>
      </c>
      <c r="AJ125" s="307">
        <f>RTD("money.excel",,$G125,"PredictVolume")</f>
        <v>92</v>
      </c>
      <c r="AK125" s="339"/>
    </row>
    <row r="126" spans="1:37">
      <c r="B126" s="79"/>
      <c r="C126" s="79"/>
      <c r="D126" s="79"/>
      <c r="E126" s="79"/>
      <c r="F126" s="57"/>
      <c r="G126" s="79"/>
      <c r="H126" s="8"/>
      <c r="I126" s="22"/>
      <c r="J126" s="73"/>
      <c r="K126" s="73"/>
      <c r="M126" s="73"/>
      <c r="N126" s="318"/>
      <c r="O126" s="26"/>
      <c r="S126" s="66"/>
      <c r="U126" s="95"/>
      <c r="V126" s="36"/>
      <c r="W126" s="66"/>
      <c r="X126" s="15"/>
      <c r="Y126" s="3"/>
      <c r="AA126" s="2"/>
      <c r="AD126" s="22"/>
      <c r="AG126" s="33"/>
      <c r="AH126" s="43"/>
      <c r="AI126" s="63"/>
      <c r="AJ126" s="307"/>
      <c r="AK126" s="339"/>
    </row>
    <row r="127" spans="1:37">
      <c r="A127" s="130" t="s">
        <v>1732</v>
      </c>
      <c r="B127" s="91" t="s">
        <v>1588</v>
      </c>
      <c r="C127" s="91" t="s">
        <v>1589</v>
      </c>
      <c r="D127" s="91" t="s">
        <v>1590</v>
      </c>
      <c r="E127" s="91" t="s">
        <v>1591</v>
      </c>
      <c r="F127" s="8" t="s">
        <v>1066</v>
      </c>
      <c r="G127" s="27" t="s">
        <v>526</v>
      </c>
      <c r="H127" s="55" t="s">
        <v>322</v>
      </c>
      <c r="I127" s="50" t="s">
        <v>297</v>
      </c>
      <c r="J127" s="317" t="s">
        <v>1467</v>
      </c>
      <c r="K127" s="317" t="s">
        <v>1157</v>
      </c>
      <c r="L127" s="317" t="s">
        <v>284</v>
      </c>
      <c r="M127" s="317" t="s">
        <v>1059</v>
      </c>
      <c r="N127" s="317" t="s">
        <v>5048</v>
      </c>
      <c r="O127" s="26" t="s">
        <v>5107</v>
      </c>
      <c r="P127" s="373" t="s">
        <v>5059</v>
      </c>
      <c r="Q127" s="245" t="s">
        <v>5087</v>
      </c>
      <c r="R127" s="345" t="s">
        <v>5059</v>
      </c>
      <c r="S127" s="10" t="s">
        <v>66</v>
      </c>
      <c r="T127" s="351" t="s">
        <v>5076</v>
      </c>
      <c r="U127" s="68" t="s">
        <v>3493</v>
      </c>
      <c r="V127" s="28" t="s">
        <v>2</v>
      </c>
      <c r="W127" s="17" t="s">
        <v>1405</v>
      </c>
      <c r="X127" s="14" t="s">
        <v>5</v>
      </c>
      <c r="Y127" s="21" t="s">
        <v>3</v>
      </c>
      <c r="Z127" s="97" t="s">
        <v>6627</v>
      </c>
      <c r="AA127" s="406" t="s">
        <v>8647</v>
      </c>
      <c r="AB127" s="407" t="s">
        <v>8648</v>
      </c>
      <c r="AC127" s="408" t="s">
        <v>8649</v>
      </c>
      <c r="AD127" s="50" t="s">
        <v>297</v>
      </c>
      <c r="AE127" s="71" t="s">
        <v>1406</v>
      </c>
      <c r="AF127" s="72" t="s">
        <v>1163</v>
      </c>
      <c r="AG127" s="32" t="s">
        <v>1164</v>
      </c>
      <c r="AH127" s="25" t="s">
        <v>8650</v>
      </c>
      <c r="AI127" s="8" t="s">
        <v>3852</v>
      </c>
      <c r="AJ127" s="50" t="s">
        <v>3586</v>
      </c>
      <c r="AK127" s="339" t="s">
        <v>5038</v>
      </c>
    </row>
    <row r="128" spans="1:37">
      <c r="A128" s="416">
        <v>52.1</v>
      </c>
      <c r="B128" s="79">
        <v>0</v>
      </c>
      <c r="C128" s="79">
        <v>10</v>
      </c>
      <c r="D128" s="80">
        <v>-11</v>
      </c>
      <c r="E128" s="80">
        <v>-1</v>
      </c>
      <c r="F128" s="6">
        <v>9.4</v>
      </c>
      <c r="G128" s="79">
        <v>1503</v>
      </c>
      <c r="H128" s="8" t="s">
        <v>297</v>
      </c>
      <c r="I128" s="22" t="s">
        <v>555</v>
      </c>
      <c r="J128" s="73">
        <v>86.71</v>
      </c>
      <c r="K128" s="73">
        <v>31.98</v>
      </c>
      <c r="L128" s="73">
        <v>0.21</v>
      </c>
      <c r="N128" s="318">
        <f>J128+K128+L128+M128</f>
        <v>118.89999999999999</v>
      </c>
      <c r="O128" s="81">
        <f>IFERROR(VLOOKUP($G128,'321買'!A:E,3,0),"'沒有資料'")</f>
        <v>0</v>
      </c>
      <c r="P128" s="380">
        <f>IFERROR(VLOOKUP($G128,'321買'!$A:$G,7,0),"'沒有資料'")</f>
        <v>911</v>
      </c>
      <c r="R128" s="297">
        <f>IFERROR(RANK(VLOOKUP($G128,連買!$A:$D,4,0),連買!$D:$D,0),"'沒有資料'")</f>
        <v>739</v>
      </c>
      <c r="S128" s="34">
        <v>1.6</v>
      </c>
      <c r="T128" s="353">
        <f t="shared" ref="T128:T159" si="28">S128/V128</f>
        <v>3.0947775628626693E-2</v>
      </c>
      <c r="U128" s="95">
        <v>2.93</v>
      </c>
      <c r="V128" s="36">
        <f>RTD("money.excel",,"1503","Price")</f>
        <v>51.7</v>
      </c>
      <c r="W128" s="66"/>
      <c r="X128" s="15">
        <f t="shared" ref="X128:X191" si="29">V128-W128</f>
        <v>51.7</v>
      </c>
      <c r="Y128" s="3" t="e">
        <f t="shared" ref="Y128:Y191" si="30">X128/W128</f>
        <v>#DIV/0!</v>
      </c>
      <c r="Z128" s="413" t="s">
        <v>1801</v>
      </c>
      <c r="AA128" s="161">
        <v>0</v>
      </c>
      <c r="AB128" s="409">
        <v>0</v>
      </c>
      <c r="AC128" s="259">
        <f t="shared" si="22"/>
        <v>0</v>
      </c>
      <c r="AD128" s="22" t="s">
        <v>555</v>
      </c>
      <c r="AG128" s="33">
        <f t="shared" ref="AG128:AG191" si="31">AF128-AE128</f>
        <v>0</v>
      </c>
      <c r="AH128" s="43" t="s">
        <v>2119</v>
      </c>
      <c r="AI128" s="63">
        <f t="shared" ref="AI128:AI159" si="32">AJ128/(A128*10000)</f>
        <v>3.4548944337811902E-5</v>
      </c>
      <c r="AJ128" s="307">
        <f>RTD("money.excel",,$G128,"PredictVolume")</f>
        <v>18</v>
      </c>
      <c r="AK128" s="339"/>
    </row>
    <row r="129" spans="1:37">
      <c r="A129" s="416">
        <v>213</v>
      </c>
      <c r="B129" s="79">
        <v>1</v>
      </c>
      <c r="C129" s="80">
        <v>-7</v>
      </c>
      <c r="D129" s="79">
        <v>9</v>
      </c>
      <c r="E129" s="79">
        <v>0</v>
      </c>
      <c r="F129" s="6">
        <v>0</v>
      </c>
      <c r="G129" s="79">
        <v>1504</v>
      </c>
      <c r="H129" s="8" t="s">
        <v>297</v>
      </c>
      <c r="I129" s="22" t="s">
        <v>3893</v>
      </c>
      <c r="J129" s="323">
        <v>78.599999999999994</v>
      </c>
      <c r="K129" s="323">
        <v>28.95</v>
      </c>
      <c r="L129" s="323">
        <v>0.92</v>
      </c>
      <c r="N129" s="318">
        <f t="shared" ref="N129:N191" si="33">J129+K129+L129+M129</f>
        <v>108.47</v>
      </c>
      <c r="O129" s="81">
        <f>IFERROR(VLOOKUP($G129,'321買'!A:E,3,0),"'沒有資料'")</f>
        <v>0</v>
      </c>
      <c r="P129" s="380">
        <f>IFERROR(VLOOKUP($G129,'321買'!$A:$G,7,0),"'沒有資料'")</f>
        <v>911</v>
      </c>
      <c r="R129" s="297">
        <f>IFERROR(RANK(VLOOKUP($G129,連買!$A:$D,4,0),連買!$D:$D,0),"'沒有資料'")</f>
        <v>777</v>
      </c>
      <c r="S129" s="34">
        <v>1.1499999999999999</v>
      </c>
      <c r="T129" s="353">
        <f t="shared" si="28"/>
        <v>3.5168195718654427E-2</v>
      </c>
      <c r="U129" s="95">
        <v>1.81</v>
      </c>
      <c r="V129" s="36">
        <f>RTD("money.excel",,"1504","Price")</f>
        <v>32.700000000000003</v>
      </c>
      <c r="W129" s="66"/>
      <c r="X129" s="15">
        <f t="shared" si="29"/>
        <v>32.700000000000003</v>
      </c>
      <c r="Y129" s="3" t="e">
        <f t="shared" si="30"/>
        <v>#DIV/0!</v>
      </c>
      <c r="Z129" s="413" t="s">
        <v>1801</v>
      </c>
      <c r="AA129" s="161">
        <v>0</v>
      </c>
      <c r="AB129" s="409">
        <v>0</v>
      </c>
      <c r="AC129" s="259">
        <f t="shared" si="22"/>
        <v>0</v>
      </c>
      <c r="AD129" s="22" t="s">
        <v>3893</v>
      </c>
      <c r="AG129" s="33">
        <f t="shared" si="31"/>
        <v>0</v>
      </c>
      <c r="AH129" s="120" t="s">
        <v>1418</v>
      </c>
      <c r="AI129" s="63">
        <f t="shared" si="32"/>
        <v>2.5028169014084506E-3</v>
      </c>
      <c r="AJ129" s="307">
        <f>RTD("money.excel",,$G129,"PredictVolume")</f>
        <v>5331</v>
      </c>
      <c r="AK129" s="339"/>
    </row>
    <row r="130" spans="1:37">
      <c r="A130" s="416">
        <v>16.3</v>
      </c>
      <c r="B130" s="80">
        <v>-172</v>
      </c>
      <c r="C130" s="80">
        <v>-32</v>
      </c>
      <c r="D130" s="79">
        <v>29</v>
      </c>
      <c r="E130" s="80">
        <v>-24</v>
      </c>
      <c r="F130" s="6">
        <v>-23.42</v>
      </c>
      <c r="G130" s="79">
        <v>1506</v>
      </c>
      <c r="H130" s="8" t="s">
        <v>297</v>
      </c>
      <c r="I130" s="22" t="s">
        <v>556</v>
      </c>
      <c r="J130" s="73">
        <v>69.260000000000005</v>
      </c>
      <c r="K130" s="73">
        <v>1.1599999999999999</v>
      </c>
      <c r="L130" s="323">
        <v>0</v>
      </c>
      <c r="N130" s="318">
        <f t="shared" si="33"/>
        <v>70.42</v>
      </c>
      <c r="O130" s="81">
        <f>IFERROR(VLOOKUP($G130,'321買'!A:E,3,0),"'沒有資料'")</f>
        <v>0</v>
      </c>
      <c r="P130" s="380">
        <f>IFERROR(VLOOKUP($G130,'321買'!$A:$G,7,0),"'沒有資料'")</f>
        <v>911</v>
      </c>
      <c r="R130" s="297">
        <f>IFERROR(RANK(VLOOKUP($G130,連買!$A:$D,4,0),連買!$D:$D,0),"'沒有資料'")</f>
        <v>1210</v>
      </c>
      <c r="S130" s="34">
        <v>0</v>
      </c>
      <c r="T130" s="353">
        <f t="shared" si="28"/>
        <v>0</v>
      </c>
      <c r="U130" s="95">
        <v>-2.2400000000000002</v>
      </c>
      <c r="V130" s="36">
        <f>RTD("money.excel",,"1506","Price")</f>
        <v>20.149999999999999</v>
      </c>
      <c r="W130" s="66"/>
      <c r="X130" s="15">
        <f t="shared" si="29"/>
        <v>20.149999999999999</v>
      </c>
      <c r="Y130" s="3" t="e">
        <f t="shared" si="30"/>
        <v>#DIV/0!</v>
      </c>
      <c r="AA130" s="161">
        <v>0</v>
      </c>
      <c r="AB130" s="409">
        <v>0</v>
      </c>
      <c r="AC130" s="259">
        <f t="shared" si="22"/>
        <v>0</v>
      </c>
      <c r="AD130" s="22" t="s">
        <v>556</v>
      </c>
      <c r="AG130" s="33">
        <f t="shared" si="31"/>
        <v>0</v>
      </c>
      <c r="AH130" s="43" t="s">
        <v>2919</v>
      </c>
      <c r="AI130" s="63">
        <f t="shared" si="32"/>
        <v>2.8901840490797547E-2</v>
      </c>
      <c r="AJ130" s="307">
        <f>RTD("money.excel",,$G130,"PredictVolume")</f>
        <v>4711</v>
      </c>
      <c r="AK130" s="339"/>
    </row>
    <row r="131" spans="1:37">
      <c r="A131" s="416">
        <v>41</v>
      </c>
      <c r="B131" s="79">
        <v>119</v>
      </c>
      <c r="C131" s="79">
        <v>82</v>
      </c>
      <c r="D131" s="79">
        <v>5</v>
      </c>
      <c r="E131" s="79">
        <v>23</v>
      </c>
      <c r="F131" s="6">
        <v>8.9499999999999993</v>
      </c>
      <c r="G131" s="79">
        <v>1507</v>
      </c>
      <c r="H131" s="8" t="s">
        <v>297</v>
      </c>
      <c r="I131" s="22" t="s">
        <v>557</v>
      </c>
      <c r="J131" s="323">
        <v>88.53</v>
      </c>
      <c r="K131" s="73">
        <v>31.06</v>
      </c>
      <c r="L131" s="323">
        <v>0.24</v>
      </c>
      <c r="N131" s="318">
        <f t="shared" si="33"/>
        <v>119.83</v>
      </c>
      <c r="O131" s="81">
        <f>IFERROR(VLOOKUP($G131,'321買'!A:E,3,0),"'沒有資料'")</f>
        <v>0</v>
      </c>
      <c r="P131" s="380">
        <f>IFERROR(VLOOKUP($G131,'321買'!$A:$G,7,0),"'沒有資料'")</f>
        <v>911</v>
      </c>
      <c r="R131" s="297">
        <f>IFERROR(RANK(VLOOKUP($G131,連買!$A:$D,4,0),連買!$D:$D,0),"'沒有資料'")</f>
        <v>331</v>
      </c>
      <c r="S131" s="34">
        <v>1.9</v>
      </c>
      <c r="T131" s="353" t="e">
        <f t="shared" si="28"/>
        <v>#VALUE!</v>
      </c>
      <c r="U131" s="95">
        <v>3.2</v>
      </c>
      <c r="V131" s="36" t="str">
        <f>RTD("money.excel",,"1507","Price")</f>
        <v>商品錯誤</v>
      </c>
      <c r="W131" s="66"/>
      <c r="X131" s="15" t="e">
        <f t="shared" si="29"/>
        <v>#VALUE!</v>
      </c>
      <c r="Y131" s="3" t="e">
        <f t="shared" si="30"/>
        <v>#VALUE!</v>
      </c>
      <c r="Z131" s="413" t="s">
        <v>1801</v>
      </c>
      <c r="AA131" s="161">
        <v>0</v>
      </c>
      <c r="AB131" s="409">
        <v>0</v>
      </c>
      <c r="AC131" s="259">
        <f t="shared" si="22"/>
        <v>0</v>
      </c>
      <c r="AD131" s="22" t="s">
        <v>557</v>
      </c>
      <c r="AG131" s="33">
        <f t="shared" si="31"/>
        <v>0</v>
      </c>
      <c r="AH131" s="43" t="s">
        <v>2918</v>
      </c>
      <c r="AI131" s="63" t="e">
        <f t="shared" si="32"/>
        <v>#VALUE!</v>
      </c>
      <c r="AJ131" s="307" t="str">
        <f>RTD("money.excel",,$G131,"PredictVolume")</f>
        <v>商品錯誤</v>
      </c>
      <c r="AK131" s="339"/>
    </row>
    <row r="132" spans="1:37">
      <c r="A132" s="415">
        <v>47.6</v>
      </c>
      <c r="B132" s="79">
        <v>146</v>
      </c>
      <c r="C132" s="79">
        <v>146</v>
      </c>
      <c r="D132" s="79">
        <v>17</v>
      </c>
      <c r="E132" s="79">
        <v>10</v>
      </c>
      <c r="F132" s="57">
        <v>14.69</v>
      </c>
      <c r="G132" s="79">
        <v>1513</v>
      </c>
      <c r="H132" s="8" t="s">
        <v>297</v>
      </c>
      <c r="I132" s="22" t="s">
        <v>558</v>
      </c>
      <c r="J132" s="323">
        <v>41.66</v>
      </c>
      <c r="K132" s="73">
        <v>6.95</v>
      </c>
      <c r="L132" s="323">
        <v>15.23</v>
      </c>
      <c r="N132" s="318">
        <f t="shared" si="33"/>
        <v>63.84</v>
      </c>
      <c r="O132" s="81">
        <f>IFERROR(VLOOKUP($G132,'321買'!A:E,3,0),"'沒有資料'")</f>
        <v>9</v>
      </c>
      <c r="P132" s="380">
        <f>IFERROR(VLOOKUP($G132,'321買'!$A:$G,7,0),"'沒有資料'")</f>
        <v>387</v>
      </c>
      <c r="R132" s="297">
        <f>IFERROR(RANK(VLOOKUP($G132,連買!$A:$D,4,0),連買!$D:$D,0),"'沒有資料'")</f>
        <v>339</v>
      </c>
      <c r="S132" s="34">
        <v>2.2000000000000002</v>
      </c>
      <c r="T132" s="353">
        <f t="shared" si="28"/>
        <v>3.9639639639639644E-2</v>
      </c>
      <c r="U132" s="95">
        <v>4.72</v>
      </c>
      <c r="V132" s="36">
        <f>RTD("money.excel",,"1513","Price")</f>
        <v>55.5</v>
      </c>
      <c r="W132" s="66"/>
      <c r="X132" s="15">
        <f t="shared" si="29"/>
        <v>55.5</v>
      </c>
      <c r="Y132" s="3" t="e">
        <f t="shared" si="30"/>
        <v>#DIV/0!</v>
      </c>
      <c r="Z132" s="413" t="s">
        <v>1801</v>
      </c>
      <c r="AA132" s="161">
        <v>0</v>
      </c>
      <c r="AB132" s="409">
        <v>0</v>
      </c>
      <c r="AC132" s="259">
        <f t="shared" si="22"/>
        <v>0</v>
      </c>
      <c r="AD132" s="22" t="s">
        <v>558</v>
      </c>
      <c r="AG132" s="33">
        <f t="shared" si="31"/>
        <v>0</v>
      </c>
      <c r="AH132" s="43" t="s">
        <v>2516</v>
      </c>
      <c r="AI132" s="63">
        <f t="shared" si="32"/>
        <v>4.8283613445378154E-2</v>
      </c>
      <c r="AJ132" s="307">
        <f>RTD("money.excel",,$G132,"PredictVolume")</f>
        <v>22983</v>
      </c>
      <c r="AK132" s="339"/>
    </row>
    <row r="133" spans="1:37">
      <c r="A133" s="416">
        <v>21.7</v>
      </c>
      <c r="B133" s="79">
        <v>22</v>
      </c>
      <c r="C133" s="79">
        <v>34</v>
      </c>
      <c r="D133" s="80">
        <v>-1</v>
      </c>
      <c r="E133" s="79">
        <v>29</v>
      </c>
      <c r="F133" s="6">
        <v>7.99</v>
      </c>
      <c r="G133" s="79">
        <v>1514</v>
      </c>
      <c r="H133" s="8" t="s">
        <v>297</v>
      </c>
      <c r="I133" s="22" t="s">
        <v>559</v>
      </c>
      <c r="J133" s="73">
        <v>55.51</v>
      </c>
      <c r="K133" s="73">
        <v>11.73</v>
      </c>
      <c r="L133" s="323">
        <v>6.98</v>
      </c>
      <c r="N133" s="318">
        <f t="shared" si="33"/>
        <v>74.22</v>
      </c>
      <c r="O133" s="81">
        <f>IFERROR(VLOOKUP($G133,'321買'!A:E,3,0),"'沒有資料'")</f>
        <v>1</v>
      </c>
      <c r="P133" s="380">
        <f>IFERROR(VLOOKUP($G133,'321買'!$A:$G,7,0),"'沒有資料'")</f>
        <v>783</v>
      </c>
      <c r="R133" s="297">
        <f>IFERROR(RANK(VLOOKUP($G133,連買!$A:$D,4,0),連買!$D:$D,0),"'沒有資料'")</f>
        <v>753</v>
      </c>
      <c r="S133" s="34">
        <v>1.2</v>
      </c>
      <c r="T133" s="353">
        <f t="shared" si="28"/>
        <v>4.1958041958041953E-2</v>
      </c>
      <c r="U133" s="95">
        <v>1.54</v>
      </c>
      <c r="V133" s="36">
        <f>RTD("money.excel",,"1514","Price")</f>
        <v>28.6</v>
      </c>
      <c r="W133" s="66"/>
      <c r="X133" s="15">
        <f t="shared" si="29"/>
        <v>28.6</v>
      </c>
      <c r="Y133" s="3" t="e">
        <f t="shared" si="30"/>
        <v>#DIV/0!</v>
      </c>
      <c r="Z133" s="413" t="s">
        <v>1801</v>
      </c>
      <c r="AA133" s="161">
        <v>0</v>
      </c>
      <c r="AB133" s="409">
        <v>0</v>
      </c>
      <c r="AC133" s="259">
        <f t="shared" ref="AC133:AC196" si="34">AA133-AB133</f>
        <v>0</v>
      </c>
      <c r="AD133" s="22" t="s">
        <v>559</v>
      </c>
      <c r="AG133" s="33">
        <f t="shared" si="31"/>
        <v>0</v>
      </c>
      <c r="AH133" s="43" t="s">
        <v>2920</v>
      </c>
      <c r="AI133" s="63">
        <f t="shared" si="32"/>
        <v>2.2096774193548389E-2</v>
      </c>
      <c r="AJ133" s="307">
        <f>RTD("money.excel",,$G133,"PredictVolume")</f>
        <v>4795</v>
      </c>
      <c r="AK133" s="339"/>
    </row>
    <row r="134" spans="1:37">
      <c r="A134" s="416">
        <v>18.100000000000001</v>
      </c>
      <c r="B134" s="79">
        <v>70</v>
      </c>
      <c r="C134" s="79">
        <v>70</v>
      </c>
      <c r="D134" s="80">
        <v>-14</v>
      </c>
      <c r="E134" s="79">
        <v>11</v>
      </c>
      <c r="F134" s="6">
        <v>8.14</v>
      </c>
      <c r="G134" s="79">
        <v>1515</v>
      </c>
      <c r="H134" s="8" t="s">
        <v>297</v>
      </c>
      <c r="I134" s="22" t="s">
        <v>518</v>
      </c>
      <c r="J134" s="323">
        <v>47.56</v>
      </c>
      <c r="K134" s="323">
        <v>8.0500000000000007</v>
      </c>
      <c r="L134" s="73">
        <v>19.16</v>
      </c>
      <c r="N134" s="318">
        <f t="shared" si="33"/>
        <v>74.77</v>
      </c>
      <c r="O134" s="81">
        <f>IFERROR(VLOOKUP($G134,'321買'!A:E,3,0),"'沒有資料'")</f>
        <v>2</v>
      </c>
      <c r="P134" s="380">
        <f>IFERROR(VLOOKUP($G134,'321買'!$A:$G,7,0),"'沒有資料'")</f>
        <v>706</v>
      </c>
      <c r="Q134" s="245" t="s">
        <v>3817</v>
      </c>
      <c r="R134" s="297">
        <f>IFERROR(RANK(VLOOKUP($G134,連買!$A:$D,4,0),連買!$D:$D,0),"'沒有資料'")</f>
        <v>1729</v>
      </c>
      <c r="S134" s="66">
        <v>3.6</v>
      </c>
      <c r="T134" s="353">
        <f t="shared" si="28"/>
        <v>8.5308056872037907E-2</v>
      </c>
      <c r="U134" s="95">
        <v>6.35</v>
      </c>
      <c r="V134" s="36">
        <f>RTD("money.excel",,"1515","Price")</f>
        <v>42.2</v>
      </c>
      <c r="W134" s="66"/>
      <c r="X134" s="15">
        <f t="shared" si="29"/>
        <v>42.2</v>
      </c>
      <c r="Y134" s="3" t="e">
        <f t="shared" si="30"/>
        <v>#DIV/0!</v>
      </c>
      <c r="Z134" s="413" t="s">
        <v>1997</v>
      </c>
      <c r="AA134" s="161">
        <v>0</v>
      </c>
      <c r="AB134" s="409">
        <v>0</v>
      </c>
      <c r="AC134" s="259">
        <f t="shared" si="34"/>
        <v>0</v>
      </c>
      <c r="AD134" s="22" t="s">
        <v>518</v>
      </c>
      <c r="AG134" s="33">
        <f t="shared" si="31"/>
        <v>0</v>
      </c>
      <c r="AH134" s="43" t="s">
        <v>2100</v>
      </c>
      <c r="AI134" s="63">
        <f t="shared" si="32"/>
        <v>2.0331491712707182E-3</v>
      </c>
      <c r="AJ134" s="307">
        <f>RTD("money.excel",,$G134,"PredictVolume")</f>
        <v>368</v>
      </c>
      <c r="AK134" s="339"/>
    </row>
    <row r="135" spans="1:37">
      <c r="A135" s="416">
        <v>22.7</v>
      </c>
      <c r="B135" s="80">
        <v>-341</v>
      </c>
      <c r="C135" s="79">
        <v>18</v>
      </c>
      <c r="D135" s="79">
        <v>7</v>
      </c>
      <c r="E135" s="79">
        <v>40</v>
      </c>
      <c r="F135" s="6">
        <v>-2.59</v>
      </c>
      <c r="G135" s="79">
        <v>1517</v>
      </c>
      <c r="H135" s="8" t="s">
        <v>297</v>
      </c>
      <c r="I135" s="22" t="s">
        <v>560</v>
      </c>
      <c r="J135" s="73">
        <v>45.3</v>
      </c>
      <c r="K135" s="73">
        <v>2.15</v>
      </c>
      <c r="L135" s="73">
        <v>7.6</v>
      </c>
      <c r="N135" s="318">
        <f t="shared" si="33"/>
        <v>55.05</v>
      </c>
      <c r="O135" s="81">
        <f>IFERROR(VLOOKUP($G135,'321買'!A:E,3,0),"'沒有資料'")</f>
        <v>12</v>
      </c>
      <c r="P135" s="380">
        <f>IFERROR(VLOOKUP($G135,'321買'!$A:$G,7,0),"'沒有資料'")</f>
        <v>368</v>
      </c>
      <c r="R135" s="297">
        <f>IFERROR(RANK(VLOOKUP($G135,連買!$A:$D,4,0),連買!$D:$D,0),"'沒有資料'")</f>
        <v>1007</v>
      </c>
      <c r="S135" s="34">
        <v>0.35</v>
      </c>
      <c r="T135" s="353">
        <f t="shared" si="28"/>
        <v>1.511879049676026E-2</v>
      </c>
      <c r="U135" s="95">
        <v>0.76</v>
      </c>
      <c r="V135" s="36">
        <f>RTD("money.excel",,"1517","Price")</f>
        <v>23.15</v>
      </c>
      <c r="W135" s="66"/>
      <c r="X135" s="15">
        <f t="shared" si="29"/>
        <v>23.15</v>
      </c>
      <c r="Y135" s="3" t="e">
        <f t="shared" si="30"/>
        <v>#DIV/0!</v>
      </c>
      <c r="Z135" s="413" t="s">
        <v>1801</v>
      </c>
      <c r="AA135" s="161">
        <v>0</v>
      </c>
      <c r="AB135" s="409">
        <v>0</v>
      </c>
      <c r="AC135" s="259">
        <f t="shared" si="34"/>
        <v>0</v>
      </c>
      <c r="AD135" s="22" t="s">
        <v>560</v>
      </c>
      <c r="AG135" s="33">
        <f t="shared" si="31"/>
        <v>0</v>
      </c>
      <c r="AH135" s="43" t="s">
        <v>2921</v>
      </c>
      <c r="AI135" s="63">
        <f t="shared" si="32"/>
        <v>6.6079295154185019E-4</v>
      </c>
      <c r="AJ135" s="307">
        <f>RTD("money.excel",,$G135,"PredictVolume")</f>
        <v>150</v>
      </c>
      <c r="AK135" s="339"/>
    </row>
    <row r="136" spans="1:37">
      <c r="A136" s="416">
        <v>26.1</v>
      </c>
      <c r="B136" s="80">
        <v>-43</v>
      </c>
      <c r="C136" s="80">
        <v>-26</v>
      </c>
      <c r="D136" s="80">
        <v>-33</v>
      </c>
      <c r="E136" s="79">
        <v>4</v>
      </c>
      <c r="F136" s="6">
        <v>2.72</v>
      </c>
      <c r="G136" s="79">
        <v>1519</v>
      </c>
      <c r="H136" s="8" t="s">
        <v>297</v>
      </c>
      <c r="I136" s="22" t="s">
        <v>561</v>
      </c>
      <c r="J136" s="323">
        <v>65.67</v>
      </c>
      <c r="K136" s="73">
        <v>7.07</v>
      </c>
      <c r="L136" s="73">
        <v>7.95</v>
      </c>
      <c r="N136" s="318">
        <f t="shared" si="33"/>
        <v>80.690000000000012</v>
      </c>
      <c r="O136" s="81">
        <f>IFERROR(VLOOKUP($G136,'321買'!A:E,3,0),"'沒有資料'")</f>
        <v>0</v>
      </c>
      <c r="P136" s="380">
        <f>IFERROR(VLOOKUP($G136,'321買'!$A:$G,7,0),"'沒有資料'")</f>
        <v>911</v>
      </c>
      <c r="R136" s="297">
        <f>IFERROR(RANK(VLOOKUP($G136,連買!$A:$D,4,0),連買!$D:$D,0),"'沒有資料'")</f>
        <v>401</v>
      </c>
      <c r="S136" s="34">
        <v>1.3</v>
      </c>
      <c r="T136" s="353">
        <f t="shared" si="28"/>
        <v>3.0232558139534883E-2</v>
      </c>
      <c r="U136" s="57">
        <v>1.54</v>
      </c>
      <c r="V136" s="36">
        <f>RTD("money.excel",,"1519","Price")</f>
        <v>43</v>
      </c>
      <c r="W136" s="66"/>
      <c r="X136" s="15">
        <f t="shared" si="29"/>
        <v>43</v>
      </c>
      <c r="Y136" s="3" t="e">
        <f t="shared" si="30"/>
        <v>#DIV/0!</v>
      </c>
      <c r="Z136" s="413" t="s">
        <v>1801</v>
      </c>
      <c r="AA136" s="161">
        <v>0</v>
      </c>
      <c r="AB136" s="409">
        <v>0</v>
      </c>
      <c r="AC136" s="259">
        <f t="shared" si="34"/>
        <v>0</v>
      </c>
      <c r="AD136" s="22" t="s">
        <v>561</v>
      </c>
      <c r="AG136" s="33">
        <f t="shared" si="31"/>
        <v>0</v>
      </c>
      <c r="AH136" s="43" t="s">
        <v>2102</v>
      </c>
      <c r="AI136" s="63">
        <f t="shared" si="32"/>
        <v>4.7816091954022985E-3</v>
      </c>
      <c r="AJ136" s="307">
        <f>RTD("money.excel",,$G136,"PredictVolume")</f>
        <v>1248</v>
      </c>
      <c r="AK136" s="339"/>
    </row>
    <row r="137" spans="1:37">
      <c r="A137" s="416">
        <v>6</v>
      </c>
      <c r="B137" s="79">
        <v>128</v>
      </c>
      <c r="C137" s="80">
        <v>-35</v>
      </c>
      <c r="D137" s="79">
        <v>5</v>
      </c>
      <c r="E137" s="79">
        <v>36</v>
      </c>
      <c r="F137" s="6">
        <v>6.81</v>
      </c>
      <c r="G137" s="79">
        <v>1526</v>
      </c>
      <c r="H137" s="8" t="s">
        <v>297</v>
      </c>
      <c r="I137" s="22" t="s">
        <v>562</v>
      </c>
      <c r="J137" s="73">
        <v>37.619999999999997</v>
      </c>
      <c r="K137" s="73">
        <v>2.2599999999999998</v>
      </c>
      <c r="L137" s="73">
        <v>40.68</v>
      </c>
      <c r="N137" s="318">
        <f t="shared" si="33"/>
        <v>80.56</v>
      </c>
      <c r="O137" s="81">
        <f>IFERROR(VLOOKUP($G137,'321買'!A:E,3,0),"'沒有資料'")</f>
        <v>15</v>
      </c>
      <c r="P137" s="380">
        <f>IFERROR(VLOOKUP($G137,'321買'!$A:$G,7,0),"'沒有資料'")</f>
        <v>290</v>
      </c>
      <c r="R137" s="297">
        <f>IFERROR(RANK(VLOOKUP($G137,連買!$A:$D,4,0),連買!$D:$D,0),"'沒有資料'")</f>
        <v>455</v>
      </c>
      <c r="S137" s="34">
        <v>1.8</v>
      </c>
      <c r="T137" s="353">
        <f t="shared" si="28"/>
        <v>3.7815126050420166E-2</v>
      </c>
      <c r="U137" s="57">
        <v>2.97</v>
      </c>
      <c r="V137" s="36">
        <f>RTD("money.excel",,"1526","Price")</f>
        <v>47.6</v>
      </c>
      <c r="W137" s="66"/>
      <c r="X137" s="15">
        <f t="shared" si="29"/>
        <v>47.6</v>
      </c>
      <c r="Y137" s="3" t="e">
        <f t="shared" si="30"/>
        <v>#DIV/0!</v>
      </c>
      <c r="Z137" s="413" t="s">
        <v>1801</v>
      </c>
      <c r="AA137" s="161">
        <v>0</v>
      </c>
      <c r="AB137" s="409">
        <v>0</v>
      </c>
      <c r="AC137" s="259">
        <f t="shared" si="34"/>
        <v>0</v>
      </c>
      <c r="AD137" s="22" t="s">
        <v>562</v>
      </c>
      <c r="AG137" s="33">
        <f t="shared" si="31"/>
        <v>0</v>
      </c>
      <c r="AH137" s="43" t="s">
        <v>2922</v>
      </c>
      <c r="AI137" s="63">
        <f t="shared" si="32"/>
        <v>1.3833333333333334E-3</v>
      </c>
      <c r="AJ137" s="307">
        <f>RTD("money.excel",,$G137,"PredictVolume")</f>
        <v>83</v>
      </c>
      <c r="AK137" s="339"/>
    </row>
    <row r="138" spans="1:37">
      <c r="A138" s="415">
        <v>13.8</v>
      </c>
      <c r="B138" s="80">
        <v>-61</v>
      </c>
      <c r="C138" s="80">
        <v>-18</v>
      </c>
      <c r="D138" s="79">
        <v>5</v>
      </c>
      <c r="E138" s="79">
        <v>0</v>
      </c>
      <c r="F138" s="57">
        <v>15.39</v>
      </c>
      <c r="G138" s="79">
        <v>1527</v>
      </c>
      <c r="H138" s="8" t="s">
        <v>297</v>
      </c>
      <c r="I138" s="22" t="s">
        <v>563</v>
      </c>
      <c r="J138" s="323">
        <v>30.56</v>
      </c>
      <c r="K138" s="323">
        <v>9.76</v>
      </c>
      <c r="L138" s="323">
        <v>4.26</v>
      </c>
      <c r="N138" s="318">
        <f t="shared" si="33"/>
        <v>44.58</v>
      </c>
      <c r="O138" s="81">
        <f>IFERROR(VLOOKUP($G138,'321買'!A:E,3,0),"'沒有資料'")</f>
        <v>3</v>
      </c>
      <c r="P138" s="380">
        <f>IFERROR(VLOOKUP($G138,'321買'!$A:$G,7,0),"'沒有資料'")</f>
        <v>636</v>
      </c>
      <c r="R138" s="297">
        <f>IFERROR(RANK(VLOOKUP($G138,連買!$A:$D,4,0),連買!$D:$D,0),"'沒有資料'")</f>
        <v>1639</v>
      </c>
      <c r="S138" s="34">
        <v>1.2</v>
      </c>
      <c r="T138" s="353">
        <f t="shared" si="28"/>
        <v>2.8368794326241134E-2</v>
      </c>
      <c r="U138" s="95">
        <v>2.94</v>
      </c>
      <c r="V138" s="36">
        <f>RTD("money.excel",,"1527","Price")</f>
        <v>42.3</v>
      </c>
      <c r="W138" s="66"/>
      <c r="X138" s="15">
        <f t="shared" si="29"/>
        <v>42.3</v>
      </c>
      <c r="Y138" s="3" t="e">
        <f t="shared" si="30"/>
        <v>#DIV/0!</v>
      </c>
      <c r="Z138" s="413" t="s">
        <v>1801</v>
      </c>
      <c r="AA138" s="161">
        <v>0</v>
      </c>
      <c r="AB138" s="409">
        <v>0</v>
      </c>
      <c r="AC138" s="259">
        <f t="shared" si="34"/>
        <v>0</v>
      </c>
      <c r="AD138" s="22" t="s">
        <v>563</v>
      </c>
      <c r="AG138" s="33">
        <f t="shared" si="31"/>
        <v>0</v>
      </c>
      <c r="AH138" s="43" t="s">
        <v>2719</v>
      </c>
      <c r="AI138" s="63">
        <f t="shared" si="32"/>
        <v>1.4057971014492753E-3</v>
      </c>
      <c r="AJ138" s="307">
        <f>RTD("money.excel",,$G138,"PredictVolume")</f>
        <v>194</v>
      </c>
      <c r="AK138" s="339"/>
    </row>
    <row r="139" spans="1:37">
      <c r="A139" s="416">
        <v>19.899999999999999</v>
      </c>
      <c r="B139" s="80">
        <v>-779</v>
      </c>
      <c r="C139" s="80">
        <v>-437</v>
      </c>
      <c r="D139" s="79">
        <v>15</v>
      </c>
      <c r="E139" s="80">
        <v>-3</v>
      </c>
      <c r="F139" s="6">
        <v>-6.94</v>
      </c>
      <c r="G139" s="79">
        <v>1528</v>
      </c>
      <c r="H139" s="8" t="s">
        <v>297</v>
      </c>
      <c r="I139" s="22" t="s">
        <v>564</v>
      </c>
      <c r="J139" s="323">
        <v>51.79</v>
      </c>
      <c r="K139" s="323">
        <v>0.64</v>
      </c>
      <c r="L139" s="73">
        <v>3.25</v>
      </c>
      <c r="N139" s="318">
        <f t="shared" si="33"/>
        <v>55.68</v>
      </c>
      <c r="O139" s="81">
        <f>IFERROR(VLOOKUP($G139,'321買'!A:E,3,0),"'沒有資料'")</f>
        <v>2</v>
      </c>
      <c r="P139" s="380">
        <f>IFERROR(VLOOKUP($G139,'321買'!$A:$G,7,0),"'沒有資料'")</f>
        <v>706</v>
      </c>
      <c r="R139" s="297">
        <f>IFERROR(RANK(VLOOKUP($G139,連買!$A:$D,4,0),連買!$D:$D,0),"'沒有資料'")</f>
        <v>1454</v>
      </c>
      <c r="S139" s="34">
        <v>0.1</v>
      </c>
      <c r="T139" s="353">
        <f t="shared" si="28"/>
        <v>1.0493179433368312E-2</v>
      </c>
      <c r="U139" s="95">
        <v>-0.61</v>
      </c>
      <c r="V139" s="36">
        <f>RTD("money.excel",,"1528","Price")</f>
        <v>9.5299999999999994</v>
      </c>
      <c r="W139" s="66"/>
      <c r="X139" s="15">
        <f t="shared" si="29"/>
        <v>9.5299999999999994</v>
      </c>
      <c r="Y139" s="3" t="e">
        <f t="shared" si="30"/>
        <v>#DIV/0!</v>
      </c>
      <c r="Z139" s="413" t="s">
        <v>1801</v>
      </c>
      <c r="AA139" s="161">
        <v>0</v>
      </c>
      <c r="AB139" s="409">
        <v>0</v>
      </c>
      <c r="AC139" s="259">
        <f t="shared" si="34"/>
        <v>0</v>
      </c>
      <c r="AD139" s="22" t="s">
        <v>564</v>
      </c>
      <c r="AG139" s="33">
        <f t="shared" si="31"/>
        <v>0</v>
      </c>
      <c r="AH139" s="43" t="s">
        <v>2501</v>
      </c>
      <c r="AI139" s="63">
        <f t="shared" si="32"/>
        <v>3.0954773869346732E-3</v>
      </c>
      <c r="AJ139" s="307">
        <f>RTD("money.excel",,$G139,"PredictVolume")</f>
        <v>616</v>
      </c>
      <c r="AK139" s="339"/>
    </row>
    <row r="140" spans="1:37">
      <c r="A140" s="415">
        <v>13.6</v>
      </c>
      <c r="B140" s="79">
        <v>392</v>
      </c>
      <c r="C140" s="79">
        <v>180</v>
      </c>
      <c r="D140" s="79">
        <v>138</v>
      </c>
      <c r="E140" s="80">
        <v>-72</v>
      </c>
      <c r="F140" s="57">
        <v>28.52</v>
      </c>
      <c r="G140" s="79">
        <v>1529</v>
      </c>
      <c r="H140" s="8" t="s">
        <v>297</v>
      </c>
      <c r="I140" s="22" t="s">
        <v>565</v>
      </c>
      <c r="J140" s="323">
        <v>66.41</v>
      </c>
      <c r="K140" s="323">
        <v>4.1500000000000004</v>
      </c>
      <c r="L140" s="323">
        <v>25.94</v>
      </c>
      <c r="N140" s="318">
        <f t="shared" si="33"/>
        <v>96.5</v>
      </c>
      <c r="O140" s="81">
        <f>IFERROR(VLOOKUP($G140,'321買'!A:E,3,0),"'沒有資料'")</f>
        <v>26</v>
      </c>
      <c r="P140" s="380">
        <f>IFERROR(VLOOKUP($G140,'321買'!$A:$G,7,0),"'沒有資料'")</f>
        <v>180</v>
      </c>
      <c r="R140" s="297">
        <f>IFERROR(RANK(VLOOKUP($G140,連買!$A:$D,4,0),連買!$D:$D,0),"'沒有資料'")</f>
        <v>771</v>
      </c>
      <c r="S140" s="34">
        <v>0.5</v>
      </c>
      <c r="T140" s="353">
        <f t="shared" si="28"/>
        <v>2.1052631578947368E-2</v>
      </c>
      <c r="U140" s="57">
        <v>1.06</v>
      </c>
      <c r="V140" s="36">
        <f>RTD("money.excel",,"1529","Price")</f>
        <v>23.75</v>
      </c>
      <c r="W140" s="66"/>
      <c r="X140" s="15">
        <f t="shared" si="29"/>
        <v>23.75</v>
      </c>
      <c r="Y140" s="3" t="e">
        <f t="shared" si="30"/>
        <v>#DIV/0!</v>
      </c>
      <c r="AA140" s="161">
        <v>0</v>
      </c>
      <c r="AB140" s="409">
        <v>0</v>
      </c>
      <c r="AC140" s="259">
        <f t="shared" si="34"/>
        <v>0</v>
      </c>
      <c r="AD140" s="22" t="s">
        <v>565</v>
      </c>
      <c r="AG140" s="33">
        <f t="shared" si="31"/>
        <v>0</v>
      </c>
      <c r="AH140" s="43" t="s">
        <v>2920</v>
      </c>
      <c r="AI140" s="63">
        <f t="shared" si="32"/>
        <v>2.850735294117647E-2</v>
      </c>
      <c r="AJ140" s="307">
        <f>RTD("money.excel",,$G140,"PredictVolume")</f>
        <v>3877</v>
      </c>
      <c r="AK140" s="339"/>
    </row>
    <row r="141" spans="1:37">
      <c r="A141" s="416">
        <v>9.66</v>
      </c>
      <c r="B141" s="79">
        <v>336</v>
      </c>
      <c r="C141" s="80">
        <v>-89</v>
      </c>
      <c r="D141" s="79">
        <v>9</v>
      </c>
      <c r="E141" s="79">
        <v>16</v>
      </c>
      <c r="F141" s="6">
        <v>0.89</v>
      </c>
      <c r="G141" s="79">
        <v>1530</v>
      </c>
      <c r="H141" s="8" t="s">
        <v>297</v>
      </c>
      <c r="I141" s="22" t="s">
        <v>566</v>
      </c>
      <c r="J141" s="73">
        <v>73.540000000000006</v>
      </c>
      <c r="K141" s="323">
        <v>0.65</v>
      </c>
      <c r="L141" s="323">
        <v>1.54</v>
      </c>
      <c r="N141" s="318">
        <f t="shared" si="33"/>
        <v>75.730000000000018</v>
      </c>
      <c r="O141" s="81">
        <f>IFERROR(VLOOKUP($G141,'321買'!A:E,3,0),"'沒有資料'")</f>
        <v>0</v>
      </c>
      <c r="P141" s="380">
        <f>IFERROR(VLOOKUP($G141,'321買'!$A:$G,7,0),"'沒有資料'")</f>
        <v>911</v>
      </c>
      <c r="R141" s="297">
        <f>IFERROR(RANK(VLOOKUP($G141,連買!$A:$D,4,0),連買!$D:$D,0),"'沒有資料'")</f>
        <v>1609</v>
      </c>
      <c r="S141" s="34">
        <v>2.5</v>
      </c>
      <c r="T141" s="353">
        <f t="shared" si="28"/>
        <v>8.0128205128205135E-2</v>
      </c>
      <c r="U141" s="95">
        <v>3.92</v>
      </c>
      <c r="V141" s="36">
        <f>RTD("money.excel",,"1530","Price")</f>
        <v>31.2</v>
      </c>
      <c r="W141" s="66"/>
      <c r="X141" s="15">
        <f t="shared" si="29"/>
        <v>31.2</v>
      </c>
      <c r="Y141" s="3" t="e">
        <f t="shared" si="30"/>
        <v>#DIV/0!</v>
      </c>
      <c r="Z141" s="413" t="s">
        <v>1801</v>
      </c>
      <c r="AA141" s="161">
        <v>0</v>
      </c>
      <c r="AB141" s="409">
        <v>0</v>
      </c>
      <c r="AC141" s="259">
        <f t="shared" si="34"/>
        <v>0</v>
      </c>
      <c r="AD141" s="22" t="s">
        <v>566</v>
      </c>
      <c r="AG141" s="33">
        <f t="shared" si="31"/>
        <v>0</v>
      </c>
      <c r="AH141" s="43" t="s">
        <v>2325</v>
      </c>
      <c r="AI141" s="63">
        <f t="shared" si="32"/>
        <v>1.0351966873706003E-5</v>
      </c>
      <c r="AJ141" s="307">
        <f>RTD("money.excel",,$G141,"PredictVolume")</f>
        <v>1</v>
      </c>
      <c r="AK141" s="339"/>
    </row>
    <row r="142" spans="1:37">
      <c r="A142" s="416">
        <v>18.3</v>
      </c>
      <c r="B142" s="80">
        <v>-41</v>
      </c>
      <c r="C142" s="80">
        <v>-77</v>
      </c>
      <c r="D142" s="79">
        <v>38</v>
      </c>
      <c r="E142" s="80">
        <v>-16</v>
      </c>
      <c r="F142" s="6">
        <v>1.98</v>
      </c>
      <c r="G142" s="79">
        <v>1531</v>
      </c>
      <c r="H142" s="8" t="s">
        <v>297</v>
      </c>
      <c r="I142" s="22" t="s">
        <v>567</v>
      </c>
      <c r="J142" s="73">
        <v>69.459999999999994</v>
      </c>
      <c r="K142" s="323">
        <v>10.82</v>
      </c>
      <c r="L142" s="73">
        <v>1.66</v>
      </c>
      <c r="N142" s="318">
        <f t="shared" si="33"/>
        <v>81.94</v>
      </c>
      <c r="O142" s="81">
        <f>IFERROR(VLOOKUP($G142,'321買'!A:E,3,0),"'沒有資料'")</f>
        <v>0</v>
      </c>
      <c r="P142" s="380">
        <f>IFERROR(VLOOKUP($G142,'321買'!$A:$G,7,0),"'沒有資料'")</f>
        <v>911</v>
      </c>
      <c r="R142" s="297">
        <f>IFERROR(RANK(VLOOKUP($G142,連買!$A:$D,4,0),連買!$D:$D,0),"'沒有資料'")</f>
        <v>1063</v>
      </c>
      <c r="S142" s="34">
        <v>0.2</v>
      </c>
      <c r="T142" s="353">
        <f t="shared" si="28"/>
        <v>1.3114754098360656E-2</v>
      </c>
      <c r="U142" s="57">
        <v>-0.3</v>
      </c>
      <c r="V142" s="36">
        <f>RTD("money.excel",,"1531","Price")</f>
        <v>15.25</v>
      </c>
      <c r="W142" s="66"/>
      <c r="X142" s="15">
        <f t="shared" si="29"/>
        <v>15.25</v>
      </c>
      <c r="Y142" s="3" t="e">
        <f t="shared" si="30"/>
        <v>#DIV/0!</v>
      </c>
      <c r="Z142" s="413" t="s">
        <v>1801</v>
      </c>
      <c r="AA142" s="161">
        <v>0</v>
      </c>
      <c r="AB142" s="409">
        <v>0</v>
      </c>
      <c r="AC142" s="259">
        <f t="shared" si="34"/>
        <v>0</v>
      </c>
      <c r="AD142" s="22" t="s">
        <v>567</v>
      </c>
      <c r="AG142" s="33">
        <f t="shared" si="31"/>
        <v>0</v>
      </c>
      <c r="AH142" s="43" t="s">
        <v>2923</v>
      </c>
      <c r="AI142" s="63">
        <f t="shared" si="32"/>
        <v>2.5683060109289615E-4</v>
      </c>
      <c r="AJ142" s="307">
        <f>RTD("money.excel",,$G142,"PredictVolume")</f>
        <v>47</v>
      </c>
      <c r="AK142" s="339"/>
    </row>
    <row r="143" spans="1:37">
      <c r="A143" s="416">
        <v>37.6</v>
      </c>
      <c r="B143" s="80">
        <v>-94</v>
      </c>
      <c r="C143" s="80">
        <v>-75</v>
      </c>
      <c r="D143" s="79">
        <v>1</v>
      </c>
      <c r="E143" s="79">
        <v>17</v>
      </c>
      <c r="F143" s="6">
        <v>3.74</v>
      </c>
      <c r="G143" s="79">
        <v>1532</v>
      </c>
      <c r="H143" s="17" t="s">
        <v>297</v>
      </c>
      <c r="I143" s="22" t="s">
        <v>205</v>
      </c>
      <c r="J143" s="73">
        <v>67.03</v>
      </c>
      <c r="K143" s="323">
        <v>12.01</v>
      </c>
      <c r="L143" s="323">
        <v>6.53</v>
      </c>
      <c r="N143" s="318">
        <f t="shared" si="33"/>
        <v>85.570000000000007</v>
      </c>
      <c r="O143" s="81">
        <f>IFERROR(VLOOKUP($G143,'321買'!A:E,3,0),"'沒有資料'")</f>
        <v>0</v>
      </c>
      <c r="P143" s="380">
        <f>IFERROR(VLOOKUP($G143,'321買'!$A:$G,7,0),"'沒有資料'")</f>
        <v>911</v>
      </c>
      <c r="R143" s="297">
        <f>IFERROR(RANK(VLOOKUP($G143,連買!$A:$D,4,0),連買!$D:$D,0),"'沒有資料'")</f>
        <v>605</v>
      </c>
      <c r="S143" s="34">
        <v>1.03</v>
      </c>
      <c r="T143" s="353">
        <f t="shared" si="28"/>
        <v>2.9898403483309143E-2</v>
      </c>
      <c r="U143" s="95">
        <v>1.46</v>
      </c>
      <c r="V143" s="36">
        <f>RTD("money.excel",,"1532","Price")</f>
        <v>34.450000000000003</v>
      </c>
      <c r="W143" s="66"/>
      <c r="X143" s="15">
        <f t="shared" si="29"/>
        <v>34.450000000000003</v>
      </c>
      <c r="Y143" s="3" t="e">
        <f t="shared" si="30"/>
        <v>#DIV/0!</v>
      </c>
      <c r="AA143" s="161">
        <v>0</v>
      </c>
      <c r="AB143" s="409">
        <v>0</v>
      </c>
      <c r="AC143" s="259">
        <f t="shared" si="34"/>
        <v>0</v>
      </c>
      <c r="AD143" s="22" t="s">
        <v>205</v>
      </c>
      <c r="AG143" s="33">
        <f t="shared" si="31"/>
        <v>0</v>
      </c>
      <c r="AH143" s="43" t="s">
        <v>2924</v>
      </c>
      <c r="AI143" s="63">
        <f t="shared" si="32"/>
        <v>7.3936170212765963E-4</v>
      </c>
      <c r="AJ143" s="307">
        <f>RTD("money.excel",,$G143,"PredictVolume")</f>
        <v>278</v>
      </c>
      <c r="AK143" s="339"/>
    </row>
    <row r="144" spans="1:37">
      <c r="A144" s="416">
        <v>12.3</v>
      </c>
      <c r="B144" s="91">
        <v>49</v>
      </c>
      <c r="C144" s="91">
        <v>51</v>
      </c>
      <c r="D144" s="91">
        <v>-22</v>
      </c>
      <c r="E144" s="91">
        <v>15</v>
      </c>
      <c r="F144" s="6">
        <v>0.54</v>
      </c>
      <c r="G144" s="79">
        <v>1535</v>
      </c>
      <c r="H144" s="8" t="s">
        <v>297</v>
      </c>
      <c r="I144" s="22" t="s">
        <v>568</v>
      </c>
      <c r="J144" s="73">
        <v>76.069999999999993</v>
      </c>
      <c r="K144" s="73">
        <v>0.56000000000000005</v>
      </c>
      <c r="L144" s="73">
        <v>0.45</v>
      </c>
      <c r="N144" s="318">
        <f t="shared" si="33"/>
        <v>77.08</v>
      </c>
      <c r="O144" s="81">
        <f>IFERROR(VLOOKUP($G144,'321買'!A:E,3,0),"'沒有資料'")</f>
        <v>0</v>
      </c>
      <c r="P144" s="380">
        <f>IFERROR(VLOOKUP($G144,'321買'!$A:$G,7,0),"'沒有資料'")</f>
        <v>911</v>
      </c>
      <c r="R144" s="297">
        <f>IFERROR(RANK(VLOOKUP($G144,連買!$A:$D,4,0),連買!$D:$D,0),"'沒有資料'")</f>
        <v>585</v>
      </c>
      <c r="S144" s="34">
        <v>1.35</v>
      </c>
      <c r="T144" s="353">
        <f t="shared" si="28"/>
        <v>3.1652989449003521E-2</v>
      </c>
      <c r="U144" s="95">
        <v>1.6</v>
      </c>
      <c r="V144" s="13">
        <f>RTD("money.excel",,"1535","Price")</f>
        <v>42.65</v>
      </c>
      <c r="W144" s="66"/>
      <c r="X144" s="15">
        <f t="shared" si="29"/>
        <v>42.65</v>
      </c>
      <c r="Y144" s="3" t="e">
        <f t="shared" si="30"/>
        <v>#DIV/0!</v>
      </c>
      <c r="AA144" s="161">
        <v>0</v>
      </c>
      <c r="AB144" s="409">
        <v>0</v>
      </c>
      <c r="AC144" s="259">
        <f t="shared" si="34"/>
        <v>0</v>
      </c>
      <c r="AD144" s="22" t="s">
        <v>568</v>
      </c>
      <c r="AG144" s="33">
        <f t="shared" si="31"/>
        <v>0</v>
      </c>
      <c r="AH144" s="43" t="s">
        <v>2925</v>
      </c>
      <c r="AI144" s="63">
        <f t="shared" si="32"/>
        <v>1.5447154471544717E-4</v>
      </c>
      <c r="AJ144" s="307">
        <f>RTD("money.excel",,$G144,"PredictVolume")</f>
        <v>19</v>
      </c>
      <c r="AK144" s="339"/>
    </row>
    <row r="145" spans="1:37">
      <c r="A145" s="415">
        <v>8.24</v>
      </c>
      <c r="B145" s="79">
        <v>8</v>
      </c>
      <c r="C145" s="79">
        <v>9</v>
      </c>
      <c r="D145" s="79">
        <v>48</v>
      </c>
      <c r="E145" s="79">
        <v>2</v>
      </c>
      <c r="F145" s="57">
        <v>16.25</v>
      </c>
      <c r="G145" s="79">
        <v>1537</v>
      </c>
      <c r="H145" s="8" t="s">
        <v>297</v>
      </c>
      <c r="I145" s="22" t="s">
        <v>569</v>
      </c>
      <c r="J145" s="73">
        <v>44.91</v>
      </c>
      <c r="K145" s="73">
        <v>21.61</v>
      </c>
      <c r="L145" s="73">
        <v>1.33</v>
      </c>
      <c r="N145" s="318">
        <f t="shared" si="33"/>
        <v>67.849999999999994</v>
      </c>
      <c r="O145" s="81">
        <f>IFERROR(VLOOKUP($G145,'321買'!A:E,3,0),"'沒有資料'")</f>
        <v>0</v>
      </c>
      <c r="P145" s="380">
        <f>IFERROR(VLOOKUP($G145,'321買'!$A:$G,7,0),"'沒有資料'")</f>
        <v>911</v>
      </c>
      <c r="R145" s="297">
        <f>IFERROR(RANK(VLOOKUP($G145,連買!$A:$D,4,0),連買!$D:$D,0),"'沒有資料'")</f>
        <v>712</v>
      </c>
      <c r="S145" s="66">
        <v>10</v>
      </c>
      <c r="T145" s="353">
        <f t="shared" si="28"/>
        <v>7.2463768115942032E-2</v>
      </c>
      <c r="U145" s="95">
        <v>10.95</v>
      </c>
      <c r="V145" s="36">
        <f>RTD("money.excel",,"1537","Price")</f>
        <v>138</v>
      </c>
      <c r="W145" s="66"/>
      <c r="X145" s="15">
        <f t="shared" si="29"/>
        <v>138</v>
      </c>
      <c r="Y145" s="3" t="e">
        <f t="shared" si="30"/>
        <v>#DIV/0!</v>
      </c>
      <c r="Z145" s="413" t="s">
        <v>1997</v>
      </c>
      <c r="AA145" s="161">
        <v>0</v>
      </c>
      <c r="AB145" s="409">
        <v>0</v>
      </c>
      <c r="AC145" s="259">
        <f t="shared" si="34"/>
        <v>0</v>
      </c>
      <c r="AD145" s="22" t="s">
        <v>569</v>
      </c>
      <c r="AG145" s="33">
        <f t="shared" si="31"/>
        <v>0</v>
      </c>
      <c r="AH145" s="43" t="s">
        <v>2416</v>
      </c>
      <c r="AI145" s="63">
        <f t="shared" si="32"/>
        <v>1.383495145631068E-3</v>
      </c>
      <c r="AJ145" s="307">
        <f>RTD("money.excel",,$G145,"PredictVolume")</f>
        <v>114</v>
      </c>
      <c r="AK145" s="339"/>
    </row>
    <row r="146" spans="1:37">
      <c r="A146" s="416">
        <v>2.64</v>
      </c>
      <c r="B146" s="91">
        <v>162</v>
      </c>
      <c r="C146" s="91">
        <v>2</v>
      </c>
      <c r="D146" s="91">
        <v>-32</v>
      </c>
      <c r="E146" s="91">
        <v>-27</v>
      </c>
      <c r="F146" s="6">
        <v>-23</v>
      </c>
      <c r="G146" s="79">
        <v>1538</v>
      </c>
      <c r="H146" s="8" t="s">
        <v>297</v>
      </c>
      <c r="I146" s="22" t="s">
        <v>570</v>
      </c>
      <c r="J146" s="73">
        <v>32.22</v>
      </c>
      <c r="K146" s="73">
        <v>0.43</v>
      </c>
      <c r="N146" s="318">
        <f t="shared" si="33"/>
        <v>32.65</v>
      </c>
      <c r="O146" s="81">
        <f>IFERROR(VLOOKUP($G146,'321買'!A:E,3,0),"'沒有資料'")</f>
        <v>0</v>
      </c>
      <c r="P146" s="380">
        <f>IFERROR(VLOOKUP($G146,'321買'!$A:$G,7,0),"'沒有資料'")</f>
        <v>911</v>
      </c>
      <c r="R146" s="297">
        <f>IFERROR(RANK(VLOOKUP($G146,連買!$A:$D,4,0),連買!$D:$D,0),"'沒有資料'")</f>
        <v>1386</v>
      </c>
      <c r="S146" s="34">
        <v>0</v>
      </c>
      <c r="T146" s="353">
        <f t="shared" si="28"/>
        <v>0</v>
      </c>
      <c r="U146" s="95">
        <v>-0.32</v>
      </c>
      <c r="V146" s="36">
        <f>RTD("money.excel",,"1538","Price")</f>
        <v>7.65</v>
      </c>
      <c r="W146" s="66"/>
      <c r="X146" s="15">
        <f t="shared" si="29"/>
        <v>7.65</v>
      </c>
      <c r="Y146" s="3" t="e">
        <f t="shared" si="30"/>
        <v>#DIV/0!</v>
      </c>
      <c r="AA146" s="161">
        <v>0</v>
      </c>
      <c r="AB146" s="409">
        <v>0</v>
      </c>
      <c r="AC146" s="259">
        <f t="shared" si="34"/>
        <v>0</v>
      </c>
      <c r="AD146" s="22" t="s">
        <v>570</v>
      </c>
      <c r="AG146" s="33">
        <f t="shared" si="31"/>
        <v>0</v>
      </c>
      <c r="AH146" s="43" t="s">
        <v>2372</v>
      </c>
      <c r="AI146" s="63">
        <f t="shared" si="32"/>
        <v>4.5454545454545455E-4</v>
      </c>
      <c r="AJ146" s="307">
        <f>RTD("money.excel",,$G146,"PredictVolume")</f>
        <v>12</v>
      </c>
      <c r="AK146" s="339"/>
    </row>
    <row r="147" spans="1:37">
      <c r="A147" s="416">
        <v>6.54</v>
      </c>
      <c r="B147" s="80">
        <v>-73</v>
      </c>
      <c r="C147" s="80">
        <v>-33</v>
      </c>
      <c r="D147" s="80">
        <v>-3</v>
      </c>
      <c r="E147" s="79">
        <v>68</v>
      </c>
      <c r="F147" s="6">
        <v>5.39</v>
      </c>
      <c r="G147" s="79">
        <v>1539</v>
      </c>
      <c r="H147" s="8" t="s">
        <v>297</v>
      </c>
      <c r="I147" s="22" t="s">
        <v>571</v>
      </c>
      <c r="J147" s="73">
        <v>63.46</v>
      </c>
      <c r="K147" s="73">
        <v>0.38</v>
      </c>
      <c r="L147" s="73">
        <v>10.43</v>
      </c>
      <c r="N147" s="318">
        <f t="shared" si="33"/>
        <v>74.27000000000001</v>
      </c>
      <c r="O147" s="81">
        <f>IFERROR(VLOOKUP($G147,'321買'!A:E,3,0),"'沒有資料'")</f>
        <v>1</v>
      </c>
      <c r="P147" s="380">
        <f>IFERROR(VLOOKUP($G147,'321買'!$A:$G,7,0),"'沒有資料'")</f>
        <v>783</v>
      </c>
      <c r="R147" s="297">
        <f>IFERROR(RANK(VLOOKUP($G147,連買!$A:$D,4,0),連買!$D:$D,0),"'沒有資料'")</f>
        <v>1440</v>
      </c>
      <c r="S147" s="34">
        <v>0</v>
      </c>
      <c r="T147" s="353">
        <f t="shared" si="28"/>
        <v>0</v>
      </c>
      <c r="U147" s="95">
        <v>-0.28000000000000003</v>
      </c>
      <c r="V147" s="36">
        <f>RTD("money.excel",,"1539","Price")</f>
        <v>19.100000000000001</v>
      </c>
      <c r="W147" s="66"/>
      <c r="X147" s="15">
        <f t="shared" si="29"/>
        <v>19.100000000000001</v>
      </c>
      <c r="Y147" s="3" t="e">
        <f t="shared" si="30"/>
        <v>#DIV/0!</v>
      </c>
      <c r="Z147" s="413" t="s">
        <v>1801</v>
      </c>
      <c r="AA147" s="161">
        <v>0</v>
      </c>
      <c r="AB147" s="409">
        <v>0</v>
      </c>
      <c r="AC147" s="259">
        <f t="shared" si="34"/>
        <v>0</v>
      </c>
      <c r="AD147" s="22" t="s">
        <v>571</v>
      </c>
      <c r="AG147" s="33">
        <f t="shared" si="31"/>
        <v>0</v>
      </c>
      <c r="AH147" s="43" t="s">
        <v>2168</v>
      </c>
      <c r="AI147" s="63">
        <f t="shared" si="32"/>
        <v>3.5168195718654434E-4</v>
      </c>
      <c r="AJ147" s="307">
        <f>RTD("money.excel",,$G147,"PredictVolume")</f>
        <v>23</v>
      </c>
      <c r="AK147" s="339"/>
    </row>
    <row r="148" spans="1:37">
      <c r="A148" s="416">
        <v>8.5500000000000007</v>
      </c>
      <c r="B148" s="80">
        <v>-60</v>
      </c>
      <c r="C148" s="80">
        <v>-89</v>
      </c>
      <c r="D148" s="80">
        <v>-78</v>
      </c>
      <c r="E148" s="80">
        <v>-92</v>
      </c>
      <c r="F148" s="6">
        <v>3.04</v>
      </c>
      <c r="G148" s="79">
        <v>1540</v>
      </c>
      <c r="H148" s="8" t="s">
        <v>297</v>
      </c>
      <c r="I148" s="22" t="s">
        <v>572</v>
      </c>
      <c r="J148" s="323">
        <v>38.4</v>
      </c>
      <c r="K148" s="323">
        <v>0.3</v>
      </c>
      <c r="L148" s="323">
        <v>2.15</v>
      </c>
      <c r="N148" s="318">
        <f t="shared" si="33"/>
        <v>40.849999999999994</v>
      </c>
      <c r="O148" s="81">
        <f>IFERROR(VLOOKUP($G148,'321買'!A:E,3,0),"'沒有資料'")</f>
        <v>0</v>
      </c>
      <c r="P148" s="380">
        <f>IFERROR(VLOOKUP($G148,'321買'!$A:$G,7,0),"'沒有資料'")</f>
        <v>911</v>
      </c>
      <c r="R148" s="297">
        <f>IFERROR(RANK(VLOOKUP($G148,連買!$A:$D,4,0),連買!$D:$D,0),"'沒有資料'")</f>
        <v>1501</v>
      </c>
      <c r="S148" s="34">
        <v>0.5</v>
      </c>
      <c r="T148" s="353">
        <f t="shared" si="28"/>
        <v>3.3557046979865772E-2</v>
      </c>
      <c r="U148" s="95">
        <v>-0.24</v>
      </c>
      <c r="V148" s="36">
        <f>RTD("money.excel",,"1540","Price")</f>
        <v>14.9</v>
      </c>
      <c r="W148" s="66"/>
      <c r="X148" s="15">
        <f t="shared" si="29"/>
        <v>14.9</v>
      </c>
      <c r="Y148" s="3" t="e">
        <f t="shared" si="30"/>
        <v>#DIV/0!</v>
      </c>
      <c r="Z148" s="413" t="s">
        <v>1801</v>
      </c>
      <c r="AA148" s="161">
        <v>0</v>
      </c>
      <c r="AB148" s="409">
        <v>0</v>
      </c>
      <c r="AC148" s="259">
        <f t="shared" si="34"/>
        <v>0</v>
      </c>
      <c r="AD148" s="22" t="s">
        <v>572</v>
      </c>
      <c r="AG148" s="33">
        <f t="shared" si="31"/>
        <v>0</v>
      </c>
      <c r="AH148" s="43" t="s">
        <v>2697</v>
      </c>
      <c r="AI148" s="63">
        <f t="shared" si="32"/>
        <v>6.5497076023391808E-4</v>
      </c>
      <c r="AJ148" s="307">
        <f>RTD("money.excel",,$G148,"PredictVolume")</f>
        <v>56</v>
      </c>
      <c r="AK148" s="339"/>
    </row>
    <row r="149" spans="1:37">
      <c r="A149" s="415">
        <v>7.88</v>
      </c>
      <c r="B149" s="79">
        <v>124</v>
      </c>
      <c r="C149" s="79">
        <v>54</v>
      </c>
      <c r="D149" s="80">
        <v>-20</v>
      </c>
      <c r="E149" s="80">
        <v>-2</v>
      </c>
      <c r="F149" s="57">
        <v>13.29</v>
      </c>
      <c r="G149" s="79">
        <v>1541</v>
      </c>
      <c r="H149" s="8" t="s">
        <v>297</v>
      </c>
      <c r="I149" s="22" t="s">
        <v>573</v>
      </c>
      <c r="J149" s="73">
        <v>84.3</v>
      </c>
      <c r="K149" s="73">
        <v>10.7</v>
      </c>
      <c r="L149" s="73">
        <v>2.78</v>
      </c>
      <c r="N149" s="318">
        <f t="shared" si="33"/>
        <v>97.78</v>
      </c>
      <c r="O149" s="81">
        <f>IFERROR(VLOOKUP($G149,'321買'!A:E,3,0),"'沒有資料'")</f>
        <v>0</v>
      </c>
      <c r="P149" s="380">
        <f>IFERROR(VLOOKUP($G149,'321買'!$A:$G,7,0),"'沒有資料'")</f>
        <v>911</v>
      </c>
      <c r="R149" s="297">
        <f>IFERROR(RANK(VLOOKUP($G149,連買!$A:$D,4,0),連買!$D:$D,0),"'沒有資料'")</f>
        <v>673</v>
      </c>
      <c r="S149" s="66">
        <v>3</v>
      </c>
      <c r="T149" s="353">
        <f t="shared" si="28"/>
        <v>6.9284064665127029E-2</v>
      </c>
      <c r="U149" s="95">
        <v>5.79</v>
      </c>
      <c r="V149" s="36">
        <f>RTD("money.excel",,"1541","Price")</f>
        <v>43.3</v>
      </c>
      <c r="W149" s="66"/>
      <c r="X149" s="15">
        <f t="shared" si="29"/>
        <v>43.3</v>
      </c>
      <c r="Y149" s="3" t="e">
        <f t="shared" si="30"/>
        <v>#DIV/0!</v>
      </c>
      <c r="Z149" s="413" t="s">
        <v>1997</v>
      </c>
      <c r="AA149" s="161">
        <v>0</v>
      </c>
      <c r="AB149" s="409">
        <v>0</v>
      </c>
      <c r="AC149" s="259">
        <f t="shared" si="34"/>
        <v>0</v>
      </c>
      <c r="AD149" s="22" t="s">
        <v>573</v>
      </c>
      <c r="AG149" s="33">
        <f t="shared" si="31"/>
        <v>0</v>
      </c>
      <c r="AH149" s="43" t="s">
        <v>2926</v>
      </c>
      <c r="AI149" s="63">
        <f t="shared" si="32"/>
        <v>1.2690355329949239E-4</v>
      </c>
      <c r="AJ149" s="307">
        <f>RTD("money.excel",,$G149,"PredictVolume")</f>
        <v>10</v>
      </c>
      <c r="AK149" s="339"/>
    </row>
    <row r="150" spans="1:37">
      <c r="A150" s="416">
        <v>6.05</v>
      </c>
      <c r="B150" s="79">
        <v>43</v>
      </c>
      <c r="C150" s="79">
        <v>11</v>
      </c>
      <c r="D150" s="79">
        <v>68</v>
      </c>
      <c r="E150" s="79">
        <v>14</v>
      </c>
      <c r="F150" s="6">
        <v>9.1300000000000008</v>
      </c>
      <c r="G150" s="79">
        <v>1558</v>
      </c>
      <c r="H150" s="8" t="s">
        <v>297</v>
      </c>
      <c r="I150" s="22" t="s">
        <v>574</v>
      </c>
      <c r="J150" s="73">
        <v>34.44</v>
      </c>
      <c r="K150" s="73">
        <v>8.86</v>
      </c>
      <c r="L150" s="323">
        <v>1.34</v>
      </c>
      <c r="N150" s="318">
        <f t="shared" si="33"/>
        <v>44.64</v>
      </c>
      <c r="O150" s="81">
        <f>IFERROR(VLOOKUP($G150,'321買'!A:E,3,0),"'沒有資料'")</f>
        <v>1</v>
      </c>
      <c r="P150" s="380">
        <f>IFERROR(VLOOKUP($G150,'321買'!$A:$G,7,0),"'沒有資料'")</f>
        <v>783</v>
      </c>
      <c r="R150" s="297">
        <f>IFERROR(RANK(VLOOKUP($G150,連買!$A:$D,4,0),連買!$D:$D,0),"'沒有資料'")</f>
        <v>1690</v>
      </c>
      <c r="S150" s="66">
        <v>9.5</v>
      </c>
      <c r="T150" s="353">
        <f t="shared" si="28"/>
        <v>6.83453237410072E-2</v>
      </c>
      <c r="U150" s="95">
        <v>13.76</v>
      </c>
      <c r="V150" s="36">
        <f>RTD("money.excel",,"1558","Price")</f>
        <v>139</v>
      </c>
      <c r="W150" s="66"/>
      <c r="X150" s="15">
        <f t="shared" si="29"/>
        <v>139</v>
      </c>
      <c r="Y150" s="3" t="e">
        <f t="shared" si="30"/>
        <v>#DIV/0!</v>
      </c>
      <c r="Z150" s="413" t="s">
        <v>1997</v>
      </c>
      <c r="AA150" s="161">
        <v>0</v>
      </c>
      <c r="AB150" s="409">
        <v>0</v>
      </c>
      <c r="AC150" s="259">
        <f t="shared" si="34"/>
        <v>0</v>
      </c>
      <c r="AD150" s="22" t="s">
        <v>574</v>
      </c>
      <c r="AG150" s="33">
        <f t="shared" si="31"/>
        <v>0</v>
      </c>
      <c r="AH150" s="43" t="s">
        <v>2927</v>
      </c>
      <c r="AI150" s="63">
        <f t="shared" si="32"/>
        <v>8.099173553719008E-4</v>
      </c>
      <c r="AJ150" s="307">
        <f>RTD("money.excel",,$G150,"PredictVolume")</f>
        <v>49</v>
      </c>
      <c r="AK150" s="339"/>
    </row>
    <row r="151" spans="1:37">
      <c r="A151" s="415">
        <v>14.2</v>
      </c>
      <c r="B151" s="79">
        <v>15</v>
      </c>
      <c r="C151" s="79">
        <v>25</v>
      </c>
      <c r="D151" s="79">
        <v>0</v>
      </c>
      <c r="E151" s="79">
        <v>12</v>
      </c>
      <c r="F151" s="57">
        <v>14.68</v>
      </c>
      <c r="G151" s="79">
        <v>1560</v>
      </c>
      <c r="H151" s="8" t="s">
        <v>297</v>
      </c>
      <c r="I151" s="22" t="s">
        <v>172</v>
      </c>
      <c r="J151" s="323">
        <v>41.22</v>
      </c>
      <c r="K151" s="73">
        <v>15.34</v>
      </c>
      <c r="L151" s="323">
        <v>19.34</v>
      </c>
      <c r="M151" s="73">
        <v>16.920000000000002</v>
      </c>
      <c r="N151" s="318">
        <f t="shared" si="33"/>
        <v>92.820000000000007</v>
      </c>
      <c r="O151" s="81">
        <f>IFERROR(VLOOKUP($G151,'321買'!A:E,3,0),"'沒有資料'")</f>
        <v>44</v>
      </c>
      <c r="P151" s="380">
        <f>IFERROR(VLOOKUP($G151,'321買'!$A:$G,7,0),"'沒有資料'")</f>
        <v>83</v>
      </c>
      <c r="Q151" s="245" t="s">
        <v>5077</v>
      </c>
      <c r="R151" s="297">
        <f>IFERROR(RANK(VLOOKUP($G151,連買!$A:$D,4,0),連買!$D:$D,0),"'沒有資料'")</f>
        <v>209</v>
      </c>
      <c r="S151" s="34">
        <v>2.8</v>
      </c>
      <c r="T151" s="353">
        <f t="shared" si="28"/>
        <v>2.0512820512820513E-2</v>
      </c>
      <c r="U151" s="95">
        <v>4.0199999999999996</v>
      </c>
      <c r="V151" s="36">
        <f>RTD("money.excel",,"1560","Price")</f>
        <v>136.5</v>
      </c>
      <c r="W151" s="66"/>
      <c r="X151" s="15">
        <f t="shared" si="29"/>
        <v>136.5</v>
      </c>
      <c r="Y151" s="3" t="e">
        <f t="shared" si="30"/>
        <v>#DIV/0!</v>
      </c>
      <c r="Z151" s="413" t="s">
        <v>1801</v>
      </c>
      <c r="AA151" s="161">
        <v>0</v>
      </c>
      <c r="AB151" s="409">
        <v>0</v>
      </c>
      <c r="AC151" s="259">
        <f t="shared" si="34"/>
        <v>0</v>
      </c>
      <c r="AD151" s="22" t="s">
        <v>172</v>
      </c>
      <c r="AG151" s="33">
        <f t="shared" si="31"/>
        <v>0</v>
      </c>
      <c r="AH151" s="120" t="s">
        <v>2140</v>
      </c>
      <c r="AI151" s="63">
        <f t="shared" si="32"/>
        <v>0.18030281690140845</v>
      </c>
      <c r="AJ151" s="307">
        <f>RTD("money.excel",,$G151,"PredictVolume")</f>
        <v>25603</v>
      </c>
      <c r="AK151" s="339">
        <v>52.55</v>
      </c>
    </row>
    <row r="152" spans="1:37">
      <c r="A152" s="415">
        <v>5.15</v>
      </c>
      <c r="B152" s="91">
        <v>-32</v>
      </c>
      <c r="C152" s="91">
        <v>-23</v>
      </c>
      <c r="D152" s="91">
        <v>10</v>
      </c>
      <c r="E152" s="91">
        <v>-20</v>
      </c>
      <c r="F152" s="57">
        <v>11.19</v>
      </c>
      <c r="G152" s="79">
        <v>1570</v>
      </c>
      <c r="H152" s="8" t="s">
        <v>297</v>
      </c>
      <c r="I152" s="16" t="s">
        <v>527</v>
      </c>
      <c r="J152" s="73">
        <v>47.98</v>
      </c>
      <c r="K152" s="73">
        <v>0.02</v>
      </c>
      <c r="L152" s="73">
        <v>23.39</v>
      </c>
      <c r="N152" s="318">
        <f t="shared" si="33"/>
        <v>71.39</v>
      </c>
      <c r="O152" s="81">
        <f>IFERROR(VLOOKUP($G152,'321買'!A:E,3,0),"'沒有資料'")</f>
        <v>29</v>
      </c>
      <c r="P152" s="380">
        <f>IFERROR(VLOOKUP($G152,'321買'!$A:$G,7,0),"'沒有資料'")</f>
        <v>147</v>
      </c>
      <c r="R152" s="297">
        <f>IFERROR(RANK(VLOOKUP($G152,連買!$A:$D,4,0),連買!$D:$D,0),"'沒有資料'")</f>
        <v>1514</v>
      </c>
      <c r="S152" s="34">
        <v>0.8</v>
      </c>
      <c r="T152" s="353">
        <f t="shared" si="28"/>
        <v>4.1558441558441558E-2</v>
      </c>
      <c r="U152" s="95">
        <v>0.93</v>
      </c>
      <c r="V152" s="36">
        <f>RTD("money.excel",,"1570","Price")</f>
        <v>19.25</v>
      </c>
      <c r="W152" s="66"/>
      <c r="X152" s="15">
        <f t="shared" si="29"/>
        <v>19.25</v>
      </c>
      <c r="Y152" s="3" t="e">
        <f t="shared" si="30"/>
        <v>#DIV/0!</v>
      </c>
      <c r="AA152" s="161">
        <v>0</v>
      </c>
      <c r="AB152" s="409">
        <v>0</v>
      </c>
      <c r="AC152" s="259">
        <f t="shared" si="34"/>
        <v>0</v>
      </c>
      <c r="AD152" s="16" t="s">
        <v>527</v>
      </c>
      <c r="AG152" s="33">
        <f t="shared" si="31"/>
        <v>0</v>
      </c>
      <c r="AH152" s="43" t="s">
        <v>2684</v>
      </c>
      <c r="AI152" s="63">
        <f t="shared" si="32"/>
        <v>1.70873786407767E-3</v>
      </c>
      <c r="AJ152" s="307">
        <f>RTD("money.excel",,$G152,"PredictVolume")</f>
        <v>88</v>
      </c>
      <c r="AK152" s="339"/>
    </row>
    <row r="153" spans="1:37">
      <c r="A153" s="415">
        <v>5.0199999999999996</v>
      </c>
      <c r="B153" s="80">
        <v>-39</v>
      </c>
      <c r="C153" s="80">
        <v>-35</v>
      </c>
      <c r="D153" s="80">
        <v>-22</v>
      </c>
      <c r="E153" s="79">
        <v>45</v>
      </c>
      <c r="F153" s="57">
        <v>13.27</v>
      </c>
      <c r="G153" s="79">
        <v>1580</v>
      </c>
      <c r="H153" s="8" t="s">
        <v>297</v>
      </c>
      <c r="I153" s="16" t="s">
        <v>35</v>
      </c>
      <c r="J153" s="73">
        <v>33.159999999999997</v>
      </c>
      <c r="K153" s="73">
        <v>11.74</v>
      </c>
      <c r="L153" s="73">
        <v>6.23</v>
      </c>
      <c r="N153" s="318">
        <f t="shared" si="33"/>
        <v>51.129999999999995</v>
      </c>
      <c r="O153" s="81">
        <f>IFERROR(VLOOKUP($G153,'321買'!A:E,3,0),"'沒有資料'")</f>
        <v>0</v>
      </c>
      <c r="P153" s="380">
        <f>IFERROR(VLOOKUP($G153,'321買'!$A:$G,7,0),"'沒有資料'")</f>
        <v>911</v>
      </c>
      <c r="R153" s="297">
        <f>IFERROR(RANK(VLOOKUP($G153,連買!$A:$D,4,0),連買!$D:$D,0),"'沒有資料'")</f>
        <v>201</v>
      </c>
      <c r="S153" s="66">
        <v>6.79</v>
      </c>
      <c r="T153" s="353">
        <f t="shared" si="28"/>
        <v>6.5288461538461545E-2</v>
      </c>
      <c r="U153" s="95">
        <v>6.79</v>
      </c>
      <c r="V153" s="36">
        <f>RTD("money.excel",,"1580","Price")</f>
        <v>104</v>
      </c>
      <c r="W153" s="66"/>
      <c r="X153" s="15">
        <f t="shared" si="29"/>
        <v>104</v>
      </c>
      <c r="Y153" s="3" t="e">
        <f t="shared" si="30"/>
        <v>#DIV/0!</v>
      </c>
      <c r="Z153" s="413" t="s">
        <v>1831</v>
      </c>
      <c r="AA153" s="161">
        <v>0</v>
      </c>
      <c r="AB153" s="409">
        <v>0</v>
      </c>
      <c r="AC153" s="259">
        <f t="shared" si="34"/>
        <v>0</v>
      </c>
      <c r="AD153" s="16" t="s">
        <v>35</v>
      </c>
      <c r="AG153" s="33">
        <f t="shared" si="31"/>
        <v>0</v>
      </c>
      <c r="AH153" s="120" t="s">
        <v>2685</v>
      </c>
      <c r="AI153" s="63">
        <f t="shared" si="32"/>
        <v>1.3545816733067731E-3</v>
      </c>
      <c r="AJ153" s="307">
        <f>RTD("money.excel",,$G153,"PredictVolume")</f>
        <v>68</v>
      </c>
      <c r="AK153" s="339"/>
    </row>
    <row r="154" spans="1:37">
      <c r="A154" s="416">
        <v>11</v>
      </c>
      <c r="B154" s="79">
        <v>88</v>
      </c>
      <c r="C154" s="80">
        <v>-95</v>
      </c>
      <c r="D154" s="79">
        <v>11</v>
      </c>
      <c r="E154" s="79">
        <v>9</v>
      </c>
      <c r="F154" s="6">
        <v>0.43</v>
      </c>
      <c r="G154" s="79">
        <v>1583</v>
      </c>
      <c r="H154" s="8" t="s">
        <v>297</v>
      </c>
      <c r="I154" s="22" t="s">
        <v>575</v>
      </c>
      <c r="J154" s="73">
        <v>90.03</v>
      </c>
      <c r="K154" s="73">
        <v>0.27</v>
      </c>
      <c r="L154" s="323">
        <v>0.28999999999999998</v>
      </c>
      <c r="N154" s="318">
        <f t="shared" si="33"/>
        <v>90.59</v>
      </c>
      <c r="O154" s="81">
        <f>IFERROR(VLOOKUP($G154,'321買'!A:E,3,0),"'沒有資料'")</f>
        <v>0</v>
      </c>
      <c r="P154" s="380">
        <f>IFERROR(VLOOKUP($G154,'321買'!$A:$G,7,0),"'沒有資料'")</f>
        <v>911</v>
      </c>
      <c r="R154" s="297">
        <f>IFERROR(RANK(VLOOKUP($G154,連買!$A:$D,4,0),連買!$D:$D,0),"'沒有資料'")</f>
        <v>1629</v>
      </c>
      <c r="S154" s="66">
        <v>3</v>
      </c>
      <c r="T154" s="353">
        <f t="shared" si="28"/>
        <v>5.3667262969588556E-2</v>
      </c>
      <c r="U154" s="57">
        <v>4.3899999999999997</v>
      </c>
      <c r="V154" s="36">
        <f>RTD("money.excel",,"1583","Price")</f>
        <v>55.9</v>
      </c>
      <c r="W154" s="66"/>
      <c r="X154" s="15">
        <f t="shared" si="29"/>
        <v>55.9</v>
      </c>
      <c r="Y154" s="3" t="e">
        <f t="shared" si="30"/>
        <v>#DIV/0!</v>
      </c>
      <c r="Z154" s="413" t="s">
        <v>1997</v>
      </c>
      <c r="AA154" s="161">
        <v>0</v>
      </c>
      <c r="AB154" s="409">
        <v>0</v>
      </c>
      <c r="AC154" s="259">
        <f t="shared" si="34"/>
        <v>0</v>
      </c>
      <c r="AD154" s="22" t="s">
        <v>575</v>
      </c>
      <c r="AG154" s="33">
        <f t="shared" si="31"/>
        <v>0</v>
      </c>
      <c r="AH154" s="43" t="s">
        <v>2928</v>
      </c>
      <c r="AI154" s="63">
        <f t="shared" si="32"/>
        <v>9.090909090909091E-6</v>
      </c>
      <c r="AJ154" s="307">
        <f>RTD("money.excel",,$G154,"PredictVolume")</f>
        <v>1</v>
      </c>
      <c r="AK154" s="339"/>
    </row>
    <row r="155" spans="1:37">
      <c r="A155" s="415">
        <v>8.42</v>
      </c>
      <c r="B155" s="79">
        <v>586</v>
      </c>
      <c r="C155" s="79">
        <v>273</v>
      </c>
      <c r="D155" s="79">
        <v>21</v>
      </c>
      <c r="E155" s="79">
        <v>37</v>
      </c>
      <c r="F155" s="57">
        <v>10.1</v>
      </c>
      <c r="G155" s="79">
        <v>1586</v>
      </c>
      <c r="H155" s="8" t="s">
        <v>297</v>
      </c>
      <c r="I155" s="16" t="s">
        <v>554</v>
      </c>
      <c r="J155" s="73">
        <v>41.92</v>
      </c>
      <c r="K155" s="73">
        <v>0.78</v>
      </c>
      <c r="L155" s="73">
        <v>49.72</v>
      </c>
      <c r="N155" s="318">
        <f t="shared" si="33"/>
        <v>92.42</v>
      </c>
      <c r="O155" s="81">
        <f>IFERROR(VLOOKUP($G155,'321買'!A:E,3,0),"'沒有資料'")</f>
        <v>2</v>
      </c>
      <c r="P155" s="380">
        <f>IFERROR(VLOOKUP($G155,'321買'!$A:$G,7,0),"'沒有資料'")</f>
        <v>706</v>
      </c>
      <c r="R155" s="297">
        <f>IFERROR(RANK(VLOOKUP($G155,連買!$A:$D,4,0),連買!$D:$D,0),"'沒有資料'")</f>
        <v>425</v>
      </c>
      <c r="S155" s="34">
        <v>1</v>
      </c>
      <c r="T155" s="353">
        <f t="shared" si="28"/>
        <v>2.5477707006369428E-2</v>
      </c>
      <c r="U155" s="95">
        <v>1.75</v>
      </c>
      <c r="V155" s="36">
        <f>RTD("money.excel",,"1586","Price")</f>
        <v>39.25</v>
      </c>
      <c r="W155" s="66"/>
      <c r="X155" s="15">
        <f t="shared" si="29"/>
        <v>39.25</v>
      </c>
      <c r="Y155" s="3" t="e">
        <f t="shared" si="30"/>
        <v>#DIV/0!</v>
      </c>
      <c r="Z155" s="413" t="s">
        <v>1801</v>
      </c>
      <c r="AA155" s="161">
        <v>0</v>
      </c>
      <c r="AB155" s="409">
        <v>0</v>
      </c>
      <c r="AC155" s="259">
        <f t="shared" si="34"/>
        <v>0</v>
      </c>
      <c r="AD155" s="16" t="s">
        <v>554</v>
      </c>
      <c r="AG155" s="33">
        <f t="shared" si="31"/>
        <v>0</v>
      </c>
      <c r="AH155" s="43" t="s">
        <v>2510</v>
      </c>
      <c r="AI155" s="63">
        <f t="shared" si="32"/>
        <v>2.2090261282660334E-3</v>
      </c>
      <c r="AJ155" s="307">
        <f>RTD("money.excel",,$G155,"PredictVolume")</f>
        <v>186</v>
      </c>
      <c r="AK155" s="339"/>
    </row>
    <row r="156" spans="1:37">
      <c r="A156" s="416">
        <v>11</v>
      </c>
      <c r="B156" s="79">
        <v>211</v>
      </c>
      <c r="C156" s="79">
        <v>279</v>
      </c>
      <c r="D156" s="80">
        <v>-12</v>
      </c>
      <c r="E156" s="80">
        <v>-3</v>
      </c>
      <c r="F156" s="6">
        <v>9.3000000000000007</v>
      </c>
      <c r="G156" s="79">
        <v>1589</v>
      </c>
      <c r="H156" s="8" t="s">
        <v>297</v>
      </c>
      <c r="I156" s="22" t="s">
        <v>576</v>
      </c>
      <c r="J156" s="323">
        <v>35.35</v>
      </c>
      <c r="K156" s="73">
        <v>7.6</v>
      </c>
      <c r="L156" s="73">
        <v>30.65</v>
      </c>
      <c r="N156" s="318">
        <f t="shared" si="33"/>
        <v>73.599999999999994</v>
      </c>
      <c r="O156" s="81">
        <f>IFERROR(VLOOKUP($G156,'321買'!A:E,3,0),"'沒有資料'")</f>
        <v>1</v>
      </c>
      <c r="P156" s="380">
        <f>IFERROR(VLOOKUP($G156,'321買'!$A:$G,7,0),"'沒有資料'")</f>
        <v>783</v>
      </c>
      <c r="R156" s="297">
        <f>IFERROR(RANK(VLOOKUP($G156,連買!$A:$D,4,0),連買!$D:$D,0),"'沒有資料'")</f>
        <v>265</v>
      </c>
      <c r="S156" s="34">
        <v>1.5</v>
      </c>
      <c r="T156" s="353">
        <f t="shared" si="28"/>
        <v>2.3961661341853034E-2</v>
      </c>
      <c r="U156" s="95">
        <v>7.01</v>
      </c>
      <c r="V156" s="36">
        <f>RTD("money.excel",,"1589","Price")</f>
        <v>62.6</v>
      </c>
      <c r="W156" s="66"/>
      <c r="X156" s="15">
        <f t="shared" si="29"/>
        <v>62.6</v>
      </c>
      <c r="Y156" s="3" t="e">
        <f t="shared" si="30"/>
        <v>#DIV/0!</v>
      </c>
      <c r="Z156" s="413" t="s">
        <v>1801</v>
      </c>
      <c r="AA156" s="161">
        <v>0</v>
      </c>
      <c r="AB156" s="409">
        <v>0</v>
      </c>
      <c r="AC156" s="259">
        <f t="shared" si="34"/>
        <v>0</v>
      </c>
      <c r="AD156" s="22" t="s">
        <v>576</v>
      </c>
      <c r="AG156" s="33">
        <f t="shared" si="31"/>
        <v>0</v>
      </c>
      <c r="AH156" s="43" t="s">
        <v>2929</v>
      </c>
      <c r="AI156" s="63">
        <f t="shared" si="32"/>
        <v>2.3454545454545455E-3</v>
      </c>
      <c r="AJ156" s="307">
        <f>RTD("money.excel",,$G156,"PredictVolume")</f>
        <v>258</v>
      </c>
      <c r="AK156" s="339"/>
    </row>
    <row r="157" spans="1:37">
      <c r="A157" s="415">
        <v>20</v>
      </c>
      <c r="B157" s="79">
        <v>87</v>
      </c>
      <c r="C157" s="79">
        <v>73</v>
      </c>
      <c r="D157" s="80">
        <v>-26</v>
      </c>
      <c r="E157" s="79">
        <v>3</v>
      </c>
      <c r="F157" s="57">
        <v>33.82</v>
      </c>
      <c r="G157" s="79">
        <v>1590</v>
      </c>
      <c r="H157" s="204" t="s">
        <v>297</v>
      </c>
      <c r="I157" s="22" t="s">
        <v>3894</v>
      </c>
      <c r="J157" s="73">
        <v>58.89</v>
      </c>
      <c r="K157" s="73">
        <v>82</v>
      </c>
      <c r="L157" s="323">
        <v>1.04</v>
      </c>
      <c r="N157" s="318">
        <f t="shared" si="33"/>
        <v>141.92999999999998</v>
      </c>
      <c r="O157" s="81">
        <f>IFERROR(VLOOKUP($G157,'321買'!A:E,3,0),"'沒有資料'")</f>
        <v>0</v>
      </c>
      <c r="P157" s="380">
        <f>IFERROR(VLOOKUP($G157,'321買'!$A:$G,7,0),"'沒有資料'")</f>
        <v>911</v>
      </c>
      <c r="R157" s="297">
        <f>IFERROR(RANK(VLOOKUP($G157,連買!$A:$D,4,0),連買!$D:$D,0),"'沒有資料'")</f>
        <v>7</v>
      </c>
      <c r="S157" s="66">
        <v>9.06</v>
      </c>
      <c r="T157" s="353">
        <f t="shared" si="28"/>
        <v>9.8371335504886005E-3</v>
      </c>
      <c r="U157" s="57">
        <v>33.64</v>
      </c>
      <c r="V157" s="155">
        <f>RTD("money.excel",,"1590","Price")</f>
        <v>921</v>
      </c>
      <c r="W157" s="66"/>
      <c r="X157" s="141">
        <f t="shared" si="29"/>
        <v>921</v>
      </c>
      <c r="Y157" s="3" t="e">
        <f t="shared" si="30"/>
        <v>#DIV/0!</v>
      </c>
      <c r="Z157" s="413" t="s">
        <v>1997</v>
      </c>
      <c r="AA157" s="161">
        <v>0</v>
      </c>
      <c r="AB157" s="409">
        <v>0</v>
      </c>
      <c r="AC157" s="259">
        <f t="shared" si="34"/>
        <v>0</v>
      </c>
      <c r="AD157" s="22" t="s">
        <v>3894</v>
      </c>
      <c r="AG157" s="33">
        <f t="shared" si="31"/>
        <v>0</v>
      </c>
      <c r="AH157" s="120" t="s">
        <v>2719</v>
      </c>
      <c r="AI157" s="63">
        <f t="shared" si="32"/>
        <v>1.9750000000000002E-3</v>
      </c>
      <c r="AJ157" s="307">
        <f>RTD("money.excel",,$G157,"PredictVolume")</f>
        <v>395</v>
      </c>
      <c r="AK157" s="339"/>
    </row>
    <row r="158" spans="1:37">
      <c r="A158" s="416">
        <v>3.32</v>
      </c>
      <c r="B158" s="91">
        <v>107</v>
      </c>
      <c r="C158" s="91">
        <v>33</v>
      </c>
      <c r="D158" s="91">
        <v>2</v>
      </c>
      <c r="E158" s="91">
        <v>38</v>
      </c>
      <c r="F158" s="6">
        <v>2.74</v>
      </c>
      <c r="G158" s="79">
        <v>1591</v>
      </c>
      <c r="H158" s="8" t="s">
        <v>297</v>
      </c>
      <c r="I158" s="16" t="s">
        <v>528</v>
      </c>
      <c r="J158" s="73">
        <v>65.099999999999994</v>
      </c>
      <c r="K158" s="73">
        <v>19.89</v>
      </c>
      <c r="L158" s="73">
        <v>64.17</v>
      </c>
      <c r="N158" s="318">
        <f t="shared" si="33"/>
        <v>149.16</v>
      </c>
      <c r="O158" s="81">
        <f>IFERROR(VLOOKUP($G158,'321買'!A:E,3,0),"'沒有資料'")</f>
        <v>3</v>
      </c>
      <c r="P158" s="380">
        <f>IFERROR(VLOOKUP($G158,'321買'!$A:$G,7,0),"'沒有資料'")</f>
        <v>592</v>
      </c>
      <c r="R158" s="297">
        <f>IFERROR(RANK(VLOOKUP($G158,連買!$A:$D,4,0),連買!$D:$D,0),"'沒有資料'")</f>
        <v>928</v>
      </c>
      <c r="S158" s="34">
        <v>0.5</v>
      </c>
      <c r="T158" s="353">
        <f t="shared" si="28"/>
        <v>2.2935779816513759E-2</v>
      </c>
      <c r="U158" s="95">
        <v>1.59</v>
      </c>
      <c r="V158" s="13">
        <f>RTD("money.excel",,"1591","Price")</f>
        <v>21.8</v>
      </c>
      <c r="W158" s="66"/>
      <c r="X158" s="15">
        <f t="shared" si="29"/>
        <v>21.8</v>
      </c>
      <c r="Y158" s="3" t="e">
        <f t="shared" si="30"/>
        <v>#DIV/0!</v>
      </c>
      <c r="AA158" s="161">
        <v>0</v>
      </c>
      <c r="AB158" s="409">
        <v>0</v>
      </c>
      <c r="AC158" s="259">
        <f t="shared" si="34"/>
        <v>0</v>
      </c>
      <c r="AD158" s="16" t="s">
        <v>528</v>
      </c>
      <c r="AG158" s="33">
        <f t="shared" si="31"/>
        <v>0</v>
      </c>
      <c r="AH158" s="43" t="s">
        <v>2686</v>
      </c>
      <c r="AI158" s="63">
        <f t="shared" si="32"/>
        <v>1.1506024096385542E-2</v>
      </c>
      <c r="AJ158" s="307">
        <f>RTD("money.excel",,$G158,"PredictVolume")</f>
        <v>382</v>
      </c>
      <c r="AK158" s="339"/>
    </row>
    <row r="159" spans="1:37">
      <c r="A159" s="415">
        <v>8.1199999999999992</v>
      </c>
      <c r="B159" s="79">
        <v>52</v>
      </c>
      <c r="C159" s="79">
        <v>72</v>
      </c>
      <c r="D159" s="79">
        <v>0</v>
      </c>
      <c r="E159" s="79">
        <v>46</v>
      </c>
      <c r="F159" s="57">
        <v>24.42</v>
      </c>
      <c r="G159" s="79">
        <v>1597</v>
      </c>
      <c r="H159" s="8" t="s">
        <v>297</v>
      </c>
      <c r="I159" s="22" t="s">
        <v>170</v>
      </c>
      <c r="J159" s="323">
        <v>38.28</v>
      </c>
      <c r="K159" s="323">
        <v>5.39</v>
      </c>
      <c r="L159" s="323">
        <v>8.9700000000000006</v>
      </c>
      <c r="N159" s="318">
        <f t="shared" si="33"/>
        <v>52.64</v>
      </c>
      <c r="O159" s="81">
        <f>IFERROR(VLOOKUP($G159,'321買'!A:E,3,0),"'沒有資料'")</f>
        <v>6</v>
      </c>
      <c r="P159" s="380">
        <f>IFERROR(VLOOKUP($G159,'321買'!$A:$G,7,0),"'沒有資料'")</f>
        <v>499</v>
      </c>
      <c r="R159" s="297">
        <f>IFERROR(RANK(VLOOKUP($G159,連買!$A:$D,4,0),連買!$D:$D,0),"'沒有資料'")</f>
        <v>1619</v>
      </c>
      <c r="S159" s="34">
        <v>1.5</v>
      </c>
      <c r="T159" s="353">
        <f t="shared" si="28"/>
        <v>1.9206145966709349E-2</v>
      </c>
      <c r="U159" s="95">
        <v>3.15</v>
      </c>
      <c r="V159" s="36">
        <f>RTD("money.excel",,"1597","Price")</f>
        <v>78.099999999999994</v>
      </c>
      <c r="W159" s="66"/>
      <c r="X159" s="15">
        <f t="shared" si="29"/>
        <v>78.099999999999994</v>
      </c>
      <c r="Y159" s="3" t="e">
        <f t="shared" si="30"/>
        <v>#DIV/0!</v>
      </c>
      <c r="Z159" s="413" t="s">
        <v>1801</v>
      </c>
      <c r="AA159" s="161">
        <v>0</v>
      </c>
      <c r="AB159" s="409">
        <v>0</v>
      </c>
      <c r="AC159" s="259">
        <f t="shared" si="34"/>
        <v>0</v>
      </c>
      <c r="AD159" s="22" t="s">
        <v>170</v>
      </c>
      <c r="AG159" s="33">
        <f t="shared" si="31"/>
        <v>0</v>
      </c>
      <c r="AH159" s="120" t="s">
        <v>2687</v>
      </c>
      <c r="AI159" s="63">
        <f t="shared" si="32"/>
        <v>1.4408866995073895E-3</v>
      </c>
      <c r="AJ159" s="307">
        <f>RTD("money.excel",,$G159,"PredictVolume")</f>
        <v>117</v>
      </c>
      <c r="AK159" s="339"/>
    </row>
    <row r="160" spans="1:37">
      <c r="A160" s="416">
        <v>7.63</v>
      </c>
      <c r="B160" s="91">
        <v>40</v>
      </c>
      <c r="C160" s="91">
        <v>29</v>
      </c>
      <c r="D160" s="91">
        <v>-1</v>
      </c>
      <c r="E160" s="91">
        <v>96</v>
      </c>
      <c r="F160" s="6">
        <v>7.93</v>
      </c>
      <c r="G160" s="79">
        <v>1599</v>
      </c>
      <c r="H160" s="8" t="s">
        <v>297</v>
      </c>
      <c r="I160" s="16" t="s">
        <v>3895</v>
      </c>
      <c r="J160" s="73">
        <v>71.14</v>
      </c>
      <c r="K160" s="323">
        <v>16.43</v>
      </c>
      <c r="L160" s="73">
        <v>2.2200000000000002</v>
      </c>
      <c r="N160" s="318">
        <f t="shared" si="33"/>
        <v>89.789999999999992</v>
      </c>
      <c r="O160" s="81">
        <f>IFERROR(VLOOKUP($G160,'321買'!A:E,3,0),"'沒有資料'")</f>
        <v>1</v>
      </c>
      <c r="P160" s="380">
        <f>IFERROR(VLOOKUP($G160,'321買'!$A:$G,7,0),"'沒有資料'")</f>
        <v>783</v>
      </c>
      <c r="R160" s="297">
        <f>IFERROR(RANK(VLOOKUP($G160,連買!$A:$D,4,0),連買!$D:$D,0),"'沒有資料'")</f>
        <v>380</v>
      </c>
      <c r="S160" s="34">
        <v>2</v>
      </c>
      <c r="T160" s="353">
        <f t="shared" ref="T160:T191" si="35">S160/V160</f>
        <v>3.3670033670033669E-2</v>
      </c>
      <c r="U160" s="95">
        <v>3.27</v>
      </c>
      <c r="V160" s="13">
        <f>RTD("money.excel",,"1599","Price")</f>
        <v>59.4</v>
      </c>
      <c r="W160" s="66"/>
      <c r="X160" s="15">
        <f t="shared" si="29"/>
        <v>59.4</v>
      </c>
      <c r="Y160" s="3" t="e">
        <f t="shared" si="30"/>
        <v>#DIV/0!</v>
      </c>
      <c r="AA160" s="161">
        <v>0</v>
      </c>
      <c r="AB160" s="409">
        <v>0</v>
      </c>
      <c r="AC160" s="259">
        <f t="shared" si="34"/>
        <v>0</v>
      </c>
      <c r="AD160" s="16" t="s">
        <v>3895</v>
      </c>
      <c r="AG160" s="33">
        <f t="shared" si="31"/>
        <v>0</v>
      </c>
      <c r="AH160" s="120" t="s">
        <v>2688</v>
      </c>
      <c r="AI160" s="63">
        <f t="shared" ref="AI160:AI191" si="36">AJ160/(A160*10000)</f>
        <v>1.3971166448230668E-2</v>
      </c>
      <c r="AJ160" s="307">
        <f>RTD("money.excel",,$G160,"PredictVolume")</f>
        <v>1066</v>
      </c>
      <c r="AK160" s="339"/>
    </row>
    <row r="161" spans="1:37">
      <c r="A161" s="415">
        <v>34</v>
      </c>
      <c r="B161" s="79">
        <v>360</v>
      </c>
      <c r="C161" s="79">
        <v>271</v>
      </c>
      <c r="D161" s="79">
        <v>1</v>
      </c>
      <c r="E161" s="79">
        <v>38</v>
      </c>
      <c r="F161" s="57">
        <v>17.16</v>
      </c>
      <c r="G161" s="79">
        <v>2049</v>
      </c>
      <c r="H161" s="8" t="s">
        <v>297</v>
      </c>
      <c r="I161" s="22" t="s">
        <v>21</v>
      </c>
      <c r="J161" s="73">
        <v>60.85</v>
      </c>
      <c r="K161" s="323">
        <v>50.55</v>
      </c>
      <c r="L161" s="73">
        <v>1.78</v>
      </c>
      <c r="N161" s="318">
        <f t="shared" si="33"/>
        <v>113.18</v>
      </c>
      <c r="O161" s="81">
        <f>IFERROR(VLOOKUP($G161,'321買'!A:E,3,0),"'沒有資料'")</f>
        <v>1</v>
      </c>
      <c r="P161" s="380">
        <f>IFERROR(VLOOKUP($G161,'321買'!$A:$G,7,0),"'沒有資料'")</f>
        <v>783</v>
      </c>
      <c r="R161" s="297">
        <f>IFERROR(RANK(VLOOKUP($G161,連買!$A:$D,4,0),連買!$D:$D,0),"'沒有資料'")</f>
        <v>1751</v>
      </c>
      <c r="S161" s="34">
        <v>2.2999999999999998</v>
      </c>
      <c r="T161" s="353">
        <f t="shared" si="35"/>
        <v>9.9352051835853127E-3</v>
      </c>
      <c r="U161" s="57">
        <v>9.4700000000000006</v>
      </c>
      <c r="V161" s="13">
        <f>RTD("money.excel",,"2049","Price")</f>
        <v>231.5</v>
      </c>
      <c r="W161" s="66"/>
      <c r="X161" s="15">
        <f t="shared" si="29"/>
        <v>231.5</v>
      </c>
      <c r="Y161" s="3" t="e">
        <f t="shared" si="30"/>
        <v>#DIV/0!</v>
      </c>
      <c r="Z161" s="413" t="s">
        <v>1801</v>
      </c>
      <c r="AA161" s="161">
        <v>0</v>
      </c>
      <c r="AB161" s="409">
        <v>0</v>
      </c>
      <c r="AC161" s="259">
        <f t="shared" si="34"/>
        <v>0</v>
      </c>
      <c r="AD161" s="22" t="s">
        <v>21</v>
      </c>
      <c r="AG161" s="33">
        <f t="shared" si="31"/>
        <v>0</v>
      </c>
      <c r="AH161" s="120" t="s">
        <v>2526</v>
      </c>
      <c r="AI161" s="63">
        <f t="shared" si="36"/>
        <v>2.7235294117647058E-3</v>
      </c>
      <c r="AJ161" s="307">
        <f>RTD("money.excel",,$G161,"PredictVolume")</f>
        <v>926</v>
      </c>
      <c r="AK161" s="339"/>
    </row>
    <row r="162" spans="1:37">
      <c r="A162" s="416">
        <v>3.65</v>
      </c>
      <c r="B162" s="80">
        <v>-87</v>
      </c>
      <c r="C162" s="80">
        <v>-14</v>
      </c>
      <c r="D162" s="80">
        <v>-3</v>
      </c>
      <c r="E162" s="80">
        <v>-8</v>
      </c>
      <c r="F162" s="6">
        <v>5.56</v>
      </c>
      <c r="G162" s="79">
        <v>2066</v>
      </c>
      <c r="H162" s="8" t="s">
        <v>297</v>
      </c>
      <c r="I162" s="16" t="s">
        <v>139</v>
      </c>
      <c r="J162" s="323">
        <v>68.09</v>
      </c>
      <c r="K162" s="323">
        <v>10.25</v>
      </c>
      <c r="L162" s="323">
        <v>1.27</v>
      </c>
      <c r="N162" s="318">
        <f t="shared" si="33"/>
        <v>79.61</v>
      </c>
      <c r="O162" s="81">
        <f>IFERROR(VLOOKUP($G162,'321買'!A:E,3,0),"'沒有資料'")</f>
        <v>0</v>
      </c>
      <c r="P162" s="380">
        <f>IFERROR(VLOOKUP($G162,'321買'!$A:$G,7,0),"'沒有資料'")</f>
        <v>911</v>
      </c>
      <c r="R162" s="297">
        <f>IFERROR(RANK(VLOOKUP($G162,連買!$A:$D,4,0),連買!$D:$D,0),"'沒有資料'")</f>
        <v>896</v>
      </c>
      <c r="S162" s="34">
        <v>2.3199999999999998</v>
      </c>
      <c r="T162" s="353">
        <f t="shared" si="35"/>
        <v>3.8410596026490065E-2</v>
      </c>
      <c r="U162" s="95">
        <v>2.5299999999999998</v>
      </c>
      <c r="V162" s="36">
        <f>RTD("money.excel",,"2066","Price")</f>
        <v>60.4</v>
      </c>
      <c r="W162" s="66"/>
      <c r="X162" s="15">
        <f t="shared" si="29"/>
        <v>60.4</v>
      </c>
      <c r="Y162" s="3" t="e">
        <f t="shared" si="30"/>
        <v>#DIV/0!</v>
      </c>
      <c r="Z162" s="413" t="s">
        <v>1801</v>
      </c>
      <c r="AA162" s="161">
        <v>0</v>
      </c>
      <c r="AB162" s="409">
        <v>0</v>
      </c>
      <c r="AC162" s="259">
        <f t="shared" si="34"/>
        <v>0</v>
      </c>
      <c r="AD162" s="16" t="s">
        <v>139</v>
      </c>
      <c r="AG162" s="33">
        <f t="shared" si="31"/>
        <v>0</v>
      </c>
      <c r="AH162" s="120" t="s">
        <v>2324</v>
      </c>
      <c r="AI162" s="63">
        <f t="shared" si="36"/>
        <v>1.6712328767123287E-3</v>
      </c>
      <c r="AJ162" s="307">
        <f>RTD("money.excel",,$G162,"PredictVolume")</f>
        <v>61</v>
      </c>
      <c r="AK162" s="339"/>
    </row>
    <row r="163" spans="1:37">
      <c r="A163" s="416">
        <v>4.51</v>
      </c>
      <c r="B163" s="91">
        <v>-26</v>
      </c>
      <c r="C163" s="91">
        <v>-278</v>
      </c>
      <c r="D163" s="91">
        <v>0</v>
      </c>
      <c r="E163" s="91">
        <v>36</v>
      </c>
      <c r="F163" s="6">
        <v>-10.17</v>
      </c>
      <c r="G163" s="79">
        <v>2067</v>
      </c>
      <c r="H163" s="8" t="s">
        <v>297</v>
      </c>
      <c r="I163" s="16" t="s">
        <v>530</v>
      </c>
      <c r="J163" s="73">
        <v>68.72</v>
      </c>
      <c r="K163" s="73">
        <v>11.66</v>
      </c>
      <c r="N163" s="318">
        <f t="shared" si="33"/>
        <v>80.38</v>
      </c>
      <c r="O163" s="81" t="str">
        <f>IFERROR(VLOOKUP($G163,'321買'!A:E,3,0),"'沒有資料'")</f>
        <v>'沒有資料'</v>
      </c>
      <c r="P163" s="380" t="str">
        <f>IFERROR(VLOOKUP($G163,'321買'!$A:$G,7,0),"'沒有資料'")</f>
        <v>'沒有資料'</v>
      </c>
      <c r="R163" s="297">
        <f>IFERROR(RANK(VLOOKUP($G163,連買!$A:$D,4,0),連買!$D:$D,0),"'沒有資料'")</f>
        <v>1186</v>
      </c>
      <c r="S163" s="34">
        <v>0</v>
      </c>
      <c r="T163" s="353">
        <f t="shared" si="35"/>
        <v>0</v>
      </c>
      <c r="U163" s="95">
        <v>-0.88</v>
      </c>
      <c r="V163" s="13">
        <f>RTD("money.excel",,"2067","Price")</f>
        <v>14.1</v>
      </c>
      <c r="W163" s="66"/>
      <c r="X163" s="15">
        <f t="shared" si="29"/>
        <v>14.1</v>
      </c>
      <c r="Y163" s="3" t="e">
        <f t="shared" si="30"/>
        <v>#DIV/0!</v>
      </c>
      <c r="AA163" s="161">
        <v>0</v>
      </c>
      <c r="AB163" s="409">
        <v>0</v>
      </c>
      <c r="AC163" s="259">
        <f t="shared" si="34"/>
        <v>0</v>
      </c>
      <c r="AD163" s="16" t="s">
        <v>530</v>
      </c>
      <c r="AG163" s="33">
        <f t="shared" si="31"/>
        <v>0</v>
      </c>
      <c r="AH163" s="43" t="s">
        <v>2689</v>
      </c>
      <c r="AI163" s="63">
        <f t="shared" si="36"/>
        <v>6.6518847006651885E-4</v>
      </c>
      <c r="AJ163" s="307">
        <f>RTD("money.excel",,$G163,"PredictVolume")</f>
        <v>30</v>
      </c>
      <c r="AK163" s="339"/>
    </row>
    <row r="164" spans="1:37">
      <c r="A164" s="416">
        <v>3.58</v>
      </c>
      <c r="B164" s="91">
        <v>-454</v>
      </c>
      <c r="C164" s="91">
        <v>-237</v>
      </c>
      <c r="D164" s="91">
        <v>-29</v>
      </c>
      <c r="E164" s="91">
        <v>-6</v>
      </c>
      <c r="F164" s="6">
        <v>-14.01</v>
      </c>
      <c r="G164" s="79">
        <v>2070</v>
      </c>
      <c r="H164" s="8" t="s">
        <v>297</v>
      </c>
      <c r="I164" s="16" t="s">
        <v>1090</v>
      </c>
      <c r="J164" s="73">
        <v>76.599999999999994</v>
      </c>
      <c r="K164" s="323">
        <v>0</v>
      </c>
      <c r="L164" s="323"/>
      <c r="N164" s="318">
        <f t="shared" si="33"/>
        <v>76.599999999999994</v>
      </c>
      <c r="O164" s="81">
        <f>IFERROR(VLOOKUP($G164,'321買'!A:E,3,0),"'沒有資料'")</f>
        <v>1</v>
      </c>
      <c r="P164" s="380">
        <f>IFERROR(VLOOKUP($G164,'321買'!$A:$G,7,0),"'沒有資料'")</f>
        <v>783</v>
      </c>
      <c r="R164" s="297">
        <f>IFERROR(RANK(VLOOKUP($G164,連買!$A:$D,4,0),連買!$D:$D,0),"'沒有資料'")</f>
        <v>1264</v>
      </c>
      <c r="S164" s="34">
        <v>1</v>
      </c>
      <c r="T164" s="353">
        <f t="shared" si="35"/>
        <v>2.9239766081871343E-2</v>
      </c>
      <c r="U164" s="95">
        <v>-1.45</v>
      </c>
      <c r="V164" s="13">
        <f>RTD("money.excel",,"2070","Price")</f>
        <v>34.200000000000003</v>
      </c>
      <c r="W164" s="66"/>
      <c r="X164" s="15">
        <f t="shared" si="29"/>
        <v>34.200000000000003</v>
      </c>
      <c r="Y164" s="3" t="e">
        <f t="shared" si="30"/>
        <v>#DIV/0!</v>
      </c>
      <c r="AA164" s="161">
        <v>0</v>
      </c>
      <c r="AB164" s="409">
        <v>0</v>
      </c>
      <c r="AC164" s="259">
        <f t="shared" si="34"/>
        <v>0</v>
      </c>
      <c r="AD164" s="16" t="s">
        <v>1090</v>
      </c>
      <c r="AG164" s="33">
        <f t="shared" si="31"/>
        <v>0</v>
      </c>
      <c r="AH164" s="120" t="s">
        <v>2690</v>
      </c>
      <c r="AI164" s="63">
        <f t="shared" si="36"/>
        <v>1.3966480446927373E-4</v>
      </c>
      <c r="AJ164" s="307">
        <f>RTD("money.excel",,$G164,"PredictVolume")</f>
        <v>5</v>
      </c>
      <c r="AK164" s="339"/>
    </row>
    <row r="165" spans="1:37">
      <c r="A165" s="416">
        <v>3.99</v>
      </c>
      <c r="B165" s="206">
        <v>-9732</v>
      </c>
      <c r="C165" s="91">
        <v>-137</v>
      </c>
      <c r="D165" s="91">
        <v>-3</v>
      </c>
      <c r="E165" s="91">
        <v>-6</v>
      </c>
      <c r="F165" s="6">
        <v>5.13</v>
      </c>
      <c r="G165" s="79">
        <v>2230</v>
      </c>
      <c r="H165" s="8" t="s">
        <v>297</v>
      </c>
      <c r="I165" s="16" t="s">
        <v>531</v>
      </c>
      <c r="J165" s="73">
        <v>67.790000000000006</v>
      </c>
      <c r="K165" s="73">
        <v>0.02</v>
      </c>
      <c r="L165" s="73">
        <v>6.27</v>
      </c>
      <c r="N165" s="318">
        <f t="shared" si="33"/>
        <v>74.08</v>
      </c>
      <c r="O165" s="81">
        <f>IFERROR(VLOOKUP($G165,'321買'!A:E,3,0),"'沒有資料'")</f>
        <v>3</v>
      </c>
      <c r="P165" s="380">
        <f>IFERROR(VLOOKUP($G165,'321買'!$A:$G,7,0),"'沒有資料'")</f>
        <v>636</v>
      </c>
      <c r="R165" s="297">
        <f>IFERROR(RANK(VLOOKUP($G165,連買!$A:$D,4,0),連買!$D:$D,0),"'沒有資料'")</f>
        <v>1095</v>
      </c>
      <c r="S165" s="34">
        <v>0.2</v>
      </c>
      <c r="T165" s="353">
        <f t="shared" si="35"/>
        <v>1.2158054711246202E-2</v>
      </c>
      <c r="U165" s="95">
        <v>-0.48</v>
      </c>
      <c r="V165" s="13">
        <f>RTD("money.excel",,"2230","Price")</f>
        <v>16.45</v>
      </c>
      <c r="W165" s="66"/>
      <c r="X165" s="15">
        <f t="shared" si="29"/>
        <v>16.45</v>
      </c>
      <c r="Y165" s="3" t="e">
        <f t="shared" si="30"/>
        <v>#DIV/0!</v>
      </c>
      <c r="AA165" s="161">
        <v>0</v>
      </c>
      <c r="AB165" s="409">
        <v>0</v>
      </c>
      <c r="AC165" s="259">
        <f t="shared" si="34"/>
        <v>0</v>
      </c>
      <c r="AD165" s="16" t="s">
        <v>531</v>
      </c>
      <c r="AG165" s="33">
        <f t="shared" si="31"/>
        <v>0</v>
      </c>
      <c r="AH165" s="43" t="s">
        <v>2691</v>
      </c>
      <c r="AI165" s="63">
        <f t="shared" si="36"/>
        <v>5.3884711779448626E-3</v>
      </c>
      <c r="AJ165" s="307">
        <f>RTD("money.excel",,$G165,"PredictVolume")</f>
        <v>215</v>
      </c>
      <c r="AK165" s="339"/>
    </row>
    <row r="166" spans="1:37">
      <c r="A166" s="415">
        <v>3.59</v>
      </c>
      <c r="B166" s="91">
        <v>-43</v>
      </c>
      <c r="C166" s="91">
        <v>-52</v>
      </c>
      <c r="D166" s="91">
        <v>-4</v>
      </c>
      <c r="E166" s="91">
        <v>35</v>
      </c>
      <c r="F166" s="57">
        <v>10.58</v>
      </c>
      <c r="G166" s="79">
        <v>2235</v>
      </c>
      <c r="H166" s="8" t="s">
        <v>297</v>
      </c>
      <c r="I166" s="16" t="s">
        <v>532</v>
      </c>
      <c r="J166" s="73">
        <v>80.27</v>
      </c>
      <c r="K166" s="73">
        <v>1.17</v>
      </c>
      <c r="L166" s="73">
        <v>3.81</v>
      </c>
      <c r="N166" s="318">
        <f t="shared" si="33"/>
        <v>85.25</v>
      </c>
      <c r="O166" s="81" t="str">
        <f>IFERROR(VLOOKUP($G166,'321買'!A:E,3,0),"'沒有資料'")</f>
        <v>'沒有資料'</v>
      </c>
      <c r="P166" s="380" t="str">
        <f>IFERROR(VLOOKUP($G166,'321買'!$A:$G,7,0),"'沒有資料'")</f>
        <v>'沒有資料'</v>
      </c>
      <c r="R166" s="297">
        <f>IFERROR(RANK(VLOOKUP($G166,連買!$A:$D,4,0),連買!$D:$D,0),"'沒有資料'")</f>
        <v>816</v>
      </c>
      <c r="S166" s="34">
        <v>2</v>
      </c>
      <c r="T166" s="353">
        <f t="shared" si="35"/>
        <v>5.0062578222778473E-2</v>
      </c>
      <c r="U166" s="95">
        <v>2.0099999999999998</v>
      </c>
      <c r="V166" s="13">
        <f>RTD("money.excel",,"2235","Price")</f>
        <v>39.950000000000003</v>
      </c>
      <c r="W166" s="66"/>
      <c r="X166" s="15">
        <f t="shared" si="29"/>
        <v>39.950000000000003</v>
      </c>
      <c r="Y166" s="3" t="e">
        <f t="shared" si="30"/>
        <v>#DIV/0!</v>
      </c>
      <c r="AA166" s="161">
        <v>0</v>
      </c>
      <c r="AB166" s="409">
        <v>0</v>
      </c>
      <c r="AC166" s="259">
        <f t="shared" si="34"/>
        <v>0</v>
      </c>
      <c r="AD166" s="16" t="s">
        <v>532</v>
      </c>
      <c r="AG166" s="33">
        <f t="shared" si="31"/>
        <v>0</v>
      </c>
      <c r="AH166" s="43" t="s">
        <v>2692</v>
      </c>
      <c r="AI166" s="63">
        <f t="shared" si="36"/>
        <v>2.7855153203342618E-5</v>
      </c>
      <c r="AJ166" s="307">
        <f>RTD("money.excel",,$G166,"PredictVolume")</f>
        <v>1</v>
      </c>
      <c r="AK166" s="339"/>
    </row>
    <row r="167" spans="1:37">
      <c r="A167" s="416">
        <v>8.76</v>
      </c>
      <c r="B167" s="80">
        <v>-55</v>
      </c>
      <c r="C167" s="80">
        <v>-17</v>
      </c>
      <c r="D167" s="79">
        <v>14</v>
      </c>
      <c r="E167" s="80">
        <v>-11</v>
      </c>
      <c r="F167" s="6">
        <v>8.1999999999999993</v>
      </c>
      <c r="G167" s="79">
        <v>2241</v>
      </c>
      <c r="H167" s="8" t="s">
        <v>297</v>
      </c>
      <c r="I167" s="22" t="s">
        <v>2089</v>
      </c>
      <c r="J167" s="73">
        <v>57</v>
      </c>
      <c r="K167" s="73">
        <v>23</v>
      </c>
      <c r="L167" s="323"/>
      <c r="N167" s="318">
        <f t="shared" si="33"/>
        <v>80</v>
      </c>
      <c r="O167" s="81">
        <f>IFERROR(VLOOKUP($G167,'321買'!A:E,3,0),"'沒有資料'")</f>
        <v>3</v>
      </c>
      <c r="P167" s="380">
        <f>IFERROR(VLOOKUP($G167,'321買'!$A:$G,7,0),"'沒有資料'")</f>
        <v>636</v>
      </c>
      <c r="R167" s="297">
        <f>IFERROR(RANK(VLOOKUP($G167,連買!$A:$D,4,0),連買!$D:$D,0),"'沒有資料'")</f>
        <v>1599</v>
      </c>
      <c r="S167" s="34">
        <v>0.6</v>
      </c>
      <c r="T167" s="353">
        <f t="shared" si="35"/>
        <v>1.3888888888888888E-2</v>
      </c>
      <c r="U167" s="95">
        <v>0.09</v>
      </c>
      <c r="V167" s="36">
        <f>RTD("money.excel",,"2241","Price")</f>
        <v>43.2</v>
      </c>
      <c r="W167" s="66"/>
      <c r="X167" s="15">
        <f t="shared" si="29"/>
        <v>43.2</v>
      </c>
      <c r="Y167" s="35" t="e">
        <f t="shared" si="30"/>
        <v>#DIV/0!</v>
      </c>
      <c r="AA167" s="161">
        <v>0</v>
      </c>
      <c r="AB167" s="409">
        <v>0</v>
      </c>
      <c r="AC167" s="259">
        <f t="shared" si="34"/>
        <v>0</v>
      </c>
      <c r="AD167" s="22" t="s">
        <v>2089</v>
      </c>
      <c r="AG167" s="33">
        <f t="shared" si="31"/>
        <v>0</v>
      </c>
      <c r="AH167" s="59" t="s">
        <v>2096</v>
      </c>
      <c r="AI167" s="63">
        <f t="shared" si="36"/>
        <v>2.009132420091324E-3</v>
      </c>
      <c r="AJ167" s="307">
        <f>RTD("money.excel",,$G167,"PredictVolume")</f>
        <v>176</v>
      </c>
      <c r="AK167" s="339"/>
    </row>
    <row r="168" spans="1:37">
      <c r="A168" s="416">
        <v>233</v>
      </c>
      <c r="B168" s="79">
        <v>45</v>
      </c>
      <c r="C168" s="79">
        <v>79</v>
      </c>
      <c r="D168" s="79">
        <v>28</v>
      </c>
      <c r="E168" s="80">
        <v>-34</v>
      </c>
      <c r="F168" s="6">
        <v>-4.1399999999999997</v>
      </c>
      <c r="G168" s="79">
        <v>2371</v>
      </c>
      <c r="H168" s="8" t="s">
        <v>297</v>
      </c>
      <c r="I168" s="22" t="s">
        <v>108</v>
      </c>
      <c r="J168" s="73">
        <v>66.09</v>
      </c>
      <c r="K168" s="73">
        <v>19.68</v>
      </c>
      <c r="L168" s="73">
        <v>21.27</v>
      </c>
      <c r="N168" s="318">
        <f t="shared" si="33"/>
        <v>107.04</v>
      </c>
      <c r="O168" s="81">
        <f>IFERROR(VLOOKUP($G168,'321買'!A:E,3,0),"'沒有資料'")</f>
        <v>12</v>
      </c>
      <c r="P168" s="380">
        <f>IFERROR(VLOOKUP($G168,'321買'!$A:$G,7,0),"'沒有資料'")</f>
        <v>368</v>
      </c>
      <c r="R168" s="297">
        <f>IFERROR(RANK(VLOOKUP($G168,連買!$A:$D,4,0),連買!$D:$D,0),"'沒有資料'")</f>
        <v>623</v>
      </c>
      <c r="S168" s="34">
        <v>0</v>
      </c>
      <c r="T168" s="353">
        <f t="shared" si="35"/>
        <v>0</v>
      </c>
      <c r="U168" s="57">
        <v>-0.46</v>
      </c>
      <c r="V168" s="36">
        <f>RTD("money.excel",,"2371","Price")</f>
        <v>34.799999999999997</v>
      </c>
      <c r="W168" s="66"/>
      <c r="X168" s="15">
        <f t="shared" si="29"/>
        <v>34.799999999999997</v>
      </c>
      <c r="Y168" s="3" t="e">
        <f t="shared" si="30"/>
        <v>#DIV/0!</v>
      </c>
      <c r="Z168" s="413" t="s">
        <v>1801</v>
      </c>
      <c r="AA168" s="161">
        <v>0</v>
      </c>
      <c r="AB168" s="409">
        <v>0</v>
      </c>
      <c r="AC168" s="259">
        <f t="shared" si="34"/>
        <v>0</v>
      </c>
      <c r="AD168" s="22" t="s">
        <v>108</v>
      </c>
      <c r="AG168" s="33">
        <f t="shared" si="31"/>
        <v>0</v>
      </c>
      <c r="AH168" s="120" t="s">
        <v>2930</v>
      </c>
      <c r="AI168" s="63">
        <f t="shared" si="36"/>
        <v>5.2781115879828328E-3</v>
      </c>
      <c r="AJ168" s="307">
        <f>RTD("money.excel",,$G168,"PredictVolume")</f>
        <v>12298</v>
      </c>
      <c r="AK168" s="339"/>
    </row>
    <row r="169" spans="1:37">
      <c r="A169" s="416">
        <v>10.9</v>
      </c>
      <c r="B169" s="79">
        <v>294</v>
      </c>
      <c r="C169" s="79">
        <v>351</v>
      </c>
      <c r="D169" s="80">
        <v>-28</v>
      </c>
      <c r="E169" s="79">
        <v>23</v>
      </c>
      <c r="F169" s="6">
        <v>7.57</v>
      </c>
      <c r="G169" s="79">
        <v>3162</v>
      </c>
      <c r="H169" s="8" t="s">
        <v>297</v>
      </c>
      <c r="I169" s="16" t="s">
        <v>533</v>
      </c>
      <c r="J169" s="323">
        <v>54.21</v>
      </c>
      <c r="K169" s="323">
        <v>51.94</v>
      </c>
      <c r="L169" s="323"/>
      <c r="N169" s="318">
        <f t="shared" si="33"/>
        <v>106.15</v>
      </c>
      <c r="O169" s="81">
        <f>IFERROR(VLOOKUP($G169,'321買'!A:E,3,0),"'沒有資料'")</f>
        <v>0</v>
      </c>
      <c r="P169" s="380">
        <f>IFERROR(VLOOKUP($G169,'321買'!$A:$G,7,0),"'沒有資料'")</f>
        <v>911</v>
      </c>
      <c r="R169" s="297">
        <f>IFERROR(RANK(VLOOKUP($G169,連買!$A:$D,4,0),連買!$D:$D,0),"'沒有資料'")</f>
        <v>978</v>
      </c>
      <c r="S169" s="34">
        <v>0</v>
      </c>
      <c r="T169" s="353">
        <f t="shared" si="35"/>
        <v>0</v>
      </c>
      <c r="U169" s="57">
        <v>0.7</v>
      </c>
      <c r="V169" s="13">
        <f>RTD("money.excel",,"3162","Price")</f>
        <v>41.45</v>
      </c>
      <c r="W169" s="66"/>
      <c r="X169" s="15">
        <f t="shared" si="29"/>
        <v>41.45</v>
      </c>
      <c r="Y169" s="3" t="e">
        <f t="shared" si="30"/>
        <v>#DIV/0!</v>
      </c>
      <c r="Z169" s="413" t="s">
        <v>1801</v>
      </c>
      <c r="AA169" s="161">
        <v>0</v>
      </c>
      <c r="AB169" s="409">
        <v>0</v>
      </c>
      <c r="AC169" s="259">
        <f t="shared" si="34"/>
        <v>0</v>
      </c>
      <c r="AD169" s="16" t="s">
        <v>533</v>
      </c>
      <c r="AG169" s="33">
        <f t="shared" si="31"/>
        <v>0</v>
      </c>
      <c r="AH169" s="43" t="s">
        <v>3703</v>
      </c>
      <c r="AI169" s="63">
        <f t="shared" si="36"/>
        <v>1.7247706422018349E-3</v>
      </c>
      <c r="AJ169" s="307">
        <f>RTD("money.excel",,$G169,"PredictVolume")</f>
        <v>188</v>
      </c>
      <c r="AK169" s="339"/>
    </row>
    <row r="170" spans="1:37">
      <c r="A170" s="415">
        <v>8.01</v>
      </c>
      <c r="B170" s="79">
        <v>198</v>
      </c>
      <c r="C170" s="79">
        <v>273</v>
      </c>
      <c r="D170" s="79">
        <v>3</v>
      </c>
      <c r="E170" s="79">
        <v>17</v>
      </c>
      <c r="F170" s="57">
        <v>13.3</v>
      </c>
      <c r="G170" s="79">
        <v>3167</v>
      </c>
      <c r="H170" s="8" t="s">
        <v>297</v>
      </c>
      <c r="I170" s="22" t="s">
        <v>3896</v>
      </c>
      <c r="J170" s="73">
        <v>53.91</v>
      </c>
      <c r="K170" s="73">
        <v>6.15</v>
      </c>
      <c r="L170" s="73">
        <v>25.81</v>
      </c>
      <c r="M170" s="323">
        <v>14.92</v>
      </c>
      <c r="N170" s="318">
        <f t="shared" si="33"/>
        <v>100.78999999999999</v>
      </c>
      <c r="O170" s="81">
        <f>IFERROR(VLOOKUP($G170,'321買'!A:E,3,0),"'沒有資料'")</f>
        <v>5</v>
      </c>
      <c r="P170" s="380">
        <f>IFERROR(VLOOKUP($G170,'321買'!$A:$G,7,0),"'沒有資料'")</f>
        <v>558</v>
      </c>
      <c r="Q170" s="245" t="s">
        <v>3815</v>
      </c>
      <c r="R170" s="297">
        <f>IFERROR(RANK(VLOOKUP($G170,連買!$A:$D,4,0),連買!$D:$D,0),"'沒有資料'")</f>
        <v>1606</v>
      </c>
      <c r="S170" s="66">
        <v>3</v>
      </c>
      <c r="T170" s="353">
        <f t="shared" si="35"/>
        <v>4.7619047619047616E-2</v>
      </c>
      <c r="U170" s="57">
        <v>8.2100000000000009</v>
      </c>
      <c r="V170" s="36">
        <f>RTD("money.excel",,"3167","Price")</f>
        <v>63</v>
      </c>
      <c r="W170" s="66"/>
      <c r="X170" s="15">
        <f t="shared" si="29"/>
        <v>63</v>
      </c>
      <c r="Y170" s="3" t="e">
        <f t="shared" si="30"/>
        <v>#DIV/0!</v>
      </c>
      <c r="Z170" s="413" t="s">
        <v>1997</v>
      </c>
      <c r="AA170" s="161">
        <v>0</v>
      </c>
      <c r="AB170" s="409">
        <v>0</v>
      </c>
      <c r="AC170" s="259">
        <f t="shared" si="34"/>
        <v>0</v>
      </c>
      <c r="AD170" s="22" t="s">
        <v>3896</v>
      </c>
      <c r="AG170" s="33">
        <f t="shared" si="31"/>
        <v>0</v>
      </c>
      <c r="AH170" s="43" t="s">
        <v>2269</v>
      </c>
      <c r="AI170" s="63">
        <f t="shared" si="36"/>
        <v>2.4094881398252187E-3</v>
      </c>
      <c r="AJ170" s="307">
        <f>RTD("money.excel",,$G170,"PredictVolume")</f>
        <v>193</v>
      </c>
      <c r="AK170" s="339"/>
    </row>
    <row r="171" spans="1:37">
      <c r="A171" s="416">
        <v>4.51</v>
      </c>
      <c r="B171" s="80">
        <v>-41</v>
      </c>
      <c r="C171" s="80">
        <v>-46</v>
      </c>
      <c r="D171" s="80">
        <v>-11</v>
      </c>
      <c r="E171" s="79">
        <v>22</v>
      </c>
      <c r="F171" s="6">
        <v>7.28</v>
      </c>
      <c r="G171" s="79">
        <v>3178</v>
      </c>
      <c r="H171" s="8" t="s">
        <v>297</v>
      </c>
      <c r="I171" s="16" t="s">
        <v>1091</v>
      </c>
      <c r="J171" s="73">
        <v>60.82</v>
      </c>
      <c r="K171" s="73">
        <v>0.94</v>
      </c>
      <c r="L171" s="73">
        <v>12.35</v>
      </c>
      <c r="N171" s="318">
        <f t="shared" si="33"/>
        <v>74.11</v>
      </c>
      <c r="O171" s="81">
        <f>IFERROR(VLOOKUP($G171,'321買'!A:E,3,0),"'沒有資料'")</f>
        <v>9</v>
      </c>
      <c r="P171" s="380">
        <f>IFERROR(VLOOKUP($G171,'321買'!$A:$G,7,0),"'沒有資料'")</f>
        <v>448</v>
      </c>
      <c r="R171" s="297">
        <f>IFERROR(RANK(VLOOKUP($G171,連買!$A:$D,4,0),連買!$D:$D,0),"'沒有資料'")</f>
        <v>280</v>
      </c>
      <c r="S171" s="34">
        <v>1.2</v>
      </c>
      <c r="T171" s="353">
        <f t="shared" si="35"/>
        <v>1.9017432646592707E-2</v>
      </c>
      <c r="U171" s="57">
        <v>1.69</v>
      </c>
      <c r="V171" s="36">
        <f>RTD("money.excel",,"3178","Price")</f>
        <v>63.1</v>
      </c>
      <c r="W171" s="66"/>
      <c r="X171" s="15">
        <f t="shared" si="29"/>
        <v>63.1</v>
      </c>
      <c r="Y171" s="3" t="e">
        <f t="shared" si="30"/>
        <v>#DIV/0!</v>
      </c>
      <c r="Z171" s="413" t="s">
        <v>1801</v>
      </c>
      <c r="AA171" s="161">
        <v>0</v>
      </c>
      <c r="AB171" s="409">
        <v>0</v>
      </c>
      <c r="AC171" s="259">
        <f t="shared" si="34"/>
        <v>0</v>
      </c>
      <c r="AD171" s="16" t="s">
        <v>1091</v>
      </c>
      <c r="AG171" s="33">
        <f t="shared" si="31"/>
        <v>0</v>
      </c>
      <c r="AH171" s="43" t="s">
        <v>2988</v>
      </c>
      <c r="AI171" s="63">
        <f t="shared" si="36"/>
        <v>4.8780487804878049E-4</v>
      </c>
      <c r="AJ171" s="307">
        <f>RTD("money.excel",,$G171,"PredictVolume")</f>
        <v>22</v>
      </c>
      <c r="AK171" s="339"/>
    </row>
    <row r="172" spans="1:37">
      <c r="A172" s="415">
        <v>6.44</v>
      </c>
      <c r="B172" s="91">
        <v>-1</v>
      </c>
      <c r="C172" s="91">
        <v>13</v>
      </c>
      <c r="D172" s="91">
        <v>-28</v>
      </c>
      <c r="E172" s="91">
        <v>23</v>
      </c>
      <c r="F172" s="57">
        <v>17.739999999999998</v>
      </c>
      <c r="G172" s="79">
        <v>3226</v>
      </c>
      <c r="H172" s="8" t="s">
        <v>297</v>
      </c>
      <c r="I172" s="16" t="s">
        <v>534</v>
      </c>
      <c r="J172" s="73">
        <v>83.4</v>
      </c>
      <c r="K172" s="73">
        <v>0</v>
      </c>
      <c r="L172" s="73">
        <v>1.27</v>
      </c>
      <c r="N172" s="318">
        <f t="shared" si="33"/>
        <v>84.67</v>
      </c>
      <c r="O172" s="81" t="str">
        <f>IFERROR(VLOOKUP($G172,'321買'!A:E,3,0),"'沒有資料'")</f>
        <v>'沒有資料'</v>
      </c>
      <c r="P172" s="380" t="str">
        <f>IFERROR(VLOOKUP($G172,'321買'!$A:$G,7,0),"'沒有資料'")</f>
        <v>'沒有資料'</v>
      </c>
      <c r="R172" s="297">
        <f>IFERROR(RANK(VLOOKUP($G172,連買!$A:$D,4,0),連買!$D:$D,0),"'沒有資料'")</f>
        <v>1114</v>
      </c>
      <c r="S172" s="66">
        <v>3.5</v>
      </c>
      <c r="T172" s="353">
        <f t="shared" si="35"/>
        <v>5.5555555555555552E-2</v>
      </c>
      <c r="U172" s="95">
        <v>5.0199999999999996</v>
      </c>
      <c r="V172" s="13">
        <f>RTD("money.excel",,"3226","Price")</f>
        <v>63</v>
      </c>
      <c r="W172" s="66"/>
      <c r="X172" s="15">
        <f t="shared" si="29"/>
        <v>63</v>
      </c>
      <c r="Y172" s="3" t="e">
        <f t="shared" si="30"/>
        <v>#DIV/0!</v>
      </c>
      <c r="Z172" s="413" t="s">
        <v>1831</v>
      </c>
      <c r="AA172" s="161">
        <v>0</v>
      </c>
      <c r="AB172" s="409">
        <v>0</v>
      </c>
      <c r="AC172" s="259">
        <f t="shared" si="34"/>
        <v>0</v>
      </c>
      <c r="AD172" s="16" t="s">
        <v>534</v>
      </c>
      <c r="AG172" s="33">
        <f t="shared" si="31"/>
        <v>0</v>
      </c>
      <c r="AH172" s="43" t="s">
        <v>2693</v>
      </c>
      <c r="AI172" s="63">
        <f t="shared" si="36"/>
        <v>1.3975155279503105E-4</v>
      </c>
      <c r="AJ172" s="307">
        <f>RTD("money.excel",,$G172,"PredictVolume")</f>
        <v>9</v>
      </c>
      <c r="AK172" s="339"/>
    </row>
    <row r="173" spans="1:37">
      <c r="A173" s="416">
        <v>3.8</v>
      </c>
      <c r="B173" s="91">
        <v>171</v>
      </c>
      <c r="C173" s="91">
        <v>-52</v>
      </c>
      <c r="D173" s="91">
        <v>-61</v>
      </c>
      <c r="E173" s="91">
        <v>73</v>
      </c>
      <c r="F173" s="6">
        <v>-25</v>
      </c>
      <c r="G173" s="79">
        <v>3379</v>
      </c>
      <c r="H173" s="8" t="s">
        <v>297</v>
      </c>
      <c r="I173" s="16" t="s">
        <v>535</v>
      </c>
      <c r="J173" s="73">
        <v>51.39</v>
      </c>
      <c r="K173" s="73">
        <v>0</v>
      </c>
      <c r="L173" s="73">
        <v>8.49</v>
      </c>
      <c r="N173" s="318">
        <f t="shared" si="33"/>
        <v>59.88</v>
      </c>
      <c r="O173" s="81">
        <f>IFERROR(VLOOKUP($G173,'321買'!A:E,3,0),"'沒有資料'")</f>
        <v>0</v>
      </c>
      <c r="P173" s="380">
        <f>IFERROR(VLOOKUP($G173,'321買'!$A:$G,7,0),"'沒有資料'")</f>
        <v>911</v>
      </c>
      <c r="R173" s="297">
        <f>IFERROR(RANK(VLOOKUP($G173,連買!$A:$D,4,0),連買!$D:$D,0),"'沒有資料'")</f>
        <v>1147</v>
      </c>
      <c r="S173" s="34">
        <v>0.3</v>
      </c>
      <c r="T173" s="353">
        <f t="shared" si="35"/>
        <v>2.3904382470119518E-2</v>
      </c>
      <c r="U173" s="95">
        <v>0.47</v>
      </c>
      <c r="V173" s="13">
        <f>RTD("money.excel",,"3379","Price")</f>
        <v>12.55</v>
      </c>
      <c r="W173" s="66"/>
      <c r="X173" s="15">
        <f t="shared" si="29"/>
        <v>12.55</v>
      </c>
      <c r="Y173" s="3" t="e">
        <f t="shared" si="30"/>
        <v>#DIV/0!</v>
      </c>
      <c r="AA173" s="161">
        <v>0</v>
      </c>
      <c r="AB173" s="409">
        <v>0</v>
      </c>
      <c r="AC173" s="259">
        <f t="shared" si="34"/>
        <v>0</v>
      </c>
      <c r="AD173" s="16" t="s">
        <v>535</v>
      </c>
      <c r="AG173" s="33">
        <f t="shared" si="31"/>
        <v>0</v>
      </c>
      <c r="AH173" s="43" t="s">
        <v>2694</v>
      </c>
      <c r="AI173" s="63">
        <f t="shared" si="36"/>
        <v>2.4736842105263159E-3</v>
      </c>
      <c r="AJ173" s="307">
        <f>RTD("money.excel",,$G173,"PredictVolume")</f>
        <v>94</v>
      </c>
      <c r="AK173" s="339"/>
    </row>
    <row r="174" spans="1:37">
      <c r="A174" s="415">
        <v>2.64</v>
      </c>
      <c r="B174" s="91">
        <v>-15</v>
      </c>
      <c r="C174" s="91">
        <v>-4</v>
      </c>
      <c r="D174" s="91">
        <v>2</v>
      </c>
      <c r="E174" s="91">
        <v>20</v>
      </c>
      <c r="F174" s="57">
        <v>12.5</v>
      </c>
      <c r="G174" s="79">
        <v>3426</v>
      </c>
      <c r="H174" s="8" t="s">
        <v>297</v>
      </c>
      <c r="I174" s="16" t="s">
        <v>536</v>
      </c>
      <c r="J174" s="73">
        <v>57.67</v>
      </c>
      <c r="K174" s="323">
        <v>0.25</v>
      </c>
      <c r="N174" s="318">
        <f t="shared" si="33"/>
        <v>57.92</v>
      </c>
      <c r="O174" s="81" t="str">
        <f>IFERROR(VLOOKUP($G174,'321買'!A:E,3,0),"'沒有資料'")</f>
        <v>'沒有資料'</v>
      </c>
      <c r="P174" s="380" t="str">
        <f>IFERROR(VLOOKUP($G174,'321買'!$A:$G,7,0),"'沒有資料'")</f>
        <v>'沒有資料'</v>
      </c>
      <c r="R174" s="297">
        <f>IFERROR(RANK(VLOOKUP($G174,連買!$A:$D,4,0),連買!$D:$D,0),"'沒有資料'")</f>
        <v>1387</v>
      </c>
      <c r="S174" s="34">
        <v>2</v>
      </c>
      <c r="T174" s="353">
        <f t="shared" si="35"/>
        <v>5.2770448548812667E-2</v>
      </c>
      <c r="U174" s="95">
        <v>2.16</v>
      </c>
      <c r="V174" s="13">
        <f>RTD("money.excel",,"3426","Price")</f>
        <v>37.9</v>
      </c>
      <c r="W174" s="66"/>
      <c r="X174" s="15">
        <f t="shared" si="29"/>
        <v>37.9</v>
      </c>
      <c r="Y174" s="3" t="e">
        <f t="shared" si="30"/>
        <v>#DIV/0!</v>
      </c>
      <c r="AA174" s="161">
        <v>0</v>
      </c>
      <c r="AB174" s="409">
        <v>0</v>
      </c>
      <c r="AC174" s="259">
        <f t="shared" si="34"/>
        <v>0</v>
      </c>
      <c r="AD174" s="16" t="s">
        <v>536</v>
      </c>
      <c r="AG174" s="33">
        <f t="shared" si="31"/>
        <v>0</v>
      </c>
      <c r="AH174" s="43" t="s">
        <v>1442</v>
      </c>
      <c r="AI174" s="63">
        <f t="shared" si="36"/>
        <v>1.8939393939393939E-4</v>
      </c>
      <c r="AJ174" s="307">
        <f>RTD("money.excel",,$G174,"PredictVolume")</f>
        <v>5</v>
      </c>
      <c r="AK174" s="339"/>
    </row>
    <row r="175" spans="1:37">
      <c r="A175" s="416">
        <v>5.08</v>
      </c>
      <c r="B175" s="91">
        <v>-346</v>
      </c>
      <c r="C175" s="91">
        <v>-311</v>
      </c>
      <c r="D175" s="91">
        <v>15</v>
      </c>
      <c r="E175" s="91">
        <v>67</v>
      </c>
      <c r="F175" s="6">
        <v>-7.45</v>
      </c>
      <c r="G175" s="79">
        <v>4502</v>
      </c>
      <c r="H175" s="8" t="s">
        <v>297</v>
      </c>
      <c r="I175" s="16" t="s">
        <v>537</v>
      </c>
      <c r="J175" s="73">
        <v>74.13</v>
      </c>
      <c r="K175" s="73">
        <v>0.88</v>
      </c>
      <c r="L175" s="73">
        <v>17.45</v>
      </c>
      <c r="N175" s="318">
        <f t="shared" si="33"/>
        <v>92.46</v>
      </c>
      <c r="O175" s="81">
        <f>IFERROR(VLOOKUP($G175,'321買'!A:E,3,0),"'沒有資料'")</f>
        <v>0</v>
      </c>
      <c r="P175" s="380">
        <f>IFERROR(VLOOKUP($G175,'321買'!$A:$G,7,0),"'沒有資料'")</f>
        <v>911</v>
      </c>
      <c r="R175" s="297">
        <f>IFERROR(RANK(VLOOKUP($G175,連買!$A:$D,4,0),連買!$D:$D,0),"'沒有資料'")</f>
        <v>858</v>
      </c>
      <c r="S175" s="34">
        <v>0</v>
      </c>
      <c r="T175" s="353">
        <f t="shared" si="35"/>
        <v>0</v>
      </c>
      <c r="U175" s="95">
        <v>-2.4300000000000002</v>
      </c>
      <c r="V175" s="13">
        <f>RTD("money.excel",,"4502","Price")</f>
        <v>37.5</v>
      </c>
      <c r="W175" s="66"/>
      <c r="X175" s="15">
        <f t="shared" si="29"/>
        <v>37.5</v>
      </c>
      <c r="Y175" s="3" t="e">
        <f t="shared" si="30"/>
        <v>#DIV/0!</v>
      </c>
      <c r="AA175" s="161">
        <v>0</v>
      </c>
      <c r="AB175" s="409">
        <v>0</v>
      </c>
      <c r="AC175" s="259">
        <f t="shared" si="34"/>
        <v>0</v>
      </c>
      <c r="AD175" s="16" t="s">
        <v>537</v>
      </c>
      <c r="AG175" s="33">
        <f t="shared" si="31"/>
        <v>0</v>
      </c>
      <c r="AH175" s="43" t="s">
        <v>2695</v>
      </c>
      <c r="AI175" s="63">
        <f t="shared" si="36"/>
        <v>3.3464566929133856E-4</v>
      </c>
      <c r="AJ175" s="307">
        <f>RTD("money.excel",,$G175,"PredictVolume")</f>
        <v>17</v>
      </c>
      <c r="AK175" s="339"/>
    </row>
    <row r="176" spans="1:37">
      <c r="A176" s="416">
        <v>3.93</v>
      </c>
      <c r="B176" s="91">
        <v>-111</v>
      </c>
      <c r="C176" s="91">
        <v>-127</v>
      </c>
      <c r="D176" s="91">
        <v>-21</v>
      </c>
      <c r="E176" s="91">
        <v>-56</v>
      </c>
      <c r="F176" s="6">
        <v>-3.46</v>
      </c>
      <c r="G176" s="79">
        <v>4503</v>
      </c>
      <c r="H176" s="8" t="s">
        <v>297</v>
      </c>
      <c r="I176" s="16" t="s">
        <v>538</v>
      </c>
      <c r="J176" s="73">
        <v>63.18</v>
      </c>
      <c r="K176" s="73">
        <v>0.06</v>
      </c>
      <c r="N176" s="318">
        <f t="shared" si="33"/>
        <v>63.24</v>
      </c>
      <c r="O176" s="81">
        <f>IFERROR(VLOOKUP($G176,'321買'!A:E,3,0),"'沒有資料'")</f>
        <v>21</v>
      </c>
      <c r="P176" s="380">
        <f>IFERROR(VLOOKUP($G176,'321買'!$A:$G,7,0),"'沒有資料'")</f>
        <v>233</v>
      </c>
      <c r="R176" s="297">
        <f>IFERROR(RANK(VLOOKUP($G176,連買!$A:$D,4,0),連買!$D:$D,0),"'沒有資料'")</f>
        <v>919</v>
      </c>
      <c r="S176" s="34">
        <v>0</v>
      </c>
      <c r="T176" s="353">
        <f t="shared" si="35"/>
        <v>0</v>
      </c>
      <c r="U176" s="95">
        <v>-0.3</v>
      </c>
      <c r="V176" s="13">
        <f>RTD("money.excel",,"4503","Price")</f>
        <v>23.55</v>
      </c>
      <c r="W176" s="66"/>
      <c r="X176" s="15">
        <f t="shared" si="29"/>
        <v>23.55</v>
      </c>
      <c r="Y176" s="3" t="e">
        <f t="shared" si="30"/>
        <v>#DIV/0!</v>
      </c>
      <c r="AA176" s="161">
        <v>0</v>
      </c>
      <c r="AB176" s="409">
        <v>0</v>
      </c>
      <c r="AC176" s="259">
        <f t="shared" si="34"/>
        <v>0</v>
      </c>
      <c r="AD176" s="16" t="s">
        <v>538</v>
      </c>
      <c r="AG176" s="33">
        <f t="shared" si="31"/>
        <v>0</v>
      </c>
      <c r="AH176" s="43" t="s">
        <v>2696</v>
      </c>
      <c r="AI176" s="63">
        <f t="shared" si="36"/>
        <v>8.2188295165394401E-3</v>
      </c>
      <c r="AJ176" s="307">
        <f>RTD("money.excel",,$G176,"PredictVolume")</f>
        <v>323</v>
      </c>
      <c r="AK176" s="339"/>
    </row>
    <row r="177" spans="1:37">
      <c r="A177" s="415">
        <v>17.7</v>
      </c>
      <c r="B177" s="79">
        <v>9</v>
      </c>
      <c r="C177" s="79">
        <v>6</v>
      </c>
      <c r="D177" s="79">
        <v>1</v>
      </c>
      <c r="E177" s="80">
        <v>-9</v>
      </c>
      <c r="F177" s="57">
        <v>19.53</v>
      </c>
      <c r="G177" s="79">
        <v>4506</v>
      </c>
      <c r="H177" s="8" t="s">
        <v>297</v>
      </c>
      <c r="I177" s="16" t="s">
        <v>3897</v>
      </c>
      <c r="J177" s="323">
        <v>81.040000000000006</v>
      </c>
      <c r="K177" s="323">
        <v>7.9</v>
      </c>
      <c r="L177" s="323">
        <v>0.1</v>
      </c>
      <c r="N177" s="318">
        <f t="shared" si="33"/>
        <v>89.04</v>
      </c>
      <c r="O177" s="81">
        <f>IFERROR(VLOOKUP($G177,'321買'!A:E,3,0),"'沒有資料'")</f>
        <v>0</v>
      </c>
      <c r="P177" s="380">
        <f>IFERROR(VLOOKUP($G177,'321買'!$A:$G,7,0),"'沒有資料'")</f>
        <v>911</v>
      </c>
      <c r="R177" s="297">
        <f>IFERROR(RANK(VLOOKUP($G177,連買!$A:$D,4,0),連買!$D:$D,0),"'沒有資料'")</f>
        <v>552</v>
      </c>
      <c r="S177" s="66">
        <v>3</v>
      </c>
      <c r="T177" s="353">
        <f t="shared" si="35"/>
        <v>4.3415340086830685E-2</v>
      </c>
      <c r="U177" s="95">
        <v>4.0999999999999996</v>
      </c>
      <c r="V177" s="36">
        <f>RTD("money.excel",,"4506","Price")</f>
        <v>69.099999999999994</v>
      </c>
      <c r="W177" s="66"/>
      <c r="X177" s="15">
        <f t="shared" si="29"/>
        <v>69.099999999999994</v>
      </c>
      <c r="Y177" s="3" t="e">
        <f t="shared" si="30"/>
        <v>#DIV/0!</v>
      </c>
      <c r="Z177" s="413" t="s">
        <v>1997</v>
      </c>
      <c r="AA177" s="161">
        <v>0</v>
      </c>
      <c r="AB177" s="409">
        <v>0</v>
      </c>
      <c r="AC177" s="259">
        <f t="shared" si="34"/>
        <v>0</v>
      </c>
      <c r="AD177" s="16" t="s">
        <v>3897</v>
      </c>
      <c r="AG177" s="33">
        <f t="shared" si="31"/>
        <v>0</v>
      </c>
      <c r="AH177" s="120" t="s">
        <v>2563</v>
      </c>
      <c r="AI177" s="63">
        <f t="shared" si="36"/>
        <v>9.6045197740113E-5</v>
      </c>
      <c r="AJ177" s="307">
        <f>RTD("money.excel",,$G177,"PredictVolume")</f>
        <v>17</v>
      </c>
      <c r="AK177" s="106"/>
    </row>
    <row r="178" spans="1:37">
      <c r="A178" s="416">
        <v>10.8</v>
      </c>
      <c r="B178" s="79">
        <v>65</v>
      </c>
      <c r="C178" s="80">
        <v>-274</v>
      </c>
      <c r="D178" s="80">
        <v>-17</v>
      </c>
      <c r="E178" s="79">
        <v>25</v>
      </c>
      <c r="F178" s="6">
        <v>-1.67</v>
      </c>
      <c r="G178" s="79">
        <v>4510</v>
      </c>
      <c r="H178" s="8" t="s">
        <v>297</v>
      </c>
      <c r="I178" s="16" t="s">
        <v>539</v>
      </c>
      <c r="J178" s="323">
        <v>45.64</v>
      </c>
      <c r="K178" s="323">
        <v>3.45</v>
      </c>
      <c r="L178" s="323">
        <v>3.8</v>
      </c>
      <c r="N178" s="318">
        <f t="shared" si="33"/>
        <v>52.89</v>
      </c>
      <c r="O178" s="81">
        <f>IFERROR(VLOOKUP($G178,'321買'!A:E,3,0),"'沒有資料'")</f>
        <v>0</v>
      </c>
      <c r="P178" s="380">
        <f>IFERROR(VLOOKUP($G178,'321買'!$A:$G,7,0),"'沒有資料'")</f>
        <v>911</v>
      </c>
      <c r="R178" s="297">
        <f>IFERROR(RANK(VLOOKUP($G178,連買!$A:$D,4,0),連買!$D:$D,0),"'沒有資料'")</f>
        <v>1250</v>
      </c>
      <c r="S178" s="34">
        <v>0</v>
      </c>
      <c r="T178" s="353">
        <f t="shared" si="35"/>
        <v>0</v>
      </c>
      <c r="U178" s="95">
        <v>-0.11</v>
      </c>
      <c r="V178" s="36">
        <f>RTD("money.excel",,"4510","Price")</f>
        <v>11.65</v>
      </c>
      <c r="W178" s="66"/>
      <c r="X178" s="15">
        <f t="shared" si="29"/>
        <v>11.65</v>
      </c>
      <c r="Y178" s="3" t="e">
        <f t="shared" si="30"/>
        <v>#DIV/0!</v>
      </c>
      <c r="Z178" s="413" t="s">
        <v>1801</v>
      </c>
      <c r="AA178" s="161">
        <v>0</v>
      </c>
      <c r="AB178" s="409">
        <v>0</v>
      </c>
      <c r="AC178" s="259">
        <f t="shared" si="34"/>
        <v>0</v>
      </c>
      <c r="AD178" s="16" t="s">
        <v>539</v>
      </c>
      <c r="AG178" s="33">
        <f t="shared" si="31"/>
        <v>0</v>
      </c>
      <c r="AH178" s="43" t="s">
        <v>3257</v>
      </c>
      <c r="AI178" s="63">
        <f t="shared" si="36"/>
        <v>1.0555555555555555E-3</v>
      </c>
      <c r="AJ178" s="307">
        <f>RTD("money.excel",,$G178,"PredictVolume")</f>
        <v>114</v>
      </c>
      <c r="AK178" s="339"/>
    </row>
    <row r="179" spans="1:37">
      <c r="A179" s="416">
        <v>7.69</v>
      </c>
      <c r="B179" s="80">
        <v>-152</v>
      </c>
      <c r="C179" s="80">
        <v>-824</v>
      </c>
      <c r="D179" s="80">
        <v>-52</v>
      </c>
      <c r="E179" s="79">
        <v>0</v>
      </c>
      <c r="F179" s="6">
        <v>-5.58</v>
      </c>
      <c r="G179" s="79">
        <v>4513</v>
      </c>
      <c r="H179" s="8" t="s">
        <v>297</v>
      </c>
      <c r="I179" s="16" t="s">
        <v>540</v>
      </c>
      <c r="J179" s="323">
        <v>46.14</v>
      </c>
      <c r="K179" s="323">
        <v>0.52</v>
      </c>
      <c r="L179" s="323">
        <v>9.84</v>
      </c>
      <c r="N179" s="318">
        <f t="shared" si="33"/>
        <v>56.5</v>
      </c>
      <c r="O179" s="81">
        <f>IFERROR(VLOOKUP($G179,'321買'!A:E,3,0),"'沒有資料'")</f>
        <v>30</v>
      </c>
      <c r="P179" s="380">
        <f>IFERROR(VLOOKUP($G179,'321買'!$A:$G,7,0),"'沒有資料'")</f>
        <v>163</v>
      </c>
      <c r="R179" s="297">
        <f>IFERROR(RANK(VLOOKUP($G179,連買!$A:$D,4,0),連買!$D:$D,0),"'沒有資料'")</f>
        <v>1100</v>
      </c>
      <c r="S179" s="34">
        <v>0</v>
      </c>
      <c r="T179" s="353">
        <f t="shared" si="35"/>
        <v>0</v>
      </c>
      <c r="U179" s="95">
        <v>-0.51</v>
      </c>
      <c r="V179" s="36">
        <f>RTD("money.excel",,"4513","Price")</f>
        <v>21.4</v>
      </c>
      <c r="W179" s="66"/>
      <c r="X179" s="15">
        <f t="shared" si="29"/>
        <v>21.4</v>
      </c>
      <c r="Y179" s="3" t="e">
        <f t="shared" si="30"/>
        <v>#DIV/0!</v>
      </c>
      <c r="Z179" s="413" t="s">
        <v>1801</v>
      </c>
      <c r="AA179" s="161">
        <v>0</v>
      </c>
      <c r="AB179" s="409">
        <v>0</v>
      </c>
      <c r="AC179" s="259">
        <f t="shared" si="34"/>
        <v>0</v>
      </c>
      <c r="AD179" s="16" t="s">
        <v>540</v>
      </c>
      <c r="AG179" s="33">
        <f t="shared" si="31"/>
        <v>0</v>
      </c>
      <c r="AH179" s="43" t="s">
        <v>2698</v>
      </c>
      <c r="AI179" s="63">
        <f t="shared" si="36"/>
        <v>1.3120936280884265E-2</v>
      </c>
      <c r="AJ179" s="307">
        <f>RTD("money.excel",,$G179,"PredictVolume")</f>
        <v>1009</v>
      </c>
      <c r="AK179" s="339"/>
    </row>
    <row r="180" spans="1:37">
      <c r="A180" s="416">
        <v>6.4</v>
      </c>
      <c r="B180" s="80">
        <v>-72</v>
      </c>
      <c r="C180" s="80">
        <v>-81</v>
      </c>
      <c r="D180" s="80">
        <v>-36</v>
      </c>
      <c r="E180" s="80">
        <v>-6</v>
      </c>
      <c r="F180" s="6">
        <v>-40.86</v>
      </c>
      <c r="G180" s="79">
        <v>4523</v>
      </c>
      <c r="H180" s="8" t="s">
        <v>297</v>
      </c>
      <c r="I180" s="16" t="s">
        <v>541</v>
      </c>
      <c r="J180" s="323">
        <v>62.43</v>
      </c>
      <c r="K180" s="73">
        <v>23.4</v>
      </c>
      <c r="L180" s="73">
        <v>65.81</v>
      </c>
      <c r="N180" s="318">
        <f t="shared" si="33"/>
        <v>151.63999999999999</v>
      </c>
      <c r="O180" s="81" t="str">
        <f>IFERROR(VLOOKUP($G180,'321買'!A:E,3,0),"'沒有資料'")</f>
        <v>'沒有資料'</v>
      </c>
      <c r="P180" s="380" t="str">
        <f>IFERROR(VLOOKUP($G180,'321買'!$A:$G,7,0),"'沒有資料'")</f>
        <v>'沒有資料'</v>
      </c>
      <c r="R180" s="297">
        <f>IFERROR(RANK(VLOOKUP($G180,連買!$A:$D,4,0),連買!$D:$D,0),"'沒有資料'")</f>
        <v>863</v>
      </c>
      <c r="S180" s="34">
        <v>0</v>
      </c>
      <c r="T180" s="353">
        <f t="shared" si="35"/>
        <v>0</v>
      </c>
      <c r="U180" s="57">
        <v>-4.74</v>
      </c>
      <c r="V180" s="36">
        <f>RTD("money.excel",,"4523","Price")</f>
        <v>27.2</v>
      </c>
      <c r="W180" s="66"/>
      <c r="X180" s="15">
        <f t="shared" si="29"/>
        <v>27.2</v>
      </c>
      <c r="Y180" s="3" t="e">
        <f t="shared" si="30"/>
        <v>#DIV/0!</v>
      </c>
      <c r="AA180" s="161">
        <v>0</v>
      </c>
      <c r="AB180" s="409">
        <v>0</v>
      </c>
      <c r="AC180" s="259">
        <f t="shared" si="34"/>
        <v>0</v>
      </c>
      <c r="AD180" s="16" t="s">
        <v>541</v>
      </c>
      <c r="AG180" s="33">
        <f t="shared" si="31"/>
        <v>0</v>
      </c>
      <c r="AH180" s="43" t="s">
        <v>2699</v>
      </c>
      <c r="AI180" s="63">
        <f t="shared" si="36"/>
        <v>1.5625E-4</v>
      </c>
      <c r="AJ180" s="307">
        <f>RTD("money.excel",,$G180,"PredictVolume")</f>
        <v>10</v>
      </c>
      <c r="AK180" s="339"/>
    </row>
    <row r="181" spans="1:37">
      <c r="A181" s="416">
        <v>25.4</v>
      </c>
      <c r="B181" s="80">
        <v>-145</v>
      </c>
      <c r="C181" s="80">
        <v>-170</v>
      </c>
      <c r="D181" s="80">
        <v>-31</v>
      </c>
      <c r="E181" s="80">
        <v>-49</v>
      </c>
      <c r="F181" s="6">
        <v>-3.68</v>
      </c>
      <c r="G181" s="79">
        <v>4526</v>
      </c>
      <c r="H181" s="8" t="s">
        <v>297</v>
      </c>
      <c r="I181" s="22" t="s">
        <v>580</v>
      </c>
      <c r="J181" s="73">
        <v>45.22</v>
      </c>
      <c r="K181" s="73">
        <v>7.1</v>
      </c>
      <c r="L181" s="73">
        <v>4.0199999999999996</v>
      </c>
      <c r="N181" s="318">
        <f t="shared" si="33"/>
        <v>56.34</v>
      </c>
      <c r="O181" s="81">
        <f>IFERROR(VLOOKUP($G181,'321買'!A:E,3,0),"'沒有資料'")</f>
        <v>0</v>
      </c>
      <c r="P181" s="380">
        <f>IFERROR(VLOOKUP($G181,'321買'!$A:$G,7,0),"'沒有資料'")</f>
        <v>911</v>
      </c>
      <c r="R181" s="297">
        <f>IFERROR(RANK(VLOOKUP($G181,連買!$A:$D,4,0),連買!$D:$D,0),"'沒有資料'")</f>
        <v>1274</v>
      </c>
      <c r="S181" s="34">
        <v>0</v>
      </c>
      <c r="T181" s="353">
        <f t="shared" si="35"/>
        <v>0</v>
      </c>
      <c r="U181" s="95">
        <v>-1.36</v>
      </c>
      <c r="V181" s="36">
        <f>RTD("money.excel",,"4526","Price")</f>
        <v>15.65</v>
      </c>
      <c r="W181" s="66"/>
      <c r="X181" s="15">
        <f t="shared" si="29"/>
        <v>15.65</v>
      </c>
      <c r="Y181" s="3" t="e">
        <f t="shared" si="30"/>
        <v>#DIV/0!</v>
      </c>
      <c r="Z181" s="413" t="s">
        <v>1801</v>
      </c>
      <c r="AA181" s="161">
        <v>0</v>
      </c>
      <c r="AB181" s="409">
        <v>0</v>
      </c>
      <c r="AC181" s="259">
        <f t="shared" si="34"/>
        <v>0</v>
      </c>
      <c r="AD181" s="22" t="s">
        <v>580</v>
      </c>
      <c r="AG181" s="33">
        <f t="shared" si="31"/>
        <v>0</v>
      </c>
      <c r="AH181" s="43" t="s">
        <v>2269</v>
      </c>
      <c r="AI181" s="63">
        <f t="shared" si="36"/>
        <v>6.9291338582677165E-4</v>
      </c>
      <c r="AJ181" s="307">
        <f>RTD("money.excel",,$G181,"PredictVolume")</f>
        <v>176</v>
      </c>
      <c r="AK181" s="339"/>
    </row>
    <row r="182" spans="1:37">
      <c r="A182" s="416">
        <v>7.62</v>
      </c>
      <c r="B182" s="91">
        <v>67</v>
      </c>
      <c r="C182" s="91">
        <v>54</v>
      </c>
      <c r="D182" s="91">
        <v>-45</v>
      </c>
      <c r="E182" s="91">
        <v>31</v>
      </c>
      <c r="F182" s="6">
        <v>8.09</v>
      </c>
      <c r="G182" s="79">
        <v>4527</v>
      </c>
      <c r="H182" s="8" t="s">
        <v>297</v>
      </c>
      <c r="I182" s="16" t="s">
        <v>542</v>
      </c>
      <c r="J182" s="73">
        <v>71.95</v>
      </c>
      <c r="K182" s="73">
        <v>7.47</v>
      </c>
      <c r="L182" s="73">
        <v>0.28000000000000003</v>
      </c>
      <c r="N182" s="318">
        <f t="shared" si="33"/>
        <v>79.7</v>
      </c>
      <c r="O182" s="81" t="str">
        <f>IFERROR(VLOOKUP($G182,'321買'!A:E,3,0),"'沒有資料'")</f>
        <v>'沒有資料'</v>
      </c>
      <c r="P182" s="380" t="str">
        <f>IFERROR(VLOOKUP($G182,'321買'!$A:$G,7,0),"'沒有資料'")</f>
        <v>'沒有資料'</v>
      </c>
      <c r="R182" s="297">
        <f>IFERROR(RANK(VLOOKUP($G182,連買!$A:$D,4,0),連買!$D:$D,0),"'沒有資料'")</f>
        <v>1083</v>
      </c>
      <c r="S182" s="34">
        <v>2</v>
      </c>
      <c r="T182" s="353">
        <f t="shared" si="35"/>
        <v>7.2992700729927015E-2</v>
      </c>
      <c r="U182" s="95">
        <v>2.72</v>
      </c>
      <c r="V182" s="13">
        <f>RTD("money.excel",,"4527","Price")</f>
        <v>27.4</v>
      </c>
      <c r="W182" s="66"/>
      <c r="X182" s="15">
        <f t="shared" si="29"/>
        <v>27.4</v>
      </c>
      <c r="Y182" s="3" t="e">
        <f t="shared" si="30"/>
        <v>#DIV/0!</v>
      </c>
      <c r="AA182" s="161">
        <v>0</v>
      </c>
      <c r="AB182" s="409">
        <v>0</v>
      </c>
      <c r="AC182" s="259">
        <f t="shared" si="34"/>
        <v>0</v>
      </c>
      <c r="AD182" s="16" t="s">
        <v>542</v>
      </c>
      <c r="AG182" s="33">
        <f t="shared" si="31"/>
        <v>0</v>
      </c>
      <c r="AH182" s="43" t="s">
        <v>2700</v>
      </c>
      <c r="AI182" s="63">
        <f t="shared" si="36"/>
        <v>2.099737532808399E-4</v>
      </c>
      <c r="AJ182" s="307">
        <f>RTD("money.excel",,$G182,"PredictVolume")</f>
        <v>16</v>
      </c>
      <c r="AK182" s="339"/>
    </row>
    <row r="183" spans="1:37">
      <c r="A183" s="415">
        <v>7.65</v>
      </c>
      <c r="B183" s="80">
        <v>-14</v>
      </c>
      <c r="C183" s="80">
        <v>-20</v>
      </c>
      <c r="D183" s="79">
        <v>2</v>
      </c>
      <c r="E183" s="79">
        <v>26</v>
      </c>
      <c r="F183" s="57">
        <v>12.34</v>
      </c>
      <c r="G183" s="79">
        <v>4528</v>
      </c>
      <c r="H183" s="8" t="s">
        <v>297</v>
      </c>
      <c r="I183" s="16" t="s">
        <v>3898</v>
      </c>
      <c r="J183" s="323">
        <v>61.42</v>
      </c>
      <c r="K183" s="323">
        <v>1.5</v>
      </c>
      <c r="L183" s="323">
        <v>4.92</v>
      </c>
      <c r="N183" s="318">
        <f t="shared" si="33"/>
        <v>67.84</v>
      </c>
      <c r="O183" s="81" t="str">
        <f>IFERROR(VLOOKUP($G183,'321買'!A:E,3,0),"'沒有資料'")</f>
        <v>'沒有資料'</v>
      </c>
      <c r="P183" s="380" t="str">
        <f>IFERROR(VLOOKUP($G183,'321買'!$A:$G,7,0),"'沒有資料'")</f>
        <v>'沒有資料'</v>
      </c>
      <c r="R183" s="297">
        <f>IFERROR(RANK(VLOOKUP($G183,連買!$A:$D,4,0),連買!$D:$D,0),"'沒有資料'")</f>
        <v>1659</v>
      </c>
      <c r="S183" s="34">
        <v>1.8</v>
      </c>
      <c r="T183" s="353">
        <f t="shared" si="35"/>
        <v>4.4943820224719107E-2</v>
      </c>
      <c r="U183" s="57">
        <v>3.05</v>
      </c>
      <c r="V183" s="36">
        <f>RTD("money.excel",,"4528","Price")</f>
        <v>40.049999999999997</v>
      </c>
      <c r="W183" s="66"/>
      <c r="X183" s="15">
        <f t="shared" si="29"/>
        <v>40.049999999999997</v>
      </c>
      <c r="Y183" s="3" t="e">
        <f t="shared" si="30"/>
        <v>#DIV/0!</v>
      </c>
      <c r="Z183" s="413" t="s">
        <v>1801</v>
      </c>
      <c r="AA183" s="161">
        <v>0</v>
      </c>
      <c r="AB183" s="409">
        <v>0</v>
      </c>
      <c r="AC183" s="259">
        <f t="shared" si="34"/>
        <v>0</v>
      </c>
      <c r="AD183" s="16" t="s">
        <v>3898</v>
      </c>
      <c r="AG183" s="33">
        <f t="shared" si="31"/>
        <v>0</v>
      </c>
      <c r="AH183" s="120" t="s">
        <v>3076</v>
      </c>
      <c r="AI183" s="63">
        <f t="shared" si="36"/>
        <v>7.1895424836601303E-4</v>
      </c>
      <c r="AJ183" s="307">
        <f>RTD("money.excel",,$G183,"PredictVolume")</f>
        <v>55</v>
      </c>
      <c r="AK183" s="339"/>
    </row>
    <row r="184" spans="1:37">
      <c r="A184" s="416">
        <v>4.62</v>
      </c>
      <c r="B184" s="80">
        <v>-36</v>
      </c>
      <c r="C184" s="79">
        <v>3</v>
      </c>
      <c r="D184" s="79">
        <v>28</v>
      </c>
      <c r="E184" s="79">
        <v>398</v>
      </c>
      <c r="F184" s="6">
        <v>-38.06</v>
      </c>
      <c r="G184" s="79">
        <v>4530</v>
      </c>
      <c r="H184" s="8" t="s">
        <v>297</v>
      </c>
      <c r="I184" s="16" t="s">
        <v>543</v>
      </c>
      <c r="J184" s="73">
        <v>39.479999999999997</v>
      </c>
      <c r="K184" s="73">
        <v>4.53</v>
      </c>
      <c r="N184" s="318">
        <f t="shared" si="33"/>
        <v>44.01</v>
      </c>
      <c r="O184" s="81" t="str">
        <f>IFERROR(VLOOKUP($G184,'321買'!A:E,3,0),"'沒有資料'")</f>
        <v>'沒有資料'</v>
      </c>
      <c r="P184" s="380" t="str">
        <f>IFERROR(VLOOKUP($G184,'321買'!$A:$G,7,0),"'沒有資料'")</f>
        <v>'沒有資料'</v>
      </c>
      <c r="R184" s="297">
        <f>IFERROR(RANK(VLOOKUP($G184,連買!$A:$D,4,0),連買!$D:$D,0),"'沒有資料'")</f>
        <v>1209</v>
      </c>
      <c r="S184" s="34">
        <v>0</v>
      </c>
      <c r="T184" s="353">
        <f t="shared" si="35"/>
        <v>0</v>
      </c>
      <c r="U184" s="95">
        <v>-0.49</v>
      </c>
      <c r="V184" s="36">
        <f>RTD("money.excel",,"4530","Price")</f>
        <v>8.8699999999999992</v>
      </c>
      <c r="W184" s="66"/>
      <c r="X184" s="15">
        <f t="shared" si="29"/>
        <v>8.8699999999999992</v>
      </c>
      <c r="Y184" s="3" t="e">
        <f t="shared" si="30"/>
        <v>#DIV/0!</v>
      </c>
      <c r="AA184" s="161">
        <v>0</v>
      </c>
      <c r="AB184" s="409">
        <v>0</v>
      </c>
      <c r="AC184" s="259">
        <f t="shared" si="34"/>
        <v>0</v>
      </c>
      <c r="AD184" s="16" t="s">
        <v>543</v>
      </c>
      <c r="AG184" s="33">
        <f t="shared" si="31"/>
        <v>0</v>
      </c>
      <c r="AH184" s="43" t="s">
        <v>1523</v>
      </c>
      <c r="AI184" s="63">
        <f t="shared" si="36"/>
        <v>4.9783549783549784E-4</v>
      </c>
      <c r="AJ184" s="307">
        <f>RTD("money.excel",,$G184,"PredictVolume")</f>
        <v>23</v>
      </c>
      <c r="AK184" s="339"/>
    </row>
    <row r="185" spans="1:37">
      <c r="A185" s="416">
        <v>50.4</v>
      </c>
      <c r="B185" s="80">
        <v>-41</v>
      </c>
      <c r="C185" s="80">
        <v>-41</v>
      </c>
      <c r="D185" s="79">
        <v>23</v>
      </c>
      <c r="E185" s="79">
        <v>4</v>
      </c>
      <c r="F185" s="6">
        <v>4.4400000000000004</v>
      </c>
      <c r="G185" s="79">
        <v>4532</v>
      </c>
      <c r="H185" s="8" t="s">
        <v>297</v>
      </c>
      <c r="I185" s="22" t="s">
        <v>581</v>
      </c>
      <c r="J185" s="323">
        <v>66.14</v>
      </c>
      <c r="K185" s="73">
        <v>10.58</v>
      </c>
      <c r="L185" s="73">
        <v>1.03</v>
      </c>
      <c r="N185" s="318">
        <f t="shared" si="33"/>
        <v>77.75</v>
      </c>
      <c r="O185" s="81">
        <f>IFERROR(VLOOKUP($G185,'321買'!A:E,3,0),"'沒有資料'")</f>
        <v>0</v>
      </c>
      <c r="P185" s="380">
        <f>IFERROR(VLOOKUP($G185,'321買'!$A:$G,7,0),"'沒有資料'")</f>
        <v>911</v>
      </c>
      <c r="R185" s="297">
        <f>IFERROR(RANK(VLOOKUP($G185,連買!$A:$D,4,0),連買!$D:$D,0),"'沒有資料'")</f>
        <v>1521</v>
      </c>
      <c r="S185" s="34">
        <v>0.7</v>
      </c>
      <c r="T185" s="353">
        <f t="shared" si="35"/>
        <v>3.9548022598870053E-2</v>
      </c>
      <c r="U185" s="95">
        <v>1.41</v>
      </c>
      <c r="V185" s="36">
        <f>RTD("money.excel",,"4532","Price")</f>
        <v>17.7</v>
      </c>
      <c r="W185" s="66"/>
      <c r="X185" s="15">
        <f t="shared" si="29"/>
        <v>17.7</v>
      </c>
      <c r="Y185" s="3" t="e">
        <f t="shared" si="30"/>
        <v>#DIV/0!</v>
      </c>
      <c r="Z185" s="413" t="s">
        <v>1801</v>
      </c>
      <c r="AA185" s="161">
        <v>0</v>
      </c>
      <c r="AB185" s="409">
        <v>0</v>
      </c>
      <c r="AC185" s="259">
        <f t="shared" si="34"/>
        <v>0</v>
      </c>
      <c r="AD185" s="22" t="s">
        <v>581</v>
      </c>
      <c r="AG185" s="33">
        <f t="shared" si="31"/>
        <v>0</v>
      </c>
      <c r="AH185" s="43" t="s">
        <v>2931</v>
      </c>
      <c r="AI185" s="63">
        <f t="shared" si="36"/>
        <v>3.9484126984126982E-4</v>
      </c>
      <c r="AJ185" s="307">
        <f>RTD("money.excel",,$G185,"PredictVolume")</f>
        <v>199</v>
      </c>
      <c r="AK185" s="339"/>
    </row>
    <row r="186" spans="1:37">
      <c r="A186" s="416">
        <v>15.8</v>
      </c>
      <c r="B186" s="79">
        <v>15</v>
      </c>
      <c r="C186" s="80">
        <v>-236</v>
      </c>
      <c r="D186" s="80">
        <v>-49</v>
      </c>
      <c r="E186" s="79">
        <v>-5</v>
      </c>
      <c r="F186" s="6">
        <v>-4.33</v>
      </c>
      <c r="G186" s="79">
        <v>4533</v>
      </c>
      <c r="H186" s="8" t="s">
        <v>297</v>
      </c>
      <c r="I186" s="16" t="s">
        <v>79</v>
      </c>
      <c r="J186" s="323">
        <v>55.8</v>
      </c>
      <c r="K186" s="323">
        <v>0.46</v>
      </c>
      <c r="L186" s="73">
        <v>6.37</v>
      </c>
      <c r="N186" s="318">
        <f t="shared" si="33"/>
        <v>62.629999999999995</v>
      </c>
      <c r="O186" s="81">
        <f>IFERROR(VLOOKUP($G186,'321買'!A:E,3,0),"'沒有資料'")</f>
        <v>0</v>
      </c>
      <c r="P186" s="380">
        <f>IFERROR(VLOOKUP($G186,'321買'!$A:$G,7,0),"'沒有資料'")</f>
        <v>911</v>
      </c>
      <c r="R186" s="297">
        <f>IFERROR(RANK(VLOOKUP($G186,連買!$A:$D,4,0),連買!$D:$D,0),"'沒有資料'")</f>
        <v>1248</v>
      </c>
      <c r="S186" s="34">
        <v>0.2</v>
      </c>
      <c r="T186" s="353">
        <f t="shared" si="35"/>
        <v>1.7094017094017096E-2</v>
      </c>
      <c r="U186" s="57">
        <v>0.1</v>
      </c>
      <c r="V186" s="36">
        <f>RTD("money.excel",,"4533","Price")</f>
        <v>11.7</v>
      </c>
      <c r="W186" s="66"/>
      <c r="X186" s="15">
        <f t="shared" si="29"/>
        <v>11.7</v>
      </c>
      <c r="Y186" s="3" t="e">
        <f t="shared" si="30"/>
        <v>#DIV/0!</v>
      </c>
      <c r="Z186" s="413" t="s">
        <v>1801</v>
      </c>
      <c r="AA186" s="161">
        <v>0</v>
      </c>
      <c r="AB186" s="409">
        <v>0</v>
      </c>
      <c r="AC186" s="259">
        <f t="shared" si="34"/>
        <v>0</v>
      </c>
      <c r="AD186" s="16" t="s">
        <v>79</v>
      </c>
      <c r="AG186" s="33">
        <f t="shared" si="31"/>
        <v>0</v>
      </c>
      <c r="AH186" s="120" t="s">
        <v>2683</v>
      </c>
      <c r="AI186" s="63">
        <f t="shared" si="36"/>
        <v>3.7341772151898732E-4</v>
      </c>
      <c r="AJ186" s="307">
        <f>RTD("money.excel",,$G186,"PredictVolume")</f>
        <v>59</v>
      </c>
      <c r="AK186" s="339"/>
    </row>
    <row r="187" spans="1:37">
      <c r="A187" s="416">
        <v>9.1</v>
      </c>
      <c r="B187" s="80">
        <v>-245</v>
      </c>
      <c r="C187" s="80">
        <v>-163</v>
      </c>
      <c r="D187" s="79">
        <v>27</v>
      </c>
      <c r="E187" s="79">
        <v>3</v>
      </c>
      <c r="F187" s="6">
        <v>-4.33</v>
      </c>
      <c r="G187" s="79">
        <v>4534</v>
      </c>
      <c r="H187" s="8" t="s">
        <v>297</v>
      </c>
      <c r="I187" s="16" t="s">
        <v>544</v>
      </c>
      <c r="J187" s="323">
        <v>36.24</v>
      </c>
      <c r="K187" s="323">
        <v>0.12</v>
      </c>
      <c r="L187" s="73">
        <v>14.02</v>
      </c>
      <c r="N187" s="318">
        <f t="shared" si="33"/>
        <v>50.379999999999995</v>
      </c>
      <c r="O187" s="81">
        <f>IFERROR(VLOOKUP($G187,'321買'!A:E,3,0),"'沒有資料'")</f>
        <v>3</v>
      </c>
      <c r="P187" s="380">
        <f>IFERROR(VLOOKUP($G187,'321買'!$A:$G,7,0),"'沒有資料'")</f>
        <v>636</v>
      </c>
      <c r="R187" s="297">
        <f>IFERROR(RANK(VLOOKUP($G187,連買!$A:$D,4,0),連買!$D:$D,0),"'沒有資料'")</f>
        <v>1102</v>
      </c>
      <c r="S187" s="34">
        <v>0</v>
      </c>
      <c r="T187" s="353">
        <f t="shared" si="35"/>
        <v>0</v>
      </c>
      <c r="U187" s="95">
        <v>-0.72</v>
      </c>
      <c r="V187" s="36">
        <f>RTD("money.excel",,"4534","Price")</f>
        <v>12.25</v>
      </c>
      <c r="W187" s="66"/>
      <c r="X187" s="15">
        <f t="shared" si="29"/>
        <v>12.25</v>
      </c>
      <c r="Y187" s="3" t="e">
        <f t="shared" si="30"/>
        <v>#DIV/0!</v>
      </c>
      <c r="AA187" s="161">
        <v>0</v>
      </c>
      <c r="AB187" s="409">
        <v>0</v>
      </c>
      <c r="AC187" s="259">
        <f t="shared" si="34"/>
        <v>0</v>
      </c>
      <c r="AD187" s="16" t="s">
        <v>544</v>
      </c>
      <c r="AG187" s="33">
        <f t="shared" si="31"/>
        <v>0</v>
      </c>
      <c r="AH187" s="43" t="s">
        <v>3141</v>
      </c>
      <c r="AI187" s="63">
        <f t="shared" si="36"/>
        <v>2.2967032967032967E-3</v>
      </c>
      <c r="AJ187" s="307">
        <f>RTD("money.excel",,$G187,"PredictVolume")</f>
        <v>209</v>
      </c>
      <c r="AK187" s="339"/>
    </row>
    <row r="188" spans="1:37">
      <c r="A188" s="416">
        <v>7.57</v>
      </c>
      <c r="B188" s="91">
        <v>-19</v>
      </c>
      <c r="C188" s="91">
        <v>-10</v>
      </c>
      <c r="D188" s="91">
        <v>14</v>
      </c>
      <c r="E188" s="91">
        <v>69</v>
      </c>
      <c r="F188" s="6">
        <v>8.2799999999999994</v>
      </c>
      <c r="G188" s="79">
        <v>4535</v>
      </c>
      <c r="H188" s="8" t="s">
        <v>297</v>
      </c>
      <c r="I188" s="16" t="s">
        <v>143</v>
      </c>
      <c r="J188" s="73">
        <v>76.86</v>
      </c>
      <c r="K188" s="73">
        <v>0.16</v>
      </c>
      <c r="L188" s="73">
        <v>0.1</v>
      </c>
      <c r="N188" s="318">
        <f t="shared" si="33"/>
        <v>77.11999999999999</v>
      </c>
      <c r="O188" s="81">
        <f>IFERROR(VLOOKUP($G188,'321買'!A:E,3,0),"'沒有資料'")</f>
        <v>0</v>
      </c>
      <c r="P188" s="380">
        <f>IFERROR(VLOOKUP($G188,'321買'!$A:$G,7,0),"'沒有資料'")</f>
        <v>911</v>
      </c>
      <c r="R188" s="297">
        <f>IFERROR(RANK(VLOOKUP($G188,連買!$A:$D,4,0),連買!$D:$D,0),"'沒有資料'")</f>
        <v>1031</v>
      </c>
      <c r="S188" s="34">
        <v>0.7</v>
      </c>
      <c r="T188" s="353">
        <f t="shared" si="35"/>
        <v>1.9498607242339833E-2</v>
      </c>
      <c r="U188" s="95">
        <v>1.36</v>
      </c>
      <c r="V188" s="13">
        <f>RTD("money.excel",,"4535","Price")</f>
        <v>35.9</v>
      </c>
      <c r="W188" s="66"/>
      <c r="X188" s="15">
        <f t="shared" si="29"/>
        <v>35.9</v>
      </c>
      <c r="Y188" s="3" t="e">
        <f t="shared" si="30"/>
        <v>#DIV/0!</v>
      </c>
      <c r="AA188" s="161">
        <v>0</v>
      </c>
      <c r="AB188" s="409">
        <v>0</v>
      </c>
      <c r="AC188" s="259">
        <f t="shared" si="34"/>
        <v>0</v>
      </c>
      <c r="AD188" s="16" t="s">
        <v>143</v>
      </c>
      <c r="AG188" s="33">
        <f t="shared" si="31"/>
        <v>0</v>
      </c>
      <c r="AH188" s="120" t="s">
        <v>2682</v>
      </c>
      <c r="AI188" s="63">
        <f t="shared" si="36"/>
        <v>1.0568031704095113E-4</v>
      </c>
      <c r="AJ188" s="307">
        <f>RTD("money.excel",,$G188,"PredictVolume")</f>
        <v>8</v>
      </c>
      <c r="AK188" s="339"/>
    </row>
    <row r="189" spans="1:37">
      <c r="A189" s="416">
        <v>5.05</v>
      </c>
      <c r="B189" s="91">
        <v>-66</v>
      </c>
      <c r="C189" s="91">
        <v>-82</v>
      </c>
      <c r="D189" s="91">
        <v>13</v>
      </c>
      <c r="E189" s="91">
        <v>83</v>
      </c>
      <c r="F189" s="6">
        <v>3.21</v>
      </c>
      <c r="G189" s="79">
        <v>4538</v>
      </c>
      <c r="H189" s="8" t="s">
        <v>297</v>
      </c>
      <c r="I189" s="16" t="s">
        <v>3179</v>
      </c>
      <c r="J189" s="73">
        <v>74.39</v>
      </c>
      <c r="K189" s="73">
        <v>0</v>
      </c>
      <c r="L189" s="73">
        <v>0.21</v>
      </c>
      <c r="N189" s="318">
        <f t="shared" si="33"/>
        <v>74.599999999999994</v>
      </c>
      <c r="O189" s="81" t="str">
        <f>IFERROR(VLOOKUP($G189,'321買'!A:E,3,0),"'沒有資料'")</f>
        <v>'沒有資料'</v>
      </c>
      <c r="P189" s="380" t="str">
        <f>IFERROR(VLOOKUP($G189,'321買'!$A:$G,7,0),"'沒有資料'")</f>
        <v>'沒有資料'</v>
      </c>
      <c r="R189" s="297">
        <f>IFERROR(RANK(VLOOKUP($G189,連買!$A:$D,4,0),連買!$D:$D,0),"'沒有資料'")</f>
        <v>1079</v>
      </c>
      <c r="S189" s="34">
        <v>0.8</v>
      </c>
      <c r="T189" s="353">
        <f t="shared" si="35"/>
        <v>3.5010940919037198E-2</v>
      </c>
      <c r="U189" s="95">
        <v>0.5</v>
      </c>
      <c r="V189" s="13">
        <f>RTD("money.excel",,"4550","Price")</f>
        <v>22.85</v>
      </c>
      <c r="W189" s="66"/>
      <c r="X189" s="15">
        <f t="shared" si="29"/>
        <v>22.85</v>
      </c>
      <c r="Y189" s="3" t="e">
        <f t="shared" si="30"/>
        <v>#DIV/0!</v>
      </c>
      <c r="AA189" s="161">
        <v>0</v>
      </c>
      <c r="AB189" s="409">
        <v>0</v>
      </c>
      <c r="AC189" s="259">
        <f t="shared" si="34"/>
        <v>0</v>
      </c>
      <c r="AD189" s="16" t="s">
        <v>3179</v>
      </c>
      <c r="AG189" s="33">
        <f t="shared" si="31"/>
        <v>0</v>
      </c>
      <c r="AH189" s="43" t="s">
        <v>3180</v>
      </c>
      <c r="AI189" s="63">
        <f t="shared" si="36"/>
        <v>7.9207920792079211E-5</v>
      </c>
      <c r="AJ189" s="307">
        <f>RTD("money.excel",,$G189,"PredictVolume")</f>
        <v>4</v>
      </c>
      <c r="AK189" s="339"/>
    </row>
    <row r="190" spans="1:37">
      <c r="A190" s="416">
        <v>9.42</v>
      </c>
      <c r="B190" s="79">
        <v>280</v>
      </c>
      <c r="C190" s="79">
        <v>175</v>
      </c>
      <c r="D190" s="80">
        <v>-2</v>
      </c>
      <c r="E190" s="79">
        <v>10</v>
      </c>
      <c r="F190" s="6">
        <v>8.81</v>
      </c>
      <c r="G190" s="79">
        <v>4540</v>
      </c>
      <c r="H190" s="8" t="s">
        <v>297</v>
      </c>
      <c r="I190" s="22" t="s">
        <v>1082</v>
      </c>
      <c r="J190" s="73">
        <v>50.36</v>
      </c>
      <c r="K190" s="73">
        <v>3.17</v>
      </c>
      <c r="L190" s="73">
        <v>6.62</v>
      </c>
      <c r="M190" s="323">
        <v>13.43</v>
      </c>
      <c r="N190" s="318">
        <f t="shared" si="33"/>
        <v>73.58</v>
      </c>
      <c r="O190" s="81">
        <f>IFERROR(VLOOKUP($G190,'321買'!A:E,3,0),"'沒有資料'")</f>
        <v>0</v>
      </c>
      <c r="P190" s="380">
        <f>IFERROR(VLOOKUP($G190,'321買'!$A:$G,7,0),"'沒有資料'")</f>
        <v>911</v>
      </c>
      <c r="Q190" s="245" t="s">
        <v>3816</v>
      </c>
      <c r="R190" s="297">
        <f>IFERROR(RANK(VLOOKUP($G190,連買!$A:$D,4,0),連買!$D:$D,0),"'沒有資料'")</f>
        <v>354</v>
      </c>
      <c r="S190" s="34">
        <v>0.8</v>
      </c>
      <c r="T190" s="353">
        <f t="shared" si="35"/>
        <v>1.8181818181818184E-2</v>
      </c>
      <c r="U190" s="57">
        <v>2.4900000000000002</v>
      </c>
      <c r="V190" s="36">
        <f>RTD("money.excel",,"4540","Price")</f>
        <v>44</v>
      </c>
      <c r="W190" s="66"/>
      <c r="X190" s="15">
        <f t="shared" si="29"/>
        <v>44</v>
      </c>
      <c r="Y190" s="3" t="e">
        <f t="shared" si="30"/>
        <v>#DIV/0!</v>
      </c>
      <c r="Z190" s="413" t="s">
        <v>1801</v>
      </c>
      <c r="AA190" s="161">
        <v>0</v>
      </c>
      <c r="AB190" s="409">
        <v>0</v>
      </c>
      <c r="AC190" s="259">
        <f t="shared" si="34"/>
        <v>0</v>
      </c>
      <c r="AD190" s="22" t="s">
        <v>1082</v>
      </c>
      <c r="AG190" s="33">
        <f t="shared" si="31"/>
        <v>0</v>
      </c>
      <c r="AH190" s="43" t="s">
        <v>1522</v>
      </c>
      <c r="AI190" s="63">
        <f t="shared" si="36"/>
        <v>1.0721868365180466E-3</v>
      </c>
      <c r="AJ190" s="307">
        <f>RTD("money.excel",,$G190,"PredictVolume")</f>
        <v>101</v>
      </c>
      <c r="AK190" s="339"/>
    </row>
    <row r="191" spans="1:37">
      <c r="A191" s="416">
        <v>5.7</v>
      </c>
      <c r="B191" s="91">
        <v>-67</v>
      </c>
      <c r="C191" s="91">
        <v>-6</v>
      </c>
      <c r="D191" s="91">
        <v>8</v>
      </c>
      <c r="E191" s="91">
        <v>-27</v>
      </c>
      <c r="F191" s="6">
        <v>3.09</v>
      </c>
      <c r="G191" s="79">
        <v>4543</v>
      </c>
      <c r="H191" s="8" t="s">
        <v>297</v>
      </c>
      <c r="I191" s="16" t="s">
        <v>545</v>
      </c>
      <c r="J191" s="73">
        <v>81.81</v>
      </c>
      <c r="K191" s="73">
        <v>6.37</v>
      </c>
      <c r="L191" s="73">
        <v>1</v>
      </c>
      <c r="N191" s="318">
        <f t="shared" si="33"/>
        <v>89.18</v>
      </c>
      <c r="O191" s="81">
        <f>IFERROR(VLOOKUP($G191,'321買'!A:E,3,0),"'沒有資料'")</f>
        <v>1</v>
      </c>
      <c r="P191" s="380">
        <f>IFERROR(VLOOKUP($G191,'321買'!$A:$G,7,0),"'沒有資料'")</f>
        <v>783</v>
      </c>
      <c r="R191" s="297">
        <f>IFERROR(RANK(VLOOKUP($G191,連買!$A:$D,4,0),連買!$D:$D,0),"'沒有資料'")</f>
        <v>1124</v>
      </c>
      <c r="S191" s="34">
        <v>0</v>
      </c>
      <c r="T191" s="353">
        <f t="shared" si="35"/>
        <v>0</v>
      </c>
      <c r="U191" s="95">
        <v>0.19</v>
      </c>
      <c r="V191" s="13">
        <f>RTD("money.excel",,"4543","Price")</f>
        <v>18.100000000000001</v>
      </c>
      <c r="W191" s="66"/>
      <c r="X191" s="15">
        <f t="shared" si="29"/>
        <v>18.100000000000001</v>
      </c>
      <c r="Y191" s="3" t="e">
        <f t="shared" si="30"/>
        <v>#DIV/0!</v>
      </c>
      <c r="AA191" s="161">
        <v>0</v>
      </c>
      <c r="AB191" s="409">
        <v>0</v>
      </c>
      <c r="AC191" s="259">
        <f t="shared" si="34"/>
        <v>0</v>
      </c>
      <c r="AD191" s="16" t="s">
        <v>545</v>
      </c>
      <c r="AG191" s="33">
        <f t="shared" si="31"/>
        <v>0</v>
      </c>
      <c r="AH191" s="43" t="s">
        <v>2681</v>
      </c>
      <c r="AI191" s="63">
        <f t="shared" si="36"/>
        <v>1.5087719298245614E-3</v>
      </c>
      <c r="AJ191" s="307">
        <f>RTD("money.excel",,$G191,"PredictVolume")</f>
        <v>86</v>
      </c>
      <c r="AK191" s="339"/>
    </row>
    <row r="192" spans="1:37">
      <c r="A192" s="415">
        <v>4.24</v>
      </c>
      <c r="B192" s="80">
        <v>-52</v>
      </c>
      <c r="C192" s="80">
        <v>-61</v>
      </c>
      <c r="D192" s="80">
        <v>-2</v>
      </c>
      <c r="E192" s="80">
        <v>-20</v>
      </c>
      <c r="F192" s="57">
        <v>24.17</v>
      </c>
      <c r="G192" s="79">
        <v>4549</v>
      </c>
      <c r="H192" s="8" t="s">
        <v>297</v>
      </c>
      <c r="I192" s="16" t="s">
        <v>546</v>
      </c>
      <c r="J192" s="323">
        <v>73.010000000000005</v>
      </c>
      <c r="K192" s="73">
        <v>4.92</v>
      </c>
      <c r="L192" s="323">
        <v>1.39</v>
      </c>
      <c r="N192" s="318">
        <f t="shared" ref="N192:N221" si="37">J192+K192+L192+M192</f>
        <v>79.320000000000007</v>
      </c>
      <c r="O192" s="81">
        <f>IFERROR(VLOOKUP($G192,'321買'!A:E,3,0),"'沒有資料'")</f>
        <v>0</v>
      </c>
      <c r="P192" s="380">
        <f>IFERROR(VLOOKUP($G192,'321買'!$A:$G,7,0),"'沒有資料'")</f>
        <v>911</v>
      </c>
      <c r="R192" s="297">
        <f>IFERROR(RANK(VLOOKUP($G192,連買!$A:$D,4,0),連買!$D:$D,0),"'沒有資料'")</f>
        <v>277</v>
      </c>
      <c r="S192" s="66">
        <v>4.5</v>
      </c>
      <c r="T192" s="353">
        <f t="shared" ref="T192:T221" si="38">S192/V192</f>
        <v>4.8179871520342608E-2</v>
      </c>
      <c r="U192" s="95">
        <v>5.49</v>
      </c>
      <c r="V192" s="36">
        <f>RTD("money.excel",,"4549","Price")</f>
        <v>93.4</v>
      </c>
      <c r="W192" s="66"/>
      <c r="X192" s="15">
        <f t="shared" ref="X192:X221" si="39">V192-W192</f>
        <v>93.4</v>
      </c>
      <c r="Y192" s="3" t="e">
        <f t="shared" ref="Y192:Y221" si="40">X192/W192</f>
        <v>#DIV/0!</v>
      </c>
      <c r="Z192" s="413" t="s">
        <v>1997</v>
      </c>
      <c r="AA192" s="161">
        <v>0</v>
      </c>
      <c r="AB192" s="409">
        <v>0</v>
      </c>
      <c r="AC192" s="259">
        <f t="shared" si="34"/>
        <v>0</v>
      </c>
      <c r="AD192" s="16" t="s">
        <v>546</v>
      </c>
      <c r="AG192" s="33">
        <f t="shared" ref="AG192:AG221" si="41">AF192-AE192</f>
        <v>0</v>
      </c>
      <c r="AH192" s="43" t="s">
        <v>2680</v>
      </c>
      <c r="AI192" s="63">
        <f t="shared" ref="AI192:AI221" si="42">AJ192/(A192*10000)</f>
        <v>4.9528301886792448E-4</v>
      </c>
      <c r="AJ192" s="307">
        <f>RTD("money.excel",,$G192,"PredictVolume")</f>
        <v>21</v>
      </c>
      <c r="AK192" s="339"/>
    </row>
    <row r="193" spans="1:37">
      <c r="A193" s="416">
        <v>3.78</v>
      </c>
      <c r="B193" s="91">
        <v>-55</v>
      </c>
      <c r="C193" s="91">
        <v>-67</v>
      </c>
      <c r="D193" s="91">
        <v>-23</v>
      </c>
      <c r="E193" s="91">
        <v>379</v>
      </c>
      <c r="F193" s="6">
        <v>4.08</v>
      </c>
      <c r="G193" s="79">
        <v>4550</v>
      </c>
      <c r="H193" s="8" t="s">
        <v>297</v>
      </c>
      <c r="I193" s="16" t="s">
        <v>547</v>
      </c>
      <c r="J193" s="73">
        <v>67.02</v>
      </c>
      <c r="K193" s="73">
        <v>0</v>
      </c>
      <c r="L193" s="73">
        <v>4.03</v>
      </c>
      <c r="N193" s="318">
        <f t="shared" si="37"/>
        <v>71.05</v>
      </c>
      <c r="O193" s="81" t="str">
        <f>IFERROR(VLOOKUP($G193,'321買'!A:E,3,0),"'沒有資料'")</f>
        <v>'沒有資料'</v>
      </c>
      <c r="P193" s="380" t="str">
        <f>IFERROR(VLOOKUP($G193,'321買'!$A:$G,7,0),"'沒有資料'")</f>
        <v>'沒有資料'</v>
      </c>
      <c r="R193" s="297">
        <f>IFERROR(RANK(VLOOKUP($G193,連買!$A:$D,4,0),連買!$D:$D,0),"'沒有資料'")</f>
        <v>1483</v>
      </c>
      <c r="S193" s="34">
        <v>1.68</v>
      </c>
      <c r="T193" s="353">
        <f t="shared" si="38"/>
        <v>7.3522975929978113E-2</v>
      </c>
      <c r="U193" s="95">
        <v>2.2799999999999998</v>
      </c>
      <c r="V193" s="13">
        <f>RTD("money.excel",,"4550","Price")</f>
        <v>22.85</v>
      </c>
      <c r="W193" s="66"/>
      <c r="X193" s="15">
        <f t="shared" si="39"/>
        <v>22.85</v>
      </c>
      <c r="Y193" s="3" t="e">
        <f t="shared" si="40"/>
        <v>#DIV/0!</v>
      </c>
      <c r="AA193" s="161">
        <v>0</v>
      </c>
      <c r="AB193" s="409">
        <v>0</v>
      </c>
      <c r="AC193" s="259">
        <f t="shared" si="34"/>
        <v>0</v>
      </c>
      <c r="AD193" s="16" t="s">
        <v>547</v>
      </c>
      <c r="AG193" s="33">
        <f t="shared" si="41"/>
        <v>0</v>
      </c>
      <c r="AH193" s="43" t="s">
        <v>2679</v>
      </c>
      <c r="AI193" s="63">
        <f t="shared" si="42"/>
        <v>2.9100529100529099E-4</v>
      </c>
      <c r="AJ193" s="307">
        <f>RTD("money.excel",,$G193,"PredictVolume")</f>
        <v>11</v>
      </c>
      <c r="AK193" s="339"/>
    </row>
    <row r="194" spans="1:37">
      <c r="A194" s="416">
        <v>11.6</v>
      </c>
      <c r="B194" s="91">
        <v>-59</v>
      </c>
      <c r="C194" s="91">
        <v>-59</v>
      </c>
      <c r="D194" s="91">
        <v>-10</v>
      </c>
      <c r="E194" s="91">
        <v>-21</v>
      </c>
      <c r="F194" s="6">
        <v>9.64</v>
      </c>
      <c r="G194" s="79">
        <v>4552</v>
      </c>
      <c r="H194" s="8" t="s">
        <v>297</v>
      </c>
      <c r="I194" s="22" t="s">
        <v>255</v>
      </c>
      <c r="J194" s="73">
        <v>51.02</v>
      </c>
      <c r="K194" s="323">
        <v>53.19</v>
      </c>
      <c r="L194" s="323">
        <v>6.45</v>
      </c>
      <c r="N194" s="318">
        <f t="shared" si="37"/>
        <v>110.66000000000001</v>
      </c>
      <c r="O194" s="81">
        <f>IFERROR(VLOOKUP($G194,'321買'!A:E,3,0),"'沒有資料'")</f>
        <v>0</v>
      </c>
      <c r="P194" s="380">
        <f>IFERROR(VLOOKUP($G194,'321買'!$A:$G,7,0),"'沒有資料'")</f>
        <v>911</v>
      </c>
      <c r="R194" s="297">
        <f>IFERROR(RANK(VLOOKUP($G194,連買!$A:$D,4,0),連買!$D:$D,0),"'沒有資料'")</f>
        <v>434</v>
      </c>
      <c r="S194" s="34">
        <v>1.1100000000000001</v>
      </c>
      <c r="T194" s="353">
        <f t="shared" si="38"/>
        <v>3.7373737373737378E-2</v>
      </c>
      <c r="U194" s="57">
        <v>2.2200000000000002</v>
      </c>
      <c r="V194" s="13">
        <f>RTD("money.excel",,"4552","Price")</f>
        <v>29.7</v>
      </c>
      <c r="W194" s="66"/>
      <c r="X194" s="15">
        <f t="shared" si="39"/>
        <v>29.7</v>
      </c>
      <c r="Y194" s="3" t="e">
        <f t="shared" si="40"/>
        <v>#DIV/0!</v>
      </c>
      <c r="Z194" s="413" t="s">
        <v>1801</v>
      </c>
      <c r="AA194" s="161">
        <v>0</v>
      </c>
      <c r="AB194" s="409">
        <v>0</v>
      </c>
      <c r="AC194" s="259">
        <f t="shared" si="34"/>
        <v>0</v>
      </c>
      <c r="AD194" s="22" t="s">
        <v>255</v>
      </c>
      <c r="AG194" s="33">
        <f t="shared" si="41"/>
        <v>0</v>
      </c>
      <c r="AH194" s="43" t="s">
        <v>2288</v>
      </c>
      <c r="AI194" s="63">
        <f t="shared" si="42"/>
        <v>8.0172413793103451E-4</v>
      </c>
      <c r="AJ194" s="307">
        <f>RTD("money.excel",,$G194,"PredictVolume")</f>
        <v>93</v>
      </c>
      <c r="AK194" s="339"/>
    </row>
    <row r="195" spans="1:37">
      <c r="A195" s="415">
        <v>6.7</v>
      </c>
      <c r="B195" s="79">
        <v>160</v>
      </c>
      <c r="C195" s="79">
        <v>173</v>
      </c>
      <c r="D195" s="79">
        <v>39</v>
      </c>
      <c r="E195" s="79">
        <v>17</v>
      </c>
      <c r="F195" s="57">
        <v>10.4</v>
      </c>
      <c r="G195" s="79">
        <v>4555</v>
      </c>
      <c r="H195" s="8" t="s">
        <v>297</v>
      </c>
      <c r="I195" s="22" t="s">
        <v>582</v>
      </c>
      <c r="J195" s="73">
        <v>76.540000000000006</v>
      </c>
      <c r="K195" s="323">
        <v>0.51</v>
      </c>
      <c r="L195" s="73">
        <v>6.75</v>
      </c>
      <c r="N195" s="318">
        <f t="shared" si="37"/>
        <v>83.800000000000011</v>
      </c>
      <c r="O195" s="81">
        <f>IFERROR(VLOOKUP($G195,'321買'!A:E,3,0),"'沒有資料'")</f>
        <v>0</v>
      </c>
      <c r="P195" s="380">
        <f>IFERROR(VLOOKUP($G195,'321買'!$A:$G,7,0),"'沒有資料'")</f>
        <v>911</v>
      </c>
      <c r="R195" s="297">
        <f>IFERROR(RANK(VLOOKUP($G195,連買!$A:$D,4,0),連買!$D:$D,0),"'沒有資料'")</f>
        <v>471</v>
      </c>
      <c r="S195" s="34">
        <v>1.5</v>
      </c>
      <c r="T195" s="353">
        <f t="shared" si="38"/>
        <v>2.5951557093425608E-2</v>
      </c>
      <c r="U195" s="57">
        <v>2.04</v>
      </c>
      <c r="V195" s="36">
        <f>RTD("money.excel",,"4555","Price")</f>
        <v>57.8</v>
      </c>
      <c r="W195" s="66"/>
      <c r="X195" s="15">
        <f t="shared" si="39"/>
        <v>57.8</v>
      </c>
      <c r="Y195" s="3" t="e">
        <f t="shared" si="40"/>
        <v>#DIV/0!</v>
      </c>
      <c r="Z195" s="413" t="s">
        <v>1801</v>
      </c>
      <c r="AA195" s="161">
        <v>0</v>
      </c>
      <c r="AB195" s="409">
        <v>0</v>
      </c>
      <c r="AC195" s="259">
        <f t="shared" si="34"/>
        <v>0</v>
      </c>
      <c r="AD195" s="22" t="s">
        <v>582</v>
      </c>
      <c r="AG195" s="33">
        <f t="shared" si="41"/>
        <v>0</v>
      </c>
      <c r="AH195" s="43" t="s">
        <v>2067</v>
      </c>
      <c r="AI195" s="63">
        <f t="shared" si="42"/>
        <v>2.8358208955223883E-4</v>
      </c>
      <c r="AJ195" s="307">
        <f>RTD("money.excel",,$G195,"PredictVolume")</f>
        <v>19</v>
      </c>
      <c r="AK195" s="339"/>
    </row>
    <row r="196" spans="1:37">
      <c r="A196" s="415">
        <v>5</v>
      </c>
      <c r="B196" s="79">
        <v>297</v>
      </c>
      <c r="C196" s="79">
        <v>266</v>
      </c>
      <c r="D196" s="80">
        <v>-13</v>
      </c>
      <c r="E196" s="79">
        <v>15</v>
      </c>
      <c r="F196" s="57">
        <v>11.54</v>
      </c>
      <c r="G196" s="79">
        <v>4558</v>
      </c>
      <c r="H196" s="8" t="s">
        <v>297</v>
      </c>
      <c r="I196" s="16" t="s">
        <v>5158</v>
      </c>
      <c r="J196" s="73">
        <v>47.6</v>
      </c>
      <c r="K196" s="323">
        <v>0.01</v>
      </c>
      <c r="M196" s="73">
        <v>9.89</v>
      </c>
      <c r="N196" s="318">
        <f t="shared" si="37"/>
        <v>57.5</v>
      </c>
      <c r="O196" s="81" t="str">
        <f>IFERROR(VLOOKUP($G196,'321買'!#REF!,3,0),"'沒有資料'")</f>
        <v>'沒有資料'</v>
      </c>
      <c r="P196" s="380" t="str">
        <f>IFERROR(VLOOKUP($G196,'321買'!$A:$G,7,0),"'沒有資料'")</f>
        <v>'沒有資料'</v>
      </c>
      <c r="R196" s="297">
        <f>IFERROR(RANK(VLOOKUP($G196,連買!$A:$D,4,0),連買!$D:$D,0),"'沒有資料'")</f>
        <v>1408</v>
      </c>
      <c r="S196" s="66">
        <v>3</v>
      </c>
      <c r="T196" s="353">
        <f>S196/V196</f>
        <v>6.8027210884353734E-2</v>
      </c>
      <c r="U196" s="95" t="s">
        <v>3500</v>
      </c>
      <c r="V196" s="13">
        <f>RTD("money.excel",,"4558","Price")</f>
        <v>44.1</v>
      </c>
      <c r="W196" s="66"/>
      <c r="X196" s="15">
        <f>V196-W196</f>
        <v>44.1</v>
      </c>
      <c r="Y196" s="3" t="e">
        <f>X196/W196</f>
        <v>#DIV/0!</v>
      </c>
      <c r="AA196" s="161">
        <v>0</v>
      </c>
      <c r="AB196" s="409">
        <v>0</v>
      </c>
      <c r="AC196" s="259">
        <f t="shared" si="34"/>
        <v>0</v>
      </c>
      <c r="AD196" s="16" t="s">
        <v>5158</v>
      </c>
      <c r="AG196" s="33">
        <f>AF196-AE196</f>
        <v>0</v>
      </c>
      <c r="AH196" s="43" t="s">
        <v>5159</v>
      </c>
      <c r="AI196" s="63">
        <f t="shared" si="42"/>
        <v>1.06E-3</v>
      </c>
      <c r="AJ196" s="307">
        <f>RTD("money.excel",,$G196,"PredictVolume")</f>
        <v>53</v>
      </c>
      <c r="AK196" s="339">
        <v>2.83</v>
      </c>
    </row>
    <row r="197" spans="1:37">
      <c r="A197" s="415">
        <v>6.82</v>
      </c>
      <c r="B197" s="80">
        <v>-6</v>
      </c>
      <c r="C197" s="80">
        <v>-29</v>
      </c>
      <c r="D197" s="79">
        <v>18</v>
      </c>
      <c r="E197" s="80">
        <v>-37</v>
      </c>
      <c r="F197" s="57">
        <v>18.440000000000001</v>
      </c>
      <c r="G197" s="79">
        <v>4560</v>
      </c>
      <c r="H197" s="8" t="s">
        <v>297</v>
      </c>
      <c r="I197" s="22" t="s">
        <v>584</v>
      </c>
      <c r="J197" s="323">
        <v>83.41</v>
      </c>
      <c r="K197" s="323">
        <v>83.33</v>
      </c>
      <c r="L197" s="73">
        <v>1.59</v>
      </c>
      <c r="N197" s="318">
        <f t="shared" si="37"/>
        <v>168.33</v>
      </c>
      <c r="O197" s="81">
        <f>IFERROR(VLOOKUP($G197,'321買'!A:E,3,0),"'沒有資料'")</f>
        <v>0</v>
      </c>
      <c r="P197" s="380">
        <f>IFERROR(VLOOKUP($G197,'321買'!$A:$G,7,0),"'沒有資料'")</f>
        <v>911</v>
      </c>
      <c r="R197" s="297">
        <f>IFERROR(RANK(VLOOKUP($G197,連買!$A:$D,4,0),連買!$D:$D,0),"'沒有資料'")</f>
        <v>499</v>
      </c>
      <c r="S197" s="66">
        <v>3.99</v>
      </c>
      <c r="T197" s="353">
        <f t="shared" si="38"/>
        <v>9.3224299065420568E-2</v>
      </c>
      <c r="U197" s="57">
        <v>1.1200000000000001</v>
      </c>
      <c r="V197" s="13">
        <f>RTD("money.excel",,"4560","Price")</f>
        <v>42.8</v>
      </c>
      <c r="W197" s="66"/>
      <c r="X197" s="15">
        <f t="shared" si="39"/>
        <v>42.8</v>
      </c>
      <c r="Y197" s="3" t="e">
        <f t="shared" si="40"/>
        <v>#DIV/0!</v>
      </c>
      <c r="Z197" s="413" t="s">
        <v>1997</v>
      </c>
      <c r="AA197" s="161">
        <v>0</v>
      </c>
      <c r="AB197" s="409">
        <v>0</v>
      </c>
      <c r="AC197" s="259">
        <f t="shared" ref="AC197:AC260" si="43">AA197-AB197</f>
        <v>0</v>
      </c>
      <c r="AD197" s="22" t="s">
        <v>584</v>
      </c>
      <c r="AG197" s="33">
        <f t="shared" si="41"/>
        <v>0</v>
      </c>
      <c r="AH197" s="43" t="s">
        <v>2932</v>
      </c>
      <c r="AI197" s="63">
        <f t="shared" si="42"/>
        <v>2.1407624633431087E-3</v>
      </c>
      <c r="AJ197" s="307">
        <f>RTD("money.excel",,$G197,"PredictVolume")</f>
        <v>146</v>
      </c>
      <c r="AK197" s="339"/>
    </row>
    <row r="198" spans="1:37">
      <c r="A198" s="415">
        <v>5.85</v>
      </c>
      <c r="B198" s="79">
        <v>191</v>
      </c>
      <c r="C198" s="79">
        <v>224</v>
      </c>
      <c r="D198" s="79">
        <v>24</v>
      </c>
      <c r="E198" s="79">
        <v>15</v>
      </c>
      <c r="F198" s="57">
        <v>16.059999999999999</v>
      </c>
      <c r="G198" s="79">
        <v>4561</v>
      </c>
      <c r="H198" s="8" t="s">
        <v>297</v>
      </c>
      <c r="I198" s="16" t="s">
        <v>548</v>
      </c>
      <c r="J198" s="323">
        <v>56.75</v>
      </c>
      <c r="K198" s="323">
        <v>0.13</v>
      </c>
      <c r="L198" s="323">
        <v>4.9800000000000004</v>
      </c>
      <c r="M198" s="73">
        <v>40.36</v>
      </c>
      <c r="N198" s="318">
        <f t="shared" si="37"/>
        <v>102.22</v>
      </c>
      <c r="O198" s="81" t="str">
        <f>IFERROR(VLOOKUP($G198,'321買'!A:E,3,0),"'沒有資料'")</f>
        <v>'沒有資料'</v>
      </c>
      <c r="P198" s="380" t="str">
        <f>IFERROR(VLOOKUP($G198,'321買'!$A:$G,7,0),"'沒有資料'")</f>
        <v>'沒有資料'</v>
      </c>
      <c r="Q198" s="245" t="s">
        <v>5071</v>
      </c>
      <c r="R198" s="297">
        <f>IFERROR(RANK(VLOOKUP($G198,連買!$A:$D,4,0),連買!$D:$D,0),"'沒有資料'")</f>
        <v>521</v>
      </c>
      <c r="S198" s="34">
        <v>0.9</v>
      </c>
      <c r="T198" s="353">
        <f t="shared" si="38"/>
        <v>3.2608695652173912E-2</v>
      </c>
      <c r="U198" s="57">
        <v>2.84</v>
      </c>
      <c r="V198" s="36">
        <f>RTD("money.excel",,"4561","Price")</f>
        <v>27.6</v>
      </c>
      <c r="W198" s="66"/>
      <c r="X198" s="15">
        <f t="shared" si="39"/>
        <v>27.6</v>
      </c>
      <c r="Y198" s="3" t="e">
        <f t="shared" si="40"/>
        <v>#DIV/0!</v>
      </c>
      <c r="Z198" s="413" t="s">
        <v>1801</v>
      </c>
      <c r="AA198" s="161">
        <v>0</v>
      </c>
      <c r="AB198" s="409">
        <v>0</v>
      </c>
      <c r="AC198" s="259">
        <f t="shared" si="43"/>
        <v>0</v>
      </c>
      <c r="AD198" s="16" t="s">
        <v>548</v>
      </c>
      <c r="AG198" s="33">
        <f t="shared" si="41"/>
        <v>0</v>
      </c>
      <c r="AH198" s="43" t="s">
        <v>2678</v>
      </c>
      <c r="AI198" s="63">
        <f t="shared" si="42"/>
        <v>6.3247863247863252E-4</v>
      </c>
      <c r="AJ198" s="307">
        <f>RTD("money.excel",,$G198,"PredictVolume")</f>
        <v>37</v>
      </c>
      <c r="AK198" s="81">
        <v>11.24</v>
      </c>
    </row>
    <row r="199" spans="1:37">
      <c r="A199" s="416">
        <v>8.75</v>
      </c>
      <c r="B199" s="79">
        <v>0</v>
      </c>
      <c r="C199" s="79">
        <v>6</v>
      </c>
      <c r="D199" s="80">
        <v>-18</v>
      </c>
      <c r="E199" s="80">
        <v>-4</v>
      </c>
      <c r="F199" s="6">
        <v>-11.72</v>
      </c>
      <c r="G199" s="79">
        <v>4562</v>
      </c>
      <c r="H199" s="8" t="s">
        <v>297</v>
      </c>
      <c r="I199" s="22" t="s">
        <v>585</v>
      </c>
      <c r="J199" s="323">
        <v>65.86</v>
      </c>
      <c r="K199" s="323">
        <v>1.2</v>
      </c>
      <c r="L199" s="73">
        <v>3.59</v>
      </c>
      <c r="M199" s="323">
        <v>30.76</v>
      </c>
      <c r="N199" s="318">
        <f t="shared" si="37"/>
        <v>101.41000000000001</v>
      </c>
      <c r="O199" s="81">
        <f>IFERROR(VLOOKUP($G199,'321買'!A:E,3,0),"'沒有資料'")</f>
        <v>0</v>
      </c>
      <c r="P199" s="380">
        <f>IFERROR(VLOOKUP($G199,'321買'!$A:$G,7,0),"'沒有資料'")</f>
        <v>911</v>
      </c>
      <c r="Q199" s="245" t="s">
        <v>3816</v>
      </c>
      <c r="R199" s="297">
        <f>IFERROR(RANK(VLOOKUP($G199,連買!$A:$D,4,0),連買!$D:$D,0),"'沒有資料'")</f>
        <v>1614</v>
      </c>
      <c r="S199" s="34">
        <v>0</v>
      </c>
      <c r="T199" s="353">
        <f t="shared" si="38"/>
        <v>0</v>
      </c>
      <c r="U199" s="57">
        <v>-2.2400000000000002</v>
      </c>
      <c r="V199" s="36">
        <f>RTD("money.excel",,"4562","Price")</f>
        <v>15.7</v>
      </c>
      <c r="W199" s="66"/>
      <c r="X199" s="15">
        <f t="shared" si="39"/>
        <v>15.7</v>
      </c>
      <c r="Y199" s="3" t="e">
        <f t="shared" si="40"/>
        <v>#DIV/0!</v>
      </c>
      <c r="AA199" s="161">
        <v>0</v>
      </c>
      <c r="AB199" s="409">
        <v>0</v>
      </c>
      <c r="AC199" s="259">
        <f t="shared" si="43"/>
        <v>0</v>
      </c>
      <c r="AD199" s="22" t="s">
        <v>585</v>
      </c>
      <c r="AG199" s="33">
        <f t="shared" si="41"/>
        <v>0</v>
      </c>
      <c r="AH199" s="43" t="s">
        <v>2933</v>
      </c>
      <c r="AI199" s="63">
        <f t="shared" si="42"/>
        <v>1.1085714285714286E-3</v>
      </c>
      <c r="AJ199" s="307">
        <f>RTD("money.excel",,$G199,"PredictVolume")</f>
        <v>97</v>
      </c>
      <c r="AK199" s="339"/>
    </row>
    <row r="200" spans="1:37">
      <c r="A200" s="416">
        <v>5.5</v>
      </c>
      <c r="B200" s="80">
        <v>-288</v>
      </c>
      <c r="C200" s="80">
        <v>-184</v>
      </c>
      <c r="D200" s="79">
        <v>35</v>
      </c>
      <c r="E200" s="80">
        <v>-25</v>
      </c>
      <c r="F200" s="6">
        <v>-10.09</v>
      </c>
      <c r="G200" s="79">
        <v>4563</v>
      </c>
      <c r="H200" s="8" t="s">
        <v>297</v>
      </c>
      <c r="I200" s="16" t="s">
        <v>549</v>
      </c>
      <c r="J200" s="323">
        <v>63.19</v>
      </c>
      <c r="K200" s="73">
        <v>3.64</v>
      </c>
      <c r="L200" s="73">
        <v>1.68</v>
      </c>
      <c r="N200" s="318">
        <f t="shared" si="37"/>
        <v>68.510000000000005</v>
      </c>
      <c r="O200" s="81">
        <f>IFERROR(VLOOKUP($G200,'321買'!A:E,3,0),"'沒有資料'")</f>
        <v>0</v>
      </c>
      <c r="P200" s="380">
        <f>IFERROR(VLOOKUP($G200,'321買'!$A:$G,7,0),"'沒有資料'")</f>
        <v>911</v>
      </c>
      <c r="R200" s="297">
        <f>IFERROR(RANK(VLOOKUP($G200,連買!$A:$D,4,0),連買!$D:$D,0),"'沒有資料'")</f>
        <v>966</v>
      </c>
      <c r="S200" s="34">
        <v>0</v>
      </c>
      <c r="T200" s="353">
        <f t="shared" si="38"/>
        <v>0</v>
      </c>
      <c r="U200" s="57">
        <v>-6.78</v>
      </c>
      <c r="V200" s="36">
        <f>RTD("money.excel",,"4563","Price")</f>
        <v>30.05</v>
      </c>
      <c r="W200" s="66"/>
      <c r="X200" s="15">
        <f t="shared" si="39"/>
        <v>30.05</v>
      </c>
      <c r="Y200" s="3" t="e">
        <f t="shared" si="40"/>
        <v>#DIV/0!</v>
      </c>
      <c r="Z200" s="413" t="s">
        <v>1801</v>
      </c>
      <c r="AA200" s="161">
        <v>0</v>
      </c>
      <c r="AB200" s="409">
        <v>0</v>
      </c>
      <c r="AC200" s="259">
        <f t="shared" si="43"/>
        <v>0</v>
      </c>
      <c r="AD200" s="16" t="s">
        <v>549</v>
      </c>
      <c r="AG200" s="33">
        <f t="shared" si="41"/>
        <v>0</v>
      </c>
      <c r="AH200" s="43" t="s">
        <v>1975</v>
      </c>
      <c r="AI200" s="63">
        <f t="shared" si="42"/>
        <v>6.5454545454545453E-4</v>
      </c>
      <c r="AJ200" s="307">
        <f>RTD("money.excel",,$G200,"PredictVolume")</f>
        <v>36</v>
      </c>
      <c r="AK200" s="339"/>
    </row>
    <row r="201" spans="1:37">
      <c r="A201" s="415">
        <v>18.2</v>
      </c>
      <c r="B201" s="91">
        <v>-53</v>
      </c>
      <c r="C201" s="91">
        <v>-48</v>
      </c>
      <c r="D201" s="91">
        <v>1</v>
      </c>
      <c r="E201" s="91">
        <v>75</v>
      </c>
      <c r="F201" s="57">
        <v>19.59</v>
      </c>
      <c r="G201" s="79">
        <v>4564</v>
      </c>
      <c r="H201" s="8" t="s">
        <v>297</v>
      </c>
      <c r="I201" s="22" t="s">
        <v>3216</v>
      </c>
      <c r="J201" s="73">
        <v>41.4</v>
      </c>
      <c r="K201" s="73">
        <v>1.73</v>
      </c>
      <c r="L201" s="73">
        <v>6.65</v>
      </c>
      <c r="N201" s="318">
        <f t="shared" si="37"/>
        <v>49.779999999999994</v>
      </c>
      <c r="O201" s="81">
        <f>IFERROR(VLOOKUP($G201,'321買'!A:E,3,0),"'沒有資料'")</f>
        <v>9</v>
      </c>
      <c r="P201" s="380">
        <f>IFERROR(VLOOKUP($G201,'321買'!$A:$G,7,0),"'沒有資料'")</f>
        <v>433</v>
      </c>
      <c r="R201" s="297">
        <f>IFERROR(RANK(VLOOKUP($G201,連買!$A:$D,4,0),連買!$D:$D,0),"'沒有資料'")</f>
        <v>1685</v>
      </c>
      <c r="S201" s="34">
        <v>1.3</v>
      </c>
      <c r="T201" s="353">
        <f t="shared" si="38"/>
        <v>3.7900874635568516E-2</v>
      </c>
      <c r="U201" s="95">
        <v>1.65</v>
      </c>
      <c r="V201" s="13">
        <f>RTD("money.excel",,"4564","Price")</f>
        <v>34.299999999999997</v>
      </c>
      <c r="W201" s="66"/>
      <c r="X201" s="15">
        <f t="shared" si="39"/>
        <v>34.299999999999997</v>
      </c>
      <c r="Y201" s="3" t="e">
        <f t="shared" si="40"/>
        <v>#DIV/0!</v>
      </c>
      <c r="AA201" s="161">
        <v>0</v>
      </c>
      <c r="AB201" s="409">
        <v>0</v>
      </c>
      <c r="AC201" s="259">
        <f t="shared" si="43"/>
        <v>0</v>
      </c>
      <c r="AD201" s="22" t="s">
        <v>3216</v>
      </c>
      <c r="AG201" s="33">
        <f t="shared" si="41"/>
        <v>0</v>
      </c>
      <c r="AH201" s="43" t="s">
        <v>3217</v>
      </c>
      <c r="AI201" s="63">
        <f t="shared" si="42"/>
        <v>1.0164835164835164E-3</v>
      </c>
      <c r="AJ201" s="307">
        <f>RTD("money.excel",,$G201,"PredictVolume")</f>
        <v>185</v>
      </c>
      <c r="AK201" s="339"/>
    </row>
    <row r="202" spans="1:37">
      <c r="A202" s="416">
        <v>7.19</v>
      </c>
      <c r="B202" s="79">
        <v>109</v>
      </c>
      <c r="C202" s="79">
        <v>81</v>
      </c>
      <c r="D202" s="79">
        <v>16</v>
      </c>
      <c r="E202" s="79">
        <v>2</v>
      </c>
      <c r="F202" s="6">
        <v>6.09</v>
      </c>
      <c r="G202" s="79">
        <v>4566</v>
      </c>
      <c r="H202" s="8" t="s">
        <v>297</v>
      </c>
      <c r="I202" s="22" t="s">
        <v>1089</v>
      </c>
      <c r="J202" s="323">
        <v>70.37</v>
      </c>
      <c r="K202" s="323">
        <v>0.75</v>
      </c>
      <c r="L202" s="73">
        <v>7.86</v>
      </c>
      <c r="M202" s="323">
        <v>33.64</v>
      </c>
      <c r="N202" s="318">
        <f t="shared" si="37"/>
        <v>112.62</v>
      </c>
      <c r="O202" s="81">
        <f>IFERROR(VLOOKUP($G202,'321買'!A:E,3,0),"'沒有資料'")</f>
        <v>1</v>
      </c>
      <c r="P202" s="380">
        <f>IFERROR(VLOOKUP($G202,'321買'!$A:$G,7,0),"'沒有資料'")</f>
        <v>783</v>
      </c>
      <c r="Q202" s="245" t="s">
        <v>3815</v>
      </c>
      <c r="R202" s="297">
        <f>IFERROR(RANK(VLOOKUP($G202,連買!$A:$D,4,0),連買!$D:$D,0),"'沒有資料'")</f>
        <v>901</v>
      </c>
      <c r="S202" s="34">
        <v>1.19</v>
      </c>
      <c r="T202" s="353">
        <f t="shared" si="38"/>
        <v>2.7578215527230592E-2</v>
      </c>
      <c r="U202" s="95">
        <v>2.56</v>
      </c>
      <c r="V202" s="36">
        <f>RTD("money.excel",,"4566","Price")</f>
        <v>43.15</v>
      </c>
      <c r="W202" s="66"/>
      <c r="X202" s="15">
        <f t="shared" si="39"/>
        <v>43.15</v>
      </c>
      <c r="Y202" s="3" t="e">
        <f t="shared" si="40"/>
        <v>#DIV/0!</v>
      </c>
      <c r="Z202" s="413" t="s">
        <v>1801</v>
      </c>
      <c r="AA202" s="161">
        <v>0</v>
      </c>
      <c r="AB202" s="409">
        <v>0</v>
      </c>
      <c r="AC202" s="259">
        <f t="shared" si="43"/>
        <v>0</v>
      </c>
      <c r="AD202" s="22" t="s">
        <v>1089</v>
      </c>
      <c r="AG202" s="33">
        <f t="shared" si="41"/>
        <v>0</v>
      </c>
      <c r="AH202" s="43" t="s">
        <v>2929</v>
      </c>
      <c r="AI202" s="63">
        <f t="shared" si="42"/>
        <v>2.086230876216968E-4</v>
      </c>
      <c r="AJ202" s="307">
        <f>RTD("money.excel",,$G202,"PredictVolume")</f>
        <v>15</v>
      </c>
      <c r="AK202" s="339"/>
    </row>
    <row r="203" spans="1:37">
      <c r="A203" s="415">
        <v>3.04</v>
      </c>
      <c r="B203" s="79">
        <v>7</v>
      </c>
      <c r="C203" s="79">
        <v>33</v>
      </c>
      <c r="D203" s="79">
        <v>88</v>
      </c>
      <c r="E203" s="79">
        <v>99</v>
      </c>
      <c r="F203" s="57">
        <v>16.82</v>
      </c>
      <c r="G203" s="79">
        <v>4568</v>
      </c>
      <c r="H203" s="8" t="s">
        <v>297</v>
      </c>
      <c r="I203" s="16" t="s">
        <v>1086</v>
      </c>
      <c r="J203" s="73">
        <v>58.41</v>
      </c>
      <c r="K203" s="73">
        <v>6.63</v>
      </c>
      <c r="L203" s="73">
        <v>5.01</v>
      </c>
      <c r="N203" s="318">
        <f t="shared" si="37"/>
        <v>70.05</v>
      </c>
      <c r="O203" s="81">
        <f>IFERROR(VLOOKUP($G203,'321買'!A:E,3,0),"'沒有資料'")</f>
        <v>0</v>
      </c>
      <c r="P203" s="380">
        <f>IFERROR(VLOOKUP($G203,'321買'!$A:$G,7,0),"'沒有資料'")</f>
        <v>911</v>
      </c>
      <c r="R203" s="297">
        <f>IFERROR(RANK(VLOOKUP($G203,連買!$A:$D,4,0),連買!$D:$D,0),"'沒有資料'")</f>
        <v>483</v>
      </c>
      <c r="S203" s="66">
        <v>4</v>
      </c>
      <c r="T203" s="353">
        <f t="shared" si="38"/>
        <v>5.9347181008902072E-2</v>
      </c>
      <c r="U203" s="57">
        <v>4.93</v>
      </c>
      <c r="V203" s="36">
        <f>RTD("money.excel",,"4568","Price")</f>
        <v>67.400000000000006</v>
      </c>
      <c r="W203" s="66"/>
      <c r="X203" s="15">
        <f t="shared" si="39"/>
        <v>67.400000000000006</v>
      </c>
      <c r="Y203" s="3" t="e">
        <f t="shared" si="40"/>
        <v>#DIV/0!</v>
      </c>
      <c r="Z203" s="413" t="s">
        <v>1997</v>
      </c>
      <c r="AA203" s="161">
        <v>0</v>
      </c>
      <c r="AB203" s="409">
        <v>0</v>
      </c>
      <c r="AC203" s="259">
        <f t="shared" si="43"/>
        <v>0</v>
      </c>
      <c r="AD203" s="16" t="s">
        <v>1086</v>
      </c>
      <c r="AG203" s="33">
        <f t="shared" si="41"/>
        <v>0</v>
      </c>
      <c r="AH203" s="43" t="s">
        <v>2106</v>
      </c>
      <c r="AI203" s="63">
        <f t="shared" si="42"/>
        <v>3.6184210526315791E-4</v>
      </c>
      <c r="AJ203" s="307">
        <f>RTD("money.excel",,$G203,"PredictVolume")</f>
        <v>11</v>
      </c>
      <c r="AK203" s="339"/>
    </row>
    <row r="204" spans="1:37">
      <c r="A204" s="415">
        <v>5.34</v>
      </c>
      <c r="B204" s="79">
        <v>76</v>
      </c>
      <c r="C204" s="79">
        <v>70</v>
      </c>
      <c r="D204" s="79">
        <v>7</v>
      </c>
      <c r="E204" s="80">
        <v>-14</v>
      </c>
      <c r="F204" s="57">
        <v>17.43</v>
      </c>
      <c r="G204" s="79">
        <v>4571</v>
      </c>
      <c r="H204" s="8" t="s">
        <v>297</v>
      </c>
      <c r="I204" s="22" t="s">
        <v>1761</v>
      </c>
      <c r="J204" s="323">
        <v>55.59</v>
      </c>
      <c r="K204" s="73">
        <v>66.77</v>
      </c>
      <c r="L204" s="323">
        <v>5.78</v>
      </c>
      <c r="N204" s="318">
        <f t="shared" si="37"/>
        <v>128.13999999999999</v>
      </c>
      <c r="O204" s="81">
        <f>IFERROR(VLOOKUP($G204,'321買'!A:E,3,0),"'沒有資料'")</f>
        <v>0</v>
      </c>
      <c r="P204" s="380">
        <f>IFERROR(VLOOKUP($G204,'321買'!$A:$G,7,0),"'沒有資料'")</f>
        <v>911</v>
      </c>
      <c r="R204" s="297">
        <f>IFERROR(RANK(VLOOKUP($G204,連買!$A:$D,4,0),連買!$D:$D,0),"'沒有資料'")</f>
        <v>139</v>
      </c>
      <c r="S204" s="66">
        <v>3.6</v>
      </c>
      <c r="T204" s="353">
        <f t="shared" si="38"/>
        <v>3.9911308203991129E-2</v>
      </c>
      <c r="U204" s="57">
        <v>9.1199999999999992</v>
      </c>
      <c r="V204" s="13">
        <f>RTD("money.excel",,"4571","Price")</f>
        <v>90.2</v>
      </c>
      <c r="W204" s="66"/>
      <c r="X204" s="15">
        <f t="shared" si="39"/>
        <v>90.2</v>
      </c>
      <c r="Y204" s="3" t="e">
        <f t="shared" si="40"/>
        <v>#DIV/0!</v>
      </c>
      <c r="Z204" s="413" t="s">
        <v>1997</v>
      </c>
      <c r="AA204" s="161">
        <v>0</v>
      </c>
      <c r="AB204" s="409">
        <v>0</v>
      </c>
      <c r="AC204" s="259">
        <f t="shared" si="43"/>
        <v>0</v>
      </c>
      <c r="AD204" s="22" t="s">
        <v>1761</v>
      </c>
      <c r="AG204" s="33">
        <f t="shared" si="41"/>
        <v>0</v>
      </c>
      <c r="AH204" s="43" t="s">
        <v>2114</v>
      </c>
      <c r="AI204" s="63">
        <f t="shared" si="42"/>
        <v>4.3071161048689136E-4</v>
      </c>
      <c r="AJ204" s="307">
        <f>RTD("money.excel",,$G204,"PredictVolume")</f>
        <v>23</v>
      </c>
      <c r="AK204" s="339"/>
    </row>
    <row r="205" spans="1:37">
      <c r="A205" s="415">
        <v>3.58</v>
      </c>
      <c r="B205" s="80">
        <v>-83</v>
      </c>
      <c r="C205" s="80">
        <v>-80</v>
      </c>
      <c r="D205" s="80">
        <v>-32</v>
      </c>
      <c r="E205" s="80">
        <v>-67</v>
      </c>
      <c r="F205" s="57">
        <v>15.32</v>
      </c>
      <c r="G205" s="79">
        <v>4572</v>
      </c>
      <c r="H205" s="8" t="s">
        <v>297</v>
      </c>
      <c r="I205" s="22" t="s">
        <v>1762</v>
      </c>
      <c r="J205" s="323">
        <v>42.07</v>
      </c>
      <c r="K205" s="73">
        <v>0.42</v>
      </c>
      <c r="L205" s="73">
        <v>3.46</v>
      </c>
      <c r="N205" s="318">
        <f t="shared" si="37"/>
        <v>45.95</v>
      </c>
      <c r="O205" s="81">
        <f>IFERROR(VLOOKUP($G205,'321買'!A:E,3,0),"'沒有資料'")</f>
        <v>1</v>
      </c>
      <c r="P205" s="380">
        <f>IFERROR(VLOOKUP($G205,'321買'!$A:$G,7,0),"'沒有資料'")</f>
        <v>783</v>
      </c>
      <c r="R205" s="297">
        <f>IFERROR(RANK(VLOOKUP($G205,連買!$A:$D,4,0),連買!$D:$D,0),"'沒有資料'")</f>
        <v>227</v>
      </c>
      <c r="S205" s="66">
        <v>5</v>
      </c>
      <c r="T205" s="353">
        <f t="shared" si="38"/>
        <v>4.7619047619047616E-2</v>
      </c>
      <c r="U205" s="95">
        <v>0.92</v>
      </c>
      <c r="V205" s="36">
        <f>RTD("money.excel",,"4572","Price")</f>
        <v>105</v>
      </c>
      <c r="W205" s="66"/>
      <c r="X205" s="15">
        <f t="shared" si="39"/>
        <v>105</v>
      </c>
      <c r="Y205" s="3" t="e">
        <f t="shared" si="40"/>
        <v>#DIV/0!</v>
      </c>
      <c r="Z205" s="413" t="s">
        <v>1831</v>
      </c>
      <c r="AA205" s="161">
        <v>0</v>
      </c>
      <c r="AB205" s="409">
        <v>0</v>
      </c>
      <c r="AC205" s="259">
        <f t="shared" si="43"/>
        <v>0</v>
      </c>
      <c r="AD205" s="22" t="s">
        <v>1762</v>
      </c>
      <c r="AG205" s="33">
        <f t="shared" si="41"/>
        <v>0</v>
      </c>
      <c r="AH205" s="43" t="s">
        <v>2934</v>
      </c>
      <c r="AI205" s="63">
        <f t="shared" si="42"/>
        <v>7.2346368715083802E-3</v>
      </c>
      <c r="AJ205" s="307">
        <f>RTD("money.excel",,$G205,"PredictVolume")</f>
        <v>259</v>
      </c>
      <c r="AK205" s="339"/>
    </row>
    <row r="206" spans="1:37">
      <c r="A206" s="416">
        <v>11.8</v>
      </c>
      <c r="B206" s="79">
        <v>283</v>
      </c>
      <c r="C206" s="79">
        <v>869</v>
      </c>
      <c r="D206" s="79">
        <v>45</v>
      </c>
      <c r="E206" s="79">
        <v>13</v>
      </c>
      <c r="F206" s="6">
        <v>7.68</v>
      </c>
      <c r="G206" s="79">
        <v>4576</v>
      </c>
      <c r="H206" s="8" t="s">
        <v>297</v>
      </c>
      <c r="I206" s="22" t="s">
        <v>1909</v>
      </c>
      <c r="J206" s="73">
        <v>63.15</v>
      </c>
      <c r="K206" s="73">
        <v>3.15</v>
      </c>
      <c r="L206" s="73">
        <v>7.56</v>
      </c>
      <c r="N206" s="318">
        <f t="shared" si="37"/>
        <v>73.86</v>
      </c>
      <c r="O206" s="81">
        <f>IFERROR(VLOOKUP($G206,'321買'!A:E,3,0),"'沒有資料'")</f>
        <v>0</v>
      </c>
      <c r="P206" s="380">
        <f>IFERROR(VLOOKUP($G206,'321買'!$A:$G,7,0),"'沒有資料'")</f>
        <v>911</v>
      </c>
      <c r="R206" s="297">
        <f>IFERROR(RANK(VLOOKUP($G206,連買!$A:$D,4,0),連買!$D:$D,0),"'沒有資料'")</f>
        <v>148</v>
      </c>
      <c r="S206" s="34">
        <v>0.4</v>
      </c>
      <c r="T206" s="353">
        <f t="shared" si="38"/>
        <v>3.7383177570093459E-3</v>
      </c>
      <c r="U206" s="57">
        <v>1.1399999999999999</v>
      </c>
      <c r="V206" s="36">
        <f>RTD("money.excel",,"4576","Price")</f>
        <v>107</v>
      </c>
      <c r="W206" s="66"/>
      <c r="X206" s="15">
        <f t="shared" si="39"/>
        <v>107</v>
      </c>
      <c r="Y206" s="3" t="e">
        <f t="shared" si="40"/>
        <v>#DIV/0!</v>
      </c>
      <c r="Z206" s="413" t="s">
        <v>1801</v>
      </c>
      <c r="AA206" s="161">
        <v>0</v>
      </c>
      <c r="AB206" s="409">
        <v>0</v>
      </c>
      <c r="AC206" s="259">
        <f t="shared" si="43"/>
        <v>0</v>
      </c>
      <c r="AD206" s="22" t="s">
        <v>1909</v>
      </c>
      <c r="AG206" s="33">
        <f t="shared" si="41"/>
        <v>0</v>
      </c>
      <c r="AH206" s="43" t="s">
        <v>2519</v>
      </c>
      <c r="AI206" s="63">
        <f t="shared" si="42"/>
        <v>9.2372881355932209E-4</v>
      </c>
      <c r="AJ206" s="307">
        <f>RTD("money.excel",,$G206,"PredictVolume")</f>
        <v>109</v>
      </c>
      <c r="AK206" s="339"/>
    </row>
    <row r="207" spans="1:37">
      <c r="A207" s="415">
        <v>4.3099999999999996</v>
      </c>
      <c r="B207" s="80">
        <v>-2</v>
      </c>
      <c r="C207" s="80">
        <v>-4</v>
      </c>
      <c r="D207" s="80">
        <v>-16</v>
      </c>
      <c r="E207" s="79">
        <v>19</v>
      </c>
      <c r="F207" s="57">
        <v>19.14</v>
      </c>
      <c r="G207" s="79">
        <v>4580</v>
      </c>
      <c r="H207" s="8" t="s">
        <v>297</v>
      </c>
      <c r="I207" s="16" t="s">
        <v>1866</v>
      </c>
      <c r="J207" s="323">
        <v>46.87</v>
      </c>
      <c r="K207" s="323">
        <v>2.16</v>
      </c>
      <c r="L207" s="73">
        <v>1.42</v>
      </c>
      <c r="M207" s="73">
        <v>12.08</v>
      </c>
      <c r="N207" s="318">
        <f t="shared" si="37"/>
        <v>62.53</v>
      </c>
      <c r="O207" s="81">
        <f>IFERROR(VLOOKUP($G207,'321買'!A:E,3,0),"'沒有資料'")</f>
        <v>0</v>
      </c>
      <c r="P207" s="380">
        <f>IFERROR(VLOOKUP($G207,'321買'!$A:$G,7,0),"'沒有資料'")</f>
        <v>911</v>
      </c>
      <c r="R207" s="297">
        <f>IFERROR(RANK(VLOOKUP($G207,連買!$A:$D,4,0),連買!$D:$D,0),"'沒有資料'")</f>
        <v>121</v>
      </c>
      <c r="S207" s="66"/>
      <c r="T207" s="353">
        <f t="shared" si="38"/>
        <v>0</v>
      </c>
      <c r="U207" s="95">
        <v>7.39</v>
      </c>
      <c r="V207" s="36">
        <f>RTD("money.excel",,"4580","Price")</f>
        <v>88.8</v>
      </c>
      <c r="W207" s="66"/>
      <c r="X207" s="15">
        <f t="shared" si="39"/>
        <v>88.8</v>
      </c>
      <c r="Y207" s="3" t="e">
        <f t="shared" si="40"/>
        <v>#DIV/0!</v>
      </c>
      <c r="Z207" s="413" t="s">
        <v>1997</v>
      </c>
      <c r="AA207" s="161">
        <v>0</v>
      </c>
      <c r="AB207" s="409">
        <v>0</v>
      </c>
      <c r="AC207" s="259">
        <f t="shared" si="43"/>
        <v>0</v>
      </c>
      <c r="AD207" s="16" t="s">
        <v>1866</v>
      </c>
      <c r="AG207" s="33">
        <f t="shared" si="41"/>
        <v>0</v>
      </c>
      <c r="AH207" s="122" t="s">
        <v>1867</v>
      </c>
      <c r="AI207" s="63">
        <f t="shared" si="42"/>
        <v>2.4361948955916478E-3</v>
      </c>
      <c r="AJ207" s="307">
        <f>RTD("money.excel",,$G207,"PredictVolume")</f>
        <v>105</v>
      </c>
      <c r="AK207" s="339">
        <v>2.35</v>
      </c>
    </row>
    <row r="208" spans="1:37">
      <c r="A208" s="416">
        <v>6.58</v>
      </c>
      <c r="B208" s="80">
        <v>-51</v>
      </c>
      <c r="C208" s="80">
        <v>-49</v>
      </c>
      <c r="D208" s="80">
        <v>-6</v>
      </c>
      <c r="E208" s="80">
        <v>-1</v>
      </c>
      <c r="F208" s="6">
        <v>8.6199999999999992</v>
      </c>
      <c r="G208" s="79">
        <v>5288</v>
      </c>
      <c r="H208" s="8" t="s">
        <v>297</v>
      </c>
      <c r="I208" s="22" t="s">
        <v>586</v>
      </c>
      <c r="J208" s="323">
        <v>66.569999999999993</v>
      </c>
      <c r="K208" s="323">
        <v>64.88</v>
      </c>
      <c r="L208" s="323">
        <v>3.91</v>
      </c>
      <c r="N208" s="318">
        <f t="shared" si="37"/>
        <v>135.35999999999999</v>
      </c>
      <c r="O208" s="81">
        <f>IFERROR(VLOOKUP($G208,'321買'!A:E,3,0),"'沒有資料'")</f>
        <v>0</v>
      </c>
      <c r="P208" s="380">
        <f>IFERROR(VLOOKUP($G208,'321買'!$A:$G,7,0),"'沒有資料'")</f>
        <v>911</v>
      </c>
      <c r="R208" s="297">
        <f>IFERROR(RANK(VLOOKUP($G208,連買!$A:$D,4,0),連買!$D:$D,0),"'沒有資料'")</f>
        <v>79</v>
      </c>
      <c r="S208" s="66">
        <v>4</v>
      </c>
      <c r="T208" s="353">
        <f t="shared" si="38"/>
        <v>2.5889967637540454E-2</v>
      </c>
      <c r="U208" s="95">
        <v>8.4</v>
      </c>
      <c r="V208" s="13">
        <f>RTD("money.excel",,"5288","Price")</f>
        <v>154.5</v>
      </c>
      <c r="W208" s="66"/>
      <c r="X208" s="15">
        <f t="shared" si="39"/>
        <v>154.5</v>
      </c>
      <c r="Y208" s="3" t="e">
        <f t="shared" si="40"/>
        <v>#DIV/0!</v>
      </c>
      <c r="Z208" s="413" t="s">
        <v>1831</v>
      </c>
      <c r="AA208" s="161">
        <v>0</v>
      </c>
      <c r="AB208" s="409">
        <v>0</v>
      </c>
      <c r="AC208" s="259">
        <f t="shared" si="43"/>
        <v>0</v>
      </c>
      <c r="AD208" s="22" t="s">
        <v>586</v>
      </c>
      <c r="AG208" s="33">
        <f t="shared" si="41"/>
        <v>0</v>
      </c>
      <c r="AH208" s="43" t="s">
        <v>2935</v>
      </c>
      <c r="AI208" s="63">
        <f t="shared" si="42"/>
        <v>9.11854103343465E-4</v>
      </c>
      <c r="AJ208" s="307">
        <f>RTD("money.excel",,$G208,"PredictVolume")</f>
        <v>60</v>
      </c>
      <c r="AK208" s="339"/>
    </row>
    <row r="209" spans="1:37">
      <c r="A209" s="416">
        <v>7.08</v>
      </c>
      <c r="B209" s="80">
        <v>-90</v>
      </c>
      <c r="C209" s="80">
        <v>-29</v>
      </c>
      <c r="D209" s="79">
        <v>69</v>
      </c>
      <c r="E209" s="80">
        <v>-45</v>
      </c>
      <c r="F209" s="6">
        <v>1.73</v>
      </c>
      <c r="G209" s="79">
        <v>6122</v>
      </c>
      <c r="H209" s="8" t="s">
        <v>297</v>
      </c>
      <c r="I209" s="16" t="s">
        <v>550</v>
      </c>
      <c r="J209" s="73">
        <v>23.66</v>
      </c>
      <c r="K209" s="73">
        <v>0.94</v>
      </c>
      <c r="L209" s="73">
        <v>13.4</v>
      </c>
      <c r="N209" s="318">
        <f t="shared" si="37"/>
        <v>38</v>
      </c>
      <c r="O209" s="81">
        <f>IFERROR(VLOOKUP($G209,'321買'!A:E,3,0),"'沒有資料'")</f>
        <v>3</v>
      </c>
      <c r="P209" s="380">
        <f>IFERROR(VLOOKUP($G209,'321買'!$A:$G,7,0),"'沒有資料'")</f>
        <v>592</v>
      </c>
      <c r="R209" s="297">
        <f>IFERROR(RANK(VLOOKUP($G209,連買!$A:$D,4,0),連買!$D:$D,0),"'沒有資料'")</f>
        <v>1211</v>
      </c>
      <c r="S209" s="34">
        <v>0.3</v>
      </c>
      <c r="T209" s="353">
        <f t="shared" si="38"/>
        <v>1.643835616438356E-2</v>
      </c>
      <c r="U209" s="95">
        <v>0.23</v>
      </c>
      <c r="V209" s="36">
        <f>RTD("money.excel",,"6122","Price")</f>
        <v>18.25</v>
      </c>
      <c r="W209" s="66"/>
      <c r="X209" s="15">
        <f t="shared" si="39"/>
        <v>18.25</v>
      </c>
      <c r="Y209" s="3" t="e">
        <f t="shared" si="40"/>
        <v>#DIV/0!</v>
      </c>
      <c r="AA209" s="161">
        <v>0</v>
      </c>
      <c r="AB209" s="409">
        <v>0</v>
      </c>
      <c r="AC209" s="259">
        <f t="shared" si="43"/>
        <v>0</v>
      </c>
      <c r="AD209" s="16" t="s">
        <v>550</v>
      </c>
      <c r="AG209" s="33">
        <f t="shared" si="41"/>
        <v>0</v>
      </c>
      <c r="AH209" s="43" t="s">
        <v>2677</v>
      </c>
      <c r="AI209" s="63">
        <f t="shared" si="42"/>
        <v>7.1638418079096045E-2</v>
      </c>
      <c r="AJ209" s="307">
        <f>RTD("money.excel",,$G209,"PredictVolume")</f>
        <v>5072</v>
      </c>
      <c r="AK209" s="339"/>
    </row>
    <row r="210" spans="1:37">
      <c r="A210" s="416">
        <v>4.3600000000000003</v>
      </c>
      <c r="B210" s="79">
        <v>69</v>
      </c>
      <c r="C210" s="79">
        <v>72</v>
      </c>
      <c r="D210" s="79">
        <v>55</v>
      </c>
      <c r="E210" s="79">
        <v>20</v>
      </c>
      <c r="F210" s="6">
        <v>-2.91</v>
      </c>
      <c r="G210" s="79">
        <v>6425</v>
      </c>
      <c r="H210" s="8" t="s">
        <v>297</v>
      </c>
      <c r="I210" s="16" t="s">
        <v>3181</v>
      </c>
      <c r="J210" s="323">
        <v>44.65</v>
      </c>
      <c r="K210" s="73">
        <v>0.97</v>
      </c>
      <c r="L210" s="73">
        <v>9.57</v>
      </c>
      <c r="N210" s="318">
        <f t="shared" si="37"/>
        <v>55.19</v>
      </c>
      <c r="O210" s="81">
        <f>IFERROR(VLOOKUP($G210,'321買'!A:E,3,0),"'沒有資料'")</f>
        <v>3</v>
      </c>
      <c r="P210" s="380">
        <f>IFERROR(VLOOKUP($G210,'321買'!$A:$G,7,0),"'沒有資料'")</f>
        <v>636</v>
      </c>
      <c r="R210" s="297">
        <f>IFERROR(RANK(VLOOKUP($G210,連買!$A:$D,4,0),連買!$D:$D,0),"'沒有資料'")</f>
        <v>1214</v>
      </c>
      <c r="S210" s="34">
        <v>0.5</v>
      </c>
      <c r="T210" s="353">
        <f t="shared" si="38"/>
        <v>2.0920502092050212E-2</v>
      </c>
      <c r="U210" s="95">
        <v>-1.01</v>
      </c>
      <c r="V210" s="36">
        <f>RTD("money.excel",,"6425","Price")</f>
        <v>23.9</v>
      </c>
      <c r="W210" s="66"/>
      <c r="X210" s="15">
        <f t="shared" si="39"/>
        <v>23.9</v>
      </c>
      <c r="Y210" s="3" t="e">
        <f t="shared" si="40"/>
        <v>#DIV/0!</v>
      </c>
      <c r="AA210" s="161">
        <v>0</v>
      </c>
      <c r="AB210" s="409">
        <v>0</v>
      </c>
      <c r="AC210" s="259">
        <f t="shared" si="43"/>
        <v>0</v>
      </c>
      <c r="AD210" s="16" t="s">
        <v>3181</v>
      </c>
      <c r="AG210" s="33">
        <f t="shared" si="41"/>
        <v>0</v>
      </c>
      <c r="AH210" s="43" t="s">
        <v>3478</v>
      </c>
      <c r="AI210" s="63">
        <f t="shared" si="42"/>
        <v>1.0412844036697247E-2</v>
      </c>
      <c r="AJ210" s="307">
        <f>RTD("money.excel",,$G210,"PredictVolume")</f>
        <v>454</v>
      </c>
      <c r="AK210" s="339"/>
    </row>
    <row r="211" spans="1:37">
      <c r="A211" s="416">
        <v>14.8</v>
      </c>
      <c r="B211" s="80">
        <v>-720</v>
      </c>
      <c r="C211" s="80">
        <v>-162</v>
      </c>
      <c r="D211" s="80">
        <v>-1</v>
      </c>
      <c r="E211" s="79">
        <v>117</v>
      </c>
      <c r="F211" s="6">
        <v>-1.99</v>
      </c>
      <c r="G211" s="79">
        <v>6603</v>
      </c>
      <c r="H211" s="8" t="s">
        <v>297</v>
      </c>
      <c r="I211" s="16" t="s">
        <v>551</v>
      </c>
      <c r="J211" s="323">
        <v>42.54</v>
      </c>
      <c r="K211" s="73">
        <v>0.6</v>
      </c>
      <c r="L211" s="323">
        <v>13.79</v>
      </c>
      <c r="N211" s="318">
        <f t="shared" si="37"/>
        <v>56.93</v>
      </c>
      <c r="O211" s="81">
        <f>IFERROR(VLOOKUP($G211,'321買'!A:E,3,0),"'沒有資料'")</f>
        <v>22</v>
      </c>
      <c r="P211" s="380">
        <f>IFERROR(VLOOKUP($G211,'321買'!$A:$G,7,0),"'沒有資料'")</f>
        <v>222</v>
      </c>
      <c r="R211" s="297">
        <f>IFERROR(RANK(VLOOKUP($G211,連買!$A:$D,4,0),連買!$D:$D,0),"'沒有資料'")</f>
        <v>1056</v>
      </c>
      <c r="S211" s="34">
        <v>0.1</v>
      </c>
      <c r="T211" s="353">
        <f t="shared" si="38"/>
        <v>5.6022408963585435E-3</v>
      </c>
      <c r="U211" s="95">
        <v>0.08</v>
      </c>
      <c r="V211" s="36">
        <f>RTD("money.excel",,"6603","Price")</f>
        <v>17.850000000000001</v>
      </c>
      <c r="W211" s="66"/>
      <c r="X211" s="15">
        <f t="shared" si="39"/>
        <v>17.850000000000001</v>
      </c>
      <c r="Y211" s="3" t="e">
        <f t="shared" si="40"/>
        <v>#DIV/0!</v>
      </c>
      <c r="Z211" s="413" t="s">
        <v>1801</v>
      </c>
      <c r="AA211" s="161">
        <v>0</v>
      </c>
      <c r="AB211" s="409">
        <v>0</v>
      </c>
      <c r="AC211" s="259">
        <f t="shared" si="43"/>
        <v>0</v>
      </c>
      <c r="AD211" s="16" t="s">
        <v>551</v>
      </c>
      <c r="AG211" s="33">
        <f t="shared" si="41"/>
        <v>0</v>
      </c>
      <c r="AH211" s="43" t="s">
        <v>2676</v>
      </c>
      <c r="AI211" s="63">
        <f t="shared" si="42"/>
        <v>5.925675675675676E-3</v>
      </c>
      <c r="AJ211" s="307">
        <f>RTD("money.excel",,$G211,"PredictVolume")</f>
        <v>877</v>
      </c>
      <c r="AK211" s="339"/>
    </row>
    <row r="212" spans="1:37">
      <c r="A212" s="416">
        <v>7.25</v>
      </c>
      <c r="B212" s="80">
        <v>-97</v>
      </c>
      <c r="C212" s="80">
        <v>-72</v>
      </c>
      <c r="D212" s="80">
        <v>-3</v>
      </c>
      <c r="E212" s="79">
        <v>2</v>
      </c>
      <c r="F212" s="6">
        <v>2.77</v>
      </c>
      <c r="G212" s="79">
        <v>6609</v>
      </c>
      <c r="H212" s="8" t="s">
        <v>297</v>
      </c>
      <c r="I212" s="16" t="s">
        <v>552</v>
      </c>
      <c r="J212" s="323">
        <v>55.97</v>
      </c>
      <c r="K212" s="323">
        <v>52.53</v>
      </c>
      <c r="L212" s="323">
        <v>1.61</v>
      </c>
      <c r="N212" s="318">
        <f t="shared" si="37"/>
        <v>110.11</v>
      </c>
      <c r="O212" s="81">
        <f>IFERROR(VLOOKUP($G212,'321買'!A:E,3,0),"'沒有資料'")</f>
        <v>0</v>
      </c>
      <c r="P212" s="380">
        <f>IFERROR(VLOOKUP($G212,'321買'!$A:$G,7,0),"'沒有資料'")</f>
        <v>911</v>
      </c>
      <c r="R212" s="297">
        <f>IFERROR(RANK(VLOOKUP($G212,連買!$A:$D,4,0),連買!$D:$D,0),"'沒有資料'")</f>
        <v>655</v>
      </c>
      <c r="S212" s="34">
        <v>0.8</v>
      </c>
      <c r="T212" s="353">
        <f t="shared" si="38"/>
        <v>2.4279210925644917E-2</v>
      </c>
      <c r="U212" s="57">
        <v>0.27</v>
      </c>
      <c r="V212" s="13">
        <f>RTD("money.excel",,"6609","Price")</f>
        <v>32.950000000000003</v>
      </c>
      <c r="W212" s="66"/>
      <c r="X212" s="15">
        <f t="shared" si="39"/>
        <v>32.950000000000003</v>
      </c>
      <c r="Y212" s="3" t="e">
        <f t="shared" si="40"/>
        <v>#DIV/0!</v>
      </c>
      <c r="Z212" s="413" t="s">
        <v>1801</v>
      </c>
      <c r="AA212" s="161">
        <v>0</v>
      </c>
      <c r="AB212" s="409">
        <v>0</v>
      </c>
      <c r="AC212" s="259">
        <f t="shared" si="43"/>
        <v>0</v>
      </c>
      <c r="AD212" s="16" t="s">
        <v>552</v>
      </c>
      <c r="AG212" s="33">
        <f t="shared" si="41"/>
        <v>0</v>
      </c>
      <c r="AH212" s="43" t="s">
        <v>3109</v>
      </c>
      <c r="AI212" s="63">
        <f t="shared" si="42"/>
        <v>1.4620689655172414E-3</v>
      </c>
      <c r="AJ212" s="307">
        <f>RTD("money.excel",,$G212,"PredictVolume")</f>
        <v>106</v>
      </c>
      <c r="AK212" s="339"/>
    </row>
    <row r="213" spans="1:37">
      <c r="A213" s="415">
        <v>5.92</v>
      </c>
      <c r="B213" s="234">
        <v>32360</v>
      </c>
      <c r="C213" s="234">
        <v>40163</v>
      </c>
      <c r="D213" s="79">
        <v>10</v>
      </c>
      <c r="E213" s="79">
        <v>137</v>
      </c>
      <c r="F213" s="57">
        <v>18.260000000000002</v>
      </c>
      <c r="G213" s="79">
        <v>6829</v>
      </c>
      <c r="H213" s="8" t="s">
        <v>297</v>
      </c>
      <c r="I213" s="16" t="s">
        <v>5150</v>
      </c>
      <c r="J213" s="323">
        <v>69.3</v>
      </c>
      <c r="K213" s="323">
        <v>1.36</v>
      </c>
      <c r="L213" s="323"/>
      <c r="M213" s="73">
        <v>71.290000000000006</v>
      </c>
      <c r="N213" s="73">
        <f t="shared" si="37"/>
        <v>141.94999999999999</v>
      </c>
      <c r="O213" s="81" t="str">
        <f>IFERROR(VLOOKUP($G213,'321買'!A:E,3,0),"'沒有資料'")</f>
        <v>'沒有資料'</v>
      </c>
      <c r="P213" s="380" t="str">
        <f>IFERROR(VLOOKUP($G213,'321買'!$A:$G,7,0),"'沒有資料'")</f>
        <v>'沒有資料'</v>
      </c>
      <c r="R213" s="297">
        <f>IFERROR(RANK(VLOOKUP($G213,連買!$A:$D,4,0),連買!$D:$D,0),"'沒有資料'")</f>
        <v>1408</v>
      </c>
      <c r="S213" s="66">
        <v>4</v>
      </c>
      <c r="T213" s="353">
        <f t="shared" si="38"/>
        <v>5.2015604681404419E-2</v>
      </c>
      <c r="U213" s="57" t="s">
        <v>3500</v>
      </c>
      <c r="V213" s="36">
        <f>RTD("money.excel",,"6829","Price")</f>
        <v>76.900000000000006</v>
      </c>
      <c r="W213" s="66"/>
      <c r="X213" s="15">
        <f>V213-W213</f>
        <v>76.900000000000006</v>
      </c>
      <c r="Y213" s="3" t="e">
        <f>X213/W213</f>
        <v>#DIV/0!</v>
      </c>
      <c r="Z213" s="413" t="s">
        <v>1997</v>
      </c>
      <c r="AA213" s="161">
        <v>0</v>
      </c>
      <c r="AB213" s="409">
        <v>0</v>
      </c>
      <c r="AC213" s="259">
        <f t="shared" si="43"/>
        <v>0</v>
      </c>
      <c r="AD213" s="16" t="s">
        <v>5150</v>
      </c>
      <c r="AG213" s="33">
        <f>AF213-AE213</f>
        <v>0</v>
      </c>
      <c r="AH213" s="126" t="s">
        <v>5157</v>
      </c>
      <c r="AI213" s="63">
        <f t="shared" si="42"/>
        <v>9.4594594594594593E-4</v>
      </c>
      <c r="AJ213" s="307">
        <f>RTD("money.excel",,$G213,"PredictVolume")</f>
        <v>56</v>
      </c>
      <c r="AK213" s="339"/>
    </row>
    <row r="214" spans="1:37">
      <c r="A214" s="415">
        <v>10</v>
      </c>
      <c r="B214" s="79">
        <v>278</v>
      </c>
      <c r="C214" s="79">
        <v>332</v>
      </c>
      <c r="D214" s="80">
        <v>-19</v>
      </c>
      <c r="E214" s="79">
        <v>0</v>
      </c>
      <c r="F214" s="57">
        <v>14.53</v>
      </c>
      <c r="G214" s="79">
        <v>8027</v>
      </c>
      <c r="H214" s="8" t="s">
        <v>297</v>
      </c>
      <c r="I214" s="16" t="s">
        <v>553</v>
      </c>
      <c r="J214" s="323">
        <v>26.29</v>
      </c>
      <c r="K214" s="73">
        <v>5.89</v>
      </c>
      <c r="L214" s="323">
        <v>45.4</v>
      </c>
      <c r="N214" s="318">
        <f t="shared" si="37"/>
        <v>77.58</v>
      </c>
      <c r="O214" s="81">
        <f>IFERROR(VLOOKUP($G214,'321買'!A:E,3,0),"'沒有資料'")</f>
        <v>8</v>
      </c>
      <c r="P214" s="380">
        <f>IFERROR(VLOOKUP($G214,'321買'!$A:$G,7,0),"'沒有資料'")</f>
        <v>448</v>
      </c>
      <c r="R214" s="297">
        <f>IFERROR(RANK(VLOOKUP($G214,連買!$A:$D,4,0),連買!$D:$D,0),"'沒有資料'")</f>
        <v>274</v>
      </c>
      <c r="S214" s="34">
        <v>1.19</v>
      </c>
      <c r="T214" s="353">
        <f t="shared" si="38"/>
        <v>1.627906976744186E-2</v>
      </c>
      <c r="U214" s="95">
        <v>3.18</v>
      </c>
      <c r="V214" s="36">
        <f>RTD("money.excel",,"8027","Price")</f>
        <v>73.099999999999994</v>
      </c>
      <c r="W214" s="66"/>
      <c r="X214" s="15">
        <f t="shared" si="39"/>
        <v>73.099999999999994</v>
      </c>
      <c r="Y214" s="3" t="e">
        <f t="shared" si="40"/>
        <v>#DIV/0!</v>
      </c>
      <c r="Z214" s="413" t="s">
        <v>1801</v>
      </c>
      <c r="AA214" s="161">
        <v>0</v>
      </c>
      <c r="AB214" s="409">
        <v>0</v>
      </c>
      <c r="AC214" s="259">
        <f t="shared" si="43"/>
        <v>0</v>
      </c>
      <c r="AD214" s="16" t="s">
        <v>553</v>
      </c>
      <c r="AG214" s="33">
        <f t="shared" si="41"/>
        <v>0</v>
      </c>
      <c r="AH214" s="43" t="s">
        <v>3077</v>
      </c>
      <c r="AI214" s="63">
        <f t="shared" si="42"/>
        <v>4.5500000000000002E-3</v>
      </c>
      <c r="AJ214" s="307">
        <f>RTD("money.excel",,$G214,"PredictVolume")</f>
        <v>455</v>
      </c>
      <c r="AK214" s="339"/>
    </row>
    <row r="215" spans="1:37">
      <c r="A215" s="415">
        <v>3.51</v>
      </c>
      <c r="B215" s="79">
        <v>4</v>
      </c>
      <c r="C215" s="79">
        <v>16</v>
      </c>
      <c r="D215" s="80">
        <v>-13</v>
      </c>
      <c r="E215" s="79">
        <v>41</v>
      </c>
      <c r="F215" s="57">
        <v>27.4</v>
      </c>
      <c r="G215" s="79">
        <v>8083</v>
      </c>
      <c r="H215" s="149" t="s">
        <v>297</v>
      </c>
      <c r="I215" s="16" t="s">
        <v>161</v>
      </c>
      <c r="J215" s="73">
        <v>39.770000000000003</v>
      </c>
      <c r="K215" s="323">
        <v>0.94</v>
      </c>
      <c r="L215" s="323">
        <v>1.1599999999999999</v>
      </c>
      <c r="N215" s="318">
        <f t="shared" si="37"/>
        <v>41.87</v>
      </c>
      <c r="O215" s="81">
        <f>IFERROR(VLOOKUP($G215,'321買'!A:E,3,0),"'沒有資料'")</f>
        <v>0</v>
      </c>
      <c r="P215" s="380">
        <f>IFERROR(VLOOKUP($G215,'321買'!$A:$G,7,0),"'沒有資料'")</f>
        <v>911</v>
      </c>
      <c r="R215" s="297">
        <f>IFERROR(RANK(VLOOKUP($G215,連買!$A:$D,4,0),連買!$D:$D,0),"'沒有資料'")</f>
        <v>1652</v>
      </c>
      <c r="S215" s="66">
        <v>10</v>
      </c>
      <c r="T215" s="353">
        <f t="shared" si="38"/>
        <v>5.6022408963585436E-2</v>
      </c>
      <c r="U215" s="95">
        <v>11.1</v>
      </c>
      <c r="V215" s="36">
        <f>RTD("money.excel",,"8083","Price")</f>
        <v>178.5</v>
      </c>
      <c r="W215" s="66"/>
      <c r="X215" s="15">
        <f t="shared" si="39"/>
        <v>178.5</v>
      </c>
      <c r="Y215" s="3" t="e">
        <f t="shared" si="40"/>
        <v>#DIV/0!</v>
      </c>
      <c r="Z215" s="413" t="s">
        <v>1831</v>
      </c>
      <c r="AA215" s="161">
        <v>0</v>
      </c>
      <c r="AB215" s="409">
        <v>0</v>
      </c>
      <c r="AC215" s="259">
        <f t="shared" si="43"/>
        <v>0</v>
      </c>
      <c r="AD215" s="16" t="s">
        <v>161</v>
      </c>
      <c r="AG215" s="33">
        <f t="shared" si="41"/>
        <v>0</v>
      </c>
      <c r="AH215" s="120" t="s">
        <v>2675</v>
      </c>
      <c r="AI215" s="63">
        <f t="shared" si="42"/>
        <v>7.407407407407407E-4</v>
      </c>
      <c r="AJ215" s="307">
        <f>RTD("money.excel",,$G215,"PredictVolume")</f>
        <v>26</v>
      </c>
      <c r="AK215" s="339"/>
    </row>
    <row r="216" spans="1:37">
      <c r="A216" s="416">
        <v>7.5</v>
      </c>
      <c r="B216" s="91">
        <v>-117</v>
      </c>
      <c r="C216" s="91">
        <v>-266</v>
      </c>
      <c r="D216" s="91">
        <v>-12</v>
      </c>
      <c r="E216" s="91">
        <v>51</v>
      </c>
      <c r="F216" s="6">
        <v>-12.41</v>
      </c>
      <c r="G216" s="79">
        <v>8107</v>
      </c>
      <c r="H216" s="8" t="s">
        <v>297</v>
      </c>
      <c r="I216" s="16" t="s">
        <v>3391</v>
      </c>
      <c r="J216" s="323">
        <v>53.89</v>
      </c>
      <c r="K216" s="73">
        <v>1.89</v>
      </c>
      <c r="L216" s="323">
        <v>23.58</v>
      </c>
      <c r="N216" s="318">
        <f t="shared" si="37"/>
        <v>79.36</v>
      </c>
      <c r="O216" s="81">
        <f>IFERROR(VLOOKUP($G216,'321買'!A:E,3,0),"'沒有資料'")</f>
        <v>0</v>
      </c>
      <c r="P216" s="380">
        <f>IFERROR(VLOOKUP($G216,'321買'!$A:$G,7,0),"'沒有資料'")</f>
        <v>911</v>
      </c>
      <c r="R216" s="297">
        <f>IFERROR(RANK(VLOOKUP($G216,連買!$A:$D,4,0),連買!$D:$D,0),"'沒有資料'")</f>
        <v>809</v>
      </c>
      <c r="S216" s="34">
        <v>7.0000000000000007E-2</v>
      </c>
      <c r="T216" s="353">
        <f t="shared" si="38"/>
        <v>3.6745406824146985E-3</v>
      </c>
      <c r="U216" s="95">
        <v>0.06</v>
      </c>
      <c r="V216" s="13">
        <f>RTD("money.excel",,"8107","Price")</f>
        <v>19.05</v>
      </c>
      <c r="W216" s="66"/>
      <c r="X216" s="15">
        <f t="shared" si="39"/>
        <v>19.05</v>
      </c>
      <c r="Y216" s="3" t="e">
        <f t="shared" si="40"/>
        <v>#DIV/0!</v>
      </c>
      <c r="AA216" s="161">
        <v>0</v>
      </c>
      <c r="AB216" s="409">
        <v>0</v>
      </c>
      <c r="AC216" s="259">
        <f t="shared" si="43"/>
        <v>0</v>
      </c>
      <c r="AD216" s="16" t="s">
        <v>3391</v>
      </c>
      <c r="AG216" s="33">
        <f t="shared" si="41"/>
        <v>0</v>
      </c>
      <c r="AH216" s="43" t="s">
        <v>2674</v>
      </c>
      <c r="AI216" s="63">
        <f t="shared" si="42"/>
        <v>1.5333333333333334E-3</v>
      </c>
      <c r="AJ216" s="307">
        <f>RTD("money.excel",,$G216,"PredictVolume")</f>
        <v>115</v>
      </c>
      <c r="AK216" s="339"/>
    </row>
    <row r="217" spans="1:37">
      <c r="A217" s="416">
        <v>6.86</v>
      </c>
      <c r="B217" s="91">
        <v>-134</v>
      </c>
      <c r="C217" s="91">
        <v>-190</v>
      </c>
      <c r="D217" s="91">
        <v>55</v>
      </c>
      <c r="E217" s="91">
        <v>-63</v>
      </c>
      <c r="F217" s="6">
        <v>-9.52</v>
      </c>
      <c r="G217" s="79">
        <v>8222</v>
      </c>
      <c r="H217" s="8" t="s">
        <v>297</v>
      </c>
      <c r="I217" s="22" t="s">
        <v>587</v>
      </c>
      <c r="J217" s="73">
        <v>44.79</v>
      </c>
      <c r="K217" s="73">
        <v>0.31</v>
      </c>
      <c r="L217" s="73">
        <v>6.92</v>
      </c>
      <c r="N217" s="318">
        <f t="shared" si="37"/>
        <v>52.02</v>
      </c>
      <c r="O217" s="81">
        <f>IFERROR(VLOOKUP($G217,'321買'!A:E,3,0),"'沒有資料'")</f>
        <v>5</v>
      </c>
      <c r="P217" s="380">
        <f>IFERROR(VLOOKUP($G217,'321買'!$A:$G,7,0),"'沒有資料'")</f>
        <v>558</v>
      </c>
      <c r="R217" s="297">
        <f>IFERROR(RANK(VLOOKUP($G217,連買!$A:$D,4,0),連買!$D:$D,0),"'沒有資料'")</f>
        <v>1006</v>
      </c>
      <c r="S217" s="34">
        <v>0</v>
      </c>
      <c r="T217" s="353">
        <f t="shared" si="38"/>
        <v>0</v>
      </c>
      <c r="U217" s="95">
        <v>-0.57999999999999996</v>
      </c>
      <c r="V217" s="36">
        <f>RTD("money.excel",,"8222","Price")</f>
        <v>15.15</v>
      </c>
      <c r="W217" s="66"/>
      <c r="X217" s="15">
        <f t="shared" si="39"/>
        <v>15.15</v>
      </c>
      <c r="Y217" s="3" t="e">
        <f t="shared" si="40"/>
        <v>#DIV/0!</v>
      </c>
      <c r="AA217" s="161">
        <v>0</v>
      </c>
      <c r="AB217" s="409">
        <v>0</v>
      </c>
      <c r="AC217" s="259">
        <f t="shared" si="43"/>
        <v>0</v>
      </c>
      <c r="AD217" s="22" t="s">
        <v>587</v>
      </c>
      <c r="AG217" s="33">
        <f t="shared" si="41"/>
        <v>0</v>
      </c>
      <c r="AH217" s="43" t="s">
        <v>2936</v>
      </c>
      <c r="AI217" s="63">
        <f t="shared" si="42"/>
        <v>2.6180758017492711E-2</v>
      </c>
      <c r="AJ217" s="307">
        <f>RTD("money.excel",,$G217,"PredictVolume")</f>
        <v>1796</v>
      </c>
      <c r="AK217" s="339"/>
    </row>
    <row r="218" spans="1:37">
      <c r="A218" s="415">
        <v>9.15</v>
      </c>
      <c r="B218" s="79">
        <v>164</v>
      </c>
      <c r="C218" s="79">
        <v>92</v>
      </c>
      <c r="D218" s="80">
        <v>-9</v>
      </c>
      <c r="E218" s="79">
        <v>14</v>
      </c>
      <c r="F218" s="57">
        <v>11.14</v>
      </c>
      <c r="G218" s="79">
        <v>8255</v>
      </c>
      <c r="H218" s="8" t="s">
        <v>297</v>
      </c>
      <c r="I218" s="16" t="s">
        <v>3899</v>
      </c>
      <c r="J218" s="73">
        <v>46.26</v>
      </c>
      <c r="K218" s="73">
        <v>15.63</v>
      </c>
      <c r="L218" s="323">
        <v>15.89</v>
      </c>
      <c r="M218" s="323">
        <v>38.869999999999997</v>
      </c>
      <c r="N218" s="318">
        <f t="shared" si="37"/>
        <v>116.65</v>
      </c>
      <c r="O218" s="81">
        <f>IFERROR(VLOOKUP($G218,'321買'!A:E,3,0),"'沒有資料'")</f>
        <v>76</v>
      </c>
      <c r="P218" s="380">
        <f>IFERROR(VLOOKUP($G218,'321買'!$A:$G,7,0),"'沒有資料'")</f>
        <v>25</v>
      </c>
      <c r="Q218" s="245" t="s">
        <v>5088</v>
      </c>
      <c r="R218" s="297">
        <f>IFERROR(RANK(VLOOKUP($G218,連買!$A:$D,4,0),連買!$D:$D,0),"'沒有資料'")</f>
        <v>58</v>
      </c>
      <c r="S218" s="66">
        <v>4</v>
      </c>
      <c r="T218" s="353">
        <f t="shared" si="38"/>
        <v>1.8518518518518517E-2</v>
      </c>
      <c r="U218" s="95">
        <v>5.25</v>
      </c>
      <c r="V218" s="36">
        <f>RTD("money.excel",,"8255","Price")</f>
        <v>216</v>
      </c>
      <c r="W218" s="66"/>
      <c r="X218" s="15">
        <f t="shared" si="39"/>
        <v>216</v>
      </c>
      <c r="Y218" s="3" t="e">
        <f t="shared" si="40"/>
        <v>#DIV/0!</v>
      </c>
      <c r="Z218" s="413" t="s">
        <v>1997</v>
      </c>
      <c r="AA218" s="161">
        <v>0</v>
      </c>
      <c r="AB218" s="409">
        <v>0</v>
      </c>
      <c r="AC218" s="259">
        <f t="shared" si="43"/>
        <v>0</v>
      </c>
      <c r="AD218" s="16" t="s">
        <v>3899</v>
      </c>
      <c r="AG218" s="33">
        <f t="shared" si="41"/>
        <v>0</v>
      </c>
      <c r="AH218" s="120" t="s">
        <v>2524</v>
      </c>
      <c r="AI218" s="63">
        <f t="shared" si="42"/>
        <v>4.0765027322404368E-3</v>
      </c>
      <c r="AJ218" s="307">
        <f>RTD("money.excel",,$G218,"PredictVolume")</f>
        <v>373</v>
      </c>
      <c r="AK218" s="339">
        <v>24.06</v>
      </c>
    </row>
    <row r="219" spans="1:37">
      <c r="A219" s="416">
        <v>11.2</v>
      </c>
      <c r="B219" s="91">
        <v>289</v>
      </c>
      <c r="C219" s="91">
        <v>451</v>
      </c>
      <c r="D219" s="91">
        <v>19</v>
      </c>
      <c r="E219" s="91">
        <v>91</v>
      </c>
      <c r="F219" s="6">
        <v>6.7</v>
      </c>
      <c r="G219" s="79">
        <v>8374</v>
      </c>
      <c r="H219" s="8" t="s">
        <v>297</v>
      </c>
      <c r="I219" s="22" t="s">
        <v>588</v>
      </c>
      <c r="J219" s="73">
        <v>54.02</v>
      </c>
      <c r="K219" s="73">
        <v>4.4000000000000004</v>
      </c>
      <c r="L219" s="73">
        <v>10.24</v>
      </c>
      <c r="N219" s="318">
        <f t="shared" si="37"/>
        <v>68.66</v>
      </c>
      <c r="O219" s="81">
        <f>IFERROR(VLOOKUP($G219,'321買'!A:E,3,0),"'沒有資料'")</f>
        <v>0</v>
      </c>
      <c r="P219" s="380">
        <f>IFERROR(VLOOKUP($G219,'321買'!$A:$G,7,0),"'沒有資料'")</f>
        <v>911</v>
      </c>
      <c r="R219" s="297">
        <f>IFERROR(RANK(VLOOKUP($G219,連買!$A:$D,4,0),連買!$D:$D,0),"'沒有資料'")</f>
        <v>546</v>
      </c>
      <c r="S219" s="34">
        <v>0.3</v>
      </c>
      <c r="T219" s="353">
        <f t="shared" si="38"/>
        <v>9.9502487562189053E-3</v>
      </c>
      <c r="U219" s="95">
        <v>0.78</v>
      </c>
      <c r="V219" s="13">
        <f>RTD("money.excel",,"8374","Price")</f>
        <v>30.15</v>
      </c>
      <c r="W219" s="66"/>
      <c r="X219" s="15">
        <f t="shared" si="39"/>
        <v>30.15</v>
      </c>
      <c r="Y219" s="3" t="e">
        <f t="shared" si="40"/>
        <v>#DIV/0!</v>
      </c>
      <c r="AA219" s="161">
        <v>0</v>
      </c>
      <c r="AB219" s="409">
        <v>0</v>
      </c>
      <c r="AC219" s="259">
        <f t="shared" si="43"/>
        <v>0</v>
      </c>
      <c r="AD219" s="22" t="s">
        <v>588</v>
      </c>
      <c r="AG219" s="33">
        <f t="shared" si="41"/>
        <v>0</v>
      </c>
      <c r="AH219" s="43" t="s">
        <v>2937</v>
      </c>
      <c r="AI219" s="63">
        <f t="shared" si="42"/>
        <v>2.4107142857142857E-4</v>
      </c>
      <c r="AJ219" s="307">
        <f>RTD("money.excel",,$G219,"PredictVolume")</f>
        <v>27</v>
      </c>
      <c r="AK219" s="339"/>
    </row>
    <row r="220" spans="1:37">
      <c r="A220" s="416">
        <v>8.94</v>
      </c>
      <c r="B220" s="79">
        <v>8</v>
      </c>
      <c r="C220" s="80">
        <v>-5</v>
      </c>
      <c r="D220" s="80">
        <v>-15</v>
      </c>
      <c r="E220" s="80">
        <v>-26</v>
      </c>
      <c r="F220" s="6">
        <v>8.02</v>
      </c>
      <c r="G220" s="79">
        <v>8996</v>
      </c>
      <c r="H220" s="8" t="s">
        <v>297</v>
      </c>
      <c r="I220" s="22" t="s">
        <v>589</v>
      </c>
      <c r="J220" s="323">
        <v>43.55</v>
      </c>
      <c r="K220" s="323">
        <v>3.57</v>
      </c>
      <c r="L220" s="323">
        <v>36.659999999999997</v>
      </c>
      <c r="N220" s="318">
        <f t="shared" si="37"/>
        <v>83.78</v>
      </c>
      <c r="O220" s="81">
        <f>IFERROR(VLOOKUP($G220,'321買'!A:E,3,0),"'沒有資料'")</f>
        <v>15</v>
      </c>
      <c r="P220" s="380">
        <f>IFERROR(VLOOKUP($G220,'321買'!$A:$G,7,0),"'沒有資料'")</f>
        <v>273</v>
      </c>
      <c r="R220" s="297">
        <f>IFERROR(RANK(VLOOKUP($G220,連買!$A:$D,4,0),連買!$D:$D,0),"'沒有資料'")</f>
        <v>374</v>
      </c>
      <c r="S220" s="34">
        <v>1.7</v>
      </c>
      <c r="T220" s="353">
        <f t="shared" si="38"/>
        <v>2.9982363315696647E-2</v>
      </c>
      <c r="U220" s="95">
        <v>1.26</v>
      </c>
      <c r="V220" s="36">
        <f>RTD("money.excel",,"8996","Price")</f>
        <v>56.7</v>
      </c>
      <c r="W220" s="66"/>
      <c r="X220" s="15">
        <f t="shared" si="39"/>
        <v>56.7</v>
      </c>
      <c r="Y220" s="3" t="e">
        <f t="shared" si="40"/>
        <v>#DIV/0!</v>
      </c>
      <c r="Z220" s="413" t="s">
        <v>1801</v>
      </c>
      <c r="AA220" s="161">
        <v>0</v>
      </c>
      <c r="AB220" s="409">
        <v>0</v>
      </c>
      <c r="AC220" s="259">
        <f t="shared" si="43"/>
        <v>0</v>
      </c>
      <c r="AD220" s="22" t="s">
        <v>589</v>
      </c>
      <c r="AG220" s="33">
        <f t="shared" si="41"/>
        <v>0</v>
      </c>
      <c r="AH220" s="43" t="s">
        <v>3282</v>
      </c>
      <c r="AI220" s="63">
        <f t="shared" si="42"/>
        <v>1.5961968680089485E-2</v>
      </c>
      <c r="AJ220" s="307">
        <f>RTD("money.excel",,$G220,"PredictVolume")</f>
        <v>1427</v>
      </c>
      <c r="AK220" s="339"/>
    </row>
    <row r="221" spans="1:37">
      <c r="A221" s="416">
        <v>7.49</v>
      </c>
      <c r="B221" s="80">
        <v>-27</v>
      </c>
      <c r="C221" s="80">
        <v>-36</v>
      </c>
      <c r="D221" s="80">
        <v>-28</v>
      </c>
      <c r="E221" s="79">
        <v>9</v>
      </c>
      <c r="F221" s="6">
        <v>9.76</v>
      </c>
      <c r="G221" s="79">
        <v>9951</v>
      </c>
      <c r="H221" s="8" t="s">
        <v>297</v>
      </c>
      <c r="I221" s="16" t="s">
        <v>224</v>
      </c>
      <c r="J221" s="73">
        <v>43.6</v>
      </c>
      <c r="K221" s="73">
        <v>9.99</v>
      </c>
      <c r="L221" s="73">
        <v>12.62</v>
      </c>
      <c r="N221" s="318">
        <f t="shared" si="37"/>
        <v>66.210000000000008</v>
      </c>
      <c r="O221" s="81">
        <f>IFERROR(VLOOKUP($G221,'321買'!A:E,3,0),"'沒有資料'")</f>
        <v>2</v>
      </c>
      <c r="P221" s="380">
        <f>IFERROR(VLOOKUP($G221,'321買'!$A:$G,7,0),"'沒有資料'")</f>
        <v>706</v>
      </c>
      <c r="R221" s="297">
        <f>IFERROR(RANK(VLOOKUP($G221,連買!$A:$D,4,0),連買!$D:$D,0),"'沒有資料'")</f>
        <v>1666</v>
      </c>
      <c r="S221" s="66">
        <v>4.7</v>
      </c>
      <c r="T221" s="353">
        <f t="shared" si="38"/>
        <v>6.5459610027855164E-2</v>
      </c>
      <c r="U221" s="95">
        <v>6.69</v>
      </c>
      <c r="V221" s="36">
        <f>RTD("money.excel",,"9951","Price")</f>
        <v>71.8</v>
      </c>
      <c r="W221" s="66"/>
      <c r="X221" s="15">
        <f t="shared" si="39"/>
        <v>71.8</v>
      </c>
      <c r="Y221" s="3" t="e">
        <f t="shared" si="40"/>
        <v>#DIV/0!</v>
      </c>
      <c r="Z221" s="413" t="s">
        <v>1997</v>
      </c>
      <c r="AA221" s="161">
        <v>0</v>
      </c>
      <c r="AB221" s="409">
        <v>0</v>
      </c>
      <c r="AC221" s="259">
        <f t="shared" si="43"/>
        <v>0</v>
      </c>
      <c r="AD221" s="16" t="s">
        <v>224</v>
      </c>
      <c r="AG221" s="33">
        <f t="shared" si="41"/>
        <v>0</v>
      </c>
      <c r="AH221" s="120" t="s">
        <v>2726</v>
      </c>
      <c r="AI221" s="63">
        <f t="shared" si="42"/>
        <v>5.3404539385847798E-4</v>
      </c>
      <c r="AJ221" s="307">
        <f>RTD("money.excel",,$G221,"PredictVolume")</f>
        <v>40</v>
      </c>
      <c r="AK221" s="339"/>
    </row>
    <row r="222" spans="1:37">
      <c r="A222" s="146"/>
      <c r="B222" s="80"/>
      <c r="C222" s="80"/>
      <c r="D222" s="80"/>
      <c r="E222" s="79"/>
      <c r="F222" s="6"/>
      <c r="G222" s="79"/>
      <c r="H222" s="8"/>
      <c r="I222" s="16"/>
      <c r="J222" s="73"/>
      <c r="K222" s="73"/>
      <c r="N222" s="318"/>
      <c r="O222" s="26"/>
      <c r="S222" s="66"/>
      <c r="U222" s="95"/>
      <c r="V222" s="36"/>
      <c r="W222" s="66"/>
      <c r="X222" s="15"/>
      <c r="Y222" s="3"/>
      <c r="AA222" s="2"/>
      <c r="AD222" s="16"/>
      <c r="AG222" s="33"/>
      <c r="AH222" s="120"/>
      <c r="AI222" s="63"/>
      <c r="AJ222" s="307"/>
      <c r="AK222" s="339"/>
    </row>
    <row r="223" spans="1:37">
      <c r="A223" s="130" t="s">
        <v>1732</v>
      </c>
      <c r="B223" s="91" t="s">
        <v>1588</v>
      </c>
      <c r="C223" s="91" t="s">
        <v>1589</v>
      </c>
      <c r="D223" s="91" t="s">
        <v>1590</v>
      </c>
      <c r="E223" s="91" t="s">
        <v>1591</v>
      </c>
      <c r="F223" s="8" t="s">
        <v>1066</v>
      </c>
      <c r="G223" s="27" t="s">
        <v>947</v>
      </c>
      <c r="H223" s="55" t="s">
        <v>322</v>
      </c>
      <c r="I223" s="50" t="s">
        <v>3758</v>
      </c>
      <c r="J223" s="317" t="s">
        <v>1467</v>
      </c>
      <c r="K223" s="317" t="s">
        <v>1157</v>
      </c>
      <c r="L223" s="317" t="s">
        <v>284</v>
      </c>
      <c r="M223" s="317" t="s">
        <v>1059</v>
      </c>
      <c r="N223" s="317" t="s">
        <v>5048</v>
      </c>
      <c r="O223" s="26" t="s">
        <v>5107</v>
      </c>
      <c r="P223" s="373" t="s">
        <v>5059</v>
      </c>
      <c r="Q223" s="245" t="s">
        <v>5087</v>
      </c>
      <c r="R223" s="345" t="s">
        <v>5059</v>
      </c>
      <c r="S223" s="10" t="s">
        <v>66</v>
      </c>
      <c r="T223" s="351" t="s">
        <v>5076</v>
      </c>
      <c r="U223" s="68" t="s">
        <v>3493</v>
      </c>
      <c r="V223" s="28" t="s">
        <v>2</v>
      </c>
      <c r="W223" s="17" t="s">
        <v>1405</v>
      </c>
      <c r="X223" s="14" t="s">
        <v>5</v>
      </c>
      <c r="Y223" s="21" t="s">
        <v>3</v>
      </c>
      <c r="Z223" s="97" t="s">
        <v>6627</v>
      </c>
      <c r="AA223" s="406" t="s">
        <v>8647</v>
      </c>
      <c r="AB223" s="407" t="s">
        <v>8648</v>
      </c>
      <c r="AC223" s="408" t="s">
        <v>8649</v>
      </c>
      <c r="AD223" s="50" t="s">
        <v>3758</v>
      </c>
      <c r="AE223" s="71" t="s">
        <v>1406</v>
      </c>
      <c r="AF223" s="72" t="s">
        <v>1163</v>
      </c>
      <c r="AG223" s="32" t="s">
        <v>1164</v>
      </c>
      <c r="AH223" s="25" t="s">
        <v>8650</v>
      </c>
      <c r="AI223" s="8" t="s">
        <v>3852</v>
      </c>
      <c r="AJ223" s="50" t="s">
        <v>3586</v>
      </c>
      <c r="AK223" s="339" t="s">
        <v>5038</v>
      </c>
    </row>
    <row r="224" spans="1:37">
      <c r="A224" s="416">
        <v>19.100000000000001</v>
      </c>
      <c r="B224" s="79">
        <v>3</v>
      </c>
      <c r="C224" s="80">
        <v>-6</v>
      </c>
      <c r="D224" s="80">
        <v>-1</v>
      </c>
      <c r="E224" s="80">
        <v>-52</v>
      </c>
      <c r="F224" s="6">
        <v>6.51</v>
      </c>
      <c r="G224" s="79">
        <v>1603</v>
      </c>
      <c r="H224" s="8" t="s">
        <v>3758</v>
      </c>
      <c r="I224" s="22" t="s">
        <v>950</v>
      </c>
      <c r="J224" s="73">
        <v>85.23</v>
      </c>
      <c r="K224" s="73">
        <v>1.62</v>
      </c>
      <c r="L224" s="73">
        <v>5.43</v>
      </c>
      <c r="N224" s="318">
        <f>J224+K224+L224+M224</f>
        <v>92.28</v>
      </c>
      <c r="O224" s="81">
        <f>IFERROR(VLOOKUP($G224,'321買'!A:E,3,0),"'沒有資料'")</f>
        <v>1</v>
      </c>
      <c r="P224" s="380">
        <f>IFERROR(VLOOKUP($G224,'321買'!$A:$G,7,0),"'沒有資料'")</f>
        <v>783</v>
      </c>
      <c r="R224" s="297">
        <f>IFERROR(RANK(VLOOKUP($G224,連買!$A:$D,4,0),連買!$D:$D,0),"'沒有資料'")</f>
        <v>717</v>
      </c>
      <c r="S224" s="34">
        <v>0.5</v>
      </c>
      <c r="T224" s="353">
        <f t="shared" ref="T224:T240" si="44">S224/V224</f>
        <v>1.7452006980802792E-2</v>
      </c>
      <c r="U224" s="95">
        <v>2.0499999999999998</v>
      </c>
      <c r="V224" s="36">
        <f>RTD("money.excel",,"1603","Price")</f>
        <v>28.65</v>
      </c>
      <c r="W224" s="66"/>
      <c r="X224" s="15">
        <f t="shared" ref="X224:X240" si="45">V224-W224</f>
        <v>28.65</v>
      </c>
      <c r="Y224" s="3" t="e">
        <f t="shared" ref="Y224:Y240" si="46">X224/W224</f>
        <v>#DIV/0!</v>
      </c>
      <c r="Z224" s="413" t="s">
        <v>1801</v>
      </c>
      <c r="AA224" s="161">
        <v>0</v>
      </c>
      <c r="AB224" s="409">
        <v>0</v>
      </c>
      <c r="AC224" s="259">
        <f t="shared" si="43"/>
        <v>0</v>
      </c>
      <c r="AD224" s="22" t="s">
        <v>950</v>
      </c>
      <c r="AG224" s="33">
        <f t="shared" ref="AG224:AG240" si="47">AF224-AE224</f>
        <v>0</v>
      </c>
      <c r="AH224" s="43" t="s">
        <v>2981</v>
      </c>
      <c r="AI224" s="63">
        <f t="shared" ref="AI224:AI240" si="48">AJ224/(A224*10000)</f>
        <v>6.5968586387434556E-4</v>
      </c>
      <c r="AJ224" s="307">
        <f>RTD("money.excel",,$G224,"PredictVolume")</f>
        <v>126</v>
      </c>
      <c r="AK224" s="339"/>
    </row>
    <row r="225" spans="1:37">
      <c r="A225" s="416">
        <v>38.700000000000003</v>
      </c>
      <c r="B225" s="79">
        <v>35</v>
      </c>
      <c r="C225" s="79">
        <v>51</v>
      </c>
      <c r="D225" s="80">
        <v>-3</v>
      </c>
      <c r="E225" s="79">
        <v>14</v>
      </c>
      <c r="F225" s="6">
        <v>8.9600000000000009</v>
      </c>
      <c r="G225" s="79">
        <v>1604</v>
      </c>
      <c r="H225" s="8" t="s">
        <v>3758</v>
      </c>
      <c r="I225" s="22" t="s">
        <v>951</v>
      </c>
      <c r="J225" s="73">
        <v>51.5</v>
      </c>
      <c r="K225" s="73">
        <v>10.69</v>
      </c>
      <c r="L225" s="73">
        <v>0.98</v>
      </c>
      <c r="N225" s="318">
        <f t="shared" ref="N225:N240" si="49">J225+K225+L225+M225</f>
        <v>63.169999999999995</v>
      </c>
      <c r="O225" s="81">
        <f>IFERROR(VLOOKUP($G225,'321買'!A:E,3,0),"'沒有資料'")</f>
        <v>0</v>
      </c>
      <c r="P225" s="380">
        <f>IFERROR(VLOOKUP($G225,'321買'!$A:$G,7,0),"'沒有資料'")</f>
        <v>911</v>
      </c>
      <c r="R225" s="297">
        <f>IFERROR(RANK(VLOOKUP($G225,連買!$A:$D,4,0),連買!$D:$D,0),"'沒有資料'")</f>
        <v>591</v>
      </c>
      <c r="S225" s="34">
        <v>2.5</v>
      </c>
      <c r="T225" s="353">
        <f t="shared" si="44"/>
        <v>7.7639751552795025E-2</v>
      </c>
      <c r="U225" s="95">
        <v>5.12</v>
      </c>
      <c r="V225" s="36">
        <f>RTD("money.excel",,"1604","Price")</f>
        <v>32.200000000000003</v>
      </c>
      <c r="W225" s="66"/>
      <c r="X225" s="15">
        <f t="shared" si="45"/>
        <v>32.200000000000003</v>
      </c>
      <c r="Y225" s="3" t="e">
        <f t="shared" si="46"/>
        <v>#DIV/0!</v>
      </c>
      <c r="Z225" s="413" t="s">
        <v>1801</v>
      </c>
      <c r="AA225" s="161">
        <v>0</v>
      </c>
      <c r="AB225" s="409">
        <v>0</v>
      </c>
      <c r="AC225" s="259">
        <f t="shared" si="43"/>
        <v>0</v>
      </c>
      <c r="AD225" s="22" t="s">
        <v>951</v>
      </c>
      <c r="AG225" s="33">
        <f t="shared" si="47"/>
        <v>0</v>
      </c>
      <c r="AH225" s="43" t="s">
        <v>2982</v>
      </c>
      <c r="AI225" s="63">
        <f t="shared" si="48"/>
        <v>2.2506459948320413E-3</v>
      </c>
      <c r="AJ225" s="307">
        <f>RTD("money.excel",,$G225,"PredictVolume")</f>
        <v>871</v>
      </c>
      <c r="AK225" s="339"/>
    </row>
    <row r="226" spans="1:37">
      <c r="A226" s="416">
        <v>343</v>
      </c>
      <c r="B226" s="79">
        <v>95</v>
      </c>
      <c r="C226" s="79">
        <v>161</v>
      </c>
      <c r="D226" s="80">
        <v>-1</v>
      </c>
      <c r="E226" s="80">
        <v>6</v>
      </c>
      <c r="F226" s="6">
        <v>6.07</v>
      </c>
      <c r="G226" s="79">
        <v>1605</v>
      </c>
      <c r="H226" s="204" t="s">
        <v>3758</v>
      </c>
      <c r="I226" s="22" t="s">
        <v>3900</v>
      </c>
      <c r="J226" s="73">
        <v>72.709999999999994</v>
      </c>
      <c r="K226" s="73">
        <v>28.99</v>
      </c>
      <c r="L226" s="73">
        <v>5.01</v>
      </c>
      <c r="N226" s="318">
        <f t="shared" si="49"/>
        <v>106.71</v>
      </c>
      <c r="O226" s="81">
        <f>IFERROR(VLOOKUP($G226,'321買'!A:E,3,0),"'沒有資料'")</f>
        <v>1</v>
      </c>
      <c r="P226" s="380">
        <f>IFERROR(VLOOKUP($G226,'321買'!$A:$G,7,0),"'沒有資料'")</f>
        <v>783</v>
      </c>
      <c r="R226" s="297">
        <f>IFERROR(RANK(VLOOKUP($G226,連買!$A:$D,4,0),連買!$D:$D,0),"'沒有資料'")</f>
        <v>618</v>
      </c>
      <c r="S226" s="34">
        <v>0.9</v>
      </c>
      <c r="T226" s="353">
        <f t="shared" si="44"/>
        <v>2.4193548387096774E-2</v>
      </c>
      <c r="U226" s="95">
        <v>2.04</v>
      </c>
      <c r="V226" s="36">
        <f>RTD("money.excel",,"1605","Price")</f>
        <v>37.200000000000003</v>
      </c>
      <c r="W226" s="66"/>
      <c r="X226" s="15">
        <f t="shared" si="45"/>
        <v>37.200000000000003</v>
      </c>
      <c r="Y226" s="3" t="e">
        <f t="shared" si="46"/>
        <v>#DIV/0!</v>
      </c>
      <c r="Z226" s="413" t="s">
        <v>1801</v>
      </c>
      <c r="AA226" s="161">
        <v>0</v>
      </c>
      <c r="AB226" s="409">
        <v>0</v>
      </c>
      <c r="AC226" s="259">
        <f t="shared" si="43"/>
        <v>0</v>
      </c>
      <c r="AD226" s="22" t="s">
        <v>3900</v>
      </c>
      <c r="AG226" s="33">
        <f t="shared" si="47"/>
        <v>0</v>
      </c>
      <c r="AH226" s="120" t="s">
        <v>2468</v>
      </c>
      <c r="AI226" s="63">
        <f t="shared" si="48"/>
        <v>8.3954227405247814E-2</v>
      </c>
      <c r="AJ226" s="307">
        <f>RTD("money.excel",,$G226,"PredictVolume")</f>
        <v>287963</v>
      </c>
      <c r="AK226" s="339"/>
    </row>
    <row r="227" spans="1:37">
      <c r="A227" s="416">
        <v>63.2</v>
      </c>
      <c r="B227" s="79">
        <v>359</v>
      </c>
      <c r="C227" s="79">
        <v>958</v>
      </c>
      <c r="D227" s="80">
        <v>-10</v>
      </c>
      <c r="E227" s="79">
        <v>41</v>
      </c>
      <c r="F227" s="6">
        <v>8.4499999999999993</v>
      </c>
      <c r="G227" s="79">
        <v>1608</v>
      </c>
      <c r="H227" s="8" t="s">
        <v>3758</v>
      </c>
      <c r="I227" s="22" t="s">
        <v>952</v>
      </c>
      <c r="J227" s="73">
        <v>62.09</v>
      </c>
      <c r="K227" s="323">
        <v>2.85</v>
      </c>
      <c r="L227" s="323">
        <v>8.6199999999999992</v>
      </c>
      <c r="N227" s="318">
        <f t="shared" si="49"/>
        <v>73.56</v>
      </c>
      <c r="O227" s="81">
        <f>IFERROR(VLOOKUP($G227,'321買'!A:E,3,0),"'沒有資料'")</f>
        <v>10</v>
      </c>
      <c r="P227" s="380">
        <f>IFERROR(VLOOKUP($G227,'321買'!$A:$G,7,0),"'沒有資料'")</f>
        <v>408</v>
      </c>
      <c r="R227" s="297">
        <f>IFERROR(RANK(VLOOKUP($G227,連買!$A:$D,4,0),連買!$D:$D,0),"'沒有資料'")</f>
        <v>729</v>
      </c>
      <c r="S227" s="34">
        <v>0.7</v>
      </c>
      <c r="T227" s="353">
        <f t="shared" si="44"/>
        <v>3.0172413793103446E-2</v>
      </c>
      <c r="U227" s="57">
        <v>3.84</v>
      </c>
      <c r="V227" s="36">
        <f>RTD("money.excel",,"1608","Price")</f>
        <v>23.2</v>
      </c>
      <c r="W227" s="66"/>
      <c r="X227" s="15">
        <f t="shared" si="45"/>
        <v>23.2</v>
      </c>
      <c r="Y227" s="3" t="e">
        <f t="shared" si="46"/>
        <v>#DIV/0!</v>
      </c>
      <c r="Z227" s="413" t="s">
        <v>1801</v>
      </c>
      <c r="AA227" s="161">
        <v>0</v>
      </c>
      <c r="AB227" s="409">
        <v>0</v>
      </c>
      <c r="AC227" s="259">
        <f t="shared" si="43"/>
        <v>0</v>
      </c>
      <c r="AD227" s="22" t="s">
        <v>952</v>
      </c>
      <c r="AG227" s="33">
        <f t="shared" si="47"/>
        <v>0</v>
      </c>
      <c r="AH227" s="43" t="s">
        <v>2983</v>
      </c>
      <c r="AI227" s="63">
        <f t="shared" si="48"/>
        <v>9.5537974683544309E-3</v>
      </c>
      <c r="AJ227" s="307">
        <f>RTD("money.excel",,$G227,"PredictVolume")</f>
        <v>6038</v>
      </c>
      <c r="AK227" s="339"/>
    </row>
    <row r="228" spans="1:37">
      <c r="A228" s="416">
        <v>64.5</v>
      </c>
      <c r="B228" s="79">
        <v>32</v>
      </c>
      <c r="C228" s="79">
        <v>363</v>
      </c>
      <c r="D228" s="80">
        <v>-4</v>
      </c>
      <c r="E228" s="79">
        <v>46</v>
      </c>
      <c r="F228" s="6">
        <v>5.61</v>
      </c>
      <c r="G228" s="79">
        <v>1609</v>
      </c>
      <c r="H228" s="8" t="s">
        <v>3758</v>
      </c>
      <c r="I228" s="22" t="s">
        <v>953</v>
      </c>
      <c r="J228" s="73">
        <v>29.1</v>
      </c>
      <c r="K228" s="323">
        <v>7.62</v>
      </c>
      <c r="L228" s="323">
        <v>12.72</v>
      </c>
      <c r="N228" s="318">
        <f t="shared" si="49"/>
        <v>49.44</v>
      </c>
      <c r="O228" s="81">
        <f>IFERROR(VLOOKUP($G228,'321買'!A:E,3,0),"'沒有資料'")</f>
        <v>20</v>
      </c>
      <c r="P228" s="380">
        <f>IFERROR(VLOOKUP($G228,'321買'!$A:$G,7,0),"'沒有資料'")</f>
        <v>233</v>
      </c>
      <c r="Q228" s="245" t="s">
        <v>3815</v>
      </c>
      <c r="R228" s="297">
        <f>IFERROR(RANK(VLOOKUP($G228,連買!$A:$D,4,0),連買!$D:$D,0),"'沒有資料'")</f>
        <v>900</v>
      </c>
      <c r="S228" s="34">
        <v>0.7</v>
      </c>
      <c r="T228" s="353">
        <f t="shared" si="44"/>
        <v>2.3217247097844111E-2</v>
      </c>
      <c r="U228" s="95">
        <v>1.74</v>
      </c>
      <c r="V228" s="36">
        <f>RTD("money.excel",,"1609","Price")</f>
        <v>30.15</v>
      </c>
      <c r="W228" s="66"/>
      <c r="X228" s="15">
        <f t="shared" si="45"/>
        <v>30.15</v>
      </c>
      <c r="Y228" s="3" t="e">
        <f t="shared" si="46"/>
        <v>#DIV/0!</v>
      </c>
      <c r="Z228" s="413" t="s">
        <v>1801</v>
      </c>
      <c r="AA228" s="161">
        <v>0</v>
      </c>
      <c r="AB228" s="409">
        <v>0</v>
      </c>
      <c r="AC228" s="259">
        <f t="shared" si="43"/>
        <v>0</v>
      </c>
      <c r="AD228" s="22" t="s">
        <v>953</v>
      </c>
      <c r="AG228" s="33">
        <f t="shared" si="47"/>
        <v>0</v>
      </c>
      <c r="AH228" s="43" t="s">
        <v>2984</v>
      </c>
      <c r="AI228" s="63">
        <f t="shared" si="48"/>
        <v>5.3117829457364339E-2</v>
      </c>
      <c r="AJ228" s="307">
        <f>RTD("money.excel",,$G228,"PredictVolume")</f>
        <v>34261</v>
      </c>
      <c r="AK228" s="339"/>
    </row>
    <row r="229" spans="1:37">
      <c r="A229" s="416">
        <v>32.200000000000003</v>
      </c>
      <c r="B229" s="91">
        <v>197</v>
      </c>
      <c r="C229" s="91">
        <v>3</v>
      </c>
      <c r="D229" s="91">
        <v>5</v>
      </c>
      <c r="E229" s="91">
        <v>5</v>
      </c>
      <c r="F229" s="6">
        <v>5.37</v>
      </c>
      <c r="G229" s="79">
        <v>1611</v>
      </c>
      <c r="H229" s="8" t="s">
        <v>3758</v>
      </c>
      <c r="I229" s="22" t="s">
        <v>106</v>
      </c>
      <c r="J229" s="73">
        <v>67.55</v>
      </c>
      <c r="K229" s="73">
        <v>11.46</v>
      </c>
      <c r="L229" s="73">
        <v>5.16</v>
      </c>
      <c r="N229" s="318">
        <f t="shared" si="49"/>
        <v>84.169999999999987</v>
      </c>
      <c r="O229" s="81">
        <f>IFERROR(VLOOKUP($G229,'321買'!A:E,3,0),"'沒有資料'")</f>
        <v>10</v>
      </c>
      <c r="P229" s="380">
        <f>IFERROR(VLOOKUP($G229,'321買'!$A:$G,7,0),"'沒有資料'")</f>
        <v>433</v>
      </c>
      <c r="R229" s="297">
        <f>IFERROR(RANK(VLOOKUP($G229,連買!$A:$D,4,0),連買!$D:$D,0),"'沒有資料'")</f>
        <v>893</v>
      </c>
      <c r="S229" s="34">
        <v>0.3</v>
      </c>
      <c r="T229" s="353">
        <f t="shared" si="44"/>
        <v>1.5873015873015872E-2</v>
      </c>
      <c r="U229" s="95">
        <v>0.23</v>
      </c>
      <c r="V229" s="13">
        <f>RTD("money.excel",,"1611","Price")</f>
        <v>18.899999999999999</v>
      </c>
      <c r="W229" s="66"/>
      <c r="X229" s="15">
        <f t="shared" si="45"/>
        <v>18.899999999999999</v>
      </c>
      <c r="Y229" s="3" t="e">
        <f t="shared" si="46"/>
        <v>#DIV/0!</v>
      </c>
      <c r="AA229" s="161">
        <v>0</v>
      </c>
      <c r="AB229" s="409">
        <v>0</v>
      </c>
      <c r="AC229" s="259">
        <f t="shared" si="43"/>
        <v>0</v>
      </c>
      <c r="AD229" s="22" t="s">
        <v>106</v>
      </c>
      <c r="AG229" s="33">
        <f t="shared" si="47"/>
        <v>0</v>
      </c>
      <c r="AH229" s="43" t="s">
        <v>2985</v>
      </c>
      <c r="AI229" s="63">
        <f t="shared" si="48"/>
        <v>1.2282608695652173E-2</v>
      </c>
      <c r="AJ229" s="307">
        <f>RTD("money.excel",,$G229,"PredictVolume")</f>
        <v>3955</v>
      </c>
      <c r="AK229" s="339"/>
    </row>
    <row r="230" spans="1:37">
      <c r="A230" s="415">
        <v>31.6</v>
      </c>
      <c r="B230" s="79">
        <v>245</v>
      </c>
      <c r="C230" s="79">
        <v>95</v>
      </c>
      <c r="D230" s="80">
        <v>-9</v>
      </c>
      <c r="E230" s="79">
        <v>63</v>
      </c>
      <c r="F230" s="57">
        <v>10.35</v>
      </c>
      <c r="G230" s="79">
        <v>1612</v>
      </c>
      <c r="H230" s="8" t="s">
        <v>3758</v>
      </c>
      <c r="I230" s="22" t="s">
        <v>954</v>
      </c>
      <c r="J230" s="73">
        <v>52.34</v>
      </c>
      <c r="K230" s="73">
        <v>10.9</v>
      </c>
      <c r="L230" s="323">
        <v>5.86</v>
      </c>
      <c r="N230" s="318">
        <f t="shared" si="49"/>
        <v>69.100000000000009</v>
      </c>
      <c r="O230" s="81">
        <f>IFERROR(VLOOKUP($G230,'321買'!A:E,3,0),"'沒有資料'")</f>
        <v>11</v>
      </c>
      <c r="P230" s="380">
        <f>IFERROR(VLOOKUP($G230,'321買'!$A:$G,7,0),"'沒有資料'")</f>
        <v>408</v>
      </c>
      <c r="R230" s="297">
        <f>IFERROR(RANK(VLOOKUP($G230,連買!$A:$D,4,0),連買!$D:$D,0),"'沒有資料'")</f>
        <v>731</v>
      </c>
      <c r="S230" s="34">
        <v>1.2</v>
      </c>
      <c r="T230" s="353">
        <f t="shared" si="44"/>
        <v>3.896103896103896E-2</v>
      </c>
      <c r="U230" s="57">
        <v>2.44</v>
      </c>
      <c r="V230" s="36">
        <f>RTD("money.excel",,"1612","Price")</f>
        <v>30.8</v>
      </c>
      <c r="W230" s="66"/>
      <c r="X230" s="15">
        <f t="shared" si="45"/>
        <v>30.8</v>
      </c>
      <c r="Y230" s="3" t="e">
        <f t="shared" si="46"/>
        <v>#DIV/0!</v>
      </c>
      <c r="Z230" s="413" t="s">
        <v>1801</v>
      </c>
      <c r="AA230" s="161">
        <v>0</v>
      </c>
      <c r="AB230" s="409">
        <v>0</v>
      </c>
      <c r="AC230" s="259">
        <f t="shared" si="43"/>
        <v>0</v>
      </c>
      <c r="AD230" s="22" t="s">
        <v>954</v>
      </c>
      <c r="AG230" s="33">
        <f t="shared" si="47"/>
        <v>0</v>
      </c>
      <c r="AH230" s="43" t="s">
        <v>1050</v>
      </c>
      <c r="AI230" s="63">
        <f t="shared" si="48"/>
        <v>1.1322784810126583E-2</v>
      </c>
      <c r="AJ230" s="307">
        <f>RTD("money.excel",,$G230,"PredictVolume")</f>
        <v>3578</v>
      </c>
      <c r="AK230" s="339"/>
    </row>
    <row r="231" spans="1:37">
      <c r="A231" s="416">
        <v>26.9</v>
      </c>
      <c r="B231" s="79">
        <v>60</v>
      </c>
      <c r="C231" s="79">
        <v>69</v>
      </c>
      <c r="D231" s="79">
        <v>12</v>
      </c>
      <c r="E231" s="79">
        <v>20</v>
      </c>
      <c r="F231" s="6">
        <v>6.43</v>
      </c>
      <c r="G231" s="79">
        <v>1614</v>
      </c>
      <c r="H231" s="8" t="s">
        <v>3758</v>
      </c>
      <c r="I231" s="22" t="s">
        <v>955</v>
      </c>
      <c r="J231" s="73">
        <v>82.32</v>
      </c>
      <c r="K231" s="73">
        <v>2.11</v>
      </c>
      <c r="L231" s="73">
        <v>1.02</v>
      </c>
      <c r="N231" s="318">
        <f t="shared" si="49"/>
        <v>85.449999999999989</v>
      </c>
      <c r="O231" s="81">
        <f>IFERROR(VLOOKUP($G231,'321買'!A:E,3,0),"'沒有資料'")</f>
        <v>0</v>
      </c>
      <c r="P231" s="380">
        <f>IFERROR(VLOOKUP($G231,'321買'!$A:$G,7,0),"'沒有資料'")</f>
        <v>911</v>
      </c>
      <c r="R231" s="297">
        <f>IFERROR(RANK(VLOOKUP($G231,連買!$A:$D,4,0),連買!$D:$D,0),"'沒有資料'")</f>
        <v>542</v>
      </c>
      <c r="S231" s="34">
        <v>0.95</v>
      </c>
      <c r="T231" s="353">
        <f t="shared" si="44"/>
        <v>2.5099075297225888E-2</v>
      </c>
      <c r="U231" s="95">
        <v>1.36</v>
      </c>
      <c r="V231" s="36">
        <f>RTD("money.excel",,"1614","Price")</f>
        <v>37.85</v>
      </c>
      <c r="W231" s="66"/>
      <c r="X231" s="15">
        <f t="shared" si="45"/>
        <v>37.85</v>
      </c>
      <c r="Y231" s="3" t="e">
        <f t="shared" si="46"/>
        <v>#DIV/0!</v>
      </c>
      <c r="Z231" s="413" t="s">
        <v>1801</v>
      </c>
      <c r="AA231" s="161">
        <v>0</v>
      </c>
      <c r="AB231" s="409">
        <v>0</v>
      </c>
      <c r="AC231" s="259">
        <f t="shared" si="43"/>
        <v>0</v>
      </c>
      <c r="AD231" s="22" t="s">
        <v>955</v>
      </c>
      <c r="AG231" s="33">
        <f t="shared" si="47"/>
        <v>0</v>
      </c>
      <c r="AH231" s="43" t="s">
        <v>2982</v>
      </c>
      <c r="AI231" s="63">
        <f t="shared" si="48"/>
        <v>8.5501858736059482E-5</v>
      </c>
      <c r="AJ231" s="307">
        <f>RTD("money.excel",,$G231,"PredictVolume")</f>
        <v>23</v>
      </c>
      <c r="AK231" s="339"/>
    </row>
    <row r="232" spans="1:37">
      <c r="A232" s="416">
        <v>12.3</v>
      </c>
      <c r="B232" s="91">
        <v>44</v>
      </c>
      <c r="C232" s="91">
        <v>51</v>
      </c>
      <c r="D232" s="91">
        <v>-26</v>
      </c>
      <c r="E232" s="91">
        <v>48</v>
      </c>
      <c r="F232" s="57">
        <v>11.39</v>
      </c>
      <c r="G232" s="79">
        <v>1615</v>
      </c>
      <c r="H232" s="8" t="s">
        <v>3758</v>
      </c>
      <c r="I232" s="22" t="s">
        <v>956</v>
      </c>
      <c r="J232" s="73">
        <v>81.81</v>
      </c>
      <c r="K232" s="73">
        <v>0.09</v>
      </c>
      <c r="L232" s="73">
        <v>3.43</v>
      </c>
      <c r="N232" s="318">
        <f t="shared" si="49"/>
        <v>85.330000000000013</v>
      </c>
      <c r="O232" s="81">
        <f>IFERROR(VLOOKUP($G232,'321買'!A:E,3,0),"'沒有資料'")</f>
        <v>0</v>
      </c>
      <c r="P232" s="380">
        <f>IFERROR(VLOOKUP($G232,'321買'!$A:$G,7,0),"'沒有資料'")</f>
        <v>911</v>
      </c>
      <c r="R232" s="297">
        <f>IFERROR(RANK(VLOOKUP($G232,連買!$A:$D,4,0),連買!$D:$D,0),"'沒有資料'")</f>
        <v>581</v>
      </c>
      <c r="S232" s="34">
        <v>2</v>
      </c>
      <c r="T232" s="353">
        <f t="shared" si="44"/>
        <v>5.6497175141242938E-2</v>
      </c>
      <c r="U232" s="95">
        <v>2.73</v>
      </c>
      <c r="V232" s="13">
        <f>RTD("money.excel",,"1615","Price")</f>
        <v>35.4</v>
      </c>
      <c r="W232" s="66"/>
      <c r="X232" s="15">
        <f t="shared" si="45"/>
        <v>35.4</v>
      </c>
      <c r="Y232" s="3" t="e">
        <f t="shared" si="46"/>
        <v>#DIV/0!</v>
      </c>
      <c r="Z232" s="413" t="s">
        <v>1801</v>
      </c>
      <c r="AA232" s="161">
        <v>0</v>
      </c>
      <c r="AB232" s="409">
        <v>0</v>
      </c>
      <c r="AC232" s="259">
        <f t="shared" si="43"/>
        <v>0</v>
      </c>
      <c r="AD232" s="22" t="s">
        <v>956</v>
      </c>
      <c r="AG232" s="33">
        <f t="shared" si="47"/>
        <v>0</v>
      </c>
      <c r="AH232" s="43" t="s">
        <v>2984</v>
      </c>
      <c r="AI232" s="63">
        <f t="shared" si="48"/>
        <v>2.0487804878048781E-3</v>
      </c>
      <c r="AJ232" s="307">
        <f>RTD("money.excel",,$G232,"PredictVolume")</f>
        <v>252</v>
      </c>
      <c r="AK232" s="339"/>
    </row>
    <row r="233" spans="1:37">
      <c r="A233" s="416">
        <v>19.399999999999999</v>
      </c>
      <c r="B233" s="91">
        <v>116</v>
      </c>
      <c r="C233" s="91">
        <v>40</v>
      </c>
      <c r="D233" s="91">
        <v>-29</v>
      </c>
      <c r="E233" s="91">
        <v>16</v>
      </c>
      <c r="F233" s="6">
        <v>0.94</v>
      </c>
      <c r="G233" s="79">
        <v>1616</v>
      </c>
      <c r="H233" s="8" t="s">
        <v>3758</v>
      </c>
      <c r="I233" s="22" t="s">
        <v>957</v>
      </c>
      <c r="J233" s="73">
        <v>67.05</v>
      </c>
      <c r="K233" s="73">
        <v>0.09</v>
      </c>
      <c r="L233" s="73">
        <v>0</v>
      </c>
      <c r="N233" s="318">
        <f t="shared" si="49"/>
        <v>67.14</v>
      </c>
      <c r="O233" s="81">
        <f>IFERROR(VLOOKUP($G233,'321買'!A:E,3,0),"'沒有資料'")</f>
        <v>0</v>
      </c>
      <c r="P233" s="380">
        <f>IFERROR(VLOOKUP($G233,'321買'!$A:$G,7,0),"'沒有資料'")</f>
        <v>911</v>
      </c>
      <c r="R233" s="297">
        <f>IFERROR(RANK(VLOOKUP($G233,連買!$A:$D,4,0),連買!$D:$D,0),"'沒有資料'")</f>
        <v>1323</v>
      </c>
      <c r="S233" s="34">
        <v>0</v>
      </c>
      <c r="T233" s="353">
        <f t="shared" si="44"/>
        <v>0</v>
      </c>
      <c r="U233" s="95">
        <v>0.01</v>
      </c>
      <c r="V233" s="13">
        <f>RTD("money.excel",,"1616","Price")</f>
        <v>10.25</v>
      </c>
      <c r="W233" s="66"/>
      <c r="X233" s="15">
        <f t="shared" si="45"/>
        <v>10.25</v>
      </c>
      <c r="Y233" s="3" t="e">
        <f t="shared" si="46"/>
        <v>#DIV/0!</v>
      </c>
      <c r="Z233" s="413" t="s">
        <v>1801</v>
      </c>
      <c r="AA233" s="161">
        <v>0</v>
      </c>
      <c r="AB233" s="409">
        <v>0</v>
      </c>
      <c r="AC233" s="259">
        <f t="shared" si="43"/>
        <v>0</v>
      </c>
      <c r="AD233" s="22" t="s">
        <v>957</v>
      </c>
      <c r="AG233" s="33">
        <f t="shared" si="47"/>
        <v>0</v>
      </c>
      <c r="AH233" s="43" t="s">
        <v>2984</v>
      </c>
      <c r="AI233" s="63">
        <f t="shared" si="48"/>
        <v>2.768041237113402E-3</v>
      </c>
      <c r="AJ233" s="307">
        <f>RTD("money.excel",,$G233,"PredictVolume")</f>
        <v>537</v>
      </c>
      <c r="AK233" s="339"/>
    </row>
    <row r="234" spans="1:37">
      <c r="A234" s="416">
        <v>14.4</v>
      </c>
      <c r="B234" s="79">
        <v>39</v>
      </c>
      <c r="C234" s="79">
        <v>54</v>
      </c>
      <c r="D234" s="80">
        <v>-7</v>
      </c>
      <c r="E234" s="79">
        <v>20</v>
      </c>
      <c r="F234" s="6">
        <v>6.5</v>
      </c>
      <c r="G234" s="79">
        <v>1617</v>
      </c>
      <c r="H234" s="8" t="s">
        <v>3758</v>
      </c>
      <c r="I234" s="22" t="s">
        <v>958</v>
      </c>
      <c r="J234" s="73">
        <v>76.7</v>
      </c>
      <c r="K234" s="73">
        <v>21.41</v>
      </c>
      <c r="L234" s="73">
        <v>1.62</v>
      </c>
      <c r="M234" s="73">
        <v>50.48</v>
      </c>
      <c r="N234" s="73">
        <f t="shared" si="49"/>
        <v>150.21</v>
      </c>
      <c r="O234" s="81">
        <f>IFERROR(VLOOKUP($G234,'321買'!A:E,3,0),"'沒有資料'")</f>
        <v>0</v>
      </c>
      <c r="P234" s="380">
        <f>IFERROR(VLOOKUP($G234,'321買'!$A:$G,7,0),"'沒有資料'")</f>
        <v>911</v>
      </c>
      <c r="Q234" s="245" t="s">
        <v>3815</v>
      </c>
      <c r="R234" s="297">
        <f>IFERROR(RANK(VLOOKUP($G234,連買!$A:$D,4,0),連買!$D:$D,0),"'沒有資料'")</f>
        <v>913</v>
      </c>
      <c r="S234" s="34">
        <v>0.6</v>
      </c>
      <c r="T234" s="353">
        <f t="shared" si="44"/>
        <v>3.3333333333333333E-2</v>
      </c>
      <c r="U234" s="57">
        <v>1.39</v>
      </c>
      <c r="V234" s="36">
        <f>RTD("money.excel",,"1617","Price")</f>
        <v>18</v>
      </c>
      <c r="W234" s="66"/>
      <c r="X234" s="15">
        <f t="shared" si="45"/>
        <v>18</v>
      </c>
      <c r="Y234" s="3" t="e">
        <f t="shared" si="46"/>
        <v>#DIV/0!</v>
      </c>
      <c r="Z234" s="413" t="s">
        <v>1801</v>
      </c>
      <c r="AA234" s="161">
        <v>0</v>
      </c>
      <c r="AB234" s="409">
        <v>0</v>
      </c>
      <c r="AC234" s="259">
        <f t="shared" si="43"/>
        <v>0</v>
      </c>
      <c r="AD234" s="22" t="s">
        <v>958</v>
      </c>
      <c r="AG234" s="33">
        <f t="shared" si="47"/>
        <v>0</v>
      </c>
      <c r="AH234" s="43" t="s">
        <v>2855</v>
      </c>
      <c r="AI234" s="63">
        <f t="shared" si="48"/>
        <v>3.5416666666666669E-4</v>
      </c>
      <c r="AJ234" s="307">
        <f>RTD("money.excel",,$G234,"PredictVolume")</f>
        <v>51</v>
      </c>
      <c r="AK234" s="339"/>
    </row>
    <row r="235" spans="1:37">
      <c r="A235" s="416">
        <v>24</v>
      </c>
      <c r="B235" s="91">
        <v>641</v>
      </c>
      <c r="C235" s="140">
        <v>1258</v>
      </c>
      <c r="D235" s="91">
        <v>74</v>
      </c>
      <c r="E235" s="91">
        <v>185</v>
      </c>
      <c r="F235" s="6">
        <v>2.79</v>
      </c>
      <c r="G235" s="79">
        <v>1618</v>
      </c>
      <c r="H235" s="8" t="s">
        <v>3758</v>
      </c>
      <c r="I235" s="22" t="s">
        <v>959</v>
      </c>
      <c r="J235" s="73">
        <v>68.239999999999995</v>
      </c>
      <c r="K235" s="73">
        <v>1.24</v>
      </c>
      <c r="L235" s="73">
        <v>21.11</v>
      </c>
      <c r="N235" s="318">
        <f t="shared" si="49"/>
        <v>90.589999999999989</v>
      </c>
      <c r="O235" s="81">
        <f>IFERROR(VLOOKUP($G235,'321買'!A:E,3,0),"'沒有資料'")</f>
        <v>4</v>
      </c>
      <c r="P235" s="380">
        <f>IFERROR(VLOOKUP($G235,'321買'!$A:$G,7,0),"'沒有資料'")</f>
        <v>592</v>
      </c>
      <c r="R235" s="297">
        <f>IFERROR(RANK(VLOOKUP($G235,連買!$A:$D,4,0),連買!$D:$D,0),"'沒有資料'")</f>
        <v>1500</v>
      </c>
      <c r="S235" s="34">
        <v>0.3</v>
      </c>
      <c r="T235" s="353">
        <f t="shared" si="44"/>
        <v>2.1276595744680851E-2</v>
      </c>
      <c r="U235" s="95">
        <v>1.01</v>
      </c>
      <c r="V235" s="13">
        <f>RTD("money.excel",,"1618","Price")</f>
        <v>14.1</v>
      </c>
      <c r="W235" s="66"/>
      <c r="X235" s="15">
        <f t="shared" si="45"/>
        <v>14.1</v>
      </c>
      <c r="Y235" s="3" t="e">
        <f t="shared" si="46"/>
        <v>#DIV/0!</v>
      </c>
      <c r="Z235" s="413" t="s">
        <v>1801</v>
      </c>
      <c r="AA235" s="161">
        <v>0</v>
      </c>
      <c r="AB235" s="409">
        <v>0</v>
      </c>
      <c r="AC235" s="259">
        <f t="shared" si="43"/>
        <v>0</v>
      </c>
      <c r="AD235" s="22" t="s">
        <v>959</v>
      </c>
      <c r="AG235" s="33">
        <f t="shared" si="47"/>
        <v>0</v>
      </c>
      <c r="AH235" s="43" t="s">
        <v>2984</v>
      </c>
      <c r="AI235" s="63">
        <f t="shared" si="48"/>
        <v>6.9291666666666668E-3</v>
      </c>
      <c r="AJ235" s="307">
        <f>RTD("money.excel",,$G235,"PredictVolume")</f>
        <v>1663</v>
      </c>
      <c r="AK235" s="339"/>
    </row>
    <row r="236" spans="1:37">
      <c r="A236" s="416">
        <v>13.9</v>
      </c>
      <c r="B236" s="80">
        <v>-26</v>
      </c>
      <c r="C236" s="80">
        <v>-15</v>
      </c>
      <c r="D236" s="80">
        <v>-49</v>
      </c>
      <c r="E236" s="79">
        <v>40</v>
      </c>
      <c r="F236" s="6">
        <v>5</v>
      </c>
      <c r="G236" s="79">
        <v>1626</v>
      </c>
      <c r="H236" s="8" t="s">
        <v>3758</v>
      </c>
      <c r="I236" s="22" t="s">
        <v>1124</v>
      </c>
      <c r="J236" s="323">
        <v>73.849999999999994</v>
      </c>
      <c r="K236" s="323">
        <v>48.46</v>
      </c>
      <c r="L236" s="73">
        <v>12.64</v>
      </c>
      <c r="N236" s="318">
        <f t="shared" si="49"/>
        <v>134.94999999999999</v>
      </c>
      <c r="O236" s="81">
        <f>IFERROR(VLOOKUP($G236,'321買'!A:E,3,0),"'沒有資料'")</f>
        <v>0</v>
      </c>
      <c r="P236" s="380">
        <f>IFERROR(VLOOKUP($G236,'321買'!$A:$G,7,0),"'沒有資料'")</f>
        <v>911</v>
      </c>
      <c r="R236" s="297">
        <f>IFERROR(RANK(VLOOKUP($G236,連買!$A:$D,4,0),連買!$D:$D,0),"'沒有資料'")</f>
        <v>384</v>
      </c>
      <c r="S236" s="34">
        <v>1</v>
      </c>
      <c r="T236" s="353">
        <f t="shared" si="44"/>
        <v>4.926108374384236E-2</v>
      </c>
      <c r="U236" s="95">
        <v>1.1299999999999999</v>
      </c>
      <c r="V236" s="13">
        <f>RTD("money.excel",,"1626","Price")</f>
        <v>20.3</v>
      </c>
      <c r="W236" s="66"/>
      <c r="X236" s="15">
        <f t="shared" si="45"/>
        <v>20.3</v>
      </c>
      <c r="Y236" s="3" t="e">
        <f t="shared" si="46"/>
        <v>#DIV/0!</v>
      </c>
      <c r="Z236" s="413" t="s">
        <v>1801</v>
      </c>
      <c r="AA236" s="161">
        <v>0</v>
      </c>
      <c r="AB236" s="409">
        <v>0</v>
      </c>
      <c r="AC236" s="259">
        <f t="shared" si="43"/>
        <v>0</v>
      </c>
      <c r="AD236" s="22" t="s">
        <v>1124</v>
      </c>
      <c r="AG236" s="33">
        <f t="shared" si="47"/>
        <v>0</v>
      </c>
      <c r="AH236" s="43" t="s">
        <v>2764</v>
      </c>
      <c r="AI236" s="63">
        <f t="shared" si="48"/>
        <v>1.9424460431654677E-4</v>
      </c>
      <c r="AJ236" s="307">
        <f>RTD("money.excel",,$G236,"PredictVolume")</f>
        <v>27</v>
      </c>
      <c r="AK236" s="339"/>
    </row>
    <row r="237" spans="1:37">
      <c r="A237" s="416">
        <v>4.6900000000000004</v>
      </c>
      <c r="B237" s="79">
        <v>550</v>
      </c>
      <c r="C237" s="79">
        <v>196</v>
      </c>
      <c r="D237" s="80">
        <v>-10</v>
      </c>
      <c r="E237" s="79">
        <v>60</v>
      </c>
      <c r="F237" s="6">
        <v>4.66</v>
      </c>
      <c r="G237" s="79">
        <v>2061</v>
      </c>
      <c r="H237" s="8" t="s">
        <v>3758</v>
      </c>
      <c r="I237" s="16" t="s">
        <v>948</v>
      </c>
      <c r="J237" s="323">
        <v>47.94</v>
      </c>
      <c r="K237" s="73">
        <v>0.47</v>
      </c>
      <c r="N237" s="318">
        <f t="shared" si="49"/>
        <v>48.41</v>
      </c>
      <c r="O237" s="81" t="str">
        <f>IFERROR(VLOOKUP($G237,'321買'!A:E,3,0),"'沒有資料'")</f>
        <v>'沒有資料'</v>
      </c>
      <c r="P237" s="380" t="str">
        <f>IFERROR(VLOOKUP($G237,'321買'!$A:$G,7,0),"'沒有資料'")</f>
        <v>'沒有資料'</v>
      </c>
      <c r="R237" s="297">
        <f>IFERROR(RANK(VLOOKUP($G237,連買!$A:$D,4,0),連買!$D:$D,0),"'沒有資料'")</f>
        <v>1272</v>
      </c>
      <c r="S237" s="34">
        <v>0</v>
      </c>
      <c r="T237" s="353">
        <f t="shared" si="44"/>
        <v>0</v>
      </c>
      <c r="U237" s="95">
        <v>1.64</v>
      </c>
      <c r="V237" s="36">
        <f>RTD("money.excel",,"2061","Price")</f>
        <v>19.95</v>
      </c>
      <c r="W237" s="66"/>
      <c r="X237" s="15">
        <f t="shared" si="45"/>
        <v>19.95</v>
      </c>
      <c r="Y237" s="3" t="e">
        <f t="shared" si="46"/>
        <v>#DIV/0!</v>
      </c>
      <c r="AA237" s="161">
        <v>0</v>
      </c>
      <c r="AB237" s="409">
        <v>0</v>
      </c>
      <c r="AC237" s="259">
        <f t="shared" si="43"/>
        <v>0</v>
      </c>
      <c r="AD237" s="16" t="s">
        <v>948</v>
      </c>
      <c r="AG237" s="33">
        <f t="shared" si="47"/>
        <v>0</v>
      </c>
      <c r="AH237" s="43" t="s">
        <v>2855</v>
      </c>
      <c r="AI237" s="63">
        <f t="shared" si="48"/>
        <v>2.7718550106609806E-4</v>
      </c>
      <c r="AJ237" s="307">
        <f>RTD("money.excel",,$G237,"PredictVolume")</f>
        <v>13</v>
      </c>
      <c r="AK237" s="339"/>
    </row>
    <row r="238" spans="1:37">
      <c r="A238" s="416">
        <v>4.79</v>
      </c>
      <c r="B238" s="91">
        <v>-171</v>
      </c>
      <c r="C238" s="91">
        <v>-43</v>
      </c>
      <c r="D238" s="91">
        <v>-12</v>
      </c>
      <c r="E238" s="91">
        <v>-7</v>
      </c>
      <c r="F238" s="6">
        <v>-27.59</v>
      </c>
      <c r="G238" s="79">
        <v>4609</v>
      </c>
      <c r="H238" s="8" t="s">
        <v>3758</v>
      </c>
      <c r="I238" s="16" t="s">
        <v>949</v>
      </c>
      <c r="J238" s="73">
        <v>71.19</v>
      </c>
      <c r="K238" s="73">
        <v>0.02</v>
      </c>
      <c r="N238" s="318">
        <f t="shared" si="49"/>
        <v>71.209999999999994</v>
      </c>
      <c r="O238" s="81" t="str">
        <f>IFERROR(VLOOKUP($G238,'321買'!A:E,3,0),"'沒有資料'")</f>
        <v>'沒有資料'</v>
      </c>
      <c r="P238" s="380" t="str">
        <f>IFERROR(VLOOKUP($G238,'321買'!$A:$G,7,0),"'沒有資料'")</f>
        <v>'沒有資料'</v>
      </c>
      <c r="R238" s="297">
        <f>IFERROR(RANK(VLOOKUP($G238,連買!$A:$D,4,0),連買!$D:$D,0),"'沒有資料'")</f>
        <v>1408</v>
      </c>
      <c r="S238" s="34">
        <v>0</v>
      </c>
      <c r="T238" s="353">
        <f t="shared" si="44"/>
        <v>0</v>
      </c>
      <c r="U238" s="95">
        <v>-1.06</v>
      </c>
      <c r="V238" s="13">
        <f>RTD("money.excel",,"4609","Price")</f>
        <v>8.24</v>
      </c>
      <c r="W238" s="66"/>
      <c r="X238" s="15">
        <f t="shared" si="45"/>
        <v>8.24</v>
      </c>
      <c r="Y238" s="3" t="e">
        <f t="shared" si="46"/>
        <v>#DIV/0!</v>
      </c>
      <c r="AA238" s="161">
        <v>0</v>
      </c>
      <c r="AB238" s="409">
        <v>0</v>
      </c>
      <c r="AC238" s="259">
        <f t="shared" si="43"/>
        <v>0</v>
      </c>
      <c r="AD238" s="16" t="s">
        <v>949</v>
      </c>
      <c r="AG238" s="33">
        <f t="shared" si="47"/>
        <v>0</v>
      </c>
      <c r="AH238" s="43" t="s">
        <v>2764</v>
      </c>
      <c r="AI238" s="63">
        <f t="shared" si="48"/>
        <v>3.1315240083507306E-4</v>
      </c>
      <c r="AJ238" s="307">
        <f>RTD("money.excel",,$G238,"PredictVolume")</f>
        <v>15</v>
      </c>
      <c r="AK238" s="339"/>
    </row>
    <row r="239" spans="1:37">
      <c r="A239" s="416">
        <v>13.4</v>
      </c>
      <c r="B239" s="79">
        <v>940</v>
      </c>
      <c r="C239" s="79">
        <v>849</v>
      </c>
      <c r="D239" s="79">
        <v>0</v>
      </c>
      <c r="E239" s="79">
        <v>19</v>
      </c>
      <c r="F239" s="6">
        <v>5.71</v>
      </c>
      <c r="G239" s="79">
        <v>4930</v>
      </c>
      <c r="H239" s="8" t="s">
        <v>3758</v>
      </c>
      <c r="I239" s="22" t="s">
        <v>960</v>
      </c>
      <c r="J239" s="323">
        <v>60.47</v>
      </c>
      <c r="K239" s="323">
        <v>9.09</v>
      </c>
      <c r="L239" s="323">
        <v>13.3</v>
      </c>
      <c r="N239" s="318">
        <f t="shared" si="49"/>
        <v>82.86</v>
      </c>
      <c r="O239" s="81">
        <f>IFERROR(VLOOKUP($G239,'321買'!A:E,3,0),"'沒有資料'")</f>
        <v>1</v>
      </c>
      <c r="P239" s="380">
        <f>IFERROR(VLOOKUP($G239,'321買'!$A:$G,7,0),"'沒有資料'")</f>
        <v>783</v>
      </c>
      <c r="R239" s="297">
        <f>IFERROR(RANK(VLOOKUP($G239,連買!$A:$D,4,0),連買!$D:$D,0),"'沒有資料'")</f>
        <v>541</v>
      </c>
      <c r="S239" s="66">
        <v>3.5</v>
      </c>
      <c r="T239" s="353">
        <f t="shared" si="44"/>
        <v>0.11904761904761905</v>
      </c>
      <c r="U239" s="57">
        <v>2.84</v>
      </c>
      <c r="V239" s="36">
        <f>RTD("money.excel",,"4930","Price")</f>
        <v>29.4</v>
      </c>
      <c r="W239" s="66"/>
      <c r="X239" s="15">
        <f t="shared" si="45"/>
        <v>29.4</v>
      </c>
      <c r="Y239" s="3" t="e">
        <f t="shared" si="46"/>
        <v>#DIV/0!</v>
      </c>
      <c r="Z239" s="413" t="s">
        <v>1831</v>
      </c>
      <c r="AA239" s="161">
        <v>0</v>
      </c>
      <c r="AB239" s="409">
        <v>0</v>
      </c>
      <c r="AC239" s="259">
        <f t="shared" si="43"/>
        <v>0</v>
      </c>
      <c r="AD239" s="22" t="s">
        <v>960</v>
      </c>
      <c r="AG239" s="33">
        <f t="shared" si="47"/>
        <v>0</v>
      </c>
      <c r="AH239" s="43" t="s">
        <v>2986</v>
      </c>
      <c r="AI239" s="63">
        <f t="shared" si="48"/>
        <v>9.8507462686567163E-4</v>
      </c>
      <c r="AJ239" s="307">
        <f>RTD("money.excel",,$G239,"PredictVolume")</f>
        <v>132</v>
      </c>
    </row>
    <row r="240" spans="1:37">
      <c r="A240" s="415">
        <v>7.3</v>
      </c>
      <c r="B240" s="80">
        <v>-16</v>
      </c>
      <c r="C240" s="80">
        <v>-23</v>
      </c>
      <c r="D240" s="80">
        <v>-12</v>
      </c>
      <c r="E240" s="79">
        <v>15</v>
      </c>
      <c r="F240" s="57">
        <v>15.03</v>
      </c>
      <c r="G240" s="79">
        <v>5283</v>
      </c>
      <c r="H240" s="8" t="s">
        <v>3758</v>
      </c>
      <c r="I240" s="22" t="s">
        <v>1754</v>
      </c>
      <c r="J240" s="73">
        <v>62.75</v>
      </c>
      <c r="K240" s="73">
        <v>2.33</v>
      </c>
      <c r="L240" s="73">
        <v>0.64</v>
      </c>
      <c r="M240" s="323">
        <v>24.73</v>
      </c>
      <c r="N240" s="318">
        <f t="shared" si="49"/>
        <v>90.45</v>
      </c>
      <c r="O240" s="81">
        <f>IFERROR(VLOOKUP($G240,'321買'!A:E,3,0),"'沒有資料'")</f>
        <v>0</v>
      </c>
      <c r="P240" s="380">
        <f>IFERROR(VLOOKUP($G240,'321買'!$A:$G,7,0),"'沒有資料'")</f>
        <v>911</v>
      </c>
      <c r="Q240" s="245" t="s">
        <v>3816</v>
      </c>
      <c r="R240" s="297">
        <f>IFERROR(RANK(VLOOKUP($G240,連買!$A:$D,4,0),連買!$D:$D,0),"'沒有資料'")</f>
        <v>59</v>
      </c>
      <c r="S240" s="66">
        <v>4</v>
      </c>
      <c r="T240" s="353">
        <f t="shared" si="44"/>
        <v>3.4482758620689655E-2</v>
      </c>
      <c r="U240" s="57">
        <v>11.03</v>
      </c>
      <c r="V240" s="36">
        <f>RTD("money.excel",,"5283","Price")</f>
        <v>116</v>
      </c>
      <c r="W240" s="66"/>
      <c r="X240" s="15">
        <f t="shared" si="45"/>
        <v>116</v>
      </c>
      <c r="Y240" s="3" t="e">
        <f t="shared" si="46"/>
        <v>#DIV/0!</v>
      </c>
      <c r="Z240" s="413" t="s">
        <v>1997</v>
      </c>
      <c r="AA240" s="161">
        <v>0</v>
      </c>
      <c r="AB240" s="409">
        <v>0</v>
      </c>
      <c r="AC240" s="259">
        <f t="shared" si="43"/>
        <v>0</v>
      </c>
      <c r="AD240" s="22" t="s">
        <v>1754</v>
      </c>
      <c r="AG240" s="33">
        <f t="shared" si="47"/>
        <v>0</v>
      </c>
      <c r="AH240" s="43" t="s">
        <v>2987</v>
      </c>
      <c r="AI240" s="63">
        <f t="shared" si="48"/>
        <v>3.6986301369863013E-4</v>
      </c>
      <c r="AJ240" s="307">
        <f>RTD("money.excel",,$G240,"PredictVolume")</f>
        <v>27</v>
      </c>
      <c r="AK240" s="339"/>
    </row>
    <row r="241" spans="1:37">
      <c r="B241" s="80"/>
      <c r="C241" s="80"/>
      <c r="D241" s="80"/>
      <c r="E241" s="79"/>
      <c r="F241" s="57"/>
      <c r="G241" s="79"/>
      <c r="H241" s="8"/>
      <c r="I241" s="22"/>
      <c r="J241" s="73"/>
      <c r="K241" s="73"/>
      <c r="M241" s="323"/>
      <c r="N241" s="318"/>
      <c r="O241" s="26"/>
      <c r="S241" s="66"/>
      <c r="U241" s="57"/>
      <c r="V241" s="36"/>
      <c r="W241" s="66"/>
      <c r="X241" s="15"/>
      <c r="Y241" s="3"/>
      <c r="Z241" s="97"/>
      <c r="AA241" s="2"/>
      <c r="AD241" s="22"/>
      <c r="AG241" s="33"/>
      <c r="AH241" s="43"/>
      <c r="AI241" s="63"/>
      <c r="AJ241" s="307"/>
      <c r="AK241" s="339"/>
    </row>
    <row r="242" spans="1:37">
      <c r="A242" s="130" t="s">
        <v>1732</v>
      </c>
      <c r="B242" s="91" t="s">
        <v>1588</v>
      </c>
      <c r="C242" s="91" t="s">
        <v>1589</v>
      </c>
      <c r="D242" s="91" t="s">
        <v>1590</v>
      </c>
      <c r="E242" s="91" t="s">
        <v>1591</v>
      </c>
      <c r="F242" s="8" t="s">
        <v>1066</v>
      </c>
      <c r="G242" s="27" t="s">
        <v>3726</v>
      </c>
      <c r="H242" s="55" t="s">
        <v>322</v>
      </c>
      <c r="I242" s="50" t="s">
        <v>757</v>
      </c>
      <c r="J242" s="317" t="s">
        <v>1467</v>
      </c>
      <c r="K242" s="317" t="s">
        <v>1157</v>
      </c>
      <c r="L242" s="317" t="s">
        <v>284</v>
      </c>
      <c r="M242" s="317" t="s">
        <v>1059</v>
      </c>
      <c r="N242" s="317" t="s">
        <v>5048</v>
      </c>
      <c r="O242" s="26" t="s">
        <v>5107</v>
      </c>
      <c r="P242" s="373" t="s">
        <v>5059</v>
      </c>
      <c r="Q242" s="245" t="s">
        <v>5087</v>
      </c>
      <c r="R242" s="345" t="s">
        <v>5059</v>
      </c>
      <c r="S242" s="10" t="s">
        <v>66</v>
      </c>
      <c r="T242" s="351" t="s">
        <v>5076</v>
      </c>
      <c r="U242" s="68" t="s">
        <v>3493</v>
      </c>
      <c r="V242" s="28" t="s">
        <v>2</v>
      </c>
      <c r="W242" s="17" t="s">
        <v>1405</v>
      </c>
      <c r="X242" s="14" t="s">
        <v>5</v>
      </c>
      <c r="Y242" s="21" t="s">
        <v>3</v>
      </c>
      <c r="Z242" s="97" t="s">
        <v>6627</v>
      </c>
      <c r="AA242" s="406" t="s">
        <v>8647</v>
      </c>
      <c r="AB242" s="407" t="s">
        <v>8648</v>
      </c>
      <c r="AC242" s="408" t="s">
        <v>8649</v>
      </c>
      <c r="AD242" s="50" t="s">
        <v>757</v>
      </c>
      <c r="AE242" s="71" t="s">
        <v>1406</v>
      </c>
      <c r="AF242" s="72" t="s">
        <v>1163</v>
      </c>
      <c r="AG242" s="32" t="s">
        <v>1164</v>
      </c>
      <c r="AH242" s="25" t="s">
        <v>8650</v>
      </c>
      <c r="AI242" s="8" t="s">
        <v>3852</v>
      </c>
      <c r="AJ242" s="50" t="s">
        <v>3586</v>
      </c>
      <c r="AK242" s="339" t="s">
        <v>5038</v>
      </c>
    </row>
    <row r="243" spans="1:37">
      <c r="A243" s="415">
        <v>24.9</v>
      </c>
      <c r="B243" s="79">
        <v>285</v>
      </c>
      <c r="C243" s="79">
        <v>220</v>
      </c>
      <c r="D243" s="79">
        <v>17</v>
      </c>
      <c r="E243" s="79">
        <v>172</v>
      </c>
      <c r="F243" s="57">
        <v>16.97</v>
      </c>
      <c r="G243" s="79">
        <v>1708</v>
      </c>
      <c r="H243" s="8" t="s">
        <v>757</v>
      </c>
      <c r="I243" s="22" t="s">
        <v>760</v>
      </c>
      <c r="J243" s="323">
        <v>43.41</v>
      </c>
      <c r="K243" s="73">
        <v>11.13</v>
      </c>
      <c r="L243" s="73">
        <v>40.450000000000003</v>
      </c>
      <c r="M243" s="73">
        <v>13.75</v>
      </c>
      <c r="N243" s="318">
        <f>J243+K243+L243+M243</f>
        <v>108.74000000000001</v>
      </c>
      <c r="O243" s="81">
        <f>IFERROR(VLOOKUP($G243,'321買'!A:E,3,0),"'沒有資料'")</f>
        <v>44</v>
      </c>
      <c r="P243" s="380">
        <f>IFERROR(VLOOKUP($G243,'321買'!$A:$G,7,0),"'沒有資料'")</f>
        <v>74</v>
      </c>
      <c r="Q243" s="245" t="s">
        <v>5097</v>
      </c>
      <c r="R243" s="297">
        <f>IFERROR(RANK(VLOOKUP($G243,連買!$A:$D,4,0),連買!$D:$D,0),"'沒有資料'")</f>
        <v>528</v>
      </c>
      <c r="S243" s="34">
        <v>2</v>
      </c>
      <c r="T243" s="353">
        <f t="shared" ref="T243" si="50">S243/V243</f>
        <v>2.9498525073746312E-2</v>
      </c>
      <c r="U243" s="95">
        <v>2.81</v>
      </c>
      <c r="V243" s="36">
        <f>RTD("money.excel",,"1708","Price")</f>
        <v>67.8</v>
      </c>
      <c r="W243" s="66"/>
      <c r="X243" s="15">
        <f t="shared" ref="X243" si="51">V243-W243</f>
        <v>67.8</v>
      </c>
      <c r="Y243" s="3" t="e">
        <f t="shared" ref="Y243" si="52">X243/W243</f>
        <v>#DIV/0!</v>
      </c>
      <c r="Z243" s="413" t="s">
        <v>1801</v>
      </c>
      <c r="AA243" s="161">
        <v>0</v>
      </c>
      <c r="AB243" s="409">
        <v>0</v>
      </c>
      <c r="AC243" s="259">
        <f t="shared" si="43"/>
        <v>0</v>
      </c>
      <c r="AD243" s="22" t="s">
        <v>760</v>
      </c>
      <c r="AG243" s="33">
        <f t="shared" ref="AG243" si="53">AF243-AE243</f>
        <v>0</v>
      </c>
      <c r="AH243" s="43" t="s">
        <v>1537</v>
      </c>
      <c r="AI243" s="63">
        <f t="shared" ref="AI243:AI285" si="54">AJ243/(A243*10000)</f>
        <v>0.4413172690763052</v>
      </c>
      <c r="AJ243" s="307">
        <f>RTD("money.excel",,$G243,"PredictVolume")</f>
        <v>109888</v>
      </c>
      <c r="AK243" s="339">
        <v>62.28</v>
      </c>
    </row>
    <row r="244" spans="1:37">
      <c r="A244" s="416">
        <v>47.7</v>
      </c>
      <c r="B244" s="91">
        <v>126</v>
      </c>
      <c r="C244" s="91">
        <v>97</v>
      </c>
      <c r="D244" s="91">
        <v>22</v>
      </c>
      <c r="E244" s="91">
        <v>5</v>
      </c>
      <c r="F244" s="6">
        <v>7.88</v>
      </c>
      <c r="G244" s="79">
        <v>1709</v>
      </c>
      <c r="H244" s="8" t="s">
        <v>3879</v>
      </c>
      <c r="I244" s="22" t="s">
        <v>761</v>
      </c>
      <c r="J244" s="73">
        <v>69.099999999999994</v>
      </c>
      <c r="K244" s="73">
        <v>3.74</v>
      </c>
      <c r="L244" s="73">
        <v>1.67</v>
      </c>
      <c r="N244" s="318">
        <f t="shared" ref="N244:N285" si="55">J244+K244+L244+M244</f>
        <v>74.509999999999991</v>
      </c>
      <c r="O244" s="81">
        <f>IFERROR(VLOOKUP($G244,'321買'!A:E,3,0),"'沒有資料'")</f>
        <v>21</v>
      </c>
      <c r="P244" s="380">
        <f>IFERROR(VLOOKUP($G244,'321買'!$A:$G,7,0),"'沒有資料'")</f>
        <v>241</v>
      </c>
      <c r="R244" s="297">
        <f>IFERROR(RANK(VLOOKUP($G244,連買!$A:$D,4,0),連買!$D:$D,0),"'沒有資料'")</f>
        <v>657</v>
      </c>
      <c r="S244" s="34">
        <v>1.2</v>
      </c>
      <c r="T244" s="353">
        <f t="shared" ref="T244:T285" si="56">S244/V244</f>
        <v>4.1666666666666664E-2</v>
      </c>
      <c r="U244" s="95">
        <v>1.1599999999999999</v>
      </c>
      <c r="V244" s="13">
        <f>RTD("money.excel",,"1709","Price")</f>
        <v>28.8</v>
      </c>
      <c r="W244" s="66"/>
      <c r="X244" s="15">
        <f t="shared" ref="X244:X285" si="57">V244-W244</f>
        <v>28.8</v>
      </c>
      <c r="Y244" s="3" t="e">
        <f t="shared" ref="Y244:Y285" si="58">X244/W244</f>
        <v>#DIV/0!</v>
      </c>
      <c r="Z244" s="413" t="s">
        <v>1801</v>
      </c>
      <c r="AA244" s="161">
        <v>0</v>
      </c>
      <c r="AB244" s="409">
        <v>0</v>
      </c>
      <c r="AC244" s="259">
        <f t="shared" si="43"/>
        <v>0</v>
      </c>
      <c r="AD244" s="22" t="s">
        <v>761</v>
      </c>
      <c r="AG244" s="33">
        <f t="shared" ref="AG244:AG285" si="59">AF244-AE244</f>
        <v>0</v>
      </c>
      <c r="AH244" s="43" t="s">
        <v>1538</v>
      </c>
      <c r="AI244" s="63">
        <f t="shared" si="54"/>
        <v>3.0008385744234801E-2</v>
      </c>
      <c r="AJ244" s="307">
        <f>RTD("money.excel",,$G244,"PredictVolume")</f>
        <v>14314</v>
      </c>
      <c r="AK244" s="339"/>
    </row>
    <row r="245" spans="1:37">
      <c r="A245" s="416">
        <v>88.5</v>
      </c>
      <c r="B245" s="80">
        <v>-506</v>
      </c>
      <c r="C245" s="79">
        <v>90</v>
      </c>
      <c r="D245" s="80">
        <v>-1</v>
      </c>
      <c r="E245" s="80">
        <v>-28</v>
      </c>
      <c r="F245" s="6">
        <v>-0.25</v>
      </c>
      <c r="G245" s="79">
        <v>1710</v>
      </c>
      <c r="H245" s="8" t="s">
        <v>3879</v>
      </c>
      <c r="I245" s="22" t="s">
        <v>319</v>
      </c>
      <c r="J245" s="323">
        <v>66.459999999999994</v>
      </c>
      <c r="K245" s="323">
        <v>9.73</v>
      </c>
      <c r="L245" s="323">
        <v>1.68</v>
      </c>
      <c r="N245" s="318">
        <f t="shared" si="55"/>
        <v>77.87</v>
      </c>
      <c r="O245" s="81">
        <f>IFERROR(VLOOKUP($G245,'321買'!A:E,3,0),"'沒有資料'")</f>
        <v>5</v>
      </c>
      <c r="P245" s="380">
        <f>IFERROR(VLOOKUP($G245,'321買'!$A:$G,7,0),"'沒有資料'")</f>
        <v>521</v>
      </c>
      <c r="R245" s="297">
        <f>IFERROR(RANK(VLOOKUP($G245,連買!$A:$D,4,0),連買!$D:$D,0),"'沒有資料'")</f>
        <v>568</v>
      </c>
      <c r="S245" s="34">
        <v>0</v>
      </c>
      <c r="T245" s="353">
        <f t="shared" si="56"/>
        <v>0</v>
      </c>
      <c r="U245" s="95">
        <v>-1.22</v>
      </c>
      <c r="V245" s="36">
        <f>RTD("money.excel",,"1710","Price")</f>
        <v>21.5</v>
      </c>
      <c r="W245" s="66"/>
      <c r="X245" s="15">
        <f t="shared" si="57"/>
        <v>21.5</v>
      </c>
      <c r="Y245" s="3" t="e">
        <f t="shared" si="58"/>
        <v>#DIV/0!</v>
      </c>
      <c r="Z245" s="413" t="s">
        <v>1801</v>
      </c>
      <c r="AA245" s="161">
        <v>0</v>
      </c>
      <c r="AB245" s="409">
        <v>0</v>
      </c>
      <c r="AC245" s="259">
        <f t="shared" si="43"/>
        <v>0</v>
      </c>
      <c r="AD245" s="22" t="s">
        <v>319</v>
      </c>
      <c r="AG245" s="33">
        <f t="shared" si="59"/>
        <v>0</v>
      </c>
      <c r="AH245" s="43" t="s">
        <v>1417</v>
      </c>
      <c r="AI245" s="63">
        <f t="shared" si="54"/>
        <v>1.6225988700564972E-3</v>
      </c>
      <c r="AJ245" s="307">
        <f>RTD("money.excel",,$G245,"PredictVolume")</f>
        <v>1436</v>
      </c>
    </row>
    <row r="246" spans="1:37">
      <c r="A246" s="416">
        <v>54.7</v>
      </c>
      <c r="B246" s="79">
        <v>224</v>
      </c>
      <c r="C246" s="79">
        <v>523</v>
      </c>
      <c r="D246" s="79">
        <v>10</v>
      </c>
      <c r="E246" s="79">
        <v>26</v>
      </c>
      <c r="F246" s="6">
        <v>7.08</v>
      </c>
      <c r="G246" s="79">
        <v>1711</v>
      </c>
      <c r="H246" s="8" t="s">
        <v>3879</v>
      </c>
      <c r="I246" s="22" t="s">
        <v>762</v>
      </c>
      <c r="J246" s="73">
        <v>43.37</v>
      </c>
      <c r="K246" s="73">
        <v>7.36</v>
      </c>
      <c r="L246" s="73">
        <v>15.87</v>
      </c>
      <c r="M246" s="323">
        <v>26.71</v>
      </c>
      <c r="N246" s="318">
        <f t="shared" si="55"/>
        <v>93.31</v>
      </c>
      <c r="O246" s="81">
        <f>IFERROR(VLOOKUP($G246,'321買'!A:E,3,0),"'沒有資料'")</f>
        <v>24</v>
      </c>
      <c r="P246" s="380">
        <f>IFERROR(VLOOKUP($G246,'321買'!$A:$G,7,0),"'沒有資料'")</f>
        <v>172</v>
      </c>
      <c r="Q246" s="245" t="s">
        <v>3817</v>
      </c>
      <c r="R246" s="297">
        <f>IFERROR(RANK(VLOOKUP($G246,連買!$A:$D,4,0),連買!$D:$D,0),"'沒有資料'")</f>
        <v>836</v>
      </c>
      <c r="S246" s="34">
        <v>0</v>
      </c>
      <c r="T246" s="353">
        <f t="shared" si="56"/>
        <v>0</v>
      </c>
      <c r="U246" s="95">
        <v>0.88</v>
      </c>
      <c r="V246" s="36">
        <f>RTD("money.excel",,"1711","Price")</f>
        <v>25</v>
      </c>
      <c r="W246" s="66"/>
      <c r="X246" s="15">
        <f t="shared" si="57"/>
        <v>25</v>
      </c>
      <c r="Y246" s="3" t="e">
        <f t="shared" si="58"/>
        <v>#DIV/0!</v>
      </c>
      <c r="Z246" s="413" t="s">
        <v>1801</v>
      </c>
      <c r="AA246" s="161">
        <v>0</v>
      </c>
      <c r="AB246" s="409">
        <v>0</v>
      </c>
      <c r="AC246" s="259">
        <f t="shared" si="43"/>
        <v>0</v>
      </c>
      <c r="AD246" s="22" t="s">
        <v>762</v>
      </c>
      <c r="AG246" s="33">
        <f t="shared" si="59"/>
        <v>0</v>
      </c>
      <c r="AH246" s="43" t="s">
        <v>2822</v>
      </c>
      <c r="AI246" s="63">
        <f t="shared" si="54"/>
        <v>5.7879341864716634E-3</v>
      </c>
      <c r="AJ246" s="307">
        <f>RTD("money.excel",,$G246,"PredictVolume")</f>
        <v>3166</v>
      </c>
      <c r="AK246" s="339"/>
    </row>
    <row r="247" spans="1:37">
      <c r="A247" s="416">
        <v>42</v>
      </c>
      <c r="B247" s="80">
        <v>-5</v>
      </c>
      <c r="C247" s="80">
        <v>33</v>
      </c>
      <c r="D247" s="80">
        <v>-3</v>
      </c>
      <c r="E247" s="80">
        <v>-2</v>
      </c>
      <c r="F247" s="6">
        <v>6.67</v>
      </c>
      <c r="G247" s="79">
        <v>1712</v>
      </c>
      <c r="H247" s="8" t="s">
        <v>3879</v>
      </c>
      <c r="I247" s="22" t="s">
        <v>763</v>
      </c>
      <c r="J247" s="73">
        <v>51.99</v>
      </c>
      <c r="K247" s="323">
        <v>12.28</v>
      </c>
      <c r="L247" s="323">
        <v>1.51</v>
      </c>
      <c r="N247" s="318">
        <f t="shared" si="55"/>
        <v>65.78</v>
      </c>
      <c r="O247" s="81">
        <f>IFERROR(VLOOKUP($G247,'321買'!A:E,3,0),"'沒有資料'")</f>
        <v>8</v>
      </c>
      <c r="P247" s="380">
        <f>IFERROR(VLOOKUP($G247,'321買'!$A:$G,7,0),"'沒有資料'")</f>
        <v>475</v>
      </c>
      <c r="R247" s="297">
        <f>IFERROR(RANK(VLOOKUP($G247,連買!$A:$D,4,0),連買!$D:$D,0),"'沒有資料'")</f>
        <v>708</v>
      </c>
      <c r="S247" s="34">
        <v>1.3</v>
      </c>
      <c r="T247" s="353">
        <f t="shared" si="56"/>
        <v>3.6723163841807911E-2</v>
      </c>
      <c r="U247" s="95">
        <v>1.7</v>
      </c>
      <c r="V247" s="36">
        <f>RTD("money.excel",,"1712","Price")</f>
        <v>35.4</v>
      </c>
      <c r="W247" s="66"/>
      <c r="X247" s="15">
        <f t="shared" si="57"/>
        <v>35.4</v>
      </c>
      <c r="Y247" s="3" t="e">
        <f t="shared" si="58"/>
        <v>#DIV/0!</v>
      </c>
      <c r="AA247" s="161">
        <v>0</v>
      </c>
      <c r="AB247" s="409">
        <v>0</v>
      </c>
      <c r="AC247" s="259">
        <f t="shared" si="43"/>
        <v>0</v>
      </c>
      <c r="AD247" s="22" t="s">
        <v>763</v>
      </c>
      <c r="AG247" s="33">
        <f t="shared" si="59"/>
        <v>0</v>
      </c>
      <c r="AH247" s="43" t="s">
        <v>3037</v>
      </c>
      <c r="AI247" s="63">
        <f t="shared" si="54"/>
        <v>4.2852380952380954E-2</v>
      </c>
      <c r="AJ247" s="307">
        <f>RTD("money.excel",,$G247,"PredictVolume")</f>
        <v>17998</v>
      </c>
      <c r="AK247" s="339"/>
    </row>
    <row r="248" spans="1:37">
      <c r="A248" s="416">
        <v>15.1</v>
      </c>
      <c r="B248" s="91">
        <v>-37</v>
      </c>
      <c r="C248" s="91">
        <v>8</v>
      </c>
      <c r="D248" s="91">
        <v>-14</v>
      </c>
      <c r="E248" s="91">
        <v>29</v>
      </c>
      <c r="F248" s="6">
        <v>3.95</v>
      </c>
      <c r="G248" s="79">
        <v>1713</v>
      </c>
      <c r="H248" s="8" t="s">
        <v>3879</v>
      </c>
      <c r="I248" s="22" t="s">
        <v>764</v>
      </c>
      <c r="J248" s="73">
        <v>72.489999999999995</v>
      </c>
      <c r="K248" s="73">
        <v>5.09</v>
      </c>
      <c r="L248" s="73">
        <v>11.91</v>
      </c>
      <c r="N248" s="318">
        <f t="shared" si="55"/>
        <v>89.49</v>
      </c>
      <c r="O248" s="81">
        <f>IFERROR(VLOOKUP($G248,'321買'!A:E,3,0),"'沒有資料'")</f>
        <v>0</v>
      </c>
      <c r="P248" s="380">
        <f>IFERROR(VLOOKUP($G248,'321買'!$A:$G,7,0),"'沒有資料'")</f>
        <v>911</v>
      </c>
      <c r="R248" s="297">
        <f>IFERROR(RANK(VLOOKUP($G248,連買!$A:$D,4,0),連買!$D:$D,0),"'沒有資料'")</f>
        <v>947</v>
      </c>
      <c r="S248" s="34">
        <v>0.66</v>
      </c>
      <c r="T248" s="353">
        <f t="shared" si="56"/>
        <v>2.7557411273486432E-2</v>
      </c>
      <c r="U248" s="95">
        <v>0.61</v>
      </c>
      <c r="V248" s="13">
        <f>RTD("money.excel",,"1713","Price")</f>
        <v>23.95</v>
      </c>
      <c r="W248" s="66"/>
      <c r="X248" s="15">
        <f t="shared" si="57"/>
        <v>23.95</v>
      </c>
      <c r="Y248" s="3" t="e">
        <f t="shared" si="58"/>
        <v>#DIV/0!</v>
      </c>
      <c r="Z248" s="413" t="s">
        <v>1801</v>
      </c>
      <c r="AA248" s="161">
        <v>0</v>
      </c>
      <c r="AB248" s="409">
        <v>0</v>
      </c>
      <c r="AC248" s="259">
        <f t="shared" si="43"/>
        <v>0</v>
      </c>
      <c r="AD248" s="22" t="s">
        <v>764</v>
      </c>
      <c r="AG248" s="33">
        <f t="shared" si="59"/>
        <v>0</v>
      </c>
      <c r="AH248" s="43" t="s">
        <v>3038</v>
      </c>
      <c r="AI248" s="63">
        <f t="shared" si="54"/>
        <v>5.4304635761589408E-4</v>
      </c>
      <c r="AJ248" s="307">
        <f>RTD("money.excel",,$G248,"PredictVolume")</f>
        <v>82</v>
      </c>
      <c r="AK248" s="339"/>
    </row>
    <row r="249" spans="1:37">
      <c r="A249" s="415">
        <v>101</v>
      </c>
      <c r="B249" s="80">
        <v>-47</v>
      </c>
      <c r="C249" s="80">
        <v>-47</v>
      </c>
      <c r="D249" s="80">
        <v>-6</v>
      </c>
      <c r="E249" s="80">
        <v>-5</v>
      </c>
      <c r="F249" s="57">
        <v>10.7</v>
      </c>
      <c r="G249" s="79">
        <v>1714</v>
      </c>
      <c r="H249" s="8" t="s">
        <v>3879</v>
      </c>
      <c r="I249" s="22" t="s">
        <v>765</v>
      </c>
      <c r="J249" s="73">
        <v>52.81</v>
      </c>
      <c r="K249" s="73">
        <v>18.54</v>
      </c>
      <c r="L249" s="323">
        <v>7.94</v>
      </c>
      <c r="N249" s="318">
        <f t="shared" si="55"/>
        <v>79.289999999999992</v>
      </c>
      <c r="O249" s="81">
        <f>IFERROR(VLOOKUP($G249,'321買'!A:E,3,0),"'沒有資料'")</f>
        <v>12</v>
      </c>
      <c r="P249" s="380">
        <f>IFERROR(VLOOKUP($G249,'321買'!$A:$G,7,0),"'沒有資料'")</f>
        <v>387</v>
      </c>
      <c r="R249" s="297">
        <f>IFERROR(RANK(VLOOKUP($G249,連買!$A:$D,4,0),連買!$D:$D,0),"'沒有資料'")</f>
        <v>1018</v>
      </c>
      <c r="S249" s="34">
        <v>0.7</v>
      </c>
      <c r="T249" s="353">
        <f t="shared" si="56"/>
        <v>6.6985645933014357E-2</v>
      </c>
      <c r="U249" s="57">
        <v>0.52</v>
      </c>
      <c r="V249" s="36">
        <f>RTD("money.excel",,"1714","Price")</f>
        <v>10.45</v>
      </c>
      <c r="W249" s="66"/>
      <c r="X249" s="15">
        <f t="shared" si="57"/>
        <v>10.45</v>
      </c>
      <c r="Y249" s="3" t="e">
        <f t="shared" si="58"/>
        <v>#DIV/0!</v>
      </c>
      <c r="AA249" s="161">
        <v>0</v>
      </c>
      <c r="AB249" s="409">
        <v>0</v>
      </c>
      <c r="AC249" s="259">
        <f t="shared" si="43"/>
        <v>0</v>
      </c>
      <c r="AD249" s="22" t="s">
        <v>765</v>
      </c>
      <c r="AG249" s="33">
        <f t="shared" si="59"/>
        <v>0</v>
      </c>
      <c r="AH249" s="43" t="s">
        <v>3039</v>
      </c>
      <c r="AI249" s="63">
        <f t="shared" si="54"/>
        <v>1.60990099009901E-3</v>
      </c>
      <c r="AJ249" s="307">
        <f>RTD("money.excel",,$G249,"PredictVolume")</f>
        <v>1626</v>
      </c>
      <c r="AK249" s="339"/>
    </row>
    <row r="250" spans="1:37">
      <c r="A250" s="416">
        <v>124</v>
      </c>
      <c r="B250" s="80">
        <v>-36</v>
      </c>
      <c r="C250" s="79">
        <v>2</v>
      </c>
      <c r="D250" s="79">
        <v>5</v>
      </c>
      <c r="E250" s="79">
        <v>13</v>
      </c>
      <c r="F250" s="6">
        <v>6.63</v>
      </c>
      <c r="G250" s="79">
        <v>1717</v>
      </c>
      <c r="H250" s="8" t="s">
        <v>3879</v>
      </c>
      <c r="I250" s="22" t="s">
        <v>128</v>
      </c>
      <c r="J250" s="73">
        <v>68.849999999999994</v>
      </c>
      <c r="K250" s="73">
        <v>13.84</v>
      </c>
      <c r="L250" s="73">
        <v>3.75</v>
      </c>
      <c r="N250" s="318">
        <f t="shared" si="55"/>
        <v>86.44</v>
      </c>
      <c r="O250" s="81">
        <f>IFERROR(VLOOKUP($G250,'321買'!A:E,3,0),"'沒有資料'")</f>
        <v>0</v>
      </c>
      <c r="P250" s="380">
        <f>IFERROR(VLOOKUP($G250,'321買'!$A:$G,7,0),"'沒有資料'")</f>
        <v>911</v>
      </c>
      <c r="R250" s="297">
        <f>IFERROR(RANK(VLOOKUP($G250,連買!$A:$D,4,0),連買!$D:$D,0),"'沒有資料'")</f>
        <v>723</v>
      </c>
      <c r="S250" s="34">
        <v>1.5</v>
      </c>
      <c r="T250" s="353">
        <f t="shared" si="56"/>
        <v>3.8071065989847719E-2</v>
      </c>
      <c r="U250" s="95">
        <v>2.0499999999999998</v>
      </c>
      <c r="V250" s="36">
        <f>RTD("money.excel",,"1717","Price")</f>
        <v>39.4</v>
      </c>
      <c r="W250" s="66"/>
      <c r="X250" s="15">
        <f t="shared" si="57"/>
        <v>39.4</v>
      </c>
      <c r="Y250" s="3" t="e">
        <f t="shared" si="58"/>
        <v>#DIV/0!</v>
      </c>
      <c r="Z250" s="413" t="s">
        <v>1801</v>
      </c>
      <c r="AA250" s="161">
        <v>0</v>
      </c>
      <c r="AB250" s="409">
        <v>0</v>
      </c>
      <c r="AC250" s="259">
        <f t="shared" si="43"/>
        <v>0</v>
      </c>
      <c r="AD250" s="22" t="s">
        <v>128</v>
      </c>
      <c r="AG250" s="33">
        <f t="shared" si="59"/>
        <v>0</v>
      </c>
      <c r="AH250" s="43" t="s">
        <v>3040</v>
      </c>
      <c r="AI250" s="63">
        <f t="shared" si="54"/>
        <v>3.2469354838709677E-2</v>
      </c>
      <c r="AJ250" s="307">
        <f>RTD("money.excel",,$G250,"PredictVolume")</f>
        <v>40262</v>
      </c>
      <c r="AK250" s="339"/>
    </row>
    <row r="251" spans="1:37">
      <c r="A251" s="415">
        <v>162</v>
      </c>
      <c r="B251" s="79">
        <v>144</v>
      </c>
      <c r="C251" s="79">
        <v>78</v>
      </c>
      <c r="D251" s="79">
        <v>12</v>
      </c>
      <c r="E251" s="79">
        <v>7</v>
      </c>
      <c r="F251" s="57">
        <v>13.98</v>
      </c>
      <c r="G251" s="79">
        <v>1718</v>
      </c>
      <c r="H251" s="8" t="s">
        <v>3879</v>
      </c>
      <c r="I251" s="22" t="s">
        <v>766</v>
      </c>
      <c r="J251" s="323">
        <v>45.36</v>
      </c>
      <c r="K251" s="73">
        <v>8.84</v>
      </c>
      <c r="L251" s="323">
        <v>8.24</v>
      </c>
      <c r="N251" s="318">
        <f t="shared" si="55"/>
        <v>62.440000000000005</v>
      </c>
      <c r="O251" s="81">
        <f>IFERROR(VLOOKUP($G251,'321買'!A:E,3,0),"'沒有資料'")</f>
        <v>6</v>
      </c>
      <c r="P251" s="380">
        <f>IFERROR(VLOOKUP($G251,'321買'!$A:$G,7,0),"'沒有資料'")</f>
        <v>499</v>
      </c>
      <c r="R251" s="297">
        <f>IFERROR(RANK(VLOOKUP($G251,連買!$A:$D,4,0),連買!$D:$D,0),"'沒有資料'")</f>
        <v>1474</v>
      </c>
      <c r="S251" s="34">
        <v>0.5</v>
      </c>
      <c r="T251" s="353">
        <f t="shared" si="56"/>
        <v>5.4406964091403699E-2</v>
      </c>
      <c r="U251" s="95">
        <v>1.28</v>
      </c>
      <c r="V251" s="36">
        <f>RTD("money.excel",,"1718","Price")</f>
        <v>9.19</v>
      </c>
      <c r="W251" s="66"/>
      <c r="X251" s="15">
        <f t="shared" si="57"/>
        <v>9.19</v>
      </c>
      <c r="Y251" s="3" t="e">
        <f t="shared" si="58"/>
        <v>#DIV/0!</v>
      </c>
      <c r="Z251" s="413" t="s">
        <v>1801</v>
      </c>
      <c r="AA251" s="161">
        <v>0</v>
      </c>
      <c r="AB251" s="409">
        <v>0</v>
      </c>
      <c r="AC251" s="259">
        <f t="shared" si="43"/>
        <v>0</v>
      </c>
      <c r="AD251" s="22" t="s">
        <v>766</v>
      </c>
      <c r="AG251" s="33">
        <f t="shared" si="59"/>
        <v>0</v>
      </c>
      <c r="AH251" s="43" t="s">
        <v>3655</v>
      </c>
      <c r="AI251" s="63">
        <f t="shared" si="54"/>
        <v>1.1765432098765432E-3</v>
      </c>
      <c r="AJ251" s="307">
        <f>RTD("money.excel",,$G251,"PredictVolume")</f>
        <v>1906</v>
      </c>
      <c r="AK251" s="339"/>
    </row>
    <row r="252" spans="1:37">
      <c r="A252" s="416">
        <v>18.899999999999999</v>
      </c>
      <c r="B252" s="207">
        <v>22889</v>
      </c>
      <c r="C252" s="206">
        <v>-1706</v>
      </c>
      <c r="D252" s="91">
        <v>32</v>
      </c>
      <c r="E252" s="91">
        <v>6</v>
      </c>
      <c r="F252" s="6">
        <v>-8.0399999999999991</v>
      </c>
      <c r="G252" s="79">
        <v>1721</v>
      </c>
      <c r="H252" s="8" t="s">
        <v>3879</v>
      </c>
      <c r="I252" s="22" t="s">
        <v>767</v>
      </c>
      <c r="J252" s="73">
        <v>66.33</v>
      </c>
      <c r="K252" s="73">
        <v>2.78</v>
      </c>
      <c r="L252" s="73">
        <v>12.04</v>
      </c>
      <c r="N252" s="318">
        <f t="shared" si="55"/>
        <v>81.150000000000006</v>
      </c>
      <c r="O252" s="81">
        <f>IFERROR(VLOOKUP($G252,'321買'!A:E,3,0),"'沒有資料'")</f>
        <v>27</v>
      </c>
      <c r="P252" s="380">
        <f>IFERROR(VLOOKUP($G252,'321買'!$A:$G,7,0),"'沒有資料'")</f>
        <v>172</v>
      </c>
      <c r="R252" s="297">
        <f>IFERROR(RANK(VLOOKUP($G252,連買!$A:$D,4,0),連買!$D:$D,0),"'沒有資料'")</f>
        <v>1058</v>
      </c>
      <c r="S252" s="34">
        <v>0.5</v>
      </c>
      <c r="T252" s="353">
        <f t="shared" si="56"/>
        <v>2.2321428571428572E-2</v>
      </c>
      <c r="U252" s="95">
        <v>2.42</v>
      </c>
      <c r="V252" s="13">
        <f>RTD("money.excel",,"1721","Price")</f>
        <v>22.4</v>
      </c>
      <c r="W252" s="66"/>
      <c r="X252" s="15">
        <f t="shared" si="57"/>
        <v>22.4</v>
      </c>
      <c r="Y252" s="3" t="e">
        <f t="shared" si="58"/>
        <v>#DIV/0!</v>
      </c>
      <c r="AA252" s="161">
        <v>0</v>
      </c>
      <c r="AB252" s="409">
        <v>0</v>
      </c>
      <c r="AC252" s="259">
        <f t="shared" si="43"/>
        <v>0</v>
      </c>
      <c r="AD252" s="22" t="s">
        <v>767</v>
      </c>
      <c r="AG252" s="33">
        <f t="shared" si="59"/>
        <v>0</v>
      </c>
      <c r="AH252" s="43" t="s">
        <v>3041</v>
      </c>
      <c r="AI252" s="63">
        <f t="shared" si="54"/>
        <v>2.3185185185185184E-2</v>
      </c>
      <c r="AJ252" s="307">
        <f>RTD("money.excel",,$G252,"PredictVolume")</f>
        <v>4382</v>
      </c>
      <c r="AK252" s="339"/>
    </row>
    <row r="253" spans="1:37">
      <c r="A253" s="415">
        <v>98</v>
      </c>
      <c r="B253" s="79">
        <v>35</v>
      </c>
      <c r="C253" s="80">
        <v>-3</v>
      </c>
      <c r="D253" s="79">
        <v>-9</v>
      </c>
      <c r="E253" s="80">
        <v>-51</v>
      </c>
      <c r="F253" s="57">
        <v>13.32</v>
      </c>
      <c r="G253" s="79">
        <v>1722</v>
      </c>
      <c r="H253" s="8" t="s">
        <v>3879</v>
      </c>
      <c r="I253" s="22" t="s">
        <v>3901</v>
      </c>
      <c r="J253" s="73">
        <v>52.55</v>
      </c>
      <c r="K253" s="73">
        <v>12.04</v>
      </c>
      <c r="L253" s="73">
        <v>2.2200000000000002</v>
      </c>
      <c r="N253" s="318">
        <f t="shared" si="55"/>
        <v>66.81</v>
      </c>
      <c r="O253" s="81">
        <f>IFERROR(VLOOKUP($G253,'321買'!A:E,3,0),"'沒有資料'")</f>
        <v>3</v>
      </c>
      <c r="P253" s="380">
        <f>IFERROR(VLOOKUP($G253,'321買'!$A:$G,7,0),"'沒有資料'")</f>
        <v>636</v>
      </c>
      <c r="R253" s="297">
        <f>IFERROR(RANK(VLOOKUP($G253,連買!$A:$D,4,0),連買!$D:$D,0),"'沒有資料'")</f>
        <v>270</v>
      </c>
      <c r="S253" s="34">
        <v>2.2999999999999998</v>
      </c>
      <c r="T253" s="353">
        <f t="shared" si="56"/>
        <v>2.9262086513994912E-2</v>
      </c>
      <c r="U253" s="95">
        <v>2.5</v>
      </c>
      <c r="V253" s="36">
        <f>RTD("money.excel",,"1722","Price")</f>
        <v>78.599999999999994</v>
      </c>
      <c r="W253" s="66"/>
      <c r="X253" s="15">
        <f t="shared" si="57"/>
        <v>78.599999999999994</v>
      </c>
      <c r="Y253" s="3" t="e">
        <f t="shared" si="58"/>
        <v>#DIV/0!</v>
      </c>
      <c r="AA253" s="161">
        <v>0</v>
      </c>
      <c r="AB253" s="409">
        <v>0</v>
      </c>
      <c r="AC253" s="259">
        <f t="shared" si="43"/>
        <v>0</v>
      </c>
      <c r="AD253" s="22" t="s">
        <v>3901</v>
      </c>
      <c r="AG253" s="33">
        <f t="shared" si="59"/>
        <v>0</v>
      </c>
      <c r="AH253" s="120" t="s">
        <v>2995</v>
      </c>
      <c r="AI253" s="63">
        <f t="shared" si="54"/>
        <v>9.7326530612244899E-3</v>
      </c>
      <c r="AJ253" s="307">
        <f>RTD("money.excel",,$G253,"PredictVolume")</f>
        <v>9538</v>
      </c>
      <c r="AK253" s="339"/>
    </row>
    <row r="254" spans="1:37">
      <c r="A254" s="415">
        <v>23.6</v>
      </c>
      <c r="B254" s="80">
        <v>-53</v>
      </c>
      <c r="C254" s="80">
        <v>-46</v>
      </c>
      <c r="D254" s="79">
        <v>7</v>
      </c>
      <c r="E254" s="80">
        <v>-27</v>
      </c>
      <c r="F254" s="57">
        <v>14.05</v>
      </c>
      <c r="G254" s="79">
        <v>1723</v>
      </c>
      <c r="H254" s="8" t="s">
        <v>3879</v>
      </c>
      <c r="I254" s="22" t="s">
        <v>129</v>
      </c>
      <c r="J254" s="323">
        <v>61.14</v>
      </c>
      <c r="K254" s="323">
        <v>8.42</v>
      </c>
      <c r="L254" s="323">
        <v>0.25</v>
      </c>
      <c r="N254" s="318">
        <f t="shared" si="55"/>
        <v>69.81</v>
      </c>
      <c r="O254" s="81">
        <f>IFERROR(VLOOKUP($G254,'321買'!A:E,3,0),"'沒有資料'")</f>
        <v>0</v>
      </c>
      <c r="P254" s="380">
        <f>IFERROR(VLOOKUP($G254,'321買'!$A:$G,7,0),"'沒有資料'")</f>
        <v>911</v>
      </c>
      <c r="R254" s="297">
        <f>IFERROR(RANK(VLOOKUP($G254,連買!$A:$D,4,0),連買!$D:$D,0),"'沒有資料'")</f>
        <v>115</v>
      </c>
      <c r="S254" s="34">
        <v>2.8</v>
      </c>
      <c r="T254" s="353">
        <f t="shared" si="56"/>
        <v>2.4454148471615721E-2</v>
      </c>
      <c r="U254" s="95">
        <v>3.09</v>
      </c>
      <c r="V254" s="36">
        <f>RTD("money.excel",,"1723","Price")</f>
        <v>114.5</v>
      </c>
      <c r="W254" s="66"/>
      <c r="X254" s="15">
        <f t="shared" si="57"/>
        <v>114.5</v>
      </c>
      <c r="Y254" s="3" t="e">
        <f t="shared" si="58"/>
        <v>#DIV/0!</v>
      </c>
      <c r="AA254" s="161">
        <v>0</v>
      </c>
      <c r="AB254" s="409">
        <v>0</v>
      </c>
      <c r="AC254" s="259">
        <f t="shared" si="43"/>
        <v>0</v>
      </c>
      <c r="AD254" s="22" t="s">
        <v>129</v>
      </c>
      <c r="AG254" s="33">
        <f t="shared" si="59"/>
        <v>0</v>
      </c>
      <c r="AH254" s="120" t="s">
        <v>1431</v>
      </c>
      <c r="AI254" s="63">
        <f t="shared" si="54"/>
        <v>9.1525423728813554E-4</v>
      </c>
      <c r="AJ254" s="307">
        <f>RTD("money.excel",,$G254,"PredictVolume")</f>
        <v>216</v>
      </c>
      <c r="AK254" s="339"/>
    </row>
    <row r="255" spans="1:37">
      <c r="A255" s="416">
        <v>18.100000000000001</v>
      </c>
      <c r="B255" s="91">
        <v>-16</v>
      </c>
      <c r="C255" s="91">
        <v>-23</v>
      </c>
      <c r="D255" s="91">
        <v>-6</v>
      </c>
      <c r="E255" s="91">
        <v>26</v>
      </c>
      <c r="F255" s="6">
        <v>2</v>
      </c>
      <c r="G255" s="79">
        <v>1725</v>
      </c>
      <c r="H255" s="8" t="s">
        <v>3879</v>
      </c>
      <c r="I255" s="22" t="s">
        <v>768</v>
      </c>
      <c r="J255" s="73">
        <v>95.67</v>
      </c>
      <c r="K255" s="73">
        <v>0.15</v>
      </c>
      <c r="L255" s="73">
        <v>0.42</v>
      </c>
      <c r="N255" s="318">
        <f t="shared" si="55"/>
        <v>96.240000000000009</v>
      </c>
      <c r="O255" s="81">
        <f>IFERROR(VLOOKUP($G255,'321買'!A:E,3,0),"'沒有資料'")</f>
        <v>0</v>
      </c>
      <c r="P255" s="380">
        <f>IFERROR(VLOOKUP($G255,'321買'!$A:$G,7,0),"'沒有資料'")</f>
        <v>911</v>
      </c>
      <c r="R255" s="297">
        <f>IFERROR(RANK(VLOOKUP($G255,連買!$A:$D,4,0),連買!$D:$D,0),"'沒有資料'")</f>
        <v>748</v>
      </c>
      <c r="S255" s="34">
        <v>0.96</v>
      </c>
      <c r="T255" s="353">
        <f t="shared" si="56"/>
        <v>3.6781609195402298E-2</v>
      </c>
      <c r="U255" s="95">
        <v>1.37</v>
      </c>
      <c r="V255" s="13">
        <f>RTD("money.excel",,"1725","Price")</f>
        <v>26.1</v>
      </c>
      <c r="W255" s="66"/>
      <c r="X255" s="15">
        <f t="shared" si="57"/>
        <v>26.1</v>
      </c>
      <c r="Y255" s="3" t="e">
        <f t="shared" si="58"/>
        <v>#DIV/0!</v>
      </c>
      <c r="AA255" s="161">
        <v>0</v>
      </c>
      <c r="AB255" s="409">
        <v>0</v>
      </c>
      <c r="AC255" s="259">
        <f t="shared" si="43"/>
        <v>0</v>
      </c>
      <c r="AD255" s="22" t="s">
        <v>768</v>
      </c>
      <c r="AG255" s="33">
        <f t="shared" si="59"/>
        <v>0</v>
      </c>
      <c r="AH255" s="43" t="s">
        <v>3902</v>
      </c>
      <c r="AI255" s="63">
        <f t="shared" si="54"/>
        <v>1.7679558011049723E-4</v>
      </c>
      <c r="AJ255" s="307">
        <f>RTD("money.excel",,$G255,"PredictVolume")</f>
        <v>32</v>
      </c>
      <c r="AK255" s="339"/>
    </row>
    <row r="256" spans="1:37">
      <c r="A256" s="416">
        <v>16.2</v>
      </c>
      <c r="B256" s="91">
        <v>-23</v>
      </c>
      <c r="C256" s="91">
        <v>-7</v>
      </c>
      <c r="D256" s="91">
        <v>15</v>
      </c>
      <c r="E256" s="91">
        <v>12</v>
      </c>
      <c r="F256" s="6">
        <v>9.59</v>
      </c>
      <c r="G256" s="79">
        <v>1726</v>
      </c>
      <c r="H256" s="8" t="s">
        <v>3879</v>
      </c>
      <c r="I256" s="22" t="s">
        <v>3903</v>
      </c>
      <c r="J256" s="73">
        <v>88.18</v>
      </c>
      <c r="K256" s="73">
        <v>14.77</v>
      </c>
      <c r="L256" s="73">
        <v>0.14000000000000001</v>
      </c>
      <c r="N256" s="318">
        <f t="shared" si="55"/>
        <v>103.09</v>
      </c>
      <c r="O256" s="81">
        <f>IFERROR(VLOOKUP($G256,'321買'!A:E,3,0),"'沒有資料'")</f>
        <v>0</v>
      </c>
      <c r="P256" s="380">
        <f>IFERROR(VLOOKUP($G256,'321買'!$A:$G,7,0),"'沒有資料'")</f>
        <v>911</v>
      </c>
      <c r="R256" s="297">
        <f>IFERROR(RANK(VLOOKUP($G256,連買!$A:$D,4,0),連買!$D:$D,0),"'沒有資料'")</f>
        <v>670</v>
      </c>
      <c r="S256" s="66">
        <v>3.5</v>
      </c>
      <c r="T256" s="353">
        <f t="shared" si="56"/>
        <v>4.7619047619047616E-2</v>
      </c>
      <c r="U256" s="95">
        <v>5.13</v>
      </c>
      <c r="V256" s="13">
        <f>RTD("money.excel",,"1726","Price")</f>
        <v>73.5</v>
      </c>
      <c r="W256" s="66"/>
      <c r="X256" s="15">
        <f t="shared" si="57"/>
        <v>73.5</v>
      </c>
      <c r="Y256" s="3" t="e">
        <f t="shared" si="58"/>
        <v>#DIV/0!</v>
      </c>
      <c r="Z256" s="413" t="s">
        <v>1831</v>
      </c>
      <c r="AA256" s="161">
        <v>0</v>
      </c>
      <c r="AB256" s="409">
        <v>0</v>
      </c>
      <c r="AC256" s="259">
        <f t="shared" si="43"/>
        <v>0</v>
      </c>
      <c r="AD256" s="22" t="s">
        <v>3903</v>
      </c>
      <c r="AG256" s="33">
        <f t="shared" si="59"/>
        <v>0</v>
      </c>
      <c r="AH256" s="43" t="s">
        <v>3904</v>
      </c>
      <c r="AI256" s="63">
        <f t="shared" si="54"/>
        <v>2.4691358024691357E-5</v>
      </c>
      <c r="AJ256" s="307">
        <f>RTD("money.excel",,$G256,"PredictVolume")</f>
        <v>4</v>
      </c>
      <c r="AK256" s="339"/>
    </row>
    <row r="257" spans="1:37">
      <c r="A257" s="416">
        <v>10.8</v>
      </c>
      <c r="B257" s="80">
        <v>-942</v>
      </c>
      <c r="C257" s="80">
        <v>-263</v>
      </c>
      <c r="D257" s="79">
        <v>-5</v>
      </c>
      <c r="E257" s="80">
        <v>-19</v>
      </c>
      <c r="F257" s="6">
        <v>-2.86</v>
      </c>
      <c r="G257" s="79">
        <v>1727</v>
      </c>
      <c r="H257" s="8" t="s">
        <v>3879</v>
      </c>
      <c r="I257" s="158" t="s">
        <v>3905</v>
      </c>
      <c r="J257" s="323">
        <v>55.39</v>
      </c>
      <c r="K257" s="73">
        <v>1.21</v>
      </c>
      <c r="L257" s="323">
        <v>0.31</v>
      </c>
      <c r="N257" s="318">
        <f t="shared" si="55"/>
        <v>56.910000000000004</v>
      </c>
      <c r="O257" s="81">
        <f>IFERROR(VLOOKUP($G257,'321買'!A:E,3,0),"'沒有資料'")</f>
        <v>37</v>
      </c>
      <c r="P257" s="380">
        <f>IFERROR(VLOOKUP($G257,'321買'!$A:$G,7,0),"'沒有資料'")</f>
        <v>110</v>
      </c>
      <c r="R257" s="297">
        <f>IFERROR(RANK(VLOOKUP($G257,連買!$A:$D,4,0),連買!$D:$D,0),"'沒有資料'")</f>
        <v>825</v>
      </c>
      <c r="S257" s="197">
        <v>0.5</v>
      </c>
      <c r="T257" s="353">
        <f t="shared" si="56"/>
        <v>1.0309278350515464E-2</v>
      </c>
      <c r="U257" s="95">
        <v>-1.26</v>
      </c>
      <c r="V257" s="13">
        <f>RTD("money.excel",,"1727","Price")</f>
        <v>48.5</v>
      </c>
      <c r="W257" s="66"/>
      <c r="X257" s="15">
        <f t="shared" si="57"/>
        <v>48.5</v>
      </c>
      <c r="Y257" s="3" t="e">
        <f t="shared" si="58"/>
        <v>#DIV/0!</v>
      </c>
      <c r="Z257" s="413" t="s">
        <v>1801</v>
      </c>
      <c r="AA257" s="161">
        <v>0</v>
      </c>
      <c r="AB257" s="409">
        <v>0</v>
      </c>
      <c r="AC257" s="259">
        <f t="shared" si="43"/>
        <v>0</v>
      </c>
      <c r="AD257" s="22" t="s">
        <v>3905</v>
      </c>
      <c r="AG257" s="33">
        <f t="shared" si="59"/>
        <v>0</v>
      </c>
      <c r="AH257" s="43" t="s">
        <v>3906</v>
      </c>
      <c r="AI257" s="63">
        <f t="shared" si="54"/>
        <v>4.5851851851851852E-2</v>
      </c>
      <c r="AJ257" s="307">
        <f>RTD("money.excel",,$G257,"PredictVolume")</f>
        <v>4952</v>
      </c>
      <c r="AK257" s="339"/>
    </row>
    <row r="258" spans="1:37">
      <c r="A258" s="415">
        <v>6.32</v>
      </c>
      <c r="B258" s="91">
        <v>100</v>
      </c>
      <c r="C258" s="91">
        <v>152</v>
      </c>
      <c r="D258" s="91">
        <v>1</v>
      </c>
      <c r="E258" s="91">
        <v>-28</v>
      </c>
      <c r="F258" s="57">
        <v>14.79</v>
      </c>
      <c r="G258" s="79">
        <v>1730</v>
      </c>
      <c r="H258" s="8" t="s">
        <v>3879</v>
      </c>
      <c r="I258" s="22" t="s">
        <v>3907</v>
      </c>
      <c r="J258" s="73">
        <v>58.17</v>
      </c>
      <c r="K258" s="73">
        <v>8.34</v>
      </c>
      <c r="L258" s="73">
        <v>2.2200000000000002</v>
      </c>
      <c r="N258" s="318">
        <f t="shared" si="55"/>
        <v>68.73</v>
      </c>
      <c r="O258" s="81">
        <f>IFERROR(VLOOKUP($G258,'321買'!A:E,3,0),"'沒有資料'")</f>
        <v>0</v>
      </c>
      <c r="P258" s="380">
        <f>IFERROR(VLOOKUP($G258,'321買'!$A:$G,7,0),"'沒有資料'")</f>
        <v>911</v>
      </c>
      <c r="R258" s="297">
        <f>IFERROR(RANK(VLOOKUP($G258,連買!$A:$D,4,0),連買!$D:$D,0),"'沒有資料'")</f>
        <v>329</v>
      </c>
      <c r="S258" s="66">
        <v>3.86</v>
      </c>
      <c r="T258" s="353">
        <f t="shared" si="56"/>
        <v>6.2662337662337655E-2</v>
      </c>
      <c r="U258" s="95">
        <v>5.51</v>
      </c>
      <c r="V258" s="13">
        <f>RTD("money.excel",,"1730","Price")</f>
        <v>61.6</v>
      </c>
      <c r="W258" s="66"/>
      <c r="X258" s="15">
        <f t="shared" si="57"/>
        <v>61.6</v>
      </c>
      <c r="Y258" s="3" t="e">
        <f t="shared" si="58"/>
        <v>#DIV/0!</v>
      </c>
      <c r="Z258" s="413" t="s">
        <v>1831</v>
      </c>
      <c r="AA258" s="161">
        <v>0</v>
      </c>
      <c r="AB258" s="409">
        <v>0</v>
      </c>
      <c r="AC258" s="259">
        <f t="shared" si="43"/>
        <v>0</v>
      </c>
      <c r="AD258" s="22" t="s">
        <v>3907</v>
      </c>
      <c r="AG258" s="33">
        <f t="shared" si="59"/>
        <v>0</v>
      </c>
      <c r="AH258" s="43" t="s">
        <v>3908</v>
      </c>
      <c r="AI258" s="63">
        <f t="shared" si="54"/>
        <v>4.4303797468354429E-4</v>
      </c>
      <c r="AJ258" s="307">
        <f>RTD("money.excel",,$G258,"PredictVolume")</f>
        <v>28</v>
      </c>
      <c r="AK258" s="339"/>
    </row>
    <row r="259" spans="1:37">
      <c r="A259" s="416">
        <v>4.24</v>
      </c>
      <c r="B259" s="80">
        <v>-35</v>
      </c>
      <c r="C259" s="80">
        <v>-58</v>
      </c>
      <c r="D259" s="79">
        <v>20</v>
      </c>
      <c r="E259" s="79">
        <v>-6</v>
      </c>
      <c r="F259" s="6">
        <v>3.26</v>
      </c>
      <c r="G259" s="79">
        <v>1732</v>
      </c>
      <c r="H259" s="8" t="s">
        <v>757</v>
      </c>
      <c r="I259" s="22" t="s">
        <v>3909</v>
      </c>
      <c r="J259" s="323">
        <v>44.27</v>
      </c>
      <c r="K259" s="73">
        <v>3.85</v>
      </c>
      <c r="L259" s="73">
        <v>26.81</v>
      </c>
      <c r="M259" s="323">
        <v>28.64</v>
      </c>
      <c r="N259" s="318">
        <f t="shared" si="55"/>
        <v>103.57000000000001</v>
      </c>
      <c r="O259" s="81">
        <f>IFERROR(VLOOKUP($G259,'321買'!A:E,3,0),"'沒有資料'")</f>
        <v>51</v>
      </c>
      <c r="P259" s="380">
        <f>IFERROR(VLOOKUP($G259,'321買'!$A:$G,7,0),"'沒有資料'")</f>
        <v>71</v>
      </c>
      <c r="Q259" s="245" t="s">
        <v>5063</v>
      </c>
      <c r="R259" s="297">
        <f>IFERROR(RANK(VLOOKUP($G259,連買!$A:$D,4,0),連買!$D:$D,0),"'沒有資料'")</f>
        <v>442</v>
      </c>
      <c r="S259" s="34">
        <v>0.5</v>
      </c>
      <c r="T259" s="353">
        <f t="shared" si="56"/>
        <v>1.1198208286674132E-2</v>
      </c>
      <c r="U259" s="95">
        <v>0.7</v>
      </c>
      <c r="V259" s="36">
        <f>RTD("money.excel",,"1732","Price")</f>
        <v>44.65</v>
      </c>
      <c r="W259" s="66"/>
      <c r="X259" s="15">
        <f t="shared" si="57"/>
        <v>44.65</v>
      </c>
      <c r="Y259" s="3" t="e">
        <f t="shared" si="58"/>
        <v>#DIV/0!</v>
      </c>
      <c r="Z259" s="413" t="s">
        <v>1801</v>
      </c>
      <c r="AA259" s="161">
        <v>0</v>
      </c>
      <c r="AB259" s="409">
        <v>0</v>
      </c>
      <c r="AC259" s="259">
        <f t="shared" si="43"/>
        <v>0</v>
      </c>
      <c r="AD259" s="22" t="s">
        <v>3909</v>
      </c>
      <c r="AG259" s="33">
        <f t="shared" si="59"/>
        <v>0</v>
      </c>
      <c r="AH259" s="43" t="s">
        <v>3910</v>
      </c>
      <c r="AI259" s="63">
        <f t="shared" si="54"/>
        <v>0.34424528301886792</v>
      </c>
      <c r="AJ259" s="307">
        <f>RTD("money.excel",,$G259,"PredictVolume")</f>
        <v>14596</v>
      </c>
      <c r="AK259" s="339">
        <v>172.15</v>
      </c>
    </row>
    <row r="260" spans="1:37">
      <c r="A260" s="416">
        <v>9.94</v>
      </c>
      <c r="B260" s="91">
        <v>-76</v>
      </c>
      <c r="C260" s="91">
        <v>-58</v>
      </c>
      <c r="D260" s="91">
        <v>-16</v>
      </c>
      <c r="E260" s="91">
        <v>62</v>
      </c>
      <c r="F260" s="6">
        <v>3.69</v>
      </c>
      <c r="G260" s="79">
        <v>1735</v>
      </c>
      <c r="H260" s="8" t="s">
        <v>3879</v>
      </c>
      <c r="I260" s="22" t="s">
        <v>3911</v>
      </c>
      <c r="J260" s="73">
        <v>85.21</v>
      </c>
      <c r="K260" s="73">
        <v>50.2</v>
      </c>
      <c r="L260" s="73">
        <v>1.71</v>
      </c>
      <c r="N260" s="318">
        <f t="shared" si="55"/>
        <v>137.12</v>
      </c>
      <c r="O260" s="81">
        <f>IFERROR(VLOOKUP($G260,'321買'!A:E,3,0),"'沒有資料'")</f>
        <v>0</v>
      </c>
      <c r="P260" s="380">
        <f>IFERROR(VLOOKUP($G260,'321買'!$A:$G,7,0),"'沒有資料'")</f>
        <v>911</v>
      </c>
      <c r="R260" s="297">
        <f>IFERROR(RANK(VLOOKUP($G260,連買!$A:$D,4,0),連買!$D:$D,0),"'沒有資料'")</f>
        <v>1262</v>
      </c>
      <c r="S260" s="34">
        <v>0.5</v>
      </c>
      <c r="T260" s="353">
        <f t="shared" si="56"/>
        <v>2.7472527472527472E-2</v>
      </c>
      <c r="U260" s="57">
        <v>0.75</v>
      </c>
      <c r="V260" s="13">
        <f>RTD("money.excel",,"1735","Price")</f>
        <v>18.2</v>
      </c>
      <c r="W260" s="66"/>
      <c r="X260" s="15">
        <f t="shared" si="57"/>
        <v>18.2</v>
      </c>
      <c r="Y260" s="3" t="e">
        <f t="shared" si="58"/>
        <v>#DIV/0!</v>
      </c>
      <c r="AA260" s="161">
        <v>0</v>
      </c>
      <c r="AB260" s="409">
        <v>0</v>
      </c>
      <c r="AC260" s="259">
        <f t="shared" si="43"/>
        <v>0</v>
      </c>
      <c r="AD260" s="22" t="s">
        <v>3911</v>
      </c>
      <c r="AG260" s="33">
        <f t="shared" si="59"/>
        <v>0</v>
      </c>
      <c r="AH260" s="43" t="s">
        <v>2736</v>
      </c>
      <c r="AI260" s="63">
        <f t="shared" si="54"/>
        <v>1.006036217303823E-5</v>
      </c>
      <c r="AJ260" s="307">
        <f>RTD("money.excel",,$G260,"PredictVolume")</f>
        <v>1</v>
      </c>
      <c r="AK260" s="339"/>
    </row>
    <row r="261" spans="1:37">
      <c r="A261" s="416">
        <v>7.16</v>
      </c>
      <c r="B261" s="91">
        <v>-101</v>
      </c>
      <c r="C261" s="91">
        <v>-59</v>
      </c>
      <c r="D261" s="91">
        <v>163</v>
      </c>
      <c r="E261" s="91">
        <v>57</v>
      </c>
      <c r="F261" s="6">
        <v>7.69</v>
      </c>
      <c r="G261" s="79">
        <v>1742</v>
      </c>
      <c r="H261" s="8" t="s">
        <v>3879</v>
      </c>
      <c r="I261" s="16" t="s">
        <v>3912</v>
      </c>
      <c r="J261" s="73">
        <v>55.9</v>
      </c>
      <c r="K261" s="73">
        <v>0.81</v>
      </c>
      <c r="L261" s="73">
        <v>43.64</v>
      </c>
      <c r="N261" s="318">
        <f t="shared" si="55"/>
        <v>100.35</v>
      </c>
      <c r="O261" s="81">
        <f>IFERROR(VLOOKUP($G261,'321買'!A:E,3,0),"'沒有資料'")</f>
        <v>1</v>
      </c>
      <c r="P261" s="380">
        <f>IFERROR(VLOOKUP($G261,'321買'!$A:$G,7,0),"'沒有資料'")</f>
        <v>783</v>
      </c>
      <c r="R261" s="297">
        <f>IFERROR(RANK(VLOOKUP($G261,連買!$A:$D,4,0),連買!$D:$D,0),"'沒有資料'")</f>
        <v>645</v>
      </c>
      <c r="S261" s="34">
        <v>0</v>
      </c>
      <c r="T261" s="353">
        <f t="shared" si="56"/>
        <v>0</v>
      </c>
      <c r="U261" s="95">
        <v>-0.09</v>
      </c>
      <c r="V261" s="13">
        <f>RTD("money.excel",,"1742","Price")</f>
        <v>21.2</v>
      </c>
      <c r="W261" s="66"/>
      <c r="X261" s="15">
        <f t="shared" si="57"/>
        <v>21.2</v>
      </c>
      <c r="Y261" s="3" t="e">
        <f t="shared" si="58"/>
        <v>#DIV/0!</v>
      </c>
      <c r="AA261" s="161">
        <v>0</v>
      </c>
      <c r="AB261" s="409">
        <v>0</v>
      </c>
      <c r="AC261" s="259">
        <f t="shared" ref="AC261:AC324" si="60">AA261-AB261</f>
        <v>0</v>
      </c>
      <c r="AD261" s="16" t="s">
        <v>3912</v>
      </c>
      <c r="AG261" s="33">
        <f t="shared" si="59"/>
        <v>0</v>
      </c>
      <c r="AH261" s="43" t="s">
        <v>3913</v>
      </c>
      <c r="AI261" s="63">
        <f t="shared" si="54"/>
        <v>1.6899441340782124E-3</v>
      </c>
      <c r="AJ261" s="307">
        <f>RTD("money.excel",,$G261,"PredictVolume")</f>
        <v>121</v>
      </c>
      <c r="AK261" s="339"/>
    </row>
    <row r="262" spans="1:37">
      <c r="A262" s="415">
        <v>18</v>
      </c>
      <c r="B262" s="79">
        <v>47</v>
      </c>
      <c r="C262" s="79">
        <v>56</v>
      </c>
      <c r="D262" s="79">
        <v>2</v>
      </c>
      <c r="E262" s="80">
        <v>-4</v>
      </c>
      <c r="F262" s="57">
        <v>16.309999999999999</v>
      </c>
      <c r="G262" s="79">
        <v>1773</v>
      </c>
      <c r="H262" s="8" t="s">
        <v>3879</v>
      </c>
      <c r="I262" s="22" t="s">
        <v>3914</v>
      </c>
      <c r="J262" s="323">
        <v>72.48</v>
      </c>
      <c r="K262" s="323">
        <v>2.5099999999999998</v>
      </c>
      <c r="L262" s="323">
        <v>3.17</v>
      </c>
      <c r="N262" s="318">
        <f t="shared" si="55"/>
        <v>78.160000000000011</v>
      </c>
      <c r="O262" s="81">
        <f>IFERROR(VLOOKUP($G262,'321買'!A:E,3,0),"'沒有資料'")</f>
        <v>1</v>
      </c>
      <c r="P262" s="380">
        <f>IFERROR(VLOOKUP($G262,'321買'!$A:$G,7,0),"'沒有資料'")</f>
        <v>783</v>
      </c>
      <c r="R262" s="297">
        <f>IFERROR(RANK(VLOOKUP($G262,連買!$A:$D,4,0),連買!$D:$D,0),"'沒有資料'")</f>
        <v>81</v>
      </c>
      <c r="S262" s="66">
        <v>4.5999999999999996</v>
      </c>
      <c r="T262" s="353">
        <f t="shared" si="56"/>
        <v>2.13953488372093E-2</v>
      </c>
      <c r="U262" s="95">
        <v>6.81</v>
      </c>
      <c r="V262" s="36">
        <f>RTD("money.excel",,"1773","Price")</f>
        <v>215</v>
      </c>
      <c r="W262" s="66"/>
      <c r="X262" s="15">
        <f t="shared" si="57"/>
        <v>215</v>
      </c>
      <c r="Y262" s="3" t="e">
        <f t="shared" si="58"/>
        <v>#DIV/0!</v>
      </c>
      <c r="Z262" s="413" t="s">
        <v>1997</v>
      </c>
      <c r="AA262" s="161">
        <v>0</v>
      </c>
      <c r="AB262" s="409">
        <v>0</v>
      </c>
      <c r="AC262" s="259">
        <f t="shared" si="60"/>
        <v>0</v>
      </c>
      <c r="AD262" s="22" t="s">
        <v>3914</v>
      </c>
      <c r="AG262" s="33">
        <f t="shared" si="59"/>
        <v>0</v>
      </c>
      <c r="AH262" s="43" t="s">
        <v>3915</v>
      </c>
      <c r="AI262" s="63">
        <f t="shared" si="54"/>
        <v>4.2833333333333334E-3</v>
      </c>
      <c r="AJ262" s="307">
        <f>RTD("money.excel",,$G262,"PredictVolume")</f>
        <v>771</v>
      </c>
      <c r="AK262" s="339"/>
    </row>
    <row r="263" spans="1:37">
      <c r="A263" s="416">
        <v>7.03</v>
      </c>
      <c r="B263" s="91">
        <v>-39</v>
      </c>
      <c r="C263" s="91">
        <v>-11</v>
      </c>
      <c r="D263" s="91">
        <v>-13</v>
      </c>
      <c r="E263" s="91">
        <v>14</v>
      </c>
      <c r="F263" s="6">
        <v>4.91</v>
      </c>
      <c r="G263" s="79">
        <v>1776</v>
      </c>
      <c r="H263" s="8" t="s">
        <v>3879</v>
      </c>
      <c r="I263" s="22" t="s">
        <v>3916</v>
      </c>
      <c r="J263" s="73">
        <v>72.7</v>
      </c>
      <c r="K263" s="73">
        <v>0.04</v>
      </c>
      <c r="L263" s="73">
        <v>0.42</v>
      </c>
      <c r="N263" s="318">
        <f t="shared" si="55"/>
        <v>73.160000000000011</v>
      </c>
      <c r="O263" s="81">
        <f>IFERROR(VLOOKUP($G263,'321買'!A:E,3,0),"'沒有資料'")</f>
        <v>3</v>
      </c>
      <c r="P263" s="380">
        <f>IFERROR(VLOOKUP($G263,'321買'!$A:$G,7,0),"'沒有資料'")</f>
        <v>636</v>
      </c>
      <c r="R263" s="297">
        <f>IFERROR(RANK(VLOOKUP($G263,連買!$A:$D,4,0),連買!$D:$D,0),"'沒有資料'")</f>
        <v>1231</v>
      </c>
      <c r="S263" s="34">
        <v>1</v>
      </c>
      <c r="T263" s="353">
        <f t="shared" si="56"/>
        <v>4.6296296296296294E-2</v>
      </c>
      <c r="U263" s="95">
        <v>0.65</v>
      </c>
      <c r="V263" s="13">
        <f>RTD("money.excel",,"1776","Price")</f>
        <v>21.6</v>
      </c>
      <c r="W263" s="66"/>
      <c r="X263" s="15">
        <f t="shared" si="57"/>
        <v>21.6</v>
      </c>
      <c r="Y263" s="3" t="e">
        <f t="shared" si="58"/>
        <v>#DIV/0!</v>
      </c>
      <c r="AA263" s="161">
        <v>0</v>
      </c>
      <c r="AB263" s="409">
        <v>0</v>
      </c>
      <c r="AC263" s="259">
        <f t="shared" si="60"/>
        <v>0</v>
      </c>
      <c r="AD263" s="22" t="s">
        <v>3916</v>
      </c>
      <c r="AG263" s="33">
        <f t="shared" si="59"/>
        <v>0</v>
      </c>
      <c r="AH263" s="43" t="s">
        <v>3917</v>
      </c>
      <c r="AI263" s="63">
        <f t="shared" si="54"/>
        <v>5.8321479374110949E-4</v>
      </c>
      <c r="AJ263" s="307">
        <f>RTD("money.excel",,$G263,"PredictVolume")</f>
        <v>41</v>
      </c>
      <c r="AK263" s="339"/>
    </row>
    <row r="264" spans="1:37">
      <c r="A264" s="416">
        <v>9.35</v>
      </c>
      <c r="B264" s="80">
        <v>-82</v>
      </c>
      <c r="C264" s="80">
        <v>-86</v>
      </c>
      <c r="D264" s="79">
        <v>21</v>
      </c>
      <c r="E264" s="79">
        <v>2</v>
      </c>
      <c r="F264" s="6">
        <v>1.01</v>
      </c>
      <c r="G264" s="79">
        <v>3708</v>
      </c>
      <c r="H264" s="8" t="s">
        <v>757</v>
      </c>
      <c r="I264" s="22" t="s">
        <v>3919</v>
      </c>
      <c r="J264" s="323">
        <v>37.04</v>
      </c>
      <c r="K264" s="73">
        <v>9.2200000000000006</v>
      </c>
      <c r="L264" s="323">
        <v>27.34</v>
      </c>
      <c r="M264" s="73">
        <v>10.130000000000001</v>
      </c>
      <c r="N264" s="318">
        <f t="shared" si="55"/>
        <v>83.72999999999999</v>
      </c>
      <c r="O264" s="81">
        <f>IFERROR(VLOOKUP($G264,'321買'!A:E,3,0),"'沒有資料'")</f>
        <v>17</v>
      </c>
      <c r="P264" s="380">
        <f>IFERROR(VLOOKUP($G264,'321買'!$A:$G,7,0),"'沒有資料'")</f>
        <v>273</v>
      </c>
      <c r="Q264" s="245" t="s">
        <v>3816</v>
      </c>
      <c r="R264" s="297">
        <f>IFERROR(RANK(VLOOKUP($G264,連買!$A:$D,4,0),連買!$D:$D,0),"'沒有資料'")</f>
        <v>99</v>
      </c>
      <c r="S264" s="66">
        <v>3.5</v>
      </c>
      <c r="T264" s="353">
        <f t="shared" si="56"/>
        <v>3.017241379310345E-2</v>
      </c>
      <c r="U264" s="95">
        <v>2.09</v>
      </c>
      <c r="V264" s="36">
        <f>RTD("money.excel",,"3708","Price")</f>
        <v>116</v>
      </c>
      <c r="W264" s="66"/>
      <c r="X264" s="15">
        <f t="shared" si="57"/>
        <v>116</v>
      </c>
      <c r="Y264" s="3" t="e">
        <f t="shared" si="58"/>
        <v>#DIV/0!</v>
      </c>
      <c r="Z264" s="413" t="s">
        <v>1997</v>
      </c>
      <c r="AA264" s="161">
        <v>0</v>
      </c>
      <c r="AB264" s="409">
        <v>0</v>
      </c>
      <c r="AC264" s="259">
        <f t="shared" si="60"/>
        <v>0</v>
      </c>
      <c r="AD264" s="22" t="s">
        <v>3919</v>
      </c>
      <c r="AG264" s="33">
        <f t="shared" si="59"/>
        <v>0</v>
      </c>
      <c r="AH264" s="43" t="s">
        <v>3920</v>
      </c>
      <c r="AI264" s="63">
        <f t="shared" si="54"/>
        <v>8.7294117647058828E-2</v>
      </c>
      <c r="AJ264" s="307">
        <f>RTD("money.excel",,$G264,"PredictVolume")</f>
        <v>8162</v>
      </c>
      <c r="AK264" s="339">
        <v>24.53</v>
      </c>
    </row>
    <row r="265" spans="1:37">
      <c r="A265" s="416">
        <v>7.23</v>
      </c>
      <c r="B265" s="91">
        <v>-109</v>
      </c>
      <c r="C265" s="206">
        <v>-1092</v>
      </c>
      <c r="D265" s="91">
        <v>95</v>
      </c>
      <c r="E265" s="91">
        <v>60</v>
      </c>
      <c r="F265" s="6">
        <v>-3.92</v>
      </c>
      <c r="G265" s="79">
        <v>4702</v>
      </c>
      <c r="H265" s="8" t="s">
        <v>3879</v>
      </c>
      <c r="I265" s="16" t="s">
        <v>3921</v>
      </c>
      <c r="J265" s="73">
        <v>71.290000000000006</v>
      </c>
      <c r="K265" s="73">
        <v>49.31</v>
      </c>
      <c r="N265" s="318">
        <f t="shared" si="55"/>
        <v>120.60000000000001</v>
      </c>
      <c r="O265" s="81">
        <f>IFERROR(VLOOKUP($G265,'321買'!A:E,3,0),"'沒有資料'")</f>
        <v>7</v>
      </c>
      <c r="P265" s="380">
        <f>IFERROR(VLOOKUP($G265,'321買'!$A:$G,7,0),"'沒有資料'")</f>
        <v>499</v>
      </c>
      <c r="R265" s="297">
        <f>IFERROR(RANK(VLOOKUP($G265,連買!$A:$D,4,0),連買!$D:$D,0),"'沒有資料'")</f>
        <v>948</v>
      </c>
      <c r="S265" s="34">
        <v>0</v>
      </c>
      <c r="T265" s="353">
        <f t="shared" si="56"/>
        <v>0</v>
      </c>
      <c r="U265" s="57">
        <v>0.6</v>
      </c>
      <c r="V265" s="13">
        <f>RTD("money.excel",,"4702","Price")</f>
        <v>18.100000000000001</v>
      </c>
      <c r="W265" s="66"/>
      <c r="X265" s="15">
        <f t="shared" si="57"/>
        <v>18.100000000000001</v>
      </c>
      <c r="Y265" s="3" t="e">
        <f t="shared" si="58"/>
        <v>#DIV/0!</v>
      </c>
      <c r="AA265" s="161">
        <v>0</v>
      </c>
      <c r="AB265" s="409">
        <v>0</v>
      </c>
      <c r="AC265" s="259">
        <f t="shared" si="60"/>
        <v>0</v>
      </c>
      <c r="AD265" s="16" t="s">
        <v>3921</v>
      </c>
      <c r="AG265" s="33">
        <f t="shared" si="59"/>
        <v>0</v>
      </c>
      <c r="AH265" s="43" t="s">
        <v>2822</v>
      </c>
      <c r="AI265" s="63">
        <f t="shared" si="54"/>
        <v>4.7413554633471647E-2</v>
      </c>
      <c r="AJ265" s="307">
        <f>RTD("money.excel",,$G265,"PredictVolume")</f>
        <v>3428</v>
      </c>
      <c r="AK265" s="339"/>
    </row>
    <row r="266" spans="1:37">
      <c r="A266" s="416">
        <v>7.9</v>
      </c>
      <c r="B266" s="91">
        <v>-4</v>
      </c>
      <c r="C266" s="91">
        <v>-15</v>
      </c>
      <c r="D266" s="91">
        <v>8</v>
      </c>
      <c r="E266" s="91">
        <v>36</v>
      </c>
      <c r="F266" s="6">
        <v>6.64</v>
      </c>
      <c r="G266" s="79">
        <v>4706</v>
      </c>
      <c r="H266" s="8" t="s">
        <v>3879</v>
      </c>
      <c r="I266" s="16" t="s">
        <v>3922</v>
      </c>
      <c r="J266" s="73">
        <v>65.239999999999995</v>
      </c>
      <c r="K266" s="73">
        <v>30.65</v>
      </c>
      <c r="L266" s="73">
        <v>0.17</v>
      </c>
      <c r="N266" s="318">
        <f t="shared" si="55"/>
        <v>96.059999999999988</v>
      </c>
      <c r="O266" s="81" t="str">
        <f>IFERROR(VLOOKUP($G266,'321買'!A:E,3,0),"'沒有資料'")</f>
        <v>'沒有資料'</v>
      </c>
      <c r="P266" s="380" t="str">
        <f>IFERROR(VLOOKUP($G266,'321買'!$A:$G,7,0),"'沒有資料'")</f>
        <v>'沒有資料'</v>
      </c>
      <c r="R266" s="297">
        <f>IFERROR(RANK(VLOOKUP($G266,連買!$A:$D,4,0),連買!$D:$D,0),"'沒有資料'")</f>
        <v>1071</v>
      </c>
      <c r="S266" s="34">
        <v>0.8</v>
      </c>
      <c r="T266" s="353">
        <f t="shared" si="56"/>
        <v>4.3715846994535519E-2</v>
      </c>
      <c r="U266" s="95">
        <v>1.22</v>
      </c>
      <c r="V266" s="13">
        <f>RTD("money.excel",,"4706","Price")</f>
        <v>18.3</v>
      </c>
      <c r="W266" s="66"/>
      <c r="X266" s="15">
        <f t="shared" si="57"/>
        <v>18.3</v>
      </c>
      <c r="Y266" s="3" t="e">
        <f t="shared" si="58"/>
        <v>#DIV/0!</v>
      </c>
      <c r="AA266" s="161">
        <v>0</v>
      </c>
      <c r="AB266" s="409">
        <v>0</v>
      </c>
      <c r="AC266" s="259">
        <f t="shared" si="60"/>
        <v>0</v>
      </c>
      <c r="AD266" s="16" t="s">
        <v>3922</v>
      </c>
      <c r="AG266" s="33">
        <f t="shared" si="59"/>
        <v>0</v>
      </c>
      <c r="AH266" s="43" t="s">
        <v>3923</v>
      </c>
      <c r="AI266" s="63">
        <f t="shared" si="54"/>
        <v>3.037974683544304E-4</v>
      </c>
      <c r="AJ266" s="307">
        <f>RTD("money.excel",,$G266,"PredictVolume")</f>
        <v>24</v>
      </c>
      <c r="AK266" s="339"/>
    </row>
    <row r="267" spans="1:37">
      <c r="A267" s="416">
        <v>30.2</v>
      </c>
      <c r="B267" s="91">
        <v>-17</v>
      </c>
      <c r="C267" s="91">
        <v>-23</v>
      </c>
      <c r="D267" s="91">
        <v>-22</v>
      </c>
      <c r="E267" s="91">
        <v>4</v>
      </c>
      <c r="F267" s="6">
        <v>1.81</v>
      </c>
      <c r="G267" s="79">
        <v>4707</v>
      </c>
      <c r="H267" s="8" t="s">
        <v>3879</v>
      </c>
      <c r="I267" s="16" t="s">
        <v>3924</v>
      </c>
      <c r="J267" s="73">
        <v>71.290000000000006</v>
      </c>
      <c r="K267" s="73">
        <v>0.15</v>
      </c>
      <c r="L267" s="73">
        <v>11.45</v>
      </c>
      <c r="N267" s="318">
        <f t="shared" si="55"/>
        <v>82.890000000000015</v>
      </c>
      <c r="O267" s="81">
        <f>IFERROR(VLOOKUP($G267,'321買'!A:E,3,0),"'沒有資料'")</f>
        <v>0</v>
      </c>
      <c r="P267" s="380">
        <f>IFERROR(VLOOKUP($G267,'321買'!$A:$G,7,0),"'沒有資料'")</f>
        <v>911</v>
      </c>
      <c r="R267" s="297">
        <f>IFERROR(RANK(VLOOKUP($G267,連買!$A:$D,4,0),連買!$D:$D,0),"'沒有資料'")</f>
        <v>1226</v>
      </c>
      <c r="S267" s="34">
        <v>1</v>
      </c>
      <c r="T267" s="353">
        <f t="shared" si="56"/>
        <v>7.575757575757576E-2</v>
      </c>
      <c r="U267" s="95">
        <v>0.84</v>
      </c>
      <c r="V267" s="13">
        <f>RTD("money.excel",,"4707","Price")</f>
        <v>13.2</v>
      </c>
      <c r="W267" s="66"/>
      <c r="X267" s="15">
        <f t="shared" si="57"/>
        <v>13.2</v>
      </c>
      <c r="Y267" s="3" t="e">
        <f t="shared" si="58"/>
        <v>#DIV/0!</v>
      </c>
      <c r="AA267" s="161">
        <v>0</v>
      </c>
      <c r="AB267" s="409">
        <v>0</v>
      </c>
      <c r="AC267" s="259">
        <f t="shared" si="60"/>
        <v>0</v>
      </c>
      <c r="AD267" s="16" t="s">
        <v>3924</v>
      </c>
      <c r="AG267" s="33">
        <f t="shared" si="59"/>
        <v>0</v>
      </c>
      <c r="AH267" s="43" t="s">
        <v>3925</v>
      </c>
      <c r="AI267" s="63">
        <f t="shared" si="54"/>
        <v>4.4403973509933772E-3</v>
      </c>
      <c r="AJ267" s="307">
        <f>RTD("money.excel",,$G267,"PredictVolume")</f>
        <v>1341</v>
      </c>
      <c r="AK267" s="339"/>
    </row>
    <row r="268" spans="1:37">
      <c r="A268" s="416">
        <v>6.11</v>
      </c>
      <c r="B268" s="91">
        <v>40</v>
      </c>
      <c r="C268" s="91">
        <v>8</v>
      </c>
      <c r="D268" s="91">
        <v>0</v>
      </c>
      <c r="E268" s="91">
        <v>30</v>
      </c>
      <c r="F268" s="6">
        <v>3.36</v>
      </c>
      <c r="G268" s="79">
        <v>4711</v>
      </c>
      <c r="H268" s="8" t="s">
        <v>3879</v>
      </c>
      <c r="I268" s="16" t="s">
        <v>3926</v>
      </c>
      <c r="J268" s="73">
        <v>65.53</v>
      </c>
      <c r="K268" s="73">
        <v>0.41</v>
      </c>
      <c r="L268" s="73">
        <v>1.1299999999999999</v>
      </c>
      <c r="N268" s="318">
        <f t="shared" si="55"/>
        <v>67.069999999999993</v>
      </c>
      <c r="O268" s="81">
        <f>IFERROR(VLOOKUP($G268,'321買'!A:E,3,0),"'沒有資料'")</f>
        <v>11</v>
      </c>
      <c r="P268" s="380">
        <f>IFERROR(VLOOKUP($G268,'321買'!$A:$G,7,0),"'沒有資料'")</f>
        <v>408</v>
      </c>
      <c r="R268" s="297">
        <f>IFERROR(RANK(VLOOKUP($G268,連買!$A:$D,4,0),連買!$D:$D,0),"'沒有資料'")</f>
        <v>938</v>
      </c>
      <c r="S268" s="34">
        <v>0.8</v>
      </c>
      <c r="T268" s="353">
        <f t="shared" si="56"/>
        <v>4.336043360433605E-2</v>
      </c>
      <c r="U268" s="95">
        <v>0.91</v>
      </c>
      <c r="V268" s="13">
        <f>RTD("money.excel",,"4711","Price")</f>
        <v>18.45</v>
      </c>
      <c r="W268" s="66"/>
      <c r="X268" s="15">
        <f t="shared" si="57"/>
        <v>18.45</v>
      </c>
      <c r="Y268" s="3" t="e">
        <f t="shared" si="58"/>
        <v>#DIV/0!</v>
      </c>
      <c r="AA268" s="161">
        <v>0</v>
      </c>
      <c r="AB268" s="409">
        <v>0</v>
      </c>
      <c r="AC268" s="259">
        <f t="shared" si="60"/>
        <v>0</v>
      </c>
      <c r="AD268" s="16" t="s">
        <v>3926</v>
      </c>
      <c r="AG268" s="33">
        <f t="shared" si="59"/>
        <v>0</v>
      </c>
      <c r="AH268" s="43" t="s">
        <v>2823</v>
      </c>
      <c r="AI268" s="63">
        <f t="shared" si="54"/>
        <v>6.0556464811783962E-4</v>
      </c>
      <c r="AJ268" s="307">
        <f>RTD("money.excel",,$G268,"PredictVolume")</f>
        <v>37</v>
      </c>
      <c r="AK268" s="339"/>
    </row>
    <row r="269" spans="1:37">
      <c r="A269" s="416">
        <v>11.6</v>
      </c>
      <c r="B269" s="80">
        <v>-40</v>
      </c>
      <c r="C269" s="80">
        <v>-198</v>
      </c>
      <c r="D269" s="79">
        <v>28</v>
      </c>
      <c r="E269" s="79">
        <v>543</v>
      </c>
      <c r="F269" s="6">
        <v>-7.18</v>
      </c>
      <c r="G269" s="79">
        <v>4714</v>
      </c>
      <c r="H269" s="8" t="s">
        <v>3879</v>
      </c>
      <c r="I269" s="16" t="s">
        <v>3927</v>
      </c>
      <c r="J269" s="323">
        <v>25.5</v>
      </c>
      <c r="K269" s="73">
        <v>1.24</v>
      </c>
      <c r="L269" s="73">
        <v>18.07</v>
      </c>
      <c r="N269" s="318">
        <f t="shared" si="55"/>
        <v>44.81</v>
      </c>
      <c r="O269" s="81">
        <f>IFERROR(VLOOKUP($G269,'321買'!A:E,3,0),"'沒有資料'")</f>
        <v>18</v>
      </c>
      <c r="P269" s="380">
        <f>IFERROR(VLOOKUP($G269,'321買'!$A:$G,7,0),"'沒有資料'")</f>
        <v>290</v>
      </c>
      <c r="R269" s="297">
        <f>IFERROR(RANK(VLOOKUP($G269,連買!$A:$D,4,0),連買!$D:$D,0),"'沒有資料'")</f>
        <v>1176</v>
      </c>
      <c r="S269" s="34">
        <v>0.5</v>
      </c>
      <c r="T269" s="353">
        <f t="shared" si="56"/>
        <v>3.7037037037037035E-2</v>
      </c>
      <c r="U269" s="95">
        <v>0.56999999999999995</v>
      </c>
      <c r="V269" s="36">
        <f>RTD("money.excel",,"4714","Price")</f>
        <v>13.5</v>
      </c>
      <c r="W269" s="66"/>
      <c r="X269" s="15">
        <f t="shared" si="57"/>
        <v>13.5</v>
      </c>
      <c r="Y269" s="3" t="e">
        <f t="shared" si="58"/>
        <v>#DIV/0!</v>
      </c>
      <c r="Z269" s="413" t="s">
        <v>1801</v>
      </c>
      <c r="AA269" s="161">
        <v>0</v>
      </c>
      <c r="AB269" s="409">
        <v>0</v>
      </c>
      <c r="AC269" s="259">
        <f t="shared" si="60"/>
        <v>0</v>
      </c>
      <c r="AD269" s="16" t="s">
        <v>3927</v>
      </c>
      <c r="AG269" s="33">
        <f t="shared" si="59"/>
        <v>0</v>
      </c>
      <c r="AH269" s="43" t="s">
        <v>3928</v>
      </c>
      <c r="AI269" s="63">
        <f t="shared" si="54"/>
        <v>2.0344827586206895E-3</v>
      </c>
      <c r="AJ269" s="307">
        <f>RTD("money.excel",,$G269,"PredictVolume")</f>
        <v>236</v>
      </c>
      <c r="AK269" s="339"/>
    </row>
    <row r="270" spans="1:37">
      <c r="A270" s="416">
        <v>7.52</v>
      </c>
      <c r="B270" s="79">
        <v>109</v>
      </c>
      <c r="C270" s="79">
        <v>13</v>
      </c>
      <c r="D270" s="80">
        <v>-14</v>
      </c>
      <c r="E270" s="79">
        <v>24</v>
      </c>
      <c r="F270" s="6">
        <v>4.76</v>
      </c>
      <c r="G270" s="79">
        <v>4716</v>
      </c>
      <c r="H270" s="8" t="s">
        <v>3879</v>
      </c>
      <c r="I270" s="16" t="s">
        <v>3929</v>
      </c>
      <c r="J270" s="323">
        <v>35.590000000000003</v>
      </c>
      <c r="K270" s="323">
        <v>0.24</v>
      </c>
      <c r="L270" s="323">
        <v>58.91</v>
      </c>
      <c r="N270" s="318">
        <f t="shared" si="55"/>
        <v>94.740000000000009</v>
      </c>
      <c r="O270" s="81">
        <f>IFERROR(VLOOKUP($G270,'321買'!A:E,3,0),"'沒有資料'")</f>
        <v>0</v>
      </c>
      <c r="P270" s="380">
        <f>IFERROR(VLOOKUP($G270,'321買'!$A:$G,7,0),"'沒有資料'")</f>
        <v>911</v>
      </c>
      <c r="R270" s="297">
        <f>IFERROR(RANK(VLOOKUP($G270,連買!$A:$D,4,0),連買!$D:$D,0),"'沒有資料'")</f>
        <v>1048</v>
      </c>
      <c r="S270" s="34">
        <v>0.24</v>
      </c>
      <c r="T270" s="353">
        <f t="shared" si="56"/>
        <v>1.4678899082568805E-2</v>
      </c>
      <c r="U270" s="95">
        <v>0.25</v>
      </c>
      <c r="V270" s="36">
        <f>RTD("money.excel",,"4716","Price")</f>
        <v>16.350000000000001</v>
      </c>
      <c r="W270" s="66"/>
      <c r="X270" s="15">
        <f t="shared" si="57"/>
        <v>16.350000000000001</v>
      </c>
      <c r="Y270" s="3" t="e">
        <f t="shared" si="58"/>
        <v>#DIV/0!</v>
      </c>
      <c r="AA270" s="161">
        <v>0</v>
      </c>
      <c r="AB270" s="409">
        <v>0</v>
      </c>
      <c r="AC270" s="259">
        <f t="shared" si="60"/>
        <v>0</v>
      </c>
      <c r="AD270" s="16" t="s">
        <v>3929</v>
      </c>
      <c r="AG270" s="33">
        <f t="shared" si="59"/>
        <v>0</v>
      </c>
      <c r="AH270" s="43" t="s">
        <v>2823</v>
      </c>
      <c r="AI270" s="63">
        <f t="shared" si="54"/>
        <v>9.7207446808510647E-3</v>
      </c>
      <c r="AJ270" s="307">
        <f>RTD("money.excel",,$G270,"PredictVolume")</f>
        <v>731</v>
      </c>
      <c r="AK270" s="339"/>
    </row>
    <row r="271" spans="1:37">
      <c r="A271" s="416">
        <v>9.06</v>
      </c>
      <c r="B271" s="80">
        <v>-10</v>
      </c>
      <c r="C271" s="79">
        <v>30</v>
      </c>
      <c r="D271" s="79">
        <v>21</v>
      </c>
      <c r="E271" s="79">
        <v>14</v>
      </c>
      <c r="F271" s="6">
        <v>2.37</v>
      </c>
      <c r="G271" s="79">
        <v>4720</v>
      </c>
      <c r="H271" s="8" t="s">
        <v>3879</v>
      </c>
      <c r="I271" s="22" t="s">
        <v>3930</v>
      </c>
      <c r="J271" s="73">
        <v>52.25</v>
      </c>
      <c r="K271" s="73">
        <v>3.29</v>
      </c>
      <c r="L271" s="323">
        <v>19.12</v>
      </c>
      <c r="N271" s="318">
        <f t="shared" si="55"/>
        <v>74.66</v>
      </c>
      <c r="O271" s="81">
        <f>IFERROR(VLOOKUP($G271,'321買'!A:E,3,0),"'沒有資料'")</f>
        <v>4</v>
      </c>
      <c r="P271" s="380">
        <f>IFERROR(VLOOKUP($G271,'321買'!$A:$G,7,0),"'沒有資料'")</f>
        <v>592</v>
      </c>
      <c r="R271" s="297">
        <f>IFERROR(RANK(VLOOKUP($G271,連買!$A:$D,4,0),連買!$D:$D,0),"'沒有資料'")</f>
        <v>724</v>
      </c>
      <c r="S271" s="34">
        <v>0.5</v>
      </c>
      <c r="T271" s="353">
        <f t="shared" si="56"/>
        <v>3.2258064516129031E-2</v>
      </c>
      <c r="U271" s="95">
        <v>0.78</v>
      </c>
      <c r="V271" s="36">
        <f>RTD("money.excel",,"4720","Price")</f>
        <v>15.5</v>
      </c>
      <c r="W271" s="66"/>
      <c r="X271" s="15">
        <f t="shared" si="57"/>
        <v>15.5</v>
      </c>
      <c r="Y271" s="3" t="e">
        <f t="shared" si="58"/>
        <v>#DIV/0!</v>
      </c>
      <c r="Z271" s="413" t="s">
        <v>1801</v>
      </c>
      <c r="AA271" s="161">
        <v>0</v>
      </c>
      <c r="AB271" s="409">
        <v>0</v>
      </c>
      <c r="AC271" s="259">
        <f t="shared" si="60"/>
        <v>0</v>
      </c>
      <c r="AD271" s="22" t="s">
        <v>3930</v>
      </c>
      <c r="AG271" s="33">
        <f t="shared" si="59"/>
        <v>0</v>
      </c>
      <c r="AH271" s="43" t="s">
        <v>3931</v>
      </c>
      <c r="AI271" s="63">
        <f t="shared" si="54"/>
        <v>2.7373068432671082E-3</v>
      </c>
      <c r="AJ271" s="307">
        <f>RTD("money.excel",,$G271,"PredictVolume")</f>
        <v>248</v>
      </c>
      <c r="AK271" s="339"/>
    </row>
    <row r="272" spans="1:37">
      <c r="A272" s="415">
        <v>7.5</v>
      </c>
      <c r="B272" s="79">
        <v>192</v>
      </c>
      <c r="C272" s="79">
        <v>175</v>
      </c>
      <c r="D272" s="80">
        <v>-11</v>
      </c>
      <c r="E272" s="79">
        <v>117</v>
      </c>
      <c r="F272" s="57">
        <v>10.11</v>
      </c>
      <c r="G272" s="79">
        <v>4721</v>
      </c>
      <c r="H272" s="8" t="s">
        <v>3879</v>
      </c>
      <c r="I272" s="16" t="s">
        <v>3932</v>
      </c>
      <c r="J272" s="323">
        <v>28.35</v>
      </c>
      <c r="K272" s="73">
        <v>4.78</v>
      </c>
      <c r="L272" s="73">
        <v>32.79</v>
      </c>
      <c r="M272" s="323">
        <v>9.5299999999999994</v>
      </c>
      <c r="N272" s="318">
        <f t="shared" si="55"/>
        <v>75.45</v>
      </c>
      <c r="O272" s="81">
        <f>IFERROR(VLOOKUP($G272,'321買'!A:E,3,0),"'沒有資料'")</f>
        <v>66</v>
      </c>
      <c r="P272" s="380">
        <f>IFERROR(VLOOKUP($G272,'321買'!$A:$G,7,0),"'沒有資料'")</f>
        <v>21</v>
      </c>
      <c r="Q272" s="245" t="s">
        <v>5097</v>
      </c>
      <c r="R272" s="297">
        <f>IFERROR(RANK(VLOOKUP($G272,連買!$A:$D,4,0),連買!$D:$D,0),"'沒有資料'")</f>
        <v>254</v>
      </c>
      <c r="S272" s="66">
        <v>3.8</v>
      </c>
      <c r="T272" s="353">
        <f t="shared" si="56"/>
        <v>2.6573426573426571E-2</v>
      </c>
      <c r="U272" s="95">
        <v>4.8099999999999996</v>
      </c>
      <c r="V272" s="36">
        <f>RTD("money.excel",,"4721","Price")</f>
        <v>143</v>
      </c>
      <c r="W272" s="66"/>
      <c r="X272" s="15">
        <f t="shared" si="57"/>
        <v>143</v>
      </c>
      <c r="Y272" s="3" t="e">
        <f t="shared" si="58"/>
        <v>#DIV/0!</v>
      </c>
      <c r="Z272" s="413" t="s">
        <v>1997</v>
      </c>
      <c r="AA272" s="161">
        <v>0</v>
      </c>
      <c r="AB272" s="409">
        <v>0</v>
      </c>
      <c r="AC272" s="259">
        <f t="shared" si="60"/>
        <v>0</v>
      </c>
      <c r="AD272" s="16" t="s">
        <v>3932</v>
      </c>
      <c r="AG272" s="33">
        <f t="shared" si="59"/>
        <v>0</v>
      </c>
      <c r="AH272" s="120" t="s">
        <v>2473</v>
      </c>
      <c r="AI272" s="63">
        <f t="shared" si="54"/>
        <v>1.2586666666666666E-2</v>
      </c>
      <c r="AJ272" s="307">
        <f>RTD("money.excel",,$G272,"PredictVolume")</f>
        <v>944</v>
      </c>
      <c r="AK272" s="339">
        <v>168.7</v>
      </c>
    </row>
    <row r="273" spans="1:37">
      <c r="A273" s="416">
        <v>10</v>
      </c>
      <c r="B273" s="91">
        <v>-4</v>
      </c>
      <c r="C273" s="91">
        <v>-1</v>
      </c>
      <c r="D273" s="91">
        <v>1</v>
      </c>
      <c r="E273" s="91">
        <v>67</v>
      </c>
      <c r="F273" s="6">
        <v>6.85</v>
      </c>
      <c r="G273" s="79">
        <v>4722</v>
      </c>
      <c r="H273" s="8" t="s">
        <v>3879</v>
      </c>
      <c r="I273" s="22" t="s">
        <v>3933</v>
      </c>
      <c r="J273" s="73">
        <v>51.69</v>
      </c>
      <c r="K273" s="73">
        <v>3.59</v>
      </c>
      <c r="L273" s="73">
        <v>1.1499999999999999</v>
      </c>
      <c r="N273" s="318">
        <f t="shared" si="55"/>
        <v>56.43</v>
      </c>
      <c r="O273" s="81">
        <f>IFERROR(VLOOKUP($G273,'321買'!A:E,3,0),"'沒有資料'")</f>
        <v>11</v>
      </c>
      <c r="P273" s="380">
        <f>IFERROR(VLOOKUP($G273,'321買'!$A:$G,7,0),"'沒有資料'")</f>
        <v>408</v>
      </c>
      <c r="R273" s="297">
        <f>IFERROR(RANK(VLOOKUP($G273,連買!$A:$D,4,0),連買!$D:$D,0),"'沒有資料'")</f>
        <v>481</v>
      </c>
      <c r="S273" s="34">
        <v>2</v>
      </c>
      <c r="T273" s="353">
        <f t="shared" si="56"/>
        <v>4.7961630695443645E-2</v>
      </c>
      <c r="U273" s="95">
        <v>2.81</v>
      </c>
      <c r="V273" s="13">
        <f>RTD("money.excel",,"4722","Price")</f>
        <v>41.7</v>
      </c>
      <c r="W273" s="66"/>
      <c r="X273" s="15">
        <f t="shared" si="57"/>
        <v>41.7</v>
      </c>
      <c r="Y273" s="3" t="e">
        <f t="shared" si="58"/>
        <v>#DIV/0!</v>
      </c>
      <c r="AA273" s="161">
        <v>0</v>
      </c>
      <c r="AB273" s="409">
        <v>0</v>
      </c>
      <c r="AC273" s="259">
        <f t="shared" si="60"/>
        <v>0</v>
      </c>
      <c r="AD273" s="22" t="s">
        <v>3933</v>
      </c>
      <c r="AG273" s="33">
        <f t="shared" si="59"/>
        <v>0</v>
      </c>
      <c r="AH273" s="43" t="s">
        <v>3934</v>
      </c>
      <c r="AI273" s="63">
        <f t="shared" si="54"/>
        <v>2.4499999999999999E-3</v>
      </c>
      <c r="AJ273" s="307">
        <f>RTD("money.excel",,$G273,"PredictVolume")</f>
        <v>245</v>
      </c>
      <c r="AK273" s="339"/>
    </row>
    <row r="274" spans="1:37">
      <c r="A274" s="416">
        <v>10.7</v>
      </c>
      <c r="B274" s="79">
        <v>170</v>
      </c>
      <c r="C274" s="79">
        <v>170</v>
      </c>
      <c r="D274" s="79">
        <v>1</v>
      </c>
      <c r="E274" s="79">
        <v>41</v>
      </c>
      <c r="F274" s="6">
        <v>7.96</v>
      </c>
      <c r="G274" s="79">
        <v>4739</v>
      </c>
      <c r="H274" s="8" t="s">
        <v>3879</v>
      </c>
      <c r="I274" s="22" t="s">
        <v>171</v>
      </c>
      <c r="J274" s="73">
        <v>36.32</v>
      </c>
      <c r="K274" s="73">
        <v>8.36</v>
      </c>
      <c r="L274" s="73">
        <v>43.87</v>
      </c>
      <c r="M274" s="323">
        <v>26.67</v>
      </c>
      <c r="N274" s="318">
        <f t="shared" si="55"/>
        <v>115.22</v>
      </c>
      <c r="O274" s="81">
        <f>IFERROR(VLOOKUP($G274,'321買'!A:E,3,0),"'沒有資料'")</f>
        <v>80</v>
      </c>
      <c r="P274" s="380">
        <f>IFERROR(VLOOKUP($G274,'321買'!$A:$G,7,0),"'沒有資料'")</f>
        <v>18</v>
      </c>
      <c r="Q274" s="245" t="s">
        <v>5088</v>
      </c>
      <c r="R274" s="297">
        <f>IFERROR(RANK(VLOOKUP($G274,連買!$A:$D,4,0),連買!$D:$D,0),"'沒有資料'")</f>
        <v>127</v>
      </c>
      <c r="S274" s="45">
        <v>3</v>
      </c>
      <c r="T274" s="353">
        <f t="shared" si="56"/>
        <v>1.9736842105263157E-2</v>
      </c>
      <c r="U274" s="95">
        <v>4.7</v>
      </c>
      <c r="V274" s="36">
        <f>RTD("money.excel",,"4739","Price")</f>
        <v>152</v>
      </c>
      <c r="W274" s="66"/>
      <c r="X274" s="15">
        <f t="shared" si="57"/>
        <v>152</v>
      </c>
      <c r="Y274" s="3" t="e">
        <f t="shared" si="58"/>
        <v>#DIV/0!</v>
      </c>
      <c r="Z274" s="413">
        <v>-6.23</v>
      </c>
      <c r="AA274" s="161">
        <v>0</v>
      </c>
      <c r="AB274" s="409">
        <v>0</v>
      </c>
      <c r="AC274" s="259">
        <f t="shared" si="60"/>
        <v>0</v>
      </c>
      <c r="AD274" s="22" t="s">
        <v>171</v>
      </c>
      <c r="AG274" s="33">
        <f t="shared" si="59"/>
        <v>0</v>
      </c>
      <c r="AH274" s="120" t="s">
        <v>2473</v>
      </c>
      <c r="AI274" s="63">
        <f t="shared" si="54"/>
        <v>2.6205607476635515E-2</v>
      </c>
      <c r="AJ274" s="307">
        <f>RTD("money.excel",,$G274,"PredictVolume")</f>
        <v>2804</v>
      </c>
      <c r="AK274" s="339">
        <v>55.56</v>
      </c>
    </row>
    <row r="275" spans="1:37">
      <c r="A275" s="416">
        <v>3.28</v>
      </c>
      <c r="B275" s="80">
        <v>-27</v>
      </c>
      <c r="C275" s="80">
        <v>-38</v>
      </c>
      <c r="D275" s="79">
        <v>10</v>
      </c>
      <c r="E275" s="79">
        <v>78</v>
      </c>
      <c r="F275" s="6">
        <v>4.58</v>
      </c>
      <c r="G275" s="79">
        <v>4741</v>
      </c>
      <c r="H275" s="8" t="s">
        <v>3879</v>
      </c>
      <c r="I275" s="16" t="s">
        <v>3936</v>
      </c>
      <c r="J275" s="323">
        <v>46.58</v>
      </c>
      <c r="K275" s="73">
        <v>0.19</v>
      </c>
      <c r="L275" s="323">
        <v>2.59</v>
      </c>
      <c r="N275" s="318">
        <f t="shared" si="55"/>
        <v>49.36</v>
      </c>
      <c r="O275" s="81" t="str">
        <f>IFERROR(VLOOKUP($G275,'321買'!A:E,3,0),"'沒有資料'")</f>
        <v>'沒有資料'</v>
      </c>
      <c r="P275" s="380" t="str">
        <f>IFERROR(VLOOKUP($G275,'321買'!$A:$G,7,0),"'沒有資料'")</f>
        <v>'沒有資料'</v>
      </c>
      <c r="R275" s="297">
        <f>IFERROR(RANK(VLOOKUP($G275,連買!$A:$D,4,0),連買!$D:$D,0),"'沒有資料'")</f>
        <v>887</v>
      </c>
      <c r="S275" s="34">
        <v>0.6</v>
      </c>
      <c r="T275" s="353">
        <f t="shared" si="56"/>
        <v>2.3715415019762844E-2</v>
      </c>
      <c r="U275" s="95">
        <v>0.91</v>
      </c>
      <c r="V275" s="13">
        <f>RTD("money.excel",,"4741","Price")</f>
        <v>25.3</v>
      </c>
      <c r="W275" s="66"/>
      <c r="X275" s="15">
        <f t="shared" si="57"/>
        <v>25.3</v>
      </c>
      <c r="Y275" s="3" t="e">
        <f t="shared" si="58"/>
        <v>#DIV/0!</v>
      </c>
      <c r="AA275" s="161">
        <v>0</v>
      </c>
      <c r="AB275" s="409">
        <v>0</v>
      </c>
      <c r="AC275" s="259">
        <f t="shared" si="60"/>
        <v>0</v>
      </c>
      <c r="AD275" s="16" t="s">
        <v>3936</v>
      </c>
      <c r="AG275" s="33">
        <f t="shared" si="59"/>
        <v>0</v>
      </c>
      <c r="AH275" s="43" t="s">
        <v>3937</v>
      </c>
      <c r="AI275" s="63">
        <f t="shared" si="54"/>
        <v>2.1341463414634146E-4</v>
      </c>
      <c r="AJ275" s="307">
        <f>RTD("money.excel",,$G275,"PredictVolume")</f>
        <v>7</v>
      </c>
      <c r="AK275" s="339"/>
    </row>
    <row r="276" spans="1:37">
      <c r="A276" s="415">
        <v>2.16</v>
      </c>
      <c r="B276" s="91">
        <v>-20</v>
      </c>
      <c r="C276" s="91">
        <v>-17</v>
      </c>
      <c r="D276" s="91">
        <v>21</v>
      </c>
      <c r="E276" s="91">
        <v>10</v>
      </c>
      <c r="F276" s="57">
        <v>14.47</v>
      </c>
      <c r="G276" s="79">
        <v>4754</v>
      </c>
      <c r="H276" s="8" t="s">
        <v>3879</v>
      </c>
      <c r="I276" s="16" t="s">
        <v>3938</v>
      </c>
      <c r="J276" s="73">
        <v>37.85</v>
      </c>
      <c r="K276" s="323">
        <v>0.28999999999999998</v>
      </c>
      <c r="N276" s="318">
        <f t="shared" si="55"/>
        <v>38.14</v>
      </c>
      <c r="O276" s="81" t="str">
        <f>IFERROR(VLOOKUP($G276,'321買'!A:E,3,0),"'沒有資料'")</f>
        <v>'沒有資料'</v>
      </c>
      <c r="P276" s="380" t="str">
        <f>IFERROR(VLOOKUP($G276,'321買'!$A:$G,7,0),"'沒有資料'")</f>
        <v>'沒有資料'</v>
      </c>
      <c r="R276" s="297">
        <f>IFERROR(RANK(VLOOKUP($G276,連買!$A:$D,4,0),連買!$D:$D,0),"'沒有資料'")</f>
        <v>1340</v>
      </c>
      <c r="S276" s="34">
        <v>2.1</v>
      </c>
      <c r="T276" s="353">
        <f t="shared" si="56"/>
        <v>5.2830188679245285E-2</v>
      </c>
      <c r="U276" s="57">
        <v>2.6</v>
      </c>
      <c r="V276" s="36">
        <f>RTD("money.excel",,"4754","Price")</f>
        <v>39.75</v>
      </c>
      <c r="W276" s="66"/>
      <c r="X276" s="15">
        <f t="shared" si="57"/>
        <v>39.75</v>
      </c>
      <c r="Y276" s="3" t="e">
        <f t="shared" si="58"/>
        <v>#DIV/0!</v>
      </c>
      <c r="AA276" s="161">
        <v>0</v>
      </c>
      <c r="AB276" s="409">
        <v>0</v>
      </c>
      <c r="AC276" s="259">
        <f t="shared" si="60"/>
        <v>0</v>
      </c>
      <c r="AD276" s="16" t="s">
        <v>3938</v>
      </c>
      <c r="AG276" s="33">
        <f t="shared" si="59"/>
        <v>0</v>
      </c>
      <c r="AH276" s="43" t="s">
        <v>3939</v>
      </c>
      <c r="AI276" s="63">
        <f t="shared" si="54"/>
        <v>6.9444444444444447E-4</v>
      </c>
      <c r="AJ276" s="307">
        <f>RTD("money.excel",,$G276,"PredictVolume")</f>
        <v>15</v>
      </c>
      <c r="AK276" s="339"/>
    </row>
    <row r="277" spans="1:37">
      <c r="A277" s="415">
        <v>10</v>
      </c>
      <c r="B277" s="79">
        <v>21</v>
      </c>
      <c r="C277" s="79">
        <v>4</v>
      </c>
      <c r="D277" s="79">
        <v>14</v>
      </c>
      <c r="E277" s="79">
        <v>79</v>
      </c>
      <c r="F277" s="57">
        <v>11.75</v>
      </c>
      <c r="G277" s="79">
        <v>4755</v>
      </c>
      <c r="H277" s="8" t="s">
        <v>757</v>
      </c>
      <c r="I277" s="22" t="s">
        <v>770</v>
      </c>
      <c r="J277" s="323">
        <v>69.63</v>
      </c>
      <c r="K277" s="73">
        <v>30.78</v>
      </c>
      <c r="L277" s="323">
        <v>8.74</v>
      </c>
      <c r="M277" s="323">
        <v>30.06</v>
      </c>
      <c r="N277" s="73">
        <f t="shared" si="55"/>
        <v>139.20999999999998</v>
      </c>
      <c r="O277" s="81">
        <f>IFERROR(VLOOKUP($G277,'321買'!A:E,3,0),"'沒有資料'")</f>
        <v>13</v>
      </c>
      <c r="P277" s="380">
        <f>IFERROR(VLOOKUP($G277,'321買'!$A:$G,7,0),"'沒有資料'")</f>
        <v>368</v>
      </c>
      <c r="Q277" s="245" t="s">
        <v>3816</v>
      </c>
      <c r="R277" s="297">
        <f>IFERROR(RANK(VLOOKUP($G277,連買!$A:$D,4,0),連買!$D:$D,0),"'沒有資料'")</f>
        <v>210</v>
      </c>
      <c r="S277" s="66">
        <v>3</v>
      </c>
      <c r="T277" s="353">
        <f t="shared" si="56"/>
        <v>1.6E-2</v>
      </c>
      <c r="U277" s="57">
        <v>4.74</v>
      </c>
      <c r="V277" s="36">
        <f>RTD("money.excel",,"4755","Price")</f>
        <v>187.5</v>
      </c>
      <c r="W277" s="66"/>
      <c r="X277" s="15">
        <f t="shared" si="57"/>
        <v>187.5</v>
      </c>
      <c r="Y277" s="3" t="e">
        <f t="shared" si="58"/>
        <v>#DIV/0!</v>
      </c>
      <c r="Z277" s="413" t="s">
        <v>1997</v>
      </c>
      <c r="AA277" s="161">
        <v>0</v>
      </c>
      <c r="AB277" s="409">
        <v>0</v>
      </c>
      <c r="AC277" s="259">
        <f t="shared" si="60"/>
        <v>0</v>
      </c>
      <c r="AD277" s="22" t="s">
        <v>770</v>
      </c>
      <c r="AG277" s="33">
        <f t="shared" si="59"/>
        <v>0</v>
      </c>
      <c r="AH277" s="43" t="s">
        <v>3940</v>
      </c>
      <c r="AI277" s="63">
        <f t="shared" si="54"/>
        <v>5.0029999999999998E-2</v>
      </c>
      <c r="AJ277" s="307">
        <f>RTD("money.excel",,$G277,"PredictVolume")</f>
        <v>5003</v>
      </c>
      <c r="AK277" s="339">
        <v>27.64</v>
      </c>
    </row>
    <row r="278" spans="1:37">
      <c r="A278" s="415">
        <v>5.81</v>
      </c>
      <c r="B278" s="80">
        <v>-29</v>
      </c>
      <c r="C278" s="80">
        <v>-29</v>
      </c>
      <c r="D278" s="79">
        <v>72</v>
      </c>
      <c r="E278" s="79">
        <v>45</v>
      </c>
      <c r="F278" s="57">
        <v>12.97</v>
      </c>
      <c r="G278" s="79">
        <v>4763</v>
      </c>
      <c r="H278" s="8" t="s">
        <v>3879</v>
      </c>
      <c r="I278" s="22" t="s">
        <v>3941</v>
      </c>
      <c r="J278" s="323">
        <v>40.68</v>
      </c>
      <c r="K278" s="73">
        <v>68.64</v>
      </c>
      <c r="L278" s="73">
        <v>0.13</v>
      </c>
      <c r="M278" s="73">
        <v>20.48</v>
      </c>
      <c r="N278" s="318">
        <f t="shared" si="55"/>
        <v>129.92999999999998</v>
      </c>
      <c r="O278" s="81">
        <f>IFERROR(VLOOKUP($G278,'321買'!A:E,3,0),"'沒有資料'")</f>
        <v>0</v>
      </c>
      <c r="P278" s="380">
        <f>IFERROR(VLOOKUP($G278,'321買'!$A:$G,7,0),"'沒有資料'")</f>
        <v>911</v>
      </c>
      <c r="Q278" s="388" t="s">
        <v>3816</v>
      </c>
      <c r="R278" s="297">
        <f>IFERROR(RANK(VLOOKUP($G278,連買!$A:$D,4,0),連買!$D:$D,0),"'沒有資料'")</f>
        <v>33</v>
      </c>
      <c r="S278" s="45">
        <v>5.5</v>
      </c>
      <c r="T278" s="353">
        <f t="shared" si="56"/>
        <v>5.5331991951710256E-2</v>
      </c>
      <c r="U278" s="95">
        <v>9.18</v>
      </c>
      <c r="V278" s="13">
        <f>RTD("money.excel",,"4763","Price")</f>
        <v>99.4</v>
      </c>
      <c r="W278" s="66"/>
      <c r="X278" s="15">
        <f t="shared" si="57"/>
        <v>99.4</v>
      </c>
      <c r="Y278" s="3" t="e">
        <f t="shared" si="58"/>
        <v>#DIV/0!</v>
      </c>
      <c r="Z278" s="413">
        <v>-28.61</v>
      </c>
      <c r="AA278" s="161">
        <v>0</v>
      </c>
      <c r="AB278" s="409">
        <v>0</v>
      </c>
      <c r="AC278" s="259">
        <f t="shared" si="60"/>
        <v>0</v>
      </c>
      <c r="AD278" s="22" t="s">
        <v>3941</v>
      </c>
      <c r="AG278" s="33">
        <f t="shared" si="59"/>
        <v>0</v>
      </c>
      <c r="AH278" s="43" t="s">
        <v>3942</v>
      </c>
      <c r="AI278" s="63">
        <f t="shared" si="54"/>
        <v>2.0998278829604134E-3</v>
      </c>
      <c r="AJ278" s="307">
        <f>RTD("money.excel",,$G278,"PredictVolume")</f>
        <v>122</v>
      </c>
      <c r="AK278" s="339">
        <v>3.66</v>
      </c>
    </row>
    <row r="279" spans="1:37">
      <c r="A279" s="416">
        <v>7.54</v>
      </c>
      <c r="B279" s="91">
        <v>-42</v>
      </c>
      <c r="C279" s="91">
        <v>-51</v>
      </c>
      <c r="D279" s="91">
        <v>-1</v>
      </c>
      <c r="E279" s="91">
        <v>-25</v>
      </c>
      <c r="F279" s="6">
        <v>9.6</v>
      </c>
      <c r="G279" s="79">
        <v>4764</v>
      </c>
      <c r="H279" s="8" t="s">
        <v>3879</v>
      </c>
      <c r="I279" s="22" t="s">
        <v>3943</v>
      </c>
      <c r="J279" s="73">
        <v>81.2</v>
      </c>
      <c r="K279" s="73">
        <v>37.25</v>
      </c>
      <c r="L279" s="73">
        <v>4.12</v>
      </c>
      <c r="N279" s="318">
        <f t="shared" si="55"/>
        <v>122.57000000000001</v>
      </c>
      <c r="O279" s="81">
        <f>IFERROR(VLOOKUP($G279,'321買'!A:E,3,0),"'沒有資料'")</f>
        <v>0</v>
      </c>
      <c r="P279" s="380">
        <f>IFERROR(VLOOKUP($G279,'321買'!$A:$G,7,0),"'沒有資料'")</f>
        <v>911</v>
      </c>
      <c r="R279" s="297">
        <f>IFERROR(RANK(VLOOKUP($G279,連買!$A:$D,4,0),連買!$D:$D,0),"'沒有資料'")</f>
        <v>360</v>
      </c>
      <c r="S279" s="34">
        <v>1</v>
      </c>
      <c r="T279" s="353">
        <f t="shared" si="56"/>
        <v>1.7543859649122806E-2</v>
      </c>
      <c r="U279" s="95">
        <v>0.81</v>
      </c>
      <c r="V279" s="36">
        <f>RTD("money.excel",,"4764","Price")</f>
        <v>57</v>
      </c>
      <c r="W279" s="66"/>
      <c r="X279" s="15">
        <f t="shared" si="57"/>
        <v>57</v>
      </c>
      <c r="Y279" s="3" t="e">
        <f t="shared" si="58"/>
        <v>#DIV/0!</v>
      </c>
      <c r="Z279" s="413" t="s">
        <v>1801</v>
      </c>
      <c r="AA279" s="161">
        <v>0</v>
      </c>
      <c r="AB279" s="409">
        <v>0</v>
      </c>
      <c r="AC279" s="259">
        <f t="shared" si="60"/>
        <v>0</v>
      </c>
      <c r="AD279" s="22" t="s">
        <v>3943</v>
      </c>
      <c r="AG279" s="33">
        <f t="shared" si="59"/>
        <v>0</v>
      </c>
      <c r="AH279" s="43" t="s">
        <v>3944</v>
      </c>
      <c r="AI279" s="63">
        <f t="shared" si="54"/>
        <v>1.326259946949602E-4</v>
      </c>
      <c r="AJ279" s="307">
        <f>RTD("money.excel",,$G279,"PredictVolume")</f>
        <v>10</v>
      </c>
      <c r="AK279" s="339"/>
    </row>
    <row r="280" spans="1:37">
      <c r="A280" s="416">
        <v>12</v>
      </c>
      <c r="B280" s="80">
        <v>-17</v>
      </c>
      <c r="C280" s="80">
        <v>-28</v>
      </c>
      <c r="D280" s="79">
        <v>9</v>
      </c>
      <c r="E280" s="80">
        <v>-8</v>
      </c>
      <c r="F280" s="6">
        <v>7.49</v>
      </c>
      <c r="G280" s="79">
        <v>4766</v>
      </c>
      <c r="H280" s="8" t="s">
        <v>3879</v>
      </c>
      <c r="I280" s="22" t="s">
        <v>3945</v>
      </c>
      <c r="J280" s="323">
        <v>74.75</v>
      </c>
      <c r="K280" s="73">
        <v>13.2</v>
      </c>
      <c r="L280" s="73">
        <v>1.24</v>
      </c>
      <c r="N280" s="318">
        <f t="shared" si="55"/>
        <v>89.19</v>
      </c>
      <c r="O280" s="81">
        <f>IFERROR(VLOOKUP($G280,'321買'!A:E,3,0),"'沒有資料'")</f>
        <v>0</v>
      </c>
      <c r="P280" s="380">
        <f>IFERROR(VLOOKUP($G280,'321買'!$A:$G,7,0),"'沒有資料'")</f>
        <v>911</v>
      </c>
      <c r="R280" s="297">
        <f>IFERROR(RANK(VLOOKUP($G280,連買!$A:$D,4,0),連買!$D:$D,0),"'沒有資料'")</f>
        <v>1689</v>
      </c>
      <c r="S280" s="66">
        <v>7</v>
      </c>
      <c r="T280" s="353">
        <f t="shared" si="56"/>
        <v>5.4263565891472867E-2</v>
      </c>
      <c r="U280" s="95">
        <v>10.119999999999999</v>
      </c>
      <c r="V280" s="36">
        <f>RTD("money.excel",,"4766","Price")</f>
        <v>129</v>
      </c>
      <c r="W280" s="66"/>
      <c r="X280" s="15">
        <f t="shared" si="57"/>
        <v>129</v>
      </c>
      <c r="Y280" s="3" t="e">
        <f t="shared" si="58"/>
        <v>#DIV/0!</v>
      </c>
      <c r="Z280" s="413" t="s">
        <v>1997</v>
      </c>
      <c r="AA280" s="161">
        <v>0</v>
      </c>
      <c r="AB280" s="409">
        <v>0</v>
      </c>
      <c r="AC280" s="259">
        <f t="shared" si="60"/>
        <v>0</v>
      </c>
      <c r="AD280" s="22" t="s">
        <v>3945</v>
      </c>
      <c r="AG280" s="33">
        <f t="shared" si="59"/>
        <v>0</v>
      </c>
      <c r="AH280" s="43" t="s">
        <v>3946</v>
      </c>
      <c r="AI280" s="63">
        <f t="shared" si="54"/>
        <v>2.2499999999999999E-4</v>
      </c>
      <c r="AJ280" s="307">
        <f>RTD("money.excel",,$G280,"PredictVolume")</f>
        <v>27</v>
      </c>
      <c r="AK280" s="339"/>
    </row>
    <row r="281" spans="1:37">
      <c r="A281" s="416">
        <v>3.14</v>
      </c>
      <c r="B281" s="91">
        <v>16</v>
      </c>
      <c r="C281" s="91">
        <v>14</v>
      </c>
      <c r="D281" s="91">
        <v>14</v>
      </c>
      <c r="E281" s="91">
        <v>27</v>
      </c>
      <c r="F281" s="6">
        <v>7.25</v>
      </c>
      <c r="G281" s="79">
        <v>4767</v>
      </c>
      <c r="H281" s="8" t="s">
        <v>3879</v>
      </c>
      <c r="I281" s="16" t="s">
        <v>3947</v>
      </c>
      <c r="J281" s="73">
        <v>72.33</v>
      </c>
      <c r="K281" s="73">
        <v>2.38</v>
      </c>
      <c r="N281" s="318">
        <f t="shared" si="55"/>
        <v>74.709999999999994</v>
      </c>
      <c r="O281" s="81" t="str">
        <f>IFERROR(VLOOKUP($G281,'321買'!A:E,3,0),"'沒有資料'")</f>
        <v>'沒有資料'</v>
      </c>
      <c r="P281" s="380" t="str">
        <f>IFERROR(VLOOKUP($G281,'321買'!$A:$G,7,0),"'沒有資料'")</f>
        <v>'沒有資料'</v>
      </c>
      <c r="R281" s="297">
        <f>IFERROR(RANK(VLOOKUP($G281,連買!$A:$D,4,0),連買!$D:$D,0),"'沒有資料'")</f>
        <v>1315</v>
      </c>
      <c r="S281" s="34">
        <v>1.2</v>
      </c>
      <c r="T281" s="353">
        <f t="shared" si="56"/>
        <v>3.7974683544303792E-2</v>
      </c>
      <c r="U281" s="95">
        <v>2.31</v>
      </c>
      <c r="V281" s="13">
        <f>RTD("money.excel",,"4767","Price")</f>
        <v>31.6</v>
      </c>
      <c r="W281" s="66"/>
      <c r="X281" s="15">
        <f t="shared" si="57"/>
        <v>31.6</v>
      </c>
      <c r="Y281" s="3" t="e">
        <f t="shared" si="58"/>
        <v>#DIV/0!</v>
      </c>
      <c r="AA281" s="161">
        <v>0</v>
      </c>
      <c r="AB281" s="409">
        <v>0</v>
      </c>
      <c r="AC281" s="259">
        <f t="shared" si="60"/>
        <v>0</v>
      </c>
      <c r="AD281" s="16" t="s">
        <v>3947</v>
      </c>
      <c r="AG281" s="33">
        <f t="shared" si="59"/>
        <v>0</v>
      </c>
      <c r="AH281" s="43" t="s">
        <v>3948</v>
      </c>
      <c r="AI281" s="63">
        <f t="shared" si="54"/>
        <v>3.1847133757961782E-4</v>
      </c>
      <c r="AJ281" s="307">
        <f>RTD("money.excel",,$G281,"PredictVolume")</f>
        <v>10</v>
      </c>
      <c r="AK281" s="339"/>
    </row>
    <row r="282" spans="1:37">
      <c r="A282" s="415">
        <v>3.19</v>
      </c>
      <c r="B282" s="79">
        <v>31</v>
      </c>
      <c r="C282" s="79">
        <v>25</v>
      </c>
      <c r="D282" s="91"/>
      <c r="E282" s="91"/>
      <c r="F282" s="57">
        <v>19.5</v>
      </c>
      <c r="G282" s="79">
        <v>4768</v>
      </c>
      <c r="H282" s="8" t="s">
        <v>3879</v>
      </c>
      <c r="I282" s="16" t="s">
        <v>8433</v>
      </c>
      <c r="J282" s="73">
        <v>23.52</v>
      </c>
      <c r="K282" s="73">
        <v>2.16</v>
      </c>
      <c r="N282" s="318">
        <f t="shared" ref="N282" si="61">J282+K282+L282+M282</f>
        <v>25.68</v>
      </c>
      <c r="O282" s="81" t="str">
        <f>IFERROR(VLOOKUP($G282,'321買'!A:E,3,0),"'沒有資料'")</f>
        <v>'沒有資料'</v>
      </c>
      <c r="P282" s="380" t="str">
        <f>IFERROR(VLOOKUP($G282,'321買'!$A:$G,7,0),"'沒有資料'")</f>
        <v>'沒有資料'</v>
      </c>
      <c r="R282" s="297" t="str">
        <f>IFERROR(RANK(VLOOKUP($G282,連買!$A:$D,4,0),連買!$D:$D,0),"'沒有資料'")</f>
        <v>'沒有資料'</v>
      </c>
      <c r="S282" s="34">
        <v>1</v>
      </c>
      <c r="T282" s="353">
        <f t="shared" ref="T282" si="62">S282/V282</f>
        <v>8.3333333333333332E-3</v>
      </c>
      <c r="U282" s="95" t="s">
        <v>8434</v>
      </c>
      <c r="V282" s="13">
        <f>RTD("money.excel",,"4768","Price")</f>
        <v>120</v>
      </c>
      <c r="W282" s="66"/>
      <c r="X282" s="15">
        <f t="shared" ref="X282" si="63">V282-W282</f>
        <v>120</v>
      </c>
      <c r="Y282" s="3" t="e">
        <f t="shared" ref="Y282" si="64">X282/W282</f>
        <v>#DIV/0!</v>
      </c>
      <c r="AA282" s="161">
        <v>0</v>
      </c>
      <c r="AB282" s="409">
        <v>0</v>
      </c>
      <c r="AC282" s="259">
        <f t="shared" si="60"/>
        <v>0</v>
      </c>
      <c r="AD282" s="16" t="s">
        <v>8433</v>
      </c>
      <c r="AG282" s="33">
        <f t="shared" ref="AG282" si="65">AF282-AE282</f>
        <v>0</v>
      </c>
      <c r="AH282" s="43" t="s">
        <v>8435</v>
      </c>
      <c r="AI282" s="63">
        <f t="shared" si="54"/>
        <v>4.2915360501567398E-2</v>
      </c>
      <c r="AJ282" s="307">
        <f>RTD("money.excel",,$G282,"PredictVolume")</f>
        <v>1369</v>
      </c>
      <c r="AK282" s="339"/>
    </row>
    <row r="283" spans="1:37">
      <c r="A283" s="415">
        <v>7.85</v>
      </c>
      <c r="B283" s="79">
        <v>123</v>
      </c>
      <c r="C283" s="79">
        <v>116</v>
      </c>
      <c r="D283" s="79">
        <v>77</v>
      </c>
      <c r="E283" s="79">
        <v>107</v>
      </c>
      <c r="F283" s="57">
        <v>32.08</v>
      </c>
      <c r="G283" s="79">
        <v>4770</v>
      </c>
      <c r="H283" s="8" t="s">
        <v>3879</v>
      </c>
      <c r="I283" s="22" t="s">
        <v>3829</v>
      </c>
      <c r="J283" s="323">
        <v>63.69</v>
      </c>
      <c r="K283" s="73">
        <v>3.2</v>
      </c>
      <c r="L283" s="323"/>
      <c r="M283" s="323"/>
      <c r="N283" s="318">
        <f>K283+J283+L283+M283</f>
        <v>66.89</v>
      </c>
      <c r="O283" s="81" t="str">
        <f>IFERROR(VLOOKUP($G283,'321買'!A:E,3,0),"'沒有資料'")</f>
        <v>'沒有資料'</v>
      </c>
      <c r="P283" s="380" t="str">
        <f>IFERROR(VLOOKUP($G283,'321買'!$A:$G,7,0),"'沒有資料'")</f>
        <v>'沒有資料'</v>
      </c>
      <c r="R283" s="297">
        <f>IFERROR(RANK(VLOOKUP($G283,連買!$A:$D,4,0),連買!$D:$D,0),"'沒有資料'")</f>
        <v>1543</v>
      </c>
      <c r="S283" s="66">
        <v>4.3</v>
      </c>
      <c r="T283" s="353">
        <f t="shared" si="56"/>
        <v>1.6104868913857678E-2</v>
      </c>
      <c r="U283" s="57">
        <v>13.09</v>
      </c>
      <c r="V283" s="36">
        <f>RTD("money.excel",,"4770","Price")</f>
        <v>267</v>
      </c>
      <c r="W283" s="66"/>
      <c r="X283" s="15">
        <f t="shared" si="57"/>
        <v>267</v>
      </c>
      <c r="Y283" s="3" t="e">
        <f t="shared" si="58"/>
        <v>#DIV/0!</v>
      </c>
      <c r="Z283" s="413" t="s">
        <v>1831</v>
      </c>
      <c r="AA283" s="161">
        <v>0</v>
      </c>
      <c r="AB283" s="409">
        <v>0</v>
      </c>
      <c r="AC283" s="259">
        <f t="shared" si="60"/>
        <v>0</v>
      </c>
      <c r="AD283" s="22" t="s">
        <v>3949</v>
      </c>
      <c r="AG283" s="33">
        <f t="shared" si="59"/>
        <v>0</v>
      </c>
      <c r="AH283" s="43" t="s">
        <v>2823</v>
      </c>
      <c r="AI283" s="63">
        <f t="shared" si="54"/>
        <v>4.9554140127388534E-3</v>
      </c>
      <c r="AJ283" s="307">
        <f>RTD("money.excel",,$G283,"PredictVolume")</f>
        <v>389</v>
      </c>
      <c r="AK283" s="339"/>
    </row>
    <row r="284" spans="1:37">
      <c r="A284" s="416">
        <v>8.24</v>
      </c>
      <c r="B284" s="91">
        <v>-28</v>
      </c>
      <c r="C284" s="91">
        <v>-54</v>
      </c>
      <c r="D284" s="91">
        <v>15</v>
      </c>
      <c r="E284" s="91">
        <v>16</v>
      </c>
      <c r="F284" s="6">
        <v>3.95</v>
      </c>
      <c r="G284" s="79">
        <v>6506</v>
      </c>
      <c r="H284" s="8" t="s">
        <v>3879</v>
      </c>
      <c r="I284" s="16" t="s">
        <v>3950</v>
      </c>
      <c r="J284" s="73">
        <v>61.95</v>
      </c>
      <c r="K284" s="73">
        <v>0.22</v>
      </c>
      <c r="L284" s="73">
        <v>2.17</v>
      </c>
      <c r="N284" s="318">
        <f t="shared" si="55"/>
        <v>64.34</v>
      </c>
      <c r="O284" s="81">
        <f>IFERROR(VLOOKUP($G284,'321買'!A:E,3,0),"'沒有資料'")</f>
        <v>3</v>
      </c>
      <c r="P284" s="380">
        <f>IFERROR(VLOOKUP($G284,'321買'!$A:$G,7,0),"'沒有資料'")</f>
        <v>636</v>
      </c>
      <c r="R284" s="297">
        <f>IFERROR(RANK(VLOOKUP($G284,連買!$A:$D,4,0),連買!$D:$D,0),"'沒有資料'")</f>
        <v>998</v>
      </c>
      <c r="S284" s="34">
        <v>0.8</v>
      </c>
      <c r="T284" s="353">
        <f t="shared" si="56"/>
        <v>3.8461538461538464E-2</v>
      </c>
      <c r="U284" s="95">
        <v>0.71</v>
      </c>
      <c r="V284" s="13">
        <f>RTD("money.excel",,"6506","Price")</f>
        <v>20.8</v>
      </c>
      <c r="W284" s="66"/>
      <c r="X284" s="15">
        <f t="shared" si="57"/>
        <v>20.8</v>
      </c>
      <c r="Y284" s="3" t="e">
        <f t="shared" si="58"/>
        <v>#DIV/0!</v>
      </c>
      <c r="AA284" s="161">
        <v>0</v>
      </c>
      <c r="AB284" s="409">
        <v>0</v>
      </c>
      <c r="AC284" s="259">
        <f t="shared" si="60"/>
        <v>0</v>
      </c>
      <c r="AD284" s="16" t="s">
        <v>3950</v>
      </c>
      <c r="AG284" s="33">
        <f t="shared" si="59"/>
        <v>0</v>
      </c>
      <c r="AH284" s="43" t="s">
        <v>3951</v>
      </c>
      <c r="AI284" s="63">
        <f t="shared" si="54"/>
        <v>1.1650485436893205E-3</v>
      </c>
      <c r="AJ284" s="307">
        <f>RTD("money.excel",,$G284,"PredictVolume")</f>
        <v>96</v>
      </c>
      <c r="AK284" s="339"/>
    </row>
    <row r="285" spans="1:37">
      <c r="A285" s="415">
        <v>17.3</v>
      </c>
      <c r="B285" s="79">
        <v>43</v>
      </c>
      <c r="C285" s="79">
        <v>40</v>
      </c>
      <c r="D285" s="80">
        <v>-33</v>
      </c>
      <c r="E285" s="79">
        <v>29</v>
      </c>
      <c r="F285" s="57">
        <v>11.9</v>
      </c>
      <c r="G285" s="79">
        <v>6509</v>
      </c>
      <c r="H285" s="8" t="s">
        <v>3879</v>
      </c>
      <c r="I285" s="16" t="s">
        <v>3952</v>
      </c>
      <c r="J285" s="73">
        <v>21.67</v>
      </c>
      <c r="K285" s="323">
        <v>5.23</v>
      </c>
      <c r="L285" s="73">
        <v>20.63</v>
      </c>
      <c r="N285" s="318">
        <f t="shared" si="55"/>
        <v>47.53</v>
      </c>
      <c r="O285" s="81">
        <f>IFERROR(VLOOKUP($G285,'321買'!A:E,3,0),"'沒有資料'")</f>
        <v>59</v>
      </c>
      <c r="P285" s="380">
        <f>IFERROR(VLOOKUP($G285,'321買'!$A:$G,7,0),"'沒有資料'")</f>
        <v>50</v>
      </c>
      <c r="R285" s="297">
        <f>IFERROR(RANK(VLOOKUP($G285,連買!$A:$D,4,0),連買!$D:$D,0),"'沒有資料'")</f>
        <v>1469</v>
      </c>
      <c r="S285" s="34">
        <v>1</v>
      </c>
      <c r="T285" s="353">
        <f t="shared" si="56"/>
        <v>1.7211703958691909E-2</v>
      </c>
      <c r="U285" s="95">
        <v>1.63</v>
      </c>
      <c r="V285" s="36">
        <f>RTD("money.excel",,"6509","Price")</f>
        <v>58.1</v>
      </c>
      <c r="W285" s="66"/>
      <c r="X285" s="15">
        <f t="shared" si="57"/>
        <v>58.1</v>
      </c>
      <c r="Y285" s="3" t="e">
        <f t="shared" si="58"/>
        <v>#DIV/0!</v>
      </c>
      <c r="Z285" s="413" t="s">
        <v>1801</v>
      </c>
      <c r="AA285" s="161">
        <v>0</v>
      </c>
      <c r="AB285" s="409">
        <v>0</v>
      </c>
      <c r="AC285" s="259">
        <f t="shared" si="60"/>
        <v>0</v>
      </c>
      <c r="AD285" s="16" t="s">
        <v>3952</v>
      </c>
      <c r="AG285" s="33">
        <f t="shared" si="59"/>
        <v>0</v>
      </c>
      <c r="AH285" s="120" t="s">
        <v>3953</v>
      </c>
      <c r="AI285" s="63">
        <f t="shared" si="54"/>
        <v>1.2578034682080925E-2</v>
      </c>
      <c r="AJ285" s="307">
        <f>RTD("money.excel",,$G285,"PredictVolume")</f>
        <v>2176</v>
      </c>
      <c r="AK285" s="339"/>
    </row>
    <row r="286" spans="1:37">
      <c r="B286" s="79"/>
      <c r="C286" s="79"/>
      <c r="D286" s="80"/>
      <c r="E286" s="79"/>
      <c r="F286" s="57"/>
      <c r="G286" s="79"/>
      <c r="H286" s="8"/>
      <c r="I286" s="16"/>
      <c r="J286" s="73"/>
      <c r="K286" s="323"/>
      <c r="N286" s="318"/>
      <c r="O286" s="26"/>
      <c r="S286" s="34"/>
      <c r="U286" s="95"/>
      <c r="V286" s="36"/>
      <c r="W286" s="66"/>
      <c r="X286" s="15"/>
      <c r="Y286" s="3"/>
      <c r="AA286" s="2"/>
      <c r="AD286" s="16"/>
      <c r="AG286" s="33"/>
      <c r="AH286" s="120"/>
      <c r="AI286" s="63"/>
      <c r="AJ286" s="307"/>
      <c r="AK286" s="339"/>
    </row>
    <row r="287" spans="1:37">
      <c r="A287" s="130" t="s">
        <v>3954</v>
      </c>
      <c r="B287" s="91" t="s">
        <v>3955</v>
      </c>
      <c r="C287" s="91" t="s">
        <v>3956</v>
      </c>
      <c r="D287" s="91" t="s">
        <v>3957</v>
      </c>
      <c r="E287" s="91" t="s">
        <v>3958</v>
      </c>
      <c r="F287" s="8" t="s">
        <v>3959</v>
      </c>
      <c r="G287" s="27" t="s">
        <v>3960</v>
      </c>
      <c r="H287" s="55" t="s">
        <v>322</v>
      </c>
      <c r="I287" s="50" t="s">
        <v>3961</v>
      </c>
      <c r="J287" s="317" t="s">
        <v>3962</v>
      </c>
      <c r="K287" s="317" t="s">
        <v>3963</v>
      </c>
      <c r="L287" s="317" t="s">
        <v>3964</v>
      </c>
      <c r="M287" s="317" t="s">
        <v>3965</v>
      </c>
      <c r="N287" s="317" t="s">
        <v>5048</v>
      </c>
      <c r="O287" s="26" t="s">
        <v>5107</v>
      </c>
      <c r="P287" s="373" t="s">
        <v>5059</v>
      </c>
      <c r="Q287" s="245" t="s">
        <v>5087</v>
      </c>
      <c r="R287" s="345" t="s">
        <v>5059</v>
      </c>
      <c r="S287" s="10" t="s">
        <v>3966</v>
      </c>
      <c r="T287" s="351" t="s">
        <v>5076</v>
      </c>
      <c r="U287" s="68" t="s">
        <v>3967</v>
      </c>
      <c r="V287" s="28" t="s">
        <v>3968</v>
      </c>
      <c r="W287" s="17" t="s">
        <v>3969</v>
      </c>
      <c r="X287" s="14" t="s">
        <v>3970</v>
      </c>
      <c r="Y287" s="21" t="s">
        <v>3971</v>
      </c>
      <c r="Z287" s="97" t="s">
        <v>6627</v>
      </c>
      <c r="AA287" s="406" t="s">
        <v>8647</v>
      </c>
      <c r="AB287" s="407" t="s">
        <v>8648</v>
      </c>
      <c r="AC287" s="408" t="s">
        <v>8649</v>
      </c>
      <c r="AD287" s="50" t="s">
        <v>3961</v>
      </c>
      <c r="AE287" s="71" t="s">
        <v>3972</v>
      </c>
      <c r="AF287" s="72" t="s">
        <v>3973</v>
      </c>
      <c r="AG287" s="32" t="s">
        <v>3974</v>
      </c>
      <c r="AH287" s="25" t="s">
        <v>8650</v>
      </c>
      <c r="AI287" s="8" t="s">
        <v>3975</v>
      </c>
      <c r="AJ287" s="50" t="s">
        <v>3976</v>
      </c>
      <c r="AK287" s="339" t="s">
        <v>5038</v>
      </c>
    </row>
    <row r="288" spans="1:37">
      <c r="A288" s="415">
        <v>5.04</v>
      </c>
      <c r="B288" s="79">
        <v>11</v>
      </c>
      <c r="C288" s="79">
        <v>10</v>
      </c>
      <c r="D288" s="80">
        <v>-7</v>
      </c>
      <c r="E288" s="79">
        <v>41</v>
      </c>
      <c r="F288" s="57">
        <v>21.94</v>
      </c>
      <c r="G288" s="79">
        <v>1565</v>
      </c>
      <c r="H288" s="149" t="s">
        <v>311</v>
      </c>
      <c r="I288" s="16" t="s">
        <v>3977</v>
      </c>
      <c r="J288" s="323">
        <v>21.62</v>
      </c>
      <c r="K288" s="323">
        <v>32.11</v>
      </c>
      <c r="L288" s="323">
        <v>8.67</v>
      </c>
      <c r="N288" s="318">
        <f>J288+K288+L288+M288</f>
        <v>62.400000000000006</v>
      </c>
      <c r="O288" s="81">
        <f>IFERROR(VLOOKUP($G288,'321買'!A:E,3,0),"'沒有資料'")</f>
        <v>16</v>
      </c>
      <c r="P288" s="380">
        <f>IFERROR(VLOOKUP($G288,'321買'!$A:$G,7,0),"'沒有資料'")</f>
        <v>265</v>
      </c>
      <c r="R288" s="297">
        <f>IFERROR(RANK(VLOOKUP($G288,連買!$A:$D,4,0),連買!$D:$D,0),"'沒有資料'")</f>
        <v>35</v>
      </c>
      <c r="S288" s="66">
        <v>12</v>
      </c>
      <c r="T288" s="353">
        <f t="shared" ref="T288:T319" si="66">S288/V288</f>
        <v>4.3010752688172046E-2</v>
      </c>
      <c r="U288" s="95">
        <v>15.65</v>
      </c>
      <c r="V288" s="36">
        <f>RTD("money.excel",,"1565","Price")</f>
        <v>279</v>
      </c>
      <c r="W288" s="66"/>
      <c r="X288" s="15">
        <f t="shared" ref="X288:X351" si="67">V288-W288</f>
        <v>279</v>
      </c>
      <c r="Y288" s="3" t="e">
        <f t="shared" ref="Y288:Y351" si="68">X288/W288</f>
        <v>#DIV/0!</v>
      </c>
      <c r="Z288" s="413" t="s">
        <v>1997</v>
      </c>
      <c r="AA288" s="161">
        <v>0</v>
      </c>
      <c r="AB288" s="409">
        <v>0</v>
      </c>
      <c r="AC288" s="259">
        <f t="shared" si="60"/>
        <v>0</v>
      </c>
      <c r="AD288" s="16" t="s">
        <v>3977</v>
      </c>
      <c r="AG288" s="33">
        <f t="shared" ref="AG288:AG351" si="69">AF288-AE288</f>
        <v>0</v>
      </c>
      <c r="AH288" s="120" t="s">
        <v>3978</v>
      </c>
      <c r="AI288" s="63">
        <f t="shared" ref="AI288:AI319" si="70">AJ288/(A288*10000)</f>
        <v>1.25E-3</v>
      </c>
      <c r="AJ288" s="307">
        <f>RTD("money.excel",,$G288,"PredictVolume")</f>
        <v>63</v>
      </c>
      <c r="AK288" s="339"/>
    </row>
    <row r="289" spans="1:37">
      <c r="A289" s="415">
        <v>3.39</v>
      </c>
      <c r="B289" s="79">
        <v>6</v>
      </c>
      <c r="C289" s="80">
        <v>-9</v>
      </c>
      <c r="D289" s="79">
        <v>16</v>
      </c>
      <c r="E289" s="79">
        <v>151</v>
      </c>
      <c r="F289" s="57">
        <v>12.94</v>
      </c>
      <c r="G289" s="79">
        <v>1593</v>
      </c>
      <c r="H289" s="8" t="s">
        <v>311</v>
      </c>
      <c r="I289" s="16" t="s">
        <v>3979</v>
      </c>
      <c r="J289" s="73">
        <v>19.38</v>
      </c>
      <c r="K289" s="323">
        <v>1.86</v>
      </c>
      <c r="L289" s="323">
        <v>26.5</v>
      </c>
      <c r="N289" s="318">
        <f t="shared" ref="N289:N300" si="71">J289+K289+L289+M289</f>
        <v>47.739999999999995</v>
      </c>
      <c r="O289" s="81" t="str">
        <f>IFERROR(VLOOKUP($G289,'321買'!A:E,3,0),"'沒有資料'")</f>
        <v>'沒有資料'</v>
      </c>
      <c r="P289" s="380" t="str">
        <f>IFERROR(VLOOKUP($G289,'321買'!$A:$G,7,0),"'沒有資料'")</f>
        <v>'沒有資料'</v>
      </c>
      <c r="R289" s="297">
        <f>IFERROR(RANK(VLOOKUP($G289,連買!$A:$D,4,0),連買!$D:$D,0),"'沒有資料'")</f>
        <v>1646</v>
      </c>
      <c r="S289" s="66">
        <v>3.6</v>
      </c>
      <c r="T289" s="353">
        <f t="shared" si="66"/>
        <v>5.1428571428571428E-2</v>
      </c>
      <c r="U289" s="95">
        <v>4.49</v>
      </c>
      <c r="V289" s="36">
        <f>RTD("money.excel",,"1593","Price")</f>
        <v>70</v>
      </c>
      <c r="W289" s="66"/>
      <c r="X289" s="15">
        <f t="shared" si="67"/>
        <v>70</v>
      </c>
      <c r="Y289" s="3" t="e">
        <f t="shared" si="68"/>
        <v>#DIV/0!</v>
      </c>
      <c r="Z289" s="413" t="s">
        <v>1831</v>
      </c>
      <c r="AA289" s="161">
        <v>0</v>
      </c>
      <c r="AB289" s="409">
        <v>0</v>
      </c>
      <c r="AC289" s="259">
        <f t="shared" si="60"/>
        <v>0</v>
      </c>
      <c r="AD289" s="16" t="s">
        <v>3979</v>
      </c>
      <c r="AG289" s="33">
        <f t="shared" si="69"/>
        <v>0</v>
      </c>
      <c r="AH289" s="43" t="s">
        <v>2091</v>
      </c>
      <c r="AI289" s="63">
        <f t="shared" si="70"/>
        <v>1.1799410029498525E-3</v>
      </c>
      <c r="AJ289" s="307">
        <f>RTD("money.excel",,$G289,"PredictVolume")</f>
        <v>40</v>
      </c>
      <c r="AK289" s="339"/>
    </row>
    <row r="290" spans="1:37">
      <c r="A290" s="416">
        <v>13.4</v>
      </c>
      <c r="B290" s="80">
        <v>-31</v>
      </c>
      <c r="C290" s="80">
        <v>-27</v>
      </c>
      <c r="D290" s="80">
        <v>-12</v>
      </c>
      <c r="E290" s="80">
        <v>-52</v>
      </c>
      <c r="F290" s="6">
        <v>7.84</v>
      </c>
      <c r="G290" s="79">
        <v>1598</v>
      </c>
      <c r="H290" s="8" t="s">
        <v>311</v>
      </c>
      <c r="I290" s="22" t="s">
        <v>3980</v>
      </c>
      <c r="J290" s="323">
        <v>50.49</v>
      </c>
      <c r="K290" s="323">
        <v>5.96</v>
      </c>
      <c r="L290" s="323">
        <v>18.07</v>
      </c>
      <c r="M290" s="323">
        <v>9.89</v>
      </c>
      <c r="N290" s="318">
        <f t="shared" si="71"/>
        <v>84.410000000000011</v>
      </c>
      <c r="O290" s="81">
        <f>IFERROR(VLOOKUP($G290,'321買'!A:E,3,0),"'沒有資料'")</f>
        <v>4</v>
      </c>
      <c r="P290" s="380">
        <f>IFERROR(VLOOKUP($G290,'321買'!$A:$G,7,0),"'沒有資料'")</f>
        <v>592</v>
      </c>
      <c r="Q290" s="245" t="s">
        <v>3816</v>
      </c>
      <c r="R290" s="297">
        <f>IFERROR(RANK(VLOOKUP($G290,連買!$A:$D,4,0),連買!$D:$D,0),"'沒有資料'")</f>
        <v>1736</v>
      </c>
      <c r="S290" s="66">
        <v>7.47</v>
      </c>
      <c r="T290" s="353">
        <f t="shared" si="66"/>
        <v>0.16692737430167598</v>
      </c>
      <c r="U290" s="57">
        <v>9.18</v>
      </c>
      <c r="V290" s="36">
        <f>RTD("money.excel",,"1598","Price")</f>
        <v>44.75</v>
      </c>
      <c r="W290" s="66"/>
      <c r="X290" s="15">
        <f t="shared" si="67"/>
        <v>44.75</v>
      </c>
      <c r="Y290" s="3" t="e">
        <f t="shared" si="68"/>
        <v>#DIV/0!</v>
      </c>
      <c r="Z290" s="413" t="s">
        <v>3822</v>
      </c>
      <c r="AA290" s="161">
        <v>0</v>
      </c>
      <c r="AB290" s="409">
        <v>0</v>
      </c>
      <c r="AC290" s="259">
        <f t="shared" si="60"/>
        <v>0</v>
      </c>
      <c r="AD290" s="22" t="s">
        <v>3980</v>
      </c>
      <c r="AG290" s="33">
        <f t="shared" si="69"/>
        <v>0</v>
      </c>
      <c r="AH290" s="43" t="s">
        <v>3981</v>
      </c>
      <c r="AI290" s="63">
        <f t="shared" si="70"/>
        <v>1.6417910447761193E-3</v>
      </c>
      <c r="AJ290" s="307">
        <f>RTD("money.excel",,$G290,"PredictVolume")</f>
        <v>220</v>
      </c>
    </row>
    <row r="291" spans="1:37">
      <c r="A291" s="416">
        <v>29.8</v>
      </c>
      <c r="B291" s="79">
        <v>60</v>
      </c>
      <c r="C291" s="79">
        <v>32</v>
      </c>
      <c r="D291" s="79">
        <v>2</v>
      </c>
      <c r="E291" s="79">
        <v>0</v>
      </c>
      <c r="F291" s="6">
        <v>6.72</v>
      </c>
      <c r="G291" s="79">
        <v>1701</v>
      </c>
      <c r="H291" s="8" t="s">
        <v>311</v>
      </c>
      <c r="I291" s="22" t="s">
        <v>3982</v>
      </c>
      <c r="J291" s="323">
        <v>52.38</v>
      </c>
      <c r="K291" s="73">
        <v>11.53</v>
      </c>
      <c r="L291" s="323">
        <v>8.73</v>
      </c>
      <c r="N291" s="318">
        <f t="shared" si="71"/>
        <v>72.64</v>
      </c>
      <c r="O291" s="81">
        <f>IFERROR(VLOOKUP($G291,'321買'!A:E,3,0),"'沒有資料'")</f>
        <v>0</v>
      </c>
      <c r="P291" s="380">
        <f>IFERROR(VLOOKUP($G291,'321買'!$A:$G,7,0),"'沒有資料'")</f>
        <v>911</v>
      </c>
      <c r="R291" s="297">
        <f>IFERROR(RANK(VLOOKUP($G291,連買!$A:$D,4,0),連買!$D:$D,0),"'沒有資料'")</f>
        <v>1362</v>
      </c>
      <c r="S291" s="34">
        <v>1</v>
      </c>
      <c r="T291" s="353">
        <f t="shared" si="66"/>
        <v>4.4247787610619468E-2</v>
      </c>
      <c r="U291" s="95">
        <v>1.88</v>
      </c>
      <c r="V291" s="36">
        <f>RTD("money.excel",,"1701","Price")</f>
        <v>22.6</v>
      </c>
      <c r="W291" s="66"/>
      <c r="X291" s="15">
        <f t="shared" si="67"/>
        <v>22.6</v>
      </c>
      <c r="Y291" s="3" t="e">
        <f t="shared" si="68"/>
        <v>#DIV/0!</v>
      </c>
      <c r="Z291" s="413" t="s">
        <v>1801</v>
      </c>
      <c r="AA291" s="161">
        <v>0</v>
      </c>
      <c r="AB291" s="409">
        <v>0</v>
      </c>
      <c r="AC291" s="259">
        <f t="shared" si="60"/>
        <v>0</v>
      </c>
      <c r="AD291" s="22" t="s">
        <v>3982</v>
      </c>
      <c r="AG291" s="33">
        <f t="shared" si="69"/>
        <v>0</v>
      </c>
      <c r="AH291" s="43" t="s">
        <v>3983</v>
      </c>
      <c r="AI291" s="63">
        <f t="shared" si="70"/>
        <v>3.0738255033557049E-3</v>
      </c>
      <c r="AJ291" s="307">
        <f>RTD("money.excel",,$G291,"PredictVolume")</f>
        <v>916</v>
      </c>
      <c r="AK291" s="339"/>
    </row>
    <row r="292" spans="1:37">
      <c r="A292" s="415">
        <v>14.8</v>
      </c>
      <c r="B292" s="79">
        <v>2</v>
      </c>
      <c r="C292" s="79">
        <v>0</v>
      </c>
      <c r="D292" s="80">
        <v>-31</v>
      </c>
      <c r="E292" s="80">
        <v>-13</v>
      </c>
      <c r="F292" s="57">
        <v>23.59</v>
      </c>
      <c r="G292" s="79">
        <v>1707</v>
      </c>
      <c r="H292" s="204" t="s">
        <v>311</v>
      </c>
      <c r="I292" s="22" t="s">
        <v>3984</v>
      </c>
      <c r="J292" s="323">
        <v>56.23</v>
      </c>
      <c r="K292" s="73">
        <v>10.91</v>
      </c>
      <c r="L292" s="323">
        <v>1.74</v>
      </c>
      <c r="M292" s="73">
        <v>18.48</v>
      </c>
      <c r="N292" s="318">
        <f t="shared" si="71"/>
        <v>87.36</v>
      </c>
      <c r="O292" s="81">
        <f>IFERROR(VLOOKUP($G292,'321買'!A:E,3,0),"'沒有資料'")</f>
        <v>0</v>
      </c>
      <c r="P292" s="380">
        <f>IFERROR(VLOOKUP($G292,'321買'!$A:$G,7,0),"'沒有資料'")</f>
        <v>911</v>
      </c>
      <c r="Q292" s="388" t="s">
        <v>3816</v>
      </c>
      <c r="R292" s="297">
        <f>IFERROR(RANK(VLOOKUP($G292,連買!$A:$D,4,0),連買!$D:$D,0),"'沒有資料'")</f>
        <v>1739</v>
      </c>
      <c r="S292" s="45">
        <v>6.1</v>
      </c>
      <c r="T292" s="353">
        <f t="shared" si="66"/>
        <v>4.1496598639455783E-2</v>
      </c>
      <c r="U292" s="57">
        <v>8.82</v>
      </c>
      <c r="V292" s="36">
        <f>RTD("money.excel",,"1707","Price")</f>
        <v>147</v>
      </c>
      <c r="W292" s="66"/>
      <c r="X292" s="15">
        <f t="shared" si="67"/>
        <v>147</v>
      </c>
      <c r="Y292" s="3" t="e">
        <f t="shared" si="68"/>
        <v>#DIV/0!</v>
      </c>
      <c r="Z292" s="413">
        <v>-16.670000000000002</v>
      </c>
      <c r="AA292" s="161">
        <v>0</v>
      </c>
      <c r="AB292" s="409">
        <v>0</v>
      </c>
      <c r="AC292" s="259">
        <f t="shared" si="60"/>
        <v>0</v>
      </c>
      <c r="AD292" s="22" t="s">
        <v>3984</v>
      </c>
      <c r="AG292" s="33">
        <f t="shared" si="69"/>
        <v>0</v>
      </c>
      <c r="AH292" s="120" t="s">
        <v>3985</v>
      </c>
      <c r="AI292" s="63">
        <f t="shared" si="70"/>
        <v>1.8513513513513514E-3</v>
      </c>
      <c r="AJ292" s="307">
        <f>RTD("money.excel",,$G292,"PredictVolume")</f>
        <v>274</v>
      </c>
      <c r="AK292" s="339">
        <v>0.92</v>
      </c>
    </row>
    <row r="293" spans="1:37">
      <c r="A293" s="415">
        <v>17.8</v>
      </c>
      <c r="B293" s="91">
        <v>11</v>
      </c>
      <c r="C293" s="91">
        <v>28</v>
      </c>
      <c r="D293" s="91">
        <v>-4</v>
      </c>
      <c r="E293" s="91">
        <v>1</v>
      </c>
      <c r="F293" s="57">
        <v>12.16</v>
      </c>
      <c r="G293" s="79">
        <v>1720</v>
      </c>
      <c r="H293" s="204" t="s">
        <v>311</v>
      </c>
      <c r="I293" s="22" t="s">
        <v>3986</v>
      </c>
      <c r="J293" s="73">
        <v>63.84</v>
      </c>
      <c r="K293" s="73">
        <v>2.35</v>
      </c>
      <c r="L293" s="73">
        <v>3.77</v>
      </c>
      <c r="N293" s="318">
        <f t="shared" si="71"/>
        <v>69.959999999999994</v>
      </c>
      <c r="O293" s="81">
        <f>IFERROR(VLOOKUP($G293,'321買'!A:E,3,0),"'沒有資料'")</f>
        <v>0</v>
      </c>
      <c r="P293" s="380">
        <f>IFERROR(VLOOKUP($G293,'321買'!$A:$G,7,0),"'沒有資料'")</f>
        <v>911</v>
      </c>
      <c r="R293" s="297">
        <f>IFERROR(RANK(VLOOKUP($G293,連買!$A:$D,4,0),連買!$D:$D,0),"'沒有資料'")</f>
        <v>458</v>
      </c>
      <c r="S293" s="34">
        <v>1.5</v>
      </c>
      <c r="T293" s="353">
        <f t="shared" si="66"/>
        <v>3.5294117647058823E-2</v>
      </c>
      <c r="U293" s="95">
        <v>2.93</v>
      </c>
      <c r="V293" s="13">
        <f>RTD("money.excel",,"1720","Price")</f>
        <v>42.5</v>
      </c>
      <c r="W293" s="66"/>
      <c r="X293" s="15">
        <f t="shared" si="67"/>
        <v>42.5</v>
      </c>
      <c r="Y293" s="3" t="e">
        <f t="shared" si="68"/>
        <v>#DIV/0!</v>
      </c>
      <c r="Z293" s="413" t="s">
        <v>1801</v>
      </c>
      <c r="AA293" s="161">
        <v>0</v>
      </c>
      <c r="AB293" s="409">
        <v>0</v>
      </c>
      <c r="AC293" s="259">
        <f t="shared" si="60"/>
        <v>0</v>
      </c>
      <c r="AD293" s="22" t="s">
        <v>3986</v>
      </c>
      <c r="AG293" s="33">
        <f t="shared" si="69"/>
        <v>0</v>
      </c>
      <c r="AH293" s="120" t="s">
        <v>3987</v>
      </c>
      <c r="AI293" s="63">
        <f t="shared" si="70"/>
        <v>9.3258426966292131E-4</v>
      </c>
      <c r="AJ293" s="307">
        <f>RTD("money.excel",,$G293,"PredictVolume")</f>
        <v>166</v>
      </c>
      <c r="AK293" s="339"/>
    </row>
    <row r="294" spans="1:37">
      <c r="A294" s="415">
        <v>13.2</v>
      </c>
      <c r="B294" s="79">
        <v>46</v>
      </c>
      <c r="C294" s="79">
        <v>6</v>
      </c>
      <c r="D294" s="79">
        <v>0</v>
      </c>
      <c r="E294" s="79">
        <v>23</v>
      </c>
      <c r="F294" s="57">
        <v>17.63</v>
      </c>
      <c r="G294" s="79">
        <v>1731</v>
      </c>
      <c r="H294" s="204" t="s">
        <v>311</v>
      </c>
      <c r="I294" s="22" t="s">
        <v>3988</v>
      </c>
      <c r="J294" s="73">
        <v>46.8</v>
      </c>
      <c r="K294" s="73">
        <v>1.41</v>
      </c>
      <c r="L294" s="73">
        <v>9.48</v>
      </c>
      <c r="N294" s="318">
        <f t="shared" si="71"/>
        <v>57.69</v>
      </c>
      <c r="O294" s="81">
        <f>IFERROR(VLOOKUP($G294,'321買'!A:E,3,0),"'沒有資料'")</f>
        <v>3</v>
      </c>
      <c r="P294" s="380">
        <f>IFERROR(VLOOKUP($G294,'321買'!$A:$G,7,0),"'沒有資料'")</f>
        <v>636</v>
      </c>
      <c r="R294" s="297">
        <f>IFERROR(RANK(VLOOKUP($G294,連買!$A:$D,4,0),連買!$D:$D,0),"'沒有資料'")</f>
        <v>823</v>
      </c>
      <c r="S294" s="34">
        <v>1</v>
      </c>
      <c r="T294" s="353">
        <f t="shared" si="66"/>
        <v>5.0761421319796954E-2</v>
      </c>
      <c r="U294" s="95">
        <v>1.29</v>
      </c>
      <c r="V294" s="36">
        <f>RTD("money.excel",,"1731","Price")</f>
        <v>19.7</v>
      </c>
      <c r="W294" s="66"/>
      <c r="X294" s="15">
        <f t="shared" si="67"/>
        <v>19.7</v>
      </c>
      <c r="Y294" s="3" t="e">
        <f t="shared" si="68"/>
        <v>#DIV/0!</v>
      </c>
      <c r="Z294" s="413" t="s">
        <v>1801</v>
      </c>
      <c r="AA294" s="161">
        <v>0</v>
      </c>
      <c r="AB294" s="409">
        <v>0</v>
      </c>
      <c r="AC294" s="259">
        <f t="shared" si="60"/>
        <v>0</v>
      </c>
      <c r="AD294" s="22" t="s">
        <v>3988</v>
      </c>
      <c r="AG294" s="33">
        <f t="shared" si="69"/>
        <v>0</v>
      </c>
      <c r="AH294" s="43" t="s">
        <v>3989</v>
      </c>
      <c r="AI294" s="63">
        <f t="shared" si="70"/>
        <v>1.0606060606060607E-3</v>
      </c>
      <c r="AJ294" s="307">
        <f>RTD("money.excel",,$G294,"PredictVolume")</f>
        <v>140</v>
      </c>
      <c r="AK294" s="339"/>
    </row>
    <row r="295" spans="1:37">
      <c r="A295" s="416">
        <v>10</v>
      </c>
      <c r="B295" s="91">
        <v>89</v>
      </c>
      <c r="C295" s="91">
        <v>13</v>
      </c>
      <c r="D295" s="91">
        <v>27</v>
      </c>
      <c r="E295" s="91">
        <v>32</v>
      </c>
      <c r="F295" s="6">
        <v>6.6</v>
      </c>
      <c r="G295" s="79">
        <v>1733</v>
      </c>
      <c r="H295" s="204" t="s">
        <v>311</v>
      </c>
      <c r="I295" s="22" t="s">
        <v>3990</v>
      </c>
      <c r="J295" s="323">
        <v>21.45</v>
      </c>
      <c r="K295" s="323">
        <v>10.01</v>
      </c>
      <c r="L295" s="73">
        <v>8.81</v>
      </c>
      <c r="N295" s="318">
        <f t="shared" si="71"/>
        <v>40.270000000000003</v>
      </c>
      <c r="O295" s="81">
        <f>IFERROR(VLOOKUP($G295,'321買'!A:E,3,0),"'沒有資料'")</f>
        <v>2</v>
      </c>
      <c r="P295" s="380">
        <f>IFERROR(VLOOKUP($G295,'321買'!$A:$G,7,0),"'沒有資料'")</f>
        <v>706</v>
      </c>
      <c r="R295" s="297">
        <f>IFERROR(RANK(VLOOKUP($G295,連買!$A:$D,4,0),連買!$D:$D,0),"'沒有資料'")</f>
        <v>904</v>
      </c>
      <c r="S295" s="34">
        <v>1.1000000000000001</v>
      </c>
      <c r="T295" s="353">
        <f t="shared" si="66"/>
        <v>4.1825095057034224E-2</v>
      </c>
      <c r="U295" s="95">
        <v>0.95</v>
      </c>
      <c r="V295" s="36">
        <f>RTD("money.excel",,"1733","Price")</f>
        <v>26.3</v>
      </c>
      <c r="W295" s="66"/>
      <c r="X295" s="15">
        <f t="shared" si="67"/>
        <v>26.3</v>
      </c>
      <c r="Y295" s="3" t="e">
        <f t="shared" si="68"/>
        <v>#DIV/0!</v>
      </c>
      <c r="AA295" s="161">
        <v>0</v>
      </c>
      <c r="AB295" s="409">
        <v>0</v>
      </c>
      <c r="AC295" s="259">
        <f t="shared" si="60"/>
        <v>0</v>
      </c>
      <c r="AD295" s="22" t="s">
        <v>3990</v>
      </c>
      <c r="AG295" s="33">
        <f t="shared" si="69"/>
        <v>0</v>
      </c>
      <c r="AH295" s="43" t="s">
        <v>3991</v>
      </c>
      <c r="AI295" s="63">
        <f t="shared" si="70"/>
        <v>5.1999999999999998E-3</v>
      </c>
      <c r="AJ295" s="307">
        <f>RTD("money.excel",,$G295,"PredictVolume")</f>
        <v>520</v>
      </c>
      <c r="AK295" s="339"/>
    </row>
    <row r="296" spans="1:37">
      <c r="A296" s="416">
        <v>16.7</v>
      </c>
      <c r="B296" s="80">
        <v>-16</v>
      </c>
      <c r="C296" s="79">
        <v>16</v>
      </c>
      <c r="D296" s="79">
        <v>11</v>
      </c>
      <c r="E296" s="80">
        <v>-15</v>
      </c>
      <c r="F296" s="6">
        <v>-5.12</v>
      </c>
      <c r="G296" s="79">
        <v>1734</v>
      </c>
      <c r="H296" s="204" t="s">
        <v>311</v>
      </c>
      <c r="I296" s="22" t="s">
        <v>3992</v>
      </c>
      <c r="J296" s="323">
        <v>24.49</v>
      </c>
      <c r="K296" s="73">
        <v>2.87</v>
      </c>
      <c r="L296" s="73">
        <v>17.920000000000002</v>
      </c>
      <c r="N296" s="318">
        <f t="shared" si="71"/>
        <v>45.28</v>
      </c>
      <c r="O296" s="81">
        <f>IFERROR(VLOOKUP($G296,'321買'!A:E,3,0),"'沒有資料'")</f>
        <v>8</v>
      </c>
      <c r="P296" s="380">
        <f>IFERROR(VLOOKUP($G296,'321買'!$A:$G,7,0),"'沒有資料'")</f>
        <v>475</v>
      </c>
      <c r="R296" s="297">
        <f>IFERROR(RANK(VLOOKUP($G296,連買!$A:$D,4,0),連買!$D:$D,0),"'沒有資料'")</f>
        <v>614</v>
      </c>
      <c r="S296" s="34">
        <v>0.2</v>
      </c>
      <c r="T296" s="353">
        <f t="shared" si="66"/>
        <v>7.0921985815602844E-3</v>
      </c>
      <c r="U296" s="95">
        <v>-0.17</v>
      </c>
      <c r="V296" s="36">
        <f>RTD("money.excel",,"1734","Price")</f>
        <v>28.2</v>
      </c>
      <c r="W296" s="66"/>
      <c r="X296" s="15">
        <f t="shared" si="67"/>
        <v>28.2</v>
      </c>
      <c r="Y296" s="3" t="e">
        <f t="shared" si="68"/>
        <v>#DIV/0!</v>
      </c>
      <c r="Z296" s="413" t="s">
        <v>1801</v>
      </c>
      <c r="AA296" s="161">
        <v>0</v>
      </c>
      <c r="AB296" s="409">
        <v>0</v>
      </c>
      <c r="AC296" s="259">
        <f t="shared" si="60"/>
        <v>0</v>
      </c>
      <c r="AD296" s="22" t="s">
        <v>3992</v>
      </c>
      <c r="AG296" s="33">
        <f t="shared" si="69"/>
        <v>0</v>
      </c>
      <c r="AH296" s="43" t="s">
        <v>3987</v>
      </c>
      <c r="AI296" s="63">
        <f t="shared" si="70"/>
        <v>3.3832335329341315E-3</v>
      </c>
      <c r="AJ296" s="307">
        <f>RTD("money.excel",,$G296,"PredictVolume")</f>
        <v>565</v>
      </c>
      <c r="AK296" s="339"/>
    </row>
    <row r="297" spans="1:37">
      <c r="A297" s="416">
        <v>30.3</v>
      </c>
      <c r="B297" s="79">
        <v>140</v>
      </c>
      <c r="C297" s="79">
        <v>123</v>
      </c>
      <c r="D297" s="80">
        <v>-9</v>
      </c>
      <c r="E297" s="80">
        <v>-5</v>
      </c>
      <c r="F297" s="6">
        <v>0.56000000000000005</v>
      </c>
      <c r="G297" s="79">
        <v>1736</v>
      </c>
      <c r="H297" s="204" t="s">
        <v>311</v>
      </c>
      <c r="I297" s="22" t="s">
        <v>3993</v>
      </c>
      <c r="J297" s="323">
        <v>77.53</v>
      </c>
      <c r="K297" s="323">
        <v>7.8</v>
      </c>
      <c r="L297" s="73">
        <v>3.34</v>
      </c>
      <c r="N297" s="318">
        <f t="shared" si="71"/>
        <v>88.67</v>
      </c>
      <c r="O297" s="81">
        <f>IFERROR(VLOOKUP($G297,'321買'!A:E,3,0),"'沒有資料'")</f>
        <v>2</v>
      </c>
      <c r="P297" s="380">
        <f>IFERROR(VLOOKUP($G297,'321買'!$A:$G,7,0),"'沒有資料'")</f>
        <v>706</v>
      </c>
      <c r="R297" s="297">
        <f>IFERROR(RANK(VLOOKUP($G297,連買!$A:$D,4,0),連買!$D:$D,0),"'沒有資料'")</f>
        <v>311</v>
      </c>
      <c r="S297" s="34">
        <v>1.1200000000000001</v>
      </c>
      <c r="T297" s="353">
        <f t="shared" si="66"/>
        <v>2.058823529411765E-2</v>
      </c>
      <c r="U297" s="57">
        <v>3.34</v>
      </c>
      <c r="V297" s="36">
        <f>RTD("money.excel",,"1736","Price")</f>
        <v>54.4</v>
      </c>
      <c r="W297" s="66"/>
      <c r="X297" s="15">
        <f t="shared" si="67"/>
        <v>54.4</v>
      </c>
      <c r="Y297" s="3" t="e">
        <f t="shared" si="68"/>
        <v>#DIV/0!</v>
      </c>
      <c r="Z297" s="413" t="s">
        <v>1801</v>
      </c>
      <c r="AA297" s="161">
        <v>0</v>
      </c>
      <c r="AB297" s="409">
        <v>0</v>
      </c>
      <c r="AC297" s="259">
        <f t="shared" si="60"/>
        <v>0</v>
      </c>
      <c r="AD297" s="22" t="s">
        <v>3993</v>
      </c>
      <c r="AG297" s="33">
        <f t="shared" si="69"/>
        <v>0</v>
      </c>
      <c r="AH297" s="43" t="s">
        <v>2100</v>
      </c>
      <c r="AI297" s="63">
        <f t="shared" si="70"/>
        <v>4.5214521452145213E-4</v>
      </c>
      <c r="AJ297" s="307">
        <f>RTD("money.excel",,$G297,"PredictVolume")</f>
        <v>137</v>
      </c>
      <c r="AK297" s="339"/>
    </row>
    <row r="298" spans="1:37">
      <c r="A298" s="415">
        <v>10.1</v>
      </c>
      <c r="B298" s="80">
        <v>-28</v>
      </c>
      <c r="C298" s="80">
        <v>-21</v>
      </c>
      <c r="D298" s="80">
        <v>-13</v>
      </c>
      <c r="E298" s="80">
        <v>-7</v>
      </c>
      <c r="F298" s="57">
        <v>13.97</v>
      </c>
      <c r="G298" s="79">
        <v>1752</v>
      </c>
      <c r="H298" s="149" t="s">
        <v>311</v>
      </c>
      <c r="I298" s="16" t="s">
        <v>3994</v>
      </c>
      <c r="J298" s="73">
        <v>58.45</v>
      </c>
      <c r="K298" s="73">
        <v>1.24</v>
      </c>
      <c r="L298" s="73">
        <v>8.2200000000000006</v>
      </c>
      <c r="N298" s="318">
        <f t="shared" si="71"/>
        <v>67.910000000000011</v>
      </c>
      <c r="O298" s="81">
        <f>IFERROR(VLOOKUP($G298,'321買'!A:E,3,0),"'沒有資料'")</f>
        <v>0</v>
      </c>
      <c r="P298" s="380">
        <f>IFERROR(VLOOKUP($G298,'321買'!$A:$G,7,0),"'沒有資料'")</f>
        <v>911</v>
      </c>
      <c r="R298" s="297">
        <f>IFERROR(RANK(VLOOKUP($G298,連買!$A:$D,4,0),連買!$D:$D,0),"'沒有資料'")</f>
        <v>427</v>
      </c>
      <c r="S298" s="34">
        <v>1.6</v>
      </c>
      <c r="T298" s="353">
        <f t="shared" si="66"/>
        <v>4.2780748663101609E-2</v>
      </c>
      <c r="U298" s="57">
        <v>1.64</v>
      </c>
      <c r="V298" s="36">
        <f>RTD("money.excel",,"1752","Price")</f>
        <v>37.4</v>
      </c>
      <c r="W298" s="66"/>
      <c r="X298" s="15">
        <f t="shared" si="67"/>
        <v>37.4</v>
      </c>
      <c r="Y298" s="3" t="e">
        <f t="shared" si="68"/>
        <v>#DIV/0!</v>
      </c>
      <c r="Z298" s="413" t="s">
        <v>1801</v>
      </c>
      <c r="AA298" s="161">
        <v>0</v>
      </c>
      <c r="AB298" s="409">
        <v>0</v>
      </c>
      <c r="AC298" s="259">
        <f t="shared" si="60"/>
        <v>0</v>
      </c>
      <c r="AD298" s="16" t="s">
        <v>3994</v>
      </c>
      <c r="AG298" s="33">
        <f t="shared" si="69"/>
        <v>0</v>
      </c>
      <c r="AH298" s="120" t="s">
        <v>3995</v>
      </c>
      <c r="AI298" s="63">
        <f t="shared" si="70"/>
        <v>8.0198019801980193E-4</v>
      </c>
      <c r="AJ298" s="307">
        <f>RTD("money.excel",,$G298,"PredictVolume")</f>
        <v>81</v>
      </c>
      <c r="AK298" s="339"/>
    </row>
    <row r="299" spans="1:37">
      <c r="A299" s="415">
        <v>8.57</v>
      </c>
      <c r="B299" s="93">
        <v>1221</v>
      </c>
      <c r="C299" s="79">
        <v>187</v>
      </c>
      <c r="D299" s="80">
        <v>-33</v>
      </c>
      <c r="E299" s="80">
        <v>-18</v>
      </c>
      <c r="F299" s="57">
        <v>10.33</v>
      </c>
      <c r="G299" s="79">
        <v>1760</v>
      </c>
      <c r="H299" s="204" t="s">
        <v>311</v>
      </c>
      <c r="I299" s="22" t="s">
        <v>630</v>
      </c>
      <c r="J299" s="323">
        <v>23.7</v>
      </c>
      <c r="K299" s="73">
        <v>3.29</v>
      </c>
      <c r="L299" s="323">
        <v>25.48</v>
      </c>
      <c r="M299" s="323">
        <v>20.74</v>
      </c>
      <c r="N299" s="318">
        <f t="shared" si="71"/>
        <v>73.209999999999994</v>
      </c>
      <c r="O299" s="81">
        <f>IFERROR(VLOOKUP($G299,'321買'!A:E,3,0),"'沒有資料'")</f>
        <v>29</v>
      </c>
      <c r="P299" s="380">
        <f>IFERROR(VLOOKUP($G299,'321買'!$A:$G,7,0),"'沒有資料'")</f>
        <v>151</v>
      </c>
      <c r="Q299" s="245" t="s">
        <v>3816</v>
      </c>
      <c r="R299" s="297">
        <f>IFERROR(RANK(VLOOKUP($G299,連買!$A:$D,4,0),連買!$D:$D,0),"'沒有資料'")</f>
        <v>194</v>
      </c>
      <c r="S299" s="34">
        <v>0.7</v>
      </c>
      <c r="T299" s="353">
        <f t="shared" si="66"/>
        <v>5.6451612903225803E-3</v>
      </c>
      <c r="U299" s="95">
        <v>1.91</v>
      </c>
      <c r="V299" s="36">
        <f>RTD("money.excel",,"1760","Price")</f>
        <v>124</v>
      </c>
      <c r="W299" s="66"/>
      <c r="X299" s="15">
        <f t="shared" si="67"/>
        <v>124</v>
      </c>
      <c r="Y299" s="3" t="e">
        <f t="shared" si="68"/>
        <v>#DIV/0!</v>
      </c>
      <c r="Z299" s="413" t="s">
        <v>1801</v>
      </c>
      <c r="AA299" s="161">
        <v>0</v>
      </c>
      <c r="AB299" s="409">
        <v>0</v>
      </c>
      <c r="AC299" s="259">
        <f t="shared" si="60"/>
        <v>0</v>
      </c>
      <c r="AD299" s="22" t="s">
        <v>630</v>
      </c>
      <c r="AG299" s="33">
        <f t="shared" si="69"/>
        <v>0</v>
      </c>
      <c r="AH299" s="43" t="s">
        <v>2994</v>
      </c>
      <c r="AI299" s="63">
        <f t="shared" si="70"/>
        <v>0.27124854142357058</v>
      </c>
      <c r="AJ299" s="307">
        <f>RTD("money.excel",,$G299,"PredictVolume")</f>
        <v>23246</v>
      </c>
      <c r="AK299" s="339">
        <v>43.65</v>
      </c>
    </row>
    <row r="300" spans="1:37">
      <c r="A300" s="415">
        <v>7.76</v>
      </c>
      <c r="B300" s="79">
        <v>440</v>
      </c>
      <c r="C300" s="79">
        <v>90</v>
      </c>
      <c r="D300" s="79">
        <v>288</v>
      </c>
      <c r="E300" s="79">
        <v>191</v>
      </c>
      <c r="F300" s="57">
        <v>14.84</v>
      </c>
      <c r="G300" s="79">
        <v>1762</v>
      </c>
      <c r="H300" s="204" t="s">
        <v>311</v>
      </c>
      <c r="I300" s="22" t="s">
        <v>3996</v>
      </c>
      <c r="J300" s="323">
        <v>33.869999999999997</v>
      </c>
      <c r="K300" s="323">
        <v>4.72</v>
      </c>
      <c r="L300" s="323">
        <v>33.96</v>
      </c>
      <c r="N300" s="318">
        <f t="shared" si="71"/>
        <v>72.55</v>
      </c>
      <c r="O300" s="81">
        <f>IFERROR(VLOOKUP($G300,'321買'!A:E,3,0),"'沒有資料'")</f>
        <v>27</v>
      </c>
      <c r="P300" s="380">
        <f>IFERROR(VLOOKUP($G300,'321買'!$A:$G,7,0),"'沒有資料'")</f>
        <v>163</v>
      </c>
      <c r="R300" s="297">
        <f>IFERROR(RANK(VLOOKUP($G300,連買!$A:$D,4,0),連買!$D:$D,0),"'沒有資料'")</f>
        <v>1686</v>
      </c>
      <c r="S300" s="34">
        <v>1.5</v>
      </c>
      <c r="T300" s="353">
        <f t="shared" si="66"/>
        <v>2.34375E-2</v>
      </c>
      <c r="U300" s="95">
        <v>6.86</v>
      </c>
      <c r="V300" s="36">
        <f>RTD("money.excel",,"1762","Price")</f>
        <v>64</v>
      </c>
      <c r="W300" s="66"/>
      <c r="X300" s="15">
        <f t="shared" si="67"/>
        <v>64</v>
      </c>
      <c r="Y300" s="3" t="e">
        <f t="shared" si="68"/>
        <v>#DIV/0!</v>
      </c>
      <c r="Z300" s="413" t="s">
        <v>1801</v>
      </c>
      <c r="AA300" s="161">
        <v>0</v>
      </c>
      <c r="AB300" s="409">
        <v>0</v>
      </c>
      <c r="AC300" s="259">
        <f t="shared" si="60"/>
        <v>0</v>
      </c>
      <c r="AD300" s="22" t="s">
        <v>3996</v>
      </c>
      <c r="AG300" s="33">
        <f t="shared" si="69"/>
        <v>0</v>
      </c>
      <c r="AH300" s="43" t="s">
        <v>3997</v>
      </c>
      <c r="AI300" s="63">
        <f t="shared" si="70"/>
        <v>7.439432989690721E-2</v>
      </c>
      <c r="AJ300" s="307">
        <f>RTD("money.excel",,$G300,"PredictVolume")</f>
        <v>5773</v>
      </c>
      <c r="AK300" s="339"/>
    </row>
    <row r="301" spans="1:37">
      <c r="A301" s="415">
        <v>4.01</v>
      </c>
      <c r="B301" s="80">
        <v>-32</v>
      </c>
      <c r="C301" s="80">
        <v>-32</v>
      </c>
      <c r="D301" s="79">
        <v>63</v>
      </c>
      <c r="E301" s="80">
        <v>-40</v>
      </c>
      <c r="F301" s="57">
        <v>22.79</v>
      </c>
      <c r="G301" s="79">
        <v>1777</v>
      </c>
      <c r="H301" s="149" t="s">
        <v>311</v>
      </c>
      <c r="I301" s="16" t="s">
        <v>3998</v>
      </c>
      <c r="J301" s="73">
        <v>50.38</v>
      </c>
      <c r="K301" s="323">
        <v>0.15</v>
      </c>
      <c r="L301" s="323">
        <v>2.23</v>
      </c>
      <c r="M301" s="73">
        <v>29.77</v>
      </c>
      <c r="N301" s="318">
        <f>K301+J301+L301+M301</f>
        <v>82.53</v>
      </c>
      <c r="O301" s="81">
        <f>IFERROR(VLOOKUP($G301,'321買'!A:E,3,0),"'沒有資料'")</f>
        <v>1</v>
      </c>
      <c r="P301" s="380">
        <f>IFERROR(VLOOKUP($G301,'321買'!$A:$G,7,0),"'沒有資料'")</f>
        <v>783</v>
      </c>
      <c r="Q301" s="245" t="s">
        <v>3816</v>
      </c>
      <c r="R301" s="297">
        <f>IFERROR(RANK(VLOOKUP($G301,連買!$A:$D,4,0),連買!$D:$D,0),"'沒有資料'")</f>
        <v>1683</v>
      </c>
      <c r="S301" s="66">
        <v>4</v>
      </c>
      <c r="T301" s="353">
        <f t="shared" si="66"/>
        <v>6.1349693251533742E-2</v>
      </c>
      <c r="U301" s="95">
        <v>4.57</v>
      </c>
      <c r="V301" s="36">
        <f>RTD("money.excel",,"1777","Price")</f>
        <v>65.2</v>
      </c>
      <c r="W301" s="66"/>
      <c r="X301" s="15">
        <f t="shared" si="67"/>
        <v>65.2</v>
      </c>
      <c r="Y301" s="3" t="e">
        <f t="shared" si="68"/>
        <v>#DIV/0!</v>
      </c>
      <c r="Z301" s="413" t="s">
        <v>1997</v>
      </c>
      <c r="AA301" s="161">
        <v>0</v>
      </c>
      <c r="AB301" s="409">
        <v>0</v>
      </c>
      <c r="AC301" s="259">
        <f t="shared" si="60"/>
        <v>0</v>
      </c>
      <c r="AD301" s="16" t="s">
        <v>3998</v>
      </c>
      <c r="AG301" s="33">
        <f t="shared" si="69"/>
        <v>0</v>
      </c>
      <c r="AH301" s="120" t="s">
        <v>2633</v>
      </c>
      <c r="AI301" s="63">
        <f t="shared" si="70"/>
        <v>6.2344139650872816E-4</v>
      </c>
      <c r="AJ301" s="307">
        <f>RTD("money.excel",,$G301,"PredictVolume")</f>
        <v>25</v>
      </c>
      <c r="AK301" s="339"/>
    </row>
    <row r="302" spans="1:37">
      <c r="A302" s="416">
        <v>4.74</v>
      </c>
      <c r="B302" s="79">
        <v>369</v>
      </c>
      <c r="C302" s="80">
        <v>-81</v>
      </c>
      <c r="D302" s="80">
        <v>-10</v>
      </c>
      <c r="E302" s="79">
        <v>27</v>
      </c>
      <c r="F302" s="6">
        <v>-8.26</v>
      </c>
      <c r="G302" s="79">
        <v>1781</v>
      </c>
      <c r="H302" s="8" t="s">
        <v>311</v>
      </c>
      <c r="I302" s="16" t="s">
        <v>3999</v>
      </c>
      <c r="J302" s="323">
        <v>27.75</v>
      </c>
      <c r="K302" s="73">
        <v>0.35</v>
      </c>
      <c r="L302" s="323">
        <v>0</v>
      </c>
      <c r="N302" s="318">
        <f t="shared" ref="N302:N365" si="72">J302+K302+L302+M302</f>
        <v>28.1</v>
      </c>
      <c r="O302" s="81">
        <f>IFERROR(VLOOKUP($G302,'321買'!A:E,3,0),"'沒有資料'")</f>
        <v>0</v>
      </c>
      <c r="P302" s="380">
        <f>IFERROR(VLOOKUP($G302,'321買'!$A:$G,7,0),"'沒有資料'")</f>
        <v>911</v>
      </c>
      <c r="R302" s="297">
        <f>IFERROR(RANK(VLOOKUP($G302,連買!$A:$D,4,0),連買!$D:$D,0),"'沒有資料'")</f>
        <v>1155</v>
      </c>
      <c r="S302" s="34">
        <v>0</v>
      </c>
      <c r="T302" s="353">
        <f t="shared" si="66"/>
        <v>0</v>
      </c>
      <c r="U302" s="95">
        <v>4.97</v>
      </c>
      <c r="V302" s="36">
        <f>RTD("money.excel",,"1781","Price")</f>
        <v>14.45</v>
      </c>
      <c r="W302" s="66"/>
      <c r="X302" s="15">
        <f t="shared" si="67"/>
        <v>14.45</v>
      </c>
      <c r="Y302" s="3" t="e">
        <f t="shared" si="68"/>
        <v>#DIV/0!</v>
      </c>
      <c r="AA302" s="161">
        <v>0</v>
      </c>
      <c r="AB302" s="409">
        <v>0</v>
      </c>
      <c r="AC302" s="259">
        <f t="shared" si="60"/>
        <v>0</v>
      </c>
      <c r="AD302" s="16" t="s">
        <v>3999</v>
      </c>
      <c r="AG302" s="33">
        <f t="shared" si="69"/>
        <v>0</v>
      </c>
      <c r="AH302" s="43" t="s">
        <v>4000</v>
      </c>
      <c r="AI302" s="63">
        <f t="shared" si="70"/>
        <v>1.0126582278481013E-3</v>
      </c>
      <c r="AJ302" s="307">
        <f>RTD("money.excel",,$G302,"PredictVolume")</f>
        <v>48</v>
      </c>
      <c r="AK302" s="339"/>
    </row>
    <row r="303" spans="1:37">
      <c r="A303" s="415">
        <v>6.95</v>
      </c>
      <c r="B303" s="91">
        <v>-18</v>
      </c>
      <c r="C303" s="91">
        <v>-32</v>
      </c>
      <c r="D303" s="91">
        <v>-61</v>
      </c>
      <c r="E303" s="91">
        <v>3</v>
      </c>
      <c r="F303" s="57">
        <v>13.49</v>
      </c>
      <c r="G303" s="79">
        <v>1783</v>
      </c>
      <c r="H303" s="204" t="s">
        <v>311</v>
      </c>
      <c r="I303" s="22" t="s">
        <v>4001</v>
      </c>
      <c r="J303" s="73">
        <v>44</v>
      </c>
      <c r="K303" s="73">
        <v>17.239999999999998</v>
      </c>
      <c r="L303" s="73">
        <v>17.62</v>
      </c>
      <c r="N303" s="318">
        <f t="shared" si="72"/>
        <v>78.86</v>
      </c>
      <c r="O303" s="81">
        <f>IFERROR(VLOOKUP($G303,'321買'!A:E,3,0),"'沒有資料'")</f>
        <v>17</v>
      </c>
      <c r="P303" s="380">
        <f>IFERROR(VLOOKUP($G303,'321買'!$A:$G,7,0),"'沒有資料'")</f>
        <v>290</v>
      </c>
      <c r="R303" s="297">
        <f>IFERROR(RANK(VLOOKUP($G303,連買!$A:$D,4,0),連買!$D:$D,0),"'沒有資料'")</f>
        <v>1611</v>
      </c>
      <c r="S303" s="34">
        <v>0.81</v>
      </c>
      <c r="T303" s="353">
        <f t="shared" si="66"/>
        <v>1.8430034129692834E-2</v>
      </c>
      <c r="U303" s="95">
        <v>0.91</v>
      </c>
      <c r="V303" s="36">
        <f>RTD("money.excel",,"1783","Price")</f>
        <v>43.95</v>
      </c>
      <c r="W303" s="66"/>
      <c r="X303" s="15">
        <f t="shared" si="67"/>
        <v>43.95</v>
      </c>
      <c r="Y303" s="3" t="e">
        <f t="shared" si="68"/>
        <v>#DIV/0!</v>
      </c>
      <c r="Z303" s="413" t="s">
        <v>1801</v>
      </c>
      <c r="AA303" s="161">
        <v>0</v>
      </c>
      <c r="AB303" s="409">
        <v>0</v>
      </c>
      <c r="AC303" s="259">
        <f t="shared" si="60"/>
        <v>0</v>
      </c>
      <c r="AD303" s="22" t="s">
        <v>4001</v>
      </c>
      <c r="AG303" s="33">
        <f t="shared" si="69"/>
        <v>0</v>
      </c>
      <c r="AH303" s="43" t="s">
        <v>4002</v>
      </c>
      <c r="AI303" s="63">
        <f t="shared" si="70"/>
        <v>7.122302158273381E-3</v>
      </c>
      <c r="AJ303" s="307">
        <f>RTD("money.excel",,$G303,"PredictVolume")</f>
        <v>495</v>
      </c>
      <c r="AK303" s="339"/>
    </row>
    <row r="304" spans="1:37">
      <c r="A304" s="416">
        <v>4.96</v>
      </c>
      <c r="B304" s="80">
        <v>-94</v>
      </c>
      <c r="C304" s="80">
        <v>-146</v>
      </c>
      <c r="D304" s="79">
        <v>20</v>
      </c>
      <c r="E304" s="79">
        <v>17</v>
      </c>
      <c r="F304" s="6">
        <v>-0.47</v>
      </c>
      <c r="G304" s="79">
        <v>1784</v>
      </c>
      <c r="H304" s="8" t="s">
        <v>311</v>
      </c>
      <c r="I304" s="16" t="s">
        <v>4003</v>
      </c>
      <c r="J304" s="73">
        <v>16.89</v>
      </c>
      <c r="K304" s="323">
        <v>2.37</v>
      </c>
      <c r="L304" s="73">
        <v>22.7</v>
      </c>
      <c r="N304" s="318">
        <f t="shared" si="72"/>
        <v>41.96</v>
      </c>
      <c r="O304" s="81">
        <f>IFERROR(VLOOKUP($G304,'321買'!A:E,3,0),"'沒有資料'")</f>
        <v>8</v>
      </c>
      <c r="P304" s="380">
        <f>IFERROR(VLOOKUP($G304,'321買'!$A:$G,7,0),"'沒有資料'")</f>
        <v>448</v>
      </c>
      <c r="R304" s="297">
        <f>IFERROR(RANK(VLOOKUP($G304,連買!$A:$D,4,0),連買!$D:$D,0),"'沒有資料'")</f>
        <v>439</v>
      </c>
      <c r="S304" s="34">
        <v>0.18</v>
      </c>
      <c r="T304" s="353">
        <f t="shared" si="66"/>
        <v>4.6094750320102434E-3</v>
      </c>
      <c r="U304" s="95">
        <v>0.27</v>
      </c>
      <c r="V304" s="36">
        <f>RTD("money.excel",,"1784","Price")</f>
        <v>39.049999999999997</v>
      </c>
      <c r="W304" s="66"/>
      <c r="X304" s="15">
        <f t="shared" si="67"/>
        <v>39.049999999999997</v>
      </c>
      <c r="Y304" s="3" t="e">
        <f t="shared" si="68"/>
        <v>#DIV/0!</v>
      </c>
      <c r="AA304" s="161">
        <v>0</v>
      </c>
      <c r="AB304" s="409">
        <v>0</v>
      </c>
      <c r="AC304" s="259">
        <f t="shared" si="60"/>
        <v>0</v>
      </c>
      <c r="AD304" s="16" t="s">
        <v>4003</v>
      </c>
      <c r="AG304" s="33">
        <f t="shared" si="69"/>
        <v>0</v>
      </c>
      <c r="AH304" s="43" t="s">
        <v>4004</v>
      </c>
      <c r="AI304" s="63">
        <f t="shared" si="70"/>
        <v>5.3225806451612902E-3</v>
      </c>
      <c r="AJ304" s="307">
        <f>RTD("money.excel",,$G304,"PredictVolume")</f>
        <v>264</v>
      </c>
      <c r="AK304" s="339"/>
    </row>
    <row r="305" spans="1:37">
      <c r="A305" s="415">
        <v>6.1</v>
      </c>
      <c r="B305" s="91">
        <v>14</v>
      </c>
      <c r="C305" s="91">
        <v>16</v>
      </c>
      <c r="D305" s="91">
        <v>-38</v>
      </c>
      <c r="E305" s="91">
        <v>-22</v>
      </c>
      <c r="F305" s="57">
        <v>22.33</v>
      </c>
      <c r="G305" s="79">
        <v>1786</v>
      </c>
      <c r="H305" s="204" t="s">
        <v>311</v>
      </c>
      <c r="I305" s="22" t="s">
        <v>4005</v>
      </c>
      <c r="J305" s="73">
        <v>48.12</v>
      </c>
      <c r="K305" s="323">
        <v>1.25</v>
      </c>
      <c r="L305" s="73">
        <v>39.299999999999997</v>
      </c>
      <c r="N305" s="318">
        <f t="shared" si="72"/>
        <v>88.669999999999987</v>
      </c>
      <c r="O305" s="81">
        <f>IFERROR(VLOOKUP($G305,'321買'!A:E,3,0),"'沒有資料'")</f>
        <v>0</v>
      </c>
      <c r="P305" s="380">
        <f>IFERROR(VLOOKUP($G305,'321買'!$A:$G,7,0),"'沒有資料'")</f>
        <v>911</v>
      </c>
      <c r="R305" s="297">
        <f>IFERROR(RANK(VLOOKUP($G305,連買!$A:$D,4,0),連買!$D:$D,0),"'沒有資料'")</f>
        <v>1008</v>
      </c>
      <c r="S305" s="34">
        <v>1.81</v>
      </c>
      <c r="T305" s="353">
        <f t="shared" si="66"/>
        <v>4.1849710982658959E-2</v>
      </c>
      <c r="U305" s="95">
        <v>2.15</v>
      </c>
      <c r="V305" s="36">
        <f>RTD("money.excel",,"1786","Price")</f>
        <v>43.25</v>
      </c>
      <c r="W305" s="66"/>
      <c r="X305" s="15">
        <f t="shared" si="67"/>
        <v>43.25</v>
      </c>
      <c r="Y305" s="3" t="e">
        <f t="shared" si="68"/>
        <v>#DIV/0!</v>
      </c>
      <c r="AA305" s="161">
        <v>0</v>
      </c>
      <c r="AB305" s="409">
        <v>0</v>
      </c>
      <c r="AC305" s="259">
        <f t="shared" si="60"/>
        <v>0</v>
      </c>
      <c r="AD305" s="22" t="s">
        <v>4005</v>
      </c>
      <c r="AG305" s="33">
        <f t="shared" si="69"/>
        <v>0</v>
      </c>
      <c r="AH305" s="43" t="s">
        <v>4006</v>
      </c>
      <c r="AI305" s="63">
        <f t="shared" si="70"/>
        <v>8.5245901639344267E-4</v>
      </c>
      <c r="AJ305" s="307">
        <f>RTD("money.excel",,$G305,"PredictVolume")</f>
        <v>52</v>
      </c>
      <c r="AK305" s="339"/>
    </row>
    <row r="306" spans="1:37">
      <c r="A306" s="415">
        <v>3.76</v>
      </c>
      <c r="B306" s="79">
        <v>36</v>
      </c>
      <c r="C306" s="79">
        <v>26</v>
      </c>
      <c r="D306" s="79">
        <v>-10</v>
      </c>
      <c r="E306" s="79">
        <v>6</v>
      </c>
      <c r="F306" s="57">
        <v>11</v>
      </c>
      <c r="G306" s="79">
        <v>1788</v>
      </c>
      <c r="H306" s="8" t="s">
        <v>311</v>
      </c>
      <c r="I306" s="16" t="s">
        <v>4007</v>
      </c>
      <c r="J306" s="323">
        <v>54.48</v>
      </c>
      <c r="K306" s="323">
        <v>11.46</v>
      </c>
      <c r="L306" s="323">
        <v>0.09</v>
      </c>
      <c r="N306" s="318">
        <f t="shared" si="72"/>
        <v>66.03</v>
      </c>
      <c r="O306" s="81">
        <f>IFERROR(VLOOKUP($G306,'321買'!A:E,3,0),"'沒有資料'")</f>
        <v>0</v>
      </c>
      <c r="P306" s="380">
        <f>IFERROR(VLOOKUP($G306,'321買'!$A:$G,7,0),"'沒有資料'")</f>
        <v>911</v>
      </c>
      <c r="R306" s="297">
        <f>IFERROR(RANK(VLOOKUP($G306,連買!$A:$D,4,0),連買!$D:$D,0),"'沒有資料'")</f>
        <v>309</v>
      </c>
      <c r="S306" s="66">
        <v>7</v>
      </c>
      <c r="T306" s="353">
        <f t="shared" si="66"/>
        <v>4.7619047619047616E-2</v>
      </c>
      <c r="U306" s="95">
        <v>8.77</v>
      </c>
      <c r="V306" s="36">
        <f>RTD("money.excel",,"1788","Price")</f>
        <v>147</v>
      </c>
      <c r="W306" s="66"/>
      <c r="X306" s="15">
        <f t="shared" si="67"/>
        <v>147</v>
      </c>
      <c r="Y306" s="3" t="e">
        <f t="shared" si="68"/>
        <v>#DIV/0!</v>
      </c>
      <c r="Z306" s="413" t="s">
        <v>1831</v>
      </c>
      <c r="AA306" s="161">
        <v>0</v>
      </c>
      <c r="AB306" s="409">
        <v>0</v>
      </c>
      <c r="AC306" s="259">
        <f t="shared" si="60"/>
        <v>0</v>
      </c>
      <c r="AD306" s="16" t="s">
        <v>4007</v>
      </c>
      <c r="AG306" s="33">
        <f t="shared" si="69"/>
        <v>0</v>
      </c>
      <c r="AH306" s="43" t="s">
        <v>4008</v>
      </c>
      <c r="AI306" s="63">
        <f t="shared" si="70"/>
        <v>3.1914893617021275E-4</v>
      </c>
      <c r="AJ306" s="307">
        <f>RTD("money.excel",,$G306,"PredictVolume")</f>
        <v>12</v>
      </c>
      <c r="AK306" s="339"/>
    </row>
    <row r="307" spans="1:37">
      <c r="A307" s="415">
        <v>79</v>
      </c>
      <c r="B307" s="79">
        <v>63</v>
      </c>
      <c r="C307" s="79">
        <v>68</v>
      </c>
      <c r="D307" s="79">
        <v>15</v>
      </c>
      <c r="E307" s="79">
        <v>43</v>
      </c>
      <c r="F307" s="57">
        <v>16.04</v>
      </c>
      <c r="G307" s="79">
        <v>1789</v>
      </c>
      <c r="H307" s="204" t="s">
        <v>311</v>
      </c>
      <c r="I307" s="22" t="s">
        <v>4009</v>
      </c>
      <c r="J307" s="323">
        <v>76.37</v>
      </c>
      <c r="K307" s="73">
        <v>4.28</v>
      </c>
      <c r="L307" s="73">
        <v>3.89</v>
      </c>
      <c r="N307" s="318">
        <f t="shared" si="72"/>
        <v>84.54</v>
      </c>
      <c r="O307" s="81">
        <f>IFERROR(VLOOKUP($G307,'321買'!A:E,3,0),"'沒有資料'")</f>
        <v>0</v>
      </c>
      <c r="P307" s="380">
        <f>IFERROR(VLOOKUP($G307,'321買'!$A:$G,7,0),"'沒有資料'")</f>
        <v>911</v>
      </c>
      <c r="R307" s="297">
        <f>IFERROR(RANK(VLOOKUP($G307,連買!$A:$D,4,0),連買!$D:$D,0),"'沒有資料'")</f>
        <v>1562</v>
      </c>
      <c r="S307" s="34">
        <v>0.5</v>
      </c>
      <c r="T307" s="353">
        <f t="shared" si="66"/>
        <v>2.0242914979757085E-2</v>
      </c>
      <c r="U307" s="95">
        <v>0.36</v>
      </c>
      <c r="V307" s="36">
        <f>RTD("money.excel",,"1789","Price")</f>
        <v>24.7</v>
      </c>
      <c r="W307" s="66"/>
      <c r="X307" s="15">
        <f t="shared" si="67"/>
        <v>24.7</v>
      </c>
      <c r="Y307" s="3" t="e">
        <f t="shared" si="68"/>
        <v>#DIV/0!</v>
      </c>
      <c r="AA307" s="161">
        <v>0</v>
      </c>
      <c r="AB307" s="409">
        <v>0</v>
      </c>
      <c r="AC307" s="259">
        <f t="shared" si="60"/>
        <v>0</v>
      </c>
      <c r="AD307" s="22" t="s">
        <v>4009</v>
      </c>
      <c r="AG307" s="33">
        <f t="shared" si="69"/>
        <v>0</v>
      </c>
      <c r="AH307" s="120" t="s">
        <v>4010</v>
      </c>
      <c r="AI307" s="63">
        <f t="shared" si="70"/>
        <v>1.10126582278481E-3</v>
      </c>
      <c r="AJ307" s="307">
        <f>RTD("money.excel",,$G307,"PredictVolume")</f>
        <v>870</v>
      </c>
      <c r="AK307" s="339"/>
    </row>
    <row r="308" spans="1:37">
      <c r="A308" s="415">
        <v>26.2</v>
      </c>
      <c r="B308" s="79">
        <v>61</v>
      </c>
      <c r="C308" s="79">
        <v>63</v>
      </c>
      <c r="D308" s="79">
        <v>13</v>
      </c>
      <c r="E308" s="79">
        <v>3</v>
      </c>
      <c r="F308" s="57">
        <v>19.32</v>
      </c>
      <c r="G308" s="79">
        <v>1795</v>
      </c>
      <c r="H308" s="8" t="s">
        <v>311</v>
      </c>
      <c r="I308" s="22" t="s">
        <v>4011</v>
      </c>
      <c r="J308" s="73">
        <v>68.02</v>
      </c>
      <c r="K308" s="323">
        <v>75.930000000000007</v>
      </c>
      <c r="L308" s="73">
        <v>18.09</v>
      </c>
      <c r="M308" s="323">
        <v>57.5</v>
      </c>
      <c r="N308" s="73">
        <f t="shared" si="72"/>
        <v>219.54</v>
      </c>
      <c r="O308" s="81">
        <f>IFERROR(VLOOKUP($G308,'321買'!A:E,3,0),"'沒有資料'")</f>
        <v>25</v>
      </c>
      <c r="P308" s="380">
        <f>IFERROR(VLOOKUP($G308,'321買'!$A:$G,7,0),"'沒有資料'")</f>
        <v>180</v>
      </c>
      <c r="Q308" s="245" t="s">
        <v>3816</v>
      </c>
      <c r="R308" s="297">
        <f>IFERROR(RANK(VLOOKUP($G308,連買!$A:$D,4,0),連買!$D:$D,0),"'沒有資料'")</f>
        <v>69</v>
      </c>
      <c r="S308" s="34">
        <v>0.35</v>
      </c>
      <c r="T308" s="353">
        <f t="shared" si="66"/>
        <v>2.6923076923076922E-3</v>
      </c>
      <c r="U308" s="57">
        <v>5.68</v>
      </c>
      <c r="V308" s="13">
        <f>RTD("money.excel",,"1795","Price")</f>
        <v>130</v>
      </c>
      <c r="W308" s="66"/>
      <c r="X308" s="15">
        <f t="shared" si="67"/>
        <v>130</v>
      </c>
      <c r="Y308" s="3" t="e">
        <f t="shared" si="68"/>
        <v>#DIV/0!</v>
      </c>
      <c r="AA308" s="161">
        <v>0</v>
      </c>
      <c r="AB308" s="409">
        <v>0</v>
      </c>
      <c r="AC308" s="259">
        <f t="shared" si="60"/>
        <v>0</v>
      </c>
      <c r="AD308" s="22" t="s">
        <v>4011</v>
      </c>
      <c r="AG308" s="33">
        <f t="shared" si="69"/>
        <v>0</v>
      </c>
      <c r="AH308" s="43" t="s">
        <v>4012</v>
      </c>
      <c r="AI308" s="63">
        <f t="shared" si="70"/>
        <v>3.4320610687022898E-2</v>
      </c>
      <c r="AJ308" s="307">
        <f>RTD("money.excel",,$G308,"PredictVolume")</f>
        <v>8992</v>
      </c>
      <c r="AK308" s="339"/>
    </row>
    <row r="309" spans="1:37">
      <c r="A309" s="416">
        <v>13.9</v>
      </c>
      <c r="B309" s="79">
        <v>38</v>
      </c>
      <c r="C309" s="79">
        <v>26</v>
      </c>
      <c r="D309" s="79">
        <v>213</v>
      </c>
      <c r="E309" s="79">
        <v>109</v>
      </c>
      <c r="F309" s="6">
        <v>-59.35</v>
      </c>
      <c r="G309" s="79">
        <v>1799</v>
      </c>
      <c r="H309" s="8" t="s">
        <v>311</v>
      </c>
      <c r="I309" s="16" t="s">
        <v>4013</v>
      </c>
      <c r="J309" s="73">
        <v>66.510000000000005</v>
      </c>
      <c r="K309" s="73">
        <v>13.37</v>
      </c>
      <c r="N309" s="318">
        <f t="shared" si="72"/>
        <v>79.88000000000001</v>
      </c>
      <c r="O309" s="81" t="str">
        <f>IFERROR(VLOOKUP($G309,'321買'!A:E,3,0),"'沒有資料'")</f>
        <v>'沒有資料'</v>
      </c>
      <c r="P309" s="380" t="str">
        <f>IFERROR(VLOOKUP($G309,'321買'!$A:$G,7,0),"'沒有資料'")</f>
        <v>'沒有資料'</v>
      </c>
      <c r="R309" s="297">
        <f>IFERROR(RANK(VLOOKUP($G309,連買!$A:$D,4,0),連買!$D:$D,0),"'沒有資料'")</f>
        <v>1344</v>
      </c>
      <c r="S309" s="34">
        <v>0</v>
      </c>
      <c r="T309" s="353">
        <f t="shared" si="66"/>
        <v>0</v>
      </c>
      <c r="U309" s="57">
        <v>-1.32</v>
      </c>
      <c r="V309" s="36">
        <f>RTD("money.excel",,"1799","Price")</f>
        <v>14.05</v>
      </c>
      <c r="W309" s="66"/>
      <c r="X309" s="15">
        <f t="shared" si="67"/>
        <v>14.05</v>
      </c>
      <c r="Y309" s="3" t="e">
        <f t="shared" si="68"/>
        <v>#DIV/0!</v>
      </c>
      <c r="AA309" s="161">
        <v>0</v>
      </c>
      <c r="AB309" s="409">
        <v>0</v>
      </c>
      <c r="AC309" s="259">
        <f t="shared" si="60"/>
        <v>0</v>
      </c>
      <c r="AD309" s="16" t="s">
        <v>4013</v>
      </c>
      <c r="AG309" s="33">
        <f t="shared" si="69"/>
        <v>0</v>
      </c>
      <c r="AH309" s="43" t="s">
        <v>2633</v>
      </c>
      <c r="AI309" s="63">
        <f t="shared" si="70"/>
        <v>4.6043165467625897E-4</v>
      </c>
      <c r="AJ309" s="307">
        <f>RTD("money.excel",,$G309,"PredictVolume")</f>
        <v>64</v>
      </c>
      <c r="AK309" s="339"/>
    </row>
    <row r="310" spans="1:37">
      <c r="A310" s="416">
        <v>4.66</v>
      </c>
      <c r="B310" s="91">
        <v>-113</v>
      </c>
      <c r="C310" s="91">
        <v>-415</v>
      </c>
      <c r="D310" s="91">
        <v>23</v>
      </c>
      <c r="E310" s="91">
        <v>30</v>
      </c>
      <c r="F310" s="6">
        <v>-12.88</v>
      </c>
      <c r="G310" s="79">
        <v>1813</v>
      </c>
      <c r="H310" s="8" t="s">
        <v>311</v>
      </c>
      <c r="I310" s="16" t="s">
        <v>4014</v>
      </c>
      <c r="J310" s="73">
        <v>40.6</v>
      </c>
      <c r="K310" s="323">
        <v>10.07</v>
      </c>
      <c r="L310" s="323">
        <v>1.82</v>
      </c>
      <c r="N310" s="318">
        <f t="shared" si="72"/>
        <v>52.49</v>
      </c>
      <c r="O310" s="81">
        <f>IFERROR(VLOOKUP($G310,'321買'!A:E,3,0),"'沒有資料'")</f>
        <v>0</v>
      </c>
      <c r="P310" s="380">
        <f>IFERROR(VLOOKUP($G310,'321買'!$A:$G,7,0),"'沒有資料'")</f>
        <v>911</v>
      </c>
      <c r="R310" s="297">
        <f>IFERROR(RANK(VLOOKUP($G310,連買!$A:$D,4,0),連買!$D:$D,0),"'沒有資料'")</f>
        <v>1172</v>
      </c>
      <c r="S310" s="34">
        <v>0</v>
      </c>
      <c r="T310" s="353">
        <f t="shared" si="66"/>
        <v>0</v>
      </c>
      <c r="U310" s="95">
        <v>0</v>
      </c>
      <c r="V310" s="36">
        <f>RTD("money.excel",,"1813","Price")</f>
        <v>19</v>
      </c>
      <c r="W310" s="66"/>
      <c r="X310" s="15">
        <f t="shared" si="67"/>
        <v>19</v>
      </c>
      <c r="Y310" s="3" t="e">
        <f t="shared" si="68"/>
        <v>#DIV/0!</v>
      </c>
      <c r="AA310" s="161">
        <v>0</v>
      </c>
      <c r="AB310" s="409">
        <v>0</v>
      </c>
      <c r="AC310" s="259">
        <f t="shared" si="60"/>
        <v>0</v>
      </c>
      <c r="AD310" s="16" t="s">
        <v>4014</v>
      </c>
      <c r="AG310" s="33">
        <f t="shared" si="69"/>
        <v>0</v>
      </c>
      <c r="AH310" s="43" t="s">
        <v>4015</v>
      </c>
      <c r="AI310" s="63">
        <f t="shared" si="70"/>
        <v>3.8626609442060086E-4</v>
      </c>
      <c r="AJ310" s="307">
        <f>RTD("money.excel",,$G310,"PredictVolume")</f>
        <v>18</v>
      </c>
      <c r="AK310" s="339"/>
    </row>
    <row r="311" spans="1:37">
      <c r="A311" s="416">
        <v>3.25</v>
      </c>
      <c r="B311" s="91">
        <v>8</v>
      </c>
      <c r="C311" s="91">
        <v>3</v>
      </c>
      <c r="D311" s="91">
        <v>-34</v>
      </c>
      <c r="E311" s="91">
        <v>76</v>
      </c>
      <c r="F311" s="6">
        <v>9</v>
      </c>
      <c r="G311" s="79">
        <v>3118</v>
      </c>
      <c r="H311" s="8" t="s">
        <v>311</v>
      </c>
      <c r="I311" s="16" t="s">
        <v>4016</v>
      </c>
      <c r="J311" s="73">
        <v>40.590000000000003</v>
      </c>
      <c r="K311" s="73">
        <v>10.06</v>
      </c>
      <c r="L311" s="73">
        <v>1.52</v>
      </c>
      <c r="N311" s="318">
        <f t="shared" si="72"/>
        <v>52.170000000000009</v>
      </c>
      <c r="O311" s="81" t="str">
        <f>IFERROR(VLOOKUP($G311,'321買'!A:E,3,0),"'沒有資料'")</f>
        <v>'沒有資料'</v>
      </c>
      <c r="P311" s="380" t="str">
        <f>IFERROR(VLOOKUP($G311,'321買'!$A:$G,7,0),"'沒有資料'")</f>
        <v>'沒有資料'</v>
      </c>
      <c r="R311" s="297">
        <f>IFERROR(RANK(VLOOKUP($G311,連買!$A:$D,4,0),連買!$D:$D,0),"'沒有資料'")</f>
        <v>1485</v>
      </c>
      <c r="S311" s="34">
        <v>1.6</v>
      </c>
      <c r="T311" s="353">
        <f t="shared" si="66"/>
        <v>5.2459016393442623E-2</v>
      </c>
      <c r="U311" s="95">
        <v>1.79</v>
      </c>
      <c r="V311" s="36">
        <f>RTD("money.excel",,"3118","Price")</f>
        <v>30.5</v>
      </c>
      <c r="W311" s="66"/>
      <c r="X311" s="15">
        <f t="shared" si="67"/>
        <v>30.5</v>
      </c>
      <c r="Y311" s="3" t="e">
        <f t="shared" si="68"/>
        <v>#DIV/0!</v>
      </c>
      <c r="AA311" s="161">
        <v>0</v>
      </c>
      <c r="AB311" s="409">
        <v>0</v>
      </c>
      <c r="AC311" s="259">
        <f t="shared" si="60"/>
        <v>0</v>
      </c>
      <c r="AD311" s="16" t="s">
        <v>4016</v>
      </c>
      <c r="AG311" s="33">
        <f t="shared" si="69"/>
        <v>0</v>
      </c>
      <c r="AH311" s="43" t="s">
        <v>4017</v>
      </c>
      <c r="AI311" s="63">
        <f t="shared" si="70"/>
        <v>8.6153846153846155E-4</v>
      </c>
      <c r="AJ311" s="307">
        <f>RTD("money.excel",,$G311,"PredictVolume")</f>
        <v>28</v>
      </c>
      <c r="AK311" s="339"/>
    </row>
    <row r="312" spans="1:37">
      <c r="A312" s="415">
        <v>8.6300000000000008</v>
      </c>
      <c r="B312" s="91">
        <v>-13</v>
      </c>
      <c r="C312" s="91">
        <v>-3</v>
      </c>
      <c r="D312" s="91">
        <v>38</v>
      </c>
      <c r="E312" s="91">
        <v>69</v>
      </c>
      <c r="F312" s="57">
        <v>30.06</v>
      </c>
      <c r="G312" s="79">
        <v>3164</v>
      </c>
      <c r="H312" s="204" t="s">
        <v>311</v>
      </c>
      <c r="I312" s="22" t="s">
        <v>4018</v>
      </c>
      <c r="J312" s="73">
        <v>52.03</v>
      </c>
      <c r="K312" s="73">
        <v>0.87</v>
      </c>
      <c r="L312" s="73">
        <v>26</v>
      </c>
      <c r="N312" s="318">
        <f t="shared" si="72"/>
        <v>78.900000000000006</v>
      </c>
      <c r="O312" s="81">
        <f>IFERROR(VLOOKUP($G312,'321買'!A:E,3,0),"'沒有資料'")</f>
        <v>0</v>
      </c>
      <c r="P312" s="380">
        <f>IFERROR(VLOOKUP($G312,'321買'!$A:$G,7,0),"'沒有資料'")</f>
        <v>911</v>
      </c>
      <c r="R312" s="297">
        <f>IFERROR(RANK(VLOOKUP($G312,連買!$A:$D,4,0),連買!$D:$D,0),"'沒有資料'")</f>
        <v>855</v>
      </c>
      <c r="S312" s="34">
        <v>0.7</v>
      </c>
      <c r="T312" s="353">
        <f t="shared" si="66"/>
        <v>2.8056112224448898E-2</v>
      </c>
      <c r="U312" s="95">
        <v>0.69</v>
      </c>
      <c r="V312" s="13">
        <f>RTD("money.excel",,"3164","Price")</f>
        <v>24.95</v>
      </c>
      <c r="W312" s="66"/>
      <c r="X312" s="15">
        <f t="shared" si="67"/>
        <v>24.95</v>
      </c>
      <c r="Y312" s="3" t="e">
        <f t="shared" si="68"/>
        <v>#DIV/0!</v>
      </c>
      <c r="AA312" s="161">
        <v>0</v>
      </c>
      <c r="AB312" s="409">
        <v>0</v>
      </c>
      <c r="AC312" s="259">
        <f t="shared" si="60"/>
        <v>0</v>
      </c>
      <c r="AD312" s="22" t="s">
        <v>4018</v>
      </c>
      <c r="AG312" s="33">
        <f t="shared" si="69"/>
        <v>0</v>
      </c>
      <c r="AH312" s="43" t="s">
        <v>4019</v>
      </c>
      <c r="AI312" s="63">
        <f t="shared" si="70"/>
        <v>3.2444959443800688E-4</v>
      </c>
      <c r="AJ312" s="307">
        <f>RTD("money.excel",,$G312,"PredictVolume")</f>
        <v>28</v>
      </c>
      <c r="AK312" s="339"/>
    </row>
    <row r="313" spans="1:37">
      <c r="A313" s="416">
        <v>13.9</v>
      </c>
      <c r="B313" s="80">
        <v>-23</v>
      </c>
      <c r="C313" s="80">
        <v>-19</v>
      </c>
      <c r="D313" s="79">
        <v>36</v>
      </c>
      <c r="E313" s="79">
        <v>33</v>
      </c>
      <c r="F313" s="73">
        <v>-148.19</v>
      </c>
      <c r="G313" s="79">
        <v>3176</v>
      </c>
      <c r="H313" s="8" t="s">
        <v>311</v>
      </c>
      <c r="I313" s="16" t="s">
        <v>4020</v>
      </c>
      <c r="J313" s="323">
        <v>25.09</v>
      </c>
      <c r="K313" s="73">
        <v>3.47</v>
      </c>
      <c r="N313" s="318">
        <f t="shared" si="72"/>
        <v>28.56</v>
      </c>
      <c r="O313" s="81" t="str">
        <f>IFERROR(VLOOKUP($G313,'321買'!A:E,3,0),"'沒有資料'")</f>
        <v>'沒有資料'</v>
      </c>
      <c r="P313" s="380" t="str">
        <f>IFERROR(VLOOKUP($G313,'321買'!$A:$G,7,0),"'沒有資料'")</f>
        <v>'沒有資料'</v>
      </c>
      <c r="R313" s="297">
        <f>IFERROR(RANK(VLOOKUP($G313,連買!$A:$D,4,0),連買!$D:$D,0),"'沒有資料'")</f>
        <v>382</v>
      </c>
      <c r="S313" s="34">
        <v>0</v>
      </c>
      <c r="T313" s="353">
        <f t="shared" si="66"/>
        <v>0</v>
      </c>
      <c r="U313" s="95">
        <v>-2.4300000000000002</v>
      </c>
      <c r="V313" s="36">
        <f>RTD("money.excel",,"3176","Price")</f>
        <v>55.6</v>
      </c>
      <c r="W313" s="66"/>
      <c r="X313" s="15">
        <f t="shared" si="67"/>
        <v>55.6</v>
      </c>
      <c r="Y313" s="3" t="e">
        <f t="shared" si="68"/>
        <v>#DIV/0!</v>
      </c>
      <c r="Z313" s="413" t="s">
        <v>1801</v>
      </c>
      <c r="AA313" s="161">
        <v>0</v>
      </c>
      <c r="AB313" s="409">
        <v>0</v>
      </c>
      <c r="AC313" s="259">
        <f t="shared" si="60"/>
        <v>0</v>
      </c>
      <c r="AD313" s="16" t="s">
        <v>4020</v>
      </c>
      <c r="AG313" s="33">
        <f t="shared" si="69"/>
        <v>0</v>
      </c>
      <c r="AH313" s="43" t="s">
        <v>4021</v>
      </c>
      <c r="AI313" s="63">
        <f t="shared" si="70"/>
        <v>9.6978417266187049E-3</v>
      </c>
      <c r="AJ313" s="307">
        <f>RTD("money.excel",,$G313,"PredictVolume")</f>
        <v>1348</v>
      </c>
      <c r="AK313" s="339"/>
    </row>
    <row r="314" spans="1:37">
      <c r="A314" s="416">
        <v>3.28</v>
      </c>
      <c r="B314" s="91">
        <v>26</v>
      </c>
      <c r="C314" s="91">
        <v>27</v>
      </c>
      <c r="D314" s="91">
        <v>9</v>
      </c>
      <c r="E314" s="91">
        <v>39</v>
      </c>
      <c r="F314" s="6">
        <v>-13.98</v>
      </c>
      <c r="G314" s="79">
        <v>3205</v>
      </c>
      <c r="H314" s="8" t="s">
        <v>311</v>
      </c>
      <c r="I314" s="16" t="s">
        <v>4022</v>
      </c>
      <c r="J314" s="73">
        <v>37.4</v>
      </c>
      <c r="K314" s="73">
        <v>11.27</v>
      </c>
      <c r="L314" s="73">
        <v>15.65</v>
      </c>
      <c r="N314" s="318">
        <f t="shared" si="72"/>
        <v>64.320000000000007</v>
      </c>
      <c r="O314" s="81">
        <f>IFERROR(VLOOKUP($G314,'321買'!A:E,3,0),"'沒有資料'")</f>
        <v>2</v>
      </c>
      <c r="P314" s="380">
        <f>IFERROR(VLOOKUP($G314,'321買'!$A:$G,7,0),"'沒有資料'")</f>
        <v>706</v>
      </c>
      <c r="R314" s="297">
        <f>IFERROR(RANK(VLOOKUP($G314,連買!$A:$D,4,0),連買!$D:$D,0),"'沒有資料'")</f>
        <v>827</v>
      </c>
      <c r="S314" s="34">
        <v>0</v>
      </c>
      <c r="T314" s="353">
        <f t="shared" si="66"/>
        <v>0</v>
      </c>
      <c r="U314" s="95">
        <v>-2.77</v>
      </c>
      <c r="V314" s="36">
        <f>RTD("money.excel",,"3205","Price")</f>
        <v>23.1</v>
      </c>
      <c r="W314" s="66"/>
      <c r="X314" s="15">
        <f t="shared" si="67"/>
        <v>23.1</v>
      </c>
      <c r="Y314" s="3" t="e">
        <f t="shared" si="68"/>
        <v>#DIV/0!</v>
      </c>
      <c r="AA314" s="161">
        <v>0</v>
      </c>
      <c r="AB314" s="409">
        <v>0</v>
      </c>
      <c r="AC314" s="259">
        <f t="shared" si="60"/>
        <v>0</v>
      </c>
      <c r="AD314" s="16" t="s">
        <v>4022</v>
      </c>
      <c r="AG314" s="33">
        <f t="shared" si="69"/>
        <v>0</v>
      </c>
      <c r="AH314" s="43" t="s">
        <v>4023</v>
      </c>
      <c r="AI314" s="63">
        <f t="shared" si="70"/>
        <v>1.3109756097560976E-3</v>
      </c>
      <c r="AJ314" s="307">
        <f>RTD("money.excel",,$G314,"PredictVolume")</f>
        <v>43</v>
      </c>
      <c r="AK314" s="339"/>
    </row>
    <row r="315" spans="1:37">
      <c r="A315" s="415">
        <v>7.61</v>
      </c>
      <c r="B315" s="79">
        <v>45</v>
      </c>
      <c r="C315" s="79">
        <v>47</v>
      </c>
      <c r="D315" s="79">
        <v>1</v>
      </c>
      <c r="E315" s="79">
        <v>9</v>
      </c>
      <c r="F315" s="57">
        <v>29.23</v>
      </c>
      <c r="G315" s="79">
        <v>3218</v>
      </c>
      <c r="H315" s="8" t="s">
        <v>311</v>
      </c>
      <c r="I315" s="16" t="s">
        <v>4024</v>
      </c>
      <c r="J315" s="73">
        <v>61.98</v>
      </c>
      <c r="K315" s="73">
        <v>33.58</v>
      </c>
      <c r="L315" s="323">
        <v>4.66</v>
      </c>
      <c r="N315" s="318">
        <f t="shared" si="72"/>
        <v>100.22</v>
      </c>
      <c r="O315" s="81">
        <f>IFERROR(VLOOKUP($G315,'321買'!A:E,3,0),"'沒有資料'")</f>
        <v>11</v>
      </c>
      <c r="P315" s="380">
        <f>IFERROR(VLOOKUP($G315,'321買'!$A:$G,7,0),"'沒有資料'")</f>
        <v>408</v>
      </c>
      <c r="R315" s="297">
        <f>IFERROR(RANK(VLOOKUP($G315,連買!$A:$D,4,0),連買!$D:$D,0),"'沒有資料'")</f>
        <v>25</v>
      </c>
      <c r="S315" s="66">
        <v>4.2</v>
      </c>
      <c r="T315" s="353">
        <f t="shared" si="66"/>
        <v>1.5498154981549815E-2</v>
      </c>
      <c r="U315" s="95">
        <v>7.3</v>
      </c>
      <c r="V315" s="36">
        <f>RTD("money.excel",,"3218","Price")</f>
        <v>271</v>
      </c>
      <c r="W315" s="66"/>
      <c r="X315" s="15">
        <f t="shared" si="67"/>
        <v>271</v>
      </c>
      <c r="Y315" s="3" t="e">
        <f t="shared" si="68"/>
        <v>#DIV/0!</v>
      </c>
      <c r="Z315" s="413" t="s">
        <v>1997</v>
      </c>
      <c r="AA315" s="161">
        <v>0</v>
      </c>
      <c r="AB315" s="409">
        <v>0</v>
      </c>
      <c r="AC315" s="259">
        <f t="shared" si="60"/>
        <v>0</v>
      </c>
      <c r="AD315" s="16" t="s">
        <v>4024</v>
      </c>
      <c r="AG315" s="33">
        <f t="shared" si="69"/>
        <v>0</v>
      </c>
      <c r="AH315" s="43" t="s">
        <v>4025</v>
      </c>
      <c r="AI315" s="63">
        <f t="shared" si="70"/>
        <v>1.7345597897503286E-3</v>
      </c>
      <c r="AJ315" s="307">
        <f>RTD("money.excel",,$G315,"PredictVolume")</f>
        <v>132</v>
      </c>
      <c r="AK315" s="339"/>
    </row>
    <row r="316" spans="1:37">
      <c r="A316" s="415">
        <v>26.6</v>
      </c>
      <c r="B316" s="91">
        <v>18</v>
      </c>
      <c r="C316" s="91">
        <v>18</v>
      </c>
      <c r="D316" s="91">
        <v>-12</v>
      </c>
      <c r="E316" s="91">
        <v>4</v>
      </c>
      <c r="F316" s="57">
        <v>12.65</v>
      </c>
      <c r="G316" s="79">
        <v>3705</v>
      </c>
      <c r="H316" s="204" t="s">
        <v>311</v>
      </c>
      <c r="I316" s="22" t="s">
        <v>4026</v>
      </c>
      <c r="J316" s="73">
        <v>66.22</v>
      </c>
      <c r="K316" s="73">
        <v>12.91</v>
      </c>
      <c r="L316" s="73">
        <v>1.31</v>
      </c>
      <c r="N316" s="318">
        <f t="shared" si="72"/>
        <v>80.44</v>
      </c>
      <c r="O316" s="81">
        <f>IFERROR(VLOOKUP($G316,'321買'!A:E,3,0),"'沒有資料'")</f>
        <v>0</v>
      </c>
      <c r="P316" s="380">
        <f>IFERROR(VLOOKUP($G316,'321買'!$A:$G,7,0),"'沒有資料'")</f>
        <v>911</v>
      </c>
      <c r="R316" s="297">
        <f>IFERROR(RANK(VLOOKUP($G316,連買!$A:$D,4,0),連買!$D:$D,0),"'沒有資料'")</f>
        <v>1035</v>
      </c>
      <c r="S316" s="34">
        <v>2</v>
      </c>
      <c r="T316" s="353">
        <f t="shared" si="66"/>
        <v>4.7225501770956316E-2</v>
      </c>
      <c r="U316" s="95">
        <v>2.97</v>
      </c>
      <c r="V316" s="13">
        <f>RTD("money.excel",,"3705","Price")</f>
        <v>42.35</v>
      </c>
      <c r="W316" s="66"/>
      <c r="X316" s="15">
        <f t="shared" si="67"/>
        <v>42.35</v>
      </c>
      <c r="Y316" s="3" t="e">
        <f t="shared" si="68"/>
        <v>#DIV/0!</v>
      </c>
      <c r="AA316" s="161">
        <v>0</v>
      </c>
      <c r="AB316" s="409">
        <v>0</v>
      </c>
      <c r="AC316" s="259">
        <f t="shared" si="60"/>
        <v>0</v>
      </c>
      <c r="AD316" s="22" t="s">
        <v>4026</v>
      </c>
      <c r="AG316" s="33">
        <f t="shared" si="69"/>
        <v>0</v>
      </c>
      <c r="AH316" s="43" t="s">
        <v>4027</v>
      </c>
      <c r="AI316" s="63">
        <f t="shared" si="70"/>
        <v>2.2180451127819549E-4</v>
      </c>
      <c r="AJ316" s="307">
        <f>RTD("money.excel",,$G316,"PredictVolume")</f>
        <v>59</v>
      </c>
      <c r="AK316" s="339"/>
    </row>
    <row r="317" spans="1:37">
      <c r="A317" s="416">
        <v>4.24</v>
      </c>
      <c r="B317" s="80">
        <v>-4</v>
      </c>
      <c r="C317" s="79">
        <v>34</v>
      </c>
      <c r="D317" s="79">
        <v>23</v>
      </c>
      <c r="E317" s="79">
        <v>4</v>
      </c>
      <c r="F317" s="6">
        <v>6.35</v>
      </c>
      <c r="G317" s="79">
        <v>4102</v>
      </c>
      <c r="H317" s="8" t="s">
        <v>311</v>
      </c>
      <c r="I317" s="16" t="s">
        <v>4028</v>
      </c>
      <c r="J317" s="73">
        <v>26.56</v>
      </c>
      <c r="K317" s="73">
        <v>1.61</v>
      </c>
      <c r="L317" s="73">
        <v>23.53</v>
      </c>
      <c r="N317" s="318">
        <f t="shared" si="72"/>
        <v>51.7</v>
      </c>
      <c r="O317" s="81">
        <f>IFERROR(VLOOKUP($G317,'321買'!A:E,3,0),"'沒有資料'")</f>
        <v>2</v>
      </c>
      <c r="P317" s="380">
        <f>IFERROR(VLOOKUP($G317,'321買'!$A:$G,7,0),"'沒有資料'")</f>
        <v>636</v>
      </c>
      <c r="R317" s="297">
        <f>IFERROR(RANK(VLOOKUP($G317,連買!$A:$D,4,0),連買!$D:$D,0),"'沒有資料'")</f>
        <v>874</v>
      </c>
      <c r="S317" s="34">
        <v>0.1</v>
      </c>
      <c r="T317" s="353">
        <f t="shared" si="66"/>
        <v>4.8426150121065378E-3</v>
      </c>
      <c r="U317" s="95">
        <v>0.73</v>
      </c>
      <c r="V317" s="36">
        <f>RTD("money.excel",,"4102","Price")</f>
        <v>20.65</v>
      </c>
      <c r="W317" s="66"/>
      <c r="X317" s="15">
        <f t="shared" si="67"/>
        <v>20.65</v>
      </c>
      <c r="Y317" s="3" t="e">
        <f t="shared" si="68"/>
        <v>#DIV/0!</v>
      </c>
      <c r="AA317" s="161">
        <v>0</v>
      </c>
      <c r="AB317" s="409">
        <v>0</v>
      </c>
      <c r="AC317" s="259">
        <f t="shared" si="60"/>
        <v>0</v>
      </c>
      <c r="AD317" s="16" t="s">
        <v>4028</v>
      </c>
      <c r="AG317" s="33">
        <f t="shared" si="69"/>
        <v>0</v>
      </c>
      <c r="AH317" s="43" t="s">
        <v>4029</v>
      </c>
      <c r="AI317" s="63">
        <f t="shared" si="70"/>
        <v>2.9952830188679246E-3</v>
      </c>
      <c r="AJ317" s="307">
        <f>RTD("money.excel",,$G317,"PredictVolume")</f>
        <v>127</v>
      </c>
      <c r="AK317" s="339"/>
    </row>
    <row r="318" spans="1:37">
      <c r="A318" s="416">
        <v>14.1</v>
      </c>
      <c r="B318" s="79">
        <v>8</v>
      </c>
      <c r="C318" s="79">
        <v>9</v>
      </c>
      <c r="D318" s="79">
        <v>4</v>
      </c>
      <c r="E318" s="79">
        <v>-5</v>
      </c>
      <c r="F318" s="6">
        <v>8.69</v>
      </c>
      <c r="G318" s="79">
        <v>4104</v>
      </c>
      <c r="H318" s="204" t="s">
        <v>311</v>
      </c>
      <c r="I318" s="22" t="s">
        <v>4030</v>
      </c>
      <c r="J318" s="323">
        <v>46.94</v>
      </c>
      <c r="K318" s="323">
        <v>7.14</v>
      </c>
      <c r="L318" s="323">
        <v>1.48</v>
      </c>
      <c r="N318" s="318">
        <f t="shared" si="72"/>
        <v>55.559999999999995</v>
      </c>
      <c r="O318" s="81">
        <f>IFERROR(VLOOKUP($G318,'321買'!A:E,3,0),"'沒有資料'")</f>
        <v>0</v>
      </c>
      <c r="P318" s="380">
        <f>IFERROR(VLOOKUP($G318,'321買'!$A:$G,7,0),"'沒有資料'")</f>
        <v>911</v>
      </c>
      <c r="R318" s="297">
        <f>IFERROR(RANK(VLOOKUP($G318,連買!$A:$D,4,0),連買!$D:$D,0),"'沒有資料'")</f>
        <v>202</v>
      </c>
      <c r="S318" s="66">
        <v>3.5</v>
      </c>
      <c r="T318" s="353">
        <f t="shared" si="66"/>
        <v>5.1775147928994091E-2</v>
      </c>
      <c r="U318" s="95">
        <v>4.08</v>
      </c>
      <c r="V318" s="36">
        <f>RTD("money.excel",,"4104","Price")</f>
        <v>67.599999999999994</v>
      </c>
      <c r="W318" s="66"/>
      <c r="X318" s="15">
        <f t="shared" si="67"/>
        <v>67.599999999999994</v>
      </c>
      <c r="Y318" s="3" t="e">
        <f t="shared" si="68"/>
        <v>#DIV/0!</v>
      </c>
      <c r="Z318" s="413" t="s">
        <v>1831</v>
      </c>
      <c r="AA318" s="161">
        <v>0</v>
      </c>
      <c r="AB318" s="409">
        <v>0</v>
      </c>
      <c r="AC318" s="259">
        <f t="shared" si="60"/>
        <v>0</v>
      </c>
      <c r="AD318" s="22" t="s">
        <v>4030</v>
      </c>
      <c r="AG318" s="33">
        <f t="shared" si="69"/>
        <v>0</v>
      </c>
      <c r="AH318" s="43" t="s">
        <v>4031</v>
      </c>
      <c r="AI318" s="63">
        <f t="shared" si="70"/>
        <v>3.6312056737588653E-3</v>
      </c>
      <c r="AJ318" s="307">
        <f>RTD("money.excel",,$G318,"PredictVolume")</f>
        <v>512</v>
      </c>
      <c r="AK318" s="339"/>
    </row>
    <row r="319" spans="1:37">
      <c r="A319" s="415">
        <v>24.8</v>
      </c>
      <c r="B319" s="80">
        <v>-15</v>
      </c>
      <c r="C319" s="79">
        <v>19</v>
      </c>
      <c r="D319" s="80">
        <v>-35</v>
      </c>
      <c r="E319" s="79">
        <v>1</v>
      </c>
      <c r="F319" s="57">
        <v>25.15</v>
      </c>
      <c r="G319" s="79">
        <v>4105</v>
      </c>
      <c r="H319" s="8" t="s">
        <v>311</v>
      </c>
      <c r="I319" s="16" t="s">
        <v>4032</v>
      </c>
      <c r="J319" s="323">
        <v>39.04</v>
      </c>
      <c r="K319" s="73">
        <v>14.49</v>
      </c>
      <c r="L319" s="73">
        <v>4.54</v>
      </c>
      <c r="M319" s="323">
        <v>12.44</v>
      </c>
      <c r="N319" s="318">
        <f t="shared" si="72"/>
        <v>70.510000000000005</v>
      </c>
      <c r="O319" s="81">
        <f>IFERROR(VLOOKUP($G319,'321買'!A:E,3,0),"'沒有資料'")</f>
        <v>7</v>
      </c>
      <c r="P319" s="380">
        <f>IFERROR(VLOOKUP($G319,'321買'!$A:$G,7,0),"'沒有資料'")</f>
        <v>408</v>
      </c>
      <c r="Q319" s="388" t="s">
        <v>3816</v>
      </c>
      <c r="R319" s="297">
        <f>IFERROR(RANK(VLOOKUP($G319,連買!$A:$D,4,0),連買!$D:$D,0),"'沒有資料'")</f>
        <v>832</v>
      </c>
      <c r="S319" s="45">
        <v>3</v>
      </c>
      <c r="T319" s="353">
        <f t="shared" si="66"/>
        <v>3.9577836411609502E-2</v>
      </c>
      <c r="U319" s="95">
        <v>3.02</v>
      </c>
      <c r="V319" s="36">
        <f>RTD("money.excel",,"4105","Price")</f>
        <v>75.8</v>
      </c>
      <c r="W319" s="66"/>
      <c r="X319" s="15">
        <f t="shared" si="67"/>
        <v>75.8</v>
      </c>
      <c r="Y319" s="3" t="e">
        <f t="shared" si="68"/>
        <v>#DIV/0!</v>
      </c>
      <c r="Z319" s="413">
        <v>-28.72</v>
      </c>
      <c r="AA319" s="161">
        <v>0</v>
      </c>
      <c r="AB319" s="409">
        <v>0</v>
      </c>
      <c r="AC319" s="259">
        <f t="shared" si="60"/>
        <v>0</v>
      </c>
      <c r="AD319" s="16" t="s">
        <v>4032</v>
      </c>
      <c r="AG319" s="33">
        <f t="shared" si="69"/>
        <v>0</v>
      </c>
      <c r="AH319" s="120" t="s">
        <v>4033</v>
      </c>
      <c r="AI319" s="63">
        <f t="shared" si="70"/>
        <v>3.3778225806451616E-2</v>
      </c>
      <c r="AJ319" s="307">
        <f>RTD("money.excel",,$G319,"PredictVolume")</f>
        <v>8377</v>
      </c>
      <c r="AK319" s="339">
        <v>27.69</v>
      </c>
    </row>
    <row r="320" spans="1:37">
      <c r="A320" s="416">
        <v>10</v>
      </c>
      <c r="B320" s="79">
        <v>301</v>
      </c>
      <c r="C320" s="79">
        <v>448</v>
      </c>
      <c r="D320" s="80">
        <v>-6</v>
      </c>
      <c r="E320" s="79">
        <v>11</v>
      </c>
      <c r="F320" s="6">
        <v>8</v>
      </c>
      <c r="G320" s="79">
        <v>4106</v>
      </c>
      <c r="H320" s="204" t="s">
        <v>311</v>
      </c>
      <c r="I320" s="22" t="s">
        <v>4034</v>
      </c>
      <c r="J320" s="323">
        <v>44.92</v>
      </c>
      <c r="K320" s="73">
        <v>5.33</v>
      </c>
      <c r="L320" s="323">
        <v>17.260000000000002</v>
      </c>
      <c r="N320" s="318">
        <f t="shared" si="72"/>
        <v>67.510000000000005</v>
      </c>
      <c r="O320" s="81">
        <f>IFERROR(VLOOKUP($G320,'321買'!A:E,3,0),"'沒有資料'")</f>
        <v>11</v>
      </c>
      <c r="P320" s="380">
        <f>IFERROR(VLOOKUP($G320,'321買'!$A:$G,7,0),"'沒有資料'")</f>
        <v>387</v>
      </c>
      <c r="R320" s="297">
        <f>IFERROR(RANK(VLOOKUP($G320,連買!$A:$D,4,0),連買!$D:$D,0),"'沒有資料'")</f>
        <v>779</v>
      </c>
      <c r="S320" s="34">
        <v>0.55000000000000004</v>
      </c>
      <c r="T320" s="353">
        <f t="shared" ref="T320:T351" si="73">S320/V320</f>
        <v>1.8333333333333333E-2</v>
      </c>
      <c r="U320" s="95">
        <v>1.25</v>
      </c>
      <c r="V320" s="36">
        <f>RTD("money.excel",,"4106","Price")</f>
        <v>30</v>
      </c>
      <c r="W320" s="66"/>
      <c r="X320" s="15">
        <f t="shared" si="67"/>
        <v>30</v>
      </c>
      <c r="Y320" s="3" t="e">
        <f t="shared" si="68"/>
        <v>#DIV/0!</v>
      </c>
      <c r="Z320" s="413" t="s">
        <v>1801</v>
      </c>
      <c r="AA320" s="161">
        <v>0</v>
      </c>
      <c r="AB320" s="409">
        <v>0</v>
      </c>
      <c r="AC320" s="259">
        <f t="shared" si="60"/>
        <v>0</v>
      </c>
      <c r="AD320" s="22" t="s">
        <v>632</v>
      </c>
      <c r="AG320" s="33">
        <f t="shared" si="69"/>
        <v>0</v>
      </c>
      <c r="AH320" s="43" t="s">
        <v>4035</v>
      </c>
      <c r="AI320" s="63">
        <f t="shared" ref="AI320:AI351" si="74">AJ320/(A320*10000)</f>
        <v>2.0820000000000002E-2</v>
      </c>
      <c r="AJ320" s="307">
        <f>RTD("money.excel",,$G320,"PredictVolume")</f>
        <v>2082</v>
      </c>
      <c r="AK320" s="339"/>
    </row>
    <row r="321" spans="1:37">
      <c r="A321" s="415">
        <v>6.93</v>
      </c>
      <c r="B321" s="80">
        <v>-6</v>
      </c>
      <c r="C321" s="80">
        <v>-1</v>
      </c>
      <c r="D321" s="79">
        <v>1</v>
      </c>
      <c r="E321" s="79">
        <v>27</v>
      </c>
      <c r="F321" s="57">
        <v>30.31</v>
      </c>
      <c r="G321" s="79">
        <v>4107</v>
      </c>
      <c r="H321" s="8" t="s">
        <v>311</v>
      </c>
      <c r="I321" s="16" t="s">
        <v>4036</v>
      </c>
      <c r="J321" s="73">
        <v>43.5</v>
      </c>
      <c r="K321" s="73">
        <v>39.659999999999997</v>
      </c>
      <c r="L321" s="323">
        <v>2.92</v>
      </c>
      <c r="N321" s="318">
        <f t="shared" si="72"/>
        <v>86.08</v>
      </c>
      <c r="O321" s="81">
        <f>IFERROR(VLOOKUP($G321,'321買'!A:E,3,0),"'沒有資料'")</f>
        <v>0</v>
      </c>
      <c r="P321" s="380">
        <f>IFERROR(VLOOKUP($G321,'321買'!$A:$G,7,0),"'沒有資料'")</f>
        <v>911</v>
      </c>
      <c r="R321" s="297">
        <f>IFERROR(RANK(VLOOKUP($G321,連買!$A:$D,4,0),連買!$D:$D,0),"'沒有資料'")</f>
        <v>490</v>
      </c>
      <c r="S321" s="66">
        <v>4</v>
      </c>
      <c r="T321" s="353">
        <f t="shared" si="73"/>
        <v>3.5874439461883408E-2</v>
      </c>
      <c r="U321" s="95">
        <v>7.05</v>
      </c>
      <c r="V321" s="36">
        <f>RTD("money.excel",,"4107","Price")</f>
        <v>111.5</v>
      </c>
      <c r="W321" s="66"/>
      <c r="X321" s="15">
        <f t="shared" si="67"/>
        <v>111.5</v>
      </c>
      <c r="Y321" s="3" t="e">
        <f t="shared" si="68"/>
        <v>#DIV/0!</v>
      </c>
      <c r="Z321" s="413" t="s">
        <v>1831</v>
      </c>
      <c r="AA321" s="161">
        <v>0</v>
      </c>
      <c r="AB321" s="409">
        <v>0</v>
      </c>
      <c r="AC321" s="259">
        <f t="shared" si="60"/>
        <v>0</v>
      </c>
      <c r="AD321" s="16" t="s">
        <v>4036</v>
      </c>
      <c r="AG321" s="33">
        <f t="shared" si="69"/>
        <v>0</v>
      </c>
      <c r="AH321" s="43" t="s">
        <v>4037</v>
      </c>
      <c r="AI321" s="63">
        <f t="shared" si="74"/>
        <v>1.240981240981241E-3</v>
      </c>
      <c r="AJ321" s="307">
        <f>RTD("money.excel",,$G321,"PredictVolume")</f>
        <v>86</v>
      </c>
      <c r="AK321" s="339"/>
    </row>
    <row r="322" spans="1:37">
      <c r="A322" s="416">
        <v>19.8</v>
      </c>
      <c r="B322" s="79">
        <v>42</v>
      </c>
      <c r="C322" s="79">
        <v>16</v>
      </c>
      <c r="D322" s="79">
        <v>13</v>
      </c>
      <c r="E322" s="79">
        <v>37</v>
      </c>
      <c r="F322" s="73">
        <v>-185.64</v>
      </c>
      <c r="G322" s="79">
        <v>4108</v>
      </c>
      <c r="H322" s="204" t="s">
        <v>311</v>
      </c>
      <c r="I322" s="22" t="s">
        <v>4038</v>
      </c>
      <c r="J322" s="73">
        <v>22.56</v>
      </c>
      <c r="K322" s="73">
        <v>0.79</v>
      </c>
      <c r="N322" s="318">
        <f t="shared" si="72"/>
        <v>23.349999999999998</v>
      </c>
      <c r="O322" s="81">
        <f>IFERROR(VLOOKUP($G322,'321買'!A:E,3,0),"'沒有資料'")</f>
        <v>0</v>
      </c>
      <c r="P322" s="380">
        <f>IFERROR(VLOOKUP($G322,'321買'!$A:$G,7,0),"'沒有資料'")</f>
        <v>911</v>
      </c>
      <c r="R322" s="297">
        <f>IFERROR(RANK(VLOOKUP($G322,連買!$A:$D,4,0),連買!$D:$D,0),"'沒有資料'")</f>
        <v>1240</v>
      </c>
      <c r="S322" s="34">
        <v>0</v>
      </c>
      <c r="T322" s="353">
        <f t="shared" si="73"/>
        <v>0</v>
      </c>
      <c r="U322" s="95">
        <v>-0.54</v>
      </c>
      <c r="V322" s="36">
        <f>RTD("money.excel",,"4108","Price")</f>
        <v>20.6</v>
      </c>
      <c r="W322" s="66"/>
      <c r="X322" s="15">
        <f t="shared" si="67"/>
        <v>20.6</v>
      </c>
      <c r="Y322" s="3" t="e">
        <f t="shared" si="68"/>
        <v>#DIV/0!</v>
      </c>
      <c r="Z322" s="413" t="s">
        <v>1801</v>
      </c>
      <c r="AA322" s="161">
        <v>0</v>
      </c>
      <c r="AB322" s="409">
        <v>0</v>
      </c>
      <c r="AC322" s="259">
        <f t="shared" si="60"/>
        <v>0</v>
      </c>
      <c r="AD322" s="22" t="s">
        <v>4038</v>
      </c>
      <c r="AG322" s="33">
        <f t="shared" si="69"/>
        <v>0</v>
      </c>
      <c r="AH322" s="43" t="s">
        <v>2521</v>
      </c>
      <c r="AI322" s="63">
        <f t="shared" si="74"/>
        <v>1.2171717171717172E-3</v>
      </c>
      <c r="AJ322" s="307">
        <f>RTD("money.excel",,$G322,"PredictVolume")</f>
        <v>241</v>
      </c>
      <c r="AK322" s="339"/>
    </row>
    <row r="323" spans="1:37">
      <c r="A323" s="416">
        <v>8.89</v>
      </c>
      <c r="B323" s="91">
        <v>-128</v>
      </c>
      <c r="C323" s="91">
        <v>-678</v>
      </c>
      <c r="D323" s="91">
        <v>-21</v>
      </c>
      <c r="E323" s="91">
        <v>-23</v>
      </c>
      <c r="F323" s="6">
        <v>-18.29</v>
      </c>
      <c r="G323" s="79">
        <v>4109</v>
      </c>
      <c r="H323" s="8" t="s">
        <v>311</v>
      </c>
      <c r="I323" s="16" t="s">
        <v>4039</v>
      </c>
      <c r="J323" s="73">
        <v>28.91</v>
      </c>
      <c r="K323" s="73">
        <v>3.1</v>
      </c>
      <c r="L323" s="73">
        <v>0</v>
      </c>
      <c r="N323" s="318">
        <f t="shared" si="72"/>
        <v>32.01</v>
      </c>
      <c r="O323" s="81">
        <f>IFERROR(VLOOKUP($G323,'321買'!A:E,3,0),"'沒有資料'")</f>
        <v>0</v>
      </c>
      <c r="P323" s="380">
        <f>IFERROR(VLOOKUP($G323,'321買'!$A:$G,7,0),"'沒有資料'")</f>
        <v>911</v>
      </c>
      <c r="R323" s="297">
        <f>IFERROR(RANK(VLOOKUP($G323,連買!$A:$D,4,0),連買!$D:$D,0),"'沒有資料'")</f>
        <v>1502</v>
      </c>
      <c r="S323" s="34">
        <v>0</v>
      </c>
      <c r="T323" s="353">
        <f t="shared" si="73"/>
        <v>0</v>
      </c>
      <c r="U323" s="95">
        <v>-0.46</v>
      </c>
      <c r="V323" s="36">
        <f>RTD("money.excel",,"4109","Price")</f>
        <v>14.55</v>
      </c>
      <c r="W323" s="66"/>
      <c r="X323" s="15">
        <f t="shared" si="67"/>
        <v>14.55</v>
      </c>
      <c r="Y323" s="3" t="e">
        <f t="shared" si="68"/>
        <v>#DIV/0!</v>
      </c>
      <c r="AA323" s="161">
        <v>0</v>
      </c>
      <c r="AB323" s="409">
        <v>0</v>
      </c>
      <c r="AC323" s="259">
        <f t="shared" si="60"/>
        <v>0</v>
      </c>
      <c r="AD323" s="16" t="s">
        <v>4039</v>
      </c>
      <c r="AG323" s="33">
        <f t="shared" si="69"/>
        <v>0</v>
      </c>
      <c r="AH323" s="43" t="s">
        <v>4040</v>
      </c>
      <c r="AI323" s="63">
        <f t="shared" si="74"/>
        <v>1.5523059617547806E-3</v>
      </c>
      <c r="AJ323" s="307">
        <f>RTD("money.excel",,$G323,"PredictVolume")</f>
        <v>138</v>
      </c>
      <c r="AK323" s="339"/>
    </row>
    <row r="324" spans="1:37">
      <c r="A324" s="416">
        <v>5.7</v>
      </c>
      <c r="B324" s="91">
        <v>-1</v>
      </c>
      <c r="C324" s="91">
        <v>-1</v>
      </c>
      <c r="D324" s="91">
        <v>10</v>
      </c>
      <c r="E324" s="91">
        <v>-8</v>
      </c>
      <c r="F324" s="6">
        <v>7.99</v>
      </c>
      <c r="G324" s="79">
        <v>4111</v>
      </c>
      <c r="H324" s="8" t="s">
        <v>311</v>
      </c>
      <c r="I324" s="16" t="s">
        <v>4041</v>
      </c>
      <c r="J324" s="73">
        <v>37.89</v>
      </c>
      <c r="K324" s="73">
        <v>1.38</v>
      </c>
      <c r="L324" s="73">
        <v>5.04</v>
      </c>
      <c r="N324" s="318">
        <f t="shared" si="72"/>
        <v>44.31</v>
      </c>
      <c r="O324" s="81">
        <f>IFERROR(VLOOKUP($G324,'321買'!A:E,3,0),"'沒有資料'")</f>
        <v>0</v>
      </c>
      <c r="P324" s="380">
        <f>IFERROR(VLOOKUP($G324,'321買'!$A:$G,7,0),"'沒有資料'")</f>
        <v>911</v>
      </c>
      <c r="R324" s="297">
        <f>IFERROR(RANK(VLOOKUP($G324,連買!$A:$D,4,0),連買!$D:$D,0),"'沒有資料'")</f>
        <v>1027</v>
      </c>
      <c r="S324" s="34">
        <v>1</v>
      </c>
      <c r="T324" s="353">
        <f t="shared" si="73"/>
        <v>4.0899795501022497E-2</v>
      </c>
      <c r="U324" s="95">
        <v>1.04</v>
      </c>
      <c r="V324" s="36">
        <f>RTD("money.excel",,"4111","Price")</f>
        <v>24.45</v>
      </c>
      <c r="W324" s="66"/>
      <c r="X324" s="15">
        <f t="shared" si="67"/>
        <v>24.45</v>
      </c>
      <c r="Y324" s="3" t="e">
        <f t="shared" si="68"/>
        <v>#DIV/0!</v>
      </c>
      <c r="AA324" s="161">
        <v>0</v>
      </c>
      <c r="AB324" s="409">
        <v>0</v>
      </c>
      <c r="AC324" s="259">
        <f t="shared" si="60"/>
        <v>0</v>
      </c>
      <c r="AD324" s="16" t="s">
        <v>4041</v>
      </c>
      <c r="AG324" s="33">
        <f t="shared" si="69"/>
        <v>0</v>
      </c>
      <c r="AH324" s="43" t="s">
        <v>4042</v>
      </c>
      <c r="AI324" s="63">
        <f t="shared" si="74"/>
        <v>1.4561403508771931E-3</v>
      </c>
      <c r="AJ324" s="307">
        <f>RTD("money.excel",,$G324,"PredictVolume")</f>
        <v>83</v>
      </c>
      <c r="AK324" s="339"/>
    </row>
    <row r="325" spans="1:37">
      <c r="A325" s="416">
        <v>28</v>
      </c>
      <c r="B325" s="79">
        <v>457</v>
      </c>
      <c r="C325" s="79">
        <v>146</v>
      </c>
      <c r="D325" s="79">
        <v>8</v>
      </c>
      <c r="E325" s="79">
        <v>8</v>
      </c>
      <c r="F325" s="6">
        <v>2.48</v>
      </c>
      <c r="G325" s="79">
        <v>4114</v>
      </c>
      <c r="H325" s="8" t="s">
        <v>311</v>
      </c>
      <c r="I325" s="16" t="s">
        <v>4043</v>
      </c>
      <c r="J325" s="323">
        <v>37.700000000000003</v>
      </c>
      <c r="K325" s="73">
        <v>0.93</v>
      </c>
      <c r="L325" s="73">
        <v>7.06</v>
      </c>
      <c r="N325" s="318">
        <f t="shared" si="72"/>
        <v>45.690000000000005</v>
      </c>
      <c r="O325" s="81">
        <f>IFERROR(VLOOKUP($G325,'321買'!A:E,3,0),"'沒有資料'")</f>
        <v>0</v>
      </c>
      <c r="P325" s="380">
        <f>IFERROR(VLOOKUP($G325,'321買'!$A:$G,7,0),"'沒有資料'")</f>
        <v>911</v>
      </c>
      <c r="R325" s="297">
        <f>IFERROR(RANK(VLOOKUP($G325,連買!$A:$D,4,0),連買!$D:$D,0),"'沒有資料'")</f>
        <v>402</v>
      </c>
      <c r="S325" s="34">
        <v>1.5</v>
      </c>
      <c r="T325" s="353">
        <f t="shared" si="73"/>
        <v>5.4644808743169397E-2</v>
      </c>
      <c r="U325" s="95">
        <v>2.5299999999999998</v>
      </c>
      <c r="V325" s="36">
        <f>RTD("money.excel",,"4114","Price")</f>
        <v>27.45</v>
      </c>
      <c r="W325" s="66"/>
      <c r="X325" s="15">
        <f t="shared" si="67"/>
        <v>27.45</v>
      </c>
      <c r="Y325" s="3" t="e">
        <f t="shared" si="68"/>
        <v>#DIV/0!</v>
      </c>
      <c r="Z325" s="413" t="s">
        <v>1801</v>
      </c>
      <c r="AA325" s="161">
        <v>0</v>
      </c>
      <c r="AB325" s="409">
        <v>0</v>
      </c>
      <c r="AC325" s="259">
        <f t="shared" ref="AC325:AC388" si="75">AA325-AB325</f>
        <v>0</v>
      </c>
      <c r="AD325" s="16" t="s">
        <v>4043</v>
      </c>
      <c r="AG325" s="33">
        <f t="shared" si="69"/>
        <v>0</v>
      </c>
      <c r="AH325" s="43" t="s">
        <v>4044</v>
      </c>
      <c r="AI325" s="63">
        <f t="shared" si="74"/>
        <v>1.1989285714285714E-2</v>
      </c>
      <c r="AJ325" s="307">
        <f>RTD("money.excel",,$G325,"PredictVolume")</f>
        <v>3357</v>
      </c>
      <c r="AK325" s="339"/>
    </row>
    <row r="326" spans="1:37">
      <c r="A326" s="416">
        <v>4.46</v>
      </c>
      <c r="B326" s="80">
        <v>-12</v>
      </c>
      <c r="C326" s="80">
        <v>-14</v>
      </c>
      <c r="D326" s="79">
        <v>46</v>
      </c>
      <c r="E326" s="79">
        <v>28</v>
      </c>
      <c r="F326" s="6">
        <v>6.94</v>
      </c>
      <c r="G326" s="79">
        <v>4116</v>
      </c>
      <c r="H326" s="8" t="s">
        <v>311</v>
      </c>
      <c r="I326" s="16" t="s">
        <v>4045</v>
      </c>
      <c r="J326" s="73">
        <v>57.28</v>
      </c>
      <c r="K326" s="73">
        <v>0.11</v>
      </c>
      <c r="L326" s="73">
        <v>3.51</v>
      </c>
      <c r="N326" s="318">
        <f t="shared" si="72"/>
        <v>60.9</v>
      </c>
      <c r="O326" s="81">
        <f>IFERROR(VLOOKUP($G326,'321買'!A:E,3,0),"'沒有資料'")</f>
        <v>0</v>
      </c>
      <c r="P326" s="380">
        <f>IFERROR(VLOOKUP($G326,'321買'!$A:$G,7,0),"'沒有資料'")</f>
        <v>911</v>
      </c>
      <c r="R326" s="297">
        <f>IFERROR(RANK(VLOOKUP($G326,連買!$A:$D,4,0),連買!$D:$D,0),"'沒有資料'")</f>
        <v>702</v>
      </c>
      <c r="S326" s="34">
        <v>1.35</v>
      </c>
      <c r="T326" s="353">
        <f t="shared" si="73"/>
        <v>4.0479760119940034E-2</v>
      </c>
      <c r="U326" s="57">
        <v>1.33</v>
      </c>
      <c r="V326" s="36">
        <f>RTD("money.excel",,"4116","Price")</f>
        <v>33.35</v>
      </c>
      <c r="W326" s="66"/>
      <c r="X326" s="15">
        <f t="shared" si="67"/>
        <v>33.35</v>
      </c>
      <c r="Y326" s="3" t="e">
        <f t="shared" si="68"/>
        <v>#DIV/0!</v>
      </c>
      <c r="AA326" s="161">
        <v>0</v>
      </c>
      <c r="AB326" s="409">
        <v>0</v>
      </c>
      <c r="AC326" s="259">
        <f t="shared" si="75"/>
        <v>0</v>
      </c>
      <c r="AD326" s="16" t="s">
        <v>4045</v>
      </c>
      <c r="AG326" s="33">
        <f t="shared" si="69"/>
        <v>0</v>
      </c>
      <c r="AH326" s="43" t="s">
        <v>4046</v>
      </c>
      <c r="AI326" s="63">
        <f t="shared" si="74"/>
        <v>1.4125560538116593E-3</v>
      </c>
      <c r="AJ326" s="307">
        <f>RTD("money.excel",,$G326,"PredictVolume")</f>
        <v>63</v>
      </c>
      <c r="AK326" s="339"/>
    </row>
    <row r="327" spans="1:37">
      <c r="A327" s="415">
        <v>7.95</v>
      </c>
      <c r="B327" s="80">
        <v>-80</v>
      </c>
      <c r="C327" s="80">
        <v>-79</v>
      </c>
      <c r="D327" s="80">
        <v>-8</v>
      </c>
      <c r="E327" s="80">
        <v>-63</v>
      </c>
      <c r="F327" s="57">
        <v>17.72</v>
      </c>
      <c r="G327" s="79">
        <v>4119</v>
      </c>
      <c r="H327" s="204" t="s">
        <v>311</v>
      </c>
      <c r="I327" s="22" t="s">
        <v>4047</v>
      </c>
      <c r="J327" s="73">
        <v>45.78</v>
      </c>
      <c r="K327" s="73">
        <v>1.82</v>
      </c>
      <c r="L327" s="73">
        <v>6.6</v>
      </c>
      <c r="N327" s="318">
        <f t="shared" si="72"/>
        <v>54.2</v>
      </c>
      <c r="O327" s="81">
        <f>IFERROR(VLOOKUP($G327,'321買'!A:E,3,0),"'沒有資料'")</f>
        <v>0</v>
      </c>
      <c r="P327" s="380">
        <f>IFERROR(VLOOKUP($G327,'321買'!$A:$G,7,0),"'沒有資料'")</f>
        <v>911</v>
      </c>
      <c r="R327" s="297">
        <f>IFERROR(RANK(VLOOKUP($G327,連買!$A:$D,4,0),連買!$D:$D,0),"'沒有資料'")</f>
        <v>199</v>
      </c>
      <c r="S327" s="34">
        <v>2.5</v>
      </c>
      <c r="T327" s="353">
        <f t="shared" si="73"/>
        <v>2.955082742316785E-2</v>
      </c>
      <c r="U327" s="95">
        <v>2.4300000000000002</v>
      </c>
      <c r="V327" s="36">
        <f>RTD("money.excel",,"4119","Price")</f>
        <v>84.6</v>
      </c>
      <c r="W327" s="66"/>
      <c r="X327" s="15">
        <f t="shared" si="67"/>
        <v>84.6</v>
      </c>
      <c r="Y327" s="3" t="e">
        <f t="shared" si="68"/>
        <v>#DIV/0!</v>
      </c>
      <c r="Z327" s="413" t="s">
        <v>1801</v>
      </c>
      <c r="AA327" s="161">
        <v>0</v>
      </c>
      <c r="AB327" s="409">
        <v>0</v>
      </c>
      <c r="AC327" s="259">
        <f t="shared" si="75"/>
        <v>0</v>
      </c>
      <c r="AD327" s="22" t="s">
        <v>4047</v>
      </c>
      <c r="AG327" s="33">
        <f t="shared" si="69"/>
        <v>0</v>
      </c>
      <c r="AH327" s="120" t="s">
        <v>2633</v>
      </c>
      <c r="AI327" s="63">
        <f t="shared" si="74"/>
        <v>1.4465408805031446E-3</v>
      </c>
      <c r="AJ327" s="307">
        <f>RTD("money.excel",,$G327,"PredictVolume")</f>
        <v>115</v>
      </c>
      <c r="AK327" s="339"/>
    </row>
    <row r="328" spans="1:37">
      <c r="A328" s="416">
        <v>8.67</v>
      </c>
      <c r="B328" s="80">
        <v>-21</v>
      </c>
      <c r="C328" s="80">
        <v>-65</v>
      </c>
      <c r="D328" s="80">
        <v>-26</v>
      </c>
      <c r="E328" s="80">
        <v>-27</v>
      </c>
      <c r="F328" s="6">
        <v>2.19</v>
      </c>
      <c r="G328" s="79">
        <v>4120</v>
      </c>
      <c r="H328" s="8" t="s">
        <v>311</v>
      </c>
      <c r="I328" s="16" t="s">
        <v>4048</v>
      </c>
      <c r="J328" s="73">
        <v>65.27</v>
      </c>
      <c r="K328" s="73">
        <v>6.83</v>
      </c>
      <c r="L328" s="73">
        <v>5.93</v>
      </c>
      <c r="N328" s="318">
        <f t="shared" si="72"/>
        <v>78.03</v>
      </c>
      <c r="O328" s="81">
        <f>IFERROR(VLOOKUP($G328,'321買'!A:E,3,0),"'沒有資料'")</f>
        <v>0</v>
      </c>
      <c r="P328" s="380">
        <f>IFERROR(VLOOKUP($G328,'321買'!$A:$G,7,0),"'沒有資料'")</f>
        <v>911</v>
      </c>
      <c r="R328" s="297">
        <f>IFERROR(RANK(VLOOKUP($G328,連買!$A:$D,4,0),連買!$D:$D,0),"'沒有資料'")</f>
        <v>1622</v>
      </c>
      <c r="S328" s="34">
        <v>1.5</v>
      </c>
      <c r="T328" s="353">
        <f t="shared" si="73"/>
        <v>4.0322580645161289E-2</v>
      </c>
      <c r="U328" s="57">
        <v>2.2999999999999998</v>
      </c>
      <c r="V328" s="36">
        <f>RTD("money.excel",,"4120","Price")</f>
        <v>37.200000000000003</v>
      </c>
      <c r="W328" s="66"/>
      <c r="X328" s="15">
        <f t="shared" si="67"/>
        <v>37.200000000000003</v>
      </c>
      <c r="Y328" s="3" t="e">
        <f t="shared" si="68"/>
        <v>#DIV/0!</v>
      </c>
      <c r="AA328" s="161">
        <v>0</v>
      </c>
      <c r="AB328" s="409">
        <v>0</v>
      </c>
      <c r="AC328" s="259">
        <f t="shared" si="75"/>
        <v>0</v>
      </c>
      <c r="AD328" s="16" t="s">
        <v>4048</v>
      </c>
      <c r="AG328" s="33">
        <f t="shared" si="69"/>
        <v>0</v>
      </c>
      <c r="AH328" s="120" t="s">
        <v>4006</v>
      </c>
      <c r="AI328" s="63">
        <f t="shared" si="74"/>
        <v>4.6136101499423299E-4</v>
      </c>
      <c r="AJ328" s="307">
        <f>RTD("money.excel",,$G328,"PredictVolume")</f>
        <v>40</v>
      </c>
      <c r="AK328" s="339"/>
    </row>
    <row r="329" spans="1:37">
      <c r="A329" s="416">
        <v>8.43</v>
      </c>
      <c r="B329" s="79">
        <v>7</v>
      </c>
      <c r="C329" s="79">
        <v>20</v>
      </c>
      <c r="D329" s="79">
        <v>1</v>
      </c>
      <c r="E329" s="80">
        <v>-3</v>
      </c>
      <c r="F329" s="6">
        <v>4.63</v>
      </c>
      <c r="G329" s="79">
        <v>4121</v>
      </c>
      <c r="H329" s="8" t="s">
        <v>311</v>
      </c>
      <c r="I329" s="16" t="s">
        <v>4049</v>
      </c>
      <c r="J329" s="323">
        <v>33.229999999999997</v>
      </c>
      <c r="K329" s="323">
        <v>1.55</v>
      </c>
      <c r="L329" s="73">
        <v>16.2</v>
      </c>
      <c r="M329" s="73">
        <v>15.79</v>
      </c>
      <c r="N329" s="318">
        <f t="shared" si="72"/>
        <v>66.769999999999982</v>
      </c>
      <c r="O329" s="81">
        <f>IFERROR(VLOOKUP($G329,'321買'!A:E,3,0),"'沒有資料'")</f>
        <v>21</v>
      </c>
      <c r="P329" s="380">
        <f>IFERROR(VLOOKUP($G329,'321買'!$A:$G,7,0),"'沒有資料'")</f>
        <v>207</v>
      </c>
      <c r="Q329" s="245" t="s">
        <v>3815</v>
      </c>
      <c r="R329" s="297">
        <f>IFERROR(RANK(VLOOKUP($G329,連買!$A:$D,4,0),連買!$D:$D,0),"'沒有資料'")</f>
        <v>652</v>
      </c>
      <c r="S329" s="34">
        <v>1.1299999999999999</v>
      </c>
      <c r="T329" s="353">
        <f t="shared" si="73"/>
        <v>4.6406570841889108E-2</v>
      </c>
      <c r="U329" s="95">
        <v>1.77</v>
      </c>
      <c r="V329" s="36">
        <f>RTD("money.excel",,"4121","Price")</f>
        <v>24.35</v>
      </c>
      <c r="W329" s="66"/>
      <c r="X329" s="15">
        <f t="shared" si="67"/>
        <v>24.35</v>
      </c>
      <c r="Y329" s="3" t="e">
        <f t="shared" si="68"/>
        <v>#DIV/0!</v>
      </c>
      <c r="AA329" s="161">
        <v>0</v>
      </c>
      <c r="AB329" s="409">
        <v>0</v>
      </c>
      <c r="AC329" s="259">
        <f t="shared" si="75"/>
        <v>0</v>
      </c>
      <c r="AD329" s="16" t="s">
        <v>4049</v>
      </c>
      <c r="AG329" s="33">
        <f t="shared" si="69"/>
        <v>0</v>
      </c>
      <c r="AH329" s="43" t="s">
        <v>4000</v>
      </c>
      <c r="AI329" s="63">
        <f t="shared" si="74"/>
        <v>7.8279952550415186E-2</v>
      </c>
      <c r="AJ329" s="307">
        <f>RTD("money.excel",,$G329,"PredictVolume")</f>
        <v>6599</v>
      </c>
      <c r="AK329" s="339">
        <v>57.42</v>
      </c>
    </row>
    <row r="330" spans="1:37">
      <c r="A330" s="416">
        <v>45.9</v>
      </c>
      <c r="B330" s="93">
        <v>26</v>
      </c>
      <c r="C330" s="94">
        <v>-1411</v>
      </c>
      <c r="D330" s="80">
        <v>-56</v>
      </c>
      <c r="E330" s="80">
        <v>-50</v>
      </c>
      <c r="F330" s="6">
        <v>-63.13</v>
      </c>
      <c r="G330" s="79">
        <v>4123</v>
      </c>
      <c r="H330" s="8" t="s">
        <v>311</v>
      </c>
      <c r="I330" s="16" t="s">
        <v>4050</v>
      </c>
      <c r="J330" s="73">
        <v>47.81</v>
      </c>
      <c r="K330" s="323">
        <v>6.13</v>
      </c>
      <c r="L330" s="323">
        <v>17.440000000000001</v>
      </c>
      <c r="N330" s="318">
        <f t="shared" si="72"/>
        <v>71.38000000000001</v>
      </c>
      <c r="O330" s="81">
        <f>IFERROR(VLOOKUP($G330,'321買'!A:E,3,0),"'沒有資料'")</f>
        <v>0</v>
      </c>
      <c r="P330" s="380">
        <f>IFERROR(VLOOKUP($G330,'321買'!$A:$G,7,0),"'沒有資料'")</f>
        <v>911</v>
      </c>
      <c r="R330" s="297">
        <f>IFERROR(RANK(VLOOKUP($G330,連買!$A:$D,4,0),連買!$D:$D,0),"'沒有資料'")</f>
        <v>877</v>
      </c>
      <c r="S330" s="34">
        <v>2.5</v>
      </c>
      <c r="T330" s="353">
        <f t="shared" si="73"/>
        <v>3.9745627980922099E-2</v>
      </c>
      <c r="U330" s="95">
        <v>8.76</v>
      </c>
      <c r="V330" s="36">
        <f>RTD("money.excel",,"4123","Price")</f>
        <v>62.9</v>
      </c>
      <c r="W330" s="66"/>
      <c r="X330" s="15">
        <f t="shared" si="67"/>
        <v>62.9</v>
      </c>
      <c r="Y330" s="3" t="e">
        <f t="shared" si="68"/>
        <v>#DIV/0!</v>
      </c>
      <c r="Z330" s="413" t="s">
        <v>1801</v>
      </c>
      <c r="AA330" s="161">
        <v>0</v>
      </c>
      <c r="AB330" s="409">
        <v>0</v>
      </c>
      <c r="AC330" s="259">
        <f t="shared" si="75"/>
        <v>0</v>
      </c>
      <c r="AD330" s="16" t="s">
        <v>4050</v>
      </c>
      <c r="AG330" s="33">
        <f t="shared" si="69"/>
        <v>0</v>
      </c>
      <c r="AH330" s="120" t="s">
        <v>4051</v>
      </c>
      <c r="AI330" s="63">
        <f t="shared" si="74"/>
        <v>2.019607843137255E-3</v>
      </c>
      <c r="AJ330" s="307">
        <f>RTD("money.excel",,$G330,"PredictVolume")</f>
        <v>927</v>
      </c>
      <c r="AK330" s="339"/>
    </row>
    <row r="331" spans="1:37">
      <c r="A331" s="415">
        <v>7.26</v>
      </c>
      <c r="B331" s="79">
        <v>17</v>
      </c>
      <c r="C331" s="80">
        <v>-28</v>
      </c>
      <c r="D331" s="79">
        <v>33</v>
      </c>
      <c r="E331" s="80">
        <v>-10</v>
      </c>
      <c r="F331" s="57">
        <v>15.52</v>
      </c>
      <c r="G331" s="79">
        <v>4126</v>
      </c>
      <c r="H331" s="8" t="s">
        <v>311</v>
      </c>
      <c r="I331" s="16" t="s">
        <v>4052</v>
      </c>
      <c r="J331" s="73">
        <v>50.82</v>
      </c>
      <c r="K331" s="73">
        <v>9.98</v>
      </c>
      <c r="L331" s="73">
        <v>4.96</v>
      </c>
      <c r="M331" s="73">
        <v>9.26</v>
      </c>
      <c r="N331" s="318">
        <f t="shared" si="72"/>
        <v>75.02</v>
      </c>
      <c r="O331" s="81">
        <f>IFERROR(VLOOKUP($G331,'321買'!A:E,3,0),"'沒有資料'")</f>
        <v>1</v>
      </c>
      <c r="P331" s="380">
        <f>IFERROR(VLOOKUP($G331,'321買'!$A:$G,7,0),"'沒有資料'")</f>
        <v>783</v>
      </c>
      <c r="Q331" s="388" t="s">
        <v>3816</v>
      </c>
      <c r="R331" s="297">
        <f>IFERROR(RANK(VLOOKUP($G331,連買!$A:$D,4,0),連買!$D:$D,0),"'沒有資料'")</f>
        <v>527</v>
      </c>
      <c r="S331" s="45">
        <v>4.5</v>
      </c>
      <c r="T331" s="353">
        <f t="shared" si="73"/>
        <v>6.1728395061728392E-2</v>
      </c>
      <c r="U331" s="57">
        <v>5.87</v>
      </c>
      <c r="V331" s="36">
        <f>RTD("money.excel",,"4126","Price")</f>
        <v>72.900000000000006</v>
      </c>
      <c r="W331" s="66"/>
      <c r="X331" s="15">
        <f t="shared" si="67"/>
        <v>72.900000000000006</v>
      </c>
      <c r="Y331" s="3" t="e">
        <f t="shared" si="68"/>
        <v>#DIV/0!</v>
      </c>
      <c r="Z331" s="413">
        <v>-15.23</v>
      </c>
      <c r="AA331" s="161">
        <v>0</v>
      </c>
      <c r="AB331" s="409">
        <v>0</v>
      </c>
      <c r="AC331" s="259">
        <f t="shared" si="75"/>
        <v>0</v>
      </c>
      <c r="AD331" s="16" t="s">
        <v>4052</v>
      </c>
      <c r="AG331" s="33">
        <f t="shared" si="69"/>
        <v>0</v>
      </c>
      <c r="AH331" s="120" t="s">
        <v>4053</v>
      </c>
      <c r="AI331" s="63">
        <f t="shared" si="74"/>
        <v>1.349862258953168E-3</v>
      </c>
      <c r="AJ331" s="307">
        <f>RTD("money.excel",,$G331,"PredictVolume")</f>
        <v>98</v>
      </c>
      <c r="AK331" s="339">
        <v>13.25</v>
      </c>
    </row>
    <row r="332" spans="1:37">
      <c r="A332" s="416">
        <v>4.58</v>
      </c>
      <c r="B332" s="91">
        <v>35</v>
      </c>
      <c r="C332" s="91">
        <v>34</v>
      </c>
      <c r="D332" s="91">
        <v>-3</v>
      </c>
      <c r="E332" s="91">
        <v>2</v>
      </c>
      <c r="F332" s="6">
        <v>-11.26</v>
      </c>
      <c r="G332" s="79">
        <v>4127</v>
      </c>
      <c r="H332" s="8" t="s">
        <v>311</v>
      </c>
      <c r="I332" s="16" t="s">
        <v>4054</v>
      </c>
      <c r="J332" s="323">
        <v>39.1</v>
      </c>
      <c r="K332" s="73">
        <v>0.15</v>
      </c>
      <c r="L332" s="323">
        <v>11.59</v>
      </c>
      <c r="N332" s="318">
        <f t="shared" si="72"/>
        <v>50.84</v>
      </c>
      <c r="O332" s="81">
        <f>IFERROR(VLOOKUP($G332,'321買'!A:E,3,0),"'沒有資料'")</f>
        <v>0</v>
      </c>
      <c r="P332" s="380">
        <f>IFERROR(VLOOKUP($G332,'321買'!$A:$G,7,0),"'沒有資料'")</f>
        <v>911</v>
      </c>
      <c r="R332" s="297">
        <f>IFERROR(RANK(VLOOKUP($G332,連買!$A:$D,4,0),連買!$D:$D,0),"'沒有資料'")</f>
        <v>1221</v>
      </c>
      <c r="S332" s="34">
        <v>0</v>
      </c>
      <c r="T332" s="353">
        <f t="shared" si="73"/>
        <v>0</v>
      </c>
      <c r="U332" s="95">
        <v>-1.1299999999999999</v>
      </c>
      <c r="V332" s="36">
        <f>RTD("money.excel",,"4127","Price")</f>
        <v>14.25</v>
      </c>
      <c r="W332" s="66"/>
      <c r="X332" s="15">
        <f t="shared" si="67"/>
        <v>14.25</v>
      </c>
      <c r="Y332" s="3" t="e">
        <f t="shared" si="68"/>
        <v>#DIV/0!</v>
      </c>
      <c r="AA332" s="161">
        <v>0</v>
      </c>
      <c r="AB332" s="409">
        <v>0</v>
      </c>
      <c r="AC332" s="259">
        <f t="shared" si="75"/>
        <v>0</v>
      </c>
      <c r="AD332" s="16" t="s">
        <v>4054</v>
      </c>
      <c r="AG332" s="33">
        <f t="shared" si="69"/>
        <v>0</v>
      </c>
      <c r="AH332" s="43" t="s">
        <v>2634</v>
      </c>
      <c r="AI332" s="63">
        <f t="shared" si="74"/>
        <v>8.2751091703056768E-3</v>
      </c>
      <c r="AJ332" s="307">
        <f>RTD("money.excel",,$G332,"PredictVolume")</f>
        <v>379</v>
      </c>
      <c r="AK332" s="339"/>
    </row>
    <row r="333" spans="1:37">
      <c r="A333" s="416">
        <v>42.5</v>
      </c>
      <c r="B333" s="79">
        <v>352</v>
      </c>
      <c r="C333" s="80">
        <v>-330</v>
      </c>
      <c r="D333" s="79">
        <v>49</v>
      </c>
      <c r="E333" s="79">
        <v>50</v>
      </c>
      <c r="F333" s="6">
        <v>-20.73</v>
      </c>
      <c r="G333" s="79">
        <v>4128</v>
      </c>
      <c r="H333" s="8" t="s">
        <v>311</v>
      </c>
      <c r="I333" s="16" t="s">
        <v>4055</v>
      </c>
      <c r="J333" s="73">
        <v>47.78</v>
      </c>
      <c r="K333" s="73">
        <v>5.34</v>
      </c>
      <c r="N333" s="318">
        <f t="shared" si="72"/>
        <v>53.120000000000005</v>
      </c>
      <c r="O333" s="81">
        <f>IFERROR(VLOOKUP($G333,'321買'!A:E,3,0),"'沒有資料'")</f>
        <v>2</v>
      </c>
      <c r="P333" s="380">
        <f>IFERROR(VLOOKUP($G333,'321買'!$A:$G,7,0),"'沒有資料'")</f>
        <v>706</v>
      </c>
      <c r="R333" s="297">
        <f>IFERROR(RANK(VLOOKUP($G333,連買!$A:$D,4,0),連買!$D:$D,0),"'沒有資料'")</f>
        <v>343</v>
      </c>
      <c r="S333" s="34">
        <v>1</v>
      </c>
      <c r="T333" s="353">
        <f t="shared" si="73"/>
        <v>1.6835016835016835E-2</v>
      </c>
      <c r="U333" s="95">
        <v>3.29</v>
      </c>
      <c r="V333" s="36">
        <f>RTD("money.excel",,"4128","Price")</f>
        <v>59.4</v>
      </c>
      <c r="W333" s="66"/>
      <c r="X333" s="15">
        <f t="shared" si="67"/>
        <v>59.4</v>
      </c>
      <c r="Y333" s="3" t="e">
        <f t="shared" si="68"/>
        <v>#DIV/0!</v>
      </c>
      <c r="Z333" s="413" t="s">
        <v>3821</v>
      </c>
      <c r="AA333" s="161">
        <v>0</v>
      </c>
      <c r="AB333" s="409">
        <v>0</v>
      </c>
      <c r="AC333" s="259">
        <f t="shared" si="75"/>
        <v>0</v>
      </c>
      <c r="AD333" s="16" t="s">
        <v>4055</v>
      </c>
      <c r="AG333" s="33">
        <f t="shared" si="69"/>
        <v>0</v>
      </c>
      <c r="AH333" s="43" t="s">
        <v>4056</v>
      </c>
      <c r="AI333" s="63">
        <f t="shared" si="74"/>
        <v>2.9482352941176469E-3</v>
      </c>
      <c r="AJ333" s="307">
        <f>RTD("money.excel",,$G333,"PredictVolume")</f>
        <v>1253</v>
      </c>
      <c r="AK333" s="339"/>
    </row>
    <row r="334" spans="1:37">
      <c r="A334" s="416">
        <v>7.84</v>
      </c>
      <c r="B334" s="80">
        <v>-96</v>
      </c>
      <c r="C334" s="80">
        <v>-132</v>
      </c>
      <c r="D334" s="79">
        <v>19</v>
      </c>
      <c r="E334" s="79">
        <v>9</v>
      </c>
      <c r="F334" s="6">
        <v>-1.95</v>
      </c>
      <c r="G334" s="79">
        <v>4129</v>
      </c>
      <c r="H334" s="8" t="s">
        <v>311</v>
      </c>
      <c r="I334" s="16" t="s">
        <v>4057</v>
      </c>
      <c r="J334" s="73">
        <v>29.66</v>
      </c>
      <c r="K334" s="323">
        <v>6.49</v>
      </c>
      <c r="L334" s="73">
        <v>4.1100000000000003</v>
      </c>
      <c r="N334" s="318">
        <f t="shared" si="72"/>
        <v>40.26</v>
      </c>
      <c r="O334" s="81" t="str">
        <f>IFERROR(VLOOKUP($G334,'321買'!A:E,3,0),"'沒有資料'")</f>
        <v>'沒有資料'</v>
      </c>
      <c r="P334" s="380" t="str">
        <f>IFERROR(VLOOKUP($G334,'321買'!$A:$G,7,0),"'沒有資料'")</f>
        <v>'沒有資料'</v>
      </c>
      <c r="R334" s="297">
        <f>IFERROR(RANK(VLOOKUP($G334,連買!$A:$D,4,0),連買!$D:$D,0),"'沒有資料'")</f>
        <v>805</v>
      </c>
      <c r="S334" s="34">
        <v>0.83</v>
      </c>
      <c r="T334" s="353">
        <f t="shared" si="73"/>
        <v>2.8522336769759446E-2</v>
      </c>
      <c r="U334" s="95">
        <v>1.3</v>
      </c>
      <c r="V334" s="36">
        <f>RTD("money.excel",,"4129","Price")</f>
        <v>29.1</v>
      </c>
      <c r="W334" s="66"/>
      <c r="X334" s="15">
        <f t="shared" si="67"/>
        <v>29.1</v>
      </c>
      <c r="Y334" s="3" t="e">
        <f t="shared" si="68"/>
        <v>#DIV/0!</v>
      </c>
      <c r="Z334" s="413" t="s">
        <v>1801</v>
      </c>
      <c r="AA334" s="161">
        <v>0</v>
      </c>
      <c r="AB334" s="409">
        <v>0</v>
      </c>
      <c r="AC334" s="259">
        <f t="shared" si="75"/>
        <v>0</v>
      </c>
      <c r="AD334" s="16" t="s">
        <v>4057</v>
      </c>
      <c r="AG334" s="33">
        <f t="shared" si="69"/>
        <v>0</v>
      </c>
      <c r="AH334" s="43" t="s">
        <v>4058</v>
      </c>
      <c r="AI334" s="63">
        <f t="shared" si="74"/>
        <v>1.1479591836734695E-3</v>
      </c>
      <c r="AJ334" s="307">
        <f>RTD("money.excel",,$G334,"PredictVolume")</f>
        <v>90</v>
      </c>
      <c r="AK334" s="339"/>
    </row>
    <row r="335" spans="1:37">
      <c r="A335" s="416">
        <v>10.7</v>
      </c>
      <c r="B335" s="79">
        <v>13</v>
      </c>
      <c r="C335" s="79">
        <v>0</v>
      </c>
      <c r="D335" s="80">
        <v>-11</v>
      </c>
      <c r="E335" s="80">
        <v>-19</v>
      </c>
      <c r="F335" s="6">
        <v>8.36</v>
      </c>
      <c r="G335" s="79">
        <v>4130</v>
      </c>
      <c r="H335" s="8" t="s">
        <v>311</v>
      </c>
      <c r="I335" s="16" t="s">
        <v>4059</v>
      </c>
      <c r="J335" s="73">
        <v>32.479999999999997</v>
      </c>
      <c r="K335" s="73">
        <v>0.7</v>
      </c>
      <c r="L335" s="73">
        <v>12.6</v>
      </c>
      <c r="N335" s="318">
        <f t="shared" si="72"/>
        <v>45.78</v>
      </c>
      <c r="O335" s="81">
        <f>IFERROR(VLOOKUP($G335,'321買'!A:E,3,0),"'沒有資料'")</f>
        <v>0</v>
      </c>
      <c r="P335" s="380">
        <f>IFERROR(VLOOKUP($G335,'321買'!$A:$G,7,0),"'沒有資料'")</f>
        <v>911</v>
      </c>
      <c r="R335" s="297">
        <f>IFERROR(RANK(VLOOKUP($G335,連買!$A:$D,4,0),連買!$D:$D,0),"'沒有資料'")</f>
        <v>506</v>
      </c>
      <c r="S335" s="34">
        <v>0.61</v>
      </c>
      <c r="T335" s="353">
        <f t="shared" si="73"/>
        <v>2.4254473161033799E-2</v>
      </c>
      <c r="U335" s="95">
        <v>0.37</v>
      </c>
      <c r="V335" s="36">
        <f>RTD("money.excel",,"4130","Price")</f>
        <v>25.15</v>
      </c>
      <c r="W335" s="66"/>
      <c r="X335" s="15">
        <f t="shared" si="67"/>
        <v>25.15</v>
      </c>
      <c r="Y335" s="3" t="e">
        <f t="shared" si="68"/>
        <v>#DIV/0!</v>
      </c>
      <c r="Z335" s="413" t="s">
        <v>1801</v>
      </c>
      <c r="AA335" s="161">
        <v>0</v>
      </c>
      <c r="AB335" s="409">
        <v>0</v>
      </c>
      <c r="AC335" s="259">
        <f t="shared" si="75"/>
        <v>0</v>
      </c>
      <c r="AD335" s="16" t="s">
        <v>4059</v>
      </c>
      <c r="AG335" s="33">
        <f t="shared" si="69"/>
        <v>0</v>
      </c>
      <c r="AH335" s="43" t="s">
        <v>4060</v>
      </c>
      <c r="AI335" s="63">
        <f t="shared" si="74"/>
        <v>5.2429906542056075E-3</v>
      </c>
      <c r="AJ335" s="307">
        <f>RTD("money.excel",,$G335,"PredictVolume")</f>
        <v>561</v>
      </c>
      <c r="AK335" s="339"/>
    </row>
    <row r="336" spans="1:37">
      <c r="A336" s="416">
        <v>4.83</v>
      </c>
      <c r="B336" s="91">
        <v>-361</v>
      </c>
      <c r="C336" s="91">
        <v>-69</v>
      </c>
      <c r="D336" s="91">
        <v>-6</v>
      </c>
      <c r="E336" s="91">
        <v>11</v>
      </c>
      <c r="F336" s="6">
        <v>-33.130000000000003</v>
      </c>
      <c r="G336" s="79">
        <v>4131</v>
      </c>
      <c r="H336" s="8" t="s">
        <v>311</v>
      </c>
      <c r="I336" s="16" t="s">
        <v>4061</v>
      </c>
      <c r="J336" s="73">
        <v>60</v>
      </c>
      <c r="K336" s="73">
        <v>0.15</v>
      </c>
      <c r="N336" s="318">
        <f t="shared" si="72"/>
        <v>60.15</v>
      </c>
      <c r="O336" s="81" t="str">
        <f>IFERROR(VLOOKUP($G336,'321買'!A:E,3,0),"'沒有資料'")</f>
        <v>'沒有資料'</v>
      </c>
      <c r="P336" s="380" t="str">
        <f>IFERROR(VLOOKUP($G336,'321買'!$A:$G,7,0),"'沒有資料'")</f>
        <v>'沒有資料'</v>
      </c>
      <c r="R336" s="297">
        <f>IFERROR(RANK(VLOOKUP($G336,連買!$A:$D,4,0),連買!$D:$D,0),"'沒有資料'")</f>
        <v>1397</v>
      </c>
      <c r="S336" s="34">
        <v>0</v>
      </c>
      <c r="T336" s="353">
        <f t="shared" si="73"/>
        <v>0</v>
      </c>
      <c r="U336" s="95">
        <v>-0.56000000000000005</v>
      </c>
      <c r="V336" s="13">
        <f>RTD("money.excel",,"4131","Price")</f>
        <v>15.05</v>
      </c>
      <c r="W336" s="66"/>
      <c r="X336" s="15">
        <f t="shared" si="67"/>
        <v>15.05</v>
      </c>
      <c r="Y336" s="3" t="e">
        <f t="shared" si="68"/>
        <v>#DIV/0!</v>
      </c>
      <c r="AA336" s="161">
        <v>0</v>
      </c>
      <c r="AB336" s="409">
        <v>0</v>
      </c>
      <c r="AC336" s="259">
        <f t="shared" si="75"/>
        <v>0</v>
      </c>
      <c r="AD336" s="16" t="s">
        <v>4061</v>
      </c>
      <c r="AG336" s="33">
        <f t="shared" si="69"/>
        <v>0</v>
      </c>
      <c r="AH336" s="43" t="s">
        <v>4062</v>
      </c>
      <c r="AI336" s="63">
        <f t="shared" si="74"/>
        <v>6.2111801242236027E-5</v>
      </c>
      <c r="AJ336" s="307">
        <f>RTD("money.excel",,$G336,"PredictVolume")</f>
        <v>3</v>
      </c>
      <c r="AK336" s="339"/>
    </row>
    <row r="337" spans="1:37">
      <c r="A337" s="415">
        <v>6.06</v>
      </c>
      <c r="B337" s="79">
        <v>11</v>
      </c>
      <c r="C337" s="79">
        <v>11</v>
      </c>
      <c r="D337" s="80">
        <v>-8</v>
      </c>
      <c r="E337" s="80">
        <v>-5</v>
      </c>
      <c r="F337" s="57">
        <v>11.93</v>
      </c>
      <c r="G337" s="79">
        <v>4133</v>
      </c>
      <c r="H337" s="8" t="s">
        <v>311</v>
      </c>
      <c r="I337" s="22" t="s">
        <v>4063</v>
      </c>
      <c r="J337" s="323">
        <v>18.54</v>
      </c>
      <c r="K337" s="323">
        <v>16.73</v>
      </c>
      <c r="L337" s="73">
        <v>27.12</v>
      </c>
      <c r="M337" s="323">
        <v>13.89</v>
      </c>
      <c r="N337" s="318">
        <f t="shared" si="72"/>
        <v>76.28</v>
      </c>
      <c r="O337" s="81">
        <f>IFERROR(VLOOKUP($G337,'321買'!A:E,3,0),"'沒有資料'")</f>
        <v>30</v>
      </c>
      <c r="P337" s="380">
        <f>IFERROR(VLOOKUP($G337,'321買'!$A:$G,7,0),"'沒有資料'")</f>
        <v>163</v>
      </c>
      <c r="Q337" s="245" t="s">
        <v>3816</v>
      </c>
      <c r="R337" s="297">
        <f>IFERROR(RANK(VLOOKUP($G337,連買!$A:$D,4,0),連買!$D:$D,0),"'沒有資料'")</f>
        <v>379</v>
      </c>
      <c r="S337" s="34">
        <v>0.6</v>
      </c>
      <c r="T337" s="353">
        <f t="shared" si="73"/>
        <v>7.6824583866837394E-3</v>
      </c>
      <c r="U337" s="95">
        <v>0.65</v>
      </c>
      <c r="V337" s="36">
        <f>RTD("money.excel",,"4133","Price")</f>
        <v>78.099999999999994</v>
      </c>
      <c r="W337" s="66"/>
      <c r="X337" s="15">
        <f t="shared" si="67"/>
        <v>78.099999999999994</v>
      </c>
      <c r="Y337" s="3" t="e">
        <f t="shared" si="68"/>
        <v>#DIV/0!</v>
      </c>
      <c r="Z337" s="413" t="s">
        <v>1801</v>
      </c>
      <c r="AA337" s="161">
        <v>0</v>
      </c>
      <c r="AB337" s="409">
        <v>0</v>
      </c>
      <c r="AC337" s="259">
        <f t="shared" si="75"/>
        <v>0</v>
      </c>
      <c r="AD337" s="22" t="s">
        <v>4063</v>
      </c>
      <c r="AG337" s="33">
        <f t="shared" si="69"/>
        <v>0</v>
      </c>
      <c r="AH337" s="43" t="s">
        <v>4064</v>
      </c>
      <c r="AI337" s="153">
        <f t="shared" si="74"/>
        <v>0.22440594059405944</v>
      </c>
      <c r="AJ337" s="307">
        <f>RTD("money.excel",,$G337,"PredictVolume")</f>
        <v>13599</v>
      </c>
      <c r="AK337" s="339">
        <v>91.2</v>
      </c>
    </row>
    <row r="338" spans="1:37">
      <c r="A338" s="415">
        <v>7.95</v>
      </c>
      <c r="B338" s="80">
        <v>-32</v>
      </c>
      <c r="C338" s="80">
        <v>-37</v>
      </c>
      <c r="D338" s="79">
        <v>57</v>
      </c>
      <c r="E338" s="79">
        <v>41</v>
      </c>
      <c r="F338" s="57">
        <v>27.62</v>
      </c>
      <c r="G338" s="79">
        <v>4137</v>
      </c>
      <c r="H338" s="8" t="s">
        <v>311</v>
      </c>
      <c r="I338" s="22" t="s">
        <v>4065</v>
      </c>
      <c r="J338" s="323">
        <v>56.28</v>
      </c>
      <c r="K338" s="323">
        <v>68.16</v>
      </c>
      <c r="L338" s="323">
        <v>3.7</v>
      </c>
      <c r="N338" s="318">
        <f t="shared" si="72"/>
        <v>128.13999999999999</v>
      </c>
      <c r="O338" s="81">
        <f>IFERROR(VLOOKUP($G338,'321買'!A:E,3,0),"'沒有資料'")</f>
        <v>2</v>
      </c>
      <c r="P338" s="380">
        <f>IFERROR(VLOOKUP($G338,'321買'!$A:$G,7,0),"'沒有資料'")</f>
        <v>706</v>
      </c>
      <c r="R338" s="297">
        <f>IFERROR(RANK(VLOOKUP($G338,連買!$A:$D,4,0),連買!$D:$D,0),"'沒有資料'")</f>
        <v>276</v>
      </c>
      <c r="S338" s="66">
        <v>8.5</v>
      </c>
      <c r="T338" s="353">
        <f t="shared" si="73"/>
        <v>4.2929292929292928E-2</v>
      </c>
      <c r="U338" s="57">
        <v>12.1</v>
      </c>
      <c r="V338" s="13">
        <f>RTD("money.excel",,"4137","Price")</f>
        <v>198</v>
      </c>
      <c r="W338" s="66"/>
      <c r="X338" s="15">
        <f t="shared" si="67"/>
        <v>198</v>
      </c>
      <c r="Y338" s="3" t="e">
        <f t="shared" si="68"/>
        <v>#DIV/0!</v>
      </c>
      <c r="Z338" s="413" t="s">
        <v>1997</v>
      </c>
      <c r="AA338" s="161">
        <v>0</v>
      </c>
      <c r="AB338" s="409">
        <v>0</v>
      </c>
      <c r="AC338" s="259">
        <f t="shared" si="75"/>
        <v>0</v>
      </c>
      <c r="AD338" s="22" t="s">
        <v>4065</v>
      </c>
      <c r="AG338" s="33">
        <f t="shared" si="69"/>
        <v>0</v>
      </c>
      <c r="AH338" s="120" t="s">
        <v>4066</v>
      </c>
      <c r="AI338" s="63">
        <f t="shared" si="74"/>
        <v>1.2830188679245284E-3</v>
      </c>
      <c r="AJ338" s="307">
        <f>RTD("money.excel",,$G338,"PredictVolume")</f>
        <v>102</v>
      </c>
      <c r="AK338" s="339"/>
    </row>
    <row r="339" spans="1:37">
      <c r="A339" s="415">
        <v>3</v>
      </c>
      <c r="B339" s="79">
        <v>11</v>
      </c>
      <c r="C339" s="79">
        <v>4</v>
      </c>
      <c r="D339" s="79">
        <v>3</v>
      </c>
      <c r="E339" s="79">
        <v>15</v>
      </c>
      <c r="F339" s="57">
        <v>15.01</v>
      </c>
      <c r="G339" s="79">
        <v>4138</v>
      </c>
      <c r="H339" s="8" t="s">
        <v>311</v>
      </c>
      <c r="I339" s="16" t="s">
        <v>4067</v>
      </c>
      <c r="J339" s="73">
        <v>50.16</v>
      </c>
      <c r="K339" s="323">
        <v>1.18</v>
      </c>
      <c r="L339" s="323">
        <v>0.56999999999999995</v>
      </c>
      <c r="M339" s="73">
        <v>38.5</v>
      </c>
      <c r="N339" s="318">
        <f t="shared" si="72"/>
        <v>90.41</v>
      </c>
      <c r="O339" s="81" t="str">
        <f>IFERROR(VLOOKUP($G339,'321買'!A:E,3,0),"'沒有資料'")</f>
        <v>'沒有資料'</v>
      </c>
      <c r="P339" s="380" t="str">
        <f>IFERROR(VLOOKUP($G339,'321買'!$A:$G,7,0),"'沒有資料'")</f>
        <v>'沒有資料'</v>
      </c>
      <c r="Q339" s="245" t="s">
        <v>5077</v>
      </c>
      <c r="R339" s="297">
        <f>IFERROR(RANK(VLOOKUP($G339,連買!$A:$D,4,0),連買!$D:$D,0),"'沒有資料'")</f>
        <v>525</v>
      </c>
      <c r="S339" s="66">
        <v>3.5</v>
      </c>
      <c r="T339" s="353">
        <f t="shared" si="73"/>
        <v>6.2056737588652482E-2</v>
      </c>
      <c r="U339" s="95">
        <v>3.87</v>
      </c>
      <c r="V339" s="36">
        <f>RTD("money.excel",,"4138","Price")</f>
        <v>56.4</v>
      </c>
      <c r="W339" s="66"/>
      <c r="X339" s="15">
        <f t="shared" si="67"/>
        <v>56.4</v>
      </c>
      <c r="Y339" s="3" t="e">
        <f t="shared" si="68"/>
        <v>#DIV/0!</v>
      </c>
      <c r="Z339" s="413" t="s">
        <v>1831</v>
      </c>
      <c r="AA339" s="161">
        <v>0</v>
      </c>
      <c r="AB339" s="409">
        <v>0</v>
      </c>
      <c r="AC339" s="259">
        <f t="shared" si="75"/>
        <v>0</v>
      </c>
      <c r="AD339" s="16" t="s">
        <v>4067</v>
      </c>
      <c r="AG339" s="33">
        <f t="shared" si="69"/>
        <v>0</v>
      </c>
      <c r="AH339" s="120" t="s">
        <v>4068</v>
      </c>
      <c r="AI339" s="63">
        <f t="shared" si="74"/>
        <v>9.3333333333333332E-4</v>
      </c>
      <c r="AJ339" s="307">
        <f>RTD("money.excel",,$G339,"PredictVolume")</f>
        <v>28</v>
      </c>
      <c r="AK339" s="339">
        <v>1.5</v>
      </c>
    </row>
    <row r="340" spans="1:37">
      <c r="A340" s="416">
        <v>4.25</v>
      </c>
      <c r="B340" s="80">
        <v>289</v>
      </c>
      <c r="C340" s="79">
        <v>13</v>
      </c>
      <c r="D340" s="80">
        <v>-9</v>
      </c>
      <c r="E340" s="79">
        <v>5</v>
      </c>
      <c r="F340" s="6">
        <v>-3.66</v>
      </c>
      <c r="G340" s="79">
        <v>4139</v>
      </c>
      <c r="H340" s="8" t="s">
        <v>311</v>
      </c>
      <c r="I340" s="16" t="s">
        <v>4069</v>
      </c>
      <c r="J340" s="323">
        <v>66.53</v>
      </c>
      <c r="K340" s="323">
        <v>29.19</v>
      </c>
      <c r="N340" s="318">
        <f t="shared" si="72"/>
        <v>95.72</v>
      </c>
      <c r="O340" s="81">
        <f>IFERROR(VLOOKUP($G340,'321買'!A:E,3,0),"'沒有資料'")</f>
        <v>0</v>
      </c>
      <c r="P340" s="380">
        <f>IFERROR(VLOOKUP($G340,'321買'!$A:$G,7,0),"'沒有資料'")</f>
        <v>911</v>
      </c>
      <c r="R340" s="297">
        <f>IFERROR(RANK(VLOOKUP($G340,連買!$A:$D,4,0),連買!$D:$D,0),"'沒有資料'")</f>
        <v>1574</v>
      </c>
      <c r="S340" s="34">
        <v>1.6</v>
      </c>
      <c r="T340" s="353">
        <f t="shared" si="73"/>
        <v>3.3898305084745763E-2</v>
      </c>
      <c r="U340" s="95">
        <v>1.82</v>
      </c>
      <c r="V340" s="36">
        <f>RTD("money.excel",,"4139","Price")</f>
        <v>47.2</v>
      </c>
      <c r="W340" s="66"/>
      <c r="X340" s="15">
        <f t="shared" si="67"/>
        <v>47.2</v>
      </c>
      <c r="Y340" s="3" t="e">
        <f t="shared" si="68"/>
        <v>#DIV/0!</v>
      </c>
      <c r="Z340" s="413" t="s">
        <v>1801</v>
      </c>
      <c r="AA340" s="161">
        <v>0</v>
      </c>
      <c r="AB340" s="409">
        <v>0</v>
      </c>
      <c r="AC340" s="259">
        <f t="shared" si="75"/>
        <v>0</v>
      </c>
      <c r="AD340" s="16" t="s">
        <v>4069</v>
      </c>
      <c r="AG340" s="33">
        <f t="shared" si="69"/>
        <v>0</v>
      </c>
      <c r="AH340" s="43" t="s">
        <v>4070</v>
      </c>
      <c r="AI340" s="63">
        <f t="shared" si="74"/>
        <v>4.7999999999999996E-3</v>
      </c>
      <c r="AJ340" s="307">
        <f>RTD("money.excel",,$G340,"PredictVolume")</f>
        <v>204</v>
      </c>
      <c r="AK340" s="339"/>
    </row>
    <row r="341" spans="1:37">
      <c r="A341" s="416">
        <v>17.5</v>
      </c>
      <c r="B341" s="91">
        <v>-37</v>
      </c>
      <c r="C341" s="91">
        <v>739</v>
      </c>
      <c r="D341" s="91">
        <v>193</v>
      </c>
      <c r="E341" s="91">
        <v>2</v>
      </c>
      <c r="F341" s="6">
        <v>3.51</v>
      </c>
      <c r="G341" s="79">
        <v>4141</v>
      </c>
      <c r="H341" s="8" t="s">
        <v>311</v>
      </c>
      <c r="I341" s="22" t="s">
        <v>4071</v>
      </c>
      <c r="J341" s="73">
        <v>82.28</v>
      </c>
      <c r="K341" s="73">
        <v>72.2</v>
      </c>
      <c r="L341" s="73">
        <v>6.17</v>
      </c>
      <c r="N341" s="318">
        <f t="shared" si="72"/>
        <v>160.65</v>
      </c>
      <c r="O341" s="81">
        <f>IFERROR(VLOOKUP($G341,'321買'!A:E,3,0),"'沒有資料'")</f>
        <v>14</v>
      </c>
      <c r="P341" s="380">
        <f>IFERROR(VLOOKUP($G341,'321買'!$A:$G,7,0),"'沒有資料'")</f>
        <v>336</v>
      </c>
      <c r="R341" s="297">
        <f>IFERROR(RANK(VLOOKUP($G341,連買!$A:$D,4,0),連買!$D:$D,0),"'沒有資料'")</f>
        <v>918</v>
      </c>
      <c r="S341" s="34">
        <v>0</v>
      </c>
      <c r="T341" s="353">
        <f t="shared" si="73"/>
        <v>0</v>
      </c>
      <c r="U341" s="57">
        <v>-2.95</v>
      </c>
      <c r="V341" s="13">
        <f>RTD("money.excel",,"4141","Price")</f>
        <v>26.1</v>
      </c>
      <c r="W341" s="66"/>
      <c r="X341" s="15">
        <f t="shared" si="67"/>
        <v>26.1</v>
      </c>
      <c r="Y341" s="3" t="e">
        <f t="shared" si="68"/>
        <v>#DIV/0!</v>
      </c>
      <c r="AA341" s="161">
        <v>0</v>
      </c>
      <c r="AB341" s="409">
        <v>0</v>
      </c>
      <c r="AC341" s="259">
        <f t="shared" si="75"/>
        <v>0</v>
      </c>
      <c r="AD341" s="22" t="s">
        <v>4071</v>
      </c>
      <c r="AG341" s="33">
        <f t="shared" si="69"/>
        <v>0</v>
      </c>
      <c r="AH341" s="43" t="s">
        <v>4072</v>
      </c>
      <c r="AI341" s="63">
        <f t="shared" si="74"/>
        <v>2.1257142857142859E-3</v>
      </c>
      <c r="AJ341" s="307">
        <f>RTD("money.excel",,$G341,"PredictVolume")</f>
        <v>372</v>
      </c>
      <c r="AK341" s="339"/>
    </row>
    <row r="342" spans="1:37">
      <c r="A342" s="416">
        <v>42.9</v>
      </c>
      <c r="B342" s="80">
        <v>-787</v>
      </c>
      <c r="C342" s="80">
        <v>-759</v>
      </c>
      <c r="D342" s="80">
        <v>-60</v>
      </c>
      <c r="E342" s="93">
        <v>164</v>
      </c>
      <c r="F342" s="6">
        <v>-39.39</v>
      </c>
      <c r="G342" s="79">
        <v>4142</v>
      </c>
      <c r="H342" s="8" t="s">
        <v>311</v>
      </c>
      <c r="I342" s="22" t="s">
        <v>4073</v>
      </c>
      <c r="J342" s="323">
        <v>38.24</v>
      </c>
      <c r="K342" s="73">
        <v>9.64</v>
      </c>
      <c r="L342" s="73">
        <v>17.95</v>
      </c>
      <c r="M342" s="73">
        <v>17.73</v>
      </c>
      <c r="N342" s="318">
        <f t="shared" si="72"/>
        <v>83.56</v>
      </c>
      <c r="O342" s="81">
        <f>IFERROR(VLOOKUP($G342,'321買'!A:E,3,0),"'沒有資料'")</f>
        <v>8</v>
      </c>
      <c r="P342" s="380">
        <f>IFERROR(VLOOKUP($G342,'321買'!$A:$G,7,0),"'沒有資料'")</f>
        <v>475</v>
      </c>
      <c r="Q342" s="245" t="s">
        <v>3815</v>
      </c>
      <c r="R342" s="297">
        <f>IFERROR(RANK(VLOOKUP($G342,連買!$A:$D,4,0),連買!$D:$D,0),"'沒有資料'")</f>
        <v>355</v>
      </c>
      <c r="S342" s="34">
        <v>0.5</v>
      </c>
      <c r="T342" s="353">
        <f t="shared" si="73"/>
        <v>1.1286681715575621E-2</v>
      </c>
      <c r="U342" s="95">
        <v>2.33</v>
      </c>
      <c r="V342" s="36">
        <f>RTD("money.excel",,"4142","Price")</f>
        <v>44.3</v>
      </c>
      <c r="W342" s="66"/>
      <c r="X342" s="15">
        <f t="shared" si="67"/>
        <v>44.3</v>
      </c>
      <c r="Y342" s="3" t="e">
        <f t="shared" si="68"/>
        <v>#DIV/0!</v>
      </c>
      <c r="Z342" s="413" t="s">
        <v>1801</v>
      </c>
      <c r="AA342" s="161">
        <v>0</v>
      </c>
      <c r="AB342" s="409">
        <v>0</v>
      </c>
      <c r="AC342" s="259">
        <f t="shared" si="75"/>
        <v>0</v>
      </c>
      <c r="AD342" s="22" t="s">
        <v>4073</v>
      </c>
      <c r="AG342" s="33">
        <f t="shared" si="69"/>
        <v>0</v>
      </c>
      <c r="AH342" s="43" t="s">
        <v>4074</v>
      </c>
      <c r="AI342" s="63">
        <f t="shared" si="74"/>
        <v>3.3282051282051285E-2</v>
      </c>
      <c r="AJ342" s="307">
        <f>RTD("money.excel",,$G342,"PredictVolume")</f>
        <v>14278</v>
      </c>
      <c r="AK342" s="339"/>
    </row>
    <row r="343" spans="1:37">
      <c r="A343" s="416">
        <v>25.2</v>
      </c>
      <c r="B343" s="79">
        <v>68</v>
      </c>
      <c r="C343" s="79">
        <v>65</v>
      </c>
      <c r="D343" s="79">
        <v>548</v>
      </c>
      <c r="E343" s="80">
        <v>-17</v>
      </c>
      <c r="F343" s="6">
        <v>-18.38</v>
      </c>
      <c r="G343" s="79">
        <v>4147</v>
      </c>
      <c r="H343" s="8" t="s">
        <v>311</v>
      </c>
      <c r="I343" s="16" t="s">
        <v>4075</v>
      </c>
      <c r="J343" s="73">
        <v>37.520000000000003</v>
      </c>
      <c r="K343" s="73">
        <v>7.24</v>
      </c>
      <c r="N343" s="318">
        <f t="shared" si="72"/>
        <v>44.760000000000005</v>
      </c>
      <c r="O343" s="81">
        <f>IFERROR(VLOOKUP($G343,'321買'!A:E,3,0),"'沒有資料'")</f>
        <v>0</v>
      </c>
      <c r="P343" s="380">
        <f>IFERROR(VLOOKUP($G343,'321買'!$A:$G,7,0),"'沒有資料'")</f>
        <v>911</v>
      </c>
      <c r="R343" s="297">
        <f>IFERROR(RANK(VLOOKUP($G343,連買!$A:$D,4,0),連買!$D:$D,0),"'沒有資料'")</f>
        <v>388</v>
      </c>
      <c r="S343" s="34">
        <v>0</v>
      </c>
      <c r="T343" s="353">
        <f t="shared" si="73"/>
        <v>0</v>
      </c>
      <c r="U343" s="95">
        <v>-0.73</v>
      </c>
      <c r="V343" s="36">
        <f>RTD("money.excel",,"4147","Price")</f>
        <v>63.2</v>
      </c>
      <c r="W343" s="66"/>
      <c r="X343" s="15">
        <f t="shared" si="67"/>
        <v>63.2</v>
      </c>
      <c r="Y343" s="3" t="e">
        <f t="shared" si="68"/>
        <v>#DIV/0!</v>
      </c>
      <c r="Z343" s="413" t="s">
        <v>1801</v>
      </c>
      <c r="AA343" s="161">
        <v>0</v>
      </c>
      <c r="AB343" s="409">
        <v>0</v>
      </c>
      <c r="AC343" s="259">
        <f t="shared" si="75"/>
        <v>0</v>
      </c>
      <c r="AD343" s="16" t="s">
        <v>4075</v>
      </c>
      <c r="AG343" s="33">
        <f t="shared" si="69"/>
        <v>0</v>
      </c>
      <c r="AH343" s="120" t="s">
        <v>4076</v>
      </c>
      <c r="AI343" s="63">
        <f t="shared" si="74"/>
        <v>2.6944444444444446E-3</v>
      </c>
      <c r="AJ343" s="307">
        <f>RTD("money.excel",,$G343,"PredictVolume")</f>
        <v>679</v>
      </c>
      <c r="AK343" s="339"/>
    </row>
    <row r="344" spans="1:37">
      <c r="A344" s="415">
        <v>6.4</v>
      </c>
      <c r="B344" s="91">
        <v>72</v>
      </c>
      <c r="C344" s="91">
        <v>9</v>
      </c>
      <c r="D344" s="91">
        <v>-40</v>
      </c>
      <c r="E344" s="91">
        <v>72</v>
      </c>
      <c r="F344" s="6">
        <v>5.38</v>
      </c>
      <c r="G344" s="79">
        <v>4148</v>
      </c>
      <c r="H344" s="8" t="s">
        <v>311</v>
      </c>
      <c r="I344" s="22" t="s">
        <v>4077</v>
      </c>
      <c r="J344" s="323">
        <v>74.45</v>
      </c>
      <c r="K344" s="73">
        <v>72.87</v>
      </c>
      <c r="L344" s="323">
        <v>12.11</v>
      </c>
      <c r="N344" s="318">
        <f t="shared" si="72"/>
        <v>159.43</v>
      </c>
      <c r="O344" s="81">
        <f>IFERROR(VLOOKUP($G344,'321買'!A:E,3,0),"'沒有資料'")</f>
        <v>1</v>
      </c>
      <c r="P344" s="380">
        <f>IFERROR(VLOOKUP($G344,'321買'!$A:$G,7,0),"'沒有資料'")</f>
        <v>783</v>
      </c>
      <c r="R344" s="297">
        <f>IFERROR(RANK(VLOOKUP($G344,連買!$A:$D,4,0),連買!$D:$D,0),"'沒有資料'")</f>
        <v>553</v>
      </c>
      <c r="S344" s="34">
        <v>1</v>
      </c>
      <c r="T344" s="353">
        <f t="shared" si="73"/>
        <v>1.076426264800861E-2</v>
      </c>
      <c r="U344" s="95">
        <v>1.28</v>
      </c>
      <c r="V344" s="36">
        <f>RTD("money.excel",,"4148","Price")</f>
        <v>92.9</v>
      </c>
      <c r="W344" s="66"/>
      <c r="X344" s="15">
        <f t="shared" si="67"/>
        <v>92.9</v>
      </c>
      <c r="Y344" s="3" t="e">
        <f t="shared" si="68"/>
        <v>#DIV/0!</v>
      </c>
      <c r="AA344" s="161">
        <v>0</v>
      </c>
      <c r="AB344" s="409">
        <v>0</v>
      </c>
      <c r="AC344" s="259">
        <f t="shared" si="75"/>
        <v>0</v>
      </c>
      <c r="AD344" s="22" t="s">
        <v>4077</v>
      </c>
      <c r="AG344" s="33">
        <f t="shared" si="69"/>
        <v>0</v>
      </c>
      <c r="AH344" s="43" t="s">
        <v>2995</v>
      </c>
      <c r="AI344" s="63">
        <f t="shared" si="74"/>
        <v>8.5484375000000001E-2</v>
      </c>
      <c r="AJ344" s="307">
        <f>RTD("money.excel",,$G344,"PredictVolume")</f>
        <v>5471</v>
      </c>
      <c r="AK344" s="339"/>
    </row>
    <row r="345" spans="1:37">
      <c r="A345" s="416">
        <v>6.18</v>
      </c>
      <c r="B345" s="80">
        <v>-68</v>
      </c>
      <c r="C345" s="79">
        <v>7</v>
      </c>
      <c r="D345" s="80">
        <v>-30</v>
      </c>
      <c r="E345" s="80">
        <v>-20</v>
      </c>
      <c r="F345" s="6">
        <v>9.57</v>
      </c>
      <c r="G345" s="79">
        <v>4153</v>
      </c>
      <c r="H345" s="8" t="s">
        <v>311</v>
      </c>
      <c r="I345" s="16" t="s">
        <v>4078</v>
      </c>
      <c r="J345" s="73">
        <v>67.42</v>
      </c>
      <c r="K345" s="73">
        <v>0.14000000000000001</v>
      </c>
      <c r="L345" s="73">
        <v>2.94</v>
      </c>
      <c r="N345" s="318">
        <f t="shared" si="72"/>
        <v>70.5</v>
      </c>
      <c r="O345" s="81">
        <f>IFERROR(VLOOKUP($G345,'321買'!A:E,3,0),"'沒有資料'")</f>
        <v>2</v>
      </c>
      <c r="P345" s="380">
        <f>IFERROR(VLOOKUP($G345,'321買'!$A:$G,7,0),"'沒有資料'")</f>
        <v>706</v>
      </c>
      <c r="R345" s="297">
        <f>IFERROR(RANK(VLOOKUP($G345,連買!$A:$D,4,0),連買!$D:$D,0),"'沒有資料'")</f>
        <v>706</v>
      </c>
      <c r="S345" s="34">
        <v>0.26</v>
      </c>
      <c r="T345" s="353">
        <f t="shared" si="73"/>
        <v>1.0379241516966068E-2</v>
      </c>
      <c r="U345" s="57">
        <v>0.25</v>
      </c>
      <c r="V345" s="36">
        <f>RTD("money.excel",,"4153","Price")</f>
        <v>25.05</v>
      </c>
      <c r="W345" s="66"/>
      <c r="X345" s="15">
        <f t="shared" si="67"/>
        <v>25.05</v>
      </c>
      <c r="Y345" s="3" t="e">
        <f t="shared" si="68"/>
        <v>#DIV/0!</v>
      </c>
      <c r="AA345" s="161">
        <v>0</v>
      </c>
      <c r="AB345" s="409">
        <v>0</v>
      </c>
      <c r="AC345" s="259">
        <f t="shared" si="75"/>
        <v>0</v>
      </c>
      <c r="AD345" s="16" t="s">
        <v>4078</v>
      </c>
      <c r="AG345" s="33">
        <f t="shared" si="69"/>
        <v>0</v>
      </c>
      <c r="AH345" s="43" t="s">
        <v>4079</v>
      </c>
      <c r="AI345" s="63">
        <f t="shared" si="74"/>
        <v>5.3398058252427185E-4</v>
      </c>
      <c r="AJ345" s="307">
        <f>RTD("money.excel",,$G345,"PredictVolume")</f>
        <v>33</v>
      </c>
      <c r="AK345" s="339"/>
    </row>
    <row r="346" spans="1:37">
      <c r="A346" s="416">
        <v>3.03</v>
      </c>
      <c r="B346" s="79">
        <v>42</v>
      </c>
      <c r="C346" s="79">
        <v>23</v>
      </c>
      <c r="D346" s="79">
        <v>23</v>
      </c>
      <c r="E346" s="80">
        <v>-39</v>
      </c>
      <c r="F346" s="6">
        <v>-6.34</v>
      </c>
      <c r="G346" s="79">
        <v>4154</v>
      </c>
      <c r="H346" s="8" t="s">
        <v>311</v>
      </c>
      <c r="I346" s="16" t="s">
        <v>4080</v>
      </c>
      <c r="J346" s="73">
        <v>66.12</v>
      </c>
      <c r="K346" s="73">
        <v>58.54</v>
      </c>
      <c r="N346" s="318">
        <f t="shared" si="72"/>
        <v>124.66</v>
      </c>
      <c r="O346" s="81" t="str">
        <f>IFERROR(VLOOKUP($G346,'321買'!A:E,3,0),"'沒有資料'")</f>
        <v>'沒有資料'</v>
      </c>
      <c r="P346" s="380" t="str">
        <f>IFERROR(VLOOKUP($G346,'321買'!$A:$G,7,0),"'沒有資料'")</f>
        <v>'沒有資料'</v>
      </c>
      <c r="R346" s="297">
        <f>IFERROR(RANK(VLOOKUP($G346,連買!$A:$D,4,0),連買!$D:$D,0),"'沒有資料'")</f>
        <v>1509</v>
      </c>
      <c r="S346" s="34">
        <v>0</v>
      </c>
      <c r="T346" s="353">
        <f t="shared" si="73"/>
        <v>0</v>
      </c>
      <c r="U346" s="57">
        <v>-1.1599999999999999</v>
      </c>
      <c r="V346" s="13">
        <f>RTD("money.excel",,"4154","Price")</f>
        <v>40.35</v>
      </c>
      <c r="W346" s="66"/>
      <c r="X346" s="15">
        <f t="shared" si="67"/>
        <v>40.35</v>
      </c>
      <c r="Y346" s="3" t="e">
        <f t="shared" si="68"/>
        <v>#DIV/0!</v>
      </c>
      <c r="AA346" s="161">
        <v>0</v>
      </c>
      <c r="AB346" s="409">
        <v>0</v>
      </c>
      <c r="AC346" s="259">
        <f t="shared" si="75"/>
        <v>0</v>
      </c>
      <c r="AD346" s="16" t="s">
        <v>4080</v>
      </c>
      <c r="AG346" s="33">
        <f t="shared" si="69"/>
        <v>0</v>
      </c>
      <c r="AH346" s="43" t="s">
        <v>4081</v>
      </c>
      <c r="AI346" s="63">
        <f t="shared" si="74"/>
        <v>1.3201320132013203E-4</v>
      </c>
      <c r="AJ346" s="307">
        <f>RTD("money.excel",,$G346,"PredictVolume")</f>
        <v>4</v>
      </c>
      <c r="AK346" s="339"/>
    </row>
    <row r="347" spans="1:37">
      <c r="A347" s="416">
        <v>9.49</v>
      </c>
      <c r="B347" s="79">
        <v>74</v>
      </c>
      <c r="C347" s="79">
        <v>95</v>
      </c>
      <c r="D347" s="80">
        <v>-1</v>
      </c>
      <c r="E347" s="79">
        <v>3</v>
      </c>
      <c r="F347" s="6">
        <v>7.84</v>
      </c>
      <c r="G347" s="79">
        <v>4155</v>
      </c>
      <c r="H347" s="8" t="s">
        <v>311</v>
      </c>
      <c r="I347" s="22" t="s">
        <v>4082</v>
      </c>
      <c r="J347" s="323">
        <v>39.159999999999997</v>
      </c>
      <c r="K347" s="323">
        <v>1.35</v>
      </c>
      <c r="L347" s="323">
        <v>13.19</v>
      </c>
      <c r="N347" s="318">
        <f t="shared" si="72"/>
        <v>53.699999999999996</v>
      </c>
      <c r="O347" s="81">
        <f>IFERROR(VLOOKUP($G347,'321買'!A:E,3,0),"'沒有資料'")</f>
        <v>0</v>
      </c>
      <c r="P347" s="380">
        <f>IFERROR(VLOOKUP($G347,'321買'!$A:$G,7,0),"'沒有資料'")</f>
        <v>911</v>
      </c>
      <c r="R347" s="297">
        <f>IFERROR(RANK(VLOOKUP($G347,連買!$A:$D,4,0),連買!$D:$D,0),"'沒有資料'")</f>
        <v>1586</v>
      </c>
      <c r="S347" s="34">
        <v>1.4</v>
      </c>
      <c r="T347" s="353">
        <f t="shared" si="73"/>
        <v>6.08695652173913E-2</v>
      </c>
      <c r="U347" s="57">
        <v>1.6</v>
      </c>
      <c r="V347" s="36">
        <f>RTD("money.excel",,"4155","Price")</f>
        <v>23</v>
      </c>
      <c r="W347" s="66"/>
      <c r="X347" s="15">
        <f t="shared" si="67"/>
        <v>23</v>
      </c>
      <c r="Y347" s="3" t="e">
        <f t="shared" si="68"/>
        <v>#DIV/0!</v>
      </c>
      <c r="AA347" s="161">
        <v>0</v>
      </c>
      <c r="AB347" s="409">
        <v>0</v>
      </c>
      <c r="AC347" s="259">
        <f t="shared" si="75"/>
        <v>0</v>
      </c>
      <c r="AD347" s="22" t="s">
        <v>4082</v>
      </c>
      <c r="AG347" s="33">
        <f t="shared" si="69"/>
        <v>0</v>
      </c>
      <c r="AH347" s="43" t="s">
        <v>3991</v>
      </c>
      <c r="AI347" s="63">
        <f t="shared" si="74"/>
        <v>6.6385669125395153E-4</v>
      </c>
      <c r="AJ347" s="307">
        <f>RTD("money.excel",,$G347,"PredictVolume")</f>
        <v>63</v>
      </c>
      <c r="AK347" s="339"/>
    </row>
    <row r="348" spans="1:37">
      <c r="A348" s="415">
        <v>0.01</v>
      </c>
      <c r="B348" s="79">
        <v>433</v>
      </c>
      <c r="C348" s="79">
        <v>605</v>
      </c>
      <c r="D348" s="234">
        <v>11693</v>
      </c>
      <c r="E348" s="80">
        <v>-65</v>
      </c>
      <c r="F348" s="57">
        <v>78.790000000000006</v>
      </c>
      <c r="G348" s="79">
        <v>4157</v>
      </c>
      <c r="H348" s="8" t="s">
        <v>311</v>
      </c>
      <c r="I348" s="16" t="s">
        <v>4084</v>
      </c>
      <c r="J348" s="323">
        <v>56.46</v>
      </c>
      <c r="K348" s="73">
        <v>3.75</v>
      </c>
      <c r="L348" s="73">
        <v>2.17</v>
      </c>
      <c r="M348" s="73">
        <v>36.619999999999997</v>
      </c>
      <c r="N348" s="318">
        <f t="shared" si="72"/>
        <v>99</v>
      </c>
      <c r="O348" s="81">
        <f>IFERROR(VLOOKUP($G348,'321買'!A:E,3,0),"'沒有資料'")</f>
        <v>169</v>
      </c>
      <c r="P348" s="380">
        <f>IFERROR(VLOOKUP($G348,'321買'!$A:$G,7,0),"'沒有資料'")</f>
        <v>1</v>
      </c>
      <c r="Q348" s="245" t="s">
        <v>5101</v>
      </c>
      <c r="R348" s="297">
        <f>IFERROR(RANK(VLOOKUP($G348,連買!$A:$D,4,0),連買!$D:$D,0),"'沒有資料'")</f>
        <v>749</v>
      </c>
      <c r="S348" s="34">
        <v>0</v>
      </c>
      <c r="T348" s="353">
        <f t="shared" si="73"/>
        <v>0</v>
      </c>
      <c r="U348" s="57">
        <v>1.1000000000000001</v>
      </c>
      <c r="V348" s="36">
        <f>RTD("money.excel",,"4157","Price")</f>
        <v>16.600000000000001</v>
      </c>
      <c r="W348" s="66"/>
      <c r="X348" s="15">
        <f t="shared" si="67"/>
        <v>16.600000000000001</v>
      </c>
      <c r="Y348" s="3" t="e">
        <f t="shared" si="68"/>
        <v>#DIV/0!</v>
      </c>
      <c r="Z348" s="413" t="s">
        <v>1801</v>
      </c>
      <c r="AA348" s="161">
        <v>0</v>
      </c>
      <c r="AB348" s="409">
        <v>0</v>
      </c>
      <c r="AC348" s="259">
        <f t="shared" si="75"/>
        <v>0</v>
      </c>
      <c r="AD348" s="16" t="s">
        <v>4084</v>
      </c>
      <c r="AG348" s="33">
        <f t="shared" si="69"/>
        <v>0</v>
      </c>
      <c r="AH348" s="43" t="s">
        <v>4085</v>
      </c>
      <c r="AI348" s="361">
        <f t="shared" si="74"/>
        <v>16.100000000000001</v>
      </c>
      <c r="AJ348" s="307">
        <f>RTD("money.excel",,$G348,"PredictVolume")</f>
        <v>1610</v>
      </c>
      <c r="AK348" s="362">
        <v>133364</v>
      </c>
    </row>
    <row r="349" spans="1:37">
      <c r="A349" s="416">
        <v>2.42</v>
      </c>
      <c r="B349" s="91">
        <v>-137</v>
      </c>
      <c r="C349" s="91">
        <v>-166</v>
      </c>
      <c r="D349" s="91">
        <v>-25</v>
      </c>
      <c r="E349" s="91">
        <v>12</v>
      </c>
      <c r="F349" s="6">
        <v>-2.74</v>
      </c>
      <c r="G349" s="79">
        <v>4160</v>
      </c>
      <c r="H349" s="8" t="s">
        <v>311</v>
      </c>
      <c r="I349" s="16" t="s">
        <v>4086</v>
      </c>
      <c r="J349" s="73">
        <v>36.64</v>
      </c>
      <c r="K349" s="73">
        <v>0</v>
      </c>
      <c r="N349" s="318">
        <f t="shared" si="72"/>
        <v>36.64</v>
      </c>
      <c r="O349" s="81" t="str">
        <f>IFERROR(VLOOKUP($G349,'321買'!A:E,3,0),"'沒有資料'")</f>
        <v>'沒有資料'</v>
      </c>
      <c r="P349" s="380" t="str">
        <f>IFERROR(VLOOKUP($G349,'321買'!$A:$G,7,0),"'沒有資料'")</f>
        <v>'沒有資料'</v>
      </c>
      <c r="R349" s="297">
        <f>IFERROR(RANK(VLOOKUP($G349,連買!$A:$D,4,0),連買!$D:$D,0),"'沒有資料'")</f>
        <v>1312</v>
      </c>
      <c r="S349" s="34">
        <v>0</v>
      </c>
      <c r="T349" s="353">
        <f t="shared" si="73"/>
        <v>0</v>
      </c>
      <c r="U349" s="95">
        <v>-0.65</v>
      </c>
      <c r="V349" s="36">
        <f>RTD("money.excel",,"4160","Price")</f>
        <v>24.7</v>
      </c>
      <c r="W349" s="66"/>
      <c r="X349" s="15">
        <f t="shared" si="67"/>
        <v>24.7</v>
      </c>
      <c r="Y349" s="3" t="e">
        <f t="shared" si="68"/>
        <v>#DIV/0!</v>
      </c>
      <c r="AA349" s="161">
        <v>0</v>
      </c>
      <c r="AB349" s="409">
        <v>0</v>
      </c>
      <c r="AC349" s="259">
        <f t="shared" si="75"/>
        <v>0</v>
      </c>
      <c r="AD349" s="16" t="s">
        <v>4086</v>
      </c>
      <c r="AG349" s="33">
        <f t="shared" si="69"/>
        <v>0</v>
      </c>
      <c r="AH349" s="43" t="s">
        <v>4087</v>
      </c>
      <c r="AI349" s="63">
        <f t="shared" si="74"/>
        <v>4.132231404958678E-5</v>
      </c>
      <c r="AJ349" s="307">
        <f>RTD("money.excel",,$G349,"PredictVolume")</f>
        <v>1</v>
      </c>
      <c r="AK349" s="339"/>
    </row>
    <row r="350" spans="1:37">
      <c r="A350" s="416">
        <v>5.27</v>
      </c>
      <c r="B350" s="91">
        <v>-581</v>
      </c>
      <c r="C350" s="206">
        <v>-3043</v>
      </c>
      <c r="D350" s="91">
        <v>-20</v>
      </c>
      <c r="E350" s="91">
        <v>42</v>
      </c>
      <c r="F350" s="6">
        <v>-11.54</v>
      </c>
      <c r="G350" s="79">
        <v>4161</v>
      </c>
      <c r="H350" s="8" t="s">
        <v>311</v>
      </c>
      <c r="I350" s="16" t="s">
        <v>4088</v>
      </c>
      <c r="J350" s="73">
        <v>38.46</v>
      </c>
      <c r="K350" s="73">
        <v>0.16</v>
      </c>
      <c r="L350" s="73">
        <v>19.64</v>
      </c>
      <c r="N350" s="318">
        <f t="shared" si="72"/>
        <v>58.26</v>
      </c>
      <c r="O350" s="81">
        <f>IFERROR(VLOOKUP($G350,'321買'!A:E,3,0),"'沒有資料'")</f>
        <v>0</v>
      </c>
      <c r="P350" s="380">
        <f>IFERROR(VLOOKUP($G350,'321買'!$A:$G,7,0),"'沒有資料'")</f>
        <v>911</v>
      </c>
      <c r="R350" s="297">
        <f>IFERROR(RANK(VLOOKUP($G350,連買!$A:$D,4,0),連買!$D:$D,0),"'沒有資料'")</f>
        <v>1475</v>
      </c>
      <c r="S350" s="34">
        <v>0.3</v>
      </c>
      <c r="T350" s="353">
        <f t="shared" si="73"/>
        <v>1.1976047904191616E-2</v>
      </c>
      <c r="U350" s="95">
        <v>-1.24</v>
      </c>
      <c r="V350" s="36">
        <f>RTD("money.excel",,"4161","Price")</f>
        <v>25.05</v>
      </c>
      <c r="W350" s="66"/>
      <c r="X350" s="15">
        <f t="shared" si="67"/>
        <v>25.05</v>
      </c>
      <c r="Y350" s="3" t="e">
        <f t="shared" si="68"/>
        <v>#DIV/0!</v>
      </c>
      <c r="AA350" s="161">
        <v>0</v>
      </c>
      <c r="AB350" s="409">
        <v>0</v>
      </c>
      <c r="AC350" s="259">
        <f t="shared" si="75"/>
        <v>0</v>
      </c>
      <c r="AD350" s="16" t="s">
        <v>4088</v>
      </c>
      <c r="AG350" s="33">
        <f t="shared" si="69"/>
        <v>0</v>
      </c>
      <c r="AH350" s="43" t="s">
        <v>4089</v>
      </c>
      <c r="AI350" s="63">
        <f t="shared" si="74"/>
        <v>7.2106261859582557E-4</v>
      </c>
      <c r="AJ350" s="307">
        <f>RTD("money.excel",,$G350,"PredictVolume")</f>
        <v>38</v>
      </c>
      <c r="AK350" s="339"/>
    </row>
    <row r="351" spans="1:37">
      <c r="A351" s="415">
        <v>14.5</v>
      </c>
      <c r="B351" s="80">
        <v>-29</v>
      </c>
      <c r="C351" s="80">
        <v>-55</v>
      </c>
      <c r="D351" s="80">
        <v>-38</v>
      </c>
      <c r="E351" s="79">
        <v>15</v>
      </c>
      <c r="F351" s="57">
        <v>55.39</v>
      </c>
      <c r="G351" s="79">
        <v>4162</v>
      </c>
      <c r="H351" s="8" t="s">
        <v>311</v>
      </c>
      <c r="I351" s="16" t="s">
        <v>37</v>
      </c>
      <c r="J351" s="73">
        <v>43.35</v>
      </c>
      <c r="K351" s="73">
        <v>10.34</v>
      </c>
      <c r="L351" s="323">
        <v>24.37</v>
      </c>
      <c r="M351" s="73">
        <v>33.450000000000003</v>
      </c>
      <c r="N351" s="318">
        <f t="shared" si="72"/>
        <v>111.51</v>
      </c>
      <c r="O351" s="81">
        <f>IFERROR(VLOOKUP($G351,'321買'!A:E,3,0),"'沒有資料'")</f>
        <v>15</v>
      </c>
      <c r="P351" s="380">
        <f>IFERROR(VLOOKUP($G351,'321買'!$A:$G,7,0),"'沒有資料'")</f>
        <v>290</v>
      </c>
      <c r="Q351" s="245" t="s">
        <v>5088</v>
      </c>
      <c r="R351" s="297">
        <f>IFERROR(RANK(VLOOKUP($G351,連買!$A:$D,4,0),連買!$D:$D,0),"'沒有資料'")</f>
        <v>224</v>
      </c>
      <c r="S351" s="34">
        <v>2.7</v>
      </c>
      <c r="T351" s="353">
        <f t="shared" si="73"/>
        <v>3.0405405405405407E-2</v>
      </c>
      <c r="U351" s="95">
        <v>2.94</v>
      </c>
      <c r="V351" s="36">
        <f>RTD("money.excel",,"4162","Price")</f>
        <v>88.8</v>
      </c>
      <c r="W351" s="66"/>
      <c r="X351" s="15">
        <f t="shared" si="67"/>
        <v>88.8</v>
      </c>
      <c r="Y351" s="3" t="e">
        <f t="shared" si="68"/>
        <v>#DIV/0!</v>
      </c>
      <c r="Z351" s="413">
        <v>-4.04</v>
      </c>
      <c r="AA351" s="161">
        <v>0</v>
      </c>
      <c r="AB351" s="409">
        <v>0</v>
      </c>
      <c r="AC351" s="259">
        <f t="shared" si="75"/>
        <v>0</v>
      </c>
      <c r="AD351" s="16" t="s">
        <v>37</v>
      </c>
      <c r="AG351" s="33">
        <f t="shared" si="69"/>
        <v>0</v>
      </c>
      <c r="AH351" s="120" t="s">
        <v>4090</v>
      </c>
      <c r="AI351" s="63">
        <f t="shared" si="74"/>
        <v>6.0227586206896555E-2</v>
      </c>
      <c r="AJ351" s="307">
        <f>RTD("money.excel",,$G351,"PredictVolume")</f>
        <v>8733</v>
      </c>
      <c r="AK351" s="339">
        <v>13.77</v>
      </c>
    </row>
    <row r="352" spans="1:37">
      <c r="A352" s="415">
        <v>4.83</v>
      </c>
      <c r="B352" s="80">
        <v>-33</v>
      </c>
      <c r="C352" s="80">
        <v>-25</v>
      </c>
      <c r="D352" s="79">
        <v>12</v>
      </c>
      <c r="E352" s="80">
        <v>-7</v>
      </c>
      <c r="F352" s="57">
        <v>16.88</v>
      </c>
      <c r="G352" s="79">
        <v>4163</v>
      </c>
      <c r="H352" s="8" t="s">
        <v>311</v>
      </c>
      <c r="I352" s="16" t="s">
        <v>4091</v>
      </c>
      <c r="J352" s="73">
        <v>33.130000000000003</v>
      </c>
      <c r="K352" s="73">
        <v>2.96</v>
      </c>
      <c r="L352" s="73">
        <v>4.6100000000000003</v>
      </c>
      <c r="N352" s="318">
        <f t="shared" si="72"/>
        <v>40.700000000000003</v>
      </c>
      <c r="O352" s="81">
        <f>IFERROR(VLOOKUP($G352,'321買'!A:E,3,0),"'沒有資料'")</f>
        <v>0</v>
      </c>
      <c r="P352" s="380">
        <f>IFERROR(VLOOKUP($G352,'321買'!$A:$G,7,0),"'沒有資料'")</f>
        <v>911</v>
      </c>
      <c r="Q352" s="245" t="s">
        <v>3815</v>
      </c>
      <c r="R352" s="297">
        <f>IFERROR(RANK(VLOOKUP($G352,連買!$A:$D,4,0),連買!$D:$D,0),"'沒有資料'")</f>
        <v>1541</v>
      </c>
      <c r="S352" s="66">
        <v>3.5</v>
      </c>
      <c r="T352" s="353">
        <f t="shared" ref="T352:T383" si="76">S352/V352</f>
        <v>4.2475728155339801E-2</v>
      </c>
      <c r="U352" s="95">
        <v>5.58</v>
      </c>
      <c r="V352" s="36">
        <f>RTD("money.excel",,"4163","Price")</f>
        <v>82.4</v>
      </c>
      <c r="W352" s="66"/>
      <c r="X352" s="15">
        <f t="shared" ref="X352:X413" si="77">V352-W352</f>
        <v>82.4</v>
      </c>
      <c r="Y352" s="3" t="e">
        <f t="shared" ref="Y352:Y413" si="78">X352/W352</f>
        <v>#DIV/0!</v>
      </c>
      <c r="Z352" s="413" t="s">
        <v>4092</v>
      </c>
      <c r="AA352" s="161">
        <v>0</v>
      </c>
      <c r="AB352" s="409">
        <v>0</v>
      </c>
      <c r="AC352" s="259">
        <f t="shared" si="75"/>
        <v>0</v>
      </c>
      <c r="AD352" s="16" t="s">
        <v>4091</v>
      </c>
      <c r="AG352" s="33">
        <f t="shared" ref="AG352:AG413" si="79">AF352-AE352</f>
        <v>0</v>
      </c>
      <c r="AH352" s="120" t="s">
        <v>4093</v>
      </c>
      <c r="AI352" s="63">
        <f t="shared" ref="AI352:AI383" si="80">AJ352/(A352*10000)</f>
        <v>2.0703933747412008E-4</v>
      </c>
      <c r="AJ352" s="307">
        <f>RTD("money.excel",,$G352,"PredictVolume")</f>
        <v>10</v>
      </c>
      <c r="AK352" s="339"/>
    </row>
    <row r="353" spans="1:37">
      <c r="A353" s="415">
        <v>15.7</v>
      </c>
      <c r="B353" s="79">
        <v>49</v>
      </c>
      <c r="C353" s="79">
        <v>28</v>
      </c>
      <c r="D353" s="80">
        <v>-11</v>
      </c>
      <c r="E353" s="80">
        <v>-39</v>
      </c>
      <c r="F353" s="57">
        <v>21.83</v>
      </c>
      <c r="G353" s="79">
        <v>4164</v>
      </c>
      <c r="H353" s="8" t="s">
        <v>311</v>
      </c>
      <c r="I353" s="22" t="s">
        <v>4094</v>
      </c>
      <c r="J353" s="323">
        <v>47.78</v>
      </c>
      <c r="K353" s="323">
        <v>26.08</v>
      </c>
      <c r="L353" s="323">
        <v>8.17</v>
      </c>
      <c r="N353" s="318">
        <f t="shared" si="72"/>
        <v>82.03</v>
      </c>
      <c r="O353" s="81">
        <f>IFERROR(VLOOKUP($G353,'321買'!A:E,3,0),"'沒有資料'")</f>
        <v>3</v>
      </c>
      <c r="P353" s="380">
        <f>IFERROR(VLOOKUP($G353,'321買'!$A:$G,7,0),"'沒有資料'")</f>
        <v>636</v>
      </c>
      <c r="R353" s="297">
        <f>IFERROR(RANK(VLOOKUP($G353,連買!$A:$D,4,0),連買!$D:$D,0),"'沒有資料'")</f>
        <v>454</v>
      </c>
      <c r="S353" s="34">
        <v>2.0099999999999998</v>
      </c>
      <c r="T353" s="353">
        <f t="shared" si="76"/>
        <v>4.1273100616016418E-2</v>
      </c>
      <c r="U353" s="95">
        <v>2.73</v>
      </c>
      <c r="V353" s="36">
        <f>RTD("money.excel",,"4164","Price")</f>
        <v>48.7</v>
      </c>
      <c r="W353" s="66"/>
      <c r="X353" s="15">
        <f t="shared" si="77"/>
        <v>48.7</v>
      </c>
      <c r="Y353" s="3" t="e">
        <f t="shared" si="78"/>
        <v>#DIV/0!</v>
      </c>
      <c r="AA353" s="161">
        <v>0</v>
      </c>
      <c r="AB353" s="409">
        <v>0</v>
      </c>
      <c r="AC353" s="259">
        <f t="shared" si="75"/>
        <v>0</v>
      </c>
      <c r="AD353" s="22" t="s">
        <v>4094</v>
      </c>
      <c r="AG353" s="33">
        <f t="shared" si="79"/>
        <v>0</v>
      </c>
      <c r="AH353" s="43" t="s">
        <v>4095</v>
      </c>
      <c r="AI353" s="63">
        <f t="shared" si="80"/>
        <v>1.1082802547770701E-2</v>
      </c>
      <c r="AJ353" s="307">
        <f>RTD("money.excel",,$G353,"PredictVolume")</f>
        <v>1740</v>
      </c>
      <c r="AK353" s="339"/>
    </row>
    <row r="354" spans="1:37">
      <c r="A354" s="416">
        <v>30.1</v>
      </c>
      <c r="B354" s="79">
        <v>444</v>
      </c>
      <c r="C354" s="93">
        <v>1315</v>
      </c>
      <c r="D354" s="80">
        <v>-23</v>
      </c>
      <c r="E354" s="79">
        <v>2</v>
      </c>
      <c r="F354" s="6">
        <v>9.76</v>
      </c>
      <c r="G354" s="79">
        <v>4167</v>
      </c>
      <c r="H354" s="8" t="s">
        <v>311</v>
      </c>
      <c r="I354" s="16" t="s">
        <v>4096</v>
      </c>
      <c r="J354" s="73">
        <v>35.49</v>
      </c>
      <c r="K354" s="323">
        <v>10.49</v>
      </c>
      <c r="L354" s="323"/>
      <c r="N354" s="318">
        <f t="shared" si="72"/>
        <v>45.980000000000004</v>
      </c>
      <c r="O354" s="81">
        <f>IFERROR(VLOOKUP($G354,'321買'!A:E,3,0),"'沒有資料'")</f>
        <v>0</v>
      </c>
      <c r="P354" s="380">
        <f>IFERROR(VLOOKUP($G354,'321買'!$A:$G,7,0),"'沒有資料'")</f>
        <v>911</v>
      </c>
      <c r="R354" s="297">
        <f>IFERROR(RANK(VLOOKUP($G354,連買!$A:$D,4,0),連買!$D:$D,0),"'沒有資料'")</f>
        <v>1681</v>
      </c>
      <c r="S354" s="34">
        <v>0.67</v>
      </c>
      <c r="T354" s="353">
        <f t="shared" si="76"/>
        <v>3.5733333333333332E-2</v>
      </c>
      <c r="U354" s="95">
        <v>0.9</v>
      </c>
      <c r="V354" s="36">
        <f>RTD("money.excel",,"4167","Price")</f>
        <v>18.75</v>
      </c>
      <c r="W354" s="66"/>
      <c r="X354" s="15">
        <f t="shared" si="77"/>
        <v>18.75</v>
      </c>
      <c r="Y354" s="3" t="e">
        <f t="shared" si="78"/>
        <v>#DIV/0!</v>
      </c>
      <c r="Z354" s="413" t="s">
        <v>1801</v>
      </c>
      <c r="AA354" s="161">
        <v>0</v>
      </c>
      <c r="AB354" s="409">
        <v>0</v>
      </c>
      <c r="AC354" s="259">
        <f t="shared" si="75"/>
        <v>0</v>
      </c>
      <c r="AD354" s="16" t="s">
        <v>4096</v>
      </c>
      <c r="AG354" s="33">
        <f t="shared" si="79"/>
        <v>0</v>
      </c>
      <c r="AH354" s="43" t="s">
        <v>2633</v>
      </c>
      <c r="AI354" s="63">
        <f t="shared" si="80"/>
        <v>1.7308970099667773E-3</v>
      </c>
      <c r="AJ354" s="307">
        <f>RTD("money.excel",,$G354,"PredictVolume")</f>
        <v>521</v>
      </c>
      <c r="AK354" s="339"/>
    </row>
    <row r="355" spans="1:37">
      <c r="A355" s="416">
        <v>9.75</v>
      </c>
      <c r="B355" s="79">
        <v>44</v>
      </c>
      <c r="C355" s="79">
        <v>28</v>
      </c>
      <c r="D355" s="80">
        <v>-100</v>
      </c>
      <c r="E355" s="80">
        <v>-100</v>
      </c>
      <c r="F355" s="47">
        <v>-5433</v>
      </c>
      <c r="G355" s="79">
        <v>4168</v>
      </c>
      <c r="H355" s="8" t="s">
        <v>311</v>
      </c>
      <c r="I355" s="16" t="s">
        <v>4097</v>
      </c>
      <c r="J355" s="323">
        <v>18.68</v>
      </c>
      <c r="K355" s="73">
        <v>4.8099999999999996</v>
      </c>
      <c r="L355" s="73">
        <v>8.82</v>
      </c>
      <c r="N355" s="318">
        <f t="shared" si="72"/>
        <v>32.31</v>
      </c>
      <c r="O355" s="81">
        <f>IFERROR(VLOOKUP($G355,'321買'!A:E,3,0),"'沒有資料'")</f>
        <v>3</v>
      </c>
      <c r="P355" s="380">
        <f>IFERROR(VLOOKUP($G355,'321買'!$A:$G,7,0),"'沒有資料'")</f>
        <v>636</v>
      </c>
      <c r="R355" s="297">
        <f>IFERROR(RANK(VLOOKUP($G355,連買!$A:$D,4,0),連買!$D:$D,0),"'沒有資料'")</f>
        <v>597</v>
      </c>
      <c r="S355" s="34">
        <v>0</v>
      </c>
      <c r="T355" s="353">
        <f t="shared" si="76"/>
        <v>0</v>
      </c>
      <c r="U355" s="95">
        <v>-1.92</v>
      </c>
      <c r="V355" s="36">
        <f>RTD("money.excel",,"4168","Price")</f>
        <v>29.65</v>
      </c>
      <c r="W355" s="66"/>
      <c r="X355" s="15">
        <f t="shared" si="77"/>
        <v>29.65</v>
      </c>
      <c r="Y355" s="3" t="e">
        <f t="shared" si="78"/>
        <v>#DIV/0!</v>
      </c>
      <c r="Z355" s="413" t="s">
        <v>1801</v>
      </c>
      <c r="AA355" s="161">
        <v>0</v>
      </c>
      <c r="AB355" s="409">
        <v>0</v>
      </c>
      <c r="AC355" s="259">
        <f t="shared" si="75"/>
        <v>0</v>
      </c>
      <c r="AD355" s="16" t="s">
        <v>4097</v>
      </c>
      <c r="AG355" s="33">
        <f t="shared" si="79"/>
        <v>0</v>
      </c>
      <c r="AH355" s="43" t="s">
        <v>1453</v>
      </c>
      <c r="AI355" s="63">
        <f t="shared" si="80"/>
        <v>4.728205128205128E-3</v>
      </c>
      <c r="AJ355" s="307">
        <f>RTD("money.excel",,$G355,"PredictVolume")</f>
        <v>461</v>
      </c>
      <c r="AK355" s="339"/>
    </row>
    <row r="356" spans="1:37">
      <c r="A356" s="416">
        <v>7.46</v>
      </c>
      <c r="B356" s="80">
        <v>-22</v>
      </c>
      <c r="C356" s="80">
        <v>-26</v>
      </c>
      <c r="D356" s="79">
        <v>4</v>
      </c>
      <c r="E356" s="80">
        <v>-35</v>
      </c>
      <c r="F356" s="6">
        <v>3.86</v>
      </c>
      <c r="G356" s="79">
        <v>4173</v>
      </c>
      <c r="H356" s="8" t="s">
        <v>311</v>
      </c>
      <c r="I356" s="16" t="s">
        <v>4098</v>
      </c>
      <c r="J356" s="323">
        <v>44.55</v>
      </c>
      <c r="K356" s="73">
        <v>1.26</v>
      </c>
      <c r="L356" s="73">
        <v>12.87</v>
      </c>
      <c r="N356" s="318">
        <f t="shared" si="72"/>
        <v>58.679999999999993</v>
      </c>
      <c r="O356" s="81">
        <f>IFERROR(VLOOKUP($G356,'321買'!A:E,3,0),"'沒有資料'")</f>
        <v>3</v>
      </c>
      <c r="P356" s="380">
        <f>IFERROR(VLOOKUP($G356,'321買'!$A:$G,7,0),"'沒有資料'")</f>
        <v>636</v>
      </c>
      <c r="R356" s="297">
        <f>IFERROR(RANK(VLOOKUP($G356,連買!$A:$D,4,0),連買!$D:$D,0),"'沒有資料'")</f>
        <v>1613</v>
      </c>
      <c r="S356" s="34">
        <v>0.56000000000000005</v>
      </c>
      <c r="T356" s="353">
        <f t="shared" si="76"/>
        <v>3.1638418079096051E-2</v>
      </c>
      <c r="U356" s="95">
        <v>0.75</v>
      </c>
      <c r="V356" s="36">
        <f>RTD("money.excel",,"4173","Price")</f>
        <v>17.7</v>
      </c>
      <c r="W356" s="66"/>
      <c r="X356" s="15">
        <f t="shared" si="77"/>
        <v>17.7</v>
      </c>
      <c r="Y356" s="3" t="e">
        <f t="shared" si="78"/>
        <v>#DIV/0!</v>
      </c>
      <c r="AA356" s="161">
        <v>0</v>
      </c>
      <c r="AB356" s="409">
        <v>0</v>
      </c>
      <c r="AC356" s="259">
        <f t="shared" si="75"/>
        <v>0</v>
      </c>
      <c r="AD356" s="16" t="s">
        <v>4098</v>
      </c>
      <c r="AG356" s="33">
        <f t="shared" si="79"/>
        <v>0</v>
      </c>
      <c r="AH356" s="43" t="s">
        <v>4099</v>
      </c>
      <c r="AI356" s="63">
        <f t="shared" si="80"/>
        <v>1.0991957104557642E-3</v>
      </c>
      <c r="AJ356" s="307">
        <f>RTD("money.excel",,$G356,"PredictVolume")</f>
        <v>82</v>
      </c>
      <c r="AK356" s="339"/>
    </row>
    <row r="357" spans="1:37">
      <c r="A357" s="416">
        <v>22.9</v>
      </c>
      <c r="B357" s="80">
        <v>-15</v>
      </c>
      <c r="C357" s="80">
        <v>-17</v>
      </c>
      <c r="D357" s="80">
        <v>-21</v>
      </c>
      <c r="E357" s="79">
        <v>74</v>
      </c>
      <c r="F357" s="47">
        <v>-9141</v>
      </c>
      <c r="G357" s="79">
        <v>4174</v>
      </c>
      <c r="H357" s="8" t="s">
        <v>311</v>
      </c>
      <c r="I357" s="16" t="s">
        <v>4100</v>
      </c>
      <c r="J357" s="73">
        <v>50.65</v>
      </c>
      <c r="K357" s="323">
        <v>11.59</v>
      </c>
      <c r="L357" s="323"/>
      <c r="M357" s="323">
        <v>16.510000000000002</v>
      </c>
      <c r="N357" s="318">
        <f t="shared" si="72"/>
        <v>78.75</v>
      </c>
      <c r="O357" s="81">
        <f>IFERROR(VLOOKUP($G357,'321買'!A:E,3,0),"'沒有資料'")</f>
        <v>1</v>
      </c>
      <c r="P357" s="380">
        <f>IFERROR(VLOOKUP($G357,'321買'!$A:$G,7,0),"'沒有資料'")</f>
        <v>783</v>
      </c>
      <c r="R357" s="297">
        <f>IFERROR(RANK(VLOOKUP($G357,連買!$A:$D,4,0),連買!$D:$D,0),"'沒有資料'")</f>
        <v>168</v>
      </c>
      <c r="S357" s="34">
        <v>0</v>
      </c>
      <c r="T357" s="353">
        <f t="shared" si="76"/>
        <v>0</v>
      </c>
      <c r="U357" s="57">
        <v>-7.7</v>
      </c>
      <c r="V357" s="36">
        <f>RTD("money.excel",,"4174","Price")</f>
        <v>106.5</v>
      </c>
      <c r="W357" s="66"/>
      <c r="X357" s="15">
        <f t="shared" si="77"/>
        <v>106.5</v>
      </c>
      <c r="Y357" s="3" t="e">
        <f t="shared" si="78"/>
        <v>#DIV/0!</v>
      </c>
      <c r="Z357" s="413" t="s">
        <v>1801</v>
      </c>
      <c r="AA357" s="161">
        <v>0</v>
      </c>
      <c r="AB357" s="409">
        <v>0</v>
      </c>
      <c r="AC357" s="259">
        <f t="shared" si="75"/>
        <v>0</v>
      </c>
      <c r="AD357" s="16" t="s">
        <v>4100</v>
      </c>
      <c r="AG357" s="33">
        <f t="shared" si="79"/>
        <v>0</v>
      </c>
      <c r="AH357" s="43" t="s">
        <v>4101</v>
      </c>
      <c r="AI357" s="63">
        <f t="shared" si="80"/>
        <v>3.9475982532751093E-3</v>
      </c>
      <c r="AJ357" s="307">
        <f>RTD("money.excel",,$G357,"PredictVolume")</f>
        <v>904</v>
      </c>
      <c r="AK357" s="339">
        <v>4.6100000000000003</v>
      </c>
    </row>
    <row r="358" spans="1:37">
      <c r="A358" s="416">
        <v>3.16</v>
      </c>
      <c r="B358" s="79">
        <v>39</v>
      </c>
      <c r="C358" s="79">
        <v>22</v>
      </c>
      <c r="D358" s="79">
        <v>31</v>
      </c>
      <c r="E358" s="79">
        <v>14</v>
      </c>
      <c r="F358" s="6">
        <v>4.18</v>
      </c>
      <c r="G358" s="79">
        <v>4175</v>
      </c>
      <c r="H358" s="8" t="s">
        <v>311</v>
      </c>
      <c r="I358" s="16" t="s">
        <v>4102</v>
      </c>
      <c r="J358" s="323">
        <v>60.27</v>
      </c>
      <c r="K358" s="73">
        <v>0.31</v>
      </c>
      <c r="L358" s="323">
        <v>0.89</v>
      </c>
      <c r="N358" s="318">
        <f t="shared" si="72"/>
        <v>61.470000000000006</v>
      </c>
      <c r="O358" s="81" t="str">
        <f>IFERROR(VLOOKUP($G358,'321買'!A:E,3,0),"'沒有資料'")</f>
        <v>'沒有資料'</v>
      </c>
      <c r="P358" s="380" t="str">
        <f>IFERROR(VLOOKUP($G358,'321買'!$A:$G,7,0),"'沒有資料'")</f>
        <v>'沒有資料'</v>
      </c>
      <c r="R358" s="297">
        <f>IFERROR(RANK(VLOOKUP($G358,連買!$A:$D,4,0),連買!$D:$D,0),"'沒有資料'")</f>
        <v>1603</v>
      </c>
      <c r="S358" s="34">
        <v>2.85</v>
      </c>
      <c r="T358" s="353">
        <f t="shared" si="76"/>
        <v>4.1066282420749278E-2</v>
      </c>
      <c r="U358" s="95">
        <v>3.51</v>
      </c>
      <c r="V358" s="36">
        <f>RTD("money.excel",,"4175","Price")</f>
        <v>69.400000000000006</v>
      </c>
      <c r="W358" s="66"/>
      <c r="X358" s="15">
        <f t="shared" si="77"/>
        <v>69.400000000000006</v>
      </c>
      <c r="Y358" s="3" t="e">
        <f t="shared" si="78"/>
        <v>#DIV/0!</v>
      </c>
      <c r="AA358" s="161">
        <v>0</v>
      </c>
      <c r="AB358" s="409">
        <v>0</v>
      </c>
      <c r="AC358" s="259">
        <f t="shared" si="75"/>
        <v>0</v>
      </c>
      <c r="AD358" s="16" t="s">
        <v>4102</v>
      </c>
      <c r="AG358" s="33">
        <f t="shared" si="79"/>
        <v>0</v>
      </c>
      <c r="AH358" s="43" t="s">
        <v>4103</v>
      </c>
      <c r="AI358" s="63">
        <f t="shared" si="80"/>
        <v>3.1645569620253165E-4</v>
      </c>
      <c r="AJ358" s="307">
        <f>RTD("money.excel",,$G358,"PredictVolume")</f>
        <v>10</v>
      </c>
      <c r="AK358" s="339"/>
    </row>
    <row r="359" spans="1:37">
      <c r="A359" s="415">
        <v>2.38</v>
      </c>
      <c r="B359" s="91">
        <v>101</v>
      </c>
      <c r="C359" s="91">
        <v>110</v>
      </c>
      <c r="D359" s="91">
        <v>-48</v>
      </c>
      <c r="E359" s="91">
        <v>13</v>
      </c>
      <c r="F359" s="57">
        <v>11.02</v>
      </c>
      <c r="G359" s="79">
        <v>4183</v>
      </c>
      <c r="H359" s="8" t="s">
        <v>311</v>
      </c>
      <c r="I359" s="16" t="s">
        <v>4104</v>
      </c>
      <c r="J359" s="73">
        <v>57.36</v>
      </c>
      <c r="K359" s="73">
        <v>0</v>
      </c>
      <c r="N359" s="318">
        <f t="shared" si="72"/>
        <v>57.36</v>
      </c>
      <c r="O359" s="81" t="str">
        <f>IFERROR(VLOOKUP($G359,'321買'!A:E,3,0),"'沒有資料'")</f>
        <v>'沒有資料'</v>
      </c>
      <c r="P359" s="380" t="str">
        <f>IFERROR(VLOOKUP($G359,'321買'!$A:$G,7,0),"'沒有資料'")</f>
        <v>'沒有資料'</v>
      </c>
      <c r="R359" s="297">
        <f>IFERROR(RANK(VLOOKUP($G359,連買!$A:$D,4,0),連買!$D:$D,0),"'沒有資料'")</f>
        <v>1433</v>
      </c>
      <c r="S359" s="34">
        <v>0.7</v>
      </c>
      <c r="T359" s="353">
        <f t="shared" si="76"/>
        <v>3.8461538461538464E-2</v>
      </c>
      <c r="U359" s="95">
        <v>1.33</v>
      </c>
      <c r="V359" s="13">
        <f>RTD("money.excel",,"4183","Price")</f>
        <v>18.2</v>
      </c>
      <c r="W359" s="66"/>
      <c r="X359" s="15">
        <f t="shared" si="77"/>
        <v>18.2</v>
      </c>
      <c r="Y359" s="3" t="e">
        <f t="shared" si="78"/>
        <v>#DIV/0!</v>
      </c>
      <c r="AA359" s="161">
        <v>0</v>
      </c>
      <c r="AB359" s="409">
        <v>0</v>
      </c>
      <c r="AC359" s="259">
        <f t="shared" si="75"/>
        <v>0</v>
      </c>
      <c r="AD359" s="16" t="s">
        <v>4104</v>
      </c>
      <c r="AG359" s="33">
        <f t="shared" si="79"/>
        <v>0</v>
      </c>
      <c r="AH359" s="43" t="s">
        <v>4089</v>
      </c>
      <c r="AI359" s="63">
        <f t="shared" si="80"/>
        <v>2.941176470588235E-4</v>
      </c>
      <c r="AJ359" s="307">
        <f>RTD("money.excel",,$G359,"PredictVolume")</f>
        <v>7</v>
      </c>
      <c r="AK359" s="339"/>
    </row>
    <row r="360" spans="1:37">
      <c r="A360" s="416">
        <v>5.32</v>
      </c>
      <c r="B360" s="80">
        <v>-117</v>
      </c>
      <c r="C360" s="80">
        <v>-107</v>
      </c>
      <c r="D360" s="80">
        <v>-36</v>
      </c>
      <c r="E360" s="80">
        <v>-14</v>
      </c>
      <c r="F360" s="73">
        <v>-103.86</v>
      </c>
      <c r="G360" s="79">
        <v>4188</v>
      </c>
      <c r="H360" s="8" t="s">
        <v>311</v>
      </c>
      <c r="I360" s="16" t="s">
        <v>4105</v>
      </c>
      <c r="J360" s="323">
        <v>47.56</v>
      </c>
      <c r="K360" s="323">
        <v>0.06</v>
      </c>
      <c r="N360" s="318">
        <f t="shared" si="72"/>
        <v>47.620000000000005</v>
      </c>
      <c r="O360" s="81" t="str">
        <f>IFERROR(VLOOKUP($G360,'321買'!A:E,3,0),"'沒有資料'")</f>
        <v>'沒有資料'</v>
      </c>
      <c r="P360" s="380" t="str">
        <f>IFERROR(VLOOKUP($G360,'321買'!$A:$G,7,0),"'沒有資料'")</f>
        <v>'沒有資料'</v>
      </c>
      <c r="R360" s="297">
        <f>IFERROR(RANK(VLOOKUP($G360,連買!$A:$D,4,0),連買!$D:$D,0),"'沒有資料'")</f>
        <v>1332</v>
      </c>
      <c r="S360" s="34">
        <v>0</v>
      </c>
      <c r="T360" s="353">
        <f t="shared" si="76"/>
        <v>0</v>
      </c>
      <c r="U360" s="95">
        <v>-0.67</v>
      </c>
      <c r="V360" s="36">
        <f>RTD("money.excel",,"4188","Price")</f>
        <v>17.45</v>
      </c>
      <c r="W360" s="66"/>
      <c r="X360" s="15">
        <f t="shared" si="77"/>
        <v>17.45</v>
      </c>
      <c r="Y360" s="3" t="e">
        <f t="shared" si="78"/>
        <v>#DIV/0!</v>
      </c>
      <c r="Z360" s="413" t="s">
        <v>1801</v>
      </c>
      <c r="AA360" s="161">
        <v>0</v>
      </c>
      <c r="AB360" s="409">
        <v>0</v>
      </c>
      <c r="AC360" s="259">
        <f t="shared" si="75"/>
        <v>0</v>
      </c>
      <c r="AD360" s="16" t="s">
        <v>4105</v>
      </c>
      <c r="AG360" s="33">
        <f t="shared" si="79"/>
        <v>0</v>
      </c>
      <c r="AH360" s="43" t="s">
        <v>4106</v>
      </c>
      <c r="AI360" s="63">
        <f t="shared" si="80"/>
        <v>3.5714285714285714E-4</v>
      </c>
      <c r="AJ360" s="307">
        <f>RTD("money.excel",,$G360,"PredictVolume")</f>
        <v>19</v>
      </c>
      <c r="AK360" s="339"/>
    </row>
    <row r="361" spans="1:37">
      <c r="A361" s="415">
        <v>6.08</v>
      </c>
      <c r="B361" s="79">
        <v>13</v>
      </c>
      <c r="C361" s="80">
        <v>-14</v>
      </c>
      <c r="D361" s="79">
        <v>19</v>
      </c>
      <c r="E361" s="80">
        <v>-21</v>
      </c>
      <c r="F361" s="57">
        <v>12</v>
      </c>
      <c r="G361" s="79">
        <v>4190</v>
      </c>
      <c r="H361" s="8" t="s">
        <v>311</v>
      </c>
      <c r="I361" s="22" t="s">
        <v>4107</v>
      </c>
      <c r="J361" s="73">
        <v>69.22</v>
      </c>
      <c r="K361" s="73">
        <v>63.87</v>
      </c>
      <c r="L361" s="323">
        <v>8.02</v>
      </c>
      <c r="M361" s="73">
        <v>43.22</v>
      </c>
      <c r="N361" s="73">
        <f>J361+K361+L361+M361</f>
        <v>184.33</v>
      </c>
      <c r="O361" s="81">
        <f>IFERROR(VLOOKUP($G361,'321買'!A:E,3,0),"'沒有資料'")</f>
        <v>0</v>
      </c>
      <c r="P361" s="380">
        <f>IFERROR(VLOOKUP($G361,'321買'!$A:$G,7,0),"'沒有資料'")</f>
        <v>911</v>
      </c>
      <c r="Q361" s="388" t="s">
        <v>3816</v>
      </c>
      <c r="R361" s="297">
        <f>IFERROR(RANK(VLOOKUP($G361,連買!$A:$D,4,0),連買!$D:$D,0),"'沒有資料'")</f>
        <v>950</v>
      </c>
      <c r="S361" s="45">
        <v>3.5</v>
      </c>
      <c r="T361" s="353">
        <f>S361/V361</f>
        <v>4.9226441631504927E-2</v>
      </c>
      <c r="U361" s="57">
        <v>4.99</v>
      </c>
      <c r="V361" s="13">
        <f>RTD("money.excel",,"4190","Price")</f>
        <v>71.099999999999994</v>
      </c>
      <c r="W361" s="66"/>
      <c r="X361" s="15">
        <f>V361-W361</f>
        <v>71.099999999999994</v>
      </c>
      <c r="Y361" s="3" t="e">
        <f>X361/W361</f>
        <v>#DIV/0!</v>
      </c>
      <c r="Z361" s="413">
        <v>-17.32</v>
      </c>
      <c r="AA361" s="2">
        <v>1</v>
      </c>
      <c r="AB361" s="409">
        <v>0</v>
      </c>
      <c r="AC361" s="259">
        <f t="shared" si="75"/>
        <v>1</v>
      </c>
      <c r="AD361" s="22" t="s">
        <v>4107</v>
      </c>
      <c r="AG361" s="33">
        <f>AF361-AE361</f>
        <v>0</v>
      </c>
      <c r="AH361" s="43" t="s">
        <v>4108</v>
      </c>
      <c r="AI361" s="63">
        <f t="shared" si="80"/>
        <v>1.0690789473684211E-3</v>
      </c>
      <c r="AJ361" s="307">
        <f>RTD("money.excel",,$G361,"PredictVolume")</f>
        <v>65</v>
      </c>
      <c r="AK361" s="339">
        <v>3.27</v>
      </c>
    </row>
    <row r="362" spans="1:37">
      <c r="A362" s="416">
        <v>10.6</v>
      </c>
      <c r="B362" s="80">
        <v>-33</v>
      </c>
      <c r="C362" s="80">
        <v>-32</v>
      </c>
      <c r="D362" s="79">
        <v>125</v>
      </c>
      <c r="E362" s="79">
        <v>90</v>
      </c>
      <c r="F362" s="47">
        <v>-4091</v>
      </c>
      <c r="G362" s="79">
        <v>4192</v>
      </c>
      <c r="H362" s="8" t="s">
        <v>311</v>
      </c>
      <c r="I362" s="16" t="s">
        <v>4109</v>
      </c>
      <c r="J362" s="323">
        <v>75.459999999999994</v>
      </c>
      <c r="K362" s="323">
        <v>0.8</v>
      </c>
      <c r="N362" s="318">
        <f t="shared" si="72"/>
        <v>76.259999999999991</v>
      </c>
      <c r="O362" s="81" t="str">
        <f>IFERROR(VLOOKUP($G362,'321買'!A:E,3,0),"'沒有資料'")</f>
        <v>'沒有資料'</v>
      </c>
      <c r="P362" s="380" t="str">
        <f>IFERROR(VLOOKUP($G362,'321買'!$A:$G,7,0),"'沒有資料'")</f>
        <v>'沒有資料'</v>
      </c>
      <c r="R362" s="297">
        <f>IFERROR(RANK(VLOOKUP($G362,連買!$A:$D,4,0),連買!$D:$D,0),"'沒有資料'")</f>
        <v>1598</v>
      </c>
      <c r="S362" s="34">
        <v>0</v>
      </c>
      <c r="T362" s="353">
        <f t="shared" si="76"/>
        <v>0</v>
      </c>
      <c r="U362" s="95">
        <v>-3.89</v>
      </c>
      <c r="V362" s="36">
        <f>RTD("money.excel",,"4192","Price")</f>
        <v>37.4</v>
      </c>
      <c r="W362" s="66"/>
      <c r="X362" s="15">
        <f t="shared" si="77"/>
        <v>37.4</v>
      </c>
      <c r="Y362" s="3" t="e">
        <f t="shared" si="78"/>
        <v>#DIV/0!</v>
      </c>
      <c r="Z362" s="413" t="s">
        <v>1801</v>
      </c>
      <c r="AA362" s="161">
        <v>0</v>
      </c>
      <c r="AB362" s="409">
        <v>0</v>
      </c>
      <c r="AC362" s="259">
        <f t="shared" si="75"/>
        <v>0</v>
      </c>
      <c r="AD362" s="16" t="s">
        <v>4109</v>
      </c>
      <c r="AG362" s="33">
        <f t="shared" si="79"/>
        <v>0</v>
      </c>
      <c r="AH362" s="43" t="s">
        <v>4110</v>
      </c>
      <c r="AI362" s="63">
        <f t="shared" si="80"/>
        <v>3.7358490566037736E-3</v>
      </c>
      <c r="AJ362" s="307">
        <f>RTD("money.excel",,$G362,"PredictVolume")</f>
        <v>396</v>
      </c>
      <c r="AK362" s="339"/>
    </row>
    <row r="363" spans="1:37">
      <c r="A363" s="416">
        <v>6.55</v>
      </c>
      <c r="B363" s="91">
        <v>0</v>
      </c>
      <c r="C363" s="91">
        <v>-10</v>
      </c>
      <c r="D363" s="91">
        <v>243</v>
      </c>
      <c r="E363" s="91">
        <v>81</v>
      </c>
      <c r="F363" s="73">
        <v>-126.8</v>
      </c>
      <c r="G363" s="79">
        <v>4198</v>
      </c>
      <c r="H363" s="8" t="s">
        <v>311</v>
      </c>
      <c r="I363" s="16" t="s">
        <v>4111</v>
      </c>
      <c r="J363" s="73">
        <v>63.67</v>
      </c>
      <c r="K363" s="73">
        <v>26.66</v>
      </c>
      <c r="N363" s="318">
        <f t="shared" si="72"/>
        <v>90.33</v>
      </c>
      <c r="O363" s="81" t="str">
        <f>IFERROR(VLOOKUP($G363,'321買'!A:E,3,0),"'沒有資料'")</f>
        <v>'沒有資料'</v>
      </c>
      <c r="P363" s="380" t="str">
        <f>IFERROR(VLOOKUP($G363,'321買'!$A:$G,7,0),"'沒有資料'")</f>
        <v>'沒有資料'</v>
      </c>
      <c r="R363" s="297">
        <f>IFERROR(RANK(VLOOKUP($G363,連買!$A:$D,4,0),連買!$D:$D,0),"'沒有資料'")</f>
        <v>1394</v>
      </c>
      <c r="S363" s="34">
        <v>0</v>
      </c>
      <c r="T363" s="353">
        <f t="shared" si="76"/>
        <v>0</v>
      </c>
      <c r="U363" s="95">
        <v>-1.9</v>
      </c>
      <c r="V363" s="13">
        <f>RTD("money.excel",,"4198","Price")</f>
        <v>5</v>
      </c>
      <c r="W363" s="66"/>
      <c r="X363" s="15">
        <f t="shared" si="77"/>
        <v>5</v>
      </c>
      <c r="Y363" s="3" t="e">
        <f t="shared" si="78"/>
        <v>#DIV/0!</v>
      </c>
      <c r="AA363" s="161">
        <v>0</v>
      </c>
      <c r="AB363" s="409">
        <v>0</v>
      </c>
      <c r="AC363" s="259">
        <f t="shared" si="75"/>
        <v>0</v>
      </c>
      <c r="AD363" s="16" t="s">
        <v>4111</v>
      </c>
      <c r="AG363" s="33">
        <f t="shared" si="79"/>
        <v>0</v>
      </c>
      <c r="AH363" s="43" t="s">
        <v>4112</v>
      </c>
      <c r="AI363" s="63">
        <f t="shared" si="80"/>
        <v>5.0381679389312976E-4</v>
      </c>
      <c r="AJ363" s="307">
        <f>RTD("money.excel",,$G363,"PredictVolume")</f>
        <v>33</v>
      </c>
      <c r="AK363" s="339"/>
    </row>
    <row r="364" spans="1:37">
      <c r="A364" s="416">
        <v>15.3</v>
      </c>
      <c r="B364" s="79">
        <v>124</v>
      </c>
      <c r="C364" s="79">
        <v>122</v>
      </c>
      <c r="D364" s="80">
        <v>-86</v>
      </c>
      <c r="E364" s="80">
        <v>-15</v>
      </c>
      <c r="F364" s="6">
        <v>8.69</v>
      </c>
      <c r="G364" s="79">
        <v>4726</v>
      </c>
      <c r="H364" s="8" t="s">
        <v>311</v>
      </c>
      <c r="I364" s="16" t="s">
        <v>4113</v>
      </c>
      <c r="J364" s="323">
        <v>40.51</v>
      </c>
      <c r="K364" s="73">
        <v>0.15</v>
      </c>
      <c r="N364" s="318">
        <f t="shared" si="72"/>
        <v>40.659999999999997</v>
      </c>
      <c r="O364" s="81" t="str">
        <f>IFERROR(VLOOKUP($G364,'321買'!A:E,3,0),"'沒有資料'")</f>
        <v>'沒有資料'</v>
      </c>
      <c r="P364" s="380" t="str">
        <f>IFERROR(VLOOKUP($G364,'321買'!$A:$G,7,0),"'沒有資料'")</f>
        <v>'沒有資料'</v>
      </c>
      <c r="R364" s="297">
        <f>IFERROR(RANK(VLOOKUP($G364,連買!$A:$D,4,0),連買!$D:$D,0),"'沒有資料'")</f>
        <v>583</v>
      </c>
      <c r="S364" s="34">
        <v>0</v>
      </c>
      <c r="T364" s="353">
        <f t="shared" si="76"/>
        <v>0</v>
      </c>
      <c r="U364" s="95">
        <v>24</v>
      </c>
      <c r="V364" s="36">
        <f>RTD("money.excel",,"4726","Price")</f>
        <v>43.45</v>
      </c>
      <c r="W364" s="66"/>
      <c r="X364" s="15">
        <f t="shared" si="77"/>
        <v>43.45</v>
      </c>
      <c r="Y364" s="3" t="e">
        <f t="shared" si="78"/>
        <v>#DIV/0!</v>
      </c>
      <c r="Z364" s="413" t="s">
        <v>1801</v>
      </c>
      <c r="AA364" s="161">
        <v>0</v>
      </c>
      <c r="AB364" s="409">
        <v>0</v>
      </c>
      <c r="AC364" s="259">
        <f t="shared" si="75"/>
        <v>0</v>
      </c>
      <c r="AD364" s="16" t="s">
        <v>4113</v>
      </c>
      <c r="AG364" s="33">
        <f t="shared" si="79"/>
        <v>0</v>
      </c>
      <c r="AH364" s="43" t="s">
        <v>3186</v>
      </c>
      <c r="AI364" s="63">
        <f t="shared" si="80"/>
        <v>5.1960784313725486E-3</v>
      </c>
      <c r="AJ364" s="307">
        <f>RTD("money.excel",,$G364,"PredictVolume")</f>
        <v>795</v>
      </c>
      <c r="AK364" s="339"/>
    </row>
    <row r="365" spans="1:37">
      <c r="A365" s="415">
        <v>5.45</v>
      </c>
      <c r="B365" s="91">
        <v>18</v>
      </c>
      <c r="C365" s="91">
        <v>37</v>
      </c>
      <c r="D365" s="91">
        <v>12</v>
      </c>
      <c r="E365" s="91">
        <v>98</v>
      </c>
      <c r="F365" s="57">
        <v>37.36</v>
      </c>
      <c r="G365" s="79">
        <v>4728</v>
      </c>
      <c r="H365" s="8" t="s">
        <v>311</v>
      </c>
      <c r="I365" s="16" t="s">
        <v>4114</v>
      </c>
      <c r="J365" s="73">
        <v>56.93</v>
      </c>
      <c r="K365" s="73">
        <v>12.25</v>
      </c>
      <c r="L365" s="73">
        <v>36.74</v>
      </c>
      <c r="N365" s="318">
        <f t="shared" si="72"/>
        <v>105.92000000000002</v>
      </c>
      <c r="O365" s="81">
        <f>IFERROR(VLOOKUP($G365,'321買'!A:E,3,0),"'沒有資料'")</f>
        <v>0</v>
      </c>
      <c r="P365" s="380">
        <f>IFERROR(VLOOKUP($G365,'321買'!$A:$G,7,0),"'沒有資料'")</f>
        <v>911</v>
      </c>
      <c r="R365" s="297">
        <f>IFERROR(RANK(VLOOKUP($G365,連買!$A:$D,4,0),連買!$D:$D,0),"'沒有資料'")</f>
        <v>332</v>
      </c>
      <c r="S365" s="34">
        <v>1.5</v>
      </c>
      <c r="T365" s="353">
        <f t="shared" si="76"/>
        <v>1.0869565217391304E-2</v>
      </c>
      <c r="U365" s="95">
        <v>4.37</v>
      </c>
      <c r="V365" s="13">
        <f>RTD("money.excel",,"4728","Price")</f>
        <v>138</v>
      </c>
      <c r="W365" s="66"/>
      <c r="X365" s="15">
        <f t="shared" si="77"/>
        <v>138</v>
      </c>
      <c r="Y365" s="3" t="e">
        <f t="shared" si="78"/>
        <v>#DIV/0!</v>
      </c>
      <c r="AA365" s="161">
        <v>0</v>
      </c>
      <c r="AB365" s="409">
        <v>0</v>
      </c>
      <c r="AC365" s="259">
        <f t="shared" si="75"/>
        <v>0</v>
      </c>
      <c r="AD365" s="16" t="s">
        <v>4114</v>
      </c>
      <c r="AG365" s="33">
        <f t="shared" si="79"/>
        <v>0</v>
      </c>
      <c r="AH365" s="43" t="s">
        <v>4002</v>
      </c>
      <c r="AI365" s="63">
        <f t="shared" si="80"/>
        <v>2.5688073394495412E-3</v>
      </c>
      <c r="AJ365" s="307">
        <f>RTD("money.excel",,$G365,"PredictVolume")</f>
        <v>140</v>
      </c>
      <c r="AK365" s="339"/>
    </row>
    <row r="366" spans="1:37">
      <c r="A366" s="415">
        <v>3.69</v>
      </c>
      <c r="B366" s="80">
        <v>-13</v>
      </c>
      <c r="C366" s="80">
        <v>-11</v>
      </c>
      <c r="D366" s="79">
        <v>45</v>
      </c>
      <c r="E366" s="80">
        <v>-59</v>
      </c>
      <c r="F366" s="57">
        <v>20.05</v>
      </c>
      <c r="G366" s="79">
        <v>4735</v>
      </c>
      <c r="H366" s="8" t="s">
        <v>311</v>
      </c>
      <c r="I366" s="16" t="s">
        <v>4115</v>
      </c>
      <c r="J366" s="323">
        <v>22.11</v>
      </c>
      <c r="K366" s="73">
        <v>1.43</v>
      </c>
      <c r="L366" s="323">
        <v>9.89</v>
      </c>
      <c r="M366" s="73">
        <v>24.41</v>
      </c>
      <c r="N366" s="318">
        <f>K366+J366+L366+M366</f>
        <v>57.84</v>
      </c>
      <c r="O366" s="81">
        <f>IFERROR(VLOOKUP($G366,'321買'!A:E,3,0),"'沒有資料'")</f>
        <v>4</v>
      </c>
      <c r="P366" s="380">
        <f>IFERROR(VLOOKUP($G366,'321買'!$A:$G,7,0),"'沒有資料'")</f>
        <v>592</v>
      </c>
      <c r="Q366" s="245" t="s">
        <v>3815</v>
      </c>
      <c r="R366" s="297">
        <f>IFERROR(RANK(VLOOKUP($G366,連買!$A:$D,4,0),連買!$D:$D,0),"'沒有資料'")</f>
        <v>1717</v>
      </c>
      <c r="S366" s="66">
        <v>1.2</v>
      </c>
      <c r="T366" s="353">
        <f t="shared" si="76"/>
        <v>2.4242424242424242E-2</v>
      </c>
      <c r="U366" s="95">
        <v>13.17</v>
      </c>
      <c r="V366" s="36">
        <f>RTD("money.excel",,"4735","Price")</f>
        <v>49.5</v>
      </c>
      <c r="W366" s="66"/>
      <c r="X366" s="15">
        <f t="shared" si="77"/>
        <v>49.5</v>
      </c>
      <c r="Y366" s="3" t="e">
        <f t="shared" si="78"/>
        <v>#DIV/0!</v>
      </c>
      <c r="Z366" s="413" t="s">
        <v>1997</v>
      </c>
      <c r="AA366" s="161">
        <v>0</v>
      </c>
      <c r="AB366" s="409">
        <v>0</v>
      </c>
      <c r="AC366" s="259">
        <f t="shared" si="75"/>
        <v>0</v>
      </c>
      <c r="AD366" s="16" t="s">
        <v>4115</v>
      </c>
      <c r="AG366" s="33">
        <f t="shared" si="79"/>
        <v>0</v>
      </c>
      <c r="AH366" s="43" t="s">
        <v>4116</v>
      </c>
      <c r="AI366" s="63">
        <f t="shared" si="80"/>
        <v>1.5718157181571816E-3</v>
      </c>
      <c r="AJ366" s="307">
        <f>RTD("money.excel",,$G366,"PredictVolume")</f>
        <v>58</v>
      </c>
      <c r="AK366" s="339"/>
    </row>
    <row r="367" spans="1:37">
      <c r="A367" s="415">
        <v>9.31</v>
      </c>
      <c r="B367" s="79">
        <v>29</v>
      </c>
      <c r="C367" s="79">
        <v>5</v>
      </c>
      <c r="D367" s="80">
        <v>-35</v>
      </c>
      <c r="E367" s="79">
        <v>25</v>
      </c>
      <c r="F367" s="57">
        <v>32.270000000000003</v>
      </c>
      <c r="G367" s="79">
        <v>4736</v>
      </c>
      <c r="H367" s="8" t="s">
        <v>311</v>
      </c>
      <c r="I367" s="171" t="s">
        <v>4117</v>
      </c>
      <c r="J367" s="323">
        <v>42.39</v>
      </c>
      <c r="K367" s="73">
        <v>9.83</v>
      </c>
      <c r="L367" s="73">
        <v>16.23</v>
      </c>
      <c r="M367" s="323">
        <v>31.44</v>
      </c>
      <c r="N367" s="318">
        <f t="shared" ref="N367" si="81">J367+K367+L367+M367</f>
        <v>99.89</v>
      </c>
      <c r="O367" s="81">
        <f>IFERROR(VLOOKUP($G367,'321買'!A:E,3,0),"'沒有資料'")</f>
        <v>17</v>
      </c>
      <c r="P367" s="380">
        <f>IFERROR(VLOOKUP($G367,'321買'!$A:$G,7,0),"'沒有資料'")</f>
        <v>241</v>
      </c>
      <c r="Q367" s="245" t="s">
        <v>5088</v>
      </c>
      <c r="R367" s="297">
        <f>IFERROR(RANK(VLOOKUP($G367,連買!$A:$D,4,0),連買!$D:$D,0),"'沒有資料'")</f>
        <v>34</v>
      </c>
      <c r="S367" s="160">
        <v>15</v>
      </c>
      <c r="T367" s="353">
        <f t="shared" si="76"/>
        <v>5.1546391752577317E-2</v>
      </c>
      <c r="U367" s="95">
        <v>21.37</v>
      </c>
      <c r="V367" s="166">
        <f>RTD("money.excel",,"4736","Price")</f>
        <v>291</v>
      </c>
      <c r="W367" s="66"/>
      <c r="X367" s="15">
        <f t="shared" si="77"/>
        <v>291</v>
      </c>
      <c r="Y367" s="3" t="e">
        <f t="shared" si="78"/>
        <v>#DIV/0!</v>
      </c>
      <c r="Z367" s="413">
        <v>-14.58</v>
      </c>
      <c r="AA367" s="161">
        <v>0</v>
      </c>
      <c r="AB367" s="409">
        <v>0</v>
      </c>
      <c r="AC367" s="259">
        <f t="shared" si="75"/>
        <v>0</v>
      </c>
      <c r="AD367" s="16" t="s">
        <v>4117</v>
      </c>
      <c r="AG367" s="33">
        <f t="shared" si="79"/>
        <v>0</v>
      </c>
      <c r="AH367" s="120" t="s">
        <v>4118</v>
      </c>
      <c r="AI367" s="63">
        <f t="shared" si="80"/>
        <v>7.6004296455424281E-2</v>
      </c>
      <c r="AJ367" s="307">
        <f>RTD("money.excel",,$G367,"PredictVolume")</f>
        <v>7076</v>
      </c>
      <c r="AK367" s="339">
        <v>14.12</v>
      </c>
    </row>
    <row r="368" spans="1:37">
      <c r="A368" s="416">
        <v>6.21</v>
      </c>
      <c r="B368" s="91">
        <v>-64</v>
      </c>
      <c r="C368" s="91">
        <v>-130</v>
      </c>
      <c r="D368" s="91">
        <v>-27</v>
      </c>
      <c r="E368" s="91">
        <v>130</v>
      </c>
      <c r="F368" s="6">
        <v>-2</v>
      </c>
      <c r="G368" s="79">
        <v>4737</v>
      </c>
      <c r="H368" s="8" t="s">
        <v>311</v>
      </c>
      <c r="I368" s="22" t="s">
        <v>4119</v>
      </c>
      <c r="J368" s="73">
        <v>65.33</v>
      </c>
      <c r="K368" s="73">
        <v>30.15</v>
      </c>
      <c r="L368" s="73">
        <v>1.51</v>
      </c>
      <c r="N368" s="318">
        <f t="shared" ref="N368:N378" si="82">J368+K368+L368+M368</f>
        <v>96.99</v>
      </c>
      <c r="O368" s="81">
        <f>IFERROR(VLOOKUP($G368,'321買'!A:E,3,0),"'沒有資料'")</f>
        <v>0</v>
      </c>
      <c r="P368" s="380">
        <f>IFERROR(VLOOKUP($G368,'321買'!$A:$G,7,0),"'沒有資料'")</f>
        <v>911</v>
      </c>
      <c r="R368" s="297">
        <f>IFERROR(RANK(VLOOKUP($G368,連買!$A:$D,4,0),連買!$D:$D,0),"'沒有資料'")</f>
        <v>294</v>
      </c>
      <c r="S368" s="34">
        <v>2</v>
      </c>
      <c r="T368" s="353">
        <f t="shared" si="76"/>
        <v>2.7210884353741496E-2</v>
      </c>
      <c r="U368" s="95">
        <v>1.06</v>
      </c>
      <c r="V368" s="13">
        <f>RTD("money.excel",,"4737","Price")</f>
        <v>73.5</v>
      </c>
      <c r="W368" s="66"/>
      <c r="X368" s="15">
        <f t="shared" si="77"/>
        <v>73.5</v>
      </c>
      <c r="Y368" s="3" t="e">
        <f t="shared" si="78"/>
        <v>#DIV/0!</v>
      </c>
      <c r="AA368" s="161">
        <v>0</v>
      </c>
      <c r="AB368" s="409">
        <v>0</v>
      </c>
      <c r="AC368" s="259">
        <f t="shared" si="75"/>
        <v>0</v>
      </c>
      <c r="AD368" s="22" t="s">
        <v>4119</v>
      </c>
      <c r="AG368" s="33">
        <f t="shared" si="79"/>
        <v>0</v>
      </c>
      <c r="AH368" s="43" t="s">
        <v>3991</v>
      </c>
      <c r="AI368" s="63">
        <f t="shared" si="80"/>
        <v>3.5426731078904989E-4</v>
      </c>
      <c r="AJ368" s="307">
        <f>RTD("money.excel",,$G368,"PredictVolume")</f>
        <v>22</v>
      </c>
      <c r="AK368" s="339"/>
    </row>
    <row r="369" spans="1:37">
      <c r="A369" s="416">
        <v>38.5</v>
      </c>
      <c r="B369" s="80">
        <v>-64</v>
      </c>
      <c r="C369" s="80">
        <v>-30</v>
      </c>
      <c r="D369" s="79">
        <v>70</v>
      </c>
      <c r="E369" s="79">
        <v>93</v>
      </c>
      <c r="F369" s="47">
        <v>-1335</v>
      </c>
      <c r="G369" s="79">
        <v>4743</v>
      </c>
      <c r="H369" s="8" t="s">
        <v>311</v>
      </c>
      <c r="I369" s="16" t="s">
        <v>288</v>
      </c>
      <c r="J369" s="73">
        <v>55.88</v>
      </c>
      <c r="K369" s="323">
        <v>12.74</v>
      </c>
      <c r="L369" s="323"/>
      <c r="M369" s="323">
        <v>20.83</v>
      </c>
      <c r="N369" s="318">
        <f t="shared" si="82"/>
        <v>89.45</v>
      </c>
      <c r="O369" s="81" t="str">
        <f>IFERROR(VLOOKUP($G369,'321買'!A:E,3,0),"'沒有資料'")</f>
        <v>'沒有資料'</v>
      </c>
      <c r="P369" s="380" t="str">
        <f>IFERROR(VLOOKUP($G369,'321買'!$A:$G,7,0),"'沒有資料'")</f>
        <v>'沒有資料'</v>
      </c>
      <c r="R369" s="297">
        <f>IFERROR(RANK(VLOOKUP($G369,連買!$A:$D,4,0),連買!$D:$D,0),"'沒有資料'")</f>
        <v>47</v>
      </c>
      <c r="S369" s="34">
        <v>0</v>
      </c>
      <c r="T369" s="353">
        <f t="shared" si="76"/>
        <v>0</v>
      </c>
      <c r="U369" s="57">
        <v>-2.4500000000000002</v>
      </c>
      <c r="V369" s="36">
        <f>RTD("money.excel",,"4743","Price")</f>
        <v>200.5</v>
      </c>
      <c r="W369" s="66"/>
      <c r="X369" s="15">
        <f t="shared" si="77"/>
        <v>200.5</v>
      </c>
      <c r="Y369" s="3" t="e">
        <f t="shared" si="78"/>
        <v>#DIV/0!</v>
      </c>
      <c r="Z369" s="413">
        <v>-38.76</v>
      </c>
      <c r="AA369" s="161">
        <v>0</v>
      </c>
      <c r="AB369" s="409">
        <v>0</v>
      </c>
      <c r="AC369" s="259">
        <f t="shared" si="75"/>
        <v>0</v>
      </c>
      <c r="AD369" s="16" t="s">
        <v>288</v>
      </c>
      <c r="AG369" s="33">
        <f t="shared" si="79"/>
        <v>0</v>
      </c>
      <c r="AH369" s="43" t="s">
        <v>4120</v>
      </c>
      <c r="AI369" s="63">
        <f t="shared" si="80"/>
        <v>4.7818181818181822E-3</v>
      </c>
      <c r="AJ369" s="307">
        <f>RTD("money.excel",,$G369,"PredictVolume")</f>
        <v>1841</v>
      </c>
      <c r="AK369" s="339">
        <v>7.48</v>
      </c>
    </row>
    <row r="370" spans="1:37">
      <c r="A370" s="415">
        <v>4.72</v>
      </c>
      <c r="B370" s="80">
        <v>-27</v>
      </c>
      <c r="C370" s="80">
        <v>-13</v>
      </c>
      <c r="D370" s="79">
        <v>97</v>
      </c>
      <c r="E370" s="80">
        <v>-1</v>
      </c>
      <c r="F370" s="57">
        <v>10.210000000000001</v>
      </c>
      <c r="G370" s="79">
        <v>4744</v>
      </c>
      <c r="H370" s="8" t="s">
        <v>311</v>
      </c>
      <c r="I370" s="16" t="s">
        <v>4121</v>
      </c>
      <c r="J370" s="323">
        <v>33.520000000000003</v>
      </c>
      <c r="K370" s="73">
        <v>0.45</v>
      </c>
      <c r="L370" s="73">
        <v>22.08</v>
      </c>
      <c r="N370" s="318">
        <f t="shared" si="82"/>
        <v>56.050000000000004</v>
      </c>
      <c r="O370" s="81">
        <f>IFERROR(VLOOKUP($G370,'321買'!A:E,3,0),"'沒有資料'")</f>
        <v>4</v>
      </c>
      <c r="P370" s="380">
        <f>IFERROR(VLOOKUP($G370,'321買'!$A:$G,7,0),"'沒有資料'")</f>
        <v>592</v>
      </c>
      <c r="R370" s="297">
        <f>IFERROR(RANK(VLOOKUP($G370,連買!$A:$D,4,0),連買!$D:$D,0),"'沒有資料'")</f>
        <v>740</v>
      </c>
      <c r="S370" s="34">
        <v>1.2</v>
      </c>
      <c r="T370" s="353">
        <f t="shared" si="76"/>
        <v>3.6036036036036036E-2</v>
      </c>
      <c r="U370" s="95">
        <v>1.52</v>
      </c>
      <c r="V370" s="36">
        <f>RTD("money.excel",,"4744","Price")</f>
        <v>33.299999999999997</v>
      </c>
      <c r="W370" s="66"/>
      <c r="X370" s="15">
        <f t="shared" si="77"/>
        <v>33.299999999999997</v>
      </c>
      <c r="Y370" s="3" t="e">
        <f t="shared" si="78"/>
        <v>#DIV/0!</v>
      </c>
      <c r="AA370" s="161">
        <v>0</v>
      </c>
      <c r="AB370" s="409">
        <v>0</v>
      </c>
      <c r="AC370" s="259">
        <f t="shared" si="75"/>
        <v>0</v>
      </c>
      <c r="AD370" s="16" t="s">
        <v>4121</v>
      </c>
      <c r="AG370" s="33">
        <f t="shared" si="79"/>
        <v>0</v>
      </c>
      <c r="AH370" s="43" t="s">
        <v>4122</v>
      </c>
      <c r="AI370" s="63">
        <f t="shared" si="80"/>
        <v>4.4703389830508472E-3</v>
      </c>
      <c r="AJ370" s="307">
        <f>RTD("money.excel",,$G370,"PredictVolume")</f>
        <v>211</v>
      </c>
      <c r="AK370" s="339"/>
    </row>
    <row r="371" spans="1:37">
      <c r="A371" s="416">
        <v>7.74</v>
      </c>
      <c r="B371" s="91">
        <v>-34</v>
      </c>
      <c r="C371" s="91">
        <v>-16</v>
      </c>
      <c r="D371" s="91">
        <v>-31</v>
      </c>
      <c r="E371" s="91">
        <v>12</v>
      </c>
      <c r="F371" s="6">
        <v>9.9600000000000009</v>
      </c>
      <c r="G371" s="79">
        <v>4745</v>
      </c>
      <c r="H371" s="8" t="s">
        <v>311</v>
      </c>
      <c r="I371" s="16" t="s">
        <v>4123</v>
      </c>
      <c r="J371" s="73">
        <v>56.34</v>
      </c>
      <c r="K371" s="73">
        <v>15.3</v>
      </c>
      <c r="L371" s="73">
        <v>13.78</v>
      </c>
      <c r="N371" s="318">
        <f t="shared" si="82"/>
        <v>85.42</v>
      </c>
      <c r="O371" s="81">
        <f>IFERROR(VLOOKUP($G371,'321買'!A:E,3,0),"'沒有資料'")</f>
        <v>1</v>
      </c>
      <c r="P371" s="380">
        <f>IFERROR(VLOOKUP($G371,'321買'!$A:$G,7,0),"'沒有資料'")</f>
        <v>783</v>
      </c>
      <c r="R371" s="297">
        <f>IFERROR(RANK(VLOOKUP($G371,連買!$A:$D,4,0),連買!$D:$D,0),"'沒有資料'")</f>
        <v>513</v>
      </c>
      <c r="S371" s="34">
        <v>1.2</v>
      </c>
      <c r="T371" s="353">
        <f t="shared" si="76"/>
        <v>3.4682080924855488E-2</v>
      </c>
      <c r="U371" s="95">
        <v>1.63</v>
      </c>
      <c r="V371" s="13">
        <f>RTD("money.excel",,"4745","Price")</f>
        <v>34.6</v>
      </c>
      <c r="W371" s="66"/>
      <c r="X371" s="15">
        <f t="shared" si="77"/>
        <v>34.6</v>
      </c>
      <c r="Y371" s="3" t="e">
        <f t="shared" si="78"/>
        <v>#DIV/0!</v>
      </c>
      <c r="AA371" s="161">
        <v>0</v>
      </c>
      <c r="AB371" s="409">
        <v>0</v>
      </c>
      <c r="AC371" s="259">
        <f t="shared" si="75"/>
        <v>0</v>
      </c>
      <c r="AD371" s="16" t="s">
        <v>4123</v>
      </c>
      <c r="AG371" s="33">
        <f t="shared" si="79"/>
        <v>0</v>
      </c>
      <c r="AH371" s="43" t="s">
        <v>4124</v>
      </c>
      <c r="AI371" s="63">
        <f t="shared" si="80"/>
        <v>1.0607235142118863E-2</v>
      </c>
      <c r="AJ371" s="307">
        <f>RTD("money.excel",,$G371,"PredictVolume")</f>
        <v>821</v>
      </c>
      <c r="AK371" s="339"/>
    </row>
    <row r="372" spans="1:37">
      <c r="A372" s="416">
        <v>12</v>
      </c>
      <c r="B372" s="79">
        <v>338</v>
      </c>
      <c r="C372" s="80">
        <v>-29</v>
      </c>
      <c r="D372" s="79">
        <v>11</v>
      </c>
      <c r="E372" s="80">
        <v>-27</v>
      </c>
      <c r="F372" s="6">
        <v>-8.06</v>
      </c>
      <c r="G372" s="79">
        <v>4746</v>
      </c>
      <c r="H372" s="8" t="s">
        <v>311</v>
      </c>
      <c r="I372" s="22" t="s">
        <v>4125</v>
      </c>
      <c r="J372" s="73">
        <v>24.59</v>
      </c>
      <c r="K372" s="73">
        <v>5.35</v>
      </c>
      <c r="L372" s="323">
        <v>31.03</v>
      </c>
      <c r="N372" s="318">
        <f t="shared" si="82"/>
        <v>60.97</v>
      </c>
      <c r="O372" s="81">
        <f>IFERROR(VLOOKUP($G372,'321買'!A:E,3,0),"'沒有資料'")</f>
        <v>23</v>
      </c>
      <c r="P372" s="380">
        <f>IFERROR(VLOOKUP($G372,'321買'!$A:$G,7,0),"'沒有資料'")</f>
        <v>222</v>
      </c>
      <c r="R372" s="297">
        <f>IFERROR(RANK(VLOOKUP($G372,連買!$A:$D,4,0),連買!$D:$D,0),"'沒有資料'")</f>
        <v>1637</v>
      </c>
      <c r="S372" s="34">
        <v>0</v>
      </c>
      <c r="T372" s="353">
        <f t="shared" si="76"/>
        <v>0</v>
      </c>
      <c r="U372" s="95">
        <v>16.510000000000002</v>
      </c>
      <c r="V372" s="36">
        <f>RTD("money.excel",,"4746","Price")</f>
        <v>62</v>
      </c>
      <c r="W372" s="66"/>
      <c r="X372" s="15">
        <f t="shared" si="77"/>
        <v>62</v>
      </c>
      <c r="Y372" s="3" t="e">
        <f t="shared" si="78"/>
        <v>#DIV/0!</v>
      </c>
      <c r="Z372" s="413" t="s">
        <v>1801</v>
      </c>
      <c r="AA372" s="161">
        <v>0</v>
      </c>
      <c r="AB372" s="409">
        <v>0</v>
      </c>
      <c r="AC372" s="259">
        <f t="shared" si="75"/>
        <v>0</v>
      </c>
      <c r="AD372" s="22" t="s">
        <v>4125</v>
      </c>
      <c r="AG372" s="33">
        <f t="shared" si="79"/>
        <v>0</v>
      </c>
      <c r="AH372" s="43" t="s">
        <v>4126</v>
      </c>
      <c r="AI372" s="63">
        <f t="shared" si="80"/>
        <v>3.5383333333333336E-2</v>
      </c>
      <c r="AJ372" s="307">
        <f>RTD("money.excel",,$G372,"PredictVolume")</f>
        <v>4246</v>
      </c>
      <c r="AK372" s="339"/>
    </row>
    <row r="373" spans="1:37">
      <c r="A373" s="415">
        <v>3</v>
      </c>
      <c r="B373" s="79">
        <v>9</v>
      </c>
      <c r="C373" s="79">
        <v>11</v>
      </c>
      <c r="D373" s="79">
        <v>11</v>
      </c>
      <c r="E373" s="79">
        <v>76</v>
      </c>
      <c r="F373" s="57">
        <v>17.32</v>
      </c>
      <c r="G373" s="79">
        <v>4747</v>
      </c>
      <c r="H373" s="8" t="s">
        <v>311</v>
      </c>
      <c r="I373" s="16" t="s">
        <v>4127</v>
      </c>
      <c r="J373" s="73">
        <v>66.180000000000007</v>
      </c>
      <c r="K373" s="73">
        <v>1.44</v>
      </c>
      <c r="L373" s="323">
        <v>0.69</v>
      </c>
      <c r="N373" s="318">
        <f t="shared" si="82"/>
        <v>68.31</v>
      </c>
      <c r="O373" s="81" t="str">
        <f>IFERROR(VLOOKUP($G373,'321買'!A:E,3,0),"'沒有資料'")</f>
        <v>'沒有資料'</v>
      </c>
      <c r="P373" s="380" t="str">
        <f>IFERROR(VLOOKUP($G373,'321買'!$A:$G,7,0),"'沒有資料'")</f>
        <v>'沒有資料'</v>
      </c>
      <c r="R373" s="297">
        <f>IFERROR(RANK(VLOOKUP($G373,連買!$A:$D,4,0),連買!$D:$D,0),"'沒有資料'")</f>
        <v>1507</v>
      </c>
      <c r="S373" s="34">
        <v>1.92</v>
      </c>
      <c r="T373" s="353">
        <f t="shared" si="76"/>
        <v>5.7142857142857141E-2</v>
      </c>
      <c r="U373" s="57">
        <v>2.12</v>
      </c>
      <c r="V373" s="36">
        <f>RTD("money.excel",,"4747","Price")</f>
        <v>33.6</v>
      </c>
      <c r="W373" s="66"/>
      <c r="X373" s="15">
        <f t="shared" si="77"/>
        <v>33.6</v>
      </c>
      <c r="Y373" s="3" t="e">
        <f t="shared" si="78"/>
        <v>#DIV/0!</v>
      </c>
      <c r="Z373" s="413" t="s">
        <v>1801</v>
      </c>
      <c r="AA373" s="161">
        <v>0</v>
      </c>
      <c r="AB373" s="409">
        <v>0</v>
      </c>
      <c r="AC373" s="259">
        <f t="shared" si="75"/>
        <v>0</v>
      </c>
      <c r="AD373" s="16" t="s">
        <v>4127</v>
      </c>
      <c r="AG373" s="33">
        <f t="shared" si="79"/>
        <v>0</v>
      </c>
      <c r="AH373" s="43" t="s">
        <v>3987</v>
      </c>
      <c r="AI373" s="63">
        <f t="shared" si="80"/>
        <v>4.6666666666666666E-4</v>
      </c>
      <c r="AJ373" s="307">
        <f>RTD("money.excel",,$G373,"PredictVolume")</f>
        <v>14</v>
      </c>
      <c r="AK373" s="339"/>
    </row>
    <row r="374" spans="1:37">
      <c r="A374" s="416">
        <v>5.57</v>
      </c>
      <c r="B374" s="91">
        <v>38</v>
      </c>
      <c r="C374" s="91">
        <v>35</v>
      </c>
      <c r="D374" s="91">
        <v>-29</v>
      </c>
      <c r="E374" s="91">
        <v>13</v>
      </c>
      <c r="F374" s="6">
        <v>-53</v>
      </c>
      <c r="G374" s="79">
        <v>4911</v>
      </c>
      <c r="H374" s="8" t="s">
        <v>311</v>
      </c>
      <c r="I374" s="16" t="s">
        <v>4128</v>
      </c>
      <c r="J374" s="73">
        <v>58.18</v>
      </c>
      <c r="K374" s="73">
        <v>0.01</v>
      </c>
      <c r="N374" s="318">
        <f t="shared" si="82"/>
        <v>58.19</v>
      </c>
      <c r="O374" s="81" t="str">
        <f>IFERROR(VLOOKUP($G374,'321買'!A:E,3,0),"'沒有資料'")</f>
        <v>'沒有資料'</v>
      </c>
      <c r="P374" s="380" t="str">
        <f>IFERROR(VLOOKUP($G374,'321買'!$A:$G,7,0),"'沒有資料'")</f>
        <v>'沒有資料'</v>
      </c>
      <c r="R374" s="297">
        <f>IFERROR(RANK(VLOOKUP($G374,連買!$A:$D,4,0),連買!$D:$D,0),"'沒有資料'")</f>
        <v>1347</v>
      </c>
      <c r="S374" s="34">
        <v>0</v>
      </c>
      <c r="T374" s="353">
        <f t="shared" si="76"/>
        <v>0</v>
      </c>
      <c r="U374" s="95">
        <v>-0.26</v>
      </c>
      <c r="V374" s="13">
        <f>RTD("money.excel",,"4911","Price")</f>
        <v>27.5</v>
      </c>
      <c r="W374" s="66"/>
      <c r="X374" s="15">
        <f t="shared" si="77"/>
        <v>27.5</v>
      </c>
      <c r="Y374" s="3" t="e">
        <f t="shared" si="78"/>
        <v>#DIV/0!</v>
      </c>
      <c r="AA374" s="161">
        <v>0</v>
      </c>
      <c r="AB374" s="409">
        <v>0</v>
      </c>
      <c r="AC374" s="259">
        <f t="shared" si="75"/>
        <v>0</v>
      </c>
      <c r="AD374" s="16" t="s">
        <v>4128</v>
      </c>
      <c r="AG374" s="33">
        <f t="shared" si="79"/>
        <v>0</v>
      </c>
      <c r="AH374" s="43" t="s">
        <v>4129</v>
      </c>
      <c r="AI374" s="63">
        <f t="shared" si="80"/>
        <v>1.3285457809694794E-3</v>
      </c>
      <c r="AJ374" s="307">
        <f>RTD("money.excel",,$G374,"PredictVolume")</f>
        <v>74</v>
      </c>
      <c r="AK374" s="339"/>
    </row>
    <row r="375" spans="1:37">
      <c r="A375" s="416">
        <v>6.01</v>
      </c>
      <c r="B375" s="91">
        <v>-20</v>
      </c>
      <c r="C375" s="91">
        <v>-29</v>
      </c>
      <c r="D375" s="91">
        <v>-4</v>
      </c>
      <c r="E375" s="91">
        <v>-8</v>
      </c>
      <c r="F375" s="6">
        <v>5.2</v>
      </c>
      <c r="G375" s="79">
        <v>5312</v>
      </c>
      <c r="H375" s="8" t="s">
        <v>311</v>
      </c>
      <c r="I375" s="16" t="s">
        <v>4130</v>
      </c>
      <c r="J375" s="73">
        <v>69.47</v>
      </c>
      <c r="K375" s="73">
        <v>19.64</v>
      </c>
      <c r="L375" s="73">
        <v>1</v>
      </c>
      <c r="N375" s="318">
        <f t="shared" si="82"/>
        <v>90.11</v>
      </c>
      <c r="O375" s="81">
        <f>IFERROR(VLOOKUP($G375,'321買'!A:E,3,0),"'沒有資料'")</f>
        <v>0</v>
      </c>
      <c r="P375" s="380">
        <f>IFERROR(VLOOKUP($G375,'321買'!$A:$G,7,0),"'沒有資料'")</f>
        <v>911</v>
      </c>
      <c r="R375" s="297">
        <f>IFERROR(RANK(VLOOKUP($G375,連買!$A:$D,4,0),連買!$D:$D,0),"'沒有資料'")</f>
        <v>586</v>
      </c>
      <c r="S375" s="34">
        <v>4</v>
      </c>
      <c r="T375" s="353">
        <f t="shared" si="76"/>
        <v>6.3291139240506319E-2</v>
      </c>
      <c r="U375" s="95">
        <v>5.13</v>
      </c>
      <c r="V375" s="13">
        <f>RTD("money.excel",,"5312","Price")</f>
        <v>63.2</v>
      </c>
      <c r="W375" s="66"/>
      <c r="X375" s="15">
        <f t="shared" si="77"/>
        <v>63.2</v>
      </c>
      <c r="Y375" s="3" t="e">
        <f t="shared" si="78"/>
        <v>#DIV/0!</v>
      </c>
      <c r="AA375" s="161">
        <v>0</v>
      </c>
      <c r="AB375" s="409">
        <v>0</v>
      </c>
      <c r="AC375" s="259">
        <f t="shared" si="75"/>
        <v>0</v>
      </c>
      <c r="AD375" s="16" t="s">
        <v>4130</v>
      </c>
      <c r="AG375" s="33">
        <f t="shared" si="79"/>
        <v>0</v>
      </c>
      <c r="AH375" s="43" t="s">
        <v>4131</v>
      </c>
      <c r="AI375" s="63">
        <f t="shared" si="80"/>
        <v>1.4975041597337771E-4</v>
      </c>
      <c r="AJ375" s="307">
        <f>RTD("money.excel",,$G375,"PredictVolume")</f>
        <v>9</v>
      </c>
      <c r="AK375" s="81"/>
    </row>
    <row r="376" spans="1:37">
      <c r="A376" s="416">
        <v>3.75</v>
      </c>
      <c r="B376" s="79">
        <v>323</v>
      </c>
      <c r="C376" s="79">
        <v>201</v>
      </c>
      <c r="D376" s="79">
        <v>74</v>
      </c>
      <c r="E376" s="80">
        <v>-27</v>
      </c>
      <c r="F376" s="6">
        <v>9.64</v>
      </c>
      <c r="G376" s="79">
        <v>6130</v>
      </c>
      <c r="H376" s="8" t="s">
        <v>311</v>
      </c>
      <c r="I376" s="16" t="s">
        <v>4132</v>
      </c>
      <c r="J376" s="323">
        <v>45.63</v>
      </c>
      <c r="K376" s="323">
        <v>0.26</v>
      </c>
      <c r="N376" s="318">
        <f t="shared" si="82"/>
        <v>45.89</v>
      </c>
      <c r="O376" s="81" t="str">
        <f>IFERROR(VLOOKUP($G376,'321買'!A:E,3,0),"'沒有資料'")</f>
        <v>'沒有資料'</v>
      </c>
      <c r="P376" s="380" t="str">
        <f>IFERROR(VLOOKUP($G376,'321買'!$A:$G,7,0),"'沒有資料'")</f>
        <v>'沒有資料'</v>
      </c>
      <c r="R376" s="297">
        <f>IFERROR(RANK(VLOOKUP($G376,連買!$A:$D,4,0),連買!$D:$D,0),"'沒有資料'")</f>
        <v>988</v>
      </c>
      <c r="S376" s="34">
        <v>0</v>
      </c>
      <c r="T376" s="353">
        <f t="shared" si="76"/>
        <v>0</v>
      </c>
      <c r="U376" s="95">
        <v>0.35</v>
      </c>
      <c r="V376" s="36">
        <f>RTD("money.excel",,"6130","Price")</f>
        <v>50</v>
      </c>
      <c r="W376" s="66"/>
      <c r="X376" s="15">
        <f t="shared" si="77"/>
        <v>50</v>
      </c>
      <c r="Y376" s="3" t="e">
        <f t="shared" si="78"/>
        <v>#DIV/0!</v>
      </c>
      <c r="AA376" s="161">
        <v>0</v>
      </c>
      <c r="AB376" s="409">
        <v>0</v>
      </c>
      <c r="AC376" s="259">
        <f t="shared" si="75"/>
        <v>0</v>
      </c>
      <c r="AD376" s="16" t="s">
        <v>4132</v>
      </c>
      <c r="AG376" s="33">
        <f t="shared" si="79"/>
        <v>0</v>
      </c>
      <c r="AH376" s="43" t="s">
        <v>3777</v>
      </c>
      <c r="AI376" s="63">
        <f t="shared" si="80"/>
        <v>1.5973333333333332E-2</v>
      </c>
      <c r="AJ376" s="307">
        <f>RTD("money.excel",,$G376,"PredictVolume")</f>
        <v>599</v>
      </c>
      <c r="AK376" s="339"/>
    </row>
    <row r="377" spans="1:37">
      <c r="A377" s="415">
        <v>2.2200000000000002</v>
      </c>
      <c r="B377" s="91">
        <v>-23</v>
      </c>
      <c r="C377" s="91">
        <v>-29</v>
      </c>
      <c r="D377" s="91">
        <v>-21</v>
      </c>
      <c r="E377" s="91">
        <v>58</v>
      </c>
      <c r="F377" s="57">
        <v>14.36</v>
      </c>
      <c r="G377" s="79">
        <v>6242</v>
      </c>
      <c r="H377" s="8" t="s">
        <v>311</v>
      </c>
      <c r="I377" s="16" t="s">
        <v>4133</v>
      </c>
      <c r="J377" s="323">
        <v>71.260000000000005</v>
      </c>
      <c r="K377" s="73">
        <v>0.02</v>
      </c>
      <c r="N377" s="318">
        <f t="shared" si="82"/>
        <v>71.28</v>
      </c>
      <c r="O377" s="81" t="str">
        <f>IFERROR(VLOOKUP($G377,'321買'!A:E,3,0),"'沒有資料'")</f>
        <v>'沒有資料'</v>
      </c>
      <c r="P377" s="380" t="str">
        <f>IFERROR(VLOOKUP($G377,'321買'!$A:$G,7,0),"'沒有資料'")</f>
        <v>'沒有資料'</v>
      </c>
      <c r="R377" s="297">
        <f>IFERROR(RANK(VLOOKUP($G377,連買!$A:$D,4,0),連買!$D:$D,0),"'沒有資料'")</f>
        <v>1561</v>
      </c>
      <c r="S377" s="34">
        <v>2.8</v>
      </c>
      <c r="T377" s="353">
        <f t="shared" si="76"/>
        <v>5.2830188679245278E-2</v>
      </c>
      <c r="U377" s="95">
        <v>3.12</v>
      </c>
      <c r="V377" s="13">
        <f>RTD("money.excel",,"6242","Price")</f>
        <v>53</v>
      </c>
      <c r="W377" s="66"/>
      <c r="X377" s="15">
        <f t="shared" si="77"/>
        <v>53</v>
      </c>
      <c r="Y377" s="3" t="e">
        <f t="shared" si="78"/>
        <v>#DIV/0!</v>
      </c>
      <c r="AA377" s="161">
        <v>0</v>
      </c>
      <c r="AB377" s="409">
        <v>0</v>
      </c>
      <c r="AC377" s="259">
        <f t="shared" si="75"/>
        <v>0</v>
      </c>
      <c r="AD377" s="16" t="s">
        <v>4133</v>
      </c>
      <c r="AG377" s="33">
        <f t="shared" si="79"/>
        <v>0</v>
      </c>
      <c r="AH377" s="43" t="s">
        <v>4134</v>
      </c>
      <c r="AI377" s="63">
        <f t="shared" si="80"/>
        <v>7.1171171171171155E-3</v>
      </c>
      <c r="AJ377" s="307">
        <f>RTD("money.excel",,$G377,"PredictVolume")</f>
        <v>158</v>
      </c>
      <c r="AK377" s="339"/>
    </row>
    <row r="378" spans="1:37">
      <c r="A378" s="416">
        <v>27.7</v>
      </c>
      <c r="B378" s="80">
        <v>-44</v>
      </c>
      <c r="C378" s="80">
        <v>-64</v>
      </c>
      <c r="D378" s="79">
        <v>140</v>
      </c>
      <c r="E378" s="79">
        <v>301</v>
      </c>
      <c r="F378" s="73">
        <v>-429.91</v>
      </c>
      <c r="G378" s="79">
        <v>6446</v>
      </c>
      <c r="H378" s="8" t="s">
        <v>311</v>
      </c>
      <c r="I378" s="16" t="s">
        <v>620</v>
      </c>
      <c r="J378" s="73">
        <v>56.38</v>
      </c>
      <c r="K378" s="73">
        <v>6.03</v>
      </c>
      <c r="M378" s="323">
        <v>17.739999999999998</v>
      </c>
      <c r="N378" s="318">
        <f t="shared" si="82"/>
        <v>80.150000000000006</v>
      </c>
      <c r="O378" s="81" t="str">
        <f>IFERROR(VLOOKUP($G378,'321買'!A:E,3,0),"'沒有資料'")</f>
        <v>'沒有資料'</v>
      </c>
      <c r="P378" s="380" t="str">
        <f>IFERROR(VLOOKUP($G378,'321買'!$A:$G,7,0),"'沒有資料'")</f>
        <v>'沒有資料'</v>
      </c>
      <c r="R378" s="297">
        <f>IFERROR(RANK(VLOOKUP($G378,連買!$A:$D,4,0),連買!$D:$D,0),"'沒有資料'")</f>
        <v>123</v>
      </c>
      <c r="S378" s="34">
        <v>0</v>
      </c>
      <c r="T378" s="353">
        <f t="shared" si="76"/>
        <v>0</v>
      </c>
      <c r="U378" s="151">
        <v>-10.79</v>
      </c>
      <c r="V378" s="36">
        <f>RTD("money.excel",,"6446","Price")</f>
        <v>312</v>
      </c>
      <c r="W378" s="66"/>
      <c r="X378" s="15">
        <f t="shared" si="77"/>
        <v>312</v>
      </c>
      <c r="Y378" s="3" t="e">
        <f t="shared" si="78"/>
        <v>#DIV/0!</v>
      </c>
      <c r="Z378" s="413">
        <v>-22.99</v>
      </c>
      <c r="AA378" s="161">
        <v>0</v>
      </c>
      <c r="AB378" s="409">
        <v>0</v>
      </c>
      <c r="AC378" s="259">
        <f t="shared" si="75"/>
        <v>0</v>
      </c>
      <c r="AD378" s="16" t="s">
        <v>620</v>
      </c>
      <c r="AG378" s="33">
        <f t="shared" si="79"/>
        <v>0</v>
      </c>
      <c r="AH378" s="43" t="s">
        <v>4135</v>
      </c>
      <c r="AI378" s="63">
        <f t="shared" si="80"/>
        <v>1.6064981949458484E-3</v>
      </c>
      <c r="AJ378" s="307">
        <f>RTD("money.excel",,$G378,"PredictVolume")</f>
        <v>445</v>
      </c>
      <c r="AK378" s="339">
        <v>3.11</v>
      </c>
    </row>
    <row r="379" spans="1:37">
      <c r="A379" s="416">
        <v>11.6</v>
      </c>
      <c r="B379" s="80">
        <v>-19</v>
      </c>
      <c r="C379" s="80">
        <v>-21</v>
      </c>
      <c r="D379" s="79">
        <v>1</v>
      </c>
      <c r="E379" s="79">
        <v>282</v>
      </c>
      <c r="F379" s="73">
        <v>-854.73</v>
      </c>
      <c r="G379" s="79">
        <v>6461</v>
      </c>
      <c r="H379" s="8" t="s">
        <v>311</v>
      </c>
      <c r="I379" s="16" t="s">
        <v>4136</v>
      </c>
      <c r="J379" s="323">
        <v>50.63</v>
      </c>
      <c r="K379" s="323">
        <v>0.75</v>
      </c>
      <c r="L379" s="73">
        <v>4.22</v>
      </c>
      <c r="M379" s="323">
        <v>48.82</v>
      </c>
      <c r="N379" s="318">
        <f>K379+J379+L379+M379</f>
        <v>104.42</v>
      </c>
      <c r="O379" s="81">
        <f>IFERROR(VLOOKUP($G379,'321買'!A:E,3,0),"'沒有資料'")</f>
        <v>0</v>
      </c>
      <c r="P379" s="380">
        <f>IFERROR(VLOOKUP($G379,'321買'!$A:$G,7,0),"'沒有資料'")</f>
        <v>911</v>
      </c>
      <c r="R379" s="297">
        <f>IFERROR(RANK(VLOOKUP($G379,連買!$A:$D,4,0),連買!$D:$D,0),"'沒有資料'")</f>
        <v>1152</v>
      </c>
      <c r="S379" s="34">
        <v>0</v>
      </c>
      <c r="T379" s="353">
        <f t="shared" si="76"/>
        <v>0</v>
      </c>
      <c r="U379" s="57">
        <v>-2.86</v>
      </c>
      <c r="V379" s="36">
        <f>RTD("money.excel",,"6461","Price")</f>
        <v>19.7</v>
      </c>
      <c r="W379" s="66"/>
      <c r="X379" s="15">
        <f t="shared" si="77"/>
        <v>19.7</v>
      </c>
      <c r="Y379" s="3" t="e">
        <f t="shared" si="78"/>
        <v>#DIV/0!</v>
      </c>
      <c r="AA379" s="161">
        <v>0</v>
      </c>
      <c r="AB379" s="409">
        <v>0</v>
      </c>
      <c r="AC379" s="259">
        <f t="shared" si="75"/>
        <v>0</v>
      </c>
      <c r="AD379" s="16" t="s">
        <v>4136</v>
      </c>
      <c r="AG379" s="33">
        <f t="shared" si="79"/>
        <v>0</v>
      </c>
      <c r="AH379" s="43" t="s">
        <v>2635</v>
      </c>
      <c r="AI379" s="63">
        <f t="shared" si="80"/>
        <v>2.0775862068965517E-3</v>
      </c>
      <c r="AJ379" s="307">
        <f>RTD("money.excel",,$G379,"PredictVolume")</f>
        <v>241</v>
      </c>
      <c r="AK379" s="339"/>
    </row>
    <row r="380" spans="1:37">
      <c r="A380" s="416">
        <v>7.85</v>
      </c>
      <c r="B380" s="79">
        <v>121</v>
      </c>
      <c r="C380" s="79">
        <v>126</v>
      </c>
      <c r="D380" s="80">
        <v>-6</v>
      </c>
      <c r="E380" s="79">
        <v>25</v>
      </c>
      <c r="F380" s="6">
        <v>4.25</v>
      </c>
      <c r="G380" s="79">
        <v>6469</v>
      </c>
      <c r="H380" s="8" t="s">
        <v>311</v>
      </c>
      <c r="I380" s="16" t="s">
        <v>4137</v>
      </c>
      <c r="J380" s="73">
        <v>41.23</v>
      </c>
      <c r="K380" s="73">
        <v>6.75</v>
      </c>
      <c r="L380" s="323">
        <v>6.91</v>
      </c>
      <c r="M380" s="323">
        <v>15.72</v>
      </c>
      <c r="N380" s="318">
        <f>J380+K380+L380+M380</f>
        <v>70.61</v>
      </c>
      <c r="O380" s="81">
        <f>IFERROR(VLOOKUP($G380,'321買'!A:E,3,0),"'沒有資料'")</f>
        <v>2</v>
      </c>
      <c r="P380" s="380">
        <f>IFERROR(VLOOKUP($G380,'321買'!$A:$G,7,0),"'沒有資料'")</f>
        <v>706</v>
      </c>
      <c r="Q380" s="245" t="s">
        <v>3815</v>
      </c>
      <c r="R380" s="297">
        <f>IFERROR(RANK(VLOOKUP($G380,連買!$A:$D,4,0),連買!$D:$D,0),"'沒有資料'")</f>
        <v>54</v>
      </c>
      <c r="S380" s="66">
        <v>3.96</v>
      </c>
      <c r="T380" s="353">
        <f t="shared" si="76"/>
        <v>1.4426229508196721E-2</v>
      </c>
      <c r="U380" s="95">
        <v>6.2</v>
      </c>
      <c r="V380" s="36">
        <f>RTD("money.excel",,"6469","Price")</f>
        <v>274.5</v>
      </c>
      <c r="W380" s="66"/>
      <c r="X380" s="15">
        <f t="shared" si="77"/>
        <v>274.5</v>
      </c>
      <c r="Y380" s="3" t="e">
        <f t="shared" si="78"/>
        <v>#DIV/0!</v>
      </c>
      <c r="Z380" s="413" t="s">
        <v>1997</v>
      </c>
      <c r="AA380" s="161">
        <v>0</v>
      </c>
      <c r="AB380" s="409">
        <v>0</v>
      </c>
      <c r="AC380" s="259">
        <f t="shared" si="75"/>
        <v>0</v>
      </c>
      <c r="AD380" s="16" t="s">
        <v>4137</v>
      </c>
      <c r="AG380" s="33">
        <f t="shared" si="79"/>
        <v>0</v>
      </c>
      <c r="AH380" s="43" t="s">
        <v>4138</v>
      </c>
      <c r="AI380" s="63">
        <f t="shared" si="80"/>
        <v>2.3694267515923565E-3</v>
      </c>
      <c r="AJ380" s="307">
        <f>RTD("money.excel",,$G380,"PredictVolume")</f>
        <v>186</v>
      </c>
      <c r="AK380" s="339"/>
    </row>
    <row r="381" spans="1:37">
      <c r="A381" s="415">
        <v>6.85</v>
      </c>
      <c r="B381" s="79">
        <v>437</v>
      </c>
      <c r="C381" s="79">
        <v>524</v>
      </c>
      <c r="D381" s="79">
        <v>19</v>
      </c>
      <c r="E381" s="79">
        <v>206</v>
      </c>
      <c r="F381" s="57">
        <v>25.1</v>
      </c>
      <c r="G381" s="79">
        <v>6472</v>
      </c>
      <c r="H381" s="8" t="s">
        <v>311</v>
      </c>
      <c r="I381" s="16" t="s">
        <v>4139</v>
      </c>
      <c r="J381" s="323">
        <v>45.08</v>
      </c>
      <c r="K381" s="323">
        <v>8.89</v>
      </c>
      <c r="L381" s="73">
        <v>10.47</v>
      </c>
      <c r="N381" s="318">
        <f t="shared" ref="N381:N413" si="83">J381+K381+L381+M381</f>
        <v>64.44</v>
      </c>
      <c r="O381" s="81">
        <f>IFERROR(VLOOKUP($G381,'321買'!A:E,3,0),"'沒有資料'")</f>
        <v>7</v>
      </c>
      <c r="P381" s="380">
        <f>IFERROR(VLOOKUP($G381,'321買'!$A:$G,7,0),"'沒有資料'")</f>
        <v>499</v>
      </c>
      <c r="R381" s="297">
        <f>IFERROR(RANK(VLOOKUP($G381,連買!$A:$D,4,0),連買!$D:$D,0),"'沒有資料'")</f>
        <v>48</v>
      </c>
      <c r="S381" s="66">
        <v>4.47</v>
      </c>
      <c r="T381" s="353">
        <f t="shared" si="76"/>
        <v>2.5913043478260869E-2</v>
      </c>
      <c r="U381" s="95">
        <v>18.91</v>
      </c>
      <c r="V381" s="36">
        <f>RTD("money.excel",,"6472","Price")</f>
        <v>172.5</v>
      </c>
      <c r="W381" s="66"/>
      <c r="X381" s="15">
        <f t="shared" si="77"/>
        <v>172.5</v>
      </c>
      <c r="Y381" s="3" t="e">
        <f t="shared" si="78"/>
        <v>#DIV/0!</v>
      </c>
      <c r="Z381" s="413" t="s">
        <v>1997</v>
      </c>
      <c r="AA381" s="161">
        <v>0</v>
      </c>
      <c r="AB381" s="409">
        <v>0</v>
      </c>
      <c r="AC381" s="259">
        <f t="shared" si="75"/>
        <v>0</v>
      </c>
      <c r="AD381" s="16" t="s">
        <v>4139</v>
      </c>
      <c r="AG381" s="33">
        <f t="shared" si="79"/>
        <v>0</v>
      </c>
      <c r="AH381" s="43" t="s">
        <v>3983</v>
      </c>
      <c r="AI381" s="63">
        <f t="shared" si="80"/>
        <v>1.1386861313868613E-3</v>
      </c>
      <c r="AJ381" s="307">
        <f>RTD("money.excel",,$G381,"PredictVolume")</f>
        <v>78</v>
      </c>
      <c r="AK381" s="339"/>
    </row>
    <row r="382" spans="1:37">
      <c r="A382" s="415">
        <v>7</v>
      </c>
      <c r="B382" s="79">
        <v>74</v>
      </c>
      <c r="C382" s="79">
        <v>70</v>
      </c>
      <c r="D382" s="79">
        <v>2</v>
      </c>
      <c r="E382" s="79">
        <v>58</v>
      </c>
      <c r="F382" s="57">
        <v>26.09</v>
      </c>
      <c r="G382" s="79">
        <v>6491</v>
      </c>
      <c r="H382" s="204" t="s">
        <v>311</v>
      </c>
      <c r="I382" s="22" t="s">
        <v>4140</v>
      </c>
      <c r="J382" s="323">
        <v>59.28</v>
      </c>
      <c r="K382" s="73">
        <v>18.78</v>
      </c>
      <c r="L382" s="323">
        <v>3.45</v>
      </c>
      <c r="M382" s="323">
        <v>43</v>
      </c>
      <c r="N382" s="318">
        <f t="shared" si="83"/>
        <v>124.51</v>
      </c>
      <c r="O382" s="81">
        <f>IFERROR(VLOOKUP($G382,'321買'!A:E,3,0),"'沒有資料'")</f>
        <v>28</v>
      </c>
      <c r="P382" s="380">
        <f>IFERROR(VLOOKUP($G382,'321買'!$A:$G,7,0),"'沒有資料'")</f>
        <v>196</v>
      </c>
      <c r="Q382" s="388" t="s">
        <v>3816</v>
      </c>
      <c r="R382" s="297">
        <f>IFERROR(RANK(VLOOKUP($G382,連買!$A:$D,4,0),連買!$D:$D,0),"'沒有資料'")</f>
        <v>16</v>
      </c>
      <c r="S382" s="45">
        <v>8.5</v>
      </c>
      <c r="T382" s="353">
        <f t="shared" si="76"/>
        <v>1.8805309734513276E-2</v>
      </c>
      <c r="U382" s="57">
        <v>17.84</v>
      </c>
      <c r="V382" s="36">
        <f>RTD("money.excel",,"6491","Price")</f>
        <v>452</v>
      </c>
      <c r="W382" s="66"/>
      <c r="X382" s="15">
        <f t="shared" si="77"/>
        <v>452</v>
      </c>
      <c r="Y382" s="3" t="e">
        <f t="shared" si="78"/>
        <v>#DIV/0!</v>
      </c>
      <c r="Z382" s="413">
        <v>-23.75</v>
      </c>
      <c r="AA382" s="161">
        <v>0</v>
      </c>
      <c r="AB382" s="409">
        <v>0</v>
      </c>
      <c r="AC382" s="259">
        <f t="shared" si="75"/>
        <v>0</v>
      </c>
      <c r="AD382" s="22" t="s">
        <v>4140</v>
      </c>
      <c r="AG382" s="33">
        <f t="shared" si="79"/>
        <v>0</v>
      </c>
      <c r="AH382" s="120" t="s">
        <v>4141</v>
      </c>
      <c r="AI382" s="63">
        <f t="shared" si="80"/>
        <v>3.9714285714285711E-3</v>
      </c>
      <c r="AJ382" s="307">
        <f>RTD("money.excel",,$G382,"PredictVolume")</f>
        <v>278</v>
      </c>
      <c r="AK382" s="339">
        <v>8.5299999999999994</v>
      </c>
    </row>
    <row r="383" spans="1:37">
      <c r="A383" s="416">
        <v>8.9700000000000006</v>
      </c>
      <c r="B383" s="79">
        <v>9</v>
      </c>
      <c r="C383" s="79">
        <v>8</v>
      </c>
      <c r="D383" s="79">
        <v>0</v>
      </c>
      <c r="E383" s="79">
        <v>0</v>
      </c>
      <c r="F383" s="233">
        <v>-58226</v>
      </c>
      <c r="G383" s="79">
        <v>6492</v>
      </c>
      <c r="H383" s="8" t="s">
        <v>311</v>
      </c>
      <c r="I383" s="16" t="s">
        <v>4142</v>
      </c>
      <c r="J383" s="323">
        <v>34.24</v>
      </c>
      <c r="K383" s="73">
        <v>13.06</v>
      </c>
      <c r="N383" s="318">
        <f t="shared" si="83"/>
        <v>47.300000000000004</v>
      </c>
      <c r="O383" s="81" t="str">
        <f>IFERROR(VLOOKUP($G383,'321買'!A:E,3,0),"'沒有資料'")</f>
        <v>'沒有資料'</v>
      </c>
      <c r="P383" s="380" t="str">
        <f>IFERROR(VLOOKUP($G383,'321買'!$A:$G,7,0),"'沒有資料'")</f>
        <v>'沒有資料'</v>
      </c>
      <c r="R383" s="297">
        <f>IFERROR(RANK(VLOOKUP($G383,連買!$A:$D,4,0),連買!$D:$D,0),"'沒有資料'")</f>
        <v>119</v>
      </c>
      <c r="S383" s="34">
        <v>0</v>
      </c>
      <c r="T383" s="353">
        <f t="shared" si="76"/>
        <v>0</v>
      </c>
      <c r="U383" s="95">
        <v>-4.6500000000000004</v>
      </c>
      <c r="V383" s="36">
        <f>RTD("money.excel",,"6492","Price")</f>
        <v>86.9</v>
      </c>
      <c r="W383" s="66"/>
      <c r="X383" s="15">
        <f t="shared" si="77"/>
        <v>86.9</v>
      </c>
      <c r="Y383" s="159" t="e">
        <f t="shared" si="78"/>
        <v>#DIV/0!</v>
      </c>
      <c r="Z383" s="413" t="s">
        <v>1801</v>
      </c>
      <c r="AA383" s="161">
        <v>0</v>
      </c>
      <c r="AB383" s="409">
        <v>0</v>
      </c>
      <c r="AC383" s="259">
        <f t="shared" si="75"/>
        <v>0</v>
      </c>
      <c r="AD383" s="16" t="s">
        <v>4142</v>
      </c>
      <c r="AG383" s="33">
        <f t="shared" si="79"/>
        <v>0</v>
      </c>
      <c r="AH383" s="43" t="s">
        <v>4143</v>
      </c>
      <c r="AI383" s="63">
        <f t="shared" si="80"/>
        <v>1.0981047937569677E-2</v>
      </c>
      <c r="AJ383" s="307">
        <f>RTD("money.excel",,$G383,"PredictVolume")</f>
        <v>985</v>
      </c>
      <c r="AK383" s="339"/>
    </row>
    <row r="384" spans="1:37">
      <c r="A384" s="416">
        <v>4.67</v>
      </c>
      <c r="B384" s="80">
        <v>-69</v>
      </c>
      <c r="C384" s="80">
        <v>-70</v>
      </c>
      <c r="D384" s="80">
        <v>1</v>
      </c>
      <c r="E384" s="80">
        <v>-11</v>
      </c>
      <c r="F384" s="6">
        <v>5.59</v>
      </c>
      <c r="G384" s="79">
        <v>6496</v>
      </c>
      <c r="H384" s="8" t="s">
        <v>311</v>
      </c>
      <c r="I384" s="16" t="s">
        <v>4144</v>
      </c>
      <c r="J384" s="323">
        <v>64.61</v>
      </c>
      <c r="K384" s="323">
        <v>5.26</v>
      </c>
      <c r="L384" s="323">
        <v>3.56</v>
      </c>
      <c r="N384" s="318">
        <f t="shared" si="83"/>
        <v>73.430000000000007</v>
      </c>
      <c r="O384" s="81" t="str">
        <f>IFERROR(VLOOKUP($G384,'321買'!A:E,3,0),"'沒有資料'")</f>
        <v>'沒有資料'</v>
      </c>
      <c r="P384" s="380" t="str">
        <f>IFERROR(VLOOKUP($G384,'321買'!$A:$G,7,0),"'沒有資料'")</f>
        <v>'沒有資料'</v>
      </c>
      <c r="R384" s="297">
        <f>IFERROR(RANK(VLOOKUP($G384,連買!$A:$D,4,0),連買!$D:$D,0),"'沒有資料'")</f>
        <v>1105</v>
      </c>
      <c r="S384" s="34">
        <v>1</v>
      </c>
      <c r="T384" s="353">
        <f t="shared" ref="T384:T413" si="84">S384/V384</f>
        <v>3.5778175313059032E-2</v>
      </c>
      <c r="U384" s="57">
        <v>0.76</v>
      </c>
      <c r="V384" s="36">
        <f>RTD("money.excel",,"6496","Price")</f>
        <v>27.95</v>
      </c>
      <c r="W384" s="66"/>
      <c r="X384" s="15">
        <f t="shared" si="77"/>
        <v>27.95</v>
      </c>
      <c r="Y384" s="3" t="e">
        <f t="shared" si="78"/>
        <v>#DIV/0!</v>
      </c>
      <c r="AA384" s="161">
        <v>0</v>
      </c>
      <c r="AB384" s="409">
        <v>0</v>
      </c>
      <c r="AC384" s="259">
        <f t="shared" si="75"/>
        <v>0</v>
      </c>
      <c r="AD384" s="16" t="s">
        <v>4144</v>
      </c>
      <c r="AG384" s="33">
        <f t="shared" si="79"/>
        <v>0</v>
      </c>
      <c r="AH384" s="43" t="s">
        <v>4145</v>
      </c>
      <c r="AI384" s="63">
        <f t="shared" ref="AI384:AI413" si="85">AJ384/(A384*10000)</f>
        <v>2.7837259100642396E-4</v>
      </c>
      <c r="AJ384" s="307">
        <f>RTD("money.excel",,$G384,"PredictVolume")</f>
        <v>13</v>
      </c>
    </row>
    <row r="385" spans="1:37">
      <c r="A385" s="416">
        <v>6.66</v>
      </c>
      <c r="B385" s="79">
        <v>14</v>
      </c>
      <c r="C385" s="79">
        <v>35</v>
      </c>
      <c r="D385" s="79">
        <v>23</v>
      </c>
      <c r="E385" s="79">
        <v>38</v>
      </c>
      <c r="F385" s="6">
        <v>-29.78</v>
      </c>
      <c r="G385" s="79">
        <v>6499</v>
      </c>
      <c r="H385" s="8" t="s">
        <v>311</v>
      </c>
      <c r="I385" s="16" t="s">
        <v>4146</v>
      </c>
      <c r="J385" s="73">
        <v>64.33</v>
      </c>
      <c r="K385" s="73">
        <v>12.62</v>
      </c>
      <c r="N385" s="318">
        <f t="shared" si="83"/>
        <v>76.95</v>
      </c>
      <c r="O385" s="81">
        <f>IFERROR(VLOOKUP($G385,'321買'!A:E,3,0),"'沒有資料'")</f>
        <v>0</v>
      </c>
      <c r="P385" s="380">
        <f>IFERROR(VLOOKUP($G385,'321買'!$A:$G,7,0),"'沒有資料'")</f>
        <v>911</v>
      </c>
      <c r="R385" s="297">
        <f>IFERROR(RANK(VLOOKUP($G385,連買!$A:$D,4,0),連買!$D:$D,0),"'沒有資料'")</f>
        <v>257</v>
      </c>
      <c r="S385" s="34">
        <v>0</v>
      </c>
      <c r="T385" s="353">
        <f t="shared" si="84"/>
        <v>0</v>
      </c>
      <c r="U385" s="95">
        <v>-2.91</v>
      </c>
      <c r="V385" s="36">
        <f>RTD("money.excel",,"6499","Price")</f>
        <v>78.2</v>
      </c>
      <c r="W385" s="66"/>
      <c r="X385" s="15">
        <f t="shared" si="77"/>
        <v>78.2</v>
      </c>
      <c r="Y385" s="3" t="e">
        <f t="shared" si="78"/>
        <v>#DIV/0!</v>
      </c>
      <c r="Z385" s="413" t="s">
        <v>1801</v>
      </c>
      <c r="AA385" s="161">
        <v>0</v>
      </c>
      <c r="AB385" s="409">
        <v>0</v>
      </c>
      <c r="AC385" s="259">
        <f t="shared" si="75"/>
        <v>0</v>
      </c>
      <c r="AD385" s="16" t="s">
        <v>4146</v>
      </c>
      <c r="AG385" s="33">
        <f t="shared" si="79"/>
        <v>0</v>
      </c>
      <c r="AH385" s="43" t="s">
        <v>4147</v>
      </c>
      <c r="AI385" s="63">
        <f t="shared" si="85"/>
        <v>6.0810810810810814E-3</v>
      </c>
      <c r="AJ385" s="307">
        <f>RTD("money.excel",,$G385,"PredictVolume")</f>
        <v>405</v>
      </c>
      <c r="AK385" s="339"/>
    </row>
    <row r="386" spans="1:37">
      <c r="A386" s="415">
        <v>4.5</v>
      </c>
      <c r="B386" s="79">
        <v>60</v>
      </c>
      <c r="C386" s="79">
        <v>61</v>
      </c>
      <c r="D386" s="80">
        <v>-4</v>
      </c>
      <c r="E386" s="79">
        <v>36</v>
      </c>
      <c r="F386" s="57">
        <v>35.53</v>
      </c>
      <c r="G386" s="79">
        <v>6523</v>
      </c>
      <c r="H386" s="8" t="s">
        <v>311</v>
      </c>
      <c r="I386" s="16" t="s">
        <v>4148</v>
      </c>
      <c r="J386" s="73">
        <v>64.75</v>
      </c>
      <c r="K386" s="323">
        <v>5.47</v>
      </c>
      <c r="L386" s="73">
        <v>14.23</v>
      </c>
      <c r="M386" s="323">
        <v>33.82</v>
      </c>
      <c r="N386" s="318">
        <f t="shared" si="83"/>
        <v>118.27000000000001</v>
      </c>
      <c r="O386" s="81">
        <f>IFERROR(VLOOKUP($G386,'321買'!A:E,3,0),"'沒有資料'")</f>
        <v>7</v>
      </c>
      <c r="P386" s="380">
        <f>IFERROR(VLOOKUP($G386,'321買'!$A:$G,7,0),"'沒有資料'")</f>
        <v>499</v>
      </c>
      <c r="Q386" s="245" t="s">
        <v>3815</v>
      </c>
      <c r="R386" s="297">
        <f>IFERROR(RANK(VLOOKUP($G386,連買!$A:$D,4,0),連買!$D:$D,0),"'沒有資料'")</f>
        <v>1187</v>
      </c>
      <c r="S386" s="66">
        <v>5.22</v>
      </c>
      <c r="T386" s="353">
        <f t="shared" si="84"/>
        <v>5.8324022346368715E-2</v>
      </c>
      <c r="U386" s="57">
        <v>16.46</v>
      </c>
      <c r="V386" s="36">
        <f>RTD("money.excel",,"6523","Price")</f>
        <v>89.5</v>
      </c>
      <c r="W386" s="66"/>
      <c r="X386" s="15">
        <f t="shared" si="77"/>
        <v>89.5</v>
      </c>
      <c r="Y386" s="3" t="e">
        <f t="shared" si="78"/>
        <v>#DIV/0!</v>
      </c>
      <c r="Z386" s="413" t="s">
        <v>1997</v>
      </c>
      <c r="AA386" s="161">
        <v>0</v>
      </c>
      <c r="AB386" s="409">
        <v>0</v>
      </c>
      <c r="AC386" s="259">
        <f t="shared" si="75"/>
        <v>0</v>
      </c>
      <c r="AD386" s="16" t="s">
        <v>4148</v>
      </c>
      <c r="AG386" s="33">
        <f t="shared" si="79"/>
        <v>0</v>
      </c>
      <c r="AH386" s="43" t="s">
        <v>2636</v>
      </c>
      <c r="AI386" s="63">
        <f t="shared" si="85"/>
        <v>2.8222222222222221E-3</v>
      </c>
      <c r="AJ386" s="307">
        <f>RTD("money.excel",,$G386,"PredictVolume")</f>
        <v>127</v>
      </c>
      <c r="AK386" s="339"/>
    </row>
    <row r="387" spans="1:37">
      <c r="A387" s="415">
        <v>2.4300000000000002</v>
      </c>
      <c r="B387" s="91">
        <v>54</v>
      </c>
      <c r="C387" s="91">
        <v>60</v>
      </c>
      <c r="D387" s="91">
        <v>6</v>
      </c>
      <c r="E387" s="91">
        <v>-15</v>
      </c>
      <c r="F387" s="57">
        <v>17.52</v>
      </c>
      <c r="G387" s="79">
        <v>6527</v>
      </c>
      <c r="H387" s="8" t="s">
        <v>311</v>
      </c>
      <c r="I387" s="16" t="s">
        <v>4149</v>
      </c>
      <c r="J387" s="73">
        <v>44.13</v>
      </c>
      <c r="K387" s="73">
        <v>1.26</v>
      </c>
      <c r="N387" s="318">
        <f t="shared" si="83"/>
        <v>45.39</v>
      </c>
      <c r="O387" s="81" t="str">
        <f>IFERROR(VLOOKUP($G387,'321買'!A:E,3,0),"'沒有資料'")</f>
        <v>'沒有資料'</v>
      </c>
      <c r="P387" s="380" t="str">
        <f>IFERROR(VLOOKUP($G387,'321買'!$A:$G,7,0),"'沒有資料'")</f>
        <v>'沒有資料'</v>
      </c>
      <c r="R387" s="297">
        <f>IFERROR(RANK(VLOOKUP($G387,連買!$A:$D,4,0),連買!$D:$D,0),"'沒有資料'")</f>
        <v>1479</v>
      </c>
      <c r="S387" s="34">
        <v>1.4</v>
      </c>
      <c r="T387" s="353">
        <f t="shared" si="84"/>
        <v>2.9818956336528219E-2</v>
      </c>
      <c r="U387" s="95">
        <v>2.34</v>
      </c>
      <c r="V387" s="13">
        <f>RTD("money.excel",,"6527","Price")</f>
        <v>46.95</v>
      </c>
      <c r="W387" s="66"/>
      <c r="X387" s="15">
        <f t="shared" si="77"/>
        <v>46.95</v>
      </c>
      <c r="Y387" s="3" t="e">
        <f t="shared" si="78"/>
        <v>#DIV/0!</v>
      </c>
      <c r="AA387" s="161">
        <v>0</v>
      </c>
      <c r="AB387" s="409">
        <v>0</v>
      </c>
      <c r="AC387" s="259">
        <f t="shared" si="75"/>
        <v>0</v>
      </c>
      <c r="AD387" s="16" t="s">
        <v>4149</v>
      </c>
      <c r="AG387" s="33">
        <f t="shared" si="79"/>
        <v>0</v>
      </c>
      <c r="AH387" s="43" t="s">
        <v>4150</v>
      </c>
      <c r="AI387" s="63">
        <f t="shared" si="85"/>
        <v>2.4691358024691359E-4</v>
      </c>
      <c r="AJ387" s="307">
        <f>RTD("money.excel",,$G387,"PredictVolume")</f>
        <v>6</v>
      </c>
      <c r="AK387" s="339"/>
    </row>
    <row r="388" spans="1:37">
      <c r="A388" s="416">
        <v>16.3</v>
      </c>
      <c r="B388" s="79">
        <v>278</v>
      </c>
      <c r="C388" s="80">
        <v>-4</v>
      </c>
      <c r="D388" s="80">
        <v>-20</v>
      </c>
      <c r="E388" s="93">
        <v>3800</v>
      </c>
      <c r="F388" s="47">
        <v>-3843</v>
      </c>
      <c r="G388" s="79">
        <v>6535</v>
      </c>
      <c r="H388" s="8" t="s">
        <v>311</v>
      </c>
      <c r="I388" s="16" t="s">
        <v>625</v>
      </c>
      <c r="J388" s="323">
        <v>52.41</v>
      </c>
      <c r="K388" s="323">
        <v>0.97</v>
      </c>
      <c r="L388" s="323"/>
      <c r="M388" s="323">
        <v>36.14</v>
      </c>
      <c r="N388" s="318">
        <f>K388+J388+L388+M388</f>
        <v>89.52</v>
      </c>
      <c r="O388" s="81" t="str">
        <f>IFERROR(VLOOKUP($G388,'321買'!A:E,3,0),"'沒有資料'")</f>
        <v>'沒有資料'</v>
      </c>
      <c r="P388" s="380" t="str">
        <f>IFERROR(VLOOKUP($G388,'321買'!$A:$G,7,0),"'沒有資料'")</f>
        <v>'沒有資料'</v>
      </c>
      <c r="R388" s="297">
        <f>IFERROR(RANK(VLOOKUP($G388,連買!$A:$D,4,0),連買!$D:$D,0),"'沒有資料'")</f>
        <v>720</v>
      </c>
      <c r="S388" s="34">
        <v>0</v>
      </c>
      <c r="T388" s="353">
        <f t="shared" si="84"/>
        <v>0</v>
      </c>
      <c r="U388" s="57">
        <v>2.38</v>
      </c>
      <c r="V388" s="36">
        <f>RTD("money.excel",,"6535","Price")</f>
        <v>34.9</v>
      </c>
      <c r="W388" s="66"/>
      <c r="X388" s="15">
        <f t="shared" si="77"/>
        <v>34.9</v>
      </c>
      <c r="Y388" s="3" t="e">
        <f t="shared" si="78"/>
        <v>#DIV/0!</v>
      </c>
      <c r="Z388" s="413" t="s">
        <v>4152</v>
      </c>
      <c r="AA388" s="161">
        <v>0</v>
      </c>
      <c r="AB388" s="409">
        <v>0</v>
      </c>
      <c r="AC388" s="259">
        <f t="shared" si="75"/>
        <v>0</v>
      </c>
      <c r="AD388" s="16" t="s">
        <v>4151</v>
      </c>
      <c r="AG388" s="33">
        <f t="shared" si="79"/>
        <v>0</v>
      </c>
      <c r="AH388" s="43" t="s">
        <v>2316</v>
      </c>
      <c r="AI388" s="63">
        <f t="shared" si="85"/>
        <v>8.7607361963190182E-3</v>
      </c>
      <c r="AJ388" s="307">
        <f>RTD("money.excel",,$G388,"PredictVolume")</f>
        <v>1428</v>
      </c>
      <c r="AK388" s="339"/>
    </row>
    <row r="389" spans="1:37">
      <c r="A389" s="416">
        <v>35.200000000000003</v>
      </c>
      <c r="B389" s="79">
        <v>32</v>
      </c>
      <c r="C389" s="79">
        <v>26</v>
      </c>
      <c r="D389" s="80">
        <v>-100</v>
      </c>
      <c r="E389" s="79"/>
      <c r="F389" s="233"/>
      <c r="G389" s="79">
        <v>6541</v>
      </c>
      <c r="H389" s="8" t="s">
        <v>311</v>
      </c>
      <c r="I389" s="22" t="s">
        <v>4153</v>
      </c>
      <c r="J389" s="323">
        <v>67.81</v>
      </c>
      <c r="K389" s="323">
        <v>32.590000000000003</v>
      </c>
      <c r="L389" s="323">
        <v>0</v>
      </c>
      <c r="N389" s="318">
        <f t="shared" si="83"/>
        <v>100.4</v>
      </c>
      <c r="O389" s="81">
        <f>IFERROR(VLOOKUP($G389,'321買'!A:E,3,0),"'沒有資料'")</f>
        <v>0</v>
      </c>
      <c r="P389" s="380">
        <f>IFERROR(VLOOKUP($G389,'321買'!$A:$G,7,0),"'沒有資料'")</f>
        <v>911</v>
      </c>
      <c r="R389" s="297">
        <f>IFERROR(RANK(VLOOKUP($G389,連買!$A:$D,4,0),連買!$D:$D,0),"'沒有資料'")</f>
        <v>437</v>
      </c>
      <c r="S389" s="34">
        <v>0</v>
      </c>
      <c r="T389" s="353">
        <f t="shared" si="84"/>
        <v>0</v>
      </c>
      <c r="U389" s="57">
        <v>-5.95</v>
      </c>
      <c r="V389" s="36">
        <f>RTD("money.excel",,"6541","Price")</f>
        <v>59.6</v>
      </c>
      <c r="W389" s="66"/>
      <c r="X389" s="15">
        <f t="shared" si="77"/>
        <v>59.6</v>
      </c>
      <c r="Y389" s="3" t="e">
        <f t="shared" si="78"/>
        <v>#DIV/0!</v>
      </c>
      <c r="Z389" s="413" t="s">
        <v>1801</v>
      </c>
      <c r="AA389" s="161">
        <v>0</v>
      </c>
      <c r="AB389" s="409">
        <v>0</v>
      </c>
      <c r="AC389" s="259">
        <f t="shared" ref="AC389:AC452" si="86">AA389-AB389</f>
        <v>0</v>
      </c>
      <c r="AD389" s="22" t="s">
        <v>4153</v>
      </c>
      <c r="AG389" s="33">
        <f t="shared" si="79"/>
        <v>0</v>
      </c>
      <c r="AH389" s="43" t="s">
        <v>2285</v>
      </c>
      <c r="AI389" s="63">
        <f t="shared" si="85"/>
        <v>3.6846590909090909E-3</v>
      </c>
      <c r="AJ389" s="307">
        <f>RTD("money.excel",,$G389,"PredictVolume")</f>
        <v>1297</v>
      </c>
      <c r="AK389" s="339"/>
    </row>
    <row r="390" spans="1:37">
      <c r="A390" s="416">
        <v>21.1</v>
      </c>
      <c r="B390" s="80">
        <v>-19</v>
      </c>
      <c r="C390" s="80">
        <v>-122</v>
      </c>
      <c r="D390" s="80"/>
      <c r="E390" s="80">
        <v>-100</v>
      </c>
      <c r="F390" s="47">
        <v>-9009</v>
      </c>
      <c r="G390" s="79">
        <v>6547</v>
      </c>
      <c r="H390" s="8" t="s">
        <v>311</v>
      </c>
      <c r="I390" s="16" t="s">
        <v>4154</v>
      </c>
      <c r="J390" s="323">
        <v>31.51</v>
      </c>
      <c r="K390" s="73">
        <v>6.76</v>
      </c>
      <c r="N390" s="318">
        <f t="shared" si="83"/>
        <v>38.270000000000003</v>
      </c>
      <c r="O390" s="81" t="str">
        <f>IFERROR(VLOOKUP($G390,'321買'!A:E,3,0),"'沒有資料'")</f>
        <v>'沒有資料'</v>
      </c>
      <c r="P390" s="380" t="str">
        <f>IFERROR(VLOOKUP($G390,'321買'!$A:$G,7,0),"'沒有資料'")</f>
        <v>'沒有資料'</v>
      </c>
      <c r="R390" s="297">
        <f>IFERROR(RANK(VLOOKUP($G390,連買!$A:$D,4,0),連買!$D:$D,0),"'沒有資料'")</f>
        <v>27</v>
      </c>
      <c r="S390" s="34">
        <v>0</v>
      </c>
      <c r="T390" s="353">
        <f t="shared" si="84"/>
        <v>0</v>
      </c>
      <c r="U390" s="95">
        <v>-3.63</v>
      </c>
      <c r="V390" s="36">
        <f>RTD("money.excel",,"6547","Price")</f>
        <v>264.5</v>
      </c>
      <c r="W390" s="66"/>
      <c r="X390" s="15">
        <f t="shared" si="77"/>
        <v>264.5</v>
      </c>
      <c r="Y390" s="3" t="e">
        <f t="shared" si="78"/>
        <v>#DIV/0!</v>
      </c>
      <c r="Z390" s="413" t="s">
        <v>1801</v>
      </c>
      <c r="AA390" s="161">
        <v>0</v>
      </c>
      <c r="AB390" s="409">
        <v>0</v>
      </c>
      <c r="AC390" s="259">
        <f t="shared" si="86"/>
        <v>0</v>
      </c>
      <c r="AD390" s="16" t="s">
        <v>4154</v>
      </c>
      <c r="AG390" s="33">
        <f t="shared" si="79"/>
        <v>0</v>
      </c>
      <c r="AH390" s="43" t="s">
        <v>4155</v>
      </c>
      <c r="AI390" s="63">
        <f t="shared" si="85"/>
        <v>1.1639810426540284E-2</v>
      </c>
      <c r="AJ390" s="307">
        <f>RTD("money.excel",,$G390,"PredictVolume")</f>
        <v>2456</v>
      </c>
      <c r="AK390" s="339"/>
    </row>
    <row r="391" spans="1:37">
      <c r="A391" s="416">
        <v>3.33</v>
      </c>
      <c r="B391" s="80">
        <v>-23</v>
      </c>
      <c r="C391" s="80">
        <v>-53</v>
      </c>
      <c r="D391" s="80">
        <v>-1</v>
      </c>
      <c r="E391" s="79">
        <v>115</v>
      </c>
      <c r="F391" s="6">
        <v>6.2</v>
      </c>
      <c r="G391" s="79">
        <v>6569</v>
      </c>
      <c r="H391" s="8" t="s">
        <v>311</v>
      </c>
      <c r="I391" s="16" t="s">
        <v>4156</v>
      </c>
      <c r="J391" s="323">
        <v>66.83</v>
      </c>
      <c r="K391" s="323">
        <v>2.63</v>
      </c>
      <c r="M391" s="323">
        <v>62.35</v>
      </c>
      <c r="N391" s="73">
        <f t="shared" si="83"/>
        <v>131.81</v>
      </c>
      <c r="O391" s="81" t="str">
        <f>IFERROR(VLOOKUP($G391,'321買'!A:E,3,0),"'沒有資料'")</f>
        <v>'沒有資料'</v>
      </c>
      <c r="P391" s="380" t="str">
        <f>IFERROR(VLOOKUP($G391,'321買'!$A:$G,7,0),"'沒有資料'")</f>
        <v>'沒有資料'</v>
      </c>
      <c r="R391" s="297">
        <f>IFERROR(RANK(VLOOKUP($G391,連買!$A:$D,4,0),連買!$D:$D,0),"'沒有資料'")</f>
        <v>1628</v>
      </c>
      <c r="S391" s="66"/>
      <c r="T391" s="353">
        <f t="shared" si="84"/>
        <v>0</v>
      </c>
      <c r="U391" s="57">
        <v>4.42</v>
      </c>
      <c r="V391" s="36">
        <f>RTD("money.excel",,"6569","Price")</f>
        <v>104</v>
      </c>
      <c r="W391" s="66"/>
      <c r="X391" s="15">
        <f t="shared" si="77"/>
        <v>104</v>
      </c>
      <c r="Y391" s="3" t="e">
        <f t="shared" si="78"/>
        <v>#DIV/0!</v>
      </c>
      <c r="Z391" s="413" t="s">
        <v>1997</v>
      </c>
      <c r="AA391" s="161">
        <v>0</v>
      </c>
      <c r="AB391" s="409">
        <v>0</v>
      </c>
      <c r="AC391" s="259">
        <f t="shared" si="86"/>
        <v>0</v>
      </c>
      <c r="AD391" s="16" t="s">
        <v>4156</v>
      </c>
      <c r="AG391" s="33">
        <f t="shared" si="79"/>
        <v>0</v>
      </c>
      <c r="AH391" s="43" t="s">
        <v>4157</v>
      </c>
      <c r="AI391" s="63">
        <f t="shared" si="85"/>
        <v>5.7057057057057056E-4</v>
      </c>
      <c r="AJ391" s="307">
        <f>RTD("money.excel",,$G391,"PredictVolume")</f>
        <v>19</v>
      </c>
      <c r="AK391" s="339">
        <v>1.31</v>
      </c>
    </row>
    <row r="392" spans="1:37">
      <c r="A392" s="416">
        <v>2.2000000000000002</v>
      </c>
      <c r="B392" s="91">
        <v>-39</v>
      </c>
      <c r="C392" s="91">
        <v>-39</v>
      </c>
      <c r="D392" s="91">
        <v>-2</v>
      </c>
      <c r="E392" s="91">
        <v>7</v>
      </c>
      <c r="F392" s="6">
        <v>7.88</v>
      </c>
      <c r="G392" s="79">
        <v>6574</v>
      </c>
      <c r="H392" s="8" t="s">
        <v>311</v>
      </c>
      <c r="I392" s="16" t="s">
        <v>626</v>
      </c>
      <c r="J392" s="73">
        <v>83.46</v>
      </c>
      <c r="K392" s="73">
        <v>0</v>
      </c>
      <c r="N392" s="318">
        <f t="shared" si="83"/>
        <v>83.46</v>
      </c>
      <c r="O392" s="81" t="str">
        <f>IFERROR(VLOOKUP($G392,'321買'!A:E,3,0),"'沒有資料'")</f>
        <v>'沒有資料'</v>
      </c>
      <c r="P392" s="380" t="str">
        <f>IFERROR(VLOOKUP($G392,'321買'!$A:$G,7,0),"'沒有資料'")</f>
        <v>'沒有資料'</v>
      </c>
      <c r="R392" s="297">
        <f>IFERROR(RANK(VLOOKUP($G392,連買!$A:$D,4,0),連買!$D:$D,0),"'沒有資料'")</f>
        <v>1408</v>
      </c>
      <c r="S392" s="34">
        <v>1.38</v>
      </c>
      <c r="T392" s="353">
        <f t="shared" si="84"/>
        <v>2.810590631364562E-2</v>
      </c>
      <c r="U392" s="57">
        <v>1.91</v>
      </c>
      <c r="V392" s="36">
        <f>RTD("money.excel",,"6574","Price")</f>
        <v>49.1</v>
      </c>
      <c r="W392" s="66"/>
      <c r="X392" s="15">
        <f t="shared" si="77"/>
        <v>49.1</v>
      </c>
      <c r="Y392" s="3" t="e">
        <f t="shared" si="78"/>
        <v>#DIV/0!</v>
      </c>
      <c r="AA392" s="161">
        <v>0</v>
      </c>
      <c r="AB392" s="409">
        <v>0</v>
      </c>
      <c r="AC392" s="259">
        <f t="shared" si="86"/>
        <v>0</v>
      </c>
      <c r="AD392" s="16" t="s">
        <v>626</v>
      </c>
      <c r="AG392" s="33">
        <f t="shared" si="79"/>
        <v>0</v>
      </c>
      <c r="AH392" s="43" t="s">
        <v>4158</v>
      </c>
      <c r="AI392" s="63">
        <f t="shared" si="85"/>
        <v>1.3636363636363637E-4</v>
      </c>
      <c r="AJ392" s="307">
        <f>RTD("money.excel",,$G392,"PredictVolume")</f>
        <v>3</v>
      </c>
      <c r="AK392" s="339"/>
    </row>
    <row r="393" spans="1:37">
      <c r="A393" s="416">
        <v>11.7</v>
      </c>
      <c r="B393" s="80">
        <v>-4</v>
      </c>
      <c r="C393" s="80">
        <v>-3</v>
      </c>
      <c r="D393" s="234">
        <v>50117</v>
      </c>
      <c r="E393" s="79">
        <v>169</v>
      </c>
      <c r="F393" s="73">
        <v>-210.38</v>
      </c>
      <c r="G393" s="79">
        <v>6576</v>
      </c>
      <c r="H393" s="8" t="s">
        <v>311</v>
      </c>
      <c r="I393" s="16" t="s">
        <v>4159</v>
      </c>
      <c r="J393" s="73">
        <v>35.49</v>
      </c>
      <c r="K393" s="73">
        <v>32.5</v>
      </c>
      <c r="N393" s="318">
        <f t="shared" si="83"/>
        <v>67.990000000000009</v>
      </c>
      <c r="O393" s="81" t="str">
        <f>IFERROR(VLOOKUP($G393,'321買'!A:E,3,0),"'沒有資料'")</f>
        <v>'沒有資料'</v>
      </c>
      <c r="P393" s="380" t="str">
        <f>IFERROR(VLOOKUP($G393,'321買'!$A:$G,7,0),"'沒有資料'")</f>
        <v>'沒有資料'</v>
      </c>
      <c r="R393" s="297">
        <f>IFERROR(RANK(VLOOKUP($G393,連買!$A:$D,4,0),連買!$D:$D,0),"'沒有資料'")</f>
        <v>158</v>
      </c>
      <c r="S393" s="34">
        <v>0</v>
      </c>
      <c r="T393" s="353">
        <f t="shared" si="84"/>
        <v>0</v>
      </c>
      <c r="U393" s="95">
        <v>-5.0599999999999996</v>
      </c>
      <c r="V393" s="36">
        <f>RTD("money.excel",,"6576","Price")</f>
        <v>114.5</v>
      </c>
      <c r="W393" s="66"/>
      <c r="X393" s="15">
        <f t="shared" si="77"/>
        <v>114.5</v>
      </c>
      <c r="Y393" s="3" t="e">
        <f t="shared" si="78"/>
        <v>#DIV/0!</v>
      </c>
      <c r="Z393" s="413" t="s">
        <v>1801</v>
      </c>
      <c r="AA393" s="161">
        <v>0</v>
      </c>
      <c r="AB393" s="409">
        <v>0</v>
      </c>
      <c r="AC393" s="259">
        <f t="shared" si="86"/>
        <v>0</v>
      </c>
      <c r="AD393" s="16" t="s">
        <v>4159</v>
      </c>
      <c r="AG393" s="33">
        <f t="shared" si="79"/>
        <v>0</v>
      </c>
      <c r="AH393" s="43" t="s">
        <v>4085</v>
      </c>
      <c r="AI393" s="63">
        <f t="shared" si="85"/>
        <v>3.4957264957264957E-3</v>
      </c>
      <c r="AJ393" s="307">
        <f>RTD("money.excel",,$G393,"PredictVolume")</f>
        <v>409</v>
      </c>
      <c r="AK393" s="339"/>
    </row>
    <row r="394" spans="1:37">
      <c r="A394" s="416">
        <v>24.3</v>
      </c>
      <c r="B394" s="79">
        <v>33</v>
      </c>
      <c r="C394" s="79">
        <v>33</v>
      </c>
      <c r="D394" s="79">
        <v>39</v>
      </c>
      <c r="E394" s="79">
        <v>29</v>
      </c>
      <c r="F394" s="6">
        <v>-92.62</v>
      </c>
      <c r="G394" s="79">
        <v>6589</v>
      </c>
      <c r="H394" s="8" t="s">
        <v>311</v>
      </c>
      <c r="I394" s="16" t="s">
        <v>4160</v>
      </c>
      <c r="J394" s="323">
        <v>41.3</v>
      </c>
      <c r="K394" s="323">
        <v>3.26</v>
      </c>
      <c r="L394" s="323"/>
      <c r="N394" s="318">
        <f t="shared" si="83"/>
        <v>44.559999999999995</v>
      </c>
      <c r="O394" s="81" t="str">
        <f>IFERROR(VLOOKUP($G394,'321買'!A:E,3,0),"'沒有資料'")</f>
        <v>'沒有資料'</v>
      </c>
      <c r="P394" s="380" t="str">
        <f>IFERROR(VLOOKUP($G394,'321買'!$A:$G,7,0),"'沒有資料'")</f>
        <v>'沒有資料'</v>
      </c>
      <c r="R394" s="297">
        <f>IFERROR(RANK(VLOOKUP($G394,連買!$A:$D,4,0),連買!$D:$D,0),"'沒有資料'")</f>
        <v>151</v>
      </c>
      <c r="S394" s="34">
        <v>0</v>
      </c>
      <c r="T394" s="353">
        <f t="shared" si="84"/>
        <v>0</v>
      </c>
      <c r="U394" s="95">
        <v>-4.66</v>
      </c>
      <c r="V394" s="36">
        <f>RTD("money.excel",,"6589","Price")</f>
        <v>96</v>
      </c>
      <c r="W394" s="66"/>
      <c r="X394" s="15">
        <f t="shared" si="77"/>
        <v>96</v>
      </c>
      <c r="Y394" s="3" t="e">
        <f t="shared" si="78"/>
        <v>#DIV/0!</v>
      </c>
      <c r="Z394" s="413" t="s">
        <v>1801</v>
      </c>
      <c r="AA394" s="161">
        <v>0</v>
      </c>
      <c r="AB394" s="409">
        <v>0</v>
      </c>
      <c r="AC394" s="259">
        <f t="shared" si="86"/>
        <v>0</v>
      </c>
      <c r="AD394" s="16" t="s">
        <v>4160</v>
      </c>
      <c r="AG394" s="33">
        <f t="shared" si="79"/>
        <v>0</v>
      </c>
      <c r="AH394" s="43" t="s">
        <v>2637</v>
      </c>
      <c r="AI394" s="63">
        <f t="shared" si="85"/>
        <v>4.8559670781893006E-3</v>
      </c>
      <c r="AJ394" s="307">
        <f>RTD("money.excel",,$G394,"PredictVolume")</f>
        <v>1180</v>
      </c>
      <c r="AK394" s="339"/>
    </row>
    <row r="395" spans="1:37">
      <c r="A395" s="416">
        <v>8.16</v>
      </c>
      <c r="B395" s="79">
        <v>32</v>
      </c>
      <c r="C395" s="79">
        <v>32</v>
      </c>
      <c r="D395" s="80">
        <v>-25</v>
      </c>
      <c r="E395" s="79">
        <v>154</v>
      </c>
      <c r="F395" s="57">
        <v>-91.85</v>
      </c>
      <c r="G395" s="79">
        <v>6598</v>
      </c>
      <c r="H395" s="8" t="s">
        <v>311</v>
      </c>
      <c r="I395" s="22" t="s">
        <v>4161</v>
      </c>
      <c r="J395" s="323">
        <v>53.42</v>
      </c>
      <c r="K395" s="323">
        <v>41.26</v>
      </c>
      <c r="L395" s="323"/>
      <c r="N395" s="318">
        <f t="shared" si="83"/>
        <v>94.68</v>
      </c>
      <c r="O395" s="81">
        <f>IFERROR(VLOOKUP($G395,'321買'!A:E,3,0),"'沒有資料'")</f>
        <v>0</v>
      </c>
      <c r="P395" s="380">
        <f>IFERROR(VLOOKUP($G395,'321買'!$A:$G,7,0),"'沒有資料'")</f>
        <v>911</v>
      </c>
      <c r="R395" s="297">
        <f>IFERROR(RANK(VLOOKUP($G395,連買!$A:$D,4,0),連買!$D:$D,0),"'沒有資料'")</f>
        <v>806</v>
      </c>
      <c r="S395" s="34">
        <v>0</v>
      </c>
      <c r="T395" s="353">
        <f t="shared" si="84"/>
        <v>0</v>
      </c>
      <c r="U395" s="95">
        <v>-1.35</v>
      </c>
      <c r="V395" s="13">
        <f>RTD("money.excel",,"6598","Price")</f>
        <v>50.2</v>
      </c>
      <c r="W395" s="66"/>
      <c r="X395" s="15">
        <f t="shared" si="77"/>
        <v>50.2</v>
      </c>
      <c r="Y395" s="3" t="e">
        <f t="shared" si="78"/>
        <v>#DIV/0!</v>
      </c>
      <c r="Z395" s="413" t="s">
        <v>1801</v>
      </c>
      <c r="AA395" s="161">
        <v>0</v>
      </c>
      <c r="AB395" s="409">
        <v>0</v>
      </c>
      <c r="AC395" s="259">
        <f t="shared" si="86"/>
        <v>0</v>
      </c>
      <c r="AD395" s="22" t="s">
        <v>4161</v>
      </c>
      <c r="AG395" s="33">
        <f t="shared" si="79"/>
        <v>0</v>
      </c>
      <c r="AH395" s="43" t="s">
        <v>2036</v>
      </c>
      <c r="AI395" s="63">
        <f t="shared" si="85"/>
        <v>0.11761029411764706</v>
      </c>
      <c r="AJ395" s="307">
        <f>RTD("money.excel",,$G395,"PredictVolume")</f>
        <v>9597</v>
      </c>
      <c r="AK395" s="339"/>
    </row>
    <row r="396" spans="1:37">
      <c r="A396" s="415">
        <v>3.4</v>
      </c>
      <c r="B396" s="91">
        <v>-22</v>
      </c>
      <c r="C396" s="91">
        <v>-13</v>
      </c>
      <c r="D396" s="91">
        <v>33</v>
      </c>
      <c r="E396" s="91">
        <v>-25</v>
      </c>
      <c r="F396" s="57">
        <v>31.52</v>
      </c>
      <c r="G396" s="79">
        <v>6612</v>
      </c>
      <c r="H396" s="8" t="s">
        <v>311</v>
      </c>
      <c r="I396" s="16" t="s">
        <v>4162</v>
      </c>
      <c r="J396" s="323">
        <v>67.239999999999995</v>
      </c>
      <c r="K396" s="323">
        <v>31.32</v>
      </c>
      <c r="N396" s="318">
        <f t="shared" si="83"/>
        <v>98.56</v>
      </c>
      <c r="O396" s="81">
        <f>IFERROR(VLOOKUP($G396,'321買'!A:E,3,0),"'沒有資料'")</f>
        <v>2</v>
      </c>
      <c r="P396" s="380">
        <f>IFERROR(VLOOKUP($G396,'321買'!$A:$G,7,0),"'沒有資料'")</f>
        <v>706</v>
      </c>
      <c r="R396" s="297">
        <f>IFERROR(RANK(VLOOKUP($G396,連買!$A:$D,4,0),連買!$D:$D,0),"'沒有資料'")</f>
        <v>509</v>
      </c>
      <c r="S396" s="34">
        <v>0.1</v>
      </c>
      <c r="T396" s="353">
        <f t="shared" si="84"/>
        <v>1.0822510822510823E-3</v>
      </c>
      <c r="U396" s="95">
        <v>1.55</v>
      </c>
      <c r="V396" s="13">
        <f>RTD("money.excel",,"6612","Price")</f>
        <v>92.4</v>
      </c>
      <c r="W396" s="66"/>
      <c r="X396" s="15">
        <f t="shared" si="77"/>
        <v>92.4</v>
      </c>
      <c r="Y396" s="3" t="e">
        <f t="shared" si="78"/>
        <v>#DIV/0!</v>
      </c>
      <c r="AA396" s="161">
        <v>0</v>
      </c>
      <c r="AB396" s="409">
        <v>0</v>
      </c>
      <c r="AC396" s="259">
        <f t="shared" si="86"/>
        <v>0</v>
      </c>
      <c r="AD396" s="16" t="s">
        <v>4162</v>
      </c>
      <c r="AG396" s="33">
        <f t="shared" si="79"/>
        <v>0</v>
      </c>
      <c r="AH396" s="43" t="s">
        <v>4163</v>
      </c>
      <c r="AI396" s="63">
        <f t="shared" si="85"/>
        <v>2.138235294117647E-2</v>
      </c>
      <c r="AJ396" s="307">
        <f>RTD("money.excel",,$G396,"PredictVolume")</f>
        <v>727</v>
      </c>
      <c r="AK396" s="339"/>
    </row>
    <row r="397" spans="1:37">
      <c r="A397" s="416">
        <v>2.13</v>
      </c>
      <c r="B397" s="91">
        <v>-51</v>
      </c>
      <c r="C397" s="91">
        <v>-69</v>
      </c>
      <c r="D397" s="91">
        <v>2</v>
      </c>
      <c r="E397" s="91">
        <v>15</v>
      </c>
      <c r="F397" s="6">
        <v>4.43</v>
      </c>
      <c r="G397" s="79">
        <v>6615</v>
      </c>
      <c r="H397" s="8" t="s">
        <v>311</v>
      </c>
      <c r="I397" s="16" t="s">
        <v>4164</v>
      </c>
      <c r="J397" s="73">
        <v>60.04</v>
      </c>
      <c r="K397" s="73">
        <v>0</v>
      </c>
      <c r="N397" s="318">
        <f t="shared" si="83"/>
        <v>60.04</v>
      </c>
      <c r="O397" s="81" t="str">
        <f>IFERROR(VLOOKUP($G397,'321買'!A:E,3,0),"'沒有資料'")</f>
        <v>'沒有資料'</v>
      </c>
      <c r="P397" s="380" t="str">
        <f>IFERROR(VLOOKUP($G397,'321買'!$A:$G,7,0),"'沒有資料'")</f>
        <v>'沒有資料'</v>
      </c>
      <c r="R397" s="297">
        <f>IFERROR(RANK(VLOOKUP($G397,連買!$A:$D,4,0),連買!$D:$D,0),"'沒有資料'")</f>
        <v>1295</v>
      </c>
      <c r="S397" s="34">
        <v>1.4</v>
      </c>
      <c r="T397" s="353">
        <f t="shared" si="84"/>
        <v>2.9723991507430995E-2</v>
      </c>
      <c r="U397" s="95">
        <v>1.63</v>
      </c>
      <c r="V397" s="13">
        <f>RTD("money.excel",,"6615","Price")</f>
        <v>47.1</v>
      </c>
      <c r="W397" s="66"/>
      <c r="X397" s="15">
        <f t="shared" si="77"/>
        <v>47.1</v>
      </c>
      <c r="Y397" s="3" t="e">
        <f t="shared" si="78"/>
        <v>#DIV/0!</v>
      </c>
      <c r="AA397" s="161">
        <v>0</v>
      </c>
      <c r="AB397" s="409">
        <v>0</v>
      </c>
      <c r="AC397" s="259">
        <f t="shared" si="86"/>
        <v>0</v>
      </c>
      <c r="AD397" s="16" t="s">
        <v>4164</v>
      </c>
      <c r="AG397" s="33">
        <f t="shared" si="79"/>
        <v>0</v>
      </c>
      <c r="AH397" s="43" t="s">
        <v>4165</v>
      </c>
      <c r="AI397" s="63">
        <f t="shared" si="85"/>
        <v>2.3474178403755868E-4</v>
      </c>
      <c r="AJ397" s="307">
        <f>RTD("money.excel",,$G397,"PredictVolume")</f>
        <v>5</v>
      </c>
      <c r="AK397" s="339"/>
    </row>
    <row r="398" spans="1:37">
      <c r="A398" s="416">
        <v>4.2</v>
      </c>
      <c r="B398" s="79">
        <v>40</v>
      </c>
      <c r="C398" s="79">
        <v>26</v>
      </c>
      <c r="D398" s="79">
        <v>451</v>
      </c>
      <c r="E398" s="93">
        <v>1331</v>
      </c>
      <c r="F398" s="151">
        <v>-118.69</v>
      </c>
      <c r="G398" s="79">
        <v>6649</v>
      </c>
      <c r="H398" s="8" t="s">
        <v>311</v>
      </c>
      <c r="I398" s="16" t="s">
        <v>4166</v>
      </c>
      <c r="J398" s="323">
        <v>45.02</v>
      </c>
      <c r="K398" s="323">
        <v>2.91</v>
      </c>
      <c r="L398" s="323"/>
      <c r="M398" s="323">
        <v>31.43</v>
      </c>
      <c r="N398" s="318">
        <f t="shared" si="83"/>
        <v>79.360000000000014</v>
      </c>
      <c r="O398" s="81" t="str">
        <f>IFERROR(VLOOKUP($G398,'321買'!A:E,3,0),"'沒有資料'")</f>
        <v>'沒有資料'</v>
      </c>
      <c r="P398" s="380" t="str">
        <f>IFERROR(VLOOKUP($G398,'321買'!$A:$G,7,0),"'沒有資料'")</f>
        <v>'沒有資料'</v>
      </c>
      <c r="R398" s="297">
        <f>IFERROR(RANK(VLOOKUP($G398,連買!$A:$D,4,0),連買!$D:$D,0),"'沒有資料'")</f>
        <v>1558</v>
      </c>
      <c r="S398" s="34">
        <v>0</v>
      </c>
      <c r="T398" s="353">
        <f t="shared" si="84"/>
        <v>0</v>
      </c>
      <c r="U398" s="95">
        <v>-1.03</v>
      </c>
      <c r="V398" s="36">
        <f>RTD("money.excel",,"6649","Price")</f>
        <v>23.35</v>
      </c>
      <c r="W398" s="66"/>
      <c r="X398" s="15">
        <f t="shared" si="77"/>
        <v>23.35</v>
      </c>
      <c r="Y398" s="3" t="e">
        <f t="shared" si="78"/>
        <v>#DIV/0!</v>
      </c>
      <c r="AA398" s="161">
        <v>0</v>
      </c>
      <c r="AB398" s="409">
        <v>0</v>
      </c>
      <c r="AC398" s="259">
        <f t="shared" si="86"/>
        <v>0</v>
      </c>
      <c r="AD398" s="16" t="s">
        <v>4166</v>
      </c>
      <c r="AG398" s="33">
        <f t="shared" si="79"/>
        <v>0</v>
      </c>
      <c r="AH398" s="43" t="s">
        <v>4167</v>
      </c>
      <c r="AI398" s="63">
        <f t="shared" si="85"/>
        <v>1.1190476190476191E-3</v>
      </c>
      <c r="AJ398" s="307">
        <f>RTD("money.excel",,$G398,"PredictVolume")</f>
        <v>47</v>
      </c>
      <c r="AK398" s="339">
        <v>0.69</v>
      </c>
    </row>
    <row r="399" spans="1:37">
      <c r="A399" s="416">
        <v>2.33</v>
      </c>
      <c r="B399" s="80">
        <v>-99</v>
      </c>
      <c r="C399" s="80">
        <v>-87</v>
      </c>
      <c r="D399" s="79">
        <v>38</v>
      </c>
      <c r="E399" s="79">
        <v>2</v>
      </c>
      <c r="F399" s="6">
        <v>1.58</v>
      </c>
      <c r="G399" s="79">
        <v>6661</v>
      </c>
      <c r="H399" s="8" t="s">
        <v>311</v>
      </c>
      <c r="I399" s="16" t="s">
        <v>4168</v>
      </c>
      <c r="J399" s="73">
        <v>53.85</v>
      </c>
      <c r="K399" s="323">
        <v>0</v>
      </c>
      <c r="L399" s="323"/>
      <c r="M399" s="323">
        <v>33.35</v>
      </c>
      <c r="N399" s="318">
        <f t="shared" si="83"/>
        <v>87.2</v>
      </c>
      <c r="O399" s="81" t="str">
        <f>IFERROR(VLOOKUP($G399,'321買'!A:E,3,0),"'沒有資料'")</f>
        <v>'沒有資料'</v>
      </c>
      <c r="P399" s="380" t="str">
        <f>IFERROR(VLOOKUP($G399,'321買'!$A:$G,7,0),"'沒有資料'")</f>
        <v>'沒有資料'</v>
      </c>
      <c r="R399" s="297">
        <f>IFERROR(RANK(VLOOKUP($G399,連買!$A:$D,4,0),連買!$D:$D,0),"'沒有資料'")</f>
        <v>1448</v>
      </c>
      <c r="S399" s="34">
        <v>1.1000000000000001</v>
      </c>
      <c r="T399" s="353">
        <f t="shared" si="84"/>
        <v>4.8351648351648353E-2</v>
      </c>
      <c r="U399" s="57">
        <v>0.42</v>
      </c>
      <c r="V399" s="36">
        <f>RTD("money.excel",,"6661","Price")</f>
        <v>22.75</v>
      </c>
      <c r="W399" s="66"/>
      <c r="X399" s="15">
        <f t="shared" si="77"/>
        <v>22.75</v>
      </c>
      <c r="Y399" s="3" t="e">
        <f t="shared" si="78"/>
        <v>#DIV/0!</v>
      </c>
      <c r="AA399" s="161">
        <v>0</v>
      </c>
      <c r="AB399" s="409">
        <v>0</v>
      </c>
      <c r="AC399" s="259">
        <f t="shared" si="86"/>
        <v>0</v>
      </c>
      <c r="AD399" s="16" t="s">
        <v>4168</v>
      </c>
      <c r="AG399" s="33">
        <f t="shared" si="79"/>
        <v>0</v>
      </c>
      <c r="AH399" s="43" t="s">
        <v>2472</v>
      </c>
      <c r="AI399" s="63">
        <f t="shared" si="85"/>
        <v>5.1502145922746785E-4</v>
      </c>
      <c r="AJ399" s="307">
        <f>RTD("money.excel",,$G399,"PredictVolume")</f>
        <v>12</v>
      </c>
      <c r="AK399" s="339"/>
    </row>
    <row r="400" spans="1:37">
      <c r="A400" s="415">
        <v>2.56</v>
      </c>
      <c r="B400" s="91">
        <v>-1</v>
      </c>
      <c r="C400" s="91">
        <v>-2</v>
      </c>
      <c r="D400" s="91">
        <v>-13</v>
      </c>
      <c r="E400" s="91">
        <v>-34</v>
      </c>
      <c r="F400" s="57">
        <v>20.329999999999998</v>
      </c>
      <c r="G400" s="79">
        <v>6662</v>
      </c>
      <c r="H400" s="8" t="s">
        <v>311</v>
      </c>
      <c r="I400" s="16" t="s">
        <v>4169</v>
      </c>
      <c r="J400" s="73">
        <v>51</v>
      </c>
      <c r="K400" s="73">
        <v>0.01</v>
      </c>
      <c r="N400" s="318">
        <f t="shared" si="83"/>
        <v>51.01</v>
      </c>
      <c r="O400" s="81" t="str">
        <f>IFERROR(VLOOKUP($G400,'321買'!A:E,3,0),"'沒有資料'")</f>
        <v>'沒有資料'</v>
      </c>
      <c r="P400" s="380" t="str">
        <f>IFERROR(VLOOKUP($G400,'321買'!$A:$G,7,0),"'沒有資料'")</f>
        <v>'沒有資料'</v>
      </c>
      <c r="R400" s="297">
        <f>IFERROR(RANK(VLOOKUP($G400,連買!$A:$D,4,0),連買!$D:$D,0),"'沒有資料'")</f>
        <v>1364</v>
      </c>
      <c r="S400" s="34">
        <v>2</v>
      </c>
      <c r="T400" s="353">
        <f t="shared" si="84"/>
        <v>4.2462845010615709E-2</v>
      </c>
      <c r="U400" s="95">
        <v>2.4500000000000002</v>
      </c>
      <c r="V400" s="13">
        <f>RTD("money.excel",,"6615","Price")</f>
        <v>47.1</v>
      </c>
      <c r="W400" s="66"/>
      <c r="X400" s="15">
        <f t="shared" si="77"/>
        <v>47.1</v>
      </c>
      <c r="Y400" s="3" t="e">
        <f t="shared" si="78"/>
        <v>#DIV/0!</v>
      </c>
      <c r="AA400" s="161">
        <v>0</v>
      </c>
      <c r="AB400" s="409">
        <v>0</v>
      </c>
      <c r="AC400" s="259">
        <f t="shared" si="86"/>
        <v>0</v>
      </c>
      <c r="AD400" s="16" t="s">
        <v>4169</v>
      </c>
      <c r="AG400" s="33">
        <f t="shared" si="79"/>
        <v>0</v>
      </c>
      <c r="AH400" s="43" t="s">
        <v>4170</v>
      </c>
      <c r="AI400" s="63">
        <f t="shared" si="85"/>
        <v>1.9531250000000001E-4</v>
      </c>
      <c r="AJ400" s="307">
        <f>RTD("money.excel",,$G400,"PredictVolume")</f>
        <v>5</v>
      </c>
      <c r="AK400" s="339"/>
    </row>
    <row r="401" spans="1:37">
      <c r="A401" s="415">
        <v>4.74</v>
      </c>
      <c r="B401" s="80">
        <v>-94</v>
      </c>
      <c r="C401" s="80">
        <v>-102</v>
      </c>
      <c r="D401" s="79">
        <v>14</v>
      </c>
      <c r="E401" s="80">
        <v>-24</v>
      </c>
      <c r="F401" s="57">
        <v>-3.29</v>
      </c>
      <c r="G401" s="79">
        <v>6666</v>
      </c>
      <c r="H401" s="8" t="s">
        <v>311</v>
      </c>
      <c r="I401" s="22" t="s">
        <v>4171</v>
      </c>
      <c r="J401" s="73">
        <v>82.1</v>
      </c>
      <c r="K401" s="323">
        <v>79.510000000000005</v>
      </c>
      <c r="L401" s="73">
        <v>4.22</v>
      </c>
      <c r="N401" s="318">
        <f t="shared" si="83"/>
        <v>165.83</v>
      </c>
      <c r="O401" s="81">
        <f>IFERROR(VLOOKUP($G401,'321買'!A:E,3,0),"'沒有資料'")</f>
        <v>0</v>
      </c>
      <c r="P401" s="380">
        <f>IFERROR(VLOOKUP($G401,'321買'!$A:$G,7,0),"'沒有資料'")</f>
        <v>911</v>
      </c>
      <c r="R401" s="297">
        <f>IFERROR(RANK(VLOOKUP($G401,連買!$A:$D,4,0),連買!$D:$D,0),"'沒有資料'")</f>
        <v>1715</v>
      </c>
      <c r="S401" s="34">
        <v>2</v>
      </c>
      <c r="T401" s="353">
        <f t="shared" si="84"/>
        <v>3.350083752093802E-2</v>
      </c>
      <c r="U401" s="95">
        <v>2.2000000000000002</v>
      </c>
      <c r="V401" s="13">
        <f>RTD("money.excel",,"6666","Price")</f>
        <v>59.7</v>
      </c>
      <c r="W401" s="66"/>
      <c r="X401" s="15">
        <f t="shared" si="77"/>
        <v>59.7</v>
      </c>
      <c r="Y401" s="3" t="e">
        <f t="shared" si="78"/>
        <v>#DIV/0!</v>
      </c>
      <c r="Z401" s="413" t="s">
        <v>1801</v>
      </c>
      <c r="AA401" s="161">
        <v>0</v>
      </c>
      <c r="AB401" s="409">
        <v>0</v>
      </c>
      <c r="AC401" s="259">
        <f t="shared" si="86"/>
        <v>0</v>
      </c>
      <c r="AD401" s="22" t="s">
        <v>4171</v>
      </c>
      <c r="AG401" s="33">
        <f t="shared" si="79"/>
        <v>0</v>
      </c>
      <c r="AH401" s="43" t="s">
        <v>4172</v>
      </c>
      <c r="AI401" s="63">
        <f t="shared" si="85"/>
        <v>1.4767932489451475E-4</v>
      </c>
      <c r="AJ401" s="307">
        <f>RTD("money.excel",,$G401,"PredictVolume")</f>
        <v>7</v>
      </c>
      <c r="AK401" s="339"/>
    </row>
    <row r="402" spans="1:37">
      <c r="A402" s="415">
        <v>2.08</v>
      </c>
      <c r="B402" s="80">
        <v>-13</v>
      </c>
      <c r="C402" s="80">
        <v>-9</v>
      </c>
      <c r="D402" s="80">
        <v>-7</v>
      </c>
      <c r="E402" s="80">
        <v>-18</v>
      </c>
      <c r="F402" s="57">
        <v>13</v>
      </c>
      <c r="G402" s="79">
        <v>6703</v>
      </c>
      <c r="H402" s="8" t="s">
        <v>311</v>
      </c>
      <c r="I402" s="16" t="s">
        <v>4173</v>
      </c>
      <c r="J402" s="323">
        <v>32.75</v>
      </c>
      <c r="K402" s="323">
        <v>11.7</v>
      </c>
      <c r="N402" s="318">
        <f t="shared" si="83"/>
        <v>44.45</v>
      </c>
      <c r="O402" s="81" t="str">
        <f>IFERROR(VLOOKUP($G402,'321買'!A:E,3,0),"'沒有資料'")</f>
        <v>'沒有資料'</v>
      </c>
      <c r="P402" s="380" t="str">
        <f>IFERROR(VLOOKUP($G402,'321買'!$A:$G,7,0),"'沒有資料'")</f>
        <v>'沒有資料'</v>
      </c>
      <c r="R402" s="297">
        <f>IFERROR(RANK(VLOOKUP($G402,連買!$A:$D,4,0),連買!$D:$D,0),"'沒有資料'")</f>
        <v>1674</v>
      </c>
      <c r="S402" s="66">
        <v>7.25</v>
      </c>
      <c r="T402" s="353">
        <f t="shared" si="84"/>
        <v>6.9711538461538464E-2</v>
      </c>
      <c r="U402" s="95">
        <v>5.73</v>
      </c>
      <c r="V402" s="36">
        <f>RTD("money.excel",,"6703","Price")</f>
        <v>104</v>
      </c>
      <c r="W402" s="66"/>
      <c r="X402" s="15">
        <f t="shared" si="77"/>
        <v>104</v>
      </c>
      <c r="Y402" s="3" t="e">
        <f t="shared" si="78"/>
        <v>#DIV/0!</v>
      </c>
      <c r="Z402" s="413" t="s">
        <v>1831</v>
      </c>
      <c r="AA402" s="161">
        <v>0</v>
      </c>
      <c r="AB402" s="409">
        <v>0</v>
      </c>
      <c r="AC402" s="259">
        <f t="shared" si="86"/>
        <v>0</v>
      </c>
      <c r="AD402" s="16" t="s">
        <v>4173</v>
      </c>
      <c r="AG402" s="33">
        <f t="shared" si="79"/>
        <v>0</v>
      </c>
      <c r="AH402" s="43" t="s">
        <v>2182</v>
      </c>
      <c r="AI402" s="63">
        <f t="shared" si="85"/>
        <v>5.4807692307692309E-3</v>
      </c>
      <c r="AJ402" s="307">
        <f>RTD("money.excel",,$G402,"PredictVolume")</f>
        <v>114</v>
      </c>
      <c r="AK402" s="339"/>
    </row>
    <row r="403" spans="1:37">
      <c r="A403" s="416">
        <v>6.16</v>
      </c>
      <c r="B403" s="80">
        <v>-42</v>
      </c>
      <c r="C403" s="80">
        <v>-42</v>
      </c>
      <c r="D403" s="79">
        <v>150</v>
      </c>
      <c r="E403" s="79">
        <v>188</v>
      </c>
      <c r="F403" s="73">
        <v>-278.64</v>
      </c>
      <c r="G403" s="79">
        <v>6712</v>
      </c>
      <c r="H403" s="8" t="s">
        <v>311</v>
      </c>
      <c r="I403" s="16" t="s">
        <v>4174</v>
      </c>
      <c r="J403" s="323">
        <v>53.02</v>
      </c>
      <c r="K403" s="323">
        <v>1.97</v>
      </c>
      <c r="L403" s="323"/>
      <c r="N403" s="318">
        <f t="shared" si="83"/>
        <v>54.99</v>
      </c>
      <c r="O403" s="81" t="str">
        <f>IFERROR(VLOOKUP($G403,'321買'!A:E,3,0),"'沒有資料'")</f>
        <v>'沒有資料'</v>
      </c>
      <c r="P403" s="380" t="str">
        <f>IFERROR(VLOOKUP($G403,'321買'!$A:$G,7,0),"'沒有資料'")</f>
        <v>'沒有資料'</v>
      </c>
      <c r="R403" s="297">
        <f>IFERROR(RANK(VLOOKUP($G403,連買!$A:$D,4,0),連買!$D:$D,0),"'沒有資料'")</f>
        <v>1752</v>
      </c>
      <c r="S403" s="34">
        <v>0</v>
      </c>
      <c r="T403" s="353">
        <f t="shared" si="84"/>
        <v>0</v>
      </c>
      <c r="U403" s="95"/>
      <c r="V403" s="36">
        <f>RTD("money.excel",,"6712","Price")</f>
        <v>220</v>
      </c>
      <c r="W403" s="66"/>
      <c r="X403" s="15">
        <f t="shared" si="77"/>
        <v>220</v>
      </c>
      <c r="Y403" s="3" t="e">
        <f t="shared" si="78"/>
        <v>#DIV/0!</v>
      </c>
      <c r="Z403" s="413" t="s">
        <v>1801</v>
      </c>
      <c r="AA403" s="161">
        <v>0</v>
      </c>
      <c r="AB403" s="409">
        <v>0</v>
      </c>
      <c r="AC403" s="259">
        <f t="shared" si="86"/>
        <v>0</v>
      </c>
      <c r="AD403" s="16" t="s">
        <v>4174</v>
      </c>
      <c r="AG403" s="33">
        <f t="shared" si="79"/>
        <v>0</v>
      </c>
      <c r="AH403" s="43" t="s">
        <v>2352</v>
      </c>
      <c r="AI403" s="63">
        <f t="shared" si="85"/>
        <v>2.5324675324675326E-2</v>
      </c>
      <c r="AJ403" s="307">
        <f>RTD("money.excel",,$G403,"PredictVolume")</f>
        <v>1560</v>
      </c>
      <c r="AK403" s="339"/>
    </row>
    <row r="404" spans="1:37">
      <c r="A404" s="416">
        <v>10.1</v>
      </c>
      <c r="B404" s="79">
        <v>10</v>
      </c>
      <c r="C404" s="79">
        <v>20</v>
      </c>
      <c r="D404" s="79">
        <v>46</v>
      </c>
      <c r="E404" s="79">
        <v>705</v>
      </c>
      <c r="F404" s="47">
        <v>-9591</v>
      </c>
      <c r="G404" s="79">
        <v>6733</v>
      </c>
      <c r="H404" s="8" t="s">
        <v>311</v>
      </c>
      <c r="I404" s="16" t="s">
        <v>4175</v>
      </c>
      <c r="J404" s="323">
        <v>53.39</v>
      </c>
      <c r="K404" s="73">
        <v>8.11</v>
      </c>
      <c r="N404" s="318">
        <f t="shared" si="83"/>
        <v>61.5</v>
      </c>
      <c r="O404" s="81" t="str">
        <f>IFERROR(VLOOKUP($G404,'321買'!A:E,3,0),"'沒有資料'")</f>
        <v>'沒有資料'</v>
      </c>
      <c r="P404" s="380" t="str">
        <f>IFERROR(VLOOKUP($G404,'321買'!$A:$G,7,0),"'沒有資料'")</f>
        <v>'沒有資料'</v>
      </c>
      <c r="R404" s="297">
        <f>IFERROR(RANK(VLOOKUP($G404,連買!$A:$D,4,0),連買!$D:$D,0),"'沒有資料'")</f>
        <v>976</v>
      </c>
      <c r="S404" s="34">
        <v>0</v>
      </c>
      <c r="T404" s="353">
        <f t="shared" si="84"/>
        <v>0</v>
      </c>
      <c r="U404" s="57" t="s">
        <v>4176</v>
      </c>
      <c r="V404" s="36">
        <f>RTD("money.excel",,"6733","Price")</f>
        <v>26.4</v>
      </c>
      <c r="W404" s="66"/>
      <c r="X404" s="15">
        <f t="shared" si="77"/>
        <v>26.4</v>
      </c>
      <c r="Y404" s="3" t="e">
        <f t="shared" si="78"/>
        <v>#DIV/0!</v>
      </c>
      <c r="Z404" s="413" t="s">
        <v>1801</v>
      </c>
      <c r="AA404" s="161">
        <v>0</v>
      </c>
      <c r="AB404" s="409">
        <v>0</v>
      </c>
      <c r="AC404" s="259">
        <f t="shared" si="86"/>
        <v>0</v>
      </c>
      <c r="AD404" s="16" t="s">
        <v>4175</v>
      </c>
      <c r="AG404" s="33">
        <f t="shared" si="79"/>
        <v>0</v>
      </c>
      <c r="AH404" s="43" t="s">
        <v>2477</v>
      </c>
      <c r="AI404" s="63">
        <f t="shared" si="85"/>
        <v>8.9009900990099002E-3</v>
      </c>
      <c r="AJ404" s="307">
        <f>RTD("money.excel",,$G404,"PredictVolume")</f>
        <v>899</v>
      </c>
      <c r="AK404" s="339"/>
    </row>
    <row r="405" spans="1:37">
      <c r="A405" s="415">
        <v>2.42</v>
      </c>
      <c r="B405" s="79">
        <v>5</v>
      </c>
      <c r="C405" s="79">
        <v>9</v>
      </c>
      <c r="D405" s="80">
        <v>-6</v>
      </c>
      <c r="E405" s="79">
        <v>24</v>
      </c>
      <c r="F405" s="57">
        <v>30.47</v>
      </c>
      <c r="G405" s="79">
        <v>6747</v>
      </c>
      <c r="H405" s="8" t="s">
        <v>311</v>
      </c>
      <c r="I405" s="16" t="s">
        <v>4177</v>
      </c>
      <c r="J405" s="323">
        <v>77.02</v>
      </c>
      <c r="K405" s="323">
        <v>1.48</v>
      </c>
      <c r="L405" s="323"/>
      <c r="N405" s="318">
        <f t="shared" si="83"/>
        <v>78.5</v>
      </c>
      <c r="O405" s="81" t="str">
        <f>IFERROR(VLOOKUP($G405,'321買'!A:E,3,0),"'沒有資料'")</f>
        <v>'沒有資料'</v>
      </c>
      <c r="P405" s="380" t="str">
        <f>IFERROR(VLOOKUP($G405,'321買'!$A:$G,7,0),"'沒有資料'")</f>
        <v>'沒有資料'</v>
      </c>
      <c r="R405" s="297">
        <f>IFERROR(RANK(VLOOKUP($G405,連買!$A:$D,4,0),連買!$D:$D,0),"'沒有資料'")</f>
        <v>1722</v>
      </c>
      <c r="S405" s="66">
        <v>5.37</v>
      </c>
      <c r="T405" s="353">
        <f t="shared" si="84"/>
        <v>2.2948717948717948E-2</v>
      </c>
      <c r="U405" s="95">
        <v>5.68</v>
      </c>
      <c r="V405" s="36">
        <f>RTD("money.excel",,"6747","Price")</f>
        <v>234</v>
      </c>
      <c r="W405" s="66"/>
      <c r="X405" s="15">
        <f t="shared" si="77"/>
        <v>234</v>
      </c>
      <c r="Y405" s="3" t="e">
        <f t="shared" si="78"/>
        <v>#DIV/0!</v>
      </c>
      <c r="Z405" s="413" t="s">
        <v>1831</v>
      </c>
      <c r="AA405" s="161">
        <v>0</v>
      </c>
      <c r="AB405" s="409">
        <v>0</v>
      </c>
      <c r="AC405" s="259">
        <f t="shared" si="86"/>
        <v>0</v>
      </c>
      <c r="AD405" s="16" t="s">
        <v>4177</v>
      </c>
      <c r="AG405" s="33">
        <f t="shared" si="79"/>
        <v>0</v>
      </c>
      <c r="AH405" s="43" t="s">
        <v>2464</v>
      </c>
      <c r="AI405" s="63">
        <f t="shared" si="85"/>
        <v>9.5041322314049588E-4</v>
      </c>
      <c r="AJ405" s="307">
        <f>RTD("money.excel",,$G405,"PredictVolume")</f>
        <v>23</v>
      </c>
      <c r="AK405" s="339"/>
    </row>
    <row r="406" spans="1:37">
      <c r="A406" s="415">
        <v>2.0699999999999998</v>
      </c>
      <c r="B406" s="80">
        <v>-6</v>
      </c>
      <c r="C406" s="80">
        <v>-1</v>
      </c>
      <c r="D406" s="79">
        <v>1</v>
      </c>
      <c r="E406" s="79">
        <v>8</v>
      </c>
      <c r="F406" s="57">
        <v>37.89</v>
      </c>
      <c r="G406" s="79">
        <v>6762</v>
      </c>
      <c r="H406" s="8" t="s">
        <v>311</v>
      </c>
      <c r="I406" s="16" t="s">
        <v>4178</v>
      </c>
      <c r="J406" s="323">
        <v>72.44</v>
      </c>
      <c r="K406" s="73">
        <v>1.51</v>
      </c>
      <c r="N406" s="318">
        <f t="shared" si="83"/>
        <v>73.95</v>
      </c>
      <c r="O406" s="81" t="str">
        <f>IFERROR(VLOOKUP($G406,'321買'!A:E,3,0),"'沒有資料'")</f>
        <v>'沒有資料'</v>
      </c>
      <c r="P406" s="380" t="str">
        <f>IFERROR(VLOOKUP($G406,'321買'!$A:$G,7,0),"'沒有資料'")</f>
        <v>'沒有資料'</v>
      </c>
      <c r="R406" s="297">
        <f>IFERROR(RANK(VLOOKUP($G406,連買!$A:$D,4,0),連買!$D:$D,0),"'沒有資料'")</f>
        <v>1573</v>
      </c>
      <c r="S406" s="66">
        <v>8.4</v>
      </c>
      <c r="T406" s="353">
        <f t="shared" si="84"/>
        <v>3.1698113207547174E-2</v>
      </c>
      <c r="U406" s="57">
        <v>10.23</v>
      </c>
      <c r="V406" s="36">
        <f>RTD("money.excel",,"6762","Price")</f>
        <v>265</v>
      </c>
      <c r="W406" s="66"/>
      <c r="X406" s="15">
        <f t="shared" si="77"/>
        <v>265</v>
      </c>
      <c r="Y406" s="3" t="e">
        <f t="shared" si="78"/>
        <v>#DIV/0!</v>
      </c>
      <c r="Z406" s="413" t="s">
        <v>1997</v>
      </c>
      <c r="AA406" s="161">
        <v>0</v>
      </c>
      <c r="AB406" s="409">
        <v>0</v>
      </c>
      <c r="AC406" s="259">
        <f t="shared" si="86"/>
        <v>0</v>
      </c>
      <c r="AD406" s="16" t="s">
        <v>4178</v>
      </c>
      <c r="AG406" s="33">
        <f t="shared" si="79"/>
        <v>0</v>
      </c>
      <c r="AH406" s="43" t="s">
        <v>2281</v>
      </c>
      <c r="AI406" s="63">
        <f t="shared" si="85"/>
        <v>1.4492753623188405E-4</v>
      </c>
      <c r="AJ406" s="307">
        <f>RTD("money.excel",,$G406,"PredictVolume")</f>
        <v>3</v>
      </c>
      <c r="AK406" s="339"/>
    </row>
    <row r="407" spans="1:37">
      <c r="A407" s="416">
        <v>2.91</v>
      </c>
      <c r="B407" s="80">
        <v>-59</v>
      </c>
      <c r="C407" s="80">
        <v>-1</v>
      </c>
      <c r="D407" s="79">
        <v>28</v>
      </c>
      <c r="E407" s="80">
        <v>-18</v>
      </c>
      <c r="F407" s="6">
        <v>-47.36</v>
      </c>
      <c r="G407" s="79">
        <v>6767</v>
      </c>
      <c r="H407" s="8" t="s">
        <v>311</v>
      </c>
      <c r="I407" s="16" t="s">
        <v>4179</v>
      </c>
      <c r="J407" s="323">
        <v>46.25</v>
      </c>
      <c r="K407" s="73">
        <v>0.06</v>
      </c>
      <c r="N407" s="318">
        <f t="shared" si="83"/>
        <v>46.31</v>
      </c>
      <c r="O407" s="81" t="str">
        <f>IFERROR(VLOOKUP($G407,'321買'!A:E,3,0),"'沒有資料'")</f>
        <v>'沒有資料'</v>
      </c>
      <c r="P407" s="380" t="str">
        <f>IFERROR(VLOOKUP($G407,'321買'!$A:$G,7,0),"'沒有資料'")</f>
        <v>'沒有資料'</v>
      </c>
      <c r="R407" s="297">
        <f>IFERROR(RANK(VLOOKUP($G407,連買!$A:$D,4,0),連買!$D:$D,0),"'沒有資料'")</f>
        <v>1202</v>
      </c>
      <c r="S407" s="34">
        <v>0</v>
      </c>
      <c r="T407" s="353">
        <f t="shared" si="84"/>
        <v>0</v>
      </c>
      <c r="U407" s="95"/>
      <c r="V407" s="36">
        <f>RTD("money.excel",,"6767","Price")</f>
        <v>33.5</v>
      </c>
      <c r="W407" s="66"/>
      <c r="X407" s="15">
        <f t="shared" si="77"/>
        <v>33.5</v>
      </c>
      <c r="Y407" s="3" t="e">
        <f t="shared" si="78"/>
        <v>#DIV/0!</v>
      </c>
      <c r="AA407" s="161">
        <v>0</v>
      </c>
      <c r="AB407" s="409">
        <v>0</v>
      </c>
      <c r="AC407" s="259">
        <f t="shared" si="86"/>
        <v>0</v>
      </c>
      <c r="AD407" s="16" t="s">
        <v>4179</v>
      </c>
      <c r="AG407" s="33">
        <f t="shared" si="79"/>
        <v>0</v>
      </c>
      <c r="AH407" s="43" t="s">
        <v>4180</v>
      </c>
      <c r="AI407" s="63">
        <f t="shared" si="85"/>
        <v>4.8109965635738833E-4</v>
      </c>
      <c r="AJ407" s="307">
        <f>RTD("money.excel",,$G407,"PredictVolume")</f>
        <v>14</v>
      </c>
      <c r="AK407" s="339"/>
    </row>
    <row r="408" spans="1:37">
      <c r="A408" s="415">
        <v>2.71</v>
      </c>
      <c r="B408" s="79">
        <v>14</v>
      </c>
      <c r="C408" s="79">
        <v>6</v>
      </c>
      <c r="D408" s="79">
        <v>37</v>
      </c>
      <c r="E408" s="79">
        <v>6</v>
      </c>
      <c r="F408" s="57">
        <v>19.77</v>
      </c>
      <c r="G408" s="79">
        <v>8279</v>
      </c>
      <c r="H408" s="8" t="s">
        <v>311</v>
      </c>
      <c r="I408" s="16" t="s">
        <v>4181</v>
      </c>
      <c r="J408" s="73">
        <v>57.16</v>
      </c>
      <c r="K408" s="73">
        <v>2.42</v>
      </c>
      <c r="N408" s="318">
        <f t="shared" si="83"/>
        <v>59.58</v>
      </c>
      <c r="O408" s="81" t="str">
        <f>IFERROR(VLOOKUP($G408,'321買'!A:E,3,0),"'沒有資料'")</f>
        <v>'沒有資料'</v>
      </c>
      <c r="P408" s="380" t="str">
        <f>IFERROR(VLOOKUP($G408,'321買'!$A:$G,7,0),"'沒有資料'")</f>
        <v>'沒有資料'</v>
      </c>
      <c r="R408" s="297">
        <f>IFERROR(RANK(VLOOKUP($G408,連買!$A:$D,4,0),連買!$D:$D,0),"'沒有資料'")</f>
        <v>186</v>
      </c>
      <c r="S408" s="66">
        <v>3.5</v>
      </c>
      <c r="T408" s="353">
        <f t="shared" si="84"/>
        <v>2.7559055118110236E-2</v>
      </c>
      <c r="U408" s="57">
        <v>8</v>
      </c>
      <c r="V408" s="36">
        <f>RTD("money.excel",,"8279","Price")</f>
        <v>127</v>
      </c>
      <c r="W408" s="66"/>
      <c r="X408" s="15">
        <f t="shared" si="77"/>
        <v>127</v>
      </c>
      <c r="Y408" s="3" t="e">
        <f t="shared" si="78"/>
        <v>#DIV/0!</v>
      </c>
      <c r="Z408" s="413" t="s">
        <v>1997</v>
      </c>
      <c r="AA408" s="161">
        <v>0</v>
      </c>
      <c r="AB408" s="409">
        <v>0</v>
      </c>
      <c r="AC408" s="259">
        <f t="shared" si="86"/>
        <v>0</v>
      </c>
      <c r="AD408" s="16" t="s">
        <v>4181</v>
      </c>
      <c r="AG408" s="33">
        <f t="shared" si="79"/>
        <v>0</v>
      </c>
      <c r="AH408" s="43" t="s">
        <v>4182</v>
      </c>
      <c r="AI408" s="63">
        <f t="shared" si="85"/>
        <v>6.2730627306273063E-4</v>
      </c>
      <c r="AJ408" s="307">
        <f>RTD("money.excel",,$G408,"PredictVolume")</f>
        <v>17</v>
      </c>
      <c r="AK408" s="339"/>
    </row>
    <row r="409" spans="1:37">
      <c r="A409" s="415">
        <v>10.8</v>
      </c>
      <c r="B409" s="79">
        <v>72</v>
      </c>
      <c r="C409" s="79">
        <v>287</v>
      </c>
      <c r="D409" s="80">
        <v>-2</v>
      </c>
      <c r="E409" s="79">
        <v>27</v>
      </c>
      <c r="F409" s="57">
        <v>14.03</v>
      </c>
      <c r="G409" s="79">
        <v>8403</v>
      </c>
      <c r="H409" s="8" t="s">
        <v>311</v>
      </c>
      <c r="I409" s="16" t="s">
        <v>4183</v>
      </c>
      <c r="J409" s="323">
        <v>32.58</v>
      </c>
      <c r="K409" s="73">
        <v>1.71</v>
      </c>
      <c r="L409" s="323">
        <v>18.59</v>
      </c>
      <c r="N409" s="318">
        <f t="shared" si="83"/>
        <v>52.879999999999995</v>
      </c>
      <c r="O409" s="81">
        <f>IFERROR(VLOOKUP($G409,'321買'!A:E,3,0),"'沒有資料'")</f>
        <v>0</v>
      </c>
      <c r="P409" s="380">
        <f>IFERROR(VLOOKUP($G409,'321買'!$A:$G,7,0),"'沒有資料'")</f>
        <v>911</v>
      </c>
      <c r="R409" s="297">
        <f>IFERROR(RANK(VLOOKUP($G409,連買!$A:$D,4,0),連買!$D:$D,0),"'沒有資料'")</f>
        <v>1489</v>
      </c>
      <c r="S409" s="34">
        <v>0.49</v>
      </c>
      <c r="T409" s="353">
        <f t="shared" si="84"/>
        <v>1.683848797250859E-2</v>
      </c>
      <c r="U409" s="95">
        <v>2.35</v>
      </c>
      <c r="V409" s="36">
        <f>RTD("money.excel",,"8403","Price")</f>
        <v>29.1</v>
      </c>
      <c r="W409" s="66"/>
      <c r="X409" s="15">
        <f t="shared" si="77"/>
        <v>29.1</v>
      </c>
      <c r="Y409" s="3" t="e">
        <f t="shared" si="78"/>
        <v>#DIV/0!</v>
      </c>
      <c r="Z409" s="413" t="s">
        <v>1801</v>
      </c>
      <c r="AA409" s="161">
        <v>0</v>
      </c>
      <c r="AB409" s="409">
        <v>0</v>
      </c>
      <c r="AC409" s="259">
        <f t="shared" si="86"/>
        <v>0</v>
      </c>
      <c r="AD409" s="16" t="s">
        <v>4183</v>
      </c>
      <c r="AG409" s="33">
        <f t="shared" si="79"/>
        <v>0</v>
      </c>
      <c r="AH409" s="120" t="s">
        <v>4184</v>
      </c>
      <c r="AI409" s="63">
        <f t="shared" si="85"/>
        <v>6.9166666666666664E-3</v>
      </c>
      <c r="AJ409" s="307">
        <f>RTD("money.excel",,$G409,"PredictVolume")</f>
        <v>747</v>
      </c>
      <c r="AK409" s="339"/>
    </row>
    <row r="410" spans="1:37">
      <c r="A410" s="415">
        <v>9.7100000000000009</v>
      </c>
      <c r="B410" s="79">
        <v>151</v>
      </c>
      <c r="C410" s="79">
        <v>86</v>
      </c>
      <c r="D410" s="79">
        <v>12</v>
      </c>
      <c r="E410" s="79">
        <v>16</v>
      </c>
      <c r="F410" s="57">
        <v>17.28</v>
      </c>
      <c r="G410" s="79">
        <v>8406</v>
      </c>
      <c r="H410" s="8" t="s">
        <v>311</v>
      </c>
      <c r="I410" s="16" t="s">
        <v>4185</v>
      </c>
      <c r="J410" s="323">
        <v>59.58</v>
      </c>
      <c r="K410" s="323">
        <v>71.05</v>
      </c>
      <c r="L410" s="323">
        <v>7.17</v>
      </c>
      <c r="N410" s="318">
        <f t="shared" si="83"/>
        <v>137.79999999999998</v>
      </c>
      <c r="O410" s="81">
        <f>IFERROR(VLOOKUP($G410,'321買'!A:E,3,0),"'沒有資料'")</f>
        <v>15</v>
      </c>
      <c r="P410" s="380">
        <f>IFERROR(VLOOKUP($G410,'321買'!$A:$G,7,0),"'沒有資料'")</f>
        <v>321</v>
      </c>
      <c r="R410" s="297">
        <f>IFERROR(RANK(VLOOKUP($G410,連買!$A:$D,4,0),連買!$D:$D,0),"'沒有資料'")</f>
        <v>42</v>
      </c>
      <c r="S410" s="66">
        <v>6</v>
      </c>
      <c r="T410" s="353">
        <f t="shared" si="84"/>
        <v>2.1582733812949641E-2</v>
      </c>
      <c r="U410" s="57">
        <v>14.38</v>
      </c>
      <c r="V410" s="13">
        <f>RTD("money.excel",,"8406","Price")</f>
        <v>278</v>
      </c>
      <c r="W410" s="66"/>
      <c r="X410" s="15">
        <f t="shared" si="77"/>
        <v>278</v>
      </c>
      <c r="Y410" s="3" t="e">
        <f t="shared" si="78"/>
        <v>#DIV/0!</v>
      </c>
      <c r="Z410" s="413" t="s">
        <v>1997</v>
      </c>
      <c r="AA410" s="161">
        <v>0</v>
      </c>
      <c r="AB410" s="409">
        <v>0</v>
      </c>
      <c r="AC410" s="259">
        <f t="shared" si="86"/>
        <v>0</v>
      </c>
      <c r="AD410" s="16" t="s">
        <v>4185</v>
      </c>
      <c r="AG410" s="33">
        <f t="shared" si="79"/>
        <v>0</v>
      </c>
      <c r="AH410" s="120" t="s">
        <v>3978</v>
      </c>
      <c r="AI410" s="63">
        <f t="shared" si="85"/>
        <v>1.6374871266735321E-3</v>
      </c>
      <c r="AJ410" s="307">
        <f>RTD("money.excel",,$G410,"PredictVolume")</f>
        <v>159</v>
      </c>
      <c r="AK410" s="339"/>
    </row>
    <row r="411" spans="1:37">
      <c r="A411" s="416">
        <v>3.2</v>
      </c>
      <c r="B411" s="80">
        <v>-30</v>
      </c>
      <c r="C411" s="80">
        <v>-95</v>
      </c>
      <c r="D411" s="79">
        <v>52</v>
      </c>
      <c r="E411" s="79">
        <v>12</v>
      </c>
      <c r="F411" s="6">
        <v>-97.31</v>
      </c>
      <c r="G411" s="79">
        <v>8409</v>
      </c>
      <c r="H411" s="8" t="s">
        <v>311</v>
      </c>
      <c r="I411" s="16" t="s">
        <v>4186</v>
      </c>
      <c r="J411" s="323">
        <v>28.98</v>
      </c>
      <c r="K411" s="323">
        <v>0.12</v>
      </c>
      <c r="L411" s="323"/>
      <c r="N411" s="318">
        <f t="shared" si="83"/>
        <v>29.1</v>
      </c>
      <c r="O411" s="81" t="str">
        <f>IFERROR(VLOOKUP($G411,'321買'!A:E,3,0),"'沒有資料'")</f>
        <v>'沒有資料'</v>
      </c>
      <c r="P411" s="380" t="str">
        <f>IFERROR(VLOOKUP($G411,'321買'!$A:$G,7,0),"'沒有資料'")</f>
        <v>'沒有資料'</v>
      </c>
      <c r="R411" s="297">
        <f>IFERROR(RANK(VLOOKUP($G411,連買!$A:$D,4,0),連買!$D:$D,0),"'沒有資料'")</f>
        <v>1487</v>
      </c>
      <c r="S411" s="34">
        <v>0</v>
      </c>
      <c r="T411" s="353">
        <f t="shared" si="84"/>
        <v>0</v>
      </c>
      <c r="U411" s="95">
        <v>-1.21</v>
      </c>
      <c r="V411" s="36">
        <f>RTD("money.excel",,"8409","Price")</f>
        <v>24.9</v>
      </c>
      <c r="W411" s="66"/>
      <c r="X411" s="15">
        <f t="shared" si="77"/>
        <v>24.9</v>
      </c>
      <c r="Y411" s="3" t="e">
        <f t="shared" si="78"/>
        <v>#DIV/0!</v>
      </c>
      <c r="AA411" s="161">
        <v>0</v>
      </c>
      <c r="AB411" s="409">
        <v>0</v>
      </c>
      <c r="AC411" s="259">
        <f t="shared" si="86"/>
        <v>0</v>
      </c>
      <c r="AD411" s="16" t="s">
        <v>4186</v>
      </c>
      <c r="AG411" s="33">
        <f t="shared" si="79"/>
        <v>0</v>
      </c>
      <c r="AH411" s="43" t="s">
        <v>2638</v>
      </c>
      <c r="AI411" s="63">
        <f t="shared" si="85"/>
        <v>2.2562499999999999E-2</v>
      </c>
      <c r="AJ411" s="307">
        <f>RTD("money.excel",,$G411,"PredictVolume")</f>
        <v>722</v>
      </c>
      <c r="AK411" s="339"/>
    </row>
    <row r="412" spans="1:37">
      <c r="A412" s="415">
        <v>3.84</v>
      </c>
      <c r="B412" s="80">
        <v>-59</v>
      </c>
      <c r="C412" s="80">
        <v>-61</v>
      </c>
      <c r="D412" s="80">
        <v>-9</v>
      </c>
      <c r="E412" s="79">
        <v>3</v>
      </c>
      <c r="F412" s="57">
        <v>11.8</v>
      </c>
      <c r="G412" s="79">
        <v>8432</v>
      </c>
      <c r="H412" s="8" t="s">
        <v>311</v>
      </c>
      <c r="I412" s="16" t="s">
        <v>4187</v>
      </c>
      <c r="J412" s="323">
        <v>59.27</v>
      </c>
      <c r="K412" s="73">
        <v>0.57999999999999996</v>
      </c>
      <c r="L412" s="73">
        <v>8.1199999999999992</v>
      </c>
      <c r="N412" s="318">
        <f t="shared" si="83"/>
        <v>67.97</v>
      </c>
      <c r="O412" s="81">
        <f>IFERROR(VLOOKUP($G412,'321買'!A:E,3,0),"'沒有資料'")</f>
        <v>0</v>
      </c>
      <c r="P412" s="380">
        <f>IFERROR(VLOOKUP($G412,'321買'!$A:$G,7,0),"'沒有資料'")</f>
        <v>911</v>
      </c>
      <c r="R412" s="297">
        <f>IFERROR(RANK(VLOOKUP($G412,連買!$A:$D,4,0),連買!$D:$D,0),"'沒有資料'")</f>
        <v>288</v>
      </c>
      <c r="S412" s="34">
        <v>1.8</v>
      </c>
      <c r="T412" s="353">
        <f t="shared" si="84"/>
        <v>4.0862656072644728E-2</v>
      </c>
      <c r="U412" s="57">
        <v>1.24</v>
      </c>
      <c r="V412" s="36">
        <f>RTD("money.excel",,"8432","Price")</f>
        <v>44.05</v>
      </c>
      <c r="W412" s="66"/>
      <c r="X412" s="15">
        <f t="shared" si="77"/>
        <v>44.05</v>
      </c>
      <c r="Y412" s="3" t="e">
        <f t="shared" si="78"/>
        <v>#DIV/0!</v>
      </c>
      <c r="AA412" s="161">
        <v>0</v>
      </c>
      <c r="AB412" s="409">
        <v>0</v>
      </c>
      <c r="AC412" s="259">
        <f t="shared" si="86"/>
        <v>0</v>
      </c>
      <c r="AD412" s="16" t="s">
        <v>4187</v>
      </c>
      <c r="AG412" s="33">
        <f t="shared" si="79"/>
        <v>0</v>
      </c>
      <c r="AH412" s="43" t="s">
        <v>4188</v>
      </c>
      <c r="AI412" s="63">
        <f t="shared" si="85"/>
        <v>7.5520833333333332E-4</v>
      </c>
      <c r="AJ412" s="307">
        <f>RTD("money.excel",,$G412,"PredictVolume")</f>
        <v>29</v>
      </c>
      <c r="AK412" s="339"/>
    </row>
    <row r="413" spans="1:37">
      <c r="A413" s="415">
        <v>11.8</v>
      </c>
      <c r="B413" s="80">
        <v>-2</v>
      </c>
      <c r="C413" s="80">
        <v>-11</v>
      </c>
      <c r="D413" s="79">
        <v>0</v>
      </c>
      <c r="E413" s="79">
        <v>10</v>
      </c>
      <c r="F413" s="57">
        <v>20.43</v>
      </c>
      <c r="G413" s="79">
        <v>8436</v>
      </c>
      <c r="H413" s="149" t="s">
        <v>311</v>
      </c>
      <c r="I413" s="16" t="s">
        <v>4189</v>
      </c>
      <c r="J413" s="323">
        <v>41.15</v>
      </c>
      <c r="K413" s="73">
        <v>44.86</v>
      </c>
      <c r="L413" s="73">
        <v>11.35</v>
      </c>
      <c r="N413" s="318">
        <f t="shared" si="83"/>
        <v>97.359999999999985</v>
      </c>
      <c r="O413" s="81">
        <f>IFERROR(VLOOKUP($G413,'321買'!A:E,3,0),"'沒有資料'")</f>
        <v>23</v>
      </c>
      <c r="P413" s="380">
        <f>IFERROR(VLOOKUP($G413,'321買'!$A:$G,7,0),"'沒有資料'")</f>
        <v>207</v>
      </c>
      <c r="R413" s="297">
        <f>IFERROR(RANK(VLOOKUP($G413,連買!$A:$D,4,0),連買!$D:$D,0),"'沒有資料'")</f>
        <v>1727</v>
      </c>
      <c r="S413" s="66">
        <v>8.84</v>
      </c>
      <c r="T413" s="353">
        <f t="shared" si="84"/>
        <v>5.0370370370370371E-2</v>
      </c>
      <c r="U413" s="95">
        <v>15.49</v>
      </c>
      <c r="V413" s="13">
        <f>RTD("money.excel",,"8436","Price")</f>
        <v>175.5</v>
      </c>
      <c r="W413" s="66"/>
      <c r="X413" s="15">
        <f t="shared" si="77"/>
        <v>175.5</v>
      </c>
      <c r="Y413" s="3" t="e">
        <f t="shared" si="78"/>
        <v>#DIV/0!</v>
      </c>
      <c r="Z413" s="413" t="s">
        <v>1997</v>
      </c>
      <c r="AA413" s="161">
        <v>0</v>
      </c>
      <c r="AB413" s="409">
        <v>0</v>
      </c>
      <c r="AC413" s="259">
        <f t="shared" si="86"/>
        <v>0</v>
      </c>
      <c r="AD413" s="16" t="s">
        <v>4189</v>
      </c>
      <c r="AG413" s="33">
        <f t="shared" si="79"/>
        <v>0</v>
      </c>
      <c r="AH413" s="120" t="s">
        <v>4190</v>
      </c>
      <c r="AI413" s="63">
        <f t="shared" si="85"/>
        <v>7.2711864406779661E-3</v>
      </c>
      <c r="AJ413" s="307">
        <f>RTD("money.excel",,$G413,"PredictVolume")</f>
        <v>858</v>
      </c>
      <c r="AK413" s="339"/>
    </row>
    <row r="414" spans="1:37">
      <c r="B414" s="80"/>
      <c r="C414" s="80"/>
      <c r="D414" s="79"/>
      <c r="E414" s="79"/>
      <c r="F414" s="57"/>
      <c r="G414" s="79"/>
      <c r="H414" s="149"/>
      <c r="I414" s="16"/>
      <c r="J414" s="323"/>
      <c r="K414" s="73"/>
      <c r="N414" s="318"/>
      <c r="O414" s="26"/>
      <c r="S414" s="66"/>
      <c r="U414" s="95"/>
      <c r="V414" s="13"/>
      <c r="W414" s="66"/>
      <c r="X414" s="15"/>
      <c r="Y414" s="3"/>
      <c r="AA414" s="2"/>
      <c r="AD414" s="16"/>
      <c r="AG414" s="33"/>
      <c r="AH414" s="120"/>
      <c r="AI414" s="63"/>
      <c r="AJ414" s="307"/>
      <c r="AK414" s="339"/>
    </row>
    <row r="415" spans="1:37">
      <c r="A415" s="130" t="s">
        <v>4191</v>
      </c>
      <c r="B415" s="91" t="s">
        <v>4192</v>
      </c>
      <c r="C415" s="91" t="s">
        <v>4193</v>
      </c>
      <c r="D415" s="91" t="s">
        <v>4194</v>
      </c>
      <c r="E415" s="91" t="s">
        <v>4195</v>
      </c>
      <c r="F415" s="8" t="s">
        <v>4196</v>
      </c>
      <c r="G415" s="27" t="s">
        <v>4197</v>
      </c>
      <c r="H415" s="55" t="s">
        <v>322</v>
      </c>
      <c r="I415" s="8" t="s">
        <v>4198</v>
      </c>
      <c r="J415" s="317" t="s">
        <v>4199</v>
      </c>
      <c r="K415" s="317" t="s">
        <v>4200</v>
      </c>
      <c r="L415" s="317" t="s">
        <v>4201</v>
      </c>
      <c r="M415" s="317" t="s">
        <v>4202</v>
      </c>
      <c r="N415" s="317" t="s">
        <v>5048</v>
      </c>
      <c r="O415" s="26" t="s">
        <v>5107</v>
      </c>
      <c r="P415" s="373" t="s">
        <v>5059</v>
      </c>
      <c r="Q415" s="245" t="s">
        <v>5087</v>
      </c>
      <c r="R415" s="345" t="s">
        <v>5059</v>
      </c>
      <c r="S415" s="10" t="s">
        <v>4203</v>
      </c>
      <c r="T415" s="351" t="s">
        <v>5076</v>
      </c>
      <c r="U415" s="68" t="s">
        <v>4204</v>
      </c>
      <c r="V415" s="28" t="s">
        <v>4205</v>
      </c>
      <c r="W415" s="17" t="s">
        <v>4206</v>
      </c>
      <c r="X415" s="14" t="s">
        <v>4207</v>
      </c>
      <c r="Y415" s="21" t="s">
        <v>4208</v>
      </c>
      <c r="Z415" s="97" t="s">
        <v>6627</v>
      </c>
      <c r="AA415" s="406" t="s">
        <v>8647</v>
      </c>
      <c r="AB415" s="407" t="s">
        <v>8648</v>
      </c>
      <c r="AC415" s="408" t="s">
        <v>8649</v>
      </c>
      <c r="AD415" s="8" t="s">
        <v>4198</v>
      </c>
      <c r="AE415" s="71" t="s">
        <v>4209</v>
      </c>
      <c r="AF415" s="72" t="s">
        <v>4210</v>
      </c>
      <c r="AG415" s="32" t="s">
        <v>4211</v>
      </c>
      <c r="AH415" s="25" t="s">
        <v>8650</v>
      </c>
      <c r="AI415" s="8" t="s">
        <v>4212</v>
      </c>
      <c r="AJ415" s="50" t="s">
        <v>4213</v>
      </c>
      <c r="AK415" s="339" t="s">
        <v>5038</v>
      </c>
    </row>
    <row r="416" spans="1:37">
      <c r="A416" s="415">
        <v>290</v>
      </c>
      <c r="B416" s="79">
        <v>488</v>
      </c>
      <c r="C416" s="79">
        <v>876</v>
      </c>
      <c r="D416" s="80">
        <v>-1</v>
      </c>
      <c r="E416" s="79">
        <v>26</v>
      </c>
      <c r="F416" s="57">
        <v>20.18</v>
      </c>
      <c r="G416" s="79">
        <v>1802</v>
      </c>
      <c r="H416" s="8" t="s">
        <v>299</v>
      </c>
      <c r="I416" s="22" t="s">
        <v>4214</v>
      </c>
      <c r="J416" s="323">
        <v>84.83</v>
      </c>
      <c r="K416" s="73">
        <v>11.47</v>
      </c>
      <c r="L416" s="323">
        <v>3.58</v>
      </c>
      <c r="N416" s="318">
        <f>J416+K416+L416+M416</f>
        <v>99.88</v>
      </c>
      <c r="O416" s="81">
        <f>IFERROR(VLOOKUP($G416,'321買'!A:E,3,0),"'沒有資料'")</f>
        <v>6</v>
      </c>
      <c r="P416" s="380">
        <f>IFERROR(VLOOKUP($G416,'321買'!$A:$G,7,0),"'沒有資料'")</f>
        <v>499</v>
      </c>
      <c r="R416" s="297">
        <f>IFERROR(RANK(VLOOKUP($G416,連買!$A:$D,4,0),連買!$D:$D,0),"'沒有資料'")</f>
        <v>1664</v>
      </c>
      <c r="S416" s="34">
        <v>0.5</v>
      </c>
      <c r="T416" s="353">
        <f>S416/V416</f>
        <v>2.0618556701030927E-2</v>
      </c>
      <c r="U416" s="57">
        <v>2.9</v>
      </c>
      <c r="V416" s="36">
        <f>RTD("money.excel",,"1802","Price")</f>
        <v>24.25</v>
      </c>
      <c r="W416" s="66"/>
      <c r="X416" s="15">
        <f>V416-W416</f>
        <v>24.25</v>
      </c>
      <c r="Y416" s="3" t="e">
        <f>X416/W416</f>
        <v>#DIV/0!</v>
      </c>
      <c r="Z416" s="413" t="s">
        <v>1801</v>
      </c>
      <c r="AA416" s="161">
        <v>0</v>
      </c>
      <c r="AB416" s="409">
        <v>0</v>
      </c>
      <c r="AC416" s="259">
        <f t="shared" si="86"/>
        <v>0</v>
      </c>
      <c r="AD416" s="22" t="s">
        <v>4214</v>
      </c>
      <c r="AG416" s="33">
        <f>AF416-AE416</f>
        <v>0</v>
      </c>
      <c r="AH416" s="120" t="s">
        <v>4215</v>
      </c>
      <c r="AI416" s="63">
        <f>AJ416/(A416*10000)</f>
        <v>1.0303448275862069E-3</v>
      </c>
      <c r="AJ416" s="307">
        <f>RTD("money.excel",,$G416,"PredictVolume")</f>
        <v>2988</v>
      </c>
      <c r="AK416" s="339"/>
    </row>
    <row r="417" spans="1:37">
      <c r="A417" s="416">
        <v>43.3</v>
      </c>
      <c r="B417" s="79">
        <v>283</v>
      </c>
      <c r="C417" s="79">
        <v>104</v>
      </c>
      <c r="D417" s="79">
        <v>8</v>
      </c>
      <c r="E417" s="79">
        <v>1</v>
      </c>
      <c r="F417" s="6">
        <v>0.85</v>
      </c>
      <c r="G417" s="79">
        <v>1806</v>
      </c>
      <c r="H417" s="8" t="s">
        <v>299</v>
      </c>
      <c r="I417" s="22" t="s">
        <v>4216</v>
      </c>
      <c r="J417" s="73">
        <v>70.5</v>
      </c>
      <c r="K417" s="73">
        <v>11.19</v>
      </c>
      <c r="L417" s="73">
        <v>8.77</v>
      </c>
      <c r="M417" s="73">
        <v>15.46</v>
      </c>
      <c r="N417" s="318">
        <f>J417+K417+L417+M417</f>
        <v>105.91999999999999</v>
      </c>
      <c r="O417" s="81">
        <f>IFERROR(VLOOKUP($G417,'321買'!A:E,3,0),"'沒有資料'")</f>
        <v>4</v>
      </c>
      <c r="P417" s="380">
        <f>IFERROR(VLOOKUP($G417,'321買'!$A:$G,7,0),"'沒有資料'")</f>
        <v>592</v>
      </c>
      <c r="Q417" s="245" t="s">
        <v>3815</v>
      </c>
      <c r="R417" s="297">
        <f>IFERROR(RANK(VLOOKUP($G417,連買!$A:$D,4,0),連買!$D:$D,0),"'沒有資料'")</f>
        <v>1020</v>
      </c>
      <c r="S417" s="34">
        <v>0</v>
      </c>
      <c r="T417" s="353">
        <f>S417/V417</f>
        <v>0</v>
      </c>
      <c r="U417" s="57">
        <v>2.4500000000000002</v>
      </c>
      <c r="V417" s="36">
        <f>RTD("money.excel",,"1806","Price")</f>
        <v>12.15</v>
      </c>
      <c r="W417" s="66"/>
      <c r="X417" s="15">
        <f>V417-W417</f>
        <v>12.15</v>
      </c>
      <c r="Y417" s="3" t="e">
        <f>X417/W417</f>
        <v>#DIV/0!</v>
      </c>
      <c r="Z417" s="413" t="s">
        <v>1801</v>
      </c>
      <c r="AA417" s="161">
        <v>0</v>
      </c>
      <c r="AB417" s="409">
        <v>0</v>
      </c>
      <c r="AC417" s="259">
        <f t="shared" si="86"/>
        <v>0</v>
      </c>
      <c r="AD417" s="22" t="s">
        <v>4216</v>
      </c>
      <c r="AG417" s="33">
        <f>AF417-AE417</f>
        <v>0</v>
      </c>
      <c r="AH417" s="43" t="s">
        <v>4217</v>
      </c>
      <c r="AI417" s="63">
        <f>AJ417/(A417*10000)</f>
        <v>3.7113163972286372E-3</v>
      </c>
      <c r="AJ417" s="307">
        <f>RTD("money.excel",,$G417,"PredictVolume")</f>
        <v>1607</v>
      </c>
      <c r="AK417" s="339"/>
    </row>
    <row r="418" spans="1:37">
      <c r="A418" s="416">
        <v>16.7</v>
      </c>
      <c r="B418" s="91">
        <v>-26</v>
      </c>
      <c r="C418" s="91">
        <v>-14</v>
      </c>
      <c r="D418" s="91">
        <v>6</v>
      </c>
      <c r="E418" s="91">
        <v>18</v>
      </c>
      <c r="F418" s="6">
        <v>-6.02</v>
      </c>
      <c r="G418" s="79">
        <v>1809</v>
      </c>
      <c r="H418" s="8" t="s">
        <v>299</v>
      </c>
      <c r="I418" s="22" t="s">
        <v>4218</v>
      </c>
      <c r="J418" s="73">
        <v>57.3</v>
      </c>
      <c r="K418" s="73">
        <v>3.19</v>
      </c>
      <c r="L418" s="73">
        <v>9.27</v>
      </c>
      <c r="N418" s="318">
        <f>J418+K418+L418+M418</f>
        <v>69.759999999999991</v>
      </c>
      <c r="O418" s="81">
        <f>IFERROR(VLOOKUP($G418,'321買'!A:E,3,0),"'沒有資料'")</f>
        <v>13</v>
      </c>
      <c r="P418" s="380">
        <f>IFERROR(VLOOKUP($G418,'321買'!$A:$G,7,0),"'沒有資料'")</f>
        <v>368</v>
      </c>
      <c r="R418" s="297">
        <f>IFERROR(RANK(VLOOKUP($G418,連買!$A:$D,4,0),連買!$D:$D,0),"'沒有資料'")</f>
        <v>881</v>
      </c>
      <c r="S418" s="34">
        <v>0.2</v>
      </c>
      <c r="T418" s="353">
        <f>S418/V418</f>
        <v>1.4336917562724016E-2</v>
      </c>
      <c r="U418" s="95">
        <v>-0.36</v>
      </c>
      <c r="V418" s="13">
        <f>RTD("money.excel",,"1809","Price")</f>
        <v>13.95</v>
      </c>
      <c r="W418" s="66"/>
      <c r="X418" s="15">
        <f>V418-W418</f>
        <v>13.95</v>
      </c>
      <c r="Y418" s="3" t="e">
        <f>X418/W418</f>
        <v>#DIV/0!</v>
      </c>
      <c r="Z418" s="413" t="s">
        <v>1801</v>
      </c>
      <c r="AA418" s="161">
        <v>0</v>
      </c>
      <c r="AB418" s="409">
        <v>0</v>
      </c>
      <c r="AC418" s="259">
        <f t="shared" si="86"/>
        <v>0</v>
      </c>
      <c r="AD418" s="22" t="s">
        <v>4218</v>
      </c>
      <c r="AG418" s="33">
        <f>AF418-AE418</f>
        <v>0</v>
      </c>
      <c r="AH418" s="43" t="s">
        <v>4219</v>
      </c>
      <c r="AI418" s="63">
        <f>AJ418/(A418*10000)</f>
        <v>2.4970059880239522E-3</v>
      </c>
      <c r="AJ418" s="307">
        <f>RTD("money.excel",,$G418,"PredictVolume")</f>
        <v>417</v>
      </c>
      <c r="AK418" s="339"/>
    </row>
    <row r="419" spans="1:37">
      <c r="A419" s="416">
        <v>36.9</v>
      </c>
      <c r="B419" s="91">
        <v>79</v>
      </c>
      <c r="C419" s="91">
        <v>-223</v>
      </c>
      <c r="D419" s="91">
        <v>-6</v>
      </c>
      <c r="E419" s="91">
        <v>25</v>
      </c>
      <c r="F419" s="6">
        <v>-1.28</v>
      </c>
      <c r="G419" s="79">
        <v>1810</v>
      </c>
      <c r="H419" s="8" t="s">
        <v>299</v>
      </c>
      <c r="I419" s="22" t="s">
        <v>4220</v>
      </c>
      <c r="J419" s="73">
        <v>69.790000000000006</v>
      </c>
      <c r="K419" s="73">
        <v>4.0199999999999996</v>
      </c>
      <c r="L419" s="73">
        <v>22.53</v>
      </c>
      <c r="N419" s="318">
        <f>J419+K419+L419+M419</f>
        <v>96.34</v>
      </c>
      <c r="O419" s="81">
        <f>IFERROR(VLOOKUP($G419,'321買'!A:E,3,0),"'沒有資料'")</f>
        <v>3</v>
      </c>
      <c r="P419" s="380">
        <f>IFERROR(VLOOKUP($G419,'321買'!$A:$G,7,0),"'沒有資料'")</f>
        <v>636</v>
      </c>
      <c r="R419" s="297">
        <f>IFERROR(RANK(VLOOKUP($G419,連買!$A:$D,4,0),連買!$D:$D,0),"'沒有資料'")</f>
        <v>1099</v>
      </c>
      <c r="S419" s="34">
        <v>0</v>
      </c>
      <c r="T419" s="353">
        <f>S419/V419</f>
        <v>0</v>
      </c>
      <c r="U419" s="95">
        <v>0.24</v>
      </c>
      <c r="V419" s="13">
        <f>RTD("money.excel",,"1810","Price")</f>
        <v>15.05</v>
      </c>
      <c r="W419" s="66"/>
      <c r="X419" s="15">
        <f>V419-W419</f>
        <v>15.05</v>
      </c>
      <c r="Y419" s="3" t="e">
        <f>X419/W419</f>
        <v>#DIV/0!</v>
      </c>
      <c r="AA419" s="161">
        <v>0</v>
      </c>
      <c r="AB419" s="409">
        <v>0</v>
      </c>
      <c r="AC419" s="259">
        <f t="shared" si="86"/>
        <v>0</v>
      </c>
      <c r="AD419" s="22" t="s">
        <v>4220</v>
      </c>
      <c r="AG419" s="33">
        <f>AF419-AE419</f>
        <v>0</v>
      </c>
      <c r="AH419" s="43" t="s">
        <v>4221</v>
      </c>
      <c r="AI419" s="63">
        <f>AJ419/(A419*10000)</f>
        <v>7.7208672086720867E-3</v>
      </c>
      <c r="AJ419" s="307">
        <f>RTD("money.excel",,$G419,"PredictVolume")</f>
        <v>2849</v>
      </c>
      <c r="AK419" s="339"/>
    </row>
    <row r="420" spans="1:37">
      <c r="A420" s="415">
        <v>7.26</v>
      </c>
      <c r="B420" s="91">
        <v>27</v>
      </c>
      <c r="C420" s="91">
        <v>20</v>
      </c>
      <c r="D420" s="91">
        <v>-3</v>
      </c>
      <c r="E420" s="91">
        <v>61</v>
      </c>
      <c r="F420" s="57">
        <v>15.05</v>
      </c>
      <c r="G420" s="79">
        <v>1817</v>
      </c>
      <c r="H420" s="8" t="s">
        <v>299</v>
      </c>
      <c r="I420" s="22" t="s">
        <v>4222</v>
      </c>
      <c r="J420" s="73">
        <v>61.73</v>
      </c>
      <c r="K420" s="73">
        <v>4.18</v>
      </c>
      <c r="L420" s="73">
        <v>2.98</v>
      </c>
      <c r="N420" s="318">
        <f>J420+K420+L420+M420</f>
        <v>68.89</v>
      </c>
      <c r="O420" s="81">
        <f>IFERROR(VLOOKUP($G420,'321買'!A:E,3,0),"'沒有資料'")</f>
        <v>1</v>
      </c>
      <c r="P420" s="380">
        <f>IFERROR(VLOOKUP($G420,'321買'!$A:$G,7,0),"'沒有資料'")</f>
        <v>783</v>
      </c>
      <c r="R420" s="297">
        <f>IFERROR(RANK(VLOOKUP($G420,連買!$A:$D,4,0),連買!$D:$D,0),"'沒有資料'")</f>
        <v>1149</v>
      </c>
      <c r="S420" s="34">
        <v>2</v>
      </c>
      <c r="T420" s="353">
        <f>S420/V420</f>
        <v>5.5865921787709501E-2</v>
      </c>
      <c r="U420" s="95">
        <v>3.04</v>
      </c>
      <c r="V420" s="13">
        <f>RTD("money.excel",,"1817","Price")</f>
        <v>35.799999999999997</v>
      </c>
      <c r="W420" s="66"/>
      <c r="X420" s="15">
        <f>V420-W420</f>
        <v>35.799999999999997</v>
      </c>
      <c r="Y420" s="3" t="e">
        <f>X420/W420</f>
        <v>#DIV/0!</v>
      </c>
      <c r="AA420" s="161">
        <v>0</v>
      </c>
      <c r="AB420" s="409">
        <v>0</v>
      </c>
      <c r="AC420" s="259">
        <f t="shared" si="86"/>
        <v>0</v>
      </c>
      <c r="AD420" s="22" t="s">
        <v>4222</v>
      </c>
      <c r="AG420" s="33">
        <f>AF420-AE420</f>
        <v>0</v>
      </c>
      <c r="AH420" s="43" t="s">
        <v>4221</v>
      </c>
      <c r="AI420" s="63">
        <f>AJ420/(A420*10000)</f>
        <v>4.4077134986225897E-4</v>
      </c>
      <c r="AJ420" s="307">
        <f>RTD("money.excel",,$G420,"PredictVolume")</f>
        <v>32</v>
      </c>
      <c r="AK420" s="339"/>
    </row>
    <row r="421" spans="1:37">
      <c r="B421" s="91"/>
      <c r="C421" s="91"/>
      <c r="D421" s="91"/>
      <c r="E421" s="91"/>
      <c r="F421" s="57"/>
      <c r="G421" s="79"/>
      <c r="H421" s="8"/>
      <c r="I421" s="22"/>
      <c r="J421" s="73"/>
      <c r="K421" s="73"/>
      <c r="N421" s="318"/>
      <c r="O421" s="26"/>
      <c r="S421" s="34"/>
      <c r="U421" s="95"/>
      <c r="V421" s="13"/>
      <c r="W421" s="66"/>
      <c r="X421" s="15"/>
      <c r="Y421" s="3"/>
      <c r="AA421" s="2"/>
      <c r="AD421" s="22"/>
      <c r="AG421" s="33"/>
      <c r="AH421" s="43"/>
      <c r="AI421" s="63"/>
      <c r="AJ421" s="307"/>
      <c r="AK421" s="339"/>
    </row>
    <row r="422" spans="1:37">
      <c r="A422" s="130" t="s">
        <v>4191</v>
      </c>
      <c r="B422" s="91" t="s">
        <v>4192</v>
      </c>
      <c r="C422" s="91" t="s">
        <v>4193</v>
      </c>
      <c r="D422" s="91" t="s">
        <v>4194</v>
      </c>
      <c r="E422" s="91" t="s">
        <v>4195</v>
      </c>
      <c r="F422" s="8" t="s">
        <v>4196</v>
      </c>
      <c r="G422" s="27" t="s">
        <v>1973</v>
      </c>
      <c r="H422" s="55" t="s">
        <v>322</v>
      </c>
      <c r="I422" s="8" t="s">
        <v>4223</v>
      </c>
      <c r="J422" s="317" t="s">
        <v>4199</v>
      </c>
      <c r="K422" s="317" t="s">
        <v>4200</v>
      </c>
      <c r="L422" s="317" t="s">
        <v>4201</v>
      </c>
      <c r="M422" s="317" t="s">
        <v>4202</v>
      </c>
      <c r="N422" s="317" t="s">
        <v>5048</v>
      </c>
      <c r="O422" s="26" t="s">
        <v>5107</v>
      </c>
      <c r="P422" s="373" t="s">
        <v>5059</v>
      </c>
      <c r="Q422" s="245" t="s">
        <v>5087</v>
      </c>
      <c r="R422" s="345" t="s">
        <v>5059</v>
      </c>
      <c r="S422" s="10" t="s">
        <v>4203</v>
      </c>
      <c r="T422" s="351" t="s">
        <v>5076</v>
      </c>
      <c r="U422" s="68" t="s">
        <v>4204</v>
      </c>
      <c r="V422" s="28" t="s">
        <v>4205</v>
      </c>
      <c r="W422" s="17" t="s">
        <v>4206</v>
      </c>
      <c r="X422" s="14" t="s">
        <v>4207</v>
      </c>
      <c r="Y422" s="21" t="s">
        <v>4208</v>
      </c>
      <c r="Z422" s="97" t="s">
        <v>6627</v>
      </c>
      <c r="AA422" s="406" t="s">
        <v>8647</v>
      </c>
      <c r="AB422" s="407" t="s">
        <v>8648</v>
      </c>
      <c r="AC422" s="408" t="s">
        <v>8649</v>
      </c>
      <c r="AD422" s="8" t="s">
        <v>4223</v>
      </c>
      <c r="AE422" s="71" t="s">
        <v>4209</v>
      </c>
      <c r="AF422" s="72" t="s">
        <v>4210</v>
      </c>
      <c r="AG422" s="32" t="s">
        <v>4211</v>
      </c>
      <c r="AH422" s="25" t="s">
        <v>8650</v>
      </c>
      <c r="AI422" s="8" t="s">
        <v>4212</v>
      </c>
      <c r="AJ422" s="50" t="s">
        <v>4213</v>
      </c>
      <c r="AK422" s="339" t="s">
        <v>5038</v>
      </c>
    </row>
    <row r="423" spans="1:37">
      <c r="A423" s="416">
        <v>26</v>
      </c>
      <c r="B423" s="80">
        <v>-19</v>
      </c>
      <c r="C423" s="80">
        <v>-19</v>
      </c>
      <c r="D423" s="80">
        <v>-11</v>
      </c>
      <c r="E423" s="80">
        <v>-5</v>
      </c>
      <c r="F423" s="73">
        <v>-111</v>
      </c>
      <c r="G423" s="79">
        <v>1903</v>
      </c>
      <c r="H423" s="8" t="s">
        <v>300</v>
      </c>
      <c r="I423" s="22" t="s">
        <v>4224</v>
      </c>
      <c r="J423" s="73">
        <v>87.23</v>
      </c>
      <c r="K423" s="73">
        <v>15.08</v>
      </c>
      <c r="L423" s="323">
        <v>0</v>
      </c>
      <c r="N423" s="318">
        <f t="shared" ref="N423:N428" si="87">J423+K423+L423+M423</f>
        <v>102.31</v>
      </c>
      <c r="O423" s="81">
        <f>IFERROR(VLOOKUP($G423,'321買'!A:E,3,0),"'沒有資料'")</f>
        <v>1</v>
      </c>
      <c r="P423" s="380">
        <f>IFERROR(VLOOKUP($G423,'321買'!$A:$G,7,0),"'沒有資料'")</f>
        <v>783</v>
      </c>
      <c r="R423" s="297">
        <f>IFERROR(RANK(VLOOKUP($G423,連買!$A:$D,4,0),連買!$D:$D,0),"'沒有資料'")</f>
        <v>1542</v>
      </c>
      <c r="S423" s="34">
        <v>0</v>
      </c>
      <c r="T423" s="353">
        <f t="shared" ref="T423:T428" si="88">S423/V423</f>
        <v>0</v>
      </c>
      <c r="U423" s="95">
        <v>-0.52</v>
      </c>
      <c r="V423" s="36">
        <f>RTD("money.excel",,"1903","Price")</f>
        <v>58.9</v>
      </c>
      <c r="W423" s="66"/>
      <c r="X423" s="15">
        <f t="shared" ref="X423:X428" si="89">V423-W423</f>
        <v>58.9</v>
      </c>
      <c r="Y423" s="3" t="e">
        <f t="shared" ref="Y423:Y428" si="90">X423/W423</f>
        <v>#DIV/0!</v>
      </c>
      <c r="Z423" s="413" t="s">
        <v>1801</v>
      </c>
      <c r="AA423" s="161">
        <v>0</v>
      </c>
      <c r="AB423" s="409">
        <v>0</v>
      </c>
      <c r="AC423" s="259">
        <f t="shared" si="86"/>
        <v>0</v>
      </c>
      <c r="AD423" s="22" t="s">
        <v>4224</v>
      </c>
      <c r="AG423" s="33">
        <f t="shared" ref="AG423:AG428" si="91">AF423-AE423</f>
        <v>0</v>
      </c>
      <c r="AH423" s="43" t="s">
        <v>4225</v>
      </c>
      <c r="AI423" s="63">
        <f t="shared" ref="AI423:AI428" si="92">AJ423/(A423*10000)</f>
        <v>3.8846153846153848E-4</v>
      </c>
      <c r="AJ423" s="307">
        <f>RTD("money.excel",,$G423,"PredictVolume")</f>
        <v>101</v>
      </c>
      <c r="AK423" s="339"/>
    </row>
    <row r="424" spans="1:37">
      <c r="A424" s="415">
        <v>110</v>
      </c>
      <c r="B424" s="79">
        <v>40</v>
      </c>
      <c r="C424" s="79">
        <v>24</v>
      </c>
      <c r="D424" s="80">
        <v>-12</v>
      </c>
      <c r="E424" s="79">
        <v>4</v>
      </c>
      <c r="F424" s="57">
        <v>13.51</v>
      </c>
      <c r="G424" s="79">
        <v>1904</v>
      </c>
      <c r="H424" s="8" t="s">
        <v>300</v>
      </c>
      <c r="I424" s="22" t="s">
        <v>4226</v>
      </c>
      <c r="J424" s="73">
        <v>68.3</v>
      </c>
      <c r="K424" s="323">
        <v>13.14</v>
      </c>
      <c r="L424" s="73">
        <v>1.55</v>
      </c>
      <c r="N424" s="318">
        <f t="shared" si="87"/>
        <v>82.99</v>
      </c>
      <c r="O424" s="81">
        <f>IFERROR(VLOOKUP($G424,'321買'!A:E,3,0),"'沒有資料'")</f>
        <v>3</v>
      </c>
      <c r="P424" s="380">
        <f>IFERROR(VLOOKUP($G424,'321買'!$A:$G,7,0),"'沒有資料'")</f>
        <v>636</v>
      </c>
      <c r="R424" s="297">
        <f>IFERROR(RANK(VLOOKUP($G424,連買!$A:$D,4,0),連買!$D:$D,0),"'沒有資料'")</f>
        <v>1592</v>
      </c>
      <c r="S424" s="34">
        <v>1.8</v>
      </c>
      <c r="T424" s="353">
        <f t="shared" si="88"/>
        <v>5.1948051948051951E-2</v>
      </c>
      <c r="U424" s="57">
        <v>3.99</v>
      </c>
      <c r="V424" s="36">
        <f>RTD("money.excel",,"1904","Price")</f>
        <v>34.65</v>
      </c>
      <c r="W424" s="66"/>
      <c r="X424" s="15">
        <f t="shared" si="89"/>
        <v>34.65</v>
      </c>
      <c r="Y424" s="3" t="e">
        <f t="shared" si="90"/>
        <v>#DIV/0!</v>
      </c>
      <c r="Z424" s="413" t="s">
        <v>1801</v>
      </c>
      <c r="AA424" s="161">
        <v>0</v>
      </c>
      <c r="AB424" s="409">
        <v>0</v>
      </c>
      <c r="AC424" s="259">
        <f t="shared" si="86"/>
        <v>0</v>
      </c>
      <c r="AD424" s="22" t="s">
        <v>4226</v>
      </c>
      <c r="AG424" s="33">
        <f t="shared" si="91"/>
        <v>0</v>
      </c>
      <c r="AH424" s="120" t="s">
        <v>4227</v>
      </c>
      <c r="AI424" s="63">
        <f t="shared" si="92"/>
        <v>7.8454545454545454E-4</v>
      </c>
      <c r="AJ424" s="307">
        <f>RTD("money.excel",,$G424,"PredictVolume")</f>
        <v>863</v>
      </c>
      <c r="AK424" s="339"/>
    </row>
    <row r="425" spans="1:37">
      <c r="A425" s="416">
        <v>110</v>
      </c>
      <c r="B425" s="80">
        <v>-112</v>
      </c>
      <c r="C425" s="80">
        <v>-124</v>
      </c>
      <c r="D425" s="79">
        <v>10</v>
      </c>
      <c r="E425" s="80">
        <v>-4</v>
      </c>
      <c r="F425" s="6">
        <v>-0.74</v>
      </c>
      <c r="G425" s="79">
        <v>1905</v>
      </c>
      <c r="H425" s="8" t="s">
        <v>300</v>
      </c>
      <c r="I425" s="22" t="s">
        <v>4228</v>
      </c>
      <c r="J425" s="323">
        <v>77.489999999999995</v>
      </c>
      <c r="K425" s="73">
        <v>4.25</v>
      </c>
      <c r="L425" s="73">
        <v>3</v>
      </c>
      <c r="N425" s="318">
        <f t="shared" si="87"/>
        <v>84.74</v>
      </c>
      <c r="O425" s="81">
        <f>IFERROR(VLOOKUP($G425,'321買'!A:E,3,0),"'沒有資料'")</f>
        <v>6</v>
      </c>
      <c r="P425" s="380">
        <f>IFERROR(VLOOKUP($G425,'321買'!$A:$G,7,0),"'沒有資料'")</f>
        <v>521</v>
      </c>
      <c r="R425" s="297">
        <f>IFERROR(RANK(VLOOKUP($G425,連買!$A:$D,4,0),連買!$D:$D,0),"'沒有資料'")</f>
        <v>785</v>
      </c>
      <c r="S425" s="34">
        <v>0</v>
      </c>
      <c r="T425" s="353">
        <f t="shared" si="88"/>
        <v>0</v>
      </c>
      <c r="U425" s="57">
        <v>-0.18</v>
      </c>
      <c r="V425" s="36">
        <f>RTD("money.excel",,"1905","Price")</f>
        <v>21.1</v>
      </c>
      <c r="W425" s="66"/>
      <c r="X425" s="15">
        <f t="shared" si="89"/>
        <v>21.1</v>
      </c>
      <c r="Y425" s="3" t="e">
        <f t="shared" si="90"/>
        <v>#DIV/0!</v>
      </c>
      <c r="Z425" s="413" t="s">
        <v>1801</v>
      </c>
      <c r="AA425" s="161">
        <v>0</v>
      </c>
      <c r="AB425" s="409">
        <v>0</v>
      </c>
      <c r="AC425" s="259">
        <f t="shared" si="86"/>
        <v>0</v>
      </c>
      <c r="AD425" s="22" t="s">
        <v>4228</v>
      </c>
      <c r="AG425" s="33">
        <f t="shared" si="91"/>
        <v>0</v>
      </c>
      <c r="AH425" s="43" t="s">
        <v>4229</v>
      </c>
      <c r="AI425" s="63">
        <f t="shared" si="92"/>
        <v>7.0272727272727273E-4</v>
      </c>
      <c r="AJ425" s="307">
        <f>RTD("money.excel",,$G425,"PredictVolume")</f>
        <v>773</v>
      </c>
      <c r="AK425" s="339"/>
    </row>
    <row r="426" spans="1:37">
      <c r="A426" s="416">
        <v>15.1</v>
      </c>
      <c r="B426" s="80">
        <v>-32</v>
      </c>
      <c r="C426" s="79">
        <v>73</v>
      </c>
      <c r="D426" s="80">
        <v>-44</v>
      </c>
      <c r="E426" s="80">
        <v>-53</v>
      </c>
      <c r="F426" s="6">
        <v>0.94</v>
      </c>
      <c r="G426" s="79">
        <v>1906</v>
      </c>
      <c r="H426" s="8" t="s">
        <v>300</v>
      </c>
      <c r="I426" s="22" t="s">
        <v>4230</v>
      </c>
      <c r="J426" s="73">
        <v>63.73</v>
      </c>
      <c r="K426" s="73">
        <v>1.52</v>
      </c>
      <c r="L426" s="73">
        <v>8.02</v>
      </c>
      <c r="N426" s="318">
        <f t="shared" si="87"/>
        <v>73.27</v>
      </c>
      <c r="O426" s="81">
        <f>IFERROR(VLOOKUP($G426,'321買'!A:E,3,0),"'沒有資料'")</f>
        <v>19</v>
      </c>
      <c r="P426" s="380">
        <f>IFERROR(VLOOKUP($G426,'321買'!$A:$G,7,0),"'沒有資料'")</f>
        <v>273</v>
      </c>
      <c r="R426" s="297">
        <f>IFERROR(RANK(VLOOKUP($G426,連買!$A:$D,4,0),連買!$D:$D,0),"'沒有資料'")</f>
        <v>982</v>
      </c>
      <c r="S426" s="34">
        <v>0.4</v>
      </c>
      <c r="T426" s="353">
        <f t="shared" si="88"/>
        <v>1.9753086419753086E-2</v>
      </c>
      <c r="U426" s="95">
        <v>0.62</v>
      </c>
      <c r="V426" s="36">
        <f>RTD("money.excel",,"1906","Price")</f>
        <v>20.25</v>
      </c>
      <c r="W426" s="66"/>
      <c r="X426" s="15">
        <f t="shared" si="89"/>
        <v>20.25</v>
      </c>
      <c r="Y426" s="3" t="e">
        <f t="shared" si="90"/>
        <v>#DIV/0!</v>
      </c>
      <c r="Z426" s="413" t="s">
        <v>1801</v>
      </c>
      <c r="AA426" s="161">
        <v>0</v>
      </c>
      <c r="AB426" s="409">
        <v>0</v>
      </c>
      <c r="AC426" s="259">
        <f t="shared" si="86"/>
        <v>0</v>
      </c>
      <c r="AD426" s="22" t="s">
        <v>4230</v>
      </c>
      <c r="AG426" s="33">
        <f t="shared" si="91"/>
        <v>0</v>
      </c>
      <c r="AH426" s="43" t="s">
        <v>4231</v>
      </c>
      <c r="AI426" s="63">
        <f t="shared" si="92"/>
        <v>5.6291390728476821E-4</v>
      </c>
      <c r="AJ426" s="307">
        <f>RTD("money.excel",,$G426,"PredictVolume")</f>
        <v>85</v>
      </c>
      <c r="AK426" s="339"/>
    </row>
    <row r="427" spans="1:37">
      <c r="A427" s="415">
        <v>166</v>
      </c>
      <c r="B427" s="79">
        <v>124</v>
      </c>
      <c r="C427" s="79">
        <v>174</v>
      </c>
      <c r="D427" s="80">
        <v>-15</v>
      </c>
      <c r="E427" s="80">
        <v>-4</v>
      </c>
      <c r="F427" s="57">
        <v>13.46</v>
      </c>
      <c r="G427" s="79">
        <v>1907</v>
      </c>
      <c r="H427" s="8" t="s">
        <v>300</v>
      </c>
      <c r="I427" s="22" t="s">
        <v>4232</v>
      </c>
      <c r="J427" s="73">
        <v>79.05</v>
      </c>
      <c r="K427" s="73">
        <v>18.68</v>
      </c>
      <c r="L427" s="323">
        <v>3.34</v>
      </c>
      <c r="N427" s="318">
        <f t="shared" si="87"/>
        <v>101.07</v>
      </c>
      <c r="O427" s="81">
        <f>IFERROR(VLOOKUP($G427,'321買'!A:E,3,0),"'沒有資料'")</f>
        <v>0</v>
      </c>
      <c r="P427" s="380">
        <f>IFERROR(VLOOKUP($G427,'321買'!$A:$G,7,0),"'沒有資料'")</f>
        <v>911</v>
      </c>
      <c r="R427" s="297">
        <f>IFERROR(RANK(VLOOKUP($G427,連買!$A:$D,4,0),連買!$D:$D,0),"'沒有資料'")</f>
        <v>537</v>
      </c>
      <c r="S427" s="34">
        <v>1.5</v>
      </c>
      <c r="T427" s="353">
        <f t="shared" si="88"/>
        <v>4.6296296296296301E-2</v>
      </c>
      <c r="U427" s="57">
        <v>3.95</v>
      </c>
      <c r="V427" s="36">
        <f>RTD("money.excel",,"1907","Price")</f>
        <v>32.4</v>
      </c>
      <c r="W427" s="66"/>
      <c r="X427" s="15">
        <f t="shared" si="89"/>
        <v>32.4</v>
      </c>
      <c r="Y427" s="3" t="e">
        <f t="shared" si="90"/>
        <v>#DIV/0!</v>
      </c>
      <c r="Z427" s="413" t="s">
        <v>1801</v>
      </c>
      <c r="AA427" s="161">
        <v>0</v>
      </c>
      <c r="AB427" s="409">
        <v>0</v>
      </c>
      <c r="AC427" s="259">
        <f t="shared" si="86"/>
        <v>0</v>
      </c>
      <c r="AD427" s="22" t="s">
        <v>4232</v>
      </c>
      <c r="AG427" s="33">
        <f t="shared" si="91"/>
        <v>0</v>
      </c>
      <c r="AH427" s="120" t="s">
        <v>4227</v>
      </c>
      <c r="AI427" s="63">
        <f t="shared" si="92"/>
        <v>4.1265060240963853E-4</v>
      </c>
      <c r="AJ427" s="307">
        <f>RTD("money.excel",,$G427,"PredictVolume")</f>
        <v>685</v>
      </c>
      <c r="AK427" s="339"/>
    </row>
    <row r="428" spans="1:37">
      <c r="A428" s="416">
        <v>127</v>
      </c>
      <c r="B428" s="93">
        <v>1709</v>
      </c>
      <c r="C428" s="79">
        <v>20</v>
      </c>
      <c r="D428" s="79">
        <v>2</v>
      </c>
      <c r="E428" s="80">
        <v>-1</v>
      </c>
      <c r="F428" s="6">
        <v>4.3899999999999997</v>
      </c>
      <c r="G428" s="79">
        <v>1909</v>
      </c>
      <c r="H428" s="204" t="s">
        <v>300</v>
      </c>
      <c r="I428" s="22" t="s">
        <v>4233</v>
      </c>
      <c r="J428" s="323">
        <v>69.66</v>
      </c>
      <c r="K428" s="73">
        <v>14.39</v>
      </c>
      <c r="L428" s="73">
        <v>10.029999999999999</v>
      </c>
      <c r="N428" s="318">
        <f t="shared" si="87"/>
        <v>94.08</v>
      </c>
      <c r="O428" s="81">
        <f>IFERROR(VLOOKUP($G428,'321買'!A:E,3,0),"'沒有資料'")</f>
        <v>10</v>
      </c>
      <c r="P428" s="380">
        <f>IFERROR(VLOOKUP($G428,'321買'!$A:$G,7,0),"'沒有資料'")</f>
        <v>408</v>
      </c>
      <c r="R428" s="297">
        <f>IFERROR(RANK(VLOOKUP($G428,連買!$A:$D,4,0),連買!$D:$D,0),"'沒有資料'")</f>
        <v>1545</v>
      </c>
      <c r="S428" s="34">
        <v>0.6</v>
      </c>
      <c r="T428" s="353">
        <f t="shared" si="88"/>
        <v>2.8503562945368169E-2</v>
      </c>
      <c r="U428" s="95">
        <v>0.78</v>
      </c>
      <c r="V428" s="36">
        <f>RTD("money.excel",,"1909","Price")</f>
        <v>21.05</v>
      </c>
      <c r="W428" s="66"/>
      <c r="X428" s="15">
        <f t="shared" si="89"/>
        <v>21.05</v>
      </c>
      <c r="Y428" s="3" t="e">
        <f t="shared" si="90"/>
        <v>#DIV/0!</v>
      </c>
      <c r="Z428" s="413" t="s">
        <v>1801</v>
      </c>
      <c r="AA428" s="161">
        <v>0</v>
      </c>
      <c r="AB428" s="409">
        <v>0</v>
      </c>
      <c r="AC428" s="259">
        <f t="shared" si="86"/>
        <v>0</v>
      </c>
      <c r="AD428" s="22" t="s">
        <v>4233</v>
      </c>
      <c r="AG428" s="33">
        <f t="shared" si="91"/>
        <v>0</v>
      </c>
      <c r="AH428" s="120" t="s">
        <v>4227</v>
      </c>
      <c r="AI428" s="63">
        <f t="shared" si="92"/>
        <v>1.6685039370078741E-3</v>
      </c>
      <c r="AJ428" s="307">
        <f>RTD("money.excel",,$G428,"PredictVolume")</f>
        <v>2119</v>
      </c>
      <c r="AK428" s="339"/>
    </row>
    <row r="429" spans="1:37">
      <c r="A429" s="146"/>
      <c r="B429" s="93"/>
      <c r="C429" s="79"/>
      <c r="D429" s="79"/>
      <c r="E429" s="80"/>
      <c r="F429" s="6"/>
      <c r="G429" s="79"/>
      <c r="H429" s="204"/>
      <c r="I429" s="22"/>
      <c r="J429" s="323"/>
      <c r="K429" s="73"/>
      <c r="N429" s="318"/>
      <c r="O429" s="26"/>
      <c r="S429" s="34"/>
      <c r="U429" s="95"/>
      <c r="V429" s="36"/>
      <c r="W429" s="66"/>
      <c r="X429" s="15"/>
      <c r="Y429" s="3"/>
      <c r="AA429" s="2"/>
      <c r="AD429" s="22"/>
      <c r="AG429" s="33"/>
      <c r="AH429" s="120"/>
      <c r="AI429" s="63"/>
      <c r="AJ429" s="307"/>
      <c r="AK429" s="339"/>
    </row>
    <row r="430" spans="1:37">
      <c r="A430" s="130" t="s">
        <v>4191</v>
      </c>
      <c r="B430" s="91" t="s">
        <v>4192</v>
      </c>
      <c r="C430" s="91" t="s">
        <v>4193</v>
      </c>
      <c r="D430" s="91" t="s">
        <v>4194</v>
      </c>
      <c r="E430" s="91" t="s">
        <v>4195</v>
      </c>
      <c r="F430" s="8" t="s">
        <v>4196</v>
      </c>
      <c r="G430" s="27" t="s">
        <v>4234</v>
      </c>
      <c r="H430" s="55" t="s">
        <v>322</v>
      </c>
      <c r="I430" s="8" t="s">
        <v>4235</v>
      </c>
      <c r="J430" s="317" t="s">
        <v>4199</v>
      </c>
      <c r="K430" s="317" t="s">
        <v>4200</v>
      </c>
      <c r="L430" s="317" t="s">
        <v>4201</v>
      </c>
      <c r="M430" s="317" t="s">
        <v>4202</v>
      </c>
      <c r="N430" s="317" t="s">
        <v>5048</v>
      </c>
      <c r="O430" s="26" t="s">
        <v>5107</v>
      </c>
      <c r="P430" s="373" t="s">
        <v>5059</v>
      </c>
      <c r="Q430" s="245" t="s">
        <v>5087</v>
      </c>
      <c r="R430" s="345" t="s">
        <v>5059</v>
      </c>
      <c r="S430" s="10" t="s">
        <v>4203</v>
      </c>
      <c r="T430" s="351" t="s">
        <v>5076</v>
      </c>
      <c r="U430" s="68" t="s">
        <v>4204</v>
      </c>
      <c r="V430" s="28" t="s">
        <v>4205</v>
      </c>
      <c r="W430" s="17" t="s">
        <v>4206</v>
      </c>
      <c r="X430" s="14" t="s">
        <v>4207</v>
      </c>
      <c r="Y430" s="21" t="s">
        <v>4208</v>
      </c>
      <c r="Z430" s="97" t="s">
        <v>6627</v>
      </c>
      <c r="AA430" s="406" t="s">
        <v>8647</v>
      </c>
      <c r="AB430" s="407" t="s">
        <v>8648</v>
      </c>
      <c r="AC430" s="408" t="s">
        <v>8649</v>
      </c>
      <c r="AD430" s="8" t="s">
        <v>4235</v>
      </c>
      <c r="AE430" s="71" t="s">
        <v>4209</v>
      </c>
      <c r="AF430" s="72" t="s">
        <v>4210</v>
      </c>
      <c r="AG430" s="32" t="s">
        <v>4211</v>
      </c>
      <c r="AH430" s="25" t="s">
        <v>8650</v>
      </c>
      <c r="AI430" s="8" t="s">
        <v>4212</v>
      </c>
      <c r="AJ430" s="50" t="s">
        <v>4213</v>
      </c>
      <c r="AK430" s="339" t="s">
        <v>5038</v>
      </c>
    </row>
    <row r="431" spans="1:37">
      <c r="A431" s="415">
        <v>1573</v>
      </c>
      <c r="B431" s="93">
        <v>2951</v>
      </c>
      <c r="C431" s="93">
        <v>3373</v>
      </c>
      <c r="D431" s="80">
        <v>-16</v>
      </c>
      <c r="E431" s="79">
        <v>11</v>
      </c>
      <c r="F431" s="57">
        <v>17.03</v>
      </c>
      <c r="G431" s="79">
        <v>2002</v>
      </c>
      <c r="H431" s="8" t="s">
        <v>301</v>
      </c>
      <c r="I431" s="22" t="s">
        <v>4237</v>
      </c>
      <c r="J431" s="323">
        <v>66.28</v>
      </c>
      <c r="K431" s="73">
        <v>24.19</v>
      </c>
      <c r="L431" s="73">
        <v>1.31</v>
      </c>
      <c r="M431" s="73">
        <v>20.170000000000002</v>
      </c>
      <c r="N431" s="318">
        <f>J431+K431+L431+M431</f>
        <v>111.95</v>
      </c>
      <c r="O431" s="81">
        <f>IFERROR(VLOOKUP($G431,'321買'!A:E,3,0),"'沒有資料'")</f>
        <v>8</v>
      </c>
      <c r="P431" s="380">
        <f>IFERROR(VLOOKUP($G431,'321買'!$A:$G,7,0),"'沒有資料'")</f>
        <v>475</v>
      </c>
      <c r="Q431" s="245" t="s">
        <v>5063</v>
      </c>
      <c r="R431" s="297">
        <f>IFERROR(RANK(VLOOKUP($G431,連買!$A:$D,4,0),連買!$D:$D,0),"'沒有資料'")</f>
        <v>545</v>
      </c>
      <c r="S431" s="45">
        <v>3.1</v>
      </c>
      <c r="T431" s="353">
        <f t="shared" ref="T431" si="93">S431/V431</f>
        <v>7.848101265822785E-2</v>
      </c>
      <c r="U431" s="57">
        <v>4.03</v>
      </c>
      <c r="V431" s="36">
        <f>RTD("money.excel",,"2002","Price")</f>
        <v>39.5</v>
      </c>
      <c r="W431" s="66"/>
      <c r="X431" s="15">
        <f t="shared" ref="X431" si="94">V431-W431</f>
        <v>39.5</v>
      </c>
      <c r="Y431" s="3" t="e">
        <f t="shared" ref="Y431" si="95">X431/W431</f>
        <v>#DIV/0!</v>
      </c>
      <c r="Z431" s="413">
        <v>-16.149999999999999</v>
      </c>
      <c r="AA431" s="161">
        <v>0</v>
      </c>
      <c r="AB431" s="409">
        <v>0</v>
      </c>
      <c r="AC431" s="259">
        <f t="shared" si="86"/>
        <v>0</v>
      </c>
      <c r="AD431" s="22" t="s">
        <v>4237</v>
      </c>
      <c r="AG431" s="33">
        <f t="shared" ref="AG431" si="96">AF431-AE431</f>
        <v>0</v>
      </c>
      <c r="AH431" s="120" t="s">
        <v>301</v>
      </c>
      <c r="AI431" s="63">
        <f t="shared" ref="AI431:AI476" si="97">AJ431/(A431*10000)</f>
        <v>1.4556897647806739E-3</v>
      </c>
      <c r="AJ431" s="307">
        <f>RTD("money.excel",,$G431,"PredictVolume")</f>
        <v>22898</v>
      </c>
      <c r="AK431" s="339">
        <v>5.14</v>
      </c>
    </row>
    <row r="432" spans="1:37">
      <c r="A432" s="415">
        <v>108</v>
      </c>
      <c r="B432" s="79">
        <v>155</v>
      </c>
      <c r="C432" s="79">
        <v>105</v>
      </c>
      <c r="D432" s="80">
        <v>-6</v>
      </c>
      <c r="E432" s="79">
        <v>44</v>
      </c>
      <c r="F432" s="57">
        <v>12.57</v>
      </c>
      <c r="G432" s="79">
        <v>2006</v>
      </c>
      <c r="H432" s="8" t="s">
        <v>301</v>
      </c>
      <c r="I432" s="22" t="s">
        <v>4238</v>
      </c>
      <c r="J432" s="323">
        <v>63.2</v>
      </c>
      <c r="K432" s="323">
        <v>16.57</v>
      </c>
      <c r="L432" s="323">
        <v>7.39</v>
      </c>
      <c r="N432" s="318">
        <f t="shared" ref="N432:N476" si="98">J432+K432+L432+M432</f>
        <v>87.160000000000011</v>
      </c>
      <c r="O432" s="81">
        <f>IFERROR(VLOOKUP($G432,'321買'!A:E,3,0),"'沒有資料'")</f>
        <v>10</v>
      </c>
      <c r="P432" s="380">
        <f>IFERROR(VLOOKUP($G432,'321買'!$A:$G,7,0),"'沒有資料'")</f>
        <v>387</v>
      </c>
      <c r="R432" s="297">
        <f>IFERROR(RANK(VLOOKUP($G432,連買!$A:$D,4,0),連買!$D:$D,0),"'沒有資料'")</f>
        <v>649</v>
      </c>
      <c r="S432" s="34">
        <v>1.5</v>
      </c>
      <c r="T432" s="353">
        <f t="shared" ref="T432:T476" si="99">S432/V432</f>
        <v>2.1337126600284497E-2</v>
      </c>
      <c r="U432" s="57">
        <v>5.12</v>
      </c>
      <c r="V432" s="36">
        <f>RTD("money.excel",,"2006","Price")</f>
        <v>70.3</v>
      </c>
      <c r="W432" s="66"/>
      <c r="X432" s="15">
        <f t="shared" ref="X432:X476" si="100">V432-W432</f>
        <v>70.3</v>
      </c>
      <c r="Y432" s="3" t="e">
        <f t="shared" ref="Y432:Y476" si="101">X432/W432</f>
        <v>#DIV/0!</v>
      </c>
      <c r="Z432" s="413" t="s">
        <v>1801</v>
      </c>
      <c r="AA432" s="161">
        <v>0</v>
      </c>
      <c r="AB432" s="409">
        <v>0</v>
      </c>
      <c r="AC432" s="259">
        <f t="shared" si="86"/>
        <v>0</v>
      </c>
      <c r="AD432" s="22" t="s">
        <v>4238</v>
      </c>
      <c r="AG432" s="33">
        <f t="shared" ref="AG432:AG476" si="102">AF432-AE432</f>
        <v>0</v>
      </c>
      <c r="AH432" s="43" t="s">
        <v>4239</v>
      </c>
      <c r="AI432" s="63">
        <f t="shared" si="97"/>
        <v>2.7425925925925925E-3</v>
      </c>
      <c r="AJ432" s="307">
        <f>RTD("money.excel",,$G432,"PredictVolume")</f>
        <v>2962</v>
      </c>
      <c r="AK432" s="339"/>
    </row>
    <row r="433" spans="1:37">
      <c r="A433" s="416">
        <v>53</v>
      </c>
      <c r="B433" s="79">
        <v>6</v>
      </c>
      <c r="C433" s="79">
        <v>1</v>
      </c>
      <c r="D433" s="91">
        <v>-3</v>
      </c>
      <c r="E433" s="79">
        <v>10</v>
      </c>
      <c r="F433" s="6">
        <v>-7.39</v>
      </c>
      <c r="G433" s="79">
        <v>2007</v>
      </c>
      <c r="H433" s="8" t="s">
        <v>301</v>
      </c>
      <c r="I433" s="22" t="s">
        <v>4240</v>
      </c>
      <c r="J433" s="73">
        <v>80.319999999999993</v>
      </c>
      <c r="K433" s="73">
        <v>0.61</v>
      </c>
      <c r="N433" s="318">
        <f t="shared" si="98"/>
        <v>80.929999999999993</v>
      </c>
      <c r="O433" s="81">
        <f>IFERROR(VLOOKUP($G433,'321買'!A:E,3,0),"'沒有資料'")</f>
        <v>5</v>
      </c>
      <c r="P433" s="380">
        <f>IFERROR(VLOOKUP($G433,'321買'!$A:$G,7,0),"'沒有資料'")</f>
        <v>475</v>
      </c>
      <c r="R433" s="297">
        <f>IFERROR(RANK(VLOOKUP($G433,連買!$A:$D,4,0),連買!$D:$D,0),"'沒有資料'")</f>
        <v>1554</v>
      </c>
      <c r="S433" s="34">
        <v>0</v>
      </c>
      <c r="T433" s="353">
        <f t="shared" si="99"/>
        <v>0</v>
      </c>
      <c r="U433" s="95">
        <v>-0.89</v>
      </c>
      <c r="V433" s="36">
        <f>RTD("money.excel",,"2007","Price")</f>
        <v>21</v>
      </c>
      <c r="W433" s="66"/>
      <c r="X433" s="15">
        <f t="shared" si="100"/>
        <v>21</v>
      </c>
      <c r="Y433" s="3" t="e">
        <f t="shared" si="101"/>
        <v>#DIV/0!</v>
      </c>
      <c r="Z433" s="413" t="s">
        <v>1801</v>
      </c>
      <c r="AA433" s="161">
        <v>0</v>
      </c>
      <c r="AB433" s="409">
        <v>0</v>
      </c>
      <c r="AC433" s="259">
        <f t="shared" si="86"/>
        <v>0</v>
      </c>
      <c r="AD433" s="22" t="s">
        <v>4240</v>
      </c>
      <c r="AG433" s="33">
        <f t="shared" si="102"/>
        <v>0</v>
      </c>
      <c r="AH433" s="43" t="s">
        <v>4241</v>
      </c>
      <c r="AI433" s="63">
        <f t="shared" si="97"/>
        <v>9.3849056603773576E-3</v>
      </c>
      <c r="AJ433" s="307">
        <f>RTD("money.excel",,$G433,"PredictVolume")</f>
        <v>4974</v>
      </c>
      <c r="AK433" s="339"/>
    </row>
    <row r="434" spans="1:37">
      <c r="A434" s="416">
        <v>20</v>
      </c>
      <c r="B434" s="80">
        <v>-203</v>
      </c>
      <c r="C434" s="80">
        <v>-448</v>
      </c>
      <c r="D434" s="79">
        <v>10</v>
      </c>
      <c r="E434" s="80">
        <v>-36</v>
      </c>
      <c r="F434" s="6">
        <v>-26.89</v>
      </c>
      <c r="G434" s="79">
        <v>2008</v>
      </c>
      <c r="H434" s="8" t="s">
        <v>301</v>
      </c>
      <c r="I434" s="22" t="s">
        <v>4242</v>
      </c>
      <c r="J434" s="73">
        <v>89.52</v>
      </c>
      <c r="K434" s="73">
        <v>7.35</v>
      </c>
      <c r="L434" s="323">
        <v>0.01</v>
      </c>
      <c r="N434" s="318">
        <f t="shared" si="98"/>
        <v>96.88</v>
      </c>
      <c r="O434" s="81">
        <f>IFERROR(VLOOKUP($G434,'321買'!A:E,3,0),"'沒有資料'")</f>
        <v>2</v>
      </c>
      <c r="P434" s="380">
        <f>IFERROR(VLOOKUP($G434,'321買'!$A:$G,7,0),"'沒有資料'")</f>
        <v>706</v>
      </c>
      <c r="R434" s="297">
        <f>IFERROR(RANK(VLOOKUP($G434,連買!$A:$D,4,0),連買!$D:$D,0),"'沒有資料'")</f>
        <v>818</v>
      </c>
      <c r="S434" s="34">
        <v>0</v>
      </c>
      <c r="T434" s="353">
        <f t="shared" si="99"/>
        <v>0</v>
      </c>
      <c r="U434" s="95">
        <v>-0.16</v>
      </c>
      <c r="V434" s="36">
        <f>RTD("money.excel",,"2008","Price")</f>
        <v>19.600000000000001</v>
      </c>
      <c r="W434" s="66"/>
      <c r="X434" s="15">
        <f t="shared" si="100"/>
        <v>19.600000000000001</v>
      </c>
      <c r="Y434" s="3" t="e">
        <f t="shared" si="101"/>
        <v>#DIV/0!</v>
      </c>
      <c r="Z434" s="413" t="s">
        <v>1801</v>
      </c>
      <c r="AA434" s="161">
        <v>0</v>
      </c>
      <c r="AB434" s="409">
        <v>0</v>
      </c>
      <c r="AC434" s="259">
        <f t="shared" si="86"/>
        <v>0</v>
      </c>
      <c r="AD434" s="22" t="s">
        <v>4242</v>
      </c>
      <c r="AG434" s="33">
        <f t="shared" si="102"/>
        <v>0</v>
      </c>
      <c r="AH434" s="43" t="s">
        <v>4243</v>
      </c>
      <c r="AI434" s="63">
        <f t="shared" si="97"/>
        <v>1.23E-3</v>
      </c>
      <c r="AJ434" s="307">
        <f>RTD("money.excel",,$G434,"PredictVolume")</f>
        <v>246</v>
      </c>
      <c r="AK434" s="339"/>
    </row>
    <row r="435" spans="1:37">
      <c r="A435" s="415">
        <v>35.9</v>
      </c>
      <c r="B435" s="79">
        <v>218</v>
      </c>
      <c r="C435" s="79">
        <v>230</v>
      </c>
      <c r="D435" s="80">
        <v>-4</v>
      </c>
      <c r="E435" s="79">
        <v>53</v>
      </c>
      <c r="F435" s="57">
        <v>11.13</v>
      </c>
      <c r="G435" s="79">
        <v>2009</v>
      </c>
      <c r="H435" s="8" t="s">
        <v>301</v>
      </c>
      <c r="I435" s="22" t="s">
        <v>4244</v>
      </c>
      <c r="J435" s="73">
        <v>57.81</v>
      </c>
      <c r="K435" s="73">
        <v>3.95</v>
      </c>
      <c r="L435" s="323">
        <v>14.78</v>
      </c>
      <c r="N435" s="318">
        <f t="shared" si="98"/>
        <v>76.540000000000006</v>
      </c>
      <c r="O435" s="81">
        <f>IFERROR(VLOOKUP($G435,'321買'!A:E,3,0),"'沒有資料'")</f>
        <v>18</v>
      </c>
      <c r="P435" s="380">
        <f>IFERROR(VLOOKUP($G435,'321買'!$A:$G,7,0),"'沒有資料'")</f>
        <v>265</v>
      </c>
      <c r="R435" s="297">
        <f>IFERROR(RANK(VLOOKUP($G435,連買!$A:$D,4,0),連買!$D:$D,0),"'沒有資料'")</f>
        <v>320</v>
      </c>
      <c r="S435" s="34">
        <v>0.8</v>
      </c>
      <c r="T435" s="353">
        <f t="shared" si="99"/>
        <v>1.8202502844141068E-2</v>
      </c>
      <c r="U435" s="57">
        <v>1.18</v>
      </c>
      <c r="V435" s="36">
        <f>RTD("money.excel",,"2009","Price")</f>
        <v>43.95</v>
      </c>
      <c r="W435" s="66"/>
      <c r="X435" s="15">
        <f t="shared" si="100"/>
        <v>43.95</v>
      </c>
      <c r="Y435" s="3" t="e">
        <f t="shared" si="101"/>
        <v>#DIV/0!</v>
      </c>
      <c r="Z435" s="413" t="s">
        <v>1801</v>
      </c>
      <c r="AA435" s="161">
        <v>0</v>
      </c>
      <c r="AB435" s="409">
        <v>0</v>
      </c>
      <c r="AC435" s="259">
        <f t="shared" si="86"/>
        <v>0</v>
      </c>
      <c r="AD435" s="22" t="s">
        <v>4244</v>
      </c>
      <c r="AG435" s="33">
        <f t="shared" si="102"/>
        <v>0</v>
      </c>
      <c r="AH435" s="43" t="s">
        <v>4245</v>
      </c>
      <c r="AI435" s="63">
        <f t="shared" si="97"/>
        <v>2.67966573816156E-3</v>
      </c>
      <c r="AJ435" s="307">
        <f>RTD("money.excel",,$G435,"PredictVolume")</f>
        <v>962</v>
      </c>
      <c r="AK435" s="339"/>
    </row>
    <row r="436" spans="1:37">
      <c r="A436" s="416">
        <v>64.7</v>
      </c>
      <c r="B436" s="79">
        <v>327</v>
      </c>
      <c r="C436" s="79">
        <v>353</v>
      </c>
      <c r="D436" s="80">
        <v>-2</v>
      </c>
      <c r="E436" s="79">
        <v>36</v>
      </c>
      <c r="F436" s="6">
        <v>5.78</v>
      </c>
      <c r="G436" s="79">
        <v>2010</v>
      </c>
      <c r="H436" s="8" t="s">
        <v>301</v>
      </c>
      <c r="I436" s="22" t="s">
        <v>4246</v>
      </c>
      <c r="J436" s="73">
        <v>60.58</v>
      </c>
      <c r="K436" s="73">
        <v>4.3899999999999997</v>
      </c>
      <c r="L436" s="323">
        <v>7.1</v>
      </c>
      <c r="N436" s="318">
        <f t="shared" si="98"/>
        <v>72.069999999999993</v>
      </c>
      <c r="O436" s="81">
        <f>IFERROR(VLOOKUP($G436,'321買'!A:E,3,0),"'沒有資料'")</f>
        <v>9</v>
      </c>
      <c r="P436" s="380">
        <f>IFERROR(VLOOKUP($G436,'321買'!$A:$G,7,0),"'沒有資料'")</f>
        <v>433</v>
      </c>
      <c r="R436" s="297">
        <f>IFERROR(RANK(VLOOKUP($G436,連買!$A:$D,4,0),連買!$D:$D,0),"'沒有資料'")</f>
        <v>664</v>
      </c>
      <c r="S436" s="34">
        <v>0.6</v>
      </c>
      <c r="T436" s="353">
        <f t="shared" si="99"/>
        <v>2.3622047244094488E-2</v>
      </c>
      <c r="U436" s="57">
        <v>1.54</v>
      </c>
      <c r="V436" s="36">
        <f>RTD("money.excel",,"2010","Price")</f>
        <v>25.4</v>
      </c>
      <c r="W436" s="66"/>
      <c r="X436" s="15">
        <f t="shared" si="100"/>
        <v>25.4</v>
      </c>
      <c r="Y436" s="3" t="e">
        <f t="shared" si="101"/>
        <v>#DIV/0!</v>
      </c>
      <c r="Z436" s="413" t="s">
        <v>1801</v>
      </c>
      <c r="AA436" s="161">
        <v>0</v>
      </c>
      <c r="AB436" s="409">
        <v>0</v>
      </c>
      <c r="AC436" s="259">
        <f t="shared" si="86"/>
        <v>0</v>
      </c>
      <c r="AD436" s="22" t="s">
        <v>4246</v>
      </c>
      <c r="AG436" s="33">
        <f t="shared" si="102"/>
        <v>0</v>
      </c>
      <c r="AH436" s="43" t="s">
        <v>4247</v>
      </c>
      <c r="AI436" s="63">
        <f t="shared" si="97"/>
        <v>5.7727975270479136E-3</v>
      </c>
      <c r="AJ436" s="307">
        <f>RTD("money.excel",,$G436,"PredictVolume")</f>
        <v>3735</v>
      </c>
      <c r="AK436" s="339"/>
    </row>
    <row r="437" spans="1:37">
      <c r="A437" s="416">
        <v>28.7</v>
      </c>
      <c r="B437" s="79">
        <v>242</v>
      </c>
      <c r="C437" s="79">
        <v>187</v>
      </c>
      <c r="D437" s="80">
        <v>-4</v>
      </c>
      <c r="E437" s="79">
        <v>49</v>
      </c>
      <c r="F437" s="6">
        <v>9.02</v>
      </c>
      <c r="G437" s="79">
        <v>2012</v>
      </c>
      <c r="H437" s="8" t="s">
        <v>301</v>
      </c>
      <c r="I437" s="22" t="s">
        <v>4248</v>
      </c>
      <c r="J437" s="73">
        <v>71.040000000000006</v>
      </c>
      <c r="K437" s="73">
        <v>1.75</v>
      </c>
      <c r="L437" s="323">
        <v>4.93</v>
      </c>
      <c r="N437" s="318">
        <f t="shared" si="98"/>
        <v>77.72</v>
      </c>
      <c r="O437" s="81">
        <f>IFERROR(VLOOKUP($G437,'321買'!A:E,3,0),"'沒有資料'")</f>
        <v>2</v>
      </c>
      <c r="P437" s="380">
        <f>IFERROR(VLOOKUP($G437,'321買'!$A:$G,7,0),"'沒有資料'")</f>
        <v>706</v>
      </c>
      <c r="R437" s="297">
        <f>IFERROR(RANK(VLOOKUP($G437,連買!$A:$D,4,0),連買!$D:$D,0),"'沒有資料'")</f>
        <v>592</v>
      </c>
      <c r="S437" s="34">
        <v>0.6</v>
      </c>
      <c r="T437" s="353">
        <f t="shared" si="99"/>
        <v>1.8633540372670804E-2</v>
      </c>
      <c r="U437" s="57">
        <v>1.77</v>
      </c>
      <c r="V437" s="36">
        <f>RTD("money.excel",,"2012","Price")</f>
        <v>32.200000000000003</v>
      </c>
      <c r="W437" s="66"/>
      <c r="X437" s="15">
        <f t="shared" si="100"/>
        <v>32.200000000000003</v>
      </c>
      <c r="Y437" s="3" t="e">
        <f t="shared" si="101"/>
        <v>#DIV/0!</v>
      </c>
      <c r="Z437" s="413" t="s">
        <v>1801</v>
      </c>
      <c r="AA437" s="161">
        <v>0</v>
      </c>
      <c r="AB437" s="409">
        <v>0</v>
      </c>
      <c r="AC437" s="259">
        <f t="shared" si="86"/>
        <v>0</v>
      </c>
      <c r="AD437" s="22" t="s">
        <v>4248</v>
      </c>
      <c r="AG437" s="33">
        <f t="shared" si="102"/>
        <v>0</v>
      </c>
      <c r="AH437" s="43" t="s">
        <v>4249</v>
      </c>
      <c r="AI437" s="63">
        <f t="shared" si="97"/>
        <v>2.3379790940766549E-3</v>
      </c>
      <c r="AJ437" s="307">
        <f>RTD("money.excel",,$G437,"PredictVolume")</f>
        <v>671</v>
      </c>
      <c r="AK437" s="339"/>
    </row>
    <row r="438" spans="1:37">
      <c r="A438" s="416">
        <v>20</v>
      </c>
      <c r="B438" s="80">
        <v>-31</v>
      </c>
      <c r="C438" s="79">
        <v>78</v>
      </c>
      <c r="D438" s="79">
        <v>34</v>
      </c>
      <c r="E438" s="79">
        <v>59</v>
      </c>
      <c r="F438" s="6">
        <v>2.06</v>
      </c>
      <c r="G438" s="79">
        <v>2013</v>
      </c>
      <c r="H438" s="8" t="s">
        <v>301</v>
      </c>
      <c r="I438" s="22" t="s">
        <v>4250</v>
      </c>
      <c r="J438" s="73">
        <v>67.599999999999994</v>
      </c>
      <c r="K438" s="323">
        <v>8.5</v>
      </c>
      <c r="L438" s="323">
        <v>25.77</v>
      </c>
      <c r="M438" s="73">
        <v>43.1</v>
      </c>
      <c r="N438" s="73">
        <f t="shared" si="98"/>
        <v>144.97</v>
      </c>
      <c r="O438" s="81">
        <f>IFERROR(VLOOKUP($G438,'321買'!A:E,3,0),"'沒有資料'")</f>
        <v>19</v>
      </c>
      <c r="P438" s="380">
        <f>IFERROR(VLOOKUP($G438,'321買'!$A:$G,7,0),"'沒有資料'")</f>
        <v>250</v>
      </c>
      <c r="Q438" s="245" t="s">
        <v>5079</v>
      </c>
      <c r="R438" s="297">
        <f>IFERROR(RANK(VLOOKUP($G438,連買!$A:$D,4,0),連買!$D:$D,0),"'沒有資料'")</f>
        <v>338</v>
      </c>
      <c r="S438" s="34">
        <v>2.8</v>
      </c>
      <c r="T438" s="353">
        <f t="shared" si="99"/>
        <v>4.7297297297297293E-2</v>
      </c>
      <c r="U438" s="57">
        <v>2.52</v>
      </c>
      <c r="V438" s="36">
        <f>RTD("money.excel",,"2013","Price")</f>
        <v>59.2</v>
      </c>
      <c r="W438" s="66"/>
      <c r="X438" s="15">
        <f t="shared" si="100"/>
        <v>59.2</v>
      </c>
      <c r="Y438" s="3" t="e">
        <f t="shared" si="101"/>
        <v>#DIV/0!</v>
      </c>
      <c r="Z438" s="413" t="s">
        <v>1801</v>
      </c>
      <c r="AA438" s="161">
        <v>0</v>
      </c>
      <c r="AB438" s="409">
        <v>0</v>
      </c>
      <c r="AC438" s="259">
        <f t="shared" si="86"/>
        <v>0</v>
      </c>
      <c r="AD438" s="22" t="s">
        <v>4250</v>
      </c>
      <c r="AG438" s="33">
        <f t="shared" si="102"/>
        <v>0</v>
      </c>
      <c r="AH438" s="120" t="s">
        <v>4251</v>
      </c>
      <c r="AI438" s="63">
        <f t="shared" si="97"/>
        <v>3.7850000000000002E-3</v>
      </c>
      <c r="AJ438" s="307">
        <f>RTD("money.excel",,$G438,"PredictVolume")</f>
        <v>757</v>
      </c>
      <c r="AK438" s="339">
        <v>18.77</v>
      </c>
    </row>
    <row r="439" spans="1:37">
      <c r="A439" s="415">
        <v>143</v>
      </c>
      <c r="B439" s="93">
        <v>2378</v>
      </c>
      <c r="C439" s="93">
        <v>1707</v>
      </c>
      <c r="D439" s="80">
        <v>-5</v>
      </c>
      <c r="E439" s="79">
        <v>52</v>
      </c>
      <c r="F439" s="57">
        <v>13.52</v>
      </c>
      <c r="G439" s="79">
        <v>2014</v>
      </c>
      <c r="H439" s="8" t="s">
        <v>301</v>
      </c>
      <c r="I439" s="22" t="s">
        <v>4252</v>
      </c>
      <c r="J439" s="73">
        <v>53.81</v>
      </c>
      <c r="K439" s="73">
        <v>8.49</v>
      </c>
      <c r="L439" s="73">
        <v>16.29</v>
      </c>
      <c r="M439" s="323">
        <v>40.590000000000003</v>
      </c>
      <c r="N439" s="318">
        <f t="shared" si="98"/>
        <v>119.18</v>
      </c>
      <c r="O439" s="81">
        <f>IFERROR(VLOOKUP($G439,'321買'!A:E,3,0),"'沒有資料'")</f>
        <v>33</v>
      </c>
      <c r="P439" s="380">
        <f>IFERROR(VLOOKUP($G439,'321買'!$A:$G,7,0),"'沒有資料'")</f>
        <v>147</v>
      </c>
      <c r="Q439" s="245" t="s">
        <v>3815</v>
      </c>
      <c r="R439" s="297">
        <f>IFERROR(RANK(VLOOKUP($G439,連買!$A:$D,4,0),連買!$D:$D,0),"'沒有資料'")</f>
        <v>453</v>
      </c>
      <c r="S439" s="34">
        <v>0.3</v>
      </c>
      <c r="T439" s="353">
        <f t="shared" si="99"/>
        <v>6.41025641025641E-3</v>
      </c>
      <c r="U439" s="57">
        <v>4.33</v>
      </c>
      <c r="V439" s="36">
        <f>RTD("money.excel",,"2014","Price")</f>
        <v>46.8</v>
      </c>
      <c r="W439" s="66"/>
      <c r="X439" s="15">
        <f t="shared" si="100"/>
        <v>46.8</v>
      </c>
      <c r="Y439" s="3" t="e">
        <f t="shared" si="101"/>
        <v>#DIV/0!</v>
      </c>
      <c r="Z439" s="413" t="s">
        <v>1801</v>
      </c>
      <c r="AA439" s="161">
        <v>0</v>
      </c>
      <c r="AB439" s="409">
        <v>0</v>
      </c>
      <c r="AC439" s="259">
        <f t="shared" si="86"/>
        <v>0</v>
      </c>
      <c r="AD439" s="22" t="s">
        <v>4252</v>
      </c>
      <c r="AG439" s="33">
        <f t="shared" si="102"/>
        <v>0</v>
      </c>
      <c r="AH439" s="43" t="s">
        <v>4253</v>
      </c>
      <c r="AI439" s="63">
        <f t="shared" si="97"/>
        <v>8.3909090909090912E-3</v>
      </c>
      <c r="AJ439" s="307">
        <f>RTD("money.excel",,$G439,"PredictVolume")</f>
        <v>11999</v>
      </c>
      <c r="AK439" s="339"/>
    </row>
    <row r="440" spans="1:37">
      <c r="A440" s="415">
        <v>58.1</v>
      </c>
      <c r="B440" s="79">
        <v>29</v>
      </c>
      <c r="C440" s="79">
        <v>50</v>
      </c>
      <c r="D440" s="80">
        <v>-1</v>
      </c>
      <c r="E440" s="80">
        <v>-3</v>
      </c>
      <c r="F440" s="57">
        <v>11.58</v>
      </c>
      <c r="G440" s="79">
        <v>2015</v>
      </c>
      <c r="H440" s="8" t="s">
        <v>301</v>
      </c>
      <c r="I440" s="22" t="s">
        <v>4254</v>
      </c>
      <c r="J440" s="73">
        <v>79.709999999999994</v>
      </c>
      <c r="K440" s="73">
        <v>9.4600000000000009</v>
      </c>
      <c r="L440" s="73">
        <v>7.0000000000000007E-2</v>
      </c>
      <c r="N440" s="318">
        <f t="shared" si="98"/>
        <v>89.239999999999981</v>
      </c>
      <c r="O440" s="81">
        <f>IFERROR(VLOOKUP($G440,'321買'!A:E,3,0),"'沒有資料'")</f>
        <v>0</v>
      </c>
      <c r="P440" s="380">
        <f>IFERROR(VLOOKUP($G440,'321買'!$A:$G,7,0),"'沒有資料'")</f>
        <v>911</v>
      </c>
      <c r="R440" s="297">
        <f>IFERROR(RANK(VLOOKUP($G440,連買!$A:$D,4,0),連買!$D:$D,0),"'沒有資料'")</f>
        <v>153</v>
      </c>
      <c r="S440" s="66">
        <v>3.5</v>
      </c>
      <c r="T440" s="353">
        <f t="shared" si="99"/>
        <v>3.8461538461538464E-2</v>
      </c>
      <c r="U440" s="95">
        <v>4.5</v>
      </c>
      <c r="V440" s="36">
        <f>RTD("money.excel",,"2015","Price")</f>
        <v>91</v>
      </c>
      <c r="W440" s="66"/>
      <c r="X440" s="15">
        <f t="shared" si="100"/>
        <v>91</v>
      </c>
      <c r="Y440" s="3" t="e">
        <f t="shared" si="101"/>
        <v>#DIV/0!</v>
      </c>
      <c r="Z440" s="413" t="s">
        <v>1997</v>
      </c>
      <c r="AA440" s="161">
        <v>0</v>
      </c>
      <c r="AB440" s="409">
        <v>0</v>
      </c>
      <c r="AC440" s="259">
        <f t="shared" si="86"/>
        <v>0</v>
      </c>
      <c r="AD440" s="22" t="s">
        <v>4254</v>
      </c>
      <c r="AG440" s="33">
        <f t="shared" si="102"/>
        <v>0</v>
      </c>
      <c r="AH440" s="120" t="s">
        <v>2845</v>
      </c>
      <c r="AI440" s="63">
        <f t="shared" si="97"/>
        <v>5.5938037865748704E-4</v>
      </c>
      <c r="AJ440" s="307">
        <f>RTD("money.excel",,$G440,"PredictVolume")</f>
        <v>325</v>
      </c>
      <c r="AK440" s="339"/>
    </row>
    <row r="441" spans="1:37">
      <c r="A441" s="415">
        <v>34.1</v>
      </c>
      <c r="B441" s="79">
        <v>585</v>
      </c>
      <c r="C441" s="79">
        <v>348</v>
      </c>
      <c r="D441" s="80">
        <v>-11</v>
      </c>
      <c r="E441" s="80">
        <v>-36</v>
      </c>
      <c r="F441" s="57">
        <v>14.54</v>
      </c>
      <c r="G441" s="79">
        <v>2017</v>
      </c>
      <c r="H441" s="8" t="s">
        <v>301</v>
      </c>
      <c r="I441" s="22" t="s">
        <v>4255</v>
      </c>
      <c r="J441" s="323">
        <v>63.5</v>
      </c>
      <c r="K441" s="73">
        <v>15.14</v>
      </c>
      <c r="L441" s="323">
        <v>10.11</v>
      </c>
      <c r="N441" s="318">
        <f t="shared" si="98"/>
        <v>88.75</v>
      </c>
      <c r="O441" s="81">
        <f>IFERROR(VLOOKUP($G441,'321買'!A:E,3,0),"'沒有資料'")</f>
        <v>14</v>
      </c>
      <c r="P441" s="380">
        <f>IFERROR(VLOOKUP($G441,'321買'!$A:$G,7,0),"'沒有資料'")</f>
        <v>348</v>
      </c>
      <c r="R441" s="297">
        <f>IFERROR(RANK(VLOOKUP($G441,連買!$A:$D,4,0),連買!$D:$D,0),"'沒有資料'")</f>
        <v>1383</v>
      </c>
      <c r="S441" s="34">
        <v>0.3</v>
      </c>
      <c r="T441" s="353">
        <f t="shared" si="99"/>
        <v>1.4705882352941176E-2</v>
      </c>
      <c r="U441" s="57">
        <v>1.45</v>
      </c>
      <c r="V441" s="36">
        <f>RTD("money.excel",,"2017","Price")</f>
        <v>20.399999999999999</v>
      </c>
      <c r="W441" s="66"/>
      <c r="X441" s="15">
        <f t="shared" si="100"/>
        <v>20.399999999999999</v>
      </c>
      <c r="Y441" s="3" t="e">
        <f t="shared" si="101"/>
        <v>#DIV/0!</v>
      </c>
      <c r="AA441" s="161">
        <v>0</v>
      </c>
      <c r="AB441" s="409">
        <v>0</v>
      </c>
      <c r="AC441" s="259">
        <f t="shared" si="86"/>
        <v>0</v>
      </c>
      <c r="AD441" s="22" t="s">
        <v>4255</v>
      </c>
      <c r="AG441" s="33">
        <f t="shared" si="102"/>
        <v>0</v>
      </c>
      <c r="AH441" s="43" t="s">
        <v>4256</v>
      </c>
      <c r="AI441" s="63">
        <f t="shared" si="97"/>
        <v>4.438709677419355E-2</v>
      </c>
      <c r="AJ441" s="307">
        <f>RTD("money.excel",,$G441,"PredictVolume")</f>
        <v>15136</v>
      </c>
      <c r="AK441" s="339"/>
    </row>
    <row r="442" spans="1:37">
      <c r="A442" s="416">
        <v>22.2</v>
      </c>
      <c r="B442" s="80">
        <v>-18</v>
      </c>
      <c r="C442" s="80">
        <v>-29</v>
      </c>
      <c r="D442" s="79">
        <v>3</v>
      </c>
      <c r="E442" s="79">
        <v>30</v>
      </c>
      <c r="F442" s="6">
        <v>4.26</v>
      </c>
      <c r="G442" s="79">
        <v>2020</v>
      </c>
      <c r="H442" s="8" t="s">
        <v>301</v>
      </c>
      <c r="I442" s="22" t="s">
        <v>4257</v>
      </c>
      <c r="J442" s="73">
        <v>57.13</v>
      </c>
      <c r="K442" s="73">
        <v>2.1800000000000002</v>
      </c>
      <c r="L442" s="73">
        <v>1.95</v>
      </c>
      <c r="N442" s="318">
        <f t="shared" si="98"/>
        <v>61.260000000000005</v>
      </c>
      <c r="O442" s="81">
        <f>IFERROR(VLOOKUP($G442,'321買'!A:E,3,0),"'沒有資料'")</f>
        <v>11</v>
      </c>
      <c r="P442" s="380">
        <f>IFERROR(VLOOKUP($G442,'321買'!$A:$G,7,0),"'沒有資料'")</f>
        <v>387</v>
      </c>
      <c r="R442" s="297">
        <f>IFERROR(RANK(VLOOKUP($G442,連買!$A:$D,4,0),連買!$D:$D,0),"'沒有資料'")</f>
        <v>615</v>
      </c>
      <c r="S442" s="34">
        <v>1.85</v>
      </c>
      <c r="T442" s="353">
        <f t="shared" si="99"/>
        <v>5.6402439024390252E-2</v>
      </c>
      <c r="U442" s="95">
        <v>1.76</v>
      </c>
      <c r="V442" s="36">
        <f>RTD("money.excel",,"2020","Price")</f>
        <v>32.799999999999997</v>
      </c>
      <c r="W442" s="66"/>
      <c r="X442" s="15">
        <f t="shared" si="100"/>
        <v>32.799999999999997</v>
      </c>
      <c r="Y442" s="3" t="e">
        <f t="shared" si="101"/>
        <v>#DIV/0!</v>
      </c>
      <c r="Z442" s="413" t="s">
        <v>1801</v>
      </c>
      <c r="AA442" s="161">
        <v>0</v>
      </c>
      <c r="AB442" s="409">
        <v>0</v>
      </c>
      <c r="AC442" s="259">
        <f t="shared" si="86"/>
        <v>0</v>
      </c>
      <c r="AD442" s="22" t="s">
        <v>4257</v>
      </c>
      <c r="AG442" s="33">
        <f t="shared" si="102"/>
        <v>0</v>
      </c>
      <c r="AH442" s="43" t="s">
        <v>4243</v>
      </c>
      <c r="AI442" s="63">
        <f t="shared" si="97"/>
        <v>2.2612612612612614E-3</v>
      </c>
      <c r="AJ442" s="307">
        <f>RTD("money.excel",,$G442,"PredictVolume")</f>
        <v>502</v>
      </c>
      <c r="AK442" s="339"/>
    </row>
    <row r="443" spans="1:37">
      <c r="A443" s="416">
        <v>47.9</v>
      </c>
      <c r="B443" s="80">
        <v>-300</v>
      </c>
      <c r="C443" s="80">
        <v>-335</v>
      </c>
      <c r="D443" s="80">
        <v>-7</v>
      </c>
      <c r="E443" s="80">
        <v>-25</v>
      </c>
      <c r="F443" s="6">
        <v>-1.53</v>
      </c>
      <c r="G443" s="79">
        <v>2022</v>
      </c>
      <c r="H443" s="8" t="s">
        <v>301</v>
      </c>
      <c r="I443" s="22" t="s">
        <v>4258</v>
      </c>
      <c r="J443" s="323">
        <v>66.41</v>
      </c>
      <c r="K443" s="73">
        <v>3.33</v>
      </c>
      <c r="L443" s="323">
        <v>4.47</v>
      </c>
      <c r="N443" s="318">
        <f t="shared" si="98"/>
        <v>74.209999999999994</v>
      </c>
      <c r="O443" s="81">
        <f>IFERROR(VLOOKUP($G443,'321買'!A:E,3,0),"'沒有資料'")</f>
        <v>15</v>
      </c>
      <c r="P443" s="380">
        <f>IFERROR(VLOOKUP($G443,'321買'!$A:$G,7,0),"'沒有資料'")</f>
        <v>336</v>
      </c>
      <c r="R443" s="297">
        <f>IFERROR(RANK(VLOOKUP($G443,連買!$A:$D,4,0),連買!$D:$D,0),"'沒有資料'")</f>
        <v>1610</v>
      </c>
      <c r="S443" s="34">
        <v>0</v>
      </c>
      <c r="T443" s="353">
        <f t="shared" si="99"/>
        <v>0</v>
      </c>
      <c r="U443" s="95">
        <v>-0.39</v>
      </c>
      <c r="V443" s="36">
        <f>RTD("money.excel",,"2022","Price")</f>
        <v>12.6</v>
      </c>
      <c r="W443" s="66"/>
      <c r="X443" s="15">
        <f t="shared" si="100"/>
        <v>12.6</v>
      </c>
      <c r="Y443" s="3" t="e">
        <f t="shared" si="101"/>
        <v>#DIV/0!</v>
      </c>
      <c r="Z443" s="413" t="s">
        <v>1801</v>
      </c>
      <c r="AA443" s="161">
        <v>0</v>
      </c>
      <c r="AB443" s="409">
        <v>0</v>
      </c>
      <c r="AC443" s="259">
        <f t="shared" si="86"/>
        <v>0</v>
      </c>
      <c r="AD443" s="22" t="s">
        <v>4258</v>
      </c>
      <c r="AG443" s="33">
        <f t="shared" si="102"/>
        <v>0</v>
      </c>
      <c r="AH443" s="43" t="s">
        <v>4259</v>
      </c>
      <c r="AI443" s="63">
        <f t="shared" si="97"/>
        <v>3.2484342379958246E-3</v>
      </c>
      <c r="AJ443" s="307">
        <f>RTD("money.excel",,$G443,"PredictVolume")</f>
        <v>1556</v>
      </c>
      <c r="AK443" s="339"/>
    </row>
    <row r="444" spans="1:37">
      <c r="A444" s="416">
        <v>189</v>
      </c>
      <c r="B444" s="79">
        <v>34</v>
      </c>
      <c r="C444" s="79">
        <v>106</v>
      </c>
      <c r="D444" s="80">
        <v>-21</v>
      </c>
      <c r="E444" s="80">
        <v>-19</v>
      </c>
      <c r="F444" s="6">
        <v>0.23</v>
      </c>
      <c r="G444" s="79">
        <v>2023</v>
      </c>
      <c r="H444" s="8" t="s">
        <v>301</v>
      </c>
      <c r="I444" s="22" t="s">
        <v>4260</v>
      </c>
      <c r="J444" s="73">
        <v>77.849999999999994</v>
      </c>
      <c r="K444" s="323">
        <v>6.42</v>
      </c>
      <c r="L444" s="73">
        <v>1.1000000000000001</v>
      </c>
      <c r="N444" s="318">
        <f t="shared" si="98"/>
        <v>85.36999999999999</v>
      </c>
      <c r="O444" s="81">
        <f>IFERROR(VLOOKUP($G444,'321買'!A:E,3,0),"'沒有資料'")</f>
        <v>8</v>
      </c>
      <c r="P444" s="380">
        <f>IFERROR(VLOOKUP($G444,'321買'!$A:$G,7,0),"'沒有資料'")</f>
        <v>433</v>
      </c>
      <c r="R444" s="297">
        <f>IFERROR(RANK(VLOOKUP($G444,連買!$A:$D,4,0),連買!$D:$D,0),"'沒有資料'")</f>
        <v>682</v>
      </c>
      <c r="S444" s="34">
        <v>0</v>
      </c>
      <c r="T444" s="353">
        <f t="shared" si="99"/>
        <v>0</v>
      </c>
      <c r="U444" s="95">
        <v>0.39</v>
      </c>
      <c r="V444" s="36">
        <f>RTD("money.excel",,"2023","Price")</f>
        <v>25.7</v>
      </c>
      <c r="W444" s="66"/>
      <c r="X444" s="15">
        <f t="shared" si="100"/>
        <v>25.7</v>
      </c>
      <c r="Y444" s="3" t="e">
        <f t="shared" si="101"/>
        <v>#DIV/0!</v>
      </c>
      <c r="Z444" s="413" t="s">
        <v>1801</v>
      </c>
      <c r="AA444" s="161">
        <v>0</v>
      </c>
      <c r="AB444" s="409">
        <v>0</v>
      </c>
      <c r="AC444" s="259">
        <f t="shared" si="86"/>
        <v>0</v>
      </c>
      <c r="AD444" s="22" t="s">
        <v>4260</v>
      </c>
      <c r="AG444" s="33">
        <f t="shared" si="102"/>
        <v>0</v>
      </c>
      <c r="AH444" s="120" t="s">
        <v>4261</v>
      </c>
      <c r="AI444" s="63">
        <f t="shared" si="97"/>
        <v>1.5287301587301587E-2</v>
      </c>
      <c r="AJ444" s="307">
        <f>RTD("money.excel",,$G444,"PredictVolume")</f>
        <v>28893</v>
      </c>
      <c r="AK444" s="339"/>
    </row>
    <row r="445" spans="1:37">
      <c r="A445" s="416">
        <v>9.75</v>
      </c>
      <c r="B445" s="91">
        <v>-70</v>
      </c>
      <c r="C445" s="91">
        <v>-72</v>
      </c>
      <c r="D445" s="91">
        <v>1</v>
      </c>
      <c r="E445" s="91">
        <v>19</v>
      </c>
      <c r="F445" s="6">
        <v>8.2899999999999991</v>
      </c>
      <c r="G445" s="79">
        <v>2024</v>
      </c>
      <c r="H445" s="8" t="s">
        <v>301</v>
      </c>
      <c r="I445" s="22" t="s">
        <v>4262</v>
      </c>
      <c r="J445" s="73">
        <v>44.98</v>
      </c>
      <c r="K445" s="73">
        <v>0.18</v>
      </c>
      <c r="L445" s="73">
        <v>6.67</v>
      </c>
      <c r="N445" s="318">
        <f t="shared" si="98"/>
        <v>51.83</v>
      </c>
      <c r="O445" s="81">
        <f>IFERROR(VLOOKUP($G445,'321買'!A:E,3,0),"'沒有資料'")</f>
        <v>3</v>
      </c>
      <c r="P445" s="380">
        <f>IFERROR(VLOOKUP($G445,'321買'!$A:$G,7,0),"'沒有資料'")</f>
        <v>592</v>
      </c>
      <c r="R445" s="297">
        <f>IFERROR(RANK(VLOOKUP($G445,連買!$A:$D,4,0),連買!$D:$D,0),"'沒有資料'")</f>
        <v>710</v>
      </c>
      <c r="S445" s="34">
        <v>0.25</v>
      </c>
      <c r="T445" s="353">
        <f t="shared" si="99"/>
        <v>9.5238095238095247E-3</v>
      </c>
      <c r="U445" s="95">
        <v>0.28000000000000003</v>
      </c>
      <c r="V445" s="36">
        <f>RTD("money.excel",,"2024","Price")</f>
        <v>26.25</v>
      </c>
      <c r="W445" s="66"/>
      <c r="X445" s="15">
        <f t="shared" si="100"/>
        <v>26.25</v>
      </c>
      <c r="Y445" s="3" t="e">
        <f t="shared" si="101"/>
        <v>#DIV/0!</v>
      </c>
      <c r="AA445" s="161">
        <v>0</v>
      </c>
      <c r="AB445" s="409">
        <v>0</v>
      </c>
      <c r="AC445" s="259">
        <f t="shared" si="86"/>
        <v>0</v>
      </c>
      <c r="AD445" s="22" t="s">
        <v>4262</v>
      </c>
      <c r="AG445" s="33">
        <f t="shared" si="102"/>
        <v>0</v>
      </c>
      <c r="AH445" s="43" t="s">
        <v>4263</v>
      </c>
      <c r="AI445" s="63">
        <f t="shared" si="97"/>
        <v>3.2338461538461538E-2</v>
      </c>
      <c r="AJ445" s="307">
        <f>RTD("money.excel",,$G445,"PredictVolume")</f>
        <v>3153</v>
      </c>
      <c r="AK445" s="339"/>
    </row>
    <row r="446" spans="1:37">
      <c r="A446" s="416">
        <v>28.1</v>
      </c>
      <c r="B446" s="91">
        <v>-41</v>
      </c>
      <c r="C446" s="91">
        <v>-32</v>
      </c>
      <c r="D446" s="91">
        <v>145</v>
      </c>
      <c r="E446" s="91">
        <v>92</v>
      </c>
      <c r="F446" s="6">
        <v>-30.56</v>
      </c>
      <c r="G446" s="79">
        <v>2025</v>
      </c>
      <c r="H446" s="8" t="s">
        <v>301</v>
      </c>
      <c r="I446" s="22" t="s">
        <v>4264</v>
      </c>
      <c r="J446" s="73">
        <v>63.8</v>
      </c>
      <c r="K446" s="73">
        <v>0.22</v>
      </c>
      <c r="N446" s="318">
        <f t="shared" si="98"/>
        <v>64.02</v>
      </c>
      <c r="O446" s="81">
        <f>IFERROR(VLOOKUP($G446,'321買'!A:E,3,0),"'沒有資料'")</f>
        <v>0</v>
      </c>
      <c r="P446" s="380">
        <f>IFERROR(VLOOKUP($G446,'321買'!$A:$G,7,0),"'沒有資料'")</f>
        <v>911</v>
      </c>
      <c r="R446" s="297">
        <f>IFERROR(RANK(VLOOKUP($G446,連買!$A:$D,4,0),連買!$D:$D,0),"'沒有資料'")</f>
        <v>1293</v>
      </c>
      <c r="S446" s="34">
        <v>0</v>
      </c>
      <c r="T446" s="353">
        <f t="shared" si="99"/>
        <v>0</v>
      </c>
      <c r="U446" s="95">
        <v>-0.75</v>
      </c>
      <c r="V446" s="13">
        <f>RTD("money.excel",,"2025","Price")</f>
        <v>5.7</v>
      </c>
      <c r="W446" s="66"/>
      <c r="X446" s="15">
        <f t="shared" si="100"/>
        <v>5.7</v>
      </c>
      <c r="Y446" s="3" t="e">
        <f t="shared" si="101"/>
        <v>#DIV/0!</v>
      </c>
      <c r="AA446" s="161">
        <v>0</v>
      </c>
      <c r="AB446" s="409">
        <v>0</v>
      </c>
      <c r="AC446" s="259">
        <f t="shared" si="86"/>
        <v>0</v>
      </c>
      <c r="AD446" s="22" t="s">
        <v>4264</v>
      </c>
      <c r="AG446" s="33">
        <f t="shared" si="102"/>
        <v>0</v>
      </c>
      <c r="AH446" s="43" t="s">
        <v>4265</v>
      </c>
      <c r="AI446" s="63">
        <f t="shared" si="97"/>
        <v>5.0035587188612101E-3</v>
      </c>
      <c r="AJ446" s="307">
        <f>RTD("money.excel",,$G446,"PredictVolume")</f>
        <v>1406</v>
      </c>
      <c r="AK446" s="339"/>
    </row>
    <row r="447" spans="1:37">
      <c r="A447" s="415">
        <v>200</v>
      </c>
      <c r="B447" s="79">
        <v>757</v>
      </c>
      <c r="C447" s="93">
        <v>4247</v>
      </c>
      <c r="D447" s="79">
        <v>1</v>
      </c>
      <c r="E447" s="79">
        <v>67</v>
      </c>
      <c r="F447" s="57">
        <v>16.760000000000002</v>
      </c>
      <c r="G447" s="79">
        <v>2027</v>
      </c>
      <c r="H447" s="8" t="s">
        <v>301</v>
      </c>
      <c r="I447" s="22" t="s">
        <v>4266</v>
      </c>
      <c r="J447" s="323">
        <v>55.95</v>
      </c>
      <c r="K447" s="73">
        <v>16.989999999999998</v>
      </c>
      <c r="L447" s="73">
        <v>13.63</v>
      </c>
      <c r="N447" s="318">
        <f t="shared" si="98"/>
        <v>86.57</v>
      </c>
      <c r="O447" s="81">
        <f>IFERROR(VLOOKUP($G447,'321買'!A:E,3,0),"'沒有資料'")</f>
        <v>22</v>
      </c>
      <c r="P447" s="380">
        <f>IFERROR(VLOOKUP($G447,'321買'!$A:$G,7,0),"'沒有資料'")</f>
        <v>207</v>
      </c>
      <c r="R447" s="297">
        <f>IFERROR(RANK(VLOOKUP($G447,連買!$A:$D,4,0),連買!$D:$D,0),"'沒有資料'")</f>
        <v>430</v>
      </c>
      <c r="S447" s="34">
        <v>0.8</v>
      </c>
      <c r="T447" s="353">
        <f t="shared" si="99"/>
        <v>1.4814814814814815E-2</v>
      </c>
      <c r="U447" s="57">
        <v>2.85</v>
      </c>
      <c r="V447" s="36">
        <f>RTD("money.excel",,"2027","Price")</f>
        <v>54</v>
      </c>
      <c r="W447" s="66"/>
      <c r="X447" s="15">
        <f t="shared" si="100"/>
        <v>54</v>
      </c>
      <c r="Y447" s="3" t="e">
        <f t="shared" si="101"/>
        <v>#DIV/0!</v>
      </c>
      <c r="Z447" s="413" t="s">
        <v>1801</v>
      </c>
      <c r="AA447" s="161">
        <v>0</v>
      </c>
      <c r="AB447" s="409">
        <v>0</v>
      </c>
      <c r="AC447" s="259">
        <f t="shared" si="86"/>
        <v>0</v>
      </c>
      <c r="AD447" s="22" t="s">
        <v>4266</v>
      </c>
      <c r="AG447" s="33">
        <f t="shared" si="102"/>
        <v>0</v>
      </c>
      <c r="AH447" s="120" t="s">
        <v>3481</v>
      </c>
      <c r="AI447" s="63">
        <f t="shared" si="97"/>
        <v>3.5561500000000003E-2</v>
      </c>
      <c r="AJ447" s="307">
        <f>RTD("money.excel",,$G447,"PredictVolume")</f>
        <v>71123</v>
      </c>
      <c r="AK447" s="339"/>
    </row>
    <row r="448" spans="1:37">
      <c r="A448" s="415">
        <v>32.5</v>
      </c>
      <c r="B448" s="79">
        <v>463</v>
      </c>
      <c r="C448" s="79">
        <v>450</v>
      </c>
      <c r="D448" s="80">
        <v>-20</v>
      </c>
      <c r="E448" s="79">
        <v>76</v>
      </c>
      <c r="F448" s="57">
        <v>13.08</v>
      </c>
      <c r="G448" s="79">
        <v>2028</v>
      </c>
      <c r="H448" s="8" t="s">
        <v>301</v>
      </c>
      <c r="I448" s="22" t="s">
        <v>4267</v>
      </c>
      <c r="J448" s="73">
        <v>77.819999999999993</v>
      </c>
      <c r="K448" s="73">
        <v>1.23</v>
      </c>
      <c r="L448" s="323">
        <v>14.28</v>
      </c>
      <c r="N448" s="318">
        <f t="shared" si="98"/>
        <v>93.33</v>
      </c>
      <c r="O448" s="81">
        <f>IFERROR(VLOOKUP($G448,'321買'!A:E,3,0),"'沒有資料'")</f>
        <v>5</v>
      </c>
      <c r="P448" s="380">
        <f>IFERROR(VLOOKUP($G448,'321買'!$A:$G,7,0),"'沒有資料'")</f>
        <v>521</v>
      </c>
      <c r="R448" s="297">
        <f>IFERROR(RANK(VLOOKUP($G448,連買!$A:$D,4,0),連買!$D:$D,0),"'沒有資料'")</f>
        <v>469</v>
      </c>
      <c r="S448" s="34">
        <v>0</v>
      </c>
      <c r="T448" s="353">
        <f t="shared" si="99"/>
        <v>0</v>
      </c>
      <c r="U448" s="57">
        <v>3.69</v>
      </c>
      <c r="V448" s="36">
        <f>RTD("money.excel",,"2028","Price")</f>
        <v>46.2</v>
      </c>
      <c r="W448" s="66"/>
      <c r="X448" s="15">
        <f t="shared" si="100"/>
        <v>46.2</v>
      </c>
      <c r="Y448" s="3" t="e">
        <f t="shared" si="101"/>
        <v>#DIV/0!</v>
      </c>
      <c r="Z448" s="413" t="s">
        <v>1801</v>
      </c>
      <c r="AA448" s="161">
        <v>0</v>
      </c>
      <c r="AB448" s="409">
        <v>0</v>
      </c>
      <c r="AC448" s="259">
        <f t="shared" si="86"/>
        <v>0</v>
      </c>
      <c r="AD448" s="22" t="s">
        <v>4267</v>
      </c>
      <c r="AG448" s="33">
        <f t="shared" si="102"/>
        <v>0</v>
      </c>
      <c r="AH448" s="43" t="s">
        <v>2845</v>
      </c>
      <c r="AI448" s="63">
        <f t="shared" si="97"/>
        <v>3.0981538461538463E-2</v>
      </c>
      <c r="AJ448" s="307">
        <f>RTD("money.excel",,$G448,"PredictVolume")</f>
        <v>10069</v>
      </c>
      <c r="AK448" s="339"/>
    </row>
    <row r="449" spans="1:37">
      <c r="A449" s="415">
        <v>32.1</v>
      </c>
      <c r="B449" s="93">
        <v>2687</v>
      </c>
      <c r="C449" s="93">
        <v>9950</v>
      </c>
      <c r="D449" s="80">
        <v>-20</v>
      </c>
      <c r="E449" s="79">
        <v>27</v>
      </c>
      <c r="F449" s="57">
        <v>11.06</v>
      </c>
      <c r="G449" s="79">
        <v>2029</v>
      </c>
      <c r="H449" s="8" t="s">
        <v>301</v>
      </c>
      <c r="I449" s="22" t="s">
        <v>4268</v>
      </c>
      <c r="J449" s="323">
        <v>68.319999999999993</v>
      </c>
      <c r="K449" s="73">
        <v>69.959999999999994</v>
      </c>
      <c r="L449" s="323">
        <v>13.31</v>
      </c>
      <c r="N449" s="318">
        <f t="shared" si="98"/>
        <v>151.58999999999997</v>
      </c>
      <c r="O449" s="81">
        <f>IFERROR(VLOOKUP($G449,'321買'!A:E,3,0),"'沒有資料'")</f>
        <v>10</v>
      </c>
      <c r="P449" s="380">
        <f>IFERROR(VLOOKUP($G449,'321買'!$A:$G,7,0),"'沒有資料'")</f>
        <v>387</v>
      </c>
      <c r="R449" s="297">
        <f>IFERROR(RANK(VLOOKUP($G449,連買!$A:$D,4,0),連買!$D:$D,0),"'沒有資料'")</f>
        <v>889</v>
      </c>
      <c r="S449" s="34">
        <v>0.5</v>
      </c>
      <c r="T449" s="353">
        <f t="shared" si="99"/>
        <v>1.2484394506866418E-2</v>
      </c>
      <c r="U449" s="57">
        <v>2.77</v>
      </c>
      <c r="V449" s="13">
        <f>RTD("money.excel",,"2029","Price")</f>
        <v>40.049999999999997</v>
      </c>
      <c r="W449" s="66"/>
      <c r="X449" s="15">
        <f t="shared" si="100"/>
        <v>40.049999999999997</v>
      </c>
      <c r="Y449" s="3" t="e">
        <f t="shared" si="101"/>
        <v>#DIV/0!</v>
      </c>
      <c r="Z449" s="413" t="s">
        <v>1801</v>
      </c>
      <c r="AA449" s="161">
        <v>0</v>
      </c>
      <c r="AB449" s="409">
        <v>0</v>
      </c>
      <c r="AC449" s="259">
        <f t="shared" si="86"/>
        <v>0</v>
      </c>
      <c r="AD449" s="22" t="s">
        <v>4268</v>
      </c>
      <c r="AG449" s="33">
        <f t="shared" si="102"/>
        <v>0</v>
      </c>
      <c r="AH449" s="120" t="s">
        <v>4269</v>
      </c>
      <c r="AI449" s="63">
        <f t="shared" si="97"/>
        <v>2.7046728971962617E-2</v>
      </c>
      <c r="AJ449" s="307">
        <f>RTD("money.excel",,$G449,"PredictVolume")</f>
        <v>8682</v>
      </c>
      <c r="AK449" s="339"/>
    </row>
    <row r="450" spans="1:37">
      <c r="A450" s="416">
        <v>28</v>
      </c>
      <c r="B450" s="79">
        <v>764</v>
      </c>
      <c r="C450" s="234">
        <v>15111</v>
      </c>
      <c r="D450" s="79">
        <v>4</v>
      </c>
      <c r="E450" s="79">
        <v>53</v>
      </c>
      <c r="F450" s="6">
        <v>8.67</v>
      </c>
      <c r="G450" s="79">
        <v>2030</v>
      </c>
      <c r="H450" s="8" t="s">
        <v>301</v>
      </c>
      <c r="I450" s="22" t="s">
        <v>4270</v>
      </c>
      <c r="J450" s="73">
        <v>34.15</v>
      </c>
      <c r="K450" s="73">
        <v>2.85</v>
      </c>
      <c r="L450" s="323">
        <v>27.02</v>
      </c>
      <c r="N450" s="318">
        <f t="shared" si="98"/>
        <v>64.02</v>
      </c>
      <c r="O450" s="81">
        <f>IFERROR(VLOOKUP($G450,'321買'!A:E,3,0),"'沒有資料'")</f>
        <v>41</v>
      </c>
      <c r="P450" s="380">
        <f>IFERROR(VLOOKUP($G450,'321買'!$A:$G,7,0),"'沒有資料'")</f>
        <v>94</v>
      </c>
      <c r="R450" s="297">
        <f>IFERROR(RANK(VLOOKUP($G450,連買!$A:$D,4,0),連買!$D:$D,0),"'沒有資料'")</f>
        <v>571</v>
      </c>
      <c r="S450" s="34">
        <v>0.5</v>
      </c>
      <c r="T450" s="353">
        <f t="shared" si="99"/>
        <v>1.2500000000000001E-2</v>
      </c>
      <c r="U450" s="95">
        <v>2.04</v>
      </c>
      <c r="V450" s="36">
        <f>RTD("money.excel",,"2030","Price")</f>
        <v>40</v>
      </c>
      <c r="W450" s="66"/>
      <c r="X450" s="15">
        <f t="shared" si="100"/>
        <v>40</v>
      </c>
      <c r="Y450" s="3" t="e">
        <f t="shared" si="101"/>
        <v>#DIV/0!</v>
      </c>
      <c r="Z450" s="413" t="s">
        <v>1801</v>
      </c>
      <c r="AA450" s="161">
        <v>0</v>
      </c>
      <c r="AB450" s="409">
        <v>0</v>
      </c>
      <c r="AC450" s="259">
        <f t="shared" si="86"/>
        <v>0</v>
      </c>
      <c r="AD450" s="22" t="s">
        <v>4270</v>
      </c>
      <c r="AG450" s="33">
        <f t="shared" si="102"/>
        <v>0</v>
      </c>
      <c r="AH450" s="43" t="s">
        <v>3481</v>
      </c>
      <c r="AI450" s="63">
        <f t="shared" si="97"/>
        <v>0.11317857142857143</v>
      </c>
      <c r="AJ450" s="307">
        <f>RTD("money.excel",,$G450,"PredictVolume")</f>
        <v>31690</v>
      </c>
      <c r="AK450" s="339"/>
    </row>
    <row r="451" spans="1:37">
      <c r="A451" s="415">
        <v>32.1</v>
      </c>
      <c r="B451" s="93">
        <v>1523</v>
      </c>
      <c r="C451" s="93">
        <v>5275</v>
      </c>
      <c r="D451" s="80">
        <v>-7</v>
      </c>
      <c r="E451" s="79">
        <v>26</v>
      </c>
      <c r="F451" s="57">
        <v>17.739999999999998</v>
      </c>
      <c r="G451" s="79">
        <v>2031</v>
      </c>
      <c r="H451" s="8" t="s">
        <v>301</v>
      </c>
      <c r="I451" s="22" t="s">
        <v>4271</v>
      </c>
      <c r="J451" s="323">
        <v>44.13</v>
      </c>
      <c r="K451" s="73">
        <v>9.26</v>
      </c>
      <c r="L451" s="323">
        <v>24.72</v>
      </c>
      <c r="N451" s="318">
        <f t="shared" si="98"/>
        <v>78.11</v>
      </c>
      <c r="O451" s="81">
        <f>IFERROR(VLOOKUP($G451,'321買'!A:E,3,0),"'沒有資料'")</f>
        <v>35</v>
      </c>
      <c r="P451" s="380">
        <f>IFERROR(VLOOKUP($G451,'321買'!$A:$G,7,0),"'沒有資料'")</f>
        <v>122</v>
      </c>
      <c r="R451" s="297">
        <f>IFERROR(RANK(VLOOKUP($G451,連買!$A:$D,4,0),連買!$D:$D,0),"'沒有資料'")</f>
        <v>268</v>
      </c>
      <c r="S451" s="34">
        <v>1.92</v>
      </c>
      <c r="T451" s="353">
        <f t="shared" si="99"/>
        <v>2.5668449197860963E-2</v>
      </c>
      <c r="U451" s="95">
        <v>7.43</v>
      </c>
      <c r="V451" s="36">
        <f>RTD("money.excel",,"2031","Price")</f>
        <v>74.8</v>
      </c>
      <c r="W451" s="66"/>
      <c r="X451" s="15">
        <f t="shared" si="100"/>
        <v>74.8</v>
      </c>
      <c r="Y451" s="3" t="e">
        <f t="shared" si="101"/>
        <v>#DIV/0!</v>
      </c>
      <c r="Z451" s="413" t="s">
        <v>1801</v>
      </c>
      <c r="AA451" s="161">
        <v>0</v>
      </c>
      <c r="AB451" s="409">
        <v>0</v>
      </c>
      <c r="AC451" s="259">
        <f t="shared" si="86"/>
        <v>0</v>
      </c>
      <c r="AD451" s="22" t="s">
        <v>4271</v>
      </c>
      <c r="AG451" s="33">
        <f t="shared" si="102"/>
        <v>0</v>
      </c>
      <c r="AH451" s="43" t="s">
        <v>4272</v>
      </c>
      <c r="AI451" s="63">
        <f t="shared" si="97"/>
        <v>6.1177570093457943E-2</v>
      </c>
      <c r="AJ451" s="307">
        <f>RTD("money.excel",,$G451,"PredictVolume")</f>
        <v>19638</v>
      </c>
      <c r="AK451" s="339"/>
    </row>
    <row r="452" spans="1:37">
      <c r="A452" s="416">
        <v>13</v>
      </c>
      <c r="B452" s="79">
        <v>288</v>
      </c>
      <c r="C452" s="79">
        <v>300</v>
      </c>
      <c r="D452" s="80">
        <v>-17</v>
      </c>
      <c r="E452" s="80">
        <v>-7</v>
      </c>
      <c r="F452" s="6">
        <v>7.6</v>
      </c>
      <c r="G452" s="79">
        <v>2032</v>
      </c>
      <c r="H452" s="8" t="s">
        <v>301</v>
      </c>
      <c r="I452" s="22" t="s">
        <v>4273</v>
      </c>
      <c r="J452" s="323">
        <v>46.11</v>
      </c>
      <c r="K452" s="73">
        <v>1.54</v>
      </c>
      <c r="L452" s="73">
        <v>15.8</v>
      </c>
      <c r="N452" s="318">
        <f t="shared" si="98"/>
        <v>63.45</v>
      </c>
      <c r="O452" s="81">
        <f>IFERROR(VLOOKUP($G452,'321買'!A:E,3,0),"'沒有資料'")</f>
        <v>23</v>
      </c>
      <c r="P452" s="380">
        <f>IFERROR(VLOOKUP($G452,'321買'!$A:$G,7,0),"'沒有資料'")</f>
        <v>215</v>
      </c>
      <c r="R452" s="297">
        <f>IFERROR(RANK(VLOOKUP($G452,連買!$A:$D,4,0),連買!$D:$D,0),"'沒有資料'")</f>
        <v>631</v>
      </c>
      <c r="S452" s="34">
        <v>0.53</v>
      </c>
      <c r="T452" s="353">
        <f t="shared" si="99"/>
        <v>1.50997150997151E-2</v>
      </c>
      <c r="U452" s="95">
        <v>0.57999999999999996</v>
      </c>
      <c r="V452" s="36">
        <f>RTD("money.excel",,"2032","Price")</f>
        <v>35.1</v>
      </c>
      <c r="W452" s="66"/>
      <c r="X452" s="15">
        <f t="shared" si="100"/>
        <v>35.1</v>
      </c>
      <c r="Y452" s="3" t="e">
        <f t="shared" si="101"/>
        <v>#DIV/0!</v>
      </c>
      <c r="Z452" s="413" t="s">
        <v>1801</v>
      </c>
      <c r="AA452" s="161">
        <v>0</v>
      </c>
      <c r="AB452" s="409">
        <v>0</v>
      </c>
      <c r="AC452" s="259">
        <f t="shared" si="86"/>
        <v>0</v>
      </c>
      <c r="AD452" s="22" t="s">
        <v>4273</v>
      </c>
      <c r="AG452" s="33">
        <f t="shared" si="102"/>
        <v>0</v>
      </c>
      <c r="AH452" s="43" t="s">
        <v>4274</v>
      </c>
      <c r="AI452" s="63">
        <f t="shared" si="97"/>
        <v>0.21096153846153845</v>
      </c>
      <c r="AJ452" s="307">
        <f>RTD("money.excel",,$G452,"PredictVolume")</f>
        <v>27425</v>
      </c>
      <c r="AK452" s="339"/>
    </row>
    <row r="453" spans="1:37">
      <c r="A453" s="416">
        <v>8.07</v>
      </c>
      <c r="B453" s="140">
        <v>1822</v>
      </c>
      <c r="C453" s="91">
        <v>319</v>
      </c>
      <c r="D453" s="91">
        <v>-6</v>
      </c>
      <c r="E453" s="91">
        <v>18</v>
      </c>
      <c r="F453" s="6">
        <v>2.12</v>
      </c>
      <c r="G453" s="79">
        <v>2033</v>
      </c>
      <c r="H453" s="8" t="s">
        <v>301</v>
      </c>
      <c r="I453" s="22" t="s">
        <v>4275</v>
      </c>
      <c r="J453" s="73">
        <v>63.8</v>
      </c>
      <c r="K453" s="73">
        <v>0.22</v>
      </c>
      <c r="L453" s="73">
        <v>9.15</v>
      </c>
      <c r="N453" s="318">
        <f t="shared" si="98"/>
        <v>73.17</v>
      </c>
      <c r="O453" s="81">
        <f>IFERROR(VLOOKUP($G453,'321買'!A:E,3,0),"'沒有資料'")</f>
        <v>14</v>
      </c>
      <c r="P453" s="380">
        <f>IFERROR(VLOOKUP($G453,'321買'!$A:$G,7,0),"'沒有資料'")</f>
        <v>348</v>
      </c>
      <c r="R453" s="297">
        <f>IFERROR(RANK(VLOOKUP($G453,連買!$A:$D,4,0),連買!$D:$D,0),"'沒有資料'")</f>
        <v>742</v>
      </c>
      <c r="S453" s="34">
        <v>0.3</v>
      </c>
      <c r="T453" s="353">
        <f t="shared" si="99"/>
        <v>1.2422360248447206E-2</v>
      </c>
      <c r="U453" s="95">
        <v>0.25</v>
      </c>
      <c r="V453" s="13">
        <f>RTD("money.excel",,"2033","Price")</f>
        <v>24.15</v>
      </c>
      <c r="W453" s="66"/>
      <c r="X453" s="15">
        <f t="shared" si="100"/>
        <v>24.15</v>
      </c>
      <c r="Y453" s="3" t="e">
        <f t="shared" si="101"/>
        <v>#DIV/0!</v>
      </c>
      <c r="AA453" s="161">
        <v>0</v>
      </c>
      <c r="AB453" s="409">
        <v>0</v>
      </c>
      <c r="AC453" s="259">
        <f t="shared" ref="AC453:AC516" si="103">AA453-AB453</f>
        <v>0</v>
      </c>
      <c r="AD453" s="22" t="s">
        <v>4275</v>
      </c>
      <c r="AG453" s="33">
        <f t="shared" si="102"/>
        <v>0</v>
      </c>
      <c r="AH453" s="43" t="s">
        <v>4276</v>
      </c>
      <c r="AI453" s="63">
        <f t="shared" si="97"/>
        <v>0.14236679058240395</v>
      </c>
      <c r="AJ453" s="307">
        <f>RTD("money.excel",,$G453,"PredictVolume")</f>
        <v>11489</v>
      </c>
      <c r="AK453" s="339"/>
    </row>
    <row r="454" spans="1:37">
      <c r="A454" s="416">
        <v>43.7</v>
      </c>
      <c r="B454" s="80">
        <v>-28</v>
      </c>
      <c r="C454" s="80">
        <v>-48</v>
      </c>
      <c r="D454" s="79">
        <v>12</v>
      </c>
      <c r="E454" s="80">
        <v>-17</v>
      </c>
      <c r="F454" s="6">
        <v>4.22</v>
      </c>
      <c r="G454" s="79">
        <v>2034</v>
      </c>
      <c r="H454" s="8" t="s">
        <v>301</v>
      </c>
      <c r="I454" s="22" t="s">
        <v>4277</v>
      </c>
      <c r="J454" s="323">
        <v>42.92</v>
      </c>
      <c r="K454" s="323">
        <v>9.26</v>
      </c>
      <c r="L454" s="73">
        <v>7.8</v>
      </c>
      <c r="N454" s="318">
        <f t="shared" si="98"/>
        <v>59.98</v>
      </c>
      <c r="O454" s="81">
        <f>IFERROR(VLOOKUP($G454,'321買'!A:E,3,0),"'沒有資料'")</f>
        <v>25</v>
      </c>
      <c r="P454" s="380">
        <f>IFERROR(VLOOKUP($G454,'321買'!$A:$G,7,0),"'沒有資料'")</f>
        <v>207</v>
      </c>
      <c r="R454" s="297">
        <f>IFERROR(RANK(VLOOKUP($G454,連買!$A:$D,4,0),連買!$D:$D,0),"'沒有資料'")</f>
        <v>410</v>
      </c>
      <c r="S454" s="34">
        <v>1.5</v>
      </c>
      <c r="T454" s="353">
        <f t="shared" si="99"/>
        <v>4.0983606557377046E-2</v>
      </c>
      <c r="U454" s="95">
        <v>1.04</v>
      </c>
      <c r="V454" s="36">
        <f>RTD("money.excel",,"2034","Price")</f>
        <v>36.6</v>
      </c>
      <c r="W454" s="66"/>
      <c r="X454" s="15">
        <f t="shared" si="100"/>
        <v>36.6</v>
      </c>
      <c r="Y454" s="3" t="e">
        <f t="shared" si="101"/>
        <v>#DIV/0!</v>
      </c>
      <c r="Z454" s="413" t="s">
        <v>1801</v>
      </c>
      <c r="AA454" s="161">
        <v>0</v>
      </c>
      <c r="AB454" s="409">
        <v>0</v>
      </c>
      <c r="AC454" s="259">
        <f t="shared" si="103"/>
        <v>0</v>
      </c>
      <c r="AD454" s="22" t="s">
        <v>4277</v>
      </c>
      <c r="AG454" s="33">
        <f t="shared" si="102"/>
        <v>0</v>
      </c>
      <c r="AH454" s="120" t="s">
        <v>3481</v>
      </c>
      <c r="AI454" s="63">
        <f t="shared" si="97"/>
        <v>1.0185354691075515E-2</v>
      </c>
      <c r="AJ454" s="307">
        <f>RTD("money.excel",,$G454,"PredictVolume")</f>
        <v>4451</v>
      </c>
      <c r="AK454" s="339"/>
    </row>
    <row r="455" spans="1:37">
      <c r="A455" s="416">
        <v>35</v>
      </c>
      <c r="B455" s="80">
        <v>-193</v>
      </c>
      <c r="C455" s="80">
        <v>-39</v>
      </c>
      <c r="D455" s="79">
        <v>24</v>
      </c>
      <c r="E455" s="79">
        <v>32</v>
      </c>
      <c r="F455" s="6">
        <v>-7.73</v>
      </c>
      <c r="G455" s="79">
        <v>2035</v>
      </c>
      <c r="H455" s="8" t="s">
        <v>301</v>
      </c>
      <c r="I455" s="16" t="s">
        <v>4278</v>
      </c>
      <c r="J455" s="73">
        <v>97.4</v>
      </c>
      <c r="K455" s="323">
        <v>0.01</v>
      </c>
      <c r="L455" s="323">
        <v>0.01</v>
      </c>
      <c r="N455" s="318">
        <f t="shared" si="98"/>
        <v>97.420000000000016</v>
      </c>
      <c r="O455" s="81">
        <f>IFERROR(VLOOKUP($G455,'321買'!A:E,3,0),"'沒有資料'")</f>
        <v>0</v>
      </c>
      <c r="P455" s="380">
        <f>IFERROR(VLOOKUP($G455,'321買'!$A:$G,7,0),"'沒有資料'")</f>
        <v>911</v>
      </c>
      <c r="R455" s="297">
        <f>IFERROR(RANK(VLOOKUP($G455,連買!$A:$D,4,0),連買!$D:$D,0),"'沒有資料'")</f>
        <v>554</v>
      </c>
      <c r="S455" s="34">
        <v>0</v>
      </c>
      <c r="T455" s="353">
        <f t="shared" si="99"/>
        <v>0</v>
      </c>
      <c r="U455" s="57">
        <v>-1.9</v>
      </c>
      <c r="V455" s="36">
        <f>RTD("money.excel",,"2035","Price")</f>
        <v>36.85</v>
      </c>
      <c r="W455" s="66"/>
      <c r="X455" s="15">
        <f t="shared" si="100"/>
        <v>36.85</v>
      </c>
      <c r="Y455" s="3" t="e">
        <f t="shared" si="101"/>
        <v>#DIV/0!</v>
      </c>
      <c r="Z455" s="413" t="s">
        <v>1801</v>
      </c>
      <c r="AA455" s="161">
        <v>0</v>
      </c>
      <c r="AB455" s="409">
        <v>0</v>
      </c>
      <c r="AC455" s="259">
        <f t="shared" si="103"/>
        <v>0</v>
      </c>
      <c r="AD455" s="16" t="s">
        <v>4278</v>
      </c>
      <c r="AG455" s="33">
        <f t="shared" si="102"/>
        <v>0</v>
      </c>
      <c r="AH455" s="43" t="s">
        <v>4279</v>
      </c>
      <c r="AI455" s="63">
        <f t="shared" si="97"/>
        <v>2.9714285714285715E-4</v>
      </c>
      <c r="AJ455" s="307">
        <f>RTD("money.excel",,$G455,"PredictVolume")</f>
        <v>104</v>
      </c>
      <c r="AK455" s="339"/>
    </row>
    <row r="456" spans="1:37">
      <c r="A456" s="416">
        <v>18.100000000000001</v>
      </c>
      <c r="B456" s="79">
        <v>265</v>
      </c>
      <c r="C456" s="79">
        <v>244</v>
      </c>
      <c r="D456" s="80">
        <v>-3</v>
      </c>
      <c r="E456" s="79">
        <v>46</v>
      </c>
      <c r="F456" s="6">
        <v>5.58</v>
      </c>
      <c r="G456" s="79">
        <v>2038</v>
      </c>
      <c r="H456" s="8" t="s">
        <v>301</v>
      </c>
      <c r="I456" s="22" t="s">
        <v>4280</v>
      </c>
      <c r="J456" s="73">
        <v>50.25</v>
      </c>
      <c r="K456" s="73">
        <v>3.1</v>
      </c>
      <c r="L456" s="323">
        <v>28.1</v>
      </c>
      <c r="N456" s="318">
        <f t="shared" si="98"/>
        <v>81.45</v>
      </c>
      <c r="O456" s="81">
        <f>IFERROR(VLOOKUP($G456,'321買'!A:E,3,0),"'沒有資料'")</f>
        <v>45</v>
      </c>
      <c r="P456" s="380">
        <f>IFERROR(VLOOKUP($G456,'321買'!$A:$G,7,0),"'沒有資料'")</f>
        <v>88</v>
      </c>
      <c r="R456" s="297">
        <f>IFERROR(RANK(VLOOKUP($G456,連買!$A:$D,4,0),連買!$D:$D,0),"'沒有資料'")</f>
        <v>478</v>
      </c>
      <c r="S456" s="34">
        <v>0.5</v>
      </c>
      <c r="T456" s="353">
        <f t="shared" si="99"/>
        <v>1.4245014245014245E-2</v>
      </c>
      <c r="U456" s="57">
        <v>1.87</v>
      </c>
      <c r="V456" s="36">
        <f>RTD("money.excel",,"2038","Price")</f>
        <v>35.1</v>
      </c>
      <c r="W456" s="66"/>
      <c r="X456" s="15">
        <f t="shared" si="100"/>
        <v>35.1</v>
      </c>
      <c r="Y456" s="3" t="e">
        <f t="shared" si="101"/>
        <v>#DIV/0!</v>
      </c>
      <c r="Z456" s="413" t="s">
        <v>1801</v>
      </c>
      <c r="AA456" s="161">
        <v>0</v>
      </c>
      <c r="AB456" s="409">
        <v>0</v>
      </c>
      <c r="AC456" s="259">
        <f t="shared" si="103"/>
        <v>0</v>
      </c>
      <c r="AD456" s="22" t="s">
        <v>4280</v>
      </c>
      <c r="AG456" s="33">
        <f t="shared" si="102"/>
        <v>0</v>
      </c>
      <c r="AH456" s="43" t="s">
        <v>2845</v>
      </c>
      <c r="AI456" s="63">
        <f t="shared" si="97"/>
        <v>2.6386740331491711E-2</v>
      </c>
      <c r="AJ456" s="307">
        <f>RTD("money.excel",,$G456,"PredictVolume")</f>
        <v>4776</v>
      </c>
      <c r="AK456" s="339"/>
    </row>
    <row r="457" spans="1:37">
      <c r="A457" s="415">
        <v>4.5</v>
      </c>
      <c r="B457" s="91">
        <v>-36</v>
      </c>
      <c r="C457" s="91">
        <v>-34</v>
      </c>
      <c r="D457" s="91">
        <v>-5</v>
      </c>
      <c r="E457" s="91">
        <v>39</v>
      </c>
      <c r="F457" s="57">
        <v>13.43</v>
      </c>
      <c r="G457" s="79">
        <v>2063</v>
      </c>
      <c r="H457" s="8" t="s">
        <v>301</v>
      </c>
      <c r="I457" s="16" t="s">
        <v>4281</v>
      </c>
      <c r="J457" s="73">
        <v>61.84</v>
      </c>
      <c r="K457" s="73">
        <v>0.66</v>
      </c>
      <c r="L457" s="73">
        <v>28.41</v>
      </c>
      <c r="N457" s="318">
        <f t="shared" si="98"/>
        <v>90.91</v>
      </c>
      <c r="O457" s="81">
        <f>IFERROR(VLOOKUP($G457,'321買'!A:E,3,0),"'沒有資料'")</f>
        <v>0</v>
      </c>
      <c r="P457" s="380">
        <f>IFERROR(VLOOKUP($G457,'321買'!$A:$G,7,0),"'沒有資料'")</f>
        <v>911</v>
      </c>
      <c r="R457" s="297">
        <f>IFERROR(RANK(VLOOKUP($G457,連買!$A:$D,4,0),連買!$D:$D,0),"'沒有資料'")</f>
        <v>693</v>
      </c>
      <c r="S457" s="34">
        <v>2</v>
      </c>
      <c r="T457" s="353">
        <f t="shared" si="99"/>
        <v>5.2015604681404419E-2</v>
      </c>
      <c r="U457" s="95">
        <v>2.37</v>
      </c>
      <c r="V457" s="13">
        <f>RTD("money.excel",,"2063","Price")</f>
        <v>38.450000000000003</v>
      </c>
      <c r="W457" s="66"/>
      <c r="X457" s="15">
        <f t="shared" si="100"/>
        <v>38.450000000000003</v>
      </c>
      <c r="Y457" s="3" t="e">
        <f t="shared" si="101"/>
        <v>#DIV/0!</v>
      </c>
      <c r="AA457" s="161">
        <v>0</v>
      </c>
      <c r="AB457" s="409">
        <v>0</v>
      </c>
      <c r="AC457" s="259">
        <f t="shared" si="103"/>
        <v>0</v>
      </c>
      <c r="AD457" s="16" t="s">
        <v>4281</v>
      </c>
      <c r="AG457" s="33">
        <f t="shared" si="102"/>
        <v>0</v>
      </c>
      <c r="AH457" s="43" t="s">
        <v>4282</v>
      </c>
      <c r="AI457" s="63">
        <f t="shared" si="97"/>
        <v>2.1177777777777778E-2</v>
      </c>
      <c r="AJ457" s="307">
        <f>RTD("money.excel",,$G457,"PredictVolume")</f>
        <v>953</v>
      </c>
      <c r="AK457" s="81"/>
    </row>
    <row r="458" spans="1:37">
      <c r="A458" s="416">
        <v>6.96</v>
      </c>
      <c r="B458" s="91">
        <v>-435</v>
      </c>
      <c r="C458" s="91">
        <v>-149</v>
      </c>
      <c r="D458" s="91">
        <v>5</v>
      </c>
      <c r="E458" s="91">
        <v>99</v>
      </c>
      <c r="F458" s="6">
        <v>-8.11</v>
      </c>
      <c r="G458" s="79">
        <v>2064</v>
      </c>
      <c r="H458" s="8" t="s">
        <v>301</v>
      </c>
      <c r="I458" s="16" t="s">
        <v>4283</v>
      </c>
      <c r="J458" s="73">
        <v>79.52</v>
      </c>
      <c r="K458" s="73">
        <v>0.19</v>
      </c>
      <c r="L458" s="73">
        <v>0.28000000000000003</v>
      </c>
      <c r="N458" s="318">
        <f t="shared" si="98"/>
        <v>79.989999999999995</v>
      </c>
      <c r="O458" s="81">
        <f>IFERROR(VLOOKUP($G458,'321買'!A:E,3,0),"'沒有資料'")</f>
        <v>3</v>
      </c>
      <c r="P458" s="380">
        <f>IFERROR(VLOOKUP($G458,'321買'!$A:$G,7,0),"'沒有資料'")</f>
        <v>636</v>
      </c>
      <c r="R458" s="297">
        <f>IFERROR(RANK(VLOOKUP($G458,連買!$A:$D,4,0),連買!$D:$D,0),"'沒有資料'")</f>
        <v>959</v>
      </c>
      <c r="S458" s="34">
        <v>0.5</v>
      </c>
      <c r="T458" s="353">
        <f t="shared" si="99"/>
        <v>1.6722408026755852E-2</v>
      </c>
      <c r="U458" s="95">
        <v>-1.49</v>
      </c>
      <c r="V458" s="13">
        <f>RTD("money.excel",,"2064","Price")</f>
        <v>29.9</v>
      </c>
      <c r="W458" s="66"/>
      <c r="X458" s="15">
        <f t="shared" si="100"/>
        <v>29.9</v>
      </c>
      <c r="Y458" s="3" t="e">
        <f t="shared" si="101"/>
        <v>#DIV/0!</v>
      </c>
      <c r="AA458" s="161">
        <v>0</v>
      </c>
      <c r="AB458" s="409">
        <v>0</v>
      </c>
      <c r="AC458" s="259">
        <f t="shared" si="103"/>
        <v>0</v>
      </c>
      <c r="AD458" s="16" t="s">
        <v>4283</v>
      </c>
      <c r="AG458" s="33">
        <f t="shared" si="102"/>
        <v>0</v>
      </c>
      <c r="AH458" s="43" t="s">
        <v>4284</v>
      </c>
      <c r="AI458" s="63">
        <f t="shared" si="97"/>
        <v>3.7988505747126436E-2</v>
      </c>
      <c r="AJ458" s="307">
        <f>RTD("money.excel",,$G458,"PredictVolume")</f>
        <v>2644</v>
      </c>
      <c r="AK458" s="339"/>
    </row>
    <row r="459" spans="1:37">
      <c r="A459" s="415">
        <v>5.26</v>
      </c>
      <c r="B459" s="79">
        <v>80</v>
      </c>
      <c r="C459" s="79">
        <v>84</v>
      </c>
      <c r="D459" s="79">
        <v>19</v>
      </c>
      <c r="E459" s="79">
        <v>17</v>
      </c>
      <c r="F459" s="57">
        <v>12</v>
      </c>
      <c r="G459" s="79">
        <v>2065</v>
      </c>
      <c r="H459" s="8" t="s">
        <v>301</v>
      </c>
      <c r="I459" s="16" t="s">
        <v>4286</v>
      </c>
      <c r="J459" s="323">
        <v>33.58</v>
      </c>
      <c r="K459" s="73">
        <v>1.75</v>
      </c>
      <c r="L459" s="323">
        <v>2.16</v>
      </c>
      <c r="N459" s="318">
        <f t="shared" si="98"/>
        <v>37.489999999999995</v>
      </c>
      <c r="O459" s="81">
        <f>IFERROR(VLOOKUP($G459,'321買'!A:E,3,0),"'沒有資料'")</f>
        <v>0</v>
      </c>
      <c r="P459" s="380">
        <f>IFERROR(VLOOKUP($G459,'321買'!$A:$G,7,0),"'沒有資料'")</f>
        <v>911</v>
      </c>
      <c r="R459" s="297">
        <f>IFERROR(RANK(VLOOKUP($G459,連買!$A:$D,4,0),連買!$D:$D,0),"'沒有資料'")</f>
        <v>137</v>
      </c>
      <c r="S459" s="34">
        <v>0.97</v>
      </c>
      <c r="T459" s="353">
        <f t="shared" si="99"/>
        <v>2.0314136125654449E-2</v>
      </c>
      <c r="U459" s="95">
        <v>4.1100000000000003</v>
      </c>
      <c r="V459" s="36">
        <f>RTD("money.excel",,"2065","Price")</f>
        <v>47.75</v>
      </c>
      <c r="W459" s="66"/>
      <c r="X459" s="15">
        <f t="shared" si="100"/>
        <v>47.75</v>
      </c>
      <c r="Y459" s="3" t="e">
        <f t="shared" si="101"/>
        <v>#DIV/0!</v>
      </c>
      <c r="Z459" s="413" t="s">
        <v>1801</v>
      </c>
      <c r="AA459" s="161">
        <v>0</v>
      </c>
      <c r="AB459" s="409">
        <v>0</v>
      </c>
      <c r="AC459" s="259">
        <f t="shared" si="103"/>
        <v>0</v>
      </c>
      <c r="AD459" s="16" t="s">
        <v>4286</v>
      </c>
      <c r="AG459" s="33">
        <f t="shared" si="102"/>
        <v>0</v>
      </c>
      <c r="AH459" s="43" t="s">
        <v>4282</v>
      </c>
      <c r="AI459" s="63">
        <f t="shared" si="97"/>
        <v>1.634980988593156E-3</v>
      </c>
      <c r="AJ459" s="307">
        <f>RTD("money.excel",,$G459,"PredictVolume")</f>
        <v>86</v>
      </c>
      <c r="AK459" s="81"/>
    </row>
    <row r="460" spans="1:37">
      <c r="A460" s="416">
        <v>16.600000000000001</v>
      </c>
      <c r="B460" s="93">
        <v>1022</v>
      </c>
      <c r="C460" s="93">
        <v>2604</v>
      </c>
      <c r="D460" s="80">
        <v>-9</v>
      </c>
      <c r="E460" s="79">
        <v>105</v>
      </c>
      <c r="F460" s="6">
        <v>6.48</v>
      </c>
      <c r="G460" s="79">
        <v>2069</v>
      </c>
      <c r="H460" s="8" t="s">
        <v>301</v>
      </c>
      <c r="I460" s="22" t="s">
        <v>4287</v>
      </c>
      <c r="J460" s="323">
        <v>51.73</v>
      </c>
      <c r="K460" s="323">
        <v>1.03</v>
      </c>
      <c r="L460" s="73">
        <v>24.93</v>
      </c>
      <c r="N460" s="318">
        <f t="shared" si="98"/>
        <v>77.69</v>
      </c>
      <c r="O460" s="81">
        <f>IFERROR(VLOOKUP($G460,'321買'!A:E,3,0),"'沒有資料'")</f>
        <v>31</v>
      </c>
      <c r="P460" s="380">
        <f>IFERROR(VLOOKUP($G460,'321買'!$A:$G,7,0),"'沒有資料'")</f>
        <v>156</v>
      </c>
      <c r="R460" s="297">
        <f>IFERROR(RANK(VLOOKUP($G460,連買!$A:$D,4,0),連買!$D:$D,0),"'沒有資料'")</f>
        <v>557</v>
      </c>
      <c r="S460" s="34">
        <v>0.55000000000000004</v>
      </c>
      <c r="T460" s="353">
        <f t="shared" si="99"/>
        <v>1.4844804318488532E-2</v>
      </c>
      <c r="U460" s="57">
        <v>3.86</v>
      </c>
      <c r="V460" s="36">
        <f>RTD("money.excel",,"2069","Price")</f>
        <v>37.049999999999997</v>
      </c>
      <c r="W460" s="66"/>
      <c r="X460" s="15">
        <f t="shared" si="100"/>
        <v>37.049999999999997</v>
      </c>
      <c r="Y460" s="3" t="e">
        <f t="shared" si="101"/>
        <v>#DIV/0!</v>
      </c>
      <c r="Z460" s="413" t="s">
        <v>1801</v>
      </c>
      <c r="AA460" s="161">
        <v>0</v>
      </c>
      <c r="AB460" s="409">
        <v>0</v>
      </c>
      <c r="AC460" s="259">
        <f t="shared" si="103"/>
        <v>0</v>
      </c>
      <c r="AD460" s="22" t="s">
        <v>4287</v>
      </c>
      <c r="AG460" s="33">
        <f t="shared" si="102"/>
        <v>0</v>
      </c>
      <c r="AH460" s="43" t="s">
        <v>2131</v>
      </c>
      <c r="AI460" s="63">
        <f t="shared" si="97"/>
        <v>3.9174698795180721E-2</v>
      </c>
      <c r="AJ460" s="307">
        <f>RTD("money.excel",,$G460,"PredictVolume")</f>
        <v>6503</v>
      </c>
      <c r="AK460" s="81"/>
    </row>
    <row r="461" spans="1:37">
      <c r="A461" s="415">
        <v>42</v>
      </c>
      <c r="B461" s="79">
        <v>11</v>
      </c>
      <c r="C461" s="79">
        <v>13</v>
      </c>
      <c r="D461" s="79">
        <v>19</v>
      </c>
      <c r="E461" s="79">
        <v>51</v>
      </c>
      <c r="F461" s="57">
        <v>14.13</v>
      </c>
      <c r="G461" s="79">
        <v>2211</v>
      </c>
      <c r="H461" s="8" t="s">
        <v>301</v>
      </c>
      <c r="I461" s="22" t="s">
        <v>4288</v>
      </c>
      <c r="J461" s="323">
        <v>77.84</v>
      </c>
      <c r="K461" s="73">
        <v>0.71</v>
      </c>
      <c r="N461" s="318">
        <f t="shared" si="98"/>
        <v>78.55</v>
      </c>
      <c r="O461" s="81">
        <f>IFERROR(VLOOKUP($G461,'321買'!A:E,3,0),"'沒有資料'")</f>
        <v>0</v>
      </c>
      <c r="P461" s="380">
        <f>IFERROR(VLOOKUP($G461,'321買'!$A:$G,7,0),"'沒有資料'")</f>
        <v>911</v>
      </c>
      <c r="R461" s="297">
        <f>IFERROR(RANK(VLOOKUP($G461,連買!$A:$D,4,0),連買!$D:$D,0),"'沒有資料'")</f>
        <v>378</v>
      </c>
      <c r="S461" s="34">
        <v>2.09</v>
      </c>
      <c r="T461" s="353">
        <f t="shared" si="99"/>
        <v>3.4545454545454546E-2</v>
      </c>
      <c r="U461" s="57">
        <v>2.82</v>
      </c>
      <c r="V461" s="36">
        <f>RTD("money.excel",,"2211","Price")</f>
        <v>60.5</v>
      </c>
      <c r="W461" s="66"/>
      <c r="X461" s="15">
        <f t="shared" si="100"/>
        <v>60.5</v>
      </c>
      <c r="Y461" s="3" t="e">
        <f t="shared" si="101"/>
        <v>#DIV/0!</v>
      </c>
      <c r="Z461" s="413" t="s">
        <v>1801</v>
      </c>
      <c r="AA461" s="161">
        <v>0</v>
      </c>
      <c r="AB461" s="409">
        <v>0</v>
      </c>
      <c r="AC461" s="259">
        <f t="shared" si="103"/>
        <v>0</v>
      </c>
      <c r="AD461" s="22" t="s">
        <v>4288</v>
      </c>
      <c r="AG461" s="33">
        <f t="shared" si="102"/>
        <v>0</v>
      </c>
      <c r="AH461" s="43" t="s">
        <v>3324</v>
      </c>
      <c r="AI461" s="63">
        <f t="shared" si="97"/>
        <v>2.0833333333333333E-3</v>
      </c>
      <c r="AJ461" s="307">
        <f>RTD("money.excel",,$G461,"PredictVolume")</f>
        <v>875</v>
      </c>
      <c r="AK461" s="339"/>
    </row>
    <row r="462" spans="1:37">
      <c r="A462" s="416">
        <v>5.26</v>
      </c>
      <c r="B462" s="91">
        <v>-82</v>
      </c>
      <c r="C462" s="91">
        <v>-92</v>
      </c>
      <c r="D462" s="91">
        <v>-34</v>
      </c>
      <c r="E462" s="91">
        <v>-52</v>
      </c>
      <c r="F462" s="6">
        <v>1.97</v>
      </c>
      <c r="G462" s="79">
        <v>3004</v>
      </c>
      <c r="H462" s="8" t="s">
        <v>301</v>
      </c>
      <c r="I462" s="22" t="s">
        <v>4289</v>
      </c>
      <c r="J462" s="73">
        <v>64.37</v>
      </c>
      <c r="K462" s="73">
        <v>2.4500000000000002</v>
      </c>
      <c r="L462" s="73">
        <v>30.4</v>
      </c>
      <c r="N462" s="318">
        <f t="shared" si="98"/>
        <v>97.22</v>
      </c>
      <c r="O462" s="81">
        <f>IFERROR(VLOOKUP($G462,'321買'!A:E,3,0),"'沒有資料'")</f>
        <v>1</v>
      </c>
      <c r="P462" s="380">
        <f>IFERROR(VLOOKUP($G462,'321買'!$A:$G,7,0),"'沒有資料'")</f>
        <v>783</v>
      </c>
      <c r="R462" s="297">
        <f>IFERROR(RANK(VLOOKUP($G462,連買!$A:$D,4,0),連買!$D:$D,0),"'沒有資料'")</f>
        <v>383</v>
      </c>
      <c r="S462" s="34">
        <v>0.5</v>
      </c>
      <c r="T462" s="353">
        <f t="shared" si="99"/>
        <v>8.4745762711864406E-3</v>
      </c>
      <c r="U462" s="95">
        <v>1.1399999999999999</v>
      </c>
      <c r="V462" s="13">
        <f>RTD("money.excel",,"3004","Price")</f>
        <v>59</v>
      </c>
      <c r="W462" s="66"/>
      <c r="X462" s="15">
        <f t="shared" si="100"/>
        <v>59</v>
      </c>
      <c r="Y462" s="3" t="e">
        <f t="shared" si="101"/>
        <v>#DIV/0!</v>
      </c>
      <c r="AA462" s="161">
        <v>0</v>
      </c>
      <c r="AB462" s="409">
        <v>0</v>
      </c>
      <c r="AC462" s="259">
        <f t="shared" si="103"/>
        <v>0</v>
      </c>
      <c r="AD462" s="22" t="s">
        <v>4289</v>
      </c>
      <c r="AG462" s="33">
        <f t="shared" si="102"/>
        <v>0</v>
      </c>
      <c r="AH462" s="43" t="s">
        <v>4290</v>
      </c>
      <c r="AI462" s="63">
        <f t="shared" si="97"/>
        <v>4.0684410646387829E-3</v>
      </c>
      <c r="AJ462" s="307">
        <f>RTD("money.excel",,$G462,"PredictVolume")</f>
        <v>214</v>
      </c>
      <c r="AK462" s="339"/>
    </row>
    <row r="463" spans="1:37">
      <c r="A463" s="415">
        <v>29.4</v>
      </c>
      <c r="B463" s="80">
        <v>-37</v>
      </c>
      <c r="C463" s="80">
        <v>-48</v>
      </c>
      <c r="D463" s="80">
        <v>-3</v>
      </c>
      <c r="E463" s="80">
        <v>-6</v>
      </c>
      <c r="F463" s="57">
        <v>11.05</v>
      </c>
      <c r="G463" s="79">
        <v>5007</v>
      </c>
      <c r="H463" s="8" t="s">
        <v>301</v>
      </c>
      <c r="I463" s="22" t="s">
        <v>4291</v>
      </c>
      <c r="J463" s="73">
        <v>78.09</v>
      </c>
      <c r="K463" s="73">
        <v>3.29</v>
      </c>
      <c r="L463" s="73">
        <v>1.3</v>
      </c>
      <c r="N463" s="318">
        <f t="shared" si="98"/>
        <v>82.68</v>
      </c>
      <c r="O463" s="81">
        <f>IFERROR(VLOOKUP($G463,'321買'!A:E,3,0),"'沒有資料'")</f>
        <v>0</v>
      </c>
      <c r="P463" s="380">
        <f>IFERROR(VLOOKUP($G463,'321買'!$A:$G,7,0),"'沒有資料'")</f>
        <v>911</v>
      </c>
      <c r="R463" s="297">
        <f>IFERROR(RANK(VLOOKUP($G463,連買!$A:$D,4,0),連買!$D:$D,0),"'沒有資料'")</f>
        <v>1647</v>
      </c>
      <c r="S463" s="34">
        <v>2</v>
      </c>
      <c r="T463" s="353">
        <f t="shared" si="99"/>
        <v>3.6429872495446269E-2</v>
      </c>
      <c r="U463" s="95">
        <v>2.04</v>
      </c>
      <c r="V463" s="36">
        <f>RTD("money.excel",,"5007","Price")</f>
        <v>54.9</v>
      </c>
      <c r="W463" s="66"/>
      <c r="X463" s="15">
        <f t="shared" si="100"/>
        <v>54.9</v>
      </c>
      <c r="Y463" s="3" t="e">
        <f t="shared" si="101"/>
        <v>#DIV/0!</v>
      </c>
      <c r="Z463" s="413" t="s">
        <v>1801</v>
      </c>
      <c r="AA463" s="161">
        <v>0</v>
      </c>
      <c r="AB463" s="409">
        <v>0</v>
      </c>
      <c r="AC463" s="259">
        <f t="shared" si="103"/>
        <v>0</v>
      </c>
      <c r="AD463" s="22" t="s">
        <v>4291</v>
      </c>
      <c r="AG463" s="33">
        <f t="shared" si="102"/>
        <v>0</v>
      </c>
      <c r="AH463" s="43" t="s">
        <v>4292</v>
      </c>
      <c r="AI463" s="63">
        <f t="shared" si="97"/>
        <v>3.7414965986394557E-5</v>
      </c>
      <c r="AJ463" s="307">
        <f>RTD("money.excel",,$G463,"PredictVolume")</f>
        <v>11</v>
      </c>
      <c r="AK463" s="339"/>
    </row>
    <row r="464" spans="1:37">
      <c r="A464" s="416">
        <v>46.6</v>
      </c>
      <c r="B464" s="80">
        <v>-44</v>
      </c>
      <c r="C464" s="80">
        <v>-69</v>
      </c>
      <c r="D464" s="80">
        <v>-23</v>
      </c>
      <c r="E464" s="80">
        <v>-14</v>
      </c>
      <c r="F464" s="6">
        <v>2.19</v>
      </c>
      <c r="G464" s="79">
        <v>5009</v>
      </c>
      <c r="H464" s="8" t="s">
        <v>301</v>
      </c>
      <c r="I464" s="16" t="s">
        <v>4293</v>
      </c>
      <c r="J464" s="323">
        <v>54.32</v>
      </c>
      <c r="K464" s="323">
        <v>7.99</v>
      </c>
      <c r="L464" s="323">
        <v>2.0499999999999998</v>
      </c>
      <c r="N464" s="318">
        <f t="shared" si="98"/>
        <v>64.36</v>
      </c>
      <c r="O464" s="81">
        <f>IFERROR(VLOOKUP($G464,'321買'!A:E,3,0),"'沒有資料'")</f>
        <v>27</v>
      </c>
      <c r="P464" s="380">
        <f>IFERROR(VLOOKUP($G464,'321買'!$A:$G,7,0),"'沒有資料'")</f>
        <v>130</v>
      </c>
      <c r="R464" s="297">
        <f>IFERROR(RANK(VLOOKUP($G464,連買!$A:$D,4,0),連買!$D:$D,0),"'沒有資料'")</f>
        <v>715</v>
      </c>
      <c r="S464" s="34">
        <v>0.4</v>
      </c>
      <c r="T464" s="353">
        <f t="shared" si="99"/>
        <v>1.340033500837521E-2</v>
      </c>
      <c r="U464" s="57">
        <v>0.5</v>
      </c>
      <c r="V464" s="36">
        <f>RTD("money.excel",,"5009","Price")</f>
        <v>29.85</v>
      </c>
      <c r="W464" s="66"/>
      <c r="X464" s="15">
        <f t="shared" si="100"/>
        <v>29.85</v>
      </c>
      <c r="Y464" s="3" t="e">
        <f t="shared" si="101"/>
        <v>#DIV/0!</v>
      </c>
      <c r="Z464" s="413" t="s">
        <v>1801</v>
      </c>
      <c r="AA464" s="161">
        <v>0</v>
      </c>
      <c r="AB464" s="409">
        <v>0</v>
      </c>
      <c r="AC464" s="259">
        <f t="shared" si="103"/>
        <v>0</v>
      </c>
      <c r="AD464" s="16" t="s">
        <v>4293</v>
      </c>
      <c r="AG464" s="33">
        <f t="shared" si="102"/>
        <v>0</v>
      </c>
      <c r="AH464" s="120" t="s">
        <v>4294</v>
      </c>
      <c r="AI464" s="63">
        <f t="shared" si="97"/>
        <v>0.16381974248927039</v>
      </c>
      <c r="AJ464" s="307">
        <f>RTD("money.excel",,$G464,"PredictVolume")</f>
        <v>76340</v>
      </c>
      <c r="AK464" s="339"/>
    </row>
    <row r="465" spans="1:37">
      <c r="A465" s="416">
        <v>7.52</v>
      </c>
      <c r="B465" s="80">
        <v>-122</v>
      </c>
      <c r="C465" s="80">
        <v>-15</v>
      </c>
      <c r="D465" s="80">
        <v>-46</v>
      </c>
      <c r="E465" s="79">
        <v>128</v>
      </c>
      <c r="F465" s="6">
        <v>-3.24</v>
      </c>
      <c r="G465" s="79">
        <v>5011</v>
      </c>
      <c r="H465" s="8" t="s">
        <v>301</v>
      </c>
      <c r="I465" s="16" t="s">
        <v>4295</v>
      </c>
      <c r="J465" s="323">
        <v>32.65</v>
      </c>
      <c r="K465" s="73">
        <v>0.75</v>
      </c>
      <c r="L465" s="73">
        <v>29.76</v>
      </c>
      <c r="N465" s="318">
        <f t="shared" si="98"/>
        <v>63.16</v>
      </c>
      <c r="O465" s="81">
        <f>IFERROR(VLOOKUP($G465,'321買'!A:E,3,0),"'沒有資料'")</f>
        <v>32</v>
      </c>
      <c r="P465" s="380">
        <f>IFERROR(VLOOKUP($G465,'321買'!$A:$G,7,0),"'沒有資料'")</f>
        <v>135</v>
      </c>
      <c r="R465" s="297">
        <f>IFERROR(RANK(VLOOKUP($G465,連買!$A:$D,4,0),連買!$D:$D,0),"'沒有資料'")</f>
        <v>573</v>
      </c>
      <c r="S465" s="34">
        <v>0</v>
      </c>
      <c r="T465" s="353">
        <f t="shared" si="99"/>
        <v>0</v>
      </c>
      <c r="U465" s="95">
        <v>-1.67</v>
      </c>
      <c r="V465" s="36">
        <f>RTD("money.excel",,"5011","Price")</f>
        <v>40.9</v>
      </c>
      <c r="W465" s="66"/>
      <c r="X465" s="15">
        <f t="shared" si="100"/>
        <v>40.9</v>
      </c>
      <c r="Y465" s="3" t="e">
        <f t="shared" si="101"/>
        <v>#DIV/0!</v>
      </c>
      <c r="AA465" s="161">
        <v>0</v>
      </c>
      <c r="AB465" s="409">
        <v>0</v>
      </c>
      <c r="AC465" s="259">
        <f t="shared" si="103"/>
        <v>0</v>
      </c>
      <c r="AD465" s="16" t="s">
        <v>4295</v>
      </c>
      <c r="AG465" s="33">
        <f t="shared" si="102"/>
        <v>0</v>
      </c>
      <c r="AH465" s="43" t="s">
        <v>4296</v>
      </c>
      <c r="AI465" s="63">
        <f t="shared" si="97"/>
        <v>0.14860372340425532</v>
      </c>
      <c r="AJ465" s="307">
        <f>RTD("money.excel",,$G465,"PredictVolume")</f>
        <v>11175</v>
      </c>
      <c r="AK465" s="339"/>
    </row>
    <row r="466" spans="1:37">
      <c r="A466" s="416">
        <v>13.34</v>
      </c>
      <c r="B466" s="91">
        <v>16</v>
      </c>
      <c r="C466" s="91">
        <v>8</v>
      </c>
      <c r="D466" s="91">
        <v>-1</v>
      </c>
      <c r="E466" s="91">
        <v>78</v>
      </c>
      <c r="F466" s="6">
        <v>6.34</v>
      </c>
      <c r="G466" s="79">
        <v>5013</v>
      </c>
      <c r="H466" s="8" t="s">
        <v>301</v>
      </c>
      <c r="I466" s="16" t="s">
        <v>4297</v>
      </c>
      <c r="J466" s="73">
        <v>82.51</v>
      </c>
      <c r="K466" s="73">
        <v>2.77</v>
      </c>
      <c r="L466" s="73">
        <v>7.0000000000000007E-2</v>
      </c>
      <c r="N466" s="318">
        <f t="shared" si="98"/>
        <v>85.35</v>
      </c>
      <c r="O466" s="81">
        <f>IFERROR(VLOOKUP($G466,'321買'!A:E,3,0),"'沒有資料'")</f>
        <v>1</v>
      </c>
      <c r="P466" s="380">
        <f>IFERROR(VLOOKUP($G466,'321買'!$A:$G,7,0),"'沒有資料'")</f>
        <v>783</v>
      </c>
      <c r="R466" s="297">
        <f>IFERROR(RANK(VLOOKUP($G466,連買!$A:$D,4,0),連買!$D:$D,0),"'沒有資料'")</f>
        <v>668</v>
      </c>
      <c r="S466" s="34">
        <v>0.5</v>
      </c>
      <c r="T466" s="353">
        <f t="shared" si="99"/>
        <v>1.3175230566534914E-2</v>
      </c>
      <c r="U466" s="95">
        <v>1.58</v>
      </c>
      <c r="V466" s="13">
        <f>RTD("money.excel",,"5013","Price")</f>
        <v>37.950000000000003</v>
      </c>
      <c r="W466" s="66"/>
      <c r="X466" s="15">
        <f t="shared" si="100"/>
        <v>37.950000000000003</v>
      </c>
      <c r="Y466" s="3" t="e">
        <f t="shared" si="101"/>
        <v>#DIV/0!</v>
      </c>
      <c r="AA466" s="161">
        <v>0</v>
      </c>
      <c r="AB466" s="409">
        <v>0</v>
      </c>
      <c r="AC466" s="259">
        <f t="shared" si="103"/>
        <v>0</v>
      </c>
      <c r="AD466" s="16" t="s">
        <v>4297</v>
      </c>
      <c r="AG466" s="33">
        <f t="shared" si="102"/>
        <v>0</v>
      </c>
      <c r="AH466" s="120" t="s">
        <v>4298</v>
      </c>
      <c r="AI466" s="63">
        <f t="shared" si="97"/>
        <v>1.0719640179910044E-3</v>
      </c>
      <c r="AJ466" s="307">
        <f>RTD("money.excel",,$G466,"PredictVolume")</f>
        <v>143</v>
      </c>
      <c r="AK466" s="339"/>
    </row>
    <row r="467" spans="1:37">
      <c r="A467" s="416">
        <v>18.5</v>
      </c>
      <c r="B467" s="79">
        <v>303</v>
      </c>
      <c r="C467" s="79">
        <v>712</v>
      </c>
      <c r="D467" s="79">
        <v>0</v>
      </c>
      <c r="E467" s="80">
        <v>-2</v>
      </c>
      <c r="F467" s="6">
        <v>4.66</v>
      </c>
      <c r="G467" s="79">
        <v>5014</v>
      </c>
      <c r="H467" s="8" t="s">
        <v>301</v>
      </c>
      <c r="I467" s="16" t="s">
        <v>4299</v>
      </c>
      <c r="J467" s="323">
        <v>28.15</v>
      </c>
      <c r="K467" s="73">
        <v>1.47</v>
      </c>
      <c r="L467" s="73">
        <v>33.21</v>
      </c>
      <c r="M467" s="323">
        <v>16.190000000000001</v>
      </c>
      <c r="N467" s="318">
        <f>J467+K467+L467+M467</f>
        <v>79.02</v>
      </c>
      <c r="O467" s="81">
        <f>IFERROR(VLOOKUP($G467,'321買'!A:E,3,0),"'沒有資料'")</f>
        <v>39</v>
      </c>
      <c r="P467" s="380">
        <f>IFERROR(VLOOKUP($G467,'321買'!$A:$G,7,0),"'沒有資料'")</f>
        <v>94</v>
      </c>
      <c r="Q467" s="245" t="s">
        <v>3816</v>
      </c>
      <c r="R467" s="297">
        <f>IFERROR(RANK(VLOOKUP($G467,連買!$A:$D,4,0),連買!$D:$D,0),"'沒有資料'")</f>
        <v>770</v>
      </c>
      <c r="S467" s="34">
        <v>0</v>
      </c>
      <c r="T467" s="353">
        <f t="shared" si="99"/>
        <v>0</v>
      </c>
      <c r="U467" s="95">
        <v>2.84</v>
      </c>
      <c r="V467" s="36">
        <f>RTD("money.excel",,"5014","Price")</f>
        <v>24.2</v>
      </c>
      <c r="W467" s="66"/>
      <c r="X467" s="15">
        <f t="shared" si="100"/>
        <v>24.2</v>
      </c>
      <c r="Y467" s="3" t="e">
        <f t="shared" si="101"/>
        <v>#DIV/0!</v>
      </c>
      <c r="AA467" s="161">
        <v>0</v>
      </c>
      <c r="AB467" s="409">
        <v>0</v>
      </c>
      <c r="AC467" s="259">
        <f t="shared" si="103"/>
        <v>0</v>
      </c>
      <c r="AD467" s="16" t="s">
        <v>4299</v>
      </c>
      <c r="AG467" s="33">
        <f t="shared" si="102"/>
        <v>0</v>
      </c>
      <c r="AH467" s="43" t="s">
        <v>4300</v>
      </c>
      <c r="AI467" s="63">
        <f t="shared" si="97"/>
        <v>0.14162702702702704</v>
      </c>
      <c r="AJ467" s="307">
        <f>RTD("money.excel",,$G467,"PredictVolume")</f>
        <v>26201</v>
      </c>
      <c r="AK467" s="339"/>
    </row>
    <row r="468" spans="1:37">
      <c r="A468" s="416">
        <v>6.06</v>
      </c>
      <c r="B468" s="91">
        <v>-36</v>
      </c>
      <c r="C468" s="91">
        <v>-40</v>
      </c>
      <c r="D468" s="91">
        <v>-4</v>
      </c>
      <c r="E468" s="91">
        <v>-21</v>
      </c>
      <c r="F468" s="6">
        <v>7.4</v>
      </c>
      <c r="G468" s="79">
        <v>5015</v>
      </c>
      <c r="H468" s="8" t="s">
        <v>301</v>
      </c>
      <c r="I468" s="16" t="s">
        <v>4301</v>
      </c>
      <c r="J468" s="73">
        <v>50.19</v>
      </c>
      <c r="K468" s="73">
        <v>7.36</v>
      </c>
      <c r="L468" s="73">
        <v>0.33</v>
      </c>
      <c r="N468" s="318">
        <f t="shared" si="98"/>
        <v>57.879999999999995</v>
      </c>
      <c r="O468" s="81">
        <f>IFERROR(VLOOKUP($G468,'321買'!A:E,3,0),"'沒有資料'")</f>
        <v>0</v>
      </c>
      <c r="P468" s="380">
        <f>IFERROR(VLOOKUP($G468,'321買'!$A:$G,7,0),"'沒有資料'")</f>
        <v>911</v>
      </c>
      <c r="R468" s="297">
        <f>IFERROR(RANK(VLOOKUP($G468,連買!$A:$D,4,0),連買!$D:$D,0),"'沒有資料'")</f>
        <v>684</v>
      </c>
      <c r="S468" s="34">
        <v>1.9</v>
      </c>
      <c r="T468" s="353">
        <f t="shared" si="99"/>
        <v>4.3132803632236094E-2</v>
      </c>
      <c r="U468" s="95">
        <v>1.94</v>
      </c>
      <c r="V468" s="36">
        <f>RTD("money.excel",,"5015","Price")</f>
        <v>44.05</v>
      </c>
      <c r="W468" s="66"/>
      <c r="X468" s="15">
        <f t="shared" si="100"/>
        <v>44.05</v>
      </c>
      <c r="Y468" s="3" t="e">
        <f t="shared" si="101"/>
        <v>#DIV/0!</v>
      </c>
      <c r="AA468" s="161">
        <v>0</v>
      </c>
      <c r="AB468" s="409">
        <v>0</v>
      </c>
      <c r="AC468" s="259">
        <f t="shared" si="103"/>
        <v>0</v>
      </c>
      <c r="AD468" s="16" t="s">
        <v>4301</v>
      </c>
      <c r="AG468" s="33">
        <f t="shared" si="102"/>
        <v>0</v>
      </c>
      <c r="AH468" s="43" t="s">
        <v>4282</v>
      </c>
      <c r="AI468" s="63">
        <f t="shared" si="97"/>
        <v>1.8151815181518154E-3</v>
      </c>
      <c r="AJ468" s="307">
        <f>RTD("money.excel",,$G468,"PredictVolume")</f>
        <v>110</v>
      </c>
      <c r="AK468" s="339"/>
    </row>
    <row r="469" spans="1:37">
      <c r="A469" s="416">
        <v>4.96</v>
      </c>
      <c r="B469" s="91">
        <v>92</v>
      </c>
      <c r="C469" s="91">
        <v>86</v>
      </c>
      <c r="D469" s="91">
        <v>-5</v>
      </c>
      <c r="E469" s="91">
        <v>25</v>
      </c>
      <c r="F469" s="6">
        <v>8.75</v>
      </c>
      <c r="G469" s="79">
        <v>5016</v>
      </c>
      <c r="H469" s="8" t="s">
        <v>301</v>
      </c>
      <c r="I469" s="16" t="s">
        <v>4302</v>
      </c>
      <c r="J469" s="73">
        <v>69.02</v>
      </c>
      <c r="K469" s="73">
        <v>0.03</v>
      </c>
      <c r="L469" s="73">
        <v>1.1399999999999999</v>
      </c>
      <c r="N469" s="318">
        <f t="shared" si="98"/>
        <v>70.19</v>
      </c>
      <c r="O469" s="81">
        <f>IFERROR(VLOOKUP($G469,'321買'!A:E,3,0),"'沒有資料'")</f>
        <v>1</v>
      </c>
      <c r="P469" s="380">
        <f>IFERROR(VLOOKUP($G469,'321買'!$A:$G,7,0),"'沒有資料'")</f>
        <v>783</v>
      </c>
      <c r="R469" s="297">
        <f>IFERROR(RANK(VLOOKUP($G469,連買!$A:$D,4,0),連買!$D:$D,0),"'沒有資料'")</f>
        <v>665</v>
      </c>
      <c r="S469" s="34">
        <v>2</v>
      </c>
      <c r="T469" s="353">
        <f t="shared" si="99"/>
        <v>4.9627791563275438E-2</v>
      </c>
      <c r="U469" s="95">
        <v>3.15</v>
      </c>
      <c r="V469" s="13">
        <f>RTD("money.excel",,"5016","Price")</f>
        <v>40.299999999999997</v>
      </c>
      <c r="W469" s="66"/>
      <c r="X469" s="15">
        <f t="shared" si="100"/>
        <v>40.299999999999997</v>
      </c>
      <c r="Y469" s="3" t="e">
        <f t="shared" si="101"/>
        <v>#DIV/0!</v>
      </c>
      <c r="AA469" s="161">
        <v>0</v>
      </c>
      <c r="AB469" s="409">
        <v>0</v>
      </c>
      <c r="AC469" s="259">
        <f t="shared" si="103"/>
        <v>0</v>
      </c>
      <c r="AD469" s="16" t="s">
        <v>4302</v>
      </c>
      <c r="AG469" s="33">
        <f t="shared" si="102"/>
        <v>0</v>
      </c>
      <c r="AH469" s="43" t="s">
        <v>4303</v>
      </c>
      <c r="AI469" s="63">
        <f t="shared" si="97"/>
        <v>1.6733870967741936E-3</v>
      </c>
      <c r="AJ469" s="307">
        <f>RTD("money.excel",,$G469,"PredictVolume")</f>
        <v>83</v>
      </c>
      <c r="AK469" s="339"/>
    </row>
    <row r="470" spans="1:37">
      <c r="A470" s="415">
        <v>20.100000000000001</v>
      </c>
      <c r="B470" s="79">
        <v>248</v>
      </c>
      <c r="C470" s="79">
        <v>301</v>
      </c>
      <c r="D470" s="79">
        <v>8</v>
      </c>
      <c r="E470" s="79">
        <v>43</v>
      </c>
      <c r="F470" s="57">
        <v>12</v>
      </c>
      <c r="G470" s="79">
        <v>5538</v>
      </c>
      <c r="H470" s="8" t="s">
        <v>301</v>
      </c>
      <c r="I470" s="22" t="s">
        <v>4304</v>
      </c>
      <c r="J470" s="323">
        <v>91.76</v>
      </c>
      <c r="K470" s="73">
        <v>64.13</v>
      </c>
      <c r="L470" s="323">
        <v>0.86</v>
      </c>
      <c r="N470" s="318">
        <f t="shared" si="98"/>
        <v>156.75</v>
      </c>
      <c r="O470" s="81">
        <f>IFERROR(VLOOKUP($G470,'321買'!A:E,3,0),"'沒有資料'")</f>
        <v>0</v>
      </c>
      <c r="P470" s="380">
        <f>IFERROR(VLOOKUP($G470,'321買'!$A:$G,7,0),"'沒有資料'")</f>
        <v>911</v>
      </c>
      <c r="R470" s="297">
        <f>IFERROR(RANK(VLOOKUP($G470,連買!$A:$D,4,0),連買!$D:$D,0),"'沒有資料'")</f>
        <v>444</v>
      </c>
      <c r="S470" s="34">
        <v>1.78</v>
      </c>
      <c r="T470" s="353">
        <f t="shared" si="99"/>
        <v>3.1393298059964728E-2</v>
      </c>
      <c r="U470" s="57">
        <v>5.01</v>
      </c>
      <c r="V470" s="13">
        <f>RTD("money.excel",,"5538","Price")</f>
        <v>56.7</v>
      </c>
      <c r="W470" s="66"/>
      <c r="X470" s="15">
        <f t="shared" si="100"/>
        <v>56.7</v>
      </c>
      <c r="Y470" s="3" t="e">
        <f t="shared" si="101"/>
        <v>#DIV/0!</v>
      </c>
      <c r="AA470" s="161">
        <v>0</v>
      </c>
      <c r="AB470" s="409">
        <v>0</v>
      </c>
      <c r="AC470" s="259">
        <f t="shared" si="103"/>
        <v>0</v>
      </c>
      <c r="AD470" s="22" t="s">
        <v>4304</v>
      </c>
      <c r="AG470" s="33">
        <f t="shared" si="102"/>
        <v>0</v>
      </c>
      <c r="AH470" s="43" t="s">
        <v>3482</v>
      </c>
      <c r="AI470" s="63">
        <f t="shared" si="97"/>
        <v>4.6766169154228857E-4</v>
      </c>
      <c r="AJ470" s="307">
        <f>RTD("money.excel",,$G470,"PredictVolume")</f>
        <v>94</v>
      </c>
      <c r="AK470" s="339"/>
    </row>
    <row r="471" spans="1:37">
      <c r="A471" s="416">
        <v>4.57</v>
      </c>
      <c r="B471" s="79">
        <v>1</v>
      </c>
      <c r="C471" s="80">
        <v>-33</v>
      </c>
      <c r="D471" s="80">
        <v>-8</v>
      </c>
      <c r="E471" s="79">
        <v>25</v>
      </c>
      <c r="F471" s="6">
        <v>1.43</v>
      </c>
      <c r="G471" s="79">
        <v>6248</v>
      </c>
      <c r="H471" s="8" t="s">
        <v>301</v>
      </c>
      <c r="I471" s="16" t="s">
        <v>4305</v>
      </c>
      <c r="J471" s="73">
        <v>44.85</v>
      </c>
      <c r="K471" s="73">
        <v>1.05</v>
      </c>
      <c r="L471" s="323">
        <v>8.3800000000000008</v>
      </c>
      <c r="N471" s="318">
        <f t="shared" si="98"/>
        <v>54.28</v>
      </c>
      <c r="O471" s="81">
        <f>IFERROR(VLOOKUP($G471,'321買'!A:E,3,0),"'沒有資料'")</f>
        <v>4</v>
      </c>
      <c r="P471" s="380">
        <f>IFERROR(VLOOKUP($G471,'321買'!$A:$G,7,0),"'沒有資料'")</f>
        <v>592</v>
      </c>
      <c r="R471" s="297">
        <f>IFERROR(RANK(VLOOKUP($G471,連買!$A:$D,4,0),連買!$D:$D,0),"'沒有資料'")</f>
        <v>667</v>
      </c>
      <c r="S471" s="34">
        <v>1.2</v>
      </c>
      <c r="T471" s="353">
        <f t="shared" si="99"/>
        <v>5.2173913043478258E-2</v>
      </c>
      <c r="U471" s="95">
        <v>1.76</v>
      </c>
      <c r="V471" s="36">
        <f>RTD("money.excel",,"6248","Price")</f>
        <v>23</v>
      </c>
      <c r="W471" s="66"/>
      <c r="X471" s="15">
        <f t="shared" si="100"/>
        <v>23</v>
      </c>
      <c r="Y471" s="3" t="e">
        <f t="shared" si="101"/>
        <v>#DIV/0!</v>
      </c>
      <c r="AA471" s="161">
        <v>0</v>
      </c>
      <c r="AB471" s="409">
        <v>0</v>
      </c>
      <c r="AC471" s="259">
        <f t="shared" si="103"/>
        <v>0</v>
      </c>
      <c r="AD471" s="16" t="s">
        <v>4305</v>
      </c>
      <c r="AG471" s="33">
        <f t="shared" si="102"/>
        <v>0</v>
      </c>
      <c r="AH471" s="43" t="s">
        <v>2845</v>
      </c>
      <c r="AI471" s="63">
        <f t="shared" si="97"/>
        <v>8.0087527352297599E-3</v>
      </c>
      <c r="AJ471" s="307">
        <f>RTD("money.excel",,$G471,"PredictVolume")</f>
        <v>366</v>
      </c>
      <c r="AK471" s="339"/>
    </row>
    <row r="472" spans="1:37">
      <c r="A472" s="416">
        <v>11.6</v>
      </c>
      <c r="B472" s="80">
        <v>-36</v>
      </c>
      <c r="C472" s="80">
        <v>-46</v>
      </c>
      <c r="D472" s="80">
        <v>-2</v>
      </c>
      <c r="E472" s="79">
        <v>12</v>
      </c>
      <c r="F472" s="6">
        <v>1.88</v>
      </c>
      <c r="G472" s="79">
        <v>8349</v>
      </c>
      <c r="H472" s="8" t="s">
        <v>301</v>
      </c>
      <c r="I472" s="16" t="s">
        <v>4306</v>
      </c>
      <c r="J472" s="73">
        <v>65.3</v>
      </c>
      <c r="K472" s="73">
        <v>3.6</v>
      </c>
      <c r="L472" s="323">
        <v>12.46</v>
      </c>
      <c r="N472" s="318">
        <f t="shared" si="98"/>
        <v>81.359999999999985</v>
      </c>
      <c r="O472" s="81">
        <f>IFERROR(VLOOKUP($G472,'321買'!A:E,3,0),"'沒有資料'")</f>
        <v>6</v>
      </c>
      <c r="P472" s="380">
        <f>IFERROR(VLOOKUP($G472,'321買'!$A:$G,7,0),"'沒有資料'")</f>
        <v>521</v>
      </c>
      <c r="R472" s="297">
        <f>IFERROR(RANK(VLOOKUP($G472,連買!$A:$D,4,0),連買!$D:$D,0),"'沒有資料'")</f>
        <v>327</v>
      </c>
      <c r="S472" s="34">
        <v>2.12</v>
      </c>
      <c r="T472" s="353">
        <f t="shared" si="99"/>
        <v>3.5274542429284524E-2</v>
      </c>
      <c r="U472" s="57">
        <v>2.52</v>
      </c>
      <c r="V472" s="36">
        <f>RTD("money.excel",,"8349","Price")</f>
        <v>60.1</v>
      </c>
      <c r="W472" s="66"/>
      <c r="X472" s="15">
        <f t="shared" si="100"/>
        <v>60.1</v>
      </c>
      <c r="Y472" s="3" t="e">
        <f t="shared" si="101"/>
        <v>#DIV/0!</v>
      </c>
      <c r="Z472" s="413" t="s">
        <v>1801</v>
      </c>
      <c r="AA472" s="161">
        <v>0</v>
      </c>
      <c r="AB472" s="409">
        <v>0</v>
      </c>
      <c r="AC472" s="259">
        <f t="shared" si="103"/>
        <v>0</v>
      </c>
      <c r="AD472" s="16" t="s">
        <v>4306</v>
      </c>
      <c r="AG472" s="33">
        <f t="shared" si="102"/>
        <v>0</v>
      </c>
      <c r="AH472" s="120" t="s">
        <v>4307</v>
      </c>
      <c r="AI472" s="63">
        <f t="shared" si="97"/>
        <v>4.6551724137931035E-4</v>
      </c>
      <c r="AJ472" s="307">
        <f>RTD("money.excel",,$G472,"PredictVolume")</f>
        <v>54</v>
      </c>
      <c r="AK472" s="339"/>
    </row>
    <row r="473" spans="1:37">
      <c r="A473" s="416">
        <v>103</v>
      </c>
      <c r="B473" s="80">
        <v>-38</v>
      </c>
      <c r="C473" s="80">
        <v>-13</v>
      </c>
      <c r="D473" s="79">
        <v>4</v>
      </c>
      <c r="E473" s="80">
        <v>-7</v>
      </c>
      <c r="F473" s="6">
        <v>9.6999999999999993</v>
      </c>
      <c r="G473" s="79">
        <v>8415</v>
      </c>
      <c r="H473" s="8" t="s">
        <v>301</v>
      </c>
      <c r="I473" s="16" t="s">
        <v>4308</v>
      </c>
      <c r="J473" s="323">
        <v>91.92</v>
      </c>
      <c r="K473" s="323">
        <v>9.69</v>
      </c>
      <c r="L473" s="323">
        <v>0.41</v>
      </c>
      <c r="N473" s="318">
        <f t="shared" si="98"/>
        <v>102.02</v>
      </c>
      <c r="O473" s="81">
        <f>IFERROR(VLOOKUP($G473,'321買'!A:E,3,0),"'沒有資料'")</f>
        <v>4</v>
      </c>
      <c r="P473" s="380">
        <f>IFERROR(VLOOKUP($G473,'321買'!$A:$G,7,0),"'沒有資料'")</f>
        <v>592</v>
      </c>
      <c r="R473" s="297">
        <f>IFERROR(RANK(VLOOKUP($G473,連買!$A:$D,4,0),連買!$D:$D,0),"'沒有資料'")</f>
        <v>480</v>
      </c>
      <c r="S473" s="34">
        <v>1.4</v>
      </c>
      <c r="T473" s="353">
        <f t="shared" si="99"/>
        <v>3.414634146341463E-2</v>
      </c>
      <c r="U473" s="57">
        <v>0.92</v>
      </c>
      <c r="V473" s="36">
        <f>RTD("money.excel",,"8415","Price")</f>
        <v>41</v>
      </c>
      <c r="W473" s="66"/>
      <c r="X473" s="15">
        <f t="shared" si="100"/>
        <v>41</v>
      </c>
      <c r="Y473" s="3" t="e">
        <f t="shared" si="101"/>
        <v>#DIV/0!</v>
      </c>
      <c r="AA473" s="161">
        <v>0</v>
      </c>
      <c r="AB473" s="409">
        <v>0</v>
      </c>
      <c r="AC473" s="259">
        <f t="shared" si="103"/>
        <v>0</v>
      </c>
      <c r="AD473" s="16" t="s">
        <v>4308</v>
      </c>
      <c r="AG473" s="33">
        <f t="shared" si="102"/>
        <v>0</v>
      </c>
      <c r="AH473" s="43" t="s">
        <v>4309</v>
      </c>
      <c r="AI473" s="63">
        <f t="shared" si="97"/>
        <v>5.9029126213592234E-3</v>
      </c>
      <c r="AJ473" s="307">
        <f>RTD("money.excel",,$G473,"PredictVolume")</f>
        <v>6080</v>
      </c>
      <c r="AK473" s="339"/>
    </row>
    <row r="474" spans="1:37">
      <c r="A474" s="416">
        <v>8.07</v>
      </c>
      <c r="B474" s="91">
        <v>-80</v>
      </c>
      <c r="C474" s="91">
        <v>-22</v>
      </c>
      <c r="D474" s="91">
        <v>-8</v>
      </c>
      <c r="E474" s="91">
        <v>53</v>
      </c>
      <c r="F474" s="6">
        <v>5.05</v>
      </c>
      <c r="G474" s="79">
        <v>8930</v>
      </c>
      <c r="H474" s="8" t="s">
        <v>301</v>
      </c>
      <c r="I474" s="16" t="s">
        <v>4310</v>
      </c>
      <c r="J474" s="73">
        <v>58.77</v>
      </c>
      <c r="K474" s="73">
        <v>2.06</v>
      </c>
      <c r="L474" s="73">
        <v>12.46</v>
      </c>
      <c r="N474" s="318">
        <f t="shared" si="98"/>
        <v>73.290000000000006</v>
      </c>
      <c r="O474" s="81">
        <f>IFERROR(VLOOKUP($G474,'321買'!A:E,3,0),"'沒有資料'")</f>
        <v>6</v>
      </c>
      <c r="P474" s="380">
        <f>IFERROR(VLOOKUP($G474,'321買'!$A:$G,7,0),"'沒有資料'")</f>
        <v>521</v>
      </c>
      <c r="R474" s="297">
        <f>IFERROR(RANK(VLOOKUP($G474,連買!$A:$D,4,0),連買!$D:$D,0),"'沒有資料'")</f>
        <v>1182</v>
      </c>
      <c r="S474" s="34">
        <v>0.5</v>
      </c>
      <c r="T474" s="353">
        <f t="shared" si="99"/>
        <v>2.6881720430107524E-2</v>
      </c>
      <c r="U474" s="95">
        <v>0.32</v>
      </c>
      <c r="V474" s="13">
        <f>RTD("money.excel",,"8930","Price")</f>
        <v>18.600000000000001</v>
      </c>
      <c r="W474" s="66"/>
      <c r="X474" s="15">
        <f t="shared" si="100"/>
        <v>18.600000000000001</v>
      </c>
      <c r="Y474" s="3" t="e">
        <f t="shared" si="101"/>
        <v>#DIV/0!</v>
      </c>
      <c r="AA474" s="161">
        <v>0</v>
      </c>
      <c r="AB474" s="409">
        <v>0</v>
      </c>
      <c r="AC474" s="259">
        <f t="shared" si="103"/>
        <v>0</v>
      </c>
      <c r="AD474" s="16" t="s">
        <v>4310</v>
      </c>
      <c r="AG474" s="33">
        <f t="shared" si="102"/>
        <v>0</v>
      </c>
      <c r="AH474" s="43" t="s">
        <v>4311</v>
      </c>
      <c r="AI474" s="63">
        <f t="shared" si="97"/>
        <v>5.5377942998760844E-2</v>
      </c>
      <c r="AJ474" s="307">
        <f>RTD("money.excel",,$G474,"PredictVolume")</f>
        <v>4469</v>
      </c>
      <c r="AK474" s="339"/>
    </row>
    <row r="475" spans="1:37">
      <c r="A475" s="415">
        <v>23.1</v>
      </c>
      <c r="B475" s="79">
        <v>77</v>
      </c>
      <c r="C475" s="79">
        <v>55</v>
      </c>
      <c r="D475" s="80">
        <v>-23</v>
      </c>
      <c r="E475" s="79">
        <v>2</v>
      </c>
      <c r="F475" s="57">
        <v>17.600000000000001</v>
      </c>
      <c r="G475" s="79">
        <v>9958</v>
      </c>
      <c r="H475" s="8" t="s">
        <v>301</v>
      </c>
      <c r="I475" s="22" t="s">
        <v>4312</v>
      </c>
      <c r="J475" s="73">
        <v>58.39</v>
      </c>
      <c r="K475" s="73">
        <v>10.91</v>
      </c>
      <c r="L475" s="323">
        <v>23.91</v>
      </c>
      <c r="M475" s="323">
        <v>29.52</v>
      </c>
      <c r="N475" s="318">
        <f t="shared" si="98"/>
        <v>122.72999999999999</v>
      </c>
      <c r="O475" s="81">
        <f>IFERROR(VLOOKUP($G475,'321買'!A:E,3,0),"'沒有資料'")</f>
        <v>30</v>
      </c>
      <c r="P475" s="380">
        <f>IFERROR(VLOOKUP($G475,'321買'!$A:$G,7,0),"'沒有資料'")</f>
        <v>135</v>
      </c>
      <c r="Q475" s="245" t="s">
        <v>8655</v>
      </c>
      <c r="R475" s="297">
        <f>IFERROR(RANK(VLOOKUP($G475,連買!$A:$D,4,0),連買!$D:$D,0),"'沒有資料'")</f>
        <v>167</v>
      </c>
      <c r="S475" s="45">
        <v>3</v>
      </c>
      <c r="T475" s="353">
        <f t="shared" si="99"/>
        <v>2.4193548387096774E-2</v>
      </c>
      <c r="U475" s="57">
        <v>5.46</v>
      </c>
      <c r="V475" s="36">
        <f>RTD("money.excel",,"9958","Price")</f>
        <v>124</v>
      </c>
      <c r="W475" s="66"/>
      <c r="X475" s="15">
        <f t="shared" si="100"/>
        <v>124</v>
      </c>
      <c r="Y475" s="3" t="e">
        <f t="shared" si="101"/>
        <v>#DIV/0!</v>
      </c>
      <c r="Z475" s="413">
        <v>-17.71</v>
      </c>
      <c r="AA475" s="161">
        <v>2</v>
      </c>
      <c r="AB475" s="409">
        <v>0</v>
      </c>
      <c r="AC475" s="259">
        <f t="shared" si="103"/>
        <v>2</v>
      </c>
      <c r="AD475" s="22" t="s">
        <v>4312</v>
      </c>
      <c r="AG475" s="33">
        <f t="shared" si="102"/>
        <v>0</v>
      </c>
      <c r="AH475" s="43" t="s">
        <v>4313</v>
      </c>
      <c r="AI475" s="63">
        <f t="shared" si="97"/>
        <v>6.4952380952380956E-2</v>
      </c>
      <c r="AJ475" s="307">
        <f>RTD("money.excel",,$G475,"PredictVolume")</f>
        <v>15004</v>
      </c>
      <c r="AK475" s="339">
        <v>17.77</v>
      </c>
    </row>
    <row r="476" spans="1:37">
      <c r="A476" s="416">
        <v>9.02</v>
      </c>
      <c r="B476" s="206">
        <v>-1748</v>
      </c>
      <c r="C476" s="91">
        <v>-838</v>
      </c>
      <c r="D476" s="91">
        <v>-18</v>
      </c>
      <c r="E476" s="91">
        <v>-24</v>
      </c>
      <c r="F476" s="6">
        <v>-1.1499999999999999</v>
      </c>
      <c r="G476" s="79">
        <v>9962</v>
      </c>
      <c r="H476" s="8" t="s">
        <v>301</v>
      </c>
      <c r="I476" s="16" t="s">
        <v>4314</v>
      </c>
      <c r="J476" s="73">
        <v>58.84</v>
      </c>
      <c r="K476" s="73">
        <v>0.59</v>
      </c>
      <c r="L476" s="73">
        <v>5.41</v>
      </c>
      <c r="N476" s="318">
        <f t="shared" si="98"/>
        <v>64.84</v>
      </c>
      <c r="O476" s="81">
        <f>IFERROR(VLOOKUP($G476,'321買'!A:E,3,0),"'沒有資料'")</f>
        <v>27</v>
      </c>
      <c r="P476" s="380">
        <f>IFERROR(VLOOKUP($G476,'321買'!$A:$G,7,0),"'沒有資料'")</f>
        <v>172</v>
      </c>
      <c r="R476" s="297">
        <f>IFERROR(RANK(VLOOKUP($G476,連買!$A:$D,4,0),連買!$D:$D,0),"'沒有資料'")</f>
        <v>914</v>
      </c>
      <c r="S476" s="34">
        <v>0</v>
      </c>
      <c r="T476" s="353">
        <f t="shared" si="99"/>
        <v>0</v>
      </c>
      <c r="U476" s="95">
        <v>0.01</v>
      </c>
      <c r="V476" s="13">
        <f>RTD("money.excel",,"9962","Price")</f>
        <v>22.5</v>
      </c>
      <c r="W476" s="66"/>
      <c r="X476" s="15">
        <f t="shared" si="100"/>
        <v>22.5</v>
      </c>
      <c r="Y476" s="3" t="e">
        <f t="shared" si="101"/>
        <v>#DIV/0!</v>
      </c>
      <c r="AA476" s="161">
        <v>0</v>
      </c>
      <c r="AB476" s="409">
        <v>0</v>
      </c>
      <c r="AC476" s="259">
        <f t="shared" si="103"/>
        <v>0</v>
      </c>
      <c r="AD476" s="16" t="s">
        <v>4314</v>
      </c>
      <c r="AG476" s="33">
        <f t="shared" si="102"/>
        <v>0</v>
      </c>
      <c r="AH476" s="43" t="s">
        <v>4315</v>
      </c>
      <c r="AI476" s="63">
        <f t="shared" si="97"/>
        <v>7.2317073170731702E-2</v>
      </c>
      <c r="AJ476" s="307">
        <f>RTD("money.excel",,$G476,"PredictVolume")</f>
        <v>6523</v>
      </c>
      <c r="AK476" s="339"/>
    </row>
    <row r="477" spans="1:37">
      <c r="A477" s="146"/>
      <c r="B477" s="206"/>
      <c r="C477" s="91"/>
      <c r="D477" s="91"/>
      <c r="E477" s="91"/>
      <c r="F477" s="6"/>
      <c r="G477" s="79"/>
      <c r="H477" s="8"/>
      <c r="I477" s="16"/>
      <c r="J477" s="73"/>
      <c r="K477" s="73"/>
      <c r="N477" s="318"/>
      <c r="O477" s="26"/>
      <c r="S477" s="34"/>
      <c r="U477" s="95"/>
      <c r="V477" s="13"/>
      <c r="W477" s="66"/>
      <c r="X477" s="15"/>
      <c r="Y477" s="3"/>
      <c r="AA477" s="2"/>
      <c r="AD477" s="16"/>
      <c r="AG477" s="33"/>
      <c r="AH477" s="43"/>
      <c r="AI477" s="63"/>
      <c r="AJ477" s="307"/>
      <c r="AK477" s="339"/>
    </row>
    <row r="478" spans="1:37">
      <c r="A478" s="130" t="s">
        <v>4191</v>
      </c>
      <c r="B478" s="91" t="s">
        <v>4192</v>
      </c>
      <c r="C478" s="91" t="s">
        <v>4193</v>
      </c>
      <c r="D478" s="91" t="s">
        <v>4194</v>
      </c>
      <c r="E478" s="91" t="s">
        <v>4195</v>
      </c>
      <c r="F478" s="8" t="s">
        <v>4196</v>
      </c>
      <c r="G478" s="27" t="s">
        <v>946</v>
      </c>
      <c r="H478" s="55" t="s">
        <v>322</v>
      </c>
      <c r="I478" s="8" t="s">
        <v>4316</v>
      </c>
      <c r="J478" s="317" t="s">
        <v>4199</v>
      </c>
      <c r="K478" s="317" t="s">
        <v>4200</v>
      </c>
      <c r="L478" s="317" t="s">
        <v>4201</v>
      </c>
      <c r="M478" s="317" t="s">
        <v>4202</v>
      </c>
      <c r="N478" s="317" t="s">
        <v>5048</v>
      </c>
      <c r="O478" s="26" t="s">
        <v>5107</v>
      </c>
      <c r="P478" s="373" t="s">
        <v>5059</v>
      </c>
      <c r="Q478" s="245" t="s">
        <v>5087</v>
      </c>
      <c r="R478" s="345" t="s">
        <v>5059</v>
      </c>
      <c r="S478" s="10" t="s">
        <v>4203</v>
      </c>
      <c r="T478" s="351" t="s">
        <v>5076</v>
      </c>
      <c r="U478" s="68" t="s">
        <v>4204</v>
      </c>
      <c r="V478" s="28" t="s">
        <v>4205</v>
      </c>
      <c r="W478" s="17" t="s">
        <v>4206</v>
      </c>
      <c r="X478" s="14" t="s">
        <v>4207</v>
      </c>
      <c r="Y478" s="21" t="s">
        <v>4208</v>
      </c>
      <c r="Z478" s="97" t="s">
        <v>6627</v>
      </c>
      <c r="AA478" s="406" t="s">
        <v>8647</v>
      </c>
      <c r="AB478" s="407" t="s">
        <v>8648</v>
      </c>
      <c r="AC478" s="408" t="s">
        <v>8649</v>
      </c>
      <c r="AD478" s="8" t="s">
        <v>4316</v>
      </c>
      <c r="AE478" s="71" t="s">
        <v>4209</v>
      </c>
      <c r="AF478" s="72" t="s">
        <v>4210</v>
      </c>
      <c r="AG478" s="32" t="s">
        <v>4211</v>
      </c>
      <c r="AH478" s="25" t="s">
        <v>8650</v>
      </c>
      <c r="AI478" s="8" t="s">
        <v>4212</v>
      </c>
      <c r="AJ478" s="50" t="s">
        <v>4213</v>
      </c>
      <c r="AK478" s="339" t="s">
        <v>5038</v>
      </c>
    </row>
    <row r="479" spans="1:37">
      <c r="A479" s="416">
        <v>83.3</v>
      </c>
      <c r="B479" s="80">
        <v>-25</v>
      </c>
      <c r="C479" s="80">
        <v>-45</v>
      </c>
      <c r="D479" s="79">
        <v>5</v>
      </c>
      <c r="E479" s="79">
        <v>15</v>
      </c>
      <c r="F479" s="6">
        <v>5.9</v>
      </c>
      <c r="G479" s="79">
        <v>2101</v>
      </c>
      <c r="H479" s="8" t="s">
        <v>302</v>
      </c>
      <c r="I479" s="22" t="s">
        <v>4317</v>
      </c>
      <c r="J479" s="323">
        <v>77.3</v>
      </c>
      <c r="K479" s="323">
        <v>7.18</v>
      </c>
      <c r="L479" s="323">
        <v>16.3</v>
      </c>
      <c r="N479" s="318">
        <f>J479+K479+L479+M479</f>
        <v>100.77999999999999</v>
      </c>
      <c r="O479" s="81">
        <f>IFERROR(VLOOKUP($G479,'321買'!A:E,3,0),"'沒有資料'")</f>
        <v>0</v>
      </c>
      <c r="P479" s="380">
        <f>IFERROR(VLOOKUP($G479,'321買'!$A:$G,7,0),"'沒有資料'")</f>
        <v>911</v>
      </c>
      <c r="R479" s="297">
        <f>IFERROR(RANK(VLOOKUP($G479,連買!$A:$D,4,0),連買!$D:$D,0),"'沒有資料'")</f>
        <v>559</v>
      </c>
      <c r="S479" s="34">
        <v>0.6</v>
      </c>
      <c r="T479" s="353">
        <f t="shared" ref="T479:T490" si="104">S479/V479</f>
        <v>1.4527845036319613E-2</v>
      </c>
      <c r="U479" s="95">
        <v>1.05</v>
      </c>
      <c r="V479" s="36">
        <f>RTD("money.excel",,"2101","Price")</f>
        <v>41.3</v>
      </c>
      <c r="W479" s="66"/>
      <c r="X479" s="15">
        <f t="shared" ref="X479:X490" si="105">V479-W479</f>
        <v>41.3</v>
      </c>
      <c r="Y479" s="3" t="e">
        <f t="shared" ref="Y479:Y490" si="106">X479/W479</f>
        <v>#DIV/0!</v>
      </c>
      <c r="Z479" s="413" t="s">
        <v>1801</v>
      </c>
      <c r="AA479" s="161">
        <v>0</v>
      </c>
      <c r="AB479" s="409">
        <v>0</v>
      </c>
      <c r="AC479" s="259">
        <f t="shared" si="103"/>
        <v>0</v>
      </c>
      <c r="AD479" s="22" t="s">
        <v>4317</v>
      </c>
      <c r="AG479" s="33">
        <f t="shared" ref="AG479:AG490" si="107">AF479-AE479</f>
        <v>0</v>
      </c>
      <c r="AH479" s="120" t="s">
        <v>4318</v>
      </c>
      <c r="AI479" s="63">
        <f t="shared" ref="AI479:AI490" si="108">AJ479/(A479*10000)</f>
        <v>1.3637454981992798E-3</v>
      </c>
      <c r="AJ479" s="307">
        <f>RTD("money.excel",,$G479,"PredictVolume")</f>
        <v>1136</v>
      </c>
      <c r="AK479" s="339"/>
    </row>
    <row r="480" spans="1:37">
      <c r="A480" s="416">
        <v>47.3</v>
      </c>
      <c r="B480" s="91">
        <v>134</v>
      </c>
      <c r="C480" s="91">
        <v>140</v>
      </c>
      <c r="D480" s="91">
        <v>-44</v>
      </c>
      <c r="E480" s="91">
        <v>-27</v>
      </c>
      <c r="F480" s="6">
        <v>4.34</v>
      </c>
      <c r="G480" s="79">
        <v>2102</v>
      </c>
      <c r="H480" s="8" t="s">
        <v>302</v>
      </c>
      <c r="I480" s="22" t="s">
        <v>4319</v>
      </c>
      <c r="J480" s="73">
        <v>53.48</v>
      </c>
      <c r="K480" s="73">
        <v>8.8699999999999992</v>
      </c>
      <c r="L480" s="73">
        <v>6.09</v>
      </c>
      <c r="N480" s="318">
        <f t="shared" ref="N480:N490" si="109">J480+K480+L480+M480</f>
        <v>68.44</v>
      </c>
      <c r="O480" s="81">
        <f>IFERROR(VLOOKUP($G480,'321買'!A:E,3,0),"'沒有資料'")</f>
        <v>2</v>
      </c>
      <c r="P480" s="380">
        <f>IFERROR(VLOOKUP($G480,'321買'!$A:$G,7,0),"'沒有資料'")</f>
        <v>706</v>
      </c>
      <c r="R480" s="297">
        <f>IFERROR(RANK(VLOOKUP($G480,連買!$A:$D,4,0),連買!$D:$D,0),"'沒有資料'")</f>
        <v>839</v>
      </c>
      <c r="S480" s="34">
        <v>0.02</v>
      </c>
      <c r="T480" s="353">
        <f t="shared" si="104"/>
        <v>7.7519379844961239E-4</v>
      </c>
      <c r="U480" s="95">
        <v>0.24</v>
      </c>
      <c r="V480" s="13">
        <f>RTD("money.excel",,"2102","Price")</f>
        <v>25.8</v>
      </c>
      <c r="W480" s="66"/>
      <c r="X480" s="15">
        <f t="shared" si="105"/>
        <v>25.8</v>
      </c>
      <c r="Y480" s="3" t="e">
        <f t="shared" si="106"/>
        <v>#DIV/0!</v>
      </c>
      <c r="AA480" s="161">
        <v>0</v>
      </c>
      <c r="AB480" s="409">
        <v>0</v>
      </c>
      <c r="AC480" s="259">
        <f t="shared" si="103"/>
        <v>0</v>
      </c>
      <c r="AD480" s="22" t="s">
        <v>4319</v>
      </c>
      <c r="AG480" s="33">
        <f t="shared" si="107"/>
        <v>0</v>
      </c>
      <c r="AH480" s="43" t="s">
        <v>4320</v>
      </c>
      <c r="AI480" s="63">
        <f t="shared" si="108"/>
        <v>4.2029598308668077E-3</v>
      </c>
      <c r="AJ480" s="307">
        <f>RTD("money.excel",,$G480,"PredictVolume")</f>
        <v>1988</v>
      </c>
      <c r="AK480" s="339"/>
    </row>
    <row r="481" spans="1:37">
      <c r="A481" s="415">
        <v>82.5</v>
      </c>
      <c r="B481" s="93">
        <v>3610</v>
      </c>
      <c r="C481" s="79">
        <v>449</v>
      </c>
      <c r="D481" s="79">
        <v>12</v>
      </c>
      <c r="E481" s="79">
        <v>39</v>
      </c>
      <c r="F481" s="57">
        <v>12.16</v>
      </c>
      <c r="G481" s="79">
        <v>2103</v>
      </c>
      <c r="H481" s="8" t="s">
        <v>302</v>
      </c>
      <c r="I481" s="158" t="s">
        <v>4321</v>
      </c>
      <c r="J481" s="73">
        <v>64.89</v>
      </c>
      <c r="K481" s="73">
        <v>32.96</v>
      </c>
      <c r="L481" s="73">
        <v>5.0599999999999996</v>
      </c>
      <c r="M481" s="73">
        <v>14.14</v>
      </c>
      <c r="N481" s="318">
        <f t="shared" si="109"/>
        <v>117.05</v>
      </c>
      <c r="O481" s="81">
        <f>IFERROR(VLOOKUP($G481,'321買'!A:E,3,0),"'沒有資料'")</f>
        <v>11</v>
      </c>
      <c r="P481" s="380">
        <f>IFERROR(VLOOKUP($G481,'321買'!$A:$G,7,0),"'沒有資料'")</f>
        <v>408</v>
      </c>
      <c r="Q481" s="245" t="s">
        <v>3815</v>
      </c>
      <c r="R481" s="297">
        <f>IFERROR(RANK(VLOOKUP($G481,連買!$A:$D,4,0),連買!$D:$D,0),"'沒有資料'")</f>
        <v>1122</v>
      </c>
      <c r="S481" s="197">
        <v>0.36</v>
      </c>
      <c r="T481" s="353">
        <f t="shared" si="104"/>
        <v>1.0892586989409985E-2</v>
      </c>
      <c r="U481" s="95">
        <v>4.37</v>
      </c>
      <c r="V481" s="36">
        <f>RTD("money.excel",,"2103","Price")</f>
        <v>33.049999999999997</v>
      </c>
      <c r="W481" s="66"/>
      <c r="X481" s="15">
        <f t="shared" si="105"/>
        <v>33.049999999999997</v>
      </c>
      <c r="Y481" s="3" t="e">
        <f t="shared" si="106"/>
        <v>#DIV/0!</v>
      </c>
      <c r="Z481" s="413" t="s">
        <v>1801</v>
      </c>
      <c r="AA481" s="161">
        <v>0</v>
      </c>
      <c r="AB481" s="409">
        <v>0</v>
      </c>
      <c r="AC481" s="259">
        <f t="shared" si="103"/>
        <v>0</v>
      </c>
      <c r="AD481" s="22" t="s">
        <v>4321</v>
      </c>
      <c r="AG481" s="33">
        <f t="shared" si="107"/>
        <v>0</v>
      </c>
      <c r="AH481" s="120" t="s">
        <v>3352</v>
      </c>
      <c r="AI481" s="63">
        <f t="shared" si="108"/>
        <v>2.1866666666666666E-3</v>
      </c>
      <c r="AJ481" s="307">
        <f>RTD("money.excel",,$G481,"PredictVolume")</f>
        <v>1804</v>
      </c>
      <c r="AK481" s="339"/>
    </row>
    <row r="482" spans="1:37">
      <c r="A482" s="416">
        <v>98.4</v>
      </c>
      <c r="B482" s="79">
        <v>294</v>
      </c>
      <c r="C482" s="93">
        <v>1505</v>
      </c>
      <c r="D482" s="80">
        <v>-4</v>
      </c>
      <c r="E482" s="79">
        <v>27</v>
      </c>
      <c r="F482" s="6">
        <v>9.1300000000000008</v>
      </c>
      <c r="G482" s="79">
        <v>2104</v>
      </c>
      <c r="H482" s="8" t="s">
        <v>302</v>
      </c>
      <c r="I482" s="22" t="s">
        <v>4322</v>
      </c>
      <c r="J482" s="323">
        <v>47.67</v>
      </c>
      <c r="K482" s="323">
        <v>12.67</v>
      </c>
      <c r="L482" s="73">
        <v>3.52</v>
      </c>
      <c r="N482" s="318">
        <f t="shared" si="109"/>
        <v>63.860000000000007</v>
      </c>
      <c r="O482" s="81">
        <f>IFERROR(VLOOKUP($G482,'321買'!A:E,3,0),"'沒有資料'")</f>
        <v>0</v>
      </c>
      <c r="P482" s="380">
        <f>IFERROR(VLOOKUP($G482,'321買'!$A:$G,7,0),"'沒有資料'")</f>
        <v>911</v>
      </c>
      <c r="R482" s="297">
        <f>IFERROR(RANK(VLOOKUP($G482,連買!$A:$D,4,0),連買!$D:$D,0),"'沒有資料'")</f>
        <v>608</v>
      </c>
      <c r="S482" s="34">
        <v>0.1</v>
      </c>
      <c r="T482" s="353">
        <f t="shared" si="104"/>
        <v>4.1841004184100423E-3</v>
      </c>
      <c r="U482" s="95">
        <v>1.77</v>
      </c>
      <c r="V482" s="36">
        <f>RTD("money.excel",,"2104","Price")</f>
        <v>23.9</v>
      </c>
      <c r="W482" s="66"/>
      <c r="X482" s="15">
        <f t="shared" si="105"/>
        <v>23.9</v>
      </c>
      <c r="Y482" s="3" t="e">
        <f t="shared" si="106"/>
        <v>#DIV/0!</v>
      </c>
      <c r="Z482" s="413" t="s">
        <v>1801</v>
      </c>
      <c r="AA482" s="161">
        <v>0</v>
      </c>
      <c r="AB482" s="409">
        <v>0</v>
      </c>
      <c r="AC482" s="259">
        <f t="shared" si="103"/>
        <v>0</v>
      </c>
      <c r="AD482" s="22" t="s">
        <v>4322</v>
      </c>
      <c r="AG482" s="33">
        <f t="shared" si="107"/>
        <v>0</v>
      </c>
      <c r="AH482" s="43" t="s">
        <v>4323</v>
      </c>
      <c r="AI482" s="63">
        <f t="shared" si="108"/>
        <v>5.3170731707317077E-3</v>
      </c>
      <c r="AJ482" s="307">
        <f>RTD("money.excel",,$G482,"PredictVolume")</f>
        <v>5232</v>
      </c>
      <c r="AK482" s="339"/>
    </row>
    <row r="483" spans="1:37">
      <c r="A483" s="416">
        <v>324</v>
      </c>
      <c r="B483" s="79">
        <v>54</v>
      </c>
      <c r="C483" s="79">
        <v>22</v>
      </c>
      <c r="D483" s="79">
        <v>3</v>
      </c>
      <c r="E483" s="80">
        <v>-9</v>
      </c>
      <c r="F483" s="6">
        <v>8.17</v>
      </c>
      <c r="G483" s="79">
        <v>2105</v>
      </c>
      <c r="H483" s="8" t="s">
        <v>302</v>
      </c>
      <c r="I483" s="22" t="s">
        <v>4324</v>
      </c>
      <c r="J483" s="323">
        <v>76.3</v>
      </c>
      <c r="K483" s="323">
        <v>14.75</v>
      </c>
      <c r="L483" s="323">
        <v>1.33</v>
      </c>
      <c r="M483" s="73">
        <v>15.4</v>
      </c>
      <c r="N483" s="318">
        <f t="shared" si="109"/>
        <v>107.78</v>
      </c>
      <c r="O483" s="81">
        <f>IFERROR(VLOOKUP($G483,'321買'!A:E,3,0),"'沒有資料'")</f>
        <v>0</v>
      </c>
      <c r="P483" s="380">
        <f>IFERROR(VLOOKUP($G483,'321買'!$A:$G,7,0),"'沒有資料'")</f>
        <v>911</v>
      </c>
      <c r="Q483" s="245" t="s">
        <v>3817</v>
      </c>
      <c r="R483" s="297">
        <f>IFERROR(RANK(VLOOKUP($G483,連買!$A:$D,4,0),連買!$D:$D,0),"'沒有資料'")</f>
        <v>1679</v>
      </c>
      <c r="S483" s="34">
        <v>1.2</v>
      </c>
      <c r="T483" s="353">
        <f t="shared" si="104"/>
        <v>3.4532374100719423E-2</v>
      </c>
      <c r="U483" s="57">
        <v>2.3199999999999998</v>
      </c>
      <c r="V483" s="36">
        <f>RTD("money.excel",,"2105","Price")</f>
        <v>34.75</v>
      </c>
      <c r="W483" s="66"/>
      <c r="X483" s="15">
        <f t="shared" si="105"/>
        <v>34.75</v>
      </c>
      <c r="Y483" s="3" t="e">
        <f t="shared" si="106"/>
        <v>#DIV/0!</v>
      </c>
      <c r="Z483" s="413" t="s">
        <v>1801</v>
      </c>
      <c r="AA483" s="161">
        <v>0</v>
      </c>
      <c r="AB483" s="409">
        <v>0</v>
      </c>
      <c r="AC483" s="259">
        <f t="shared" si="103"/>
        <v>0</v>
      </c>
      <c r="AD483" s="22" t="s">
        <v>4324</v>
      </c>
      <c r="AG483" s="33">
        <f t="shared" si="107"/>
        <v>0</v>
      </c>
      <c r="AH483" s="120" t="s">
        <v>4320</v>
      </c>
      <c r="AI483" s="63">
        <f t="shared" si="108"/>
        <v>5.7962962962962959E-4</v>
      </c>
      <c r="AJ483" s="307">
        <f>RTD("money.excel",,$G483,"PredictVolume")</f>
        <v>1878</v>
      </c>
      <c r="AK483" s="339"/>
    </row>
    <row r="484" spans="1:37">
      <c r="A484" s="416">
        <v>90.9</v>
      </c>
      <c r="B484" s="93">
        <v>1800</v>
      </c>
      <c r="C484" s="234">
        <v>96342</v>
      </c>
      <c r="D484" s="79">
        <v>3</v>
      </c>
      <c r="E484" s="79">
        <v>7</v>
      </c>
      <c r="F484" s="6">
        <v>8.32</v>
      </c>
      <c r="G484" s="79">
        <v>2106</v>
      </c>
      <c r="H484" s="8" t="s">
        <v>302</v>
      </c>
      <c r="I484" s="22" t="s">
        <v>4325</v>
      </c>
      <c r="J484" s="323">
        <v>80.400000000000006</v>
      </c>
      <c r="K484" s="323">
        <v>7.9</v>
      </c>
      <c r="L484" s="73">
        <v>1.2</v>
      </c>
      <c r="N484" s="318">
        <f t="shared" si="109"/>
        <v>89.500000000000014</v>
      </c>
      <c r="O484" s="81">
        <f>IFERROR(VLOOKUP($G484,'321買'!A:E,3,0),"'沒有資料'")</f>
        <v>0</v>
      </c>
      <c r="P484" s="380">
        <f>IFERROR(VLOOKUP($G484,'321買'!$A:$G,7,0),"'沒有資料'")</f>
        <v>911</v>
      </c>
      <c r="R484" s="297">
        <f>IFERROR(RANK(VLOOKUP($G484,連買!$A:$D,4,0),連買!$D:$D,0),"'沒有資料'")</f>
        <v>1668</v>
      </c>
      <c r="S484" s="34">
        <v>1</v>
      </c>
      <c r="T484" s="353">
        <f t="shared" si="104"/>
        <v>3.1007751937984496E-2</v>
      </c>
      <c r="U484" s="57">
        <v>2.36</v>
      </c>
      <c r="V484" s="36">
        <f>RTD("money.excel",,"2106","Price")</f>
        <v>32.25</v>
      </c>
      <c r="W484" s="66"/>
      <c r="X484" s="15">
        <f t="shared" si="105"/>
        <v>32.25</v>
      </c>
      <c r="Y484" s="3" t="e">
        <f t="shared" si="106"/>
        <v>#DIV/0!</v>
      </c>
      <c r="Z484" s="413" t="s">
        <v>1801</v>
      </c>
      <c r="AA484" s="161">
        <v>0</v>
      </c>
      <c r="AB484" s="409">
        <v>0</v>
      </c>
      <c r="AC484" s="259">
        <f t="shared" si="103"/>
        <v>0</v>
      </c>
      <c r="AD484" s="22" t="s">
        <v>4325</v>
      </c>
      <c r="AG484" s="33">
        <f t="shared" si="107"/>
        <v>0</v>
      </c>
      <c r="AH484" s="120" t="s">
        <v>4320</v>
      </c>
      <c r="AI484" s="63">
        <f t="shared" si="108"/>
        <v>1.3311331133113312E-3</v>
      </c>
      <c r="AJ484" s="307">
        <f>RTD("money.excel",,$G484,"PredictVolume")</f>
        <v>1210</v>
      </c>
      <c r="AK484" s="339"/>
    </row>
    <row r="485" spans="1:37">
      <c r="A485" s="415">
        <v>34.200000000000003</v>
      </c>
      <c r="B485" s="80">
        <v>-13</v>
      </c>
      <c r="C485" s="79">
        <v>3</v>
      </c>
      <c r="D485" s="79">
        <v>19</v>
      </c>
      <c r="E485" s="80">
        <v>-4</v>
      </c>
      <c r="F485" s="57">
        <v>26.23</v>
      </c>
      <c r="G485" s="79">
        <v>2107</v>
      </c>
      <c r="H485" s="8" t="s">
        <v>302</v>
      </c>
      <c r="I485" s="22" t="s">
        <v>4326</v>
      </c>
      <c r="J485" s="323">
        <v>48.97</v>
      </c>
      <c r="K485" s="323">
        <v>10.79</v>
      </c>
      <c r="L485" s="323">
        <v>2.58</v>
      </c>
      <c r="N485" s="318">
        <f t="shared" si="109"/>
        <v>62.339999999999996</v>
      </c>
      <c r="O485" s="81">
        <f>IFERROR(VLOOKUP($G485,'321買'!A:E,3,0),"'沒有資料'")</f>
        <v>0</v>
      </c>
      <c r="P485" s="380">
        <f>IFERROR(VLOOKUP($G485,'321買'!$A:$G,7,0),"'沒有資料'")</f>
        <v>911</v>
      </c>
      <c r="R485" s="297">
        <f>IFERROR(RANK(VLOOKUP($G485,連買!$A:$D,4,0),連買!$D:$D,0),"'沒有資料'")</f>
        <v>1505</v>
      </c>
      <c r="S485" s="34">
        <v>1.5</v>
      </c>
      <c r="T485" s="353">
        <f t="shared" si="104"/>
        <v>6.6666666666666666E-2</v>
      </c>
      <c r="U485" s="95">
        <v>2.46</v>
      </c>
      <c r="V485" s="36">
        <f>RTD("money.excel",,"2107","Price")</f>
        <v>22.5</v>
      </c>
      <c r="W485" s="66"/>
      <c r="X485" s="15">
        <f t="shared" si="105"/>
        <v>22.5</v>
      </c>
      <c r="Y485" s="3" t="e">
        <f t="shared" si="106"/>
        <v>#DIV/0!</v>
      </c>
      <c r="AA485" s="161">
        <v>0</v>
      </c>
      <c r="AB485" s="409">
        <v>0</v>
      </c>
      <c r="AC485" s="259">
        <f t="shared" si="103"/>
        <v>0</v>
      </c>
      <c r="AD485" s="22" t="s">
        <v>4326</v>
      </c>
      <c r="AG485" s="33">
        <f t="shared" si="107"/>
        <v>0</v>
      </c>
      <c r="AH485" s="43" t="s">
        <v>4327</v>
      </c>
      <c r="AI485" s="63">
        <f t="shared" si="108"/>
        <v>5.6725146198830412E-4</v>
      </c>
      <c r="AJ485" s="307">
        <f>RTD("money.excel",,$G485,"PredictVolume")</f>
        <v>194</v>
      </c>
      <c r="AK485" s="339"/>
    </row>
    <row r="486" spans="1:37">
      <c r="A486" s="415">
        <v>49.2</v>
      </c>
      <c r="B486" s="79">
        <v>313</v>
      </c>
      <c r="C486" s="79">
        <v>301</v>
      </c>
      <c r="D486" s="79">
        <v>2</v>
      </c>
      <c r="E486" s="80">
        <v>-44</v>
      </c>
      <c r="F486" s="57">
        <v>45.03</v>
      </c>
      <c r="G486" s="79">
        <v>2108</v>
      </c>
      <c r="H486" s="8" t="s">
        <v>302</v>
      </c>
      <c r="I486" s="22" t="s">
        <v>4328</v>
      </c>
      <c r="J486" s="323">
        <v>68.87</v>
      </c>
      <c r="K486" s="323">
        <v>14.68</v>
      </c>
      <c r="L486" s="73">
        <v>5.74</v>
      </c>
      <c r="M486" s="323">
        <v>41</v>
      </c>
      <c r="N486" s="73">
        <f t="shared" si="109"/>
        <v>130.29000000000002</v>
      </c>
      <c r="O486" s="81">
        <f>IFERROR(VLOOKUP($G486,'321買'!A:E,3,0),"'沒有資料'")</f>
        <v>17</v>
      </c>
      <c r="P486" s="380">
        <f>IFERROR(VLOOKUP($G486,'321買'!$A:$G,7,0),"'沒有資料'")</f>
        <v>273</v>
      </c>
      <c r="Q486" s="245" t="s">
        <v>3816</v>
      </c>
      <c r="R486" s="297">
        <f>IFERROR(RANK(VLOOKUP($G486,連買!$A:$D,4,0),連買!$D:$D,0),"'沒有資料'")</f>
        <v>1723</v>
      </c>
      <c r="S486" s="66">
        <v>4</v>
      </c>
      <c r="T486" s="353">
        <f t="shared" si="104"/>
        <v>7.0052539404553416E-2</v>
      </c>
      <c r="U486" s="57">
        <v>17.559999999999999</v>
      </c>
      <c r="V486" s="36">
        <f>RTD("money.excel",,"2108","Price")</f>
        <v>57.1</v>
      </c>
      <c r="W486" s="66"/>
      <c r="X486" s="15">
        <f t="shared" si="105"/>
        <v>57.1</v>
      </c>
      <c r="Y486" s="3" t="e">
        <f t="shared" si="106"/>
        <v>#DIV/0!</v>
      </c>
      <c r="Z486" s="413" t="s">
        <v>1997</v>
      </c>
      <c r="AA486" s="161">
        <v>0</v>
      </c>
      <c r="AB486" s="409">
        <v>0</v>
      </c>
      <c r="AC486" s="259">
        <f t="shared" si="103"/>
        <v>0</v>
      </c>
      <c r="AD486" s="22" t="s">
        <v>4328</v>
      </c>
      <c r="AG486" s="33">
        <f t="shared" si="107"/>
        <v>0</v>
      </c>
      <c r="AH486" s="43" t="s">
        <v>4329</v>
      </c>
      <c r="AI486" s="63">
        <f t="shared" si="108"/>
        <v>3.0223577235772357E-3</v>
      </c>
      <c r="AJ486" s="307">
        <f>RTD("money.excel",,$G486,"PredictVolume")</f>
        <v>1487</v>
      </c>
      <c r="AK486" s="339">
        <v>10.93</v>
      </c>
    </row>
    <row r="487" spans="1:37">
      <c r="A487" s="415">
        <v>33.200000000000003</v>
      </c>
      <c r="B487" s="79">
        <v>554</v>
      </c>
      <c r="C487" s="79">
        <v>48</v>
      </c>
      <c r="D487" s="80">
        <v>-19</v>
      </c>
      <c r="E487" s="80">
        <v>-6</v>
      </c>
      <c r="F487" s="57">
        <v>11.64</v>
      </c>
      <c r="G487" s="79">
        <v>2109</v>
      </c>
      <c r="H487" s="8" t="s">
        <v>302</v>
      </c>
      <c r="I487" s="22" t="s">
        <v>4330</v>
      </c>
      <c r="J487" s="323">
        <v>69.86</v>
      </c>
      <c r="K487" s="323">
        <v>14.75</v>
      </c>
      <c r="N487" s="318">
        <f t="shared" si="109"/>
        <v>84.61</v>
      </c>
      <c r="O487" s="81">
        <f>IFERROR(VLOOKUP($G487,'321買'!A:E,3,0),"'沒有資料'")</f>
        <v>0</v>
      </c>
      <c r="P487" s="380">
        <f>IFERROR(VLOOKUP($G487,'321買'!$A:$G,7,0),"'沒有資料'")</f>
        <v>911</v>
      </c>
      <c r="R487" s="297">
        <f>IFERROR(RANK(VLOOKUP($G487,連買!$A:$D,4,0),連買!$D:$D,0),"'沒有資料'")</f>
        <v>1601</v>
      </c>
      <c r="S487" s="34">
        <v>0</v>
      </c>
      <c r="T487" s="353">
        <f t="shared" si="104"/>
        <v>0</v>
      </c>
      <c r="U487" s="95">
        <v>1.17</v>
      </c>
      <c r="V487" s="36">
        <f>RTD("money.excel",,"2109","Price")</f>
        <v>15.5</v>
      </c>
      <c r="W487" s="66"/>
      <c r="X487" s="15">
        <f t="shared" si="105"/>
        <v>15.5</v>
      </c>
      <c r="Y487" s="3" t="e">
        <f t="shared" si="106"/>
        <v>#DIV/0!</v>
      </c>
      <c r="Z487" s="413" t="s">
        <v>1801</v>
      </c>
      <c r="AA487" s="161">
        <v>0</v>
      </c>
      <c r="AB487" s="409">
        <v>0</v>
      </c>
      <c r="AC487" s="259">
        <f t="shared" si="103"/>
        <v>0</v>
      </c>
      <c r="AD487" s="22" t="s">
        <v>4330</v>
      </c>
      <c r="AG487" s="33">
        <f t="shared" si="107"/>
        <v>0</v>
      </c>
      <c r="AH487" s="43" t="s">
        <v>4320</v>
      </c>
      <c r="AI487" s="63">
        <f t="shared" si="108"/>
        <v>1.9879518072289158E-4</v>
      </c>
      <c r="AJ487" s="307">
        <f>RTD("money.excel",,$G487,"PredictVolume")</f>
        <v>66</v>
      </c>
      <c r="AK487" s="339"/>
    </row>
    <row r="488" spans="1:37">
      <c r="A488" s="415">
        <v>7.09</v>
      </c>
      <c r="B488" s="79">
        <v>5</v>
      </c>
      <c r="C488" s="79">
        <v>30</v>
      </c>
      <c r="D488" s="79">
        <v>1</v>
      </c>
      <c r="E488" s="80">
        <v>-5</v>
      </c>
      <c r="F488" s="57">
        <v>34.1</v>
      </c>
      <c r="G488" s="79">
        <v>2114</v>
      </c>
      <c r="H488" s="8" t="s">
        <v>302</v>
      </c>
      <c r="I488" s="22" t="s">
        <v>4332</v>
      </c>
      <c r="J488" s="323">
        <v>60.6</v>
      </c>
      <c r="K488" s="323">
        <v>1.31</v>
      </c>
      <c r="L488" s="73">
        <v>0.51</v>
      </c>
      <c r="N488" s="318">
        <f t="shared" si="109"/>
        <v>62.42</v>
      </c>
      <c r="O488" s="81">
        <f>IFERROR(VLOOKUP($G488,'321買'!A:E,3,0),"'沒有資料'")</f>
        <v>1</v>
      </c>
      <c r="P488" s="380">
        <f>IFERROR(VLOOKUP($G488,'321買'!$A:$G,7,0),"'沒有資料'")</f>
        <v>783</v>
      </c>
      <c r="R488" s="297">
        <f>IFERROR(RANK(VLOOKUP($G488,連買!$A:$D,4,0),連買!$D:$D,0),"'沒有資料'")</f>
        <v>156</v>
      </c>
      <c r="S488" s="66">
        <v>6</v>
      </c>
      <c r="T488" s="353">
        <f t="shared" si="104"/>
        <v>4.7619047619047616E-2</v>
      </c>
      <c r="U488" s="95">
        <v>7.39</v>
      </c>
      <c r="V488" s="36">
        <f>RTD("money.excel",,"2114","Price")</f>
        <v>126</v>
      </c>
      <c r="W488" s="66"/>
      <c r="X488" s="15">
        <f t="shared" si="105"/>
        <v>126</v>
      </c>
      <c r="Y488" s="3" t="e">
        <f t="shared" si="106"/>
        <v>#DIV/0!</v>
      </c>
      <c r="Z488" s="413" t="s">
        <v>1997</v>
      </c>
      <c r="AA488" s="161">
        <v>0</v>
      </c>
      <c r="AB488" s="409">
        <v>0</v>
      </c>
      <c r="AC488" s="259">
        <f t="shared" si="103"/>
        <v>0</v>
      </c>
      <c r="AD488" s="22" t="s">
        <v>4332</v>
      </c>
      <c r="AG488" s="33">
        <f t="shared" si="107"/>
        <v>0</v>
      </c>
      <c r="AH488" s="43" t="s">
        <v>4333</v>
      </c>
      <c r="AI488" s="63">
        <f t="shared" si="108"/>
        <v>6.6290550070521859E-4</v>
      </c>
      <c r="AJ488" s="307">
        <f>RTD("money.excel",,$G488,"PredictVolume")</f>
        <v>47</v>
      </c>
      <c r="AK488" s="339"/>
    </row>
    <row r="489" spans="1:37">
      <c r="A489" s="416">
        <v>6.41</v>
      </c>
      <c r="B489" s="79">
        <v>19</v>
      </c>
      <c r="C489" s="80">
        <v>-16</v>
      </c>
      <c r="D489" s="80">
        <v>-32</v>
      </c>
      <c r="E489" s="80">
        <v>-2</v>
      </c>
      <c r="F489" s="6">
        <v>4.29</v>
      </c>
      <c r="G489" s="79">
        <v>5102</v>
      </c>
      <c r="H489" s="8" t="s">
        <v>302</v>
      </c>
      <c r="I489" s="16" t="s">
        <v>4334</v>
      </c>
      <c r="J489" s="73">
        <v>79.459999999999994</v>
      </c>
      <c r="K489" s="73">
        <v>0.1</v>
      </c>
      <c r="L489" s="73">
        <v>0.94</v>
      </c>
      <c r="N489" s="318">
        <f t="shared" si="109"/>
        <v>80.499999999999986</v>
      </c>
      <c r="O489" s="81" t="str">
        <f>IFERROR(VLOOKUP($G489,'321買'!A:E,3,0),"'沒有資料'")</f>
        <v>'沒有資料'</v>
      </c>
      <c r="P489" s="380" t="str">
        <f>IFERROR(VLOOKUP($G489,'321買'!$A:$G,7,0),"'沒有資料'")</f>
        <v>'沒有資料'</v>
      </c>
      <c r="R489" s="297">
        <f>IFERROR(RANK(VLOOKUP($G489,連買!$A:$D,4,0),連買!$D:$D,0),"'沒有資料'")</f>
        <v>1012</v>
      </c>
      <c r="S489" s="34"/>
      <c r="T489" s="353">
        <f t="shared" si="104"/>
        <v>0</v>
      </c>
      <c r="U489" s="57">
        <v>0.79</v>
      </c>
      <c r="V489" s="36">
        <f>RTD("money.excel",,"5102","Price")</f>
        <v>24.65</v>
      </c>
      <c r="W489" s="66"/>
      <c r="X489" s="15">
        <f t="shared" si="105"/>
        <v>24.65</v>
      </c>
      <c r="Y489" s="3" t="e">
        <f t="shared" si="106"/>
        <v>#DIV/0!</v>
      </c>
      <c r="AA489" s="161">
        <v>0</v>
      </c>
      <c r="AB489" s="409">
        <v>0</v>
      </c>
      <c r="AC489" s="259">
        <f t="shared" si="103"/>
        <v>0</v>
      </c>
      <c r="AD489" s="16" t="s">
        <v>4334</v>
      </c>
      <c r="AG489" s="33">
        <f t="shared" si="107"/>
        <v>0</v>
      </c>
      <c r="AH489" s="43" t="s">
        <v>4335</v>
      </c>
      <c r="AI489" s="63">
        <f t="shared" si="108"/>
        <v>1.060842433697348E-3</v>
      </c>
      <c r="AJ489" s="307">
        <f>RTD("money.excel",,$G489,"PredictVolume")</f>
        <v>68</v>
      </c>
      <c r="AK489" s="339"/>
    </row>
    <row r="490" spans="1:37">
      <c r="A490" s="415">
        <v>10.6</v>
      </c>
      <c r="B490" s="79">
        <v>239</v>
      </c>
      <c r="C490" s="79">
        <v>250</v>
      </c>
      <c r="D490" s="80">
        <v>-75</v>
      </c>
      <c r="E490" s="80">
        <v>-78</v>
      </c>
      <c r="F490" s="57">
        <v>55.97</v>
      </c>
      <c r="G490" s="79">
        <v>6582</v>
      </c>
      <c r="H490" s="8" t="s">
        <v>302</v>
      </c>
      <c r="I490" s="22" t="s">
        <v>4336</v>
      </c>
      <c r="J490" s="323">
        <v>78.349999999999994</v>
      </c>
      <c r="K490" s="73">
        <v>17.579999999999998</v>
      </c>
      <c r="L490" s="323">
        <v>4.0199999999999996</v>
      </c>
      <c r="M490" s="323">
        <v>50.77</v>
      </c>
      <c r="N490" s="73">
        <f t="shared" si="109"/>
        <v>150.72</v>
      </c>
      <c r="O490" s="81">
        <f>IFERROR(VLOOKUP($G490,'321買'!A:E,3,0),"'沒有資料'")</f>
        <v>6</v>
      </c>
      <c r="P490" s="380">
        <f>IFERROR(VLOOKUP($G490,'321買'!$A:$G,7,0),"'沒有資料'")</f>
        <v>521</v>
      </c>
      <c r="Q490" s="245" t="s">
        <v>3815</v>
      </c>
      <c r="R490" s="297">
        <f>IFERROR(RANK(VLOOKUP($G490,連買!$A:$D,4,0),連買!$D:$D,0),"'沒有資料'")</f>
        <v>1740</v>
      </c>
      <c r="S490" s="66">
        <v>10</v>
      </c>
      <c r="T490" s="353">
        <f t="shared" si="104"/>
        <v>8.4745762711864403E-2</v>
      </c>
      <c r="U490" s="57">
        <v>38.15</v>
      </c>
      <c r="V490" s="36">
        <f>RTD("money.excel",,"6582","Price")</f>
        <v>118</v>
      </c>
      <c r="W490" s="66"/>
      <c r="X490" s="15">
        <f t="shared" si="105"/>
        <v>118</v>
      </c>
      <c r="Y490" s="3" t="e">
        <f t="shared" si="106"/>
        <v>#DIV/0!</v>
      </c>
      <c r="Z490" s="413" t="s">
        <v>1997</v>
      </c>
      <c r="AA490" s="161">
        <v>0</v>
      </c>
      <c r="AB490" s="409">
        <v>0</v>
      </c>
      <c r="AC490" s="259">
        <f t="shared" si="103"/>
        <v>0</v>
      </c>
      <c r="AD490" s="22" t="s">
        <v>4336</v>
      </c>
      <c r="AG490" s="33">
        <f t="shared" si="107"/>
        <v>0</v>
      </c>
      <c r="AH490" s="43" t="s">
        <v>4337</v>
      </c>
      <c r="AI490" s="63">
        <f t="shared" si="108"/>
        <v>2.292452830188679E-3</v>
      </c>
      <c r="AJ490" s="307">
        <f>RTD("money.excel",,$G490,"PredictVolume")</f>
        <v>243</v>
      </c>
      <c r="AK490" s="106"/>
    </row>
    <row r="491" spans="1:37">
      <c r="B491" s="79"/>
      <c r="C491" s="79"/>
      <c r="D491" s="80"/>
      <c r="E491" s="80"/>
      <c r="F491" s="57"/>
      <c r="G491" s="79"/>
      <c r="H491" s="8"/>
      <c r="I491" s="22"/>
      <c r="J491" s="323"/>
      <c r="K491" s="73"/>
      <c r="L491" s="323"/>
      <c r="M491" s="323"/>
      <c r="N491" s="73"/>
      <c r="O491" s="26"/>
      <c r="S491" s="66"/>
      <c r="U491" s="57"/>
      <c r="V491" s="36"/>
      <c r="W491" s="66"/>
      <c r="X491" s="15"/>
      <c r="Y491" s="3"/>
      <c r="AA491" s="2"/>
      <c r="AD491" s="22"/>
      <c r="AG491" s="33"/>
      <c r="AH491" s="43"/>
      <c r="AI491" s="63"/>
      <c r="AJ491" s="307"/>
      <c r="AK491" s="106"/>
    </row>
    <row r="492" spans="1:37">
      <c r="A492" s="130" t="s">
        <v>4191</v>
      </c>
      <c r="B492" s="91" t="s">
        <v>4192</v>
      </c>
      <c r="C492" s="91" t="s">
        <v>4193</v>
      </c>
      <c r="D492" s="91" t="s">
        <v>4194</v>
      </c>
      <c r="E492" s="91" t="s">
        <v>4195</v>
      </c>
      <c r="F492" s="8" t="s">
        <v>4196</v>
      </c>
      <c r="G492" s="27" t="s">
        <v>4338</v>
      </c>
      <c r="H492" s="55" t="s">
        <v>322</v>
      </c>
      <c r="I492" s="8" t="s">
        <v>4339</v>
      </c>
      <c r="J492" s="317" t="s">
        <v>4199</v>
      </c>
      <c r="K492" s="317" t="s">
        <v>4200</v>
      </c>
      <c r="L492" s="317" t="s">
        <v>4201</v>
      </c>
      <c r="M492" s="317" t="s">
        <v>4202</v>
      </c>
      <c r="N492" s="317" t="s">
        <v>5048</v>
      </c>
      <c r="O492" s="26" t="s">
        <v>5107</v>
      </c>
      <c r="P492" s="373" t="s">
        <v>5059</v>
      </c>
      <c r="Q492" s="245" t="s">
        <v>5087</v>
      </c>
      <c r="R492" s="345" t="s">
        <v>5059</v>
      </c>
      <c r="S492" s="10" t="s">
        <v>4203</v>
      </c>
      <c r="T492" s="351" t="s">
        <v>5076</v>
      </c>
      <c r="U492" s="68" t="s">
        <v>4204</v>
      </c>
      <c r="V492" s="28" t="s">
        <v>4205</v>
      </c>
      <c r="W492" s="17" t="s">
        <v>4206</v>
      </c>
      <c r="X492" s="14" t="s">
        <v>4207</v>
      </c>
      <c r="Y492" s="21" t="s">
        <v>4208</v>
      </c>
      <c r="Z492" s="97" t="s">
        <v>6627</v>
      </c>
      <c r="AA492" s="406" t="s">
        <v>8647</v>
      </c>
      <c r="AB492" s="407" t="s">
        <v>8648</v>
      </c>
      <c r="AC492" s="408" t="s">
        <v>8649</v>
      </c>
      <c r="AD492" s="8" t="s">
        <v>4339</v>
      </c>
      <c r="AE492" s="71" t="s">
        <v>4209</v>
      </c>
      <c r="AF492" s="72" t="s">
        <v>4210</v>
      </c>
      <c r="AG492" s="32" t="s">
        <v>4211</v>
      </c>
      <c r="AH492" s="43"/>
      <c r="AI492" s="8" t="s">
        <v>4212</v>
      </c>
      <c r="AJ492" s="50" t="s">
        <v>4213</v>
      </c>
      <c r="AK492" s="339" t="s">
        <v>5038</v>
      </c>
    </row>
    <row r="493" spans="1:37">
      <c r="A493" s="416">
        <v>59.1</v>
      </c>
      <c r="B493" s="80">
        <v>-68</v>
      </c>
      <c r="C493" s="80">
        <v>-88</v>
      </c>
      <c r="D493" s="80">
        <v>-2</v>
      </c>
      <c r="E493" s="80">
        <v>-14</v>
      </c>
      <c r="F493" s="6">
        <v>1.51</v>
      </c>
      <c r="G493" s="79">
        <v>1319</v>
      </c>
      <c r="H493" s="8" t="s">
        <v>303</v>
      </c>
      <c r="I493" s="22" t="s">
        <v>4340</v>
      </c>
      <c r="J493" s="73">
        <v>79.5</v>
      </c>
      <c r="K493" s="323">
        <v>18.739999999999998</v>
      </c>
      <c r="L493" s="323">
        <v>1.31</v>
      </c>
      <c r="N493" s="318">
        <f>J493+K493+L493+M493</f>
        <v>99.55</v>
      </c>
      <c r="O493" s="81">
        <f>IFERROR(VLOOKUP($G493,'321買'!A:E,3,0),"'沒有資料'")</f>
        <v>0</v>
      </c>
      <c r="P493" s="380">
        <f>IFERROR(VLOOKUP($G493,'321買'!$A:$G,7,0),"'沒有資料'")</f>
        <v>911</v>
      </c>
      <c r="R493" s="297">
        <f>IFERROR(RANK(VLOOKUP($G493,連買!$A:$D,4,0),連買!$D:$D,0),"'沒有資料'")</f>
        <v>1624</v>
      </c>
      <c r="S493" s="34">
        <v>0.8</v>
      </c>
      <c r="T493" s="353">
        <f t="shared" ref="T493:T525" si="110">S493/V493</f>
        <v>2.4539877300613498E-2</v>
      </c>
      <c r="U493" s="95">
        <v>1.39</v>
      </c>
      <c r="V493" s="36">
        <f>RTD("money.excel",,"1319","Price")</f>
        <v>32.6</v>
      </c>
      <c r="W493" s="66"/>
      <c r="X493" s="15">
        <f t="shared" ref="X493:X525" si="111">V493-W493</f>
        <v>32.6</v>
      </c>
      <c r="Y493" s="3" t="e">
        <f t="shared" ref="Y493:Y525" si="112">X493/W493</f>
        <v>#DIV/0!</v>
      </c>
      <c r="Z493" s="413" t="s">
        <v>1801</v>
      </c>
      <c r="AA493" s="161">
        <v>0</v>
      </c>
      <c r="AB493" s="409">
        <v>0</v>
      </c>
      <c r="AC493" s="259">
        <f t="shared" si="103"/>
        <v>0</v>
      </c>
      <c r="AD493" s="22" t="s">
        <v>4340</v>
      </c>
      <c r="AG493" s="33">
        <f t="shared" ref="AG493:AG525" si="113">AF493-AE493</f>
        <v>0</v>
      </c>
      <c r="AH493" s="120" t="s">
        <v>4341</v>
      </c>
      <c r="AI493" s="63">
        <f t="shared" ref="AI493:AI525" si="114">AJ493/(A493*10000)</f>
        <v>1.1065989847715736E-3</v>
      </c>
      <c r="AJ493" s="307">
        <f>RTD("money.excel",,$G493,"PredictVolume")</f>
        <v>654</v>
      </c>
      <c r="AK493" s="339"/>
    </row>
    <row r="494" spans="1:37">
      <c r="A494" s="416">
        <v>8.3800000000000008</v>
      </c>
      <c r="B494" s="80">
        <v>-35</v>
      </c>
      <c r="C494" s="80">
        <v>-27</v>
      </c>
      <c r="D494" s="80">
        <v>-54</v>
      </c>
      <c r="E494" s="80">
        <v>-42</v>
      </c>
      <c r="F494" s="6">
        <v>7.18</v>
      </c>
      <c r="G494" s="79">
        <v>1338</v>
      </c>
      <c r="H494" s="8" t="s">
        <v>303</v>
      </c>
      <c r="I494" s="22" t="s">
        <v>4342</v>
      </c>
      <c r="J494" s="323">
        <v>48.11</v>
      </c>
      <c r="K494" s="323">
        <v>15.06</v>
      </c>
      <c r="L494" s="323">
        <v>7.21</v>
      </c>
      <c r="N494" s="318">
        <f t="shared" ref="N494:N525" si="115">J494+K494+L494+M494</f>
        <v>70.38</v>
      </c>
      <c r="O494" s="81">
        <f>IFERROR(VLOOKUP($G494,'321買'!A:E,3,0),"'沒有資料'")</f>
        <v>0</v>
      </c>
      <c r="P494" s="380">
        <f>IFERROR(VLOOKUP($G494,'321買'!$A:$G,7,0),"'沒有資料'")</f>
        <v>911</v>
      </c>
      <c r="R494" s="297">
        <f>IFERROR(RANK(VLOOKUP($G494,連買!$A:$D,4,0),連買!$D:$D,0),"'沒有資料'")</f>
        <v>465</v>
      </c>
      <c r="S494" s="66">
        <v>3.5</v>
      </c>
      <c r="T494" s="353">
        <f t="shared" si="110"/>
        <v>6.5420560747663545E-2</v>
      </c>
      <c r="U494" s="95">
        <v>3.51</v>
      </c>
      <c r="V494" s="36">
        <f>RTD("money.excel",,"1338","Price")</f>
        <v>53.5</v>
      </c>
      <c r="W494" s="66"/>
      <c r="X494" s="15">
        <f t="shared" si="111"/>
        <v>53.5</v>
      </c>
      <c r="Y494" s="3" t="e">
        <f t="shared" si="112"/>
        <v>#DIV/0!</v>
      </c>
      <c r="Z494" s="413" t="s">
        <v>1997</v>
      </c>
      <c r="AA494" s="161">
        <v>0</v>
      </c>
      <c r="AB494" s="409">
        <v>0</v>
      </c>
      <c r="AC494" s="259">
        <f t="shared" si="103"/>
        <v>0</v>
      </c>
      <c r="AD494" s="22" t="s">
        <v>4342</v>
      </c>
      <c r="AG494" s="33">
        <f t="shared" si="113"/>
        <v>0</v>
      </c>
      <c r="AH494" s="43" t="s">
        <v>4343</v>
      </c>
      <c r="AI494" s="63">
        <f t="shared" si="114"/>
        <v>1.4677804295942717E-3</v>
      </c>
      <c r="AJ494" s="307">
        <f>RTD("money.excel",,$G494,"PredictVolume")</f>
        <v>123</v>
      </c>
      <c r="AK494" s="339"/>
    </row>
    <row r="495" spans="1:37">
      <c r="A495" s="415">
        <v>7.41</v>
      </c>
      <c r="B495" s="80">
        <v>-34</v>
      </c>
      <c r="C495" s="79">
        <v>1</v>
      </c>
      <c r="D495" s="79">
        <v>14</v>
      </c>
      <c r="E495" s="80">
        <v>-21</v>
      </c>
      <c r="F495" s="57">
        <v>17.43</v>
      </c>
      <c r="G495" s="79">
        <v>1339</v>
      </c>
      <c r="H495" s="8" t="s">
        <v>303</v>
      </c>
      <c r="I495" s="22" t="s">
        <v>4344</v>
      </c>
      <c r="J495" s="323">
        <v>67.900000000000006</v>
      </c>
      <c r="K495" s="73">
        <v>1.33</v>
      </c>
      <c r="L495" s="323">
        <v>7.25</v>
      </c>
      <c r="N495" s="318">
        <f t="shared" si="115"/>
        <v>76.48</v>
      </c>
      <c r="O495" s="81">
        <f>IFERROR(VLOOKUP($G495,'321買'!A:E,3,0),"'沒有資料'")</f>
        <v>0</v>
      </c>
      <c r="P495" s="380">
        <f>IFERROR(VLOOKUP($G495,'321買'!$A:$G,7,0),"'沒有資料'")</f>
        <v>911</v>
      </c>
      <c r="R495" s="297">
        <f>IFERROR(RANK(VLOOKUP($G495,連買!$A:$D,4,0),連買!$D:$D,0),"'沒有資料'")</f>
        <v>1438</v>
      </c>
      <c r="S495" s="34">
        <v>2</v>
      </c>
      <c r="T495" s="353">
        <f t="shared" si="110"/>
        <v>5.6899004267425321E-2</v>
      </c>
      <c r="U495" s="95">
        <v>1.59</v>
      </c>
      <c r="V495" s="13">
        <f>RTD("money.excel",,"1339","Price")</f>
        <v>35.15</v>
      </c>
      <c r="W495" s="66"/>
      <c r="X495" s="15">
        <f t="shared" si="111"/>
        <v>35.15</v>
      </c>
      <c r="Y495" s="3" t="e">
        <f t="shared" si="112"/>
        <v>#DIV/0!</v>
      </c>
      <c r="Z495" s="413" t="s">
        <v>1801</v>
      </c>
      <c r="AA495" s="161">
        <v>0</v>
      </c>
      <c r="AB495" s="409">
        <v>0</v>
      </c>
      <c r="AC495" s="259">
        <f t="shared" si="103"/>
        <v>0</v>
      </c>
      <c r="AD495" s="22" t="s">
        <v>4344</v>
      </c>
      <c r="AG495" s="33">
        <f t="shared" si="113"/>
        <v>0</v>
      </c>
      <c r="AH495" s="43" t="s">
        <v>4341</v>
      </c>
      <c r="AI495" s="63">
        <f t="shared" si="114"/>
        <v>1.0121457489878543E-3</v>
      </c>
      <c r="AJ495" s="307">
        <f>RTD("money.excel",,$G495,"PredictVolume")</f>
        <v>75</v>
      </c>
      <c r="AK495" s="339"/>
    </row>
    <row r="496" spans="1:37">
      <c r="A496" s="416">
        <v>23.6</v>
      </c>
      <c r="B496" s="91">
        <v>1</v>
      </c>
      <c r="C496" s="91">
        <v>5</v>
      </c>
      <c r="D496" s="91">
        <v>7</v>
      </c>
      <c r="E496" s="91">
        <v>-29</v>
      </c>
      <c r="F496" s="6">
        <v>-10.72</v>
      </c>
      <c r="G496" s="79">
        <v>1512</v>
      </c>
      <c r="H496" s="8" t="s">
        <v>303</v>
      </c>
      <c r="I496" s="22" t="s">
        <v>4345</v>
      </c>
      <c r="J496" s="73">
        <v>50.87</v>
      </c>
      <c r="K496" s="73">
        <v>8.4499999999999993</v>
      </c>
      <c r="N496" s="318">
        <f t="shared" si="115"/>
        <v>59.319999999999993</v>
      </c>
      <c r="O496" s="81">
        <f>IFERROR(VLOOKUP($G496,'321買'!A:E,3,0),"'沒有資料'")</f>
        <v>0</v>
      </c>
      <c r="P496" s="380">
        <f>IFERROR(VLOOKUP($G496,'321買'!$A:$G,7,0),"'沒有資料'")</f>
        <v>911</v>
      </c>
      <c r="R496" s="297">
        <f>IFERROR(RANK(VLOOKUP($G496,連買!$A:$D,4,0),連買!$D:$D,0),"'沒有資料'")</f>
        <v>1405</v>
      </c>
      <c r="S496" s="34">
        <v>0</v>
      </c>
      <c r="T496" s="353">
        <f t="shared" si="110"/>
        <v>0</v>
      </c>
      <c r="U496" s="95">
        <v>-0.55000000000000004</v>
      </c>
      <c r="V496" s="13">
        <f>RTD("money.excel",,"1512","Price")</f>
        <v>4.0999999999999996</v>
      </c>
      <c r="W496" s="66"/>
      <c r="X496" s="15">
        <f t="shared" si="111"/>
        <v>4.0999999999999996</v>
      </c>
      <c r="Y496" s="3" t="e">
        <f t="shared" si="112"/>
        <v>#DIV/0!</v>
      </c>
      <c r="AA496" s="161">
        <v>0</v>
      </c>
      <c r="AB496" s="409">
        <v>0</v>
      </c>
      <c r="AC496" s="259">
        <f t="shared" si="103"/>
        <v>0</v>
      </c>
      <c r="AD496" s="22" t="s">
        <v>4345</v>
      </c>
      <c r="AG496" s="33">
        <f t="shared" si="113"/>
        <v>0</v>
      </c>
      <c r="AH496" s="43" t="s">
        <v>4346</v>
      </c>
      <c r="AI496" s="63">
        <f t="shared" si="114"/>
        <v>6.3559322033898306E-5</v>
      </c>
      <c r="AJ496" s="307">
        <f>RTD("money.excel",,$G496,"PredictVolume")</f>
        <v>15</v>
      </c>
      <c r="AK496" s="339"/>
    </row>
    <row r="497" spans="1:37">
      <c r="A497" s="416">
        <v>7.62</v>
      </c>
      <c r="B497" s="80">
        <v>-55</v>
      </c>
      <c r="C497" s="80">
        <v>-54</v>
      </c>
      <c r="D497" s="80">
        <v>-15</v>
      </c>
      <c r="E497" s="80">
        <v>-26</v>
      </c>
      <c r="F497" s="6">
        <v>3.89</v>
      </c>
      <c r="G497" s="79">
        <v>1521</v>
      </c>
      <c r="H497" s="8" t="s">
        <v>303</v>
      </c>
      <c r="I497" s="22" t="s">
        <v>4347</v>
      </c>
      <c r="J497" s="323">
        <v>65.66</v>
      </c>
      <c r="K497" s="323">
        <v>33.47</v>
      </c>
      <c r="L497" s="73">
        <v>0.54</v>
      </c>
      <c r="N497" s="318">
        <f t="shared" si="115"/>
        <v>99.67</v>
      </c>
      <c r="O497" s="81">
        <f>IFERROR(VLOOKUP($G497,'321買'!A:E,3,0),"'沒有資料'")</f>
        <v>0</v>
      </c>
      <c r="P497" s="380">
        <f>IFERROR(VLOOKUP($G497,'321買'!$A:$G,7,0),"'沒有資料'")</f>
        <v>911</v>
      </c>
      <c r="R497" s="297">
        <f>IFERROR(RANK(VLOOKUP($G497,連買!$A:$D,4,0),連買!$D:$D,0),"'沒有資料'")</f>
        <v>1694</v>
      </c>
      <c r="S497" s="34">
        <v>1.3</v>
      </c>
      <c r="T497" s="353">
        <f t="shared" si="110"/>
        <v>3.4759358288770054E-2</v>
      </c>
      <c r="U497" s="57">
        <v>2.1</v>
      </c>
      <c r="V497" s="36">
        <f>RTD("money.excel",,"1521","Price")</f>
        <v>37.4</v>
      </c>
      <c r="W497" s="66"/>
      <c r="X497" s="15">
        <f t="shared" si="111"/>
        <v>37.4</v>
      </c>
      <c r="Y497" s="3" t="e">
        <f t="shared" si="112"/>
        <v>#DIV/0!</v>
      </c>
      <c r="Z497" s="413" t="s">
        <v>1801</v>
      </c>
      <c r="AA497" s="161">
        <v>0</v>
      </c>
      <c r="AB497" s="409">
        <v>0</v>
      </c>
      <c r="AC497" s="259">
        <f t="shared" si="103"/>
        <v>0</v>
      </c>
      <c r="AD497" s="22" t="s">
        <v>4347</v>
      </c>
      <c r="AG497" s="33">
        <f t="shared" si="113"/>
        <v>0</v>
      </c>
      <c r="AH497" s="43" t="s">
        <v>2242</v>
      </c>
      <c r="AI497" s="63">
        <f t="shared" si="114"/>
        <v>7.874015748031496E-4</v>
      </c>
      <c r="AJ497" s="307">
        <f>RTD("money.excel",,$G497,"PredictVolume")</f>
        <v>60</v>
      </c>
      <c r="AK497" s="339"/>
    </row>
    <row r="498" spans="1:37">
      <c r="A498" s="416">
        <v>31.2</v>
      </c>
      <c r="B498" s="91">
        <v>-75</v>
      </c>
      <c r="C498" s="91">
        <v>-73</v>
      </c>
      <c r="D498" s="91">
        <v>3</v>
      </c>
      <c r="E498" s="91">
        <v>1</v>
      </c>
      <c r="F498" s="6">
        <v>4.17</v>
      </c>
      <c r="G498" s="79">
        <v>1522</v>
      </c>
      <c r="H498" s="8" t="s">
        <v>303</v>
      </c>
      <c r="I498" s="23" t="s">
        <v>4348</v>
      </c>
      <c r="J498" s="73">
        <v>61.97</v>
      </c>
      <c r="K498" s="73">
        <v>8.02</v>
      </c>
      <c r="L498" s="73">
        <v>8.89</v>
      </c>
      <c r="N498" s="318">
        <f t="shared" si="115"/>
        <v>78.88</v>
      </c>
      <c r="O498" s="81">
        <f>IFERROR(VLOOKUP($G498,'321買'!A:E,3,0),"'沒有資料'")</f>
        <v>0</v>
      </c>
      <c r="P498" s="380">
        <f>IFERROR(VLOOKUP($G498,'321買'!$A:$G,7,0),"'沒有資料'")</f>
        <v>911</v>
      </c>
      <c r="R498" s="297">
        <f>IFERROR(RANK(VLOOKUP($G498,連買!$A:$D,4,0),連買!$D:$D,0),"'沒有資料'")</f>
        <v>1597</v>
      </c>
      <c r="S498" s="34">
        <v>0.6</v>
      </c>
      <c r="T498" s="353">
        <f t="shared" si="110"/>
        <v>3.2345013477088944E-2</v>
      </c>
      <c r="U498" s="95">
        <v>0.84</v>
      </c>
      <c r="V498" s="13">
        <f>RTD("money.excel",,"1522","Price")</f>
        <v>18.55</v>
      </c>
      <c r="W498" s="66"/>
      <c r="X498" s="15">
        <f t="shared" si="111"/>
        <v>18.55</v>
      </c>
      <c r="Y498" s="3" t="e">
        <f t="shared" si="112"/>
        <v>#DIV/0!</v>
      </c>
      <c r="Z498" s="413" t="s">
        <v>1801</v>
      </c>
      <c r="AA498" s="161">
        <v>0</v>
      </c>
      <c r="AB498" s="409">
        <v>0</v>
      </c>
      <c r="AC498" s="259">
        <f t="shared" si="103"/>
        <v>0</v>
      </c>
      <c r="AD498" s="23" t="s">
        <v>4348</v>
      </c>
      <c r="AG498" s="33">
        <f t="shared" si="113"/>
        <v>0</v>
      </c>
      <c r="AH498" s="122" t="s">
        <v>2242</v>
      </c>
      <c r="AI498" s="63">
        <f t="shared" si="114"/>
        <v>5.8333333333333338E-4</v>
      </c>
      <c r="AJ498" s="307">
        <f>RTD("money.excel",,$G498,"PredictVolume")</f>
        <v>182</v>
      </c>
      <c r="AK498" s="339"/>
    </row>
    <row r="499" spans="1:37">
      <c r="A499" s="416">
        <v>16.5</v>
      </c>
      <c r="B499" s="91">
        <v>-73</v>
      </c>
      <c r="C499" s="91">
        <v>-76</v>
      </c>
      <c r="D499" s="91">
        <v>-19</v>
      </c>
      <c r="E499" s="91">
        <v>45</v>
      </c>
      <c r="F499" s="6">
        <v>9.49</v>
      </c>
      <c r="G499" s="79">
        <v>1524</v>
      </c>
      <c r="H499" s="8" t="s">
        <v>303</v>
      </c>
      <c r="I499" s="22" t="s">
        <v>4349</v>
      </c>
      <c r="J499" s="73">
        <v>53.03</v>
      </c>
      <c r="K499" s="73">
        <v>0.2</v>
      </c>
      <c r="L499" s="73">
        <v>12.38</v>
      </c>
      <c r="N499" s="318">
        <f t="shared" si="115"/>
        <v>65.61</v>
      </c>
      <c r="O499" s="81">
        <f>IFERROR(VLOOKUP($G499,'321買'!A:E,3,0),"'沒有資料'")</f>
        <v>0</v>
      </c>
      <c r="P499" s="380">
        <f>IFERROR(VLOOKUP($G499,'321買'!$A:$G,7,0),"'沒有資料'")</f>
        <v>911</v>
      </c>
      <c r="R499" s="297">
        <f>IFERROR(RANK(VLOOKUP($G499,連買!$A:$D,4,0),連買!$D:$D,0),"'沒有資料'")</f>
        <v>1207</v>
      </c>
      <c r="S499" s="34">
        <v>0.21</v>
      </c>
      <c r="T499" s="353">
        <f t="shared" si="110"/>
        <v>1.9444444444444441E-2</v>
      </c>
      <c r="U499" s="95">
        <v>0.21</v>
      </c>
      <c r="V499" s="13">
        <f>RTD("money.excel",,"1524","Price")</f>
        <v>10.8</v>
      </c>
      <c r="W499" s="66"/>
      <c r="X499" s="15">
        <f t="shared" si="111"/>
        <v>10.8</v>
      </c>
      <c r="Y499" s="3" t="e">
        <f t="shared" si="112"/>
        <v>#DIV/0!</v>
      </c>
      <c r="AA499" s="161">
        <v>0</v>
      </c>
      <c r="AB499" s="409">
        <v>0</v>
      </c>
      <c r="AC499" s="259">
        <f t="shared" si="103"/>
        <v>0</v>
      </c>
      <c r="AD499" s="22" t="s">
        <v>4349</v>
      </c>
      <c r="AG499" s="33">
        <f t="shared" si="113"/>
        <v>0</v>
      </c>
      <c r="AH499" s="122" t="s">
        <v>4350</v>
      </c>
      <c r="AI499" s="63">
        <f t="shared" si="114"/>
        <v>1.8242424242424242E-3</v>
      </c>
      <c r="AJ499" s="307">
        <f>RTD("money.excel",,$G499,"PredictVolume")</f>
        <v>301</v>
      </c>
      <c r="AK499" s="339"/>
    </row>
    <row r="500" spans="1:37">
      <c r="A500" s="416">
        <v>7.34</v>
      </c>
      <c r="B500" s="80">
        <v>-85</v>
      </c>
      <c r="C500" s="80">
        <v>-163</v>
      </c>
      <c r="D500" s="79">
        <v>5</v>
      </c>
      <c r="E500" s="80">
        <v>-20</v>
      </c>
      <c r="F500" s="6">
        <v>-3.91</v>
      </c>
      <c r="G500" s="79">
        <v>1525</v>
      </c>
      <c r="H500" s="8" t="s">
        <v>303</v>
      </c>
      <c r="I500" s="22" t="s">
        <v>4351</v>
      </c>
      <c r="J500" s="323">
        <v>83.44</v>
      </c>
      <c r="K500" s="73">
        <v>0.09</v>
      </c>
      <c r="L500" s="73">
        <v>10.17</v>
      </c>
      <c r="N500" s="318">
        <f t="shared" si="115"/>
        <v>93.7</v>
      </c>
      <c r="O500" s="81">
        <f>IFERROR(VLOOKUP($G500,'321買'!A:E,3,0),"'沒有資料'")</f>
        <v>0</v>
      </c>
      <c r="P500" s="380">
        <f>IFERROR(VLOOKUP($G500,'321買'!$A:$G,7,0),"'沒有資料'")</f>
        <v>911</v>
      </c>
      <c r="R500" s="297">
        <f>IFERROR(RANK(VLOOKUP($G500,連買!$A:$D,4,0),連買!$D:$D,0),"'沒有資料'")</f>
        <v>1551</v>
      </c>
      <c r="S500" s="34">
        <v>2.2000000000000002</v>
      </c>
      <c r="T500" s="353">
        <f t="shared" si="110"/>
        <v>3.7099494097807759E-2</v>
      </c>
      <c r="U500" s="57">
        <v>4.42</v>
      </c>
      <c r="V500" s="36">
        <f>RTD("money.excel",,"1525","Price")</f>
        <v>59.3</v>
      </c>
      <c r="W500" s="66"/>
      <c r="X500" s="15">
        <f t="shared" si="111"/>
        <v>59.3</v>
      </c>
      <c r="Y500" s="3" t="e">
        <f t="shared" si="112"/>
        <v>#DIV/0!</v>
      </c>
      <c r="Z500" s="413" t="s">
        <v>1801</v>
      </c>
      <c r="AA500" s="161">
        <v>0</v>
      </c>
      <c r="AB500" s="409">
        <v>0</v>
      </c>
      <c r="AC500" s="259">
        <f t="shared" si="103"/>
        <v>0</v>
      </c>
      <c r="AD500" s="22" t="s">
        <v>4351</v>
      </c>
      <c r="AE500" s="113"/>
      <c r="AG500" s="33">
        <f t="shared" si="113"/>
        <v>0</v>
      </c>
      <c r="AH500" s="43" t="s">
        <v>4352</v>
      </c>
      <c r="AI500" s="63">
        <f t="shared" si="114"/>
        <v>2.1798365122615803E-4</v>
      </c>
      <c r="AJ500" s="307">
        <f>RTD("money.excel",,$G500,"PredictVolume")</f>
        <v>16</v>
      </c>
      <c r="AK500" s="339"/>
    </row>
    <row r="501" spans="1:37">
      <c r="A501" s="416">
        <v>9.85</v>
      </c>
      <c r="B501" s="80">
        <v>-104</v>
      </c>
      <c r="C501" s="80">
        <v>-61</v>
      </c>
      <c r="D501" s="79">
        <v>32</v>
      </c>
      <c r="E501" s="79">
        <v>12</v>
      </c>
      <c r="F501" s="6">
        <v>2.23</v>
      </c>
      <c r="G501" s="79">
        <v>1533</v>
      </c>
      <c r="H501" s="8" t="s">
        <v>303</v>
      </c>
      <c r="I501" s="23" t="s">
        <v>4353</v>
      </c>
      <c r="J501" s="323">
        <v>52.46</v>
      </c>
      <c r="K501" s="323">
        <v>6.53</v>
      </c>
      <c r="L501" s="323">
        <v>12.78</v>
      </c>
      <c r="N501" s="318">
        <f t="shared" si="115"/>
        <v>71.77</v>
      </c>
      <c r="O501" s="81">
        <f>IFERROR(VLOOKUP($G501,'321買'!A:E,3,0),"'沒有資料'")</f>
        <v>7</v>
      </c>
      <c r="P501" s="380">
        <f>IFERROR(VLOOKUP($G501,'321買'!$A:$G,7,0),"'沒有資料'")</f>
        <v>448</v>
      </c>
      <c r="R501" s="297">
        <f>IFERROR(RANK(VLOOKUP($G501,連買!$A:$D,4,0),連買!$D:$D,0),"'沒有資料'")</f>
        <v>238</v>
      </c>
      <c r="S501" s="34">
        <v>0</v>
      </c>
      <c r="T501" s="353">
        <f t="shared" si="110"/>
        <v>0</v>
      </c>
      <c r="U501" s="57">
        <v>0.86</v>
      </c>
      <c r="V501" s="36">
        <f>RTD("money.excel",,"1533","Price")</f>
        <v>67.2</v>
      </c>
      <c r="W501" s="66"/>
      <c r="X501" s="15">
        <f t="shared" si="111"/>
        <v>67.2</v>
      </c>
      <c r="Y501" s="3" t="e">
        <f t="shared" si="112"/>
        <v>#DIV/0!</v>
      </c>
      <c r="Z501" s="413" t="s">
        <v>1801</v>
      </c>
      <c r="AA501" s="161">
        <v>0</v>
      </c>
      <c r="AB501" s="409">
        <v>0</v>
      </c>
      <c r="AC501" s="259">
        <f t="shared" si="103"/>
        <v>0</v>
      </c>
      <c r="AD501" s="23" t="s">
        <v>4353</v>
      </c>
      <c r="AG501" s="33">
        <f t="shared" si="113"/>
        <v>0</v>
      </c>
      <c r="AH501" s="122" t="s">
        <v>4354</v>
      </c>
      <c r="AI501" s="63">
        <f t="shared" si="114"/>
        <v>9.1857868020304573E-2</v>
      </c>
      <c r="AJ501" s="307">
        <f>RTD("money.excel",,$G501,"PredictVolume")</f>
        <v>9048</v>
      </c>
      <c r="AK501" s="339"/>
    </row>
    <row r="502" spans="1:37">
      <c r="A502" s="416">
        <v>27.9</v>
      </c>
      <c r="B502" s="79">
        <v>100</v>
      </c>
      <c r="C502" s="79">
        <v>86</v>
      </c>
      <c r="D502" s="79">
        <v>12</v>
      </c>
      <c r="E502" s="79">
        <v>1</v>
      </c>
      <c r="F502" s="6">
        <v>9.11</v>
      </c>
      <c r="G502" s="79">
        <v>1536</v>
      </c>
      <c r="H502" s="8" t="s">
        <v>303</v>
      </c>
      <c r="I502" s="22" t="s">
        <v>4355</v>
      </c>
      <c r="J502" s="323">
        <v>54.11</v>
      </c>
      <c r="K502" s="323">
        <v>13.41</v>
      </c>
      <c r="L502" s="73">
        <v>7.37</v>
      </c>
      <c r="M502" s="323">
        <v>12.91</v>
      </c>
      <c r="N502" s="318">
        <f t="shared" si="115"/>
        <v>87.8</v>
      </c>
      <c r="O502" s="81">
        <f>IFERROR(VLOOKUP($G502,'321買'!A:E,3,0),"'沒有資料'")</f>
        <v>2</v>
      </c>
      <c r="P502" s="380">
        <f>IFERROR(VLOOKUP($G502,'321買'!$A:$G,7,0),"'沒有資料'")</f>
        <v>706</v>
      </c>
      <c r="Q502" s="245" t="s">
        <v>3816</v>
      </c>
      <c r="R502" s="297">
        <f>IFERROR(RANK(VLOOKUP($G502,連買!$A:$D,4,0),連買!$D:$D,0),"'沒有資料'")</f>
        <v>1649</v>
      </c>
      <c r="S502" s="34">
        <v>1.1000000000000001</v>
      </c>
      <c r="T502" s="353">
        <f t="shared" si="110"/>
        <v>1.3871374527112233E-2</v>
      </c>
      <c r="U502" s="57">
        <v>1.66</v>
      </c>
      <c r="V502" s="36">
        <f>RTD("money.excel",,"1536","Price")</f>
        <v>79.3</v>
      </c>
      <c r="W502" s="66"/>
      <c r="X502" s="15">
        <f t="shared" si="111"/>
        <v>79.3</v>
      </c>
      <c r="Y502" s="3" t="e">
        <f t="shared" si="112"/>
        <v>#DIV/0!</v>
      </c>
      <c r="Z502" s="413" t="s">
        <v>1801</v>
      </c>
      <c r="AA502" s="161">
        <v>0</v>
      </c>
      <c r="AB502" s="409">
        <v>0</v>
      </c>
      <c r="AC502" s="259">
        <f t="shared" si="103"/>
        <v>0</v>
      </c>
      <c r="AD502" s="22" t="s">
        <v>4355</v>
      </c>
      <c r="AG502" s="33">
        <f t="shared" si="113"/>
        <v>0</v>
      </c>
      <c r="AH502" s="120" t="s">
        <v>4356</v>
      </c>
      <c r="AI502" s="63">
        <f t="shared" si="114"/>
        <v>3.4623655913978493E-3</v>
      </c>
      <c r="AJ502" s="307">
        <f>RTD("money.excel",,$G502,"PredictVolume")</f>
        <v>966</v>
      </c>
      <c r="AK502" s="339"/>
    </row>
    <row r="503" spans="1:37">
      <c r="A503" s="416">
        <v>10.3</v>
      </c>
      <c r="B503" s="80">
        <v>-73</v>
      </c>
      <c r="C503" s="80">
        <v>-90</v>
      </c>
      <c r="D503" s="79">
        <v>21</v>
      </c>
      <c r="E503" s="79">
        <v>31</v>
      </c>
      <c r="F503" s="6">
        <v>0.64</v>
      </c>
      <c r="G503" s="79">
        <v>1568</v>
      </c>
      <c r="H503" s="8" t="s">
        <v>303</v>
      </c>
      <c r="I503" s="22" t="s">
        <v>4357</v>
      </c>
      <c r="J503" s="323">
        <v>66.900000000000006</v>
      </c>
      <c r="K503" s="73">
        <v>2.06</v>
      </c>
      <c r="L503" s="323">
        <v>8.42</v>
      </c>
      <c r="N503" s="318">
        <f t="shared" si="115"/>
        <v>77.38000000000001</v>
      </c>
      <c r="O503" s="81">
        <f>IFERROR(VLOOKUP($G503,'321買'!A:E,3,0),"'沒有資料'")</f>
        <v>3</v>
      </c>
      <c r="P503" s="380">
        <f>IFERROR(VLOOKUP($G503,'321買'!$A:$G,7,0),"'沒有資料'")</f>
        <v>636</v>
      </c>
      <c r="R503" s="297">
        <f>IFERROR(RANK(VLOOKUP($G503,連買!$A:$D,4,0),連買!$D:$D,0),"'沒有資料'")</f>
        <v>466</v>
      </c>
      <c r="S503" s="34">
        <v>0.3</v>
      </c>
      <c r="T503" s="353">
        <f t="shared" si="110"/>
        <v>1.4563106796116504E-2</v>
      </c>
      <c r="U503" s="95">
        <v>0.1</v>
      </c>
      <c r="V503" s="13">
        <f>RTD("money.excel",,"1568","Price")</f>
        <v>20.6</v>
      </c>
      <c r="W503" s="66"/>
      <c r="X503" s="15">
        <f t="shared" si="111"/>
        <v>20.6</v>
      </c>
      <c r="Y503" s="3" t="e">
        <f t="shared" si="112"/>
        <v>#DIV/0!</v>
      </c>
      <c r="Z503" s="413" t="s">
        <v>1801</v>
      </c>
      <c r="AA503" s="161">
        <v>0</v>
      </c>
      <c r="AB503" s="409">
        <v>0</v>
      </c>
      <c r="AC503" s="259">
        <f t="shared" si="103"/>
        <v>0</v>
      </c>
      <c r="AD503" s="22" t="s">
        <v>4357</v>
      </c>
      <c r="AG503" s="33">
        <f t="shared" si="113"/>
        <v>0</v>
      </c>
      <c r="AH503" s="43" t="s">
        <v>4358</v>
      </c>
      <c r="AI503" s="63">
        <f t="shared" si="114"/>
        <v>3.6893203883495146E-4</v>
      </c>
      <c r="AJ503" s="307">
        <f>RTD("money.excel",,$G503,"PredictVolume")</f>
        <v>38</v>
      </c>
      <c r="AK503" s="339"/>
    </row>
    <row r="504" spans="1:37">
      <c r="A504" s="416">
        <v>6.54</v>
      </c>
      <c r="B504" s="93">
        <v>1293</v>
      </c>
      <c r="C504" s="79">
        <v>23</v>
      </c>
      <c r="D504" s="80">
        <v>-4</v>
      </c>
      <c r="E504" s="79">
        <v>8</v>
      </c>
      <c r="F504" s="6">
        <v>2.62</v>
      </c>
      <c r="G504" s="79">
        <v>1587</v>
      </c>
      <c r="H504" s="8" t="s">
        <v>303</v>
      </c>
      <c r="I504" s="22" t="s">
        <v>4359</v>
      </c>
      <c r="J504" s="323">
        <v>57.74</v>
      </c>
      <c r="K504" s="73">
        <v>20.91</v>
      </c>
      <c r="L504" s="73">
        <v>17.22</v>
      </c>
      <c r="N504" s="318">
        <f t="shared" si="115"/>
        <v>95.87</v>
      </c>
      <c r="O504" s="81">
        <f>IFERROR(VLOOKUP($G504,'321買'!A:E,3,0),"'沒有資料'")</f>
        <v>0</v>
      </c>
      <c r="P504" s="380">
        <f>IFERROR(VLOOKUP($G504,'321買'!$A:$G,7,0),"'沒有資料'")</f>
        <v>911</v>
      </c>
      <c r="R504" s="297">
        <f>IFERROR(RANK(VLOOKUP($G504,連買!$A:$D,4,0),連買!$D:$D,0),"'沒有資料'")</f>
        <v>884</v>
      </c>
      <c r="S504" s="34">
        <v>2</v>
      </c>
      <c r="T504" s="353">
        <f t="shared" si="110"/>
        <v>8.2135523613963035E-2</v>
      </c>
      <c r="U504" s="95">
        <v>2.63</v>
      </c>
      <c r="V504" s="36">
        <f>RTD("money.excel",,"1587","Price")</f>
        <v>24.35</v>
      </c>
      <c r="W504" s="66"/>
      <c r="X504" s="15">
        <f t="shared" si="111"/>
        <v>24.35</v>
      </c>
      <c r="Y504" s="3" t="e">
        <f t="shared" si="112"/>
        <v>#DIV/0!</v>
      </c>
      <c r="Z504" s="413" t="s">
        <v>1801</v>
      </c>
      <c r="AA504" s="161">
        <v>0</v>
      </c>
      <c r="AB504" s="409">
        <v>0</v>
      </c>
      <c r="AC504" s="259">
        <f t="shared" si="103"/>
        <v>0</v>
      </c>
      <c r="AD504" s="22" t="s">
        <v>4359</v>
      </c>
      <c r="AG504" s="33">
        <f t="shared" si="113"/>
        <v>0</v>
      </c>
      <c r="AH504" s="43" t="s">
        <v>4360</v>
      </c>
      <c r="AI504" s="63">
        <f t="shared" si="114"/>
        <v>1.2996941896024465E-3</v>
      </c>
      <c r="AJ504" s="307">
        <f>RTD("money.excel",,$G504,"PredictVolume")</f>
        <v>85</v>
      </c>
      <c r="AK504" s="339"/>
    </row>
    <row r="505" spans="1:37">
      <c r="A505" s="415">
        <v>9.0399999999999991</v>
      </c>
      <c r="B505" s="91">
        <v>180</v>
      </c>
      <c r="C505" s="91">
        <v>-14</v>
      </c>
      <c r="D505" s="91">
        <v>5</v>
      </c>
      <c r="E505" s="91">
        <v>78</v>
      </c>
      <c r="F505" s="57">
        <v>10.56</v>
      </c>
      <c r="G505" s="79">
        <v>2115</v>
      </c>
      <c r="H505" s="8" t="s">
        <v>303</v>
      </c>
      <c r="I505" s="22" t="s">
        <v>242</v>
      </c>
      <c r="J505" s="73">
        <v>77.349999999999994</v>
      </c>
      <c r="K505" s="73">
        <v>46.22</v>
      </c>
      <c r="L505" s="73">
        <v>1.23</v>
      </c>
      <c r="N505" s="318">
        <f t="shared" si="115"/>
        <v>124.8</v>
      </c>
      <c r="O505" s="81">
        <f>IFERROR(VLOOKUP($G505,'321買'!A:E,3,0),"'沒有資料'")</f>
        <v>0</v>
      </c>
      <c r="P505" s="380">
        <f>IFERROR(VLOOKUP($G505,'321買'!$A:$G,7,0),"'沒有資料'")</f>
        <v>911</v>
      </c>
      <c r="R505" s="297">
        <f>IFERROR(RANK(VLOOKUP($G505,連買!$A:$D,4,0),連買!$D:$D,0),"'沒有資料'")</f>
        <v>734</v>
      </c>
      <c r="S505" s="34">
        <v>2.5</v>
      </c>
      <c r="T505" s="353">
        <f t="shared" si="110"/>
        <v>6.5530799475753604E-2</v>
      </c>
      <c r="U505" s="57">
        <v>6.74</v>
      </c>
      <c r="V505" s="13">
        <f>RTD("money.excel",,"2115","Price")</f>
        <v>38.15</v>
      </c>
      <c r="W505" s="66"/>
      <c r="X505" s="15">
        <f t="shared" si="111"/>
        <v>38.15</v>
      </c>
      <c r="Y505" s="3" t="e">
        <f t="shared" si="112"/>
        <v>#DIV/0!</v>
      </c>
      <c r="AA505" s="161">
        <v>0</v>
      </c>
      <c r="AB505" s="409">
        <v>0</v>
      </c>
      <c r="AC505" s="259">
        <f t="shared" si="103"/>
        <v>0</v>
      </c>
      <c r="AD505" s="22" t="s">
        <v>242</v>
      </c>
      <c r="AG505" s="33">
        <f t="shared" si="113"/>
        <v>0</v>
      </c>
      <c r="AH505" s="122" t="s">
        <v>2970</v>
      </c>
      <c r="AI505" s="63">
        <f t="shared" si="114"/>
        <v>1.1061946902654869E-5</v>
      </c>
      <c r="AJ505" s="307">
        <f>RTD("money.excel",,$G505,"PredictVolume")</f>
        <v>1</v>
      </c>
      <c r="AK505" s="339"/>
    </row>
    <row r="506" spans="1:37">
      <c r="A506" s="416">
        <v>100</v>
      </c>
      <c r="B506" s="79">
        <v>125</v>
      </c>
      <c r="C506" s="79">
        <v>247</v>
      </c>
      <c r="D506" s="79">
        <v>19</v>
      </c>
      <c r="E506" s="79">
        <v>-22</v>
      </c>
      <c r="F506" s="6">
        <v>9.16</v>
      </c>
      <c r="G506" s="79">
        <v>2201</v>
      </c>
      <c r="H506" s="8" t="s">
        <v>303</v>
      </c>
      <c r="I506" s="22" t="s">
        <v>30</v>
      </c>
      <c r="J506" s="323">
        <v>66.25</v>
      </c>
      <c r="K506" s="323">
        <v>8.0399999999999991</v>
      </c>
      <c r="L506" s="323">
        <v>6.16</v>
      </c>
      <c r="N506" s="318">
        <f t="shared" si="115"/>
        <v>80.449999999999989</v>
      </c>
      <c r="O506" s="81">
        <f>IFERROR(VLOOKUP($G506,'321買'!A:E,3,0),"'沒有資料'")</f>
        <v>3</v>
      </c>
      <c r="P506" s="380">
        <f>IFERROR(VLOOKUP($G506,'321買'!$A:$G,7,0),"'沒有資料'")</f>
        <v>592</v>
      </c>
      <c r="R506" s="297">
        <f>IFERROR(RANK(VLOOKUP($G506,連買!$A:$D,4,0),連買!$D:$D,0),"'沒有資料'")</f>
        <v>848</v>
      </c>
      <c r="S506" s="34">
        <v>1</v>
      </c>
      <c r="T506" s="353">
        <f t="shared" si="110"/>
        <v>2.4691358024691357E-2</v>
      </c>
      <c r="U506" s="57">
        <v>4.37</v>
      </c>
      <c r="V506" s="36">
        <f>RTD("money.excel",,"2201","Price")</f>
        <v>40.5</v>
      </c>
      <c r="W506" s="66"/>
      <c r="X506" s="15">
        <f t="shared" si="111"/>
        <v>40.5</v>
      </c>
      <c r="Y506" s="3" t="e">
        <f t="shared" si="112"/>
        <v>#DIV/0!</v>
      </c>
      <c r="Z506" s="413" t="s">
        <v>1801</v>
      </c>
      <c r="AA506" s="161">
        <v>0</v>
      </c>
      <c r="AB506" s="409">
        <v>0</v>
      </c>
      <c r="AC506" s="259">
        <f t="shared" si="103"/>
        <v>0</v>
      </c>
      <c r="AD506" s="22" t="s">
        <v>30</v>
      </c>
      <c r="AG506" s="33">
        <f t="shared" si="113"/>
        <v>0</v>
      </c>
      <c r="AH506" s="120" t="s">
        <v>1419</v>
      </c>
      <c r="AI506" s="63">
        <f t="shared" si="114"/>
        <v>2.3340000000000001E-3</v>
      </c>
      <c r="AJ506" s="307">
        <f>RTD("money.excel",,$G506,"PredictVolume")</f>
        <v>2334</v>
      </c>
      <c r="AK506" s="339"/>
    </row>
    <row r="507" spans="1:37">
      <c r="A507" s="416">
        <v>55.3</v>
      </c>
      <c r="B507" s="79">
        <v>28</v>
      </c>
      <c r="C507" s="79">
        <v>35</v>
      </c>
      <c r="D507" s="80">
        <v>-6</v>
      </c>
      <c r="E507" s="80">
        <v>-20</v>
      </c>
      <c r="F507" s="6">
        <v>7.64</v>
      </c>
      <c r="G507" s="79">
        <v>2204</v>
      </c>
      <c r="H507" s="8" t="s">
        <v>303</v>
      </c>
      <c r="I507" s="22" t="s">
        <v>164</v>
      </c>
      <c r="J507" s="73">
        <v>74.62</v>
      </c>
      <c r="K507" s="73">
        <v>30.26</v>
      </c>
      <c r="L507" s="323">
        <v>0.79</v>
      </c>
      <c r="N507" s="318">
        <f t="shared" si="115"/>
        <v>105.67000000000002</v>
      </c>
      <c r="O507" s="81">
        <f>IFERROR(VLOOKUP($G507,'321買'!A:E,3,0),"'沒有資料'")</f>
        <v>2</v>
      </c>
      <c r="P507" s="380">
        <f>IFERROR(VLOOKUP($G507,'321買'!$A:$G,7,0),"'沒有資料'")</f>
        <v>706</v>
      </c>
      <c r="R507" s="297">
        <f>IFERROR(RANK(VLOOKUP($G507,連買!$A:$D,4,0),連買!$D:$D,0),"'沒有資料'")</f>
        <v>1269</v>
      </c>
      <c r="S507" s="66">
        <v>7</v>
      </c>
      <c r="T507" s="353">
        <f t="shared" si="110"/>
        <v>0.11705685618729098</v>
      </c>
      <c r="U507" s="57">
        <v>7.39</v>
      </c>
      <c r="V507" s="36">
        <f>RTD("money.excel",,"2204","Price")</f>
        <v>59.8</v>
      </c>
      <c r="W507" s="66"/>
      <c r="X507" s="15">
        <f t="shared" si="111"/>
        <v>59.8</v>
      </c>
      <c r="Y507" s="3" t="e">
        <f t="shared" si="112"/>
        <v>#DIV/0!</v>
      </c>
      <c r="Z507" s="413" t="s">
        <v>1997</v>
      </c>
      <c r="AA507" s="161">
        <v>0</v>
      </c>
      <c r="AB507" s="409">
        <v>0</v>
      </c>
      <c r="AC507" s="259">
        <f t="shared" si="103"/>
        <v>0</v>
      </c>
      <c r="AD507" s="22" t="s">
        <v>164</v>
      </c>
      <c r="AG507" s="33">
        <f t="shared" si="113"/>
        <v>0</v>
      </c>
      <c r="AH507" s="120" t="s">
        <v>2971</v>
      </c>
      <c r="AI507" s="63">
        <f t="shared" si="114"/>
        <v>1.2802893309222423E-3</v>
      </c>
      <c r="AJ507" s="307">
        <f>RTD("money.excel",,$G507,"PredictVolume")</f>
        <v>708</v>
      </c>
      <c r="AK507" s="339"/>
    </row>
    <row r="508" spans="1:37">
      <c r="A508" s="416">
        <v>80.3</v>
      </c>
      <c r="B508" s="79">
        <v>5</v>
      </c>
      <c r="C508" s="79">
        <v>64</v>
      </c>
      <c r="D508" s="80">
        <v>-14</v>
      </c>
      <c r="E508" s="80">
        <v>-3</v>
      </c>
      <c r="F508" s="6">
        <v>6.31</v>
      </c>
      <c r="G508" s="79">
        <v>2206</v>
      </c>
      <c r="H508" s="8" t="s">
        <v>303</v>
      </c>
      <c r="I508" s="22" t="s">
        <v>1125</v>
      </c>
      <c r="J508" s="73">
        <v>73.98</v>
      </c>
      <c r="K508" s="323">
        <v>9.7200000000000006</v>
      </c>
      <c r="L508" s="73">
        <v>4.84</v>
      </c>
      <c r="N508" s="318">
        <f t="shared" si="115"/>
        <v>88.54</v>
      </c>
      <c r="O508" s="81">
        <f>IFERROR(VLOOKUP($G508,'321買'!A:E,3,0),"'沒有資料'")</f>
        <v>0</v>
      </c>
      <c r="P508" s="380">
        <f>IFERROR(VLOOKUP($G508,'321買'!$A:$G,7,0),"'沒有資料'")</f>
        <v>911</v>
      </c>
      <c r="R508" s="297">
        <f>IFERROR(RANK(VLOOKUP($G508,連買!$A:$D,4,0),連買!$D:$D,0),"'沒有資料'")</f>
        <v>635</v>
      </c>
      <c r="S508" s="34">
        <v>1.31</v>
      </c>
      <c r="T508" s="353">
        <f t="shared" si="110"/>
        <v>4.6126760563380283E-2</v>
      </c>
      <c r="U508" s="57">
        <v>2.42</v>
      </c>
      <c r="V508" s="36">
        <f>RTD("money.excel",,"2206","Price")</f>
        <v>28.4</v>
      </c>
      <c r="W508" s="66"/>
      <c r="X508" s="15">
        <f t="shared" si="111"/>
        <v>28.4</v>
      </c>
      <c r="Y508" s="3" t="e">
        <f t="shared" si="112"/>
        <v>#DIV/0!</v>
      </c>
      <c r="Z508" s="413" t="s">
        <v>1801</v>
      </c>
      <c r="AA508" s="161">
        <v>0</v>
      </c>
      <c r="AB508" s="409">
        <v>0</v>
      </c>
      <c r="AC508" s="259">
        <f t="shared" si="103"/>
        <v>0</v>
      </c>
      <c r="AD508" s="22" t="s">
        <v>1125</v>
      </c>
      <c r="AG508" s="33">
        <f t="shared" si="113"/>
        <v>0</v>
      </c>
      <c r="AH508" s="43" t="s">
        <v>2972</v>
      </c>
      <c r="AI508" s="63">
        <f t="shared" si="114"/>
        <v>1.0398505603985055E-3</v>
      </c>
      <c r="AJ508" s="307">
        <f>RTD("money.excel",,$G508,"PredictVolume")</f>
        <v>835</v>
      </c>
      <c r="AK508" s="339"/>
    </row>
    <row r="509" spans="1:37">
      <c r="A509" s="130" t="s">
        <v>8664</v>
      </c>
      <c r="B509" s="79">
        <v>18</v>
      </c>
      <c r="C509" s="79">
        <v>15</v>
      </c>
      <c r="D509" s="79">
        <v>27</v>
      </c>
      <c r="E509" s="80">
        <v>-5</v>
      </c>
      <c r="F509" s="57">
        <v>10.81</v>
      </c>
      <c r="G509" s="79">
        <v>2207</v>
      </c>
      <c r="H509" s="8" t="s">
        <v>303</v>
      </c>
      <c r="I509" s="22" t="s">
        <v>14</v>
      </c>
      <c r="J509" s="73">
        <v>83.64</v>
      </c>
      <c r="K509" s="73">
        <v>24.05</v>
      </c>
      <c r="L509" s="323">
        <v>0.05</v>
      </c>
      <c r="M509" s="73">
        <v>19.43</v>
      </c>
      <c r="N509" s="318">
        <f t="shared" si="115"/>
        <v>127.16999999999999</v>
      </c>
      <c r="O509" s="81">
        <f>IFERROR(VLOOKUP($G509,'321買'!A:E,3,0),"'沒有資料'")</f>
        <v>0</v>
      </c>
      <c r="P509" s="380">
        <f>IFERROR(VLOOKUP($G509,'321買'!$A:$G,7,0),"'沒有資料'")</f>
        <v>911</v>
      </c>
      <c r="Q509" s="245" t="s">
        <v>3816</v>
      </c>
      <c r="R509" s="297">
        <f>IFERROR(RANK(VLOOKUP($G509,連買!$A:$D,4,0),連買!$D:$D,0),"'沒有資料'")</f>
        <v>17</v>
      </c>
      <c r="S509" s="45">
        <v>20</v>
      </c>
      <c r="T509" s="353">
        <f t="shared" si="110"/>
        <v>3.3840947546531303E-2</v>
      </c>
      <c r="U509" s="57">
        <v>29.83</v>
      </c>
      <c r="V509" s="36">
        <f>RTD("money.excel",,"2207","Price")</f>
        <v>591</v>
      </c>
      <c r="W509" s="66">
        <v>594</v>
      </c>
      <c r="X509" s="15">
        <f t="shared" si="111"/>
        <v>-3</v>
      </c>
      <c r="Y509" s="3">
        <f t="shared" si="112"/>
        <v>-5.0505050505050509E-3</v>
      </c>
      <c r="Z509" s="413">
        <v>-11.21</v>
      </c>
      <c r="AA509" s="161">
        <v>0</v>
      </c>
      <c r="AB509" s="409">
        <v>0</v>
      </c>
      <c r="AC509" s="259">
        <f t="shared" si="103"/>
        <v>0</v>
      </c>
      <c r="AD509" s="22" t="s">
        <v>14</v>
      </c>
      <c r="AG509" s="33">
        <f t="shared" si="113"/>
        <v>0</v>
      </c>
      <c r="AH509" s="120" t="s">
        <v>2806</v>
      </c>
      <c r="AI509" s="63">
        <f t="shared" si="114"/>
        <v>1.9780219780219781E-4</v>
      </c>
      <c r="AJ509" s="307">
        <f>RTD("money.excel",,$G509,"PredictVolume")</f>
        <v>108</v>
      </c>
      <c r="AK509" s="339">
        <v>0.23</v>
      </c>
    </row>
    <row r="510" spans="1:37">
      <c r="A510" s="416">
        <v>30</v>
      </c>
      <c r="B510" s="80">
        <v>-9</v>
      </c>
      <c r="C510" s="79">
        <v>32</v>
      </c>
      <c r="D510" s="79">
        <v>29</v>
      </c>
      <c r="E510" s="80">
        <v>-43</v>
      </c>
      <c r="F510" s="6">
        <v>0.79</v>
      </c>
      <c r="G510" s="79">
        <v>2227</v>
      </c>
      <c r="H510" s="8" t="s">
        <v>303</v>
      </c>
      <c r="I510" s="22" t="s">
        <v>111</v>
      </c>
      <c r="J510" s="323">
        <v>93.54</v>
      </c>
      <c r="K510" s="323">
        <v>41.26</v>
      </c>
      <c r="L510" s="323"/>
      <c r="N510" s="318">
        <f t="shared" si="115"/>
        <v>134.80000000000001</v>
      </c>
      <c r="O510" s="81" t="str">
        <f>IFERROR(VLOOKUP($G510,'321買'!A:E,3,0),"'沒有資料'")</f>
        <v>'沒有資料'</v>
      </c>
      <c r="P510" s="380" t="str">
        <f>IFERROR(VLOOKUP($G510,'321買'!$A:$G,7,0),"'沒有資料'")</f>
        <v>'沒有資料'</v>
      </c>
      <c r="R510" s="297">
        <f>IFERROR(RANK(VLOOKUP($G510,連買!$A:$D,4,0),連買!$D:$D,0),"'沒有資料'")</f>
        <v>1578</v>
      </c>
      <c r="S510" s="66">
        <v>18.53</v>
      </c>
      <c r="T510" s="353">
        <f t="shared" si="110"/>
        <v>7.4120000000000005E-2</v>
      </c>
      <c r="U510" s="57">
        <v>21.27</v>
      </c>
      <c r="V510" s="13">
        <f>RTD("money.excel",,"2227","Price")</f>
        <v>250</v>
      </c>
      <c r="W510" s="66"/>
      <c r="X510" s="15">
        <f t="shared" si="111"/>
        <v>250</v>
      </c>
      <c r="Y510" s="3" t="e">
        <f t="shared" si="112"/>
        <v>#DIV/0!</v>
      </c>
      <c r="Z510" s="413" t="s">
        <v>1997</v>
      </c>
      <c r="AA510" s="161">
        <v>0</v>
      </c>
      <c r="AB510" s="409">
        <v>0</v>
      </c>
      <c r="AC510" s="259">
        <f t="shared" si="103"/>
        <v>0</v>
      </c>
      <c r="AD510" s="22" t="s">
        <v>111</v>
      </c>
      <c r="AG510" s="33">
        <f t="shared" si="113"/>
        <v>0</v>
      </c>
      <c r="AH510" s="120" t="s">
        <v>2973</v>
      </c>
      <c r="AI510" s="63">
        <f t="shared" si="114"/>
        <v>8.6666666666666668E-5</v>
      </c>
      <c r="AJ510" s="307">
        <f>RTD("money.excel",,$G510,"PredictVolume")</f>
        <v>26</v>
      </c>
      <c r="AK510" s="339"/>
    </row>
    <row r="511" spans="1:37">
      <c r="A511" s="416">
        <v>7.58</v>
      </c>
      <c r="B511" s="80">
        <v>-104</v>
      </c>
      <c r="C511" s="80">
        <v>-103</v>
      </c>
      <c r="D511" s="79">
        <v>32</v>
      </c>
      <c r="E511" s="80">
        <v>-13</v>
      </c>
      <c r="F511" s="6">
        <v>-0.67</v>
      </c>
      <c r="G511" s="79">
        <v>2228</v>
      </c>
      <c r="H511" s="8" t="s">
        <v>303</v>
      </c>
      <c r="I511" s="22" t="s">
        <v>577</v>
      </c>
      <c r="J511" s="73">
        <v>60.6</v>
      </c>
      <c r="K511" s="73">
        <v>5.77</v>
      </c>
      <c r="L511" s="73">
        <v>6.05</v>
      </c>
      <c r="N511" s="318">
        <f t="shared" si="115"/>
        <v>72.42</v>
      </c>
      <c r="O511" s="81">
        <f>IFERROR(VLOOKUP($G511,'321買'!A:E,3,0),"'沒有資料'")</f>
        <v>0</v>
      </c>
      <c r="P511" s="380">
        <f>IFERROR(VLOOKUP($G511,'321買'!$A:$G,7,0),"'沒有資料'")</f>
        <v>911</v>
      </c>
      <c r="R511" s="297">
        <f>IFERROR(RANK(VLOOKUP($G511,連買!$A:$D,4,0),連買!$D:$D,0),"'沒有資料'")</f>
        <v>342</v>
      </c>
      <c r="S511" s="34">
        <v>1.05</v>
      </c>
      <c r="T511" s="353">
        <f t="shared" si="110"/>
        <v>1.5441176470588236E-2</v>
      </c>
      <c r="U511" s="95">
        <v>1.31</v>
      </c>
      <c r="V511" s="36">
        <f>RTD("money.excel",,"2228","Price")</f>
        <v>68</v>
      </c>
      <c r="W511" s="66"/>
      <c r="X511" s="15">
        <f t="shared" si="111"/>
        <v>68</v>
      </c>
      <c r="Y511" s="3" t="e">
        <f t="shared" si="112"/>
        <v>#DIV/0!</v>
      </c>
      <c r="Z511" s="413" t="s">
        <v>1801</v>
      </c>
      <c r="AA511" s="161">
        <v>0</v>
      </c>
      <c r="AB511" s="409">
        <v>0</v>
      </c>
      <c r="AC511" s="259">
        <f t="shared" si="103"/>
        <v>0</v>
      </c>
      <c r="AD511" s="22" t="s">
        <v>577</v>
      </c>
      <c r="AG511" s="33">
        <f t="shared" si="113"/>
        <v>0</v>
      </c>
      <c r="AH511" s="43" t="s">
        <v>2974</v>
      </c>
      <c r="AI511" s="63">
        <f t="shared" si="114"/>
        <v>6.3324538258575198E-4</v>
      </c>
      <c r="AJ511" s="307">
        <f>RTD("money.excel",,$G511,"PredictVolume")</f>
        <v>48</v>
      </c>
      <c r="AK511" s="339"/>
    </row>
    <row r="512" spans="1:37">
      <c r="A512" s="415">
        <v>12.1</v>
      </c>
      <c r="B512" s="79">
        <v>179</v>
      </c>
      <c r="C512" s="79">
        <v>134</v>
      </c>
      <c r="D512" s="79">
        <v>12</v>
      </c>
      <c r="E512" s="79">
        <v>17</v>
      </c>
      <c r="F512" s="57">
        <v>16.32</v>
      </c>
      <c r="G512" s="79">
        <v>2231</v>
      </c>
      <c r="H512" s="8" t="s">
        <v>303</v>
      </c>
      <c r="I512" s="22" t="s">
        <v>165</v>
      </c>
      <c r="J512" s="73">
        <v>59.38</v>
      </c>
      <c r="K512" s="73">
        <v>7.72</v>
      </c>
      <c r="L512" s="73">
        <v>25.89</v>
      </c>
      <c r="M512" s="323">
        <v>35.25</v>
      </c>
      <c r="N512" s="318">
        <f t="shared" si="115"/>
        <v>128.24</v>
      </c>
      <c r="O512" s="81">
        <f>IFERROR(VLOOKUP($G512,'321買'!A:E,3,0),"'沒有資料'")</f>
        <v>6</v>
      </c>
      <c r="P512" s="380">
        <f>IFERROR(VLOOKUP($G512,'321買'!$A:$G,7,0),"'沒有資料'")</f>
        <v>499</v>
      </c>
      <c r="Q512" s="245" t="s">
        <v>3817</v>
      </c>
      <c r="R512" s="297">
        <f>IFERROR(RANK(VLOOKUP($G512,連買!$A:$D,4,0),連買!$D:$D,0),"'沒有資料'")</f>
        <v>1575</v>
      </c>
      <c r="S512" s="34">
        <v>1.2</v>
      </c>
      <c r="T512" s="353">
        <f t="shared" si="110"/>
        <v>8.0808080808080808E-3</v>
      </c>
      <c r="U512" s="57">
        <v>4.2699999999999996</v>
      </c>
      <c r="V512" s="36">
        <f>RTD("money.excel",,"2231","Price")</f>
        <v>148.5</v>
      </c>
      <c r="W512" s="66"/>
      <c r="X512" s="15">
        <f t="shared" si="111"/>
        <v>148.5</v>
      </c>
      <c r="Y512" s="3" t="e">
        <f t="shared" si="112"/>
        <v>#DIV/0!</v>
      </c>
      <c r="Z512" s="413" t="s">
        <v>1801</v>
      </c>
      <c r="AA512" s="161">
        <v>0</v>
      </c>
      <c r="AB512" s="409">
        <v>0</v>
      </c>
      <c r="AC512" s="259">
        <f t="shared" si="103"/>
        <v>0</v>
      </c>
      <c r="AD512" s="22" t="s">
        <v>165</v>
      </c>
      <c r="AG512" s="33">
        <f t="shared" si="113"/>
        <v>0</v>
      </c>
      <c r="AH512" s="120" t="s">
        <v>2975</v>
      </c>
      <c r="AI512" s="63">
        <f t="shared" si="114"/>
        <v>1.7851239669421488E-3</v>
      </c>
      <c r="AJ512" s="307">
        <f>RTD("money.excel",,$G512,"PredictVolume")</f>
        <v>216</v>
      </c>
      <c r="AK512" s="339"/>
    </row>
    <row r="513" spans="1:37">
      <c r="A513" s="415">
        <v>6.03</v>
      </c>
      <c r="B513" s="79">
        <v>67</v>
      </c>
      <c r="C513" s="79">
        <v>108</v>
      </c>
      <c r="D513" s="79">
        <v>31</v>
      </c>
      <c r="E513" s="79">
        <v>5</v>
      </c>
      <c r="F513" s="57">
        <v>21.5</v>
      </c>
      <c r="G513" s="79">
        <v>2233</v>
      </c>
      <c r="H513" s="8" t="s">
        <v>303</v>
      </c>
      <c r="I513" s="22" t="s">
        <v>154</v>
      </c>
      <c r="J513" s="323">
        <v>23.94</v>
      </c>
      <c r="K513" s="73">
        <v>18.91</v>
      </c>
      <c r="L513" s="73">
        <v>17.18</v>
      </c>
      <c r="M513" s="323">
        <v>9.84</v>
      </c>
      <c r="N513" s="318">
        <f t="shared" si="115"/>
        <v>69.87</v>
      </c>
      <c r="O513" s="81">
        <f>IFERROR(VLOOKUP($G513,'321買'!A:E,3,0),"'沒有資料'")</f>
        <v>48</v>
      </c>
      <c r="P513" s="380">
        <f>IFERROR(VLOOKUP($G513,'321買'!$A:$G,7,0),"'沒有資料'")</f>
        <v>74</v>
      </c>
      <c r="Q513" s="245" t="s">
        <v>5088</v>
      </c>
      <c r="R513" s="297">
        <f>IFERROR(RANK(VLOOKUP($G513,連買!$A:$D,4,0),連買!$D:$D,0),"'沒有資料'")</f>
        <v>162</v>
      </c>
      <c r="S513" s="66">
        <v>3.74</v>
      </c>
      <c r="T513" s="353">
        <f t="shared" si="110"/>
        <v>3.3542600896860987E-2</v>
      </c>
      <c r="U513" s="95">
        <v>9.02</v>
      </c>
      <c r="V513" s="36">
        <f>RTD("money.excel",,"2233","Price")</f>
        <v>111.5</v>
      </c>
      <c r="W513" s="66"/>
      <c r="X513" s="15">
        <f t="shared" si="111"/>
        <v>111.5</v>
      </c>
      <c r="Y513" s="3" t="e">
        <f t="shared" si="112"/>
        <v>#DIV/0!</v>
      </c>
      <c r="Z513" s="413" t="s">
        <v>1997</v>
      </c>
      <c r="AA513" s="161">
        <v>0</v>
      </c>
      <c r="AB513" s="409">
        <v>0</v>
      </c>
      <c r="AC513" s="259">
        <f t="shared" si="103"/>
        <v>0</v>
      </c>
      <c r="AD513" s="22" t="s">
        <v>154</v>
      </c>
      <c r="AG513" s="33">
        <f t="shared" si="113"/>
        <v>0</v>
      </c>
      <c r="AH513" s="120" t="s">
        <v>2976</v>
      </c>
      <c r="AI513" s="63">
        <f t="shared" si="114"/>
        <v>2.3084577114427862E-2</v>
      </c>
      <c r="AJ513" s="307">
        <f>RTD("money.excel",,$G513,"PredictVolume")</f>
        <v>1392</v>
      </c>
      <c r="AK513" s="339">
        <v>9.94</v>
      </c>
    </row>
    <row r="514" spans="1:37">
      <c r="A514" s="416">
        <v>4.6399999999999997</v>
      </c>
      <c r="B514" s="91">
        <v>-87</v>
      </c>
      <c r="C514" s="91">
        <v>-83</v>
      </c>
      <c r="D514" s="91">
        <v>1</v>
      </c>
      <c r="E514" s="91">
        <v>-7</v>
      </c>
      <c r="F514" s="6">
        <v>8.57</v>
      </c>
      <c r="G514" s="79">
        <v>2236</v>
      </c>
      <c r="H514" s="8" t="s">
        <v>303</v>
      </c>
      <c r="I514" s="22" t="s">
        <v>578</v>
      </c>
      <c r="J514" s="73">
        <v>79</v>
      </c>
      <c r="K514" s="73">
        <v>73.459999999999994</v>
      </c>
      <c r="L514" s="73">
        <v>10.7</v>
      </c>
      <c r="N514" s="318">
        <f t="shared" si="115"/>
        <v>163.15999999999997</v>
      </c>
      <c r="O514" s="81">
        <f>IFERROR(VLOOKUP($G514,'321買'!A:E,3,0),"'沒有資料'")</f>
        <v>0</v>
      </c>
      <c r="P514" s="380">
        <f>IFERROR(VLOOKUP($G514,'321買'!$A:$G,7,0),"'沒有資料'")</f>
        <v>911</v>
      </c>
      <c r="R514" s="297">
        <f>IFERROR(RANK(VLOOKUP($G514,連買!$A:$D,4,0),連買!$D:$D,0),"'沒有資料'")</f>
        <v>899</v>
      </c>
      <c r="S514" s="34">
        <v>0.37</v>
      </c>
      <c r="T514" s="353">
        <f t="shared" si="110"/>
        <v>1.4176245210727969E-2</v>
      </c>
      <c r="U514" s="57">
        <v>0.71</v>
      </c>
      <c r="V514" s="13">
        <f>RTD("money.excel",,"2236","Price")</f>
        <v>26.1</v>
      </c>
      <c r="W514" s="66"/>
      <c r="X514" s="15">
        <f t="shared" si="111"/>
        <v>26.1</v>
      </c>
      <c r="Y514" s="3" t="e">
        <f t="shared" si="112"/>
        <v>#DIV/0!</v>
      </c>
      <c r="AA514" s="161">
        <v>0</v>
      </c>
      <c r="AB514" s="409">
        <v>0</v>
      </c>
      <c r="AC514" s="259">
        <f t="shared" si="103"/>
        <v>0</v>
      </c>
      <c r="AD514" s="22" t="s">
        <v>578</v>
      </c>
      <c r="AG514" s="33">
        <f t="shared" si="113"/>
        <v>0</v>
      </c>
      <c r="AH514" s="43" t="s">
        <v>2977</v>
      </c>
      <c r="AI514" s="63">
        <f t="shared" si="114"/>
        <v>6.03448275862069E-4</v>
      </c>
      <c r="AJ514" s="307">
        <f>RTD("money.excel",,$G514,"PredictVolume")</f>
        <v>28</v>
      </c>
      <c r="AK514" s="339"/>
    </row>
    <row r="515" spans="1:37">
      <c r="A515" s="416">
        <v>11.8</v>
      </c>
      <c r="B515" s="79">
        <v>2</v>
      </c>
      <c r="C515" s="80">
        <v>-46</v>
      </c>
      <c r="D515" s="79">
        <v>6</v>
      </c>
      <c r="E515" s="80">
        <v>-25</v>
      </c>
      <c r="F515" s="6">
        <v>2.81</v>
      </c>
      <c r="G515" s="79">
        <v>2239</v>
      </c>
      <c r="H515" s="8" t="s">
        <v>303</v>
      </c>
      <c r="I515" s="22" t="s">
        <v>961</v>
      </c>
      <c r="J515" s="323">
        <v>76.930000000000007</v>
      </c>
      <c r="K515" s="323">
        <v>75.97</v>
      </c>
      <c r="L515" s="323">
        <v>4.9400000000000004</v>
      </c>
      <c r="M515" s="323">
        <v>39.96</v>
      </c>
      <c r="N515" s="73">
        <f t="shared" si="115"/>
        <v>197.8</v>
      </c>
      <c r="O515" s="81">
        <f>IFERROR(VLOOKUP($G515,'321買'!A:E,3,0),"'沒有資料'")</f>
        <v>1</v>
      </c>
      <c r="P515" s="380">
        <f>IFERROR(VLOOKUP($G515,'321買'!$A:$G,7,0),"'沒有資料'")</f>
        <v>783</v>
      </c>
      <c r="Q515" s="245" t="s">
        <v>3816</v>
      </c>
      <c r="R515" s="297">
        <f>IFERROR(RANK(VLOOKUP($G515,連買!$A:$D,4,0),連買!$D:$D,0),"'沒有資料'")</f>
        <v>497</v>
      </c>
      <c r="S515" s="34">
        <v>1.85</v>
      </c>
      <c r="T515" s="353">
        <f t="shared" si="110"/>
        <v>2.6203966005665727E-2</v>
      </c>
      <c r="U515" s="57">
        <v>2.15</v>
      </c>
      <c r="V515" s="13">
        <f>RTD("money.excel",,"2239","Price")</f>
        <v>70.599999999999994</v>
      </c>
      <c r="W515" s="66"/>
      <c r="X515" s="15">
        <f t="shared" si="111"/>
        <v>70.599999999999994</v>
      </c>
      <c r="Y515" s="3" t="e">
        <f t="shared" si="112"/>
        <v>#DIV/0!</v>
      </c>
      <c r="Z515" s="413" t="s">
        <v>1801</v>
      </c>
      <c r="AA515" s="161">
        <v>0</v>
      </c>
      <c r="AB515" s="409">
        <v>0</v>
      </c>
      <c r="AC515" s="259">
        <f t="shared" si="103"/>
        <v>0</v>
      </c>
      <c r="AD515" s="22" t="s">
        <v>961</v>
      </c>
      <c r="AG515" s="33">
        <f t="shared" si="113"/>
        <v>0</v>
      </c>
      <c r="AH515" s="43" t="s">
        <v>2124</v>
      </c>
      <c r="AI515" s="63">
        <f t="shared" si="114"/>
        <v>1.1864406779661017E-4</v>
      </c>
      <c r="AJ515" s="307">
        <f>RTD("money.excel",,$G515,"PredictVolume")</f>
        <v>14</v>
      </c>
      <c r="AK515" s="339">
        <v>2.69</v>
      </c>
    </row>
    <row r="516" spans="1:37">
      <c r="A516" s="416">
        <v>4.59</v>
      </c>
      <c r="B516" s="80">
        <v>-117</v>
      </c>
      <c r="C516" s="80">
        <v>-227</v>
      </c>
      <c r="D516" s="93">
        <v>8664</v>
      </c>
      <c r="E516" s="93">
        <v>1004</v>
      </c>
      <c r="F516" s="6">
        <v>-47.48</v>
      </c>
      <c r="G516" s="79">
        <v>2243</v>
      </c>
      <c r="H516" s="8" t="s">
        <v>303</v>
      </c>
      <c r="I516" s="22" t="s">
        <v>962</v>
      </c>
      <c r="J516" s="73">
        <v>64.39</v>
      </c>
      <c r="K516" s="73">
        <v>44.13</v>
      </c>
      <c r="L516" s="73">
        <v>3.74</v>
      </c>
      <c r="N516" s="318">
        <f t="shared" si="115"/>
        <v>112.26</v>
      </c>
      <c r="O516" s="81">
        <f>IFERROR(VLOOKUP($G516,'321買'!A:E,3,0),"'沒有資料'")</f>
        <v>3</v>
      </c>
      <c r="P516" s="380">
        <f>IFERROR(VLOOKUP($G516,'321買'!$A:$G,7,0),"'沒有資料'")</f>
        <v>636</v>
      </c>
      <c r="R516" s="297">
        <f>IFERROR(RANK(VLOOKUP($G516,連買!$A:$D,4,0),連買!$D:$D,0),"'沒有資料'")</f>
        <v>1495</v>
      </c>
      <c r="S516" s="34">
        <v>0</v>
      </c>
      <c r="T516" s="353">
        <f t="shared" si="110"/>
        <v>0</v>
      </c>
      <c r="U516" s="57">
        <v>-6.44</v>
      </c>
      <c r="V516" s="13">
        <f>RTD("money.excel",,"2243","Price")</f>
        <v>16.649999999999999</v>
      </c>
      <c r="W516" s="66"/>
      <c r="X516" s="15">
        <f t="shared" si="111"/>
        <v>16.649999999999999</v>
      </c>
      <c r="Y516" s="3" t="e">
        <f t="shared" si="112"/>
        <v>#DIV/0!</v>
      </c>
      <c r="AA516" s="161">
        <v>0</v>
      </c>
      <c r="AB516" s="409">
        <v>0</v>
      </c>
      <c r="AC516" s="259">
        <f t="shared" si="103"/>
        <v>0</v>
      </c>
      <c r="AD516" s="22" t="s">
        <v>962</v>
      </c>
      <c r="AG516" s="33">
        <f t="shared" si="113"/>
        <v>0</v>
      </c>
      <c r="AH516" s="43" t="s">
        <v>2978</v>
      </c>
      <c r="AI516" s="63">
        <f t="shared" si="114"/>
        <v>4.2505446623093683E-2</v>
      </c>
      <c r="AJ516" s="307">
        <f>RTD("money.excel",,$G516,"PredictVolume")</f>
        <v>1951</v>
      </c>
      <c r="AK516" s="339"/>
    </row>
    <row r="517" spans="1:37">
      <c r="A517" s="416">
        <v>8.07</v>
      </c>
      <c r="B517" s="79">
        <v>48</v>
      </c>
      <c r="C517" s="79">
        <v>29</v>
      </c>
      <c r="D517" s="79">
        <v>20</v>
      </c>
      <c r="E517" s="79">
        <v>63</v>
      </c>
      <c r="F517" s="6">
        <v>2.74</v>
      </c>
      <c r="G517" s="79">
        <v>2247</v>
      </c>
      <c r="H517" s="8" t="s">
        <v>303</v>
      </c>
      <c r="I517" s="22" t="s">
        <v>2172</v>
      </c>
      <c r="J517" s="323">
        <v>74.87</v>
      </c>
      <c r="K517" s="73">
        <v>0.14000000000000001</v>
      </c>
      <c r="N517" s="318">
        <f t="shared" si="115"/>
        <v>75.010000000000005</v>
      </c>
      <c r="O517" s="81">
        <f>IFERROR(VLOOKUP($G517,'321買'!A:E,3,0),"'沒有資料'")</f>
        <v>0</v>
      </c>
      <c r="P517" s="380">
        <f>IFERROR(VLOOKUP($G517,'321買'!$A:$G,7,0),"'沒有資料'")</f>
        <v>911</v>
      </c>
      <c r="R517" s="297">
        <f>IFERROR(RANK(VLOOKUP($G517,連買!$A:$D,4,0),連買!$D:$D,0),"'沒有資料'")</f>
        <v>1704</v>
      </c>
      <c r="S517" s="66">
        <v>11</v>
      </c>
      <c r="T517" s="353">
        <f t="shared" si="110"/>
        <v>5.2505966587112173E-2</v>
      </c>
      <c r="U517" s="95">
        <v>14.82</v>
      </c>
      <c r="V517" s="36">
        <f>RTD("money.excel",,"2247","Price")</f>
        <v>209.5</v>
      </c>
      <c r="W517" s="66"/>
      <c r="X517" s="15">
        <f t="shared" si="111"/>
        <v>209.5</v>
      </c>
      <c r="Y517" s="3" t="e">
        <f t="shared" si="112"/>
        <v>#DIV/0!</v>
      </c>
      <c r="Z517" s="413" t="s">
        <v>1997</v>
      </c>
      <c r="AA517" s="161">
        <v>0</v>
      </c>
      <c r="AB517" s="409">
        <v>0</v>
      </c>
      <c r="AC517" s="259">
        <f t="shared" ref="AC517:AC580" si="116">AA517-AB517</f>
        <v>0</v>
      </c>
      <c r="AD517" s="22" t="s">
        <v>2172</v>
      </c>
      <c r="AG517" s="33">
        <f t="shared" si="113"/>
        <v>0</v>
      </c>
      <c r="AH517" s="43" t="s">
        <v>2173</v>
      </c>
      <c r="AI517" s="63">
        <f t="shared" si="114"/>
        <v>3.7174721189591077E-4</v>
      </c>
      <c r="AJ517" s="307">
        <f>RTD("money.excel",,$G517,"PredictVolume")</f>
        <v>30</v>
      </c>
      <c r="AK517" s="339"/>
    </row>
    <row r="518" spans="1:37">
      <c r="A518" s="416">
        <v>2.7</v>
      </c>
      <c r="B518" s="79">
        <v>59</v>
      </c>
      <c r="C518" s="79">
        <v>54</v>
      </c>
      <c r="D518" s="79">
        <v>7</v>
      </c>
      <c r="E518" s="80">
        <v>-16</v>
      </c>
      <c r="F518" s="6">
        <v>5.72</v>
      </c>
      <c r="G518" s="79">
        <v>2250</v>
      </c>
      <c r="H518" s="8" t="s">
        <v>303</v>
      </c>
      <c r="I518" s="22" t="s">
        <v>3574</v>
      </c>
      <c r="J518" s="73">
        <v>60.04</v>
      </c>
      <c r="K518" s="323">
        <v>5.72</v>
      </c>
      <c r="L518" s="73">
        <v>4.6100000000000003</v>
      </c>
      <c r="M518" s="73">
        <v>15.5</v>
      </c>
      <c r="N518" s="318">
        <f t="shared" si="115"/>
        <v>85.87</v>
      </c>
      <c r="O518" s="81">
        <f>IFERROR(VLOOKUP($G518,'321買'!A:E,3,0),"'沒有資料'")</f>
        <v>2</v>
      </c>
      <c r="P518" s="380">
        <f>IFERROR(VLOOKUP($G518,'321買'!$A:$G,7,0),"'沒有資料'")</f>
        <v>706</v>
      </c>
      <c r="Q518" s="245" t="s">
        <v>3816</v>
      </c>
      <c r="R518" s="297">
        <f>IFERROR(RANK(VLOOKUP($G518,連買!$A:$D,4,0),連買!$D:$D,0),"'沒有資料'")</f>
        <v>451</v>
      </c>
      <c r="S518" s="66">
        <v>3</v>
      </c>
      <c r="T518" s="353">
        <f t="shared" si="110"/>
        <v>3.3594624860022397E-2</v>
      </c>
      <c r="U518" s="57">
        <v>6.57</v>
      </c>
      <c r="V518" s="36">
        <f>RTD("money.excel",,"2250","Price")</f>
        <v>89.3</v>
      </c>
      <c r="W518" s="66"/>
      <c r="X518" s="15">
        <f t="shared" si="111"/>
        <v>89.3</v>
      </c>
      <c r="Y518" s="159" t="e">
        <f t="shared" si="112"/>
        <v>#DIV/0!</v>
      </c>
      <c r="Z518" s="413" t="s">
        <v>1831</v>
      </c>
      <c r="AA518" s="161">
        <v>0</v>
      </c>
      <c r="AB518" s="409">
        <v>0</v>
      </c>
      <c r="AC518" s="259">
        <f t="shared" si="116"/>
        <v>0</v>
      </c>
      <c r="AD518" s="22" t="s">
        <v>3574</v>
      </c>
      <c r="AG518" s="33">
        <f t="shared" si="113"/>
        <v>0</v>
      </c>
      <c r="AH518" s="43" t="s">
        <v>3571</v>
      </c>
      <c r="AI518" s="63">
        <f t="shared" si="114"/>
        <v>8.8888888888888893E-4</v>
      </c>
      <c r="AJ518" s="307">
        <f>RTD("money.excel",,$G518,"PredictVolume")</f>
        <v>24</v>
      </c>
      <c r="AK518" s="339"/>
    </row>
    <row r="519" spans="1:37">
      <c r="A519" s="416">
        <v>11.8</v>
      </c>
      <c r="B519" s="79">
        <v>109</v>
      </c>
      <c r="C519" s="79">
        <v>139</v>
      </c>
      <c r="D519" s="79">
        <v>3</v>
      </c>
      <c r="E519" s="79">
        <v>49</v>
      </c>
      <c r="F519" s="6">
        <v>3.32</v>
      </c>
      <c r="G519" s="79">
        <v>2497</v>
      </c>
      <c r="H519" s="8" t="s">
        <v>303</v>
      </c>
      <c r="I519" s="22" t="s">
        <v>243</v>
      </c>
      <c r="J519" s="323">
        <v>55.89</v>
      </c>
      <c r="K519" s="323">
        <v>2.02</v>
      </c>
      <c r="L519" s="73">
        <v>27.32</v>
      </c>
      <c r="M519" s="323">
        <v>24.75</v>
      </c>
      <c r="N519" s="318">
        <f t="shared" si="115"/>
        <v>109.98</v>
      </c>
      <c r="O519" s="81">
        <f>IFERROR(VLOOKUP($G519,'321買'!A:E,3,0),"'沒有資料'")</f>
        <v>28</v>
      </c>
      <c r="P519" s="380">
        <f>IFERROR(VLOOKUP($G519,'321買'!$A:$G,7,0),"'沒有資料'")</f>
        <v>156</v>
      </c>
      <c r="Q519" s="245" t="s">
        <v>5063</v>
      </c>
      <c r="R519" s="297">
        <f>IFERROR(RANK(VLOOKUP($G519,連買!$A:$D,4,0),連買!$D:$D,0),"'沒有資料'")</f>
        <v>489</v>
      </c>
      <c r="S519" s="34">
        <v>0</v>
      </c>
      <c r="T519" s="353">
        <f t="shared" si="110"/>
        <v>0</v>
      </c>
      <c r="U519" s="57">
        <v>0.16</v>
      </c>
      <c r="V519" s="36">
        <f>RTD("money.excel",,"2497","Price")</f>
        <v>102</v>
      </c>
      <c r="W519" s="66"/>
      <c r="X519" s="15">
        <f t="shared" si="111"/>
        <v>102</v>
      </c>
      <c r="Y519" s="3" t="e">
        <f t="shared" si="112"/>
        <v>#DIV/0!</v>
      </c>
      <c r="Z519" s="413" t="s">
        <v>1801</v>
      </c>
      <c r="AA519" s="161">
        <v>0</v>
      </c>
      <c r="AB519" s="409">
        <v>0</v>
      </c>
      <c r="AC519" s="259">
        <f t="shared" si="116"/>
        <v>0</v>
      </c>
      <c r="AD519" s="22" t="s">
        <v>243</v>
      </c>
      <c r="AG519" s="33">
        <f t="shared" si="113"/>
        <v>0</v>
      </c>
      <c r="AH519" s="122" t="s">
        <v>2299</v>
      </c>
      <c r="AI519" s="63">
        <f t="shared" si="114"/>
        <v>6.3372881355932206E-2</v>
      </c>
      <c r="AJ519" s="307">
        <f>RTD("money.excel",,$G519,"PredictVolume")</f>
        <v>7478</v>
      </c>
      <c r="AK519" s="339">
        <v>42.57</v>
      </c>
    </row>
    <row r="520" spans="1:37">
      <c r="A520" s="416">
        <v>10.6</v>
      </c>
      <c r="B520" s="79">
        <v>214</v>
      </c>
      <c r="C520" s="79">
        <v>165</v>
      </c>
      <c r="D520" s="80">
        <v>-35</v>
      </c>
      <c r="E520" s="80">
        <v>-28</v>
      </c>
      <c r="F520" s="6">
        <v>1.33</v>
      </c>
      <c r="G520" s="79">
        <v>3346</v>
      </c>
      <c r="H520" s="8" t="s">
        <v>303</v>
      </c>
      <c r="I520" s="22" t="s">
        <v>579</v>
      </c>
      <c r="J520" s="323">
        <v>28.88</v>
      </c>
      <c r="K520" s="323">
        <v>2.94</v>
      </c>
      <c r="L520" s="73">
        <v>23.69</v>
      </c>
      <c r="M520" s="323">
        <v>11.7</v>
      </c>
      <c r="N520" s="318">
        <f t="shared" si="115"/>
        <v>67.210000000000008</v>
      </c>
      <c r="O520" s="81">
        <f>IFERROR(VLOOKUP($G520,'321買'!A:E,3,0),"'沒有資料'")</f>
        <v>5</v>
      </c>
      <c r="P520" s="380">
        <f>IFERROR(VLOOKUP($G520,'321買'!$A:$G,7,0),"'沒有資料'")</f>
        <v>558</v>
      </c>
      <c r="R520" s="297">
        <f>IFERROR(RANK(VLOOKUP($G520,連買!$A:$D,4,0),連買!$D:$D,0),"'沒有資料'")</f>
        <v>450</v>
      </c>
      <c r="S520" s="34">
        <v>0.15</v>
      </c>
      <c r="T520" s="353">
        <f t="shared" si="110"/>
        <v>4.1436464088397788E-3</v>
      </c>
      <c r="U520" s="95">
        <v>1.36</v>
      </c>
      <c r="V520" s="36">
        <f>RTD("money.excel",,"3346","Price")</f>
        <v>36.200000000000003</v>
      </c>
      <c r="W520" s="66"/>
      <c r="X520" s="15">
        <f t="shared" si="111"/>
        <v>36.200000000000003</v>
      </c>
      <c r="Y520" s="3" t="e">
        <f t="shared" si="112"/>
        <v>#DIV/0!</v>
      </c>
      <c r="Z520" s="413" t="s">
        <v>1801</v>
      </c>
      <c r="AA520" s="161">
        <v>0</v>
      </c>
      <c r="AB520" s="409">
        <v>0</v>
      </c>
      <c r="AC520" s="259">
        <f t="shared" si="116"/>
        <v>0</v>
      </c>
      <c r="AD520" s="22" t="s">
        <v>579</v>
      </c>
      <c r="AG520" s="33">
        <f t="shared" si="113"/>
        <v>0</v>
      </c>
      <c r="AH520" s="43" t="s">
        <v>2242</v>
      </c>
      <c r="AI520" s="63">
        <f t="shared" si="114"/>
        <v>3.1792452830188681E-3</v>
      </c>
      <c r="AJ520" s="307">
        <f>RTD("money.excel",,$G520,"PredictVolume")</f>
        <v>337</v>
      </c>
      <c r="AK520" s="339">
        <v>65.78</v>
      </c>
    </row>
    <row r="521" spans="1:37">
      <c r="A521" s="415">
        <v>11.7</v>
      </c>
      <c r="B521" s="80">
        <v>-15</v>
      </c>
      <c r="C521" s="80">
        <v>-8</v>
      </c>
      <c r="D521" s="79">
        <v>21</v>
      </c>
      <c r="E521" s="79">
        <v>48</v>
      </c>
      <c r="F521" s="57">
        <v>16.43</v>
      </c>
      <c r="G521" s="79">
        <v>4551</v>
      </c>
      <c r="H521" s="8" t="s">
        <v>303</v>
      </c>
      <c r="I521" s="23" t="s">
        <v>240</v>
      </c>
      <c r="J521" s="323">
        <v>76.11</v>
      </c>
      <c r="K521" s="73">
        <v>63.15</v>
      </c>
      <c r="L521" s="323">
        <v>3.46</v>
      </c>
      <c r="N521" s="318">
        <f t="shared" si="115"/>
        <v>142.72</v>
      </c>
      <c r="O521" s="81">
        <f>IFERROR(VLOOKUP($G521,'321買'!A:E,3,0),"'沒有資料'")</f>
        <v>4</v>
      </c>
      <c r="P521" s="380">
        <f>IFERROR(VLOOKUP($G521,'321買'!$A:$G,7,0),"'沒有資料'")</f>
        <v>592</v>
      </c>
      <c r="R521" s="297">
        <f>IFERROR(RANK(VLOOKUP($G521,連買!$A:$D,4,0),連買!$D:$D,0),"'沒有資料'")</f>
        <v>1682</v>
      </c>
      <c r="S521" s="66">
        <v>4</v>
      </c>
      <c r="T521" s="353">
        <f t="shared" si="110"/>
        <v>2.7303754266211604E-2</v>
      </c>
      <c r="U521" s="57">
        <v>6.69</v>
      </c>
      <c r="V521" s="13">
        <f>RTD("money.excel",,"4551","Price")</f>
        <v>146.5</v>
      </c>
      <c r="W521" s="66"/>
      <c r="X521" s="15">
        <f t="shared" si="111"/>
        <v>146.5</v>
      </c>
      <c r="Y521" s="35" t="e">
        <f t="shared" si="112"/>
        <v>#DIV/0!</v>
      </c>
      <c r="Z521" s="413" t="s">
        <v>1997</v>
      </c>
      <c r="AA521" s="161">
        <v>0</v>
      </c>
      <c r="AB521" s="409">
        <v>0</v>
      </c>
      <c r="AC521" s="259">
        <f t="shared" si="116"/>
        <v>0</v>
      </c>
      <c r="AD521" s="23" t="s">
        <v>240</v>
      </c>
      <c r="AG521" s="33">
        <f t="shared" si="113"/>
        <v>0</v>
      </c>
      <c r="AH521" s="122" t="s">
        <v>2977</v>
      </c>
      <c r="AI521" s="63">
        <f t="shared" si="114"/>
        <v>8.1794871794871795E-3</v>
      </c>
      <c r="AJ521" s="307">
        <f>RTD("money.excel",,$G521,"PredictVolume")</f>
        <v>957</v>
      </c>
      <c r="AK521" s="339"/>
    </row>
    <row r="522" spans="1:37">
      <c r="A522" s="416">
        <v>3.98</v>
      </c>
      <c r="B522" s="79">
        <v>34</v>
      </c>
      <c r="C522" s="80">
        <v>-52</v>
      </c>
      <c r="D522" s="79">
        <v>1</v>
      </c>
      <c r="E522" s="80">
        <v>-28</v>
      </c>
      <c r="F522" s="6">
        <v>7.31</v>
      </c>
      <c r="G522" s="79">
        <v>4557</v>
      </c>
      <c r="H522" s="8" t="s">
        <v>303</v>
      </c>
      <c r="I522" s="22" t="s">
        <v>583</v>
      </c>
      <c r="J522" s="73">
        <v>54.47</v>
      </c>
      <c r="K522" s="323">
        <v>40.36</v>
      </c>
      <c r="L522" s="73">
        <v>7.87</v>
      </c>
      <c r="N522" s="318">
        <f t="shared" si="115"/>
        <v>102.7</v>
      </c>
      <c r="O522" s="81">
        <f>IFERROR(VLOOKUP($G522,'321買'!A:E,3,0),"'沒有資料'")</f>
        <v>0</v>
      </c>
      <c r="P522" s="380">
        <f>IFERROR(VLOOKUP($G522,'321買'!$A:$G,7,0),"'沒有資料'")</f>
        <v>911</v>
      </c>
      <c r="R522" s="297">
        <f>IFERROR(RANK(VLOOKUP($G522,連買!$A:$D,4,0),連買!$D:$D,0),"'沒有資料'")</f>
        <v>460</v>
      </c>
      <c r="S522" s="66">
        <v>3.5</v>
      </c>
      <c r="T522" s="353">
        <f t="shared" si="110"/>
        <v>4.3695380774032462E-2</v>
      </c>
      <c r="U522" s="95">
        <v>3.61</v>
      </c>
      <c r="V522" s="13">
        <f>RTD("money.excel",,"4557","Price")</f>
        <v>80.099999999999994</v>
      </c>
      <c r="W522" s="66"/>
      <c r="X522" s="15">
        <f t="shared" si="111"/>
        <v>80.099999999999994</v>
      </c>
      <c r="Y522" s="3" t="e">
        <f t="shared" si="112"/>
        <v>#DIV/0!</v>
      </c>
      <c r="Z522" s="413" t="s">
        <v>1831</v>
      </c>
      <c r="AA522" s="161">
        <v>0</v>
      </c>
      <c r="AB522" s="409">
        <v>0</v>
      </c>
      <c r="AC522" s="259">
        <f t="shared" si="116"/>
        <v>0</v>
      </c>
      <c r="AD522" s="22" t="s">
        <v>583</v>
      </c>
      <c r="AG522" s="33">
        <f t="shared" si="113"/>
        <v>0</v>
      </c>
      <c r="AH522" s="43" t="s">
        <v>2979</v>
      </c>
      <c r="AI522" s="63">
        <f t="shared" si="114"/>
        <v>2.0100502512562814E-4</v>
      </c>
      <c r="AJ522" s="307">
        <f>RTD("money.excel",,$G522,"PredictVolume")</f>
        <v>8</v>
      </c>
      <c r="AK522" s="339"/>
    </row>
    <row r="523" spans="1:37">
      <c r="A523" s="415">
        <v>3.39</v>
      </c>
      <c r="B523" s="80">
        <v>-37</v>
      </c>
      <c r="C523" s="80">
        <v>-33</v>
      </c>
      <c r="D523" s="80">
        <v>-20</v>
      </c>
      <c r="E523" s="80">
        <v>-8</v>
      </c>
      <c r="F523" s="57">
        <v>10.72</v>
      </c>
      <c r="G523" s="79">
        <v>4581</v>
      </c>
      <c r="H523" s="8" t="s">
        <v>303</v>
      </c>
      <c r="I523" s="22" t="s">
        <v>2000</v>
      </c>
      <c r="J523" s="323">
        <v>75.489999999999995</v>
      </c>
      <c r="K523" s="73">
        <v>29.09</v>
      </c>
      <c r="L523" s="323"/>
      <c r="N523" s="318">
        <f t="shared" si="115"/>
        <v>104.58</v>
      </c>
      <c r="O523" s="81">
        <f>IFERROR(VLOOKUP($G523,'321買'!A:E,3,0),"'沒有資料'")</f>
        <v>0</v>
      </c>
      <c r="P523" s="380">
        <f>IFERROR(VLOOKUP($G523,'321買'!$A:$G,7,0),"'沒有資料'")</f>
        <v>911</v>
      </c>
      <c r="R523" s="297">
        <f>IFERROR(RANK(VLOOKUP($G523,連買!$A:$D,4,0),連買!$D:$D,0),"'沒有資料'")</f>
        <v>1252</v>
      </c>
      <c r="S523" s="34">
        <v>2</v>
      </c>
      <c r="T523" s="353">
        <f t="shared" si="110"/>
        <v>5.6818181818181816E-2</v>
      </c>
      <c r="U523" s="95">
        <v>2.11</v>
      </c>
      <c r="V523" s="13">
        <f>RTD("money.excel",,"4581","Price")</f>
        <v>35.200000000000003</v>
      </c>
      <c r="W523" s="66"/>
      <c r="X523" s="15">
        <f t="shared" si="111"/>
        <v>35.200000000000003</v>
      </c>
      <c r="Y523" s="35" t="e">
        <f t="shared" si="112"/>
        <v>#DIV/0!</v>
      </c>
      <c r="Z523" s="413" t="s">
        <v>1801</v>
      </c>
      <c r="AA523" s="161">
        <v>0</v>
      </c>
      <c r="AB523" s="409">
        <v>0</v>
      </c>
      <c r="AC523" s="259">
        <f t="shared" si="116"/>
        <v>0</v>
      </c>
      <c r="AD523" s="22" t="s">
        <v>2000</v>
      </c>
      <c r="AG523" s="33">
        <f t="shared" si="113"/>
        <v>0</v>
      </c>
      <c r="AH523" s="122" t="s">
        <v>2980</v>
      </c>
      <c r="AI523" s="63">
        <f t="shared" si="114"/>
        <v>5.8997050147492629E-5</v>
      </c>
      <c r="AJ523" s="307">
        <f>RTD("money.excel",,$G523,"PredictVolume")</f>
        <v>2</v>
      </c>
      <c r="AK523" s="339"/>
    </row>
    <row r="524" spans="1:37">
      <c r="A524" s="416">
        <v>19.5</v>
      </c>
      <c r="B524" s="80">
        <v>-30</v>
      </c>
      <c r="C524" s="80">
        <v>-26</v>
      </c>
      <c r="D524" s="79">
        <v>27</v>
      </c>
      <c r="E524" s="79">
        <v>20</v>
      </c>
      <c r="F524" s="6">
        <v>4.99</v>
      </c>
      <c r="G524" s="79">
        <v>6288</v>
      </c>
      <c r="H524" s="8" t="s">
        <v>303</v>
      </c>
      <c r="I524" s="22" t="s">
        <v>450</v>
      </c>
      <c r="J524" s="323">
        <v>46.74</v>
      </c>
      <c r="K524" s="73">
        <v>1.66</v>
      </c>
      <c r="L524" s="73">
        <v>19.04</v>
      </c>
      <c r="N524" s="318">
        <f t="shared" si="115"/>
        <v>67.44</v>
      </c>
      <c r="O524" s="81">
        <f>IFERROR(VLOOKUP($G524,'321買'!A:E,3,0),"'沒有資料'")</f>
        <v>2</v>
      </c>
      <c r="P524" s="380">
        <f>IFERROR(VLOOKUP($G524,'321買'!$A:$G,7,0),"'沒有資料'")</f>
        <v>636</v>
      </c>
      <c r="R524" s="297">
        <f>IFERROR(RANK(VLOOKUP($G524,連買!$A:$D,4,0),連買!$D:$D,0),"'沒有資料'")</f>
        <v>711</v>
      </c>
      <c r="S524" s="34">
        <v>0.7</v>
      </c>
      <c r="T524" s="353">
        <f t="shared" si="110"/>
        <v>2.8806584362139915E-2</v>
      </c>
      <c r="U524" s="95">
        <v>0.85</v>
      </c>
      <c r="V524" s="36">
        <f>RTD("money.excel",,"6288","Price")</f>
        <v>24.3</v>
      </c>
      <c r="W524" s="66"/>
      <c r="X524" s="15">
        <f t="shared" si="111"/>
        <v>24.3</v>
      </c>
      <c r="Y524" s="35" t="e">
        <f t="shared" si="112"/>
        <v>#DIV/0!</v>
      </c>
      <c r="Z524" s="413" t="s">
        <v>1801</v>
      </c>
      <c r="AA524" s="161">
        <v>0</v>
      </c>
      <c r="AB524" s="409">
        <v>0</v>
      </c>
      <c r="AC524" s="259">
        <f t="shared" si="116"/>
        <v>0</v>
      </c>
      <c r="AD524" s="22" t="s">
        <v>450</v>
      </c>
      <c r="AG524" s="33">
        <f t="shared" si="113"/>
        <v>0</v>
      </c>
      <c r="AH524" s="43" t="s">
        <v>2164</v>
      </c>
      <c r="AI524" s="63">
        <f t="shared" si="114"/>
        <v>2.4307692307692307E-3</v>
      </c>
      <c r="AJ524" s="307">
        <f>RTD("money.excel",,$G524,"PredictVolume")</f>
        <v>474</v>
      </c>
      <c r="AK524" s="339"/>
    </row>
    <row r="525" spans="1:37">
      <c r="A525" s="416">
        <v>16.5</v>
      </c>
      <c r="B525" s="80">
        <v>-39</v>
      </c>
      <c r="C525" s="80">
        <v>-31</v>
      </c>
      <c r="D525" s="79">
        <v>7</v>
      </c>
      <c r="E525" s="79">
        <v>4</v>
      </c>
      <c r="F525" s="6">
        <v>6.44</v>
      </c>
      <c r="G525" s="79">
        <v>6605</v>
      </c>
      <c r="H525" s="8" t="s">
        <v>303</v>
      </c>
      <c r="I525" s="22" t="s">
        <v>4361</v>
      </c>
      <c r="J525" s="73">
        <v>62.04</v>
      </c>
      <c r="K525" s="73">
        <v>12.49</v>
      </c>
      <c r="L525" s="73">
        <v>1.47</v>
      </c>
      <c r="N525" s="318">
        <f t="shared" si="115"/>
        <v>76</v>
      </c>
      <c r="O525" s="81">
        <f>IFERROR(VLOOKUP($G525,'321買'!A:E,3,0),"'沒有資料'")</f>
        <v>0</v>
      </c>
      <c r="P525" s="380">
        <f>IFERROR(VLOOKUP($G525,'321買'!$A:$G,7,0),"'沒有資料'")</f>
        <v>911</v>
      </c>
      <c r="R525" s="297">
        <f>IFERROR(RANK(VLOOKUP($G525,連買!$A:$D,4,0),連買!$D:$D,0),"'沒有資料'")</f>
        <v>594</v>
      </c>
      <c r="S525" s="34">
        <v>1.5</v>
      </c>
      <c r="T525" s="353">
        <f t="shared" si="110"/>
        <v>2.5423728813559324E-2</v>
      </c>
      <c r="U525" s="95">
        <v>3.56</v>
      </c>
      <c r="V525" s="36">
        <f>RTD("money.excel",,"6605","Price")</f>
        <v>59</v>
      </c>
      <c r="W525" s="66"/>
      <c r="X525" s="15">
        <f t="shared" si="111"/>
        <v>59</v>
      </c>
      <c r="Y525" s="3" t="e">
        <f t="shared" si="112"/>
        <v>#DIV/0!</v>
      </c>
      <c r="Z525" s="413" t="s">
        <v>1801</v>
      </c>
      <c r="AA525" s="161">
        <v>0</v>
      </c>
      <c r="AB525" s="409">
        <v>0</v>
      </c>
      <c r="AC525" s="259">
        <f t="shared" si="116"/>
        <v>0</v>
      </c>
      <c r="AD525" s="22" t="s">
        <v>4361</v>
      </c>
      <c r="AG525" s="33">
        <f t="shared" si="113"/>
        <v>0</v>
      </c>
      <c r="AH525" s="120" t="s">
        <v>2242</v>
      </c>
      <c r="AI525" s="63">
        <f t="shared" si="114"/>
        <v>1.3515151515151515E-3</v>
      </c>
      <c r="AJ525" s="307">
        <f>RTD("money.excel",,$G525,"PredictVolume")</f>
        <v>223</v>
      </c>
      <c r="AK525" s="339"/>
    </row>
    <row r="526" spans="1:37">
      <c r="A526" s="146"/>
      <c r="B526" s="80"/>
      <c r="C526" s="80"/>
      <c r="D526" s="79"/>
      <c r="E526" s="79"/>
      <c r="F526" s="6"/>
      <c r="G526" s="79"/>
      <c r="H526" s="8"/>
      <c r="I526" s="22"/>
      <c r="J526" s="73"/>
      <c r="K526" s="73"/>
      <c r="N526" s="318"/>
      <c r="O526" s="26"/>
      <c r="S526" s="34"/>
      <c r="U526" s="95"/>
      <c r="V526" s="36"/>
      <c r="W526" s="66"/>
      <c r="X526" s="15"/>
      <c r="Y526" s="3"/>
      <c r="AA526" s="2"/>
      <c r="AD526" s="22"/>
      <c r="AG526" s="33"/>
      <c r="AH526" s="120"/>
      <c r="AI526" s="63"/>
      <c r="AJ526" s="307"/>
      <c r="AK526" s="339"/>
    </row>
    <row r="527" spans="1:37">
      <c r="A527" s="130" t="s">
        <v>1732</v>
      </c>
      <c r="B527" s="91" t="s">
        <v>1588</v>
      </c>
      <c r="C527" s="91" t="s">
        <v>1589</v>
      </c>
      <c r="D527" s="91" t="s">
        <v>1590</v>
      </c>
      <c r="E527" s="91" t="s">
        <v>1591</v>
      </c>
      <c r="F527" s="8" t="s">
        <v>1066</v>
      </c>
      <c r="G527" s="27" t="s">
        <v>428</v>
      </c>
      <c r="H527" s="55" t="s">
        <v>322</v>
      </c>
      <c r="I527" s="8" t="s">
        <v>345</v>
      </c>
      <c r="J527" s="317" t="s">
        <v>1467</v>
      </c>
      <c r="K527" s="317" t="s">
        <v>1157</v>
      </c>
      <c r="L527" s="317" t="s">
        <v>284</v>
      </c>
      <c r="M527" s="317" t="s">
        <v>1059</v>
      </c>
      <c r="N527" s="317" t="s">
        <v>5048</v>
      </c>
      <c r="O527" s="26" t="s">
        <v>5107</v>
      </c>
      <c r="P527" s="373" t="s">
        <v>5059</v>
      </c>
      <c r="Q527" s="245" t="s">
        <v>5087</v>
      </c>
      <c r="R527" s="345" t="s">
        <v>5059</v>
      </c>
      <c r="S527" s="10" t="s">
        <v>66</v>
      </c>
      <c r="T527" s="351" t="s">
        <v>5076</v>
      </c>
      <c r="U527" s="68" t="s">
        <v>3493</v>
      </c>
      <c r="V527" s="28" t="s">
        <v>2</v>
      </c>
      <c r="W527" s="17" t="s">
        <v>1405</v>
      </c>
      <c r="X527" s="14" t="s">
        <v>5</v>
      </c>
      <c r="Y527" s="21" t="s">
        <v>3</v>
      </c>
      <c r="Z527" s="97" t="s">
        <v>6627</v>
      </c>
      <c r="AA527" s="406" t="s">
        <v>8647</v>
      </c>
      <c r="AB527" s="407" t="s">
        <v>8648</v>
      </c>
      <c r="AC527" s="408" t="s">
        <v>8649</v>
      </c>
      <c r="AD527" s="8" t="s">
        <v>345</v>
      </c>
      <c r="AE527" s="71" t="s">
        <v>1406</v>
      </c>
      <c r="AF527" s="72" t="s">
        <v>1163</v>
      </c>
      <c r="AG527" s="32" t="s">
        <v>1164</v>
      </c>
      <c r="AH527" s="25" t="s">
        <v>8650</v>
      </c>
      <c r="AI527" s="8" t="s">
        <v>3852</v>
      </c>
      <c r="AJ527" s="50" t="s">
        <v>3586</v>
      </c>
      <c r="AK527" s="339" t="s">
        <v>5038</v>
      </c>
    </row>
    <row r="528" spans="1:37">
      <c r="A528" s="416">
        <v>16.600000000000001</v>
      </c>
      <c r="B528" s="91">
        <v>59</v>
      </c>
      <c r="C528" s="140">
        <v>2663</v>
      </c>
      <c r="D528" s="91">
        <v>-30</v>
      </c>
      <c r="E528" s="91">
        <v>68</v>
      </c>
      <c r="F528" s="6">
        <v>7.36</v>
      </c>
      <c r="G528" s="79">
        <v>2302</v>
      </c>
      <c r="H528" s="17" t="s">
        <v>3254</v>
      </c>
      <c r="I528" s="22" t="s">
        <v>4362</v>
      </c>
      <c r="J528" s="73">
        <v>66.06</v>
      </c>
      <c r="K528" s="73">
        <v>4.41</v>
      </c>
      <c r="L528" s="73">
        <v>0</v>
      </c>
      <c r="N528" s="318">
        <f>J528+K528+L528+M528</f>
        <v>70.47</v>
      </c>
      <c r="O528" s="81">
        <f>IFERROR(VLOOKUP($G528,'321買'!A:E,3,0),"'沒有資料'")</f>
        <v>2</v>
      </c>
      <c r="P528" s="380">
        <f>IFERROR(VLOOKUP($G528,'321買'!$A:$G,7,0),"'沒有資料'")</f>
        <v>706</v>
      </c>
      <c r="R528" s="297">
        <f>IFERROR(RANK(VLOOKUP($G528,連買!$A:$D,4,0),連買!$D:$D,0),"'沒有資料'")</f>
        <v>866</v>
      </c>
      <c r="S528" s="34">
        <v>0.3</v>
      </c>
      <c r="T528" s="353">
        <f t="shared" ref="T528:T560" si="117">S528/V528</f>
        <v>1.9108280254777069E-2</v>
      </c>
      <c r="U528" s="95">
        <v>0.64</v>
      </c>
      <c r="V528" s="36">
        <f>RTD("money.excel",,"2302","Price")</f>
        <v>15.7</v>
      </c>
      <c r="W528" s="66"/>
      <c r="X528" s="15">
        <f t="shared" ref="X528:X591" si="118">V528-W528</f>
        <v>15.7</v>
      </c>
      <c r="Y528" s="3" t="e">
        <f t="shared" ref="Y528:Y591" si="119">X528/W528</f>
        <v>#DIV/0!</v>
      </c>
      <c r="AA528" s="161">
        <v>0</v>
      </c>
      <c r="AB528" s="409">
        <v>0</v>
      </c>
      <c r="AC528" s="259">
        <f t="shared" si="116"/>
        <v>0</v>
      </c>
      <c r="AD528" s="22" t="s">
        <v>4362</v>
      </c>
      <c r="AG528" s="33">
        <f t="shared" ref="AG528:AG591" si="120">AF528-AE528</f>
        <v>0</v>
      </c>
      <c r="AH528" s="43" t="s">
        <v>2356</v>
      </c>
      <c r="AI528" s="63">
        <f t="shared" ref="AI528:AI559" si="121">AJ528/(A528*10000)</f>
        <v>1.1686746987951808E-3</v>
      </c>
      <c r="AJ528" s="307">
        <f>RTD("money.excel",,$G528,"PredictVolume")</f>
        <v>194</v>
      </c>
      <c r="AK528" s="339"/>
    </row>
    <row r="529" spans="1:37">
      <c r="A529" s="415">
        <v>1248</v>
      </c>
      <c r="B529" s="79">
        <v>102</v>
      </c>
      <c r="C529" s="79">
        <v>137</v>
      </c>
      <c r="D529" s="79">
        <v>6</v>
      </c>
      <c r="E529" s="79">
        <v>33</v>
      </c>
      <c r="F529" s="57">
        <v>24.26</v>
      </c>
      <c r="G529" s="79">
        <v>2303</v>
      </c>
      <c r="H529" s="17" t="s">
        <v>3254</v>
      </c>
      <c r="I529" s="22" t="s">
        <v>1929</v>
      </c>
      <c r="J529" s="323">
        <v>61.84</v>
      </c>
      <c r="K529" s="323">
        <v>34.93</v>
      </c>
      <c r="L529" s="73">
        <v>7.86</v>
      </c>
      <c r="M529" s="323">
        <v>6.83</v>
      </c>
      <c r="N529" s="318">
        <f t="shared" ref="N529" si="122">J529+K529+L529+M529</f>
        <v>111.46000000000001</v>
      </c>
      <c r="O529" s="81">
        <f>IFERROR(VLOOKUP($G529,'321買'!A:E,3,0),"'沒有資料'")</f>
        <v>6</v>
      </c>
      <c r="P529" s="380">
        <f>IFERROR(VLOOKUP($G529,'321買'!$A:$G,7,0),"'沒有資料'")</f>
        <v>499</v>
      </c>
      <c r="Q529" s="245" t="s">
        <v>3816</v>
      </c>
      <c r="R529" s="297">
        <f>IFERROR(RANK(VLOOKUP($G529,連買!$A:$D,4,0),連買!$D:$D,0),"'沒有資料'")</f>
        <v>1565</v>
      </c>
      <c r="S529" s="45">
        <v>3</v>
      </c>
      <c r="T529" s="353">
        <f t="shared" si="117"/>
        <v>6.2176165803108807E-2</v>
      </c>
      <c r="U529" s="57">
        <v>4.57</v>
      </c>
      <c r="V529" s="36">
        <f>RTD("money.excel",,"2303","Price")</f>
        <v>48.25</v>
      </c>
      <c r="W529" s="66"/>
      <c r="X529" s="15">
        <f t="shared" si="118"/>
        <v>48.25</v>
      </c>
      <c r="Y529" s="3" t="e">
        <f t="shared" si="119"/>
        <v>#DIV/0!</v>
      </c>
      <c r="Z529" s="413">
        <v>-30.56</v>
      </c>
      <c r="AA529" s="161">
        <v>0</v>
      </c>
      <c r="AB529" s="409">
        <v>0</v>
      </c>
      <c r="AC529" s="259">
        <f t="shared" si="116"/>
        <v>0</v>
      </c>
      <c r="AD529" s="22" t="s">
        <v>1929</v>
      </c>
      <c r="AG529" s="33">
        <f t="shared" si="120"/>
        <v>0</v>
      </c>
      <c r="AH529" s="120" t="s">
        <v>2742</v>
      </c>
      <c r="AI529" s="63">
        <f t="shared" si="121"/>
        <v>5.0839743589743587E-3</v>
      </c>
      <c r="AJ529" s="360">
        <f>RTD("money.excel",,$G529,"PredictVolume")</f>
        <v>63448</v>
      </c>
      <c r="AK529" s="339">
        <v>5.56</v>
      </c>
    </row>
    <row r="530" spans="1:37">
      <c r="A530" s="416">
        <v>55.7</v>
      </c>
      <c r="B530" s="80">
        <v>-146</v>
      </c>
      <c r="C530" s="80">
        <v>-139</v>
      </c>
      <c r="D530" s="79">
        <v>1</v>
      </c>
      <c r="E530" s="80">
        <v>-20</v>
      </c>
      <c r="F530" s="6">
        <v>-2.5499999999999998</v>
      </c>
      <c r="G530" s="79">
        <v>2329</v>
      </c>
      <c r="H530" s="17" t="s">
        <v>3254</v>
      </c>
      <c r="I530" s="22" t="s">
        <v>346</v>
      </c>
      <c r="J530" s="323">
        <v>47.15</v>
      </c>
      <c r="K530" s="323">
        <v>29.34</v>
      </c>
      <c r="L530" s="73">
        <v>11.75</v>
      </c>
      <c r="N530" s="318">
        <f t="shared" ref="N530:N591" si="123">J530+K530+L530+M530</f>
        <v>88.24</v>
      </c>
      <c r="O530" s="81">
        <f>IFERROR(VLOOKUP($G530,'321買'!A:E,3,0),"'沒有資料'")</f>
        <v>30</v>
      </c>
      <c r="P530" s="380">
        <f>IFERROR(VLOOKUP($G530,'321買'!$A:$G,7,0),"'沒有資料'")</f>
        <v>180</v>
      </c>
      <c r="R530" s="297">
        <f>IFERROR(RANK(VLOOKUP($G530,連買!$A:$D,4,0),連買!$D:$D,0),"'沒有資料'")</f>
        <v>1247</v>
      </c>
      <c r="S530" s="34">
        <v>0</v>
      </c>
      <c r="T530" s="353">
        <f t="shared" si="117"/>
        <v>0</v>
      </c>
      <c r="U530" s="95">
        <v>-0.48</v>
      </c>
      <c r="V530" s="36">
        <f>RTD("money.excel",,"2329","Price")</f>
        <v>20.399999999999999</v>
      </c>
      <c r="W530" s="66"/>
      <c r="X530" s="15">
        <f t="shared" si="118"/>
        <v>20.399999999999999</v>
      </c>
      <c r="Y530" s="3" t="e">
        <f t="shared" si="119"/>
        <v>#DIV/0!</v>
      </c>
      <c r="Z530" s="413" t="s">
        <v>1801</v>
      </c>
      <c r="AA530" s="161">
        <v>0</v>
      </c>
      <c r="AB530" s="409">
        <v>0</v>
      </c>
      <c r="AC530" s="259">
        <f t="shared" si="116"/>
        <v>0</v>
      </c>
      <c r="AD530" s="22" t="s">
        <v>346</v>
      </c>
      <c r="AG530" s="33">
        <f t="shared" si="120"/>
        <v>0</v>
      </c>
      <c r="AH530" s="43" t="s">
        <v>3503</v>
      </c>
      <c r="AI530" s="63">
        <f t="shared" si="121"/>
        <v>2.1597845601436265E-3</v>
      </c>
      <c r="AJ530" s="307">
        <f>RTD("money.excel",,$G530,"PredictVolume")</f>
        <v>1203</v>
      </c>
      <c r="AK530" s="339"/>
    </row>
    <row r="531" spans="1:37">
      <c r="A531" s="415">
        <v>2593</v>
      </c>
      <c r="B531" s="79">
        <v>15</v>
      </c>
      <c r="C531" s="79">
        <v>14</v>
      </c>
      <c r="D531" s="79">
        <v>17</v>
      </c>
      <c r="E531" s="79">
        <v>33</v>
      </c>
      <c r="F531" s="57">
        <v>40.950000000000003</v>
      </c>
      <c r="G531" s="79">
        <v>2330</v>
      </c>
      <c r="H531" s="17" t="s">
        <v>3254</v>
      </c>
      <c r="I531" s="22" t="s">
        <v>8</v>
      </c>
      <c r="J531" s="326">
        <v>89.65</v>
      </c>
      <c r="K531" s="323">
        <v>74.98</v>
      </c>
      <c r="L531" s="73">
        <v>0.56999999999999995</v>
      </c>
      <c r="M531" s="323">
        <v>6.71</v>
      </c>
      <c r="N531" s="73">
        <f t="shared" si="123"/>
        <v>171.91</v>
      </c>
      <c r="O531" s="81">
        <f>IFERROR(VLOOKUP($G531,'321買'!A:E,3,0),"'沒有資料'")</f>
        <v>0</v>
      </c>
      <c r="P531" s="380">
        <f>IFERROR(VLOOKUP($G531,'321買'!$A:$G,7,0),"'沒有資料'")</f>
        <v>911</v>
      </c>
      <c r="Q531" s="245" t="s">
        <v>3816</v>
      </c>
      <c r="R531" s="297">
        <f>IFERROR(RANK(VLOOKUP($G531,連買!$A:$D,4,0),連買!$D:$D,0),"'沒有資料'")</f>
        <v>24</v>
      </c>
      <c r="S531" s="6">
        <v>2.75</v>
      </c>
      <c r="T531" s="353">
        <f t="shared" si="117"/>
        <v>4.799301919720768E-3</v>
      </c>
      <c r="U531" s="57">
        <v>23.01</v>
      </c>
      <c r="V531" s="13">
        <f>RTD("money.excel",,"2330","Price")</f>
        <v>573</v>
      </c>
      <c r="W531" s="65"/>
      <c r="X531" s="15">
        <f t="shared" si="118"/>
        <v>573</v>
      </c>
      <c r="Y531" s="3" t="e">
        <f t="shared" si="119"/>
        <v>#DIV/0!</v>
      </c>
      <c r="Z531" s="413">
        <v>-17.59</v>
      </c>
      <c r="AA531" s="161">
        <v>0</v>
      </c>
      <c r="AB531" s="409">
        <v>0</v>
      </c>
      <c r="AC531" s="259">
        <f t="shared" si="116"/>
        <v>0</v>
      </c>
      <c r="AD531" s="22" t="s">
        <v>8</v>
      </c>
      <c r="AG531" s="33">
        <f t="shared" si="120"/>
        <v>0</v>
      </c>
      <c r="AH531" s="43" t="s">
        <v>2741</v>
      </c>
      <c r="AI531" s="63">
        <f t="shared" si="121"/>
        <v>7.3339760894716548E-4</v>
      </c>
      <c r="AJ531" s="307">
        <f>RTD("money.excel",,$G531,"PredictVolume")</f>
        <v>19017</v>
      </c>
      <c r="AK531" s="339">
        <v>0.66</v>
      </c>
    </row>
    <row r="532" spans="1:37">
      <c r="A532" s="415">
        <v>185</v>
      </c>
      <c r="B532" s="79">
        <v>11</v>
      </c>
      <c r="C532" s="79">
        <v>35</v>
      </c>
      <c r="D532" s="80">
        <v>-9</v>
      </c>
      <c r="E532" s="79">
        <v>20</v>
      </c>
      <c r="F532" s="57">
        <v>16.5</v>
      </c>
      <c r="G532" s="79">
        <v>2337</v>
      </c>
      <c r="H532" s="17" t="s">
        <v>3254</v>
      </c>
      <c r="I532" s="22" t="s">
        <v>42</v>
      </c>
      <c r="J532" s="323">
        <v>35.25</v>
      </c>
      <c r="K532" s="73">
        <v>21.24</v>
      </c>
      <c r="L532" s="323">
        <v>15</v>
      </c>
      <c r="N532" s="318">
        <f t="shared" si="123"/>
        <v>71.489999999999995</v>
      </c>
      <c r="O532" s="81">
        <f>IFERROR(VLOOKUP($G532,'321買'!A:E,3,0),"'沒有資料'")</f>
        <v>26</v>
      </c>
      <c r="P532" s="380">
        <f>IFERROR(VLOOKUP($G532,'321買'!$A:$G,7,0),"'沒有資料'")</f>
        <v>189</v>
      </c>
      <c r="R532" s="297">
        <f>IFERROR(RANK(VLOOKUP($G532,連買!$A:$D,4,0),連買!$D:$D,0),"'沒有資料'")</f>
        <v>501</v>
      </c>
      <c r="S532" s="34">
        <v>1.2</v>
      </c>
      <c r="T532" s="353">
        <f t="shared" si="117"/>
        <v>3.0927835051546393E-2</v>
      </c>
      <c r="U532" s="95">
        <v>3.05</v>
      </c>
      <c r="V532" s="36">
        <f>RTD("money.excel",,"2337","Price")</f>
        <v>38.799999999999997</v>
      </c>
      <c r="W532" s="66"/>
      <c r="X532" s="15">
        <f t="shared" si="118"/>
        <v>38.799999999999997</v>
      </c>
      <c r="Y532" s="3" t="e">
        <f t="shared" si="119"/>
        <v>#DIV/0!</v>
      </c>
      <c r="Z532" s="413" t="s">
        <v>1801</v>
      </c>
      <c r="AA532" s="161">
        <v>0</v>
      </c>
      <c r="AB532" s="409">
        <v>0</v>
      </c>
      <c r="AC532" s="259">
        <f t="shared" si="116"/>
        <v>0</v>
      </c>
      <c r="AD532" s="22" t="s">
        <v>42</v>
      </c>
      <c r="AG532" s="33">
        <f t="shared" si="120"/>
        <v>0</v>
      </c>
      <c r="AH532" s="120" t="s">
        <v>1430</v>
      </c>
      <c r="AI532" s="63">
        <f t="shared" si="121"/>
        <v>6.958918918918919E-3</v>
      </c>
      <c r="AJ532" s="307">
        <f>RTD("money.excel",,$G532,"PredictVolume")</f>
        <v>12874</v>
      </c>
      <c r="AK532" s="339"/>
    </row>
    <row r="533" spans="1:37">
      <c r="A533" s="416">
        <v>25.2</v>
      </c>
      <c r="B533" s="79">
        <v>193</v>
      </c>
      <c r="C533" s="80">
        <v>-10</v>
      </c>
      <c r="D533" s="80">
        <v>-1</v>
      </c>
      <c r="E533" s="79">
        <v>29</v>
      </c>
      <c r="F533" s="6">
        <v>3.73</v>
      </c>
      <c r="G533" s="79">
        <v>2338</v>
      </c>
      <c r="H533" s="17" t="s">
        <v>3254</v>
      </c>
      <c r="I533" s="22" t="s">
        <v>290</v>
      </c>
      <c r="J533" s="323">
        <v>36.86</v>
      </c>
      <c r="K533" s="73">
        <v>9.65</v>
      </c>
      <c r="L533" s="323">
        <v>30.53</v>
      </c>
      <c r="N533" s="318">
        <f t="shared" si="123"/>
        <v>77.039999999999992</v>
      </c>
      <c r="O533" s="81">
        <f>IFERROR(VLOOKUP($G533,'321買'!A:E,3,0),"'沒有資料'")</f>
        <v>66</v>
      </c>
      <c r="P533" s="380">
        <f>IFERROR(VLOOKUP($G533,'321買'!$A:$G,7,0),"'沒有資料'")</f>
        <v>33</v>
      </c>
      <c r="R533" s="297">
        <f>IFERROR(RANK(VLOOKUP($G533,連買!$A:$D,4,0),連買!$D:$D,0),"'沒有資料'")</f>
        <v>222</v>
      </c>
      <c r="S533" s="34">
        <v>1.5</v>
      </c>
      <c r="T533" s="353">
        <f t="shared" si="117"/>
        <v>1.670378619153675E-2</v>
      </c>
      <c r="U533" s="95">
        <v>5.22</v>
      </c>
      <c r="V533" s="36">
        <f>RTD("money.excel",,"2338","Price")</f>
        <v>89.8</v>
      </c>
      <c r="W533" s="66"/>
      <c r="X533" s="15">
        <f t="shared" si="118"/>
        <v>89.8</v>
      </c>
      <c r="Y533" s="3" t="e">
        <f t="shared" si="119"/>
        <v>#DIV/0!</v>
      </c>
      <c r="Z533" s="413" t="s">
        <v>1801</v>
      </c>
      <c r="AA533" s="161">
        <v>0</v>
      </c>
      <c r="AB533" s="409">
        <v>0</v>
      </c>
      <c r="AC533" s="259">
        <f t="shared" si="116"/>
        <v>0</v>
      </c>
      <c r="AD533" s="22" t="s">
        <v>290</v>
      </c>
      <c r="AG533" s="33">
        <f t="shared" si="120"/>
        <v>0</v>
      </c>
      <c r="AH533" s="43" t="s">
        <v>290</v>
      </c>
      <c r="AI533" s="63">
        <f t="shared" si="121"/>
        <v>1.3884920634920635E-2</v>
      </c>
      <c r="AJ533" s="307">
        <f>RTD("money.excel",,$G533,"PredictVolume")</f>
        <v>3499</v>
      </c>
      <c r="AK533" s="339"/>
    </row>
    <row r="534" spans="1:37">
      <c r="A534" s="415">
        <v>15.6</v>
      </c>
      <c r="B534" s="79">
        <v>162</v>
      </c>
      <c r="C534" s="80">
        <v>-9</v>
      </c>
      <c r="D534" s="79">
        <v>1</v>
      </c>
      <c r="E534" s="79">
        <v>19</v>
      </c>
      <c r="F534" s="57">
        <v>11.71</v>
      </c>
      <c r="G534" s="79">
        <v>2342</v>
      </c>
      <c r="H534" s="17" t="s">
        <v>3254</v>
      </c>
      <c r="I534" s="22" t="s">
        <v>4363</v>
      </c>
      <c r="J534" s="323">
        <v>39.590000000000003</v>
      </c>
      <c r="K534" s="73">
        <v>5.78</v>
      </c>
      <c r="L534" s="323">
        <v>50.17</v>
      </c>
      <c r="M534" s="73">
        <v>31.43</v>
      </c>
      <c r="N534" s="318">
        <f t="shared" si="123"/>
        <v>126.97</v>
      </c>
      <c r="O534" s="81">
        <f>IFERROR(VLOOKUP($G534,'321買'!A:E,3,0),"'沒有資料'")</f>
        <v>41</v>
      </c>
      <c r="P534" s="380">
        <f>IFERROR(VLOOKUP($G534,'321買'!$A:$G,7,0),"'沒有資料'")</f>
        <v>89</v>
      </c>
      <c r="Q534" s="245" t="s">
        <v>3815</v>
      </c>
      <c r="R534" s="297">
        <f>IFERROR(RANK(VLOOKUP($G534,連買!$A:$D,4,0),連買!$D:$D,0),"'沒有資料'")</f>
        <v>837</v>
      </c>
      <c r="S534" s="34">
        <v>0.5</v>
      </c>
      <c r="T534" s="353">
        <f t="shared" si="117"/>
        <v>1.2706480304955527E-2</v>
      </c>
      <c r="U534" s="95">
        <v>2.0499999999999998</v>
      </c>
      <c r="V534" s="36">
        <f>RTD("money.excel",,"2342","Price")</f>
        <v>39.35</v>
      </c>
      <c r="W534" s="66"/>
      <c r="X534" s="15">
        <f t="shared" si="118"/>
        <v>39.35</v>
      </c>
      <c r="Y534" s="3" t="e">
        <f t="shared" si="119"/>
        <v>#DIV/0!</v>
      </c>
      <c r="Z534" s="413" t="s">
        <v>1801</v>
      </c>
      <c r="AA534" s="161">
        <v>0</v>
      </c>
      <c r="AB534" s="409">
        <v>0</v>
      </c>
      <c r="AC534" s="259">
        <f t="shared" si="116"/>
        <v>0</v>
      </c>
      <c r="AD534" s="22" t="s">
        <v>4363</v>
      </c>
      <c r="AG534" s="33">
        <f t="shared" si="120"/>
        <v>0</v>
      </c>
      <c r="AH534" s="43" t="s">
        <v>1894</v>
      </c>
      <c r="AI534" s="63">
        <f t="shared" si="121"/>
        <v>3.0961538461538461E-3</v>
      </c>
      <c r="AJ534" s="307">
        <f>RTD("money.excel",,$G534,"PredictVolume")</f>
        <v>483</v>
      </c>
      <c r="AK534" s="339"/>
    </row>
    <row r="535" spans="1:37">
      <c r="A535" s="416">
        <v>398</v>
      </c>
      <c r="B535" s="80">
        <v>-30</v>
      </c>
      <c r="C535" s="80">
        <v>-26</v>
      </c>
      <c r="D535" s="79">
        <v>2</v>
      </c>
      <c r="E535" s="79">
        <v>67</v>
      </c>
      <c r="F535" s="6">
        <v>2.5299999999999998</v>
      </c>
      <c r="G535" s="79">
        <v>2344</v>
      </c>
      <c r="H535" s="17" t="s">
        <v>3254</v>
      </c>
      <c r="I535" s="22" t="s">
        <v>4364</v>
      </c>
      <c r="J535" s="73">
        <v>59.33</v>
      </c>
      <c r="K535" s="73">
        <v>20.66</v>
      </c>
      <c r="L535" s="73">
        <v>11.95</v>
      </c>
      <c r="N535" s="318">
        <f t="shared" si="123"/>
        <v>91.94</v>
      </c>
      <c r="O535" s="81">
        <f>IFERROR(VLOOKUP($G535,'321買'!A:E,3,0),"'沒有資料'")</f>
        <v>20</v>
      </c>
      <c r="P535" s="380">
        <f>IFERROR(VLOOKUP($G535,'321買'!$A:$G,7,0),"'沒有資料'")</f>
        <v>250</v>
      </c>
      <c r="R535" s="297">
        <f>IFERROR(RANK(VLOOKUP($G535,連買!$A:$D,4,0),連買!$D:$D,0),"'沒有資料'")</f>
        <v>550</v>
      </c>
      <c r="S535" s="34">
        <v>0.2</v>
      </c>
      <c r="T535" s="353">
        <f t="shared" si="117"/>
        <v>7.326007326007326E-3</v>
      </c>
      <c r="U535" s="95">
        <v>0.33</v>
      </c>
      <c r="V535" s="36">
        <f>RTD("money.excel",,"2344","Price")</f>
        <v>27.3</v>
      </c>
      <c r="W535" s="66"/>
      <c r="X535" s="15">
        <f t="shared" si="118"/>
        <v>27.3</v>
      </c>
      <c r="Y535" s="3" t="e">
        <f t="shared" si="119"/>
        <v>#DIV/0!</v>
      </c>
      <c r="Z535" s="413" t="s">
        <v>1801</v>
      </c>
      <c r="AA535" s="161">
        <v>0</v>
      </c>
      <c r="AB535" s="409">
        <v>0</v>
      </c>
      <c r="AC535" s="259">
        <f t="shared" si="116"/>
        <v>0</v>
      </c>
      <c r="AD535" s="22" t="s">
        <v>4364</v>
      </c>
      <c r="AG535" s="33">
        <f t="shared" si="120"/>
        <v>0</v>
      </c>
      <c r="AH535" s="120" t="s">
        <v>1433</v>
      </c>
      <c r="AI535" s="63">
        <f t="shared" si="121"/>
        <v>1.9944723618090451E-2</v>
      </c>
      <c r="AJ535" s="307">
        <f>RTD("money.excel",,$G535,"PredictVolume")</f>
        <v>79380</v>
      </c>
      <c r="AK535" s="339"/>
    </row>
    <row r="536" spans="1:37">
      <c r="A536" s="415">
        <v>18.2</v>
      </c>
      <c r="B536" s="79">
        <v>166</v>
      </c>
      <c r="C536" s="79">
        <v>154</v>
      </c>
      <c r="D536" s="80">
        <v>-8</v>
      </c>
      <c r="E536" s="79">
        <v>12</v>
      </c>
      <c r="F536" s="57">
        <v>11.56</v>
      </c>
      <c r="G536" s="79">
        <v>2351</v>
      </c>
      <c r="H536" s="204" t="s">
        <v>3254</v>
      </c>
      <c r="I536" s="22" t="s">
        <v>61</v>
      </c>
      <c r="J536" s="323">
        <v>68.27</v>
      </c>
      <c r="K536" s="73">
        <v>24.92</v>
      </c>
      <c r="L536" s="73">
        <v>7.66</v>
      </c>
      <c r="M536" s="323">
        <v>11.24</v>
      </c>
      <c r="N536" s="318">
        <f t="shared" si="123"/>
        <v>112.08999999999999</v>
      </c>
      <c r="O536" s="81">
        <f>IFERROR(VLOOKUP($G536,'321買'!A:E,3,0),"'沒有資料'")</f>
        <v>62</v>
      </c>
      <c r="P536" s="380">
        <f>IFERROR(VLOOKUP($G536,'321買'!$A:$G,7,0),"'沒有資料'")</f>
        <v>48</v>
      </c>
      <c r="Q536" s="245" t="s">
        <v>3817</v>
      </c>
      <c r="R536" s="297">
        <f>IFERROR(RANK(VLOOKUP($G536,連買!$A:$D,4,0),連買!$D:$D,0),"'沒有資料'")</f>
        <v>91</v>
      </c>
      <c r="S536" s="66">
        <v>3</v>
      </c>
      <c r="T536" s="353">
        <f t="shared" si="117"/>
        <v>2.2222222222222223E-2</v>
      </c>
      <c r="U536" s="57">
        <v>4.3099999999999996</v>
      </c>
      <c r="V536" s="36">
        <f>RTD("money.excel",,"2351","Price")</f>
        <v>135</v>
      </c>
      <c r="W536" s="66"/>
      <c r="X536" s="15">
        <f t="shared" si="118"/>
        <v>135</v>
      </c>
      <c r="Y536" s="3" t="e">
        <f t="shared" si="119"/>
        <v>#DIV/0!</v>
      </c>
      <c r="Z536" s="413" t="s">
        <v>1997</v>
      </c>
      <c r="AA536" s="161">
        <v>0</v>
      </c>
      <c r="AB536" s="409">
        <v>0</v>
      </c>
      <c r="AC536" s="259">
        <f t="shared" si="116"/>
        <v>0</v>
      </c>
      <c r="AD536" s="22" t="s">
        <v>61</v>
      </c>
      <c r="AG536" s="33">
        <f t="shared" si="120"/>
        <v>0</v>
      </c>
      <c r="AH536" s="120" t="s">
        <v>3594</v>
      </c>
      <c r="AI536" s="63">
        <f t="shared" si="121"/>
        <v>1.0307692307692308E-2</v>
      </c>
      <c r="AJ536" s="307">
        <f>RTD("money.excel",,$G536,"PredictVolume")</f>
        <v>1876</v>
      </c>
      <c r="AK536" s="339">
        <v>16.02</v>
      </c>
    </row>
    <row r="537" spans="1:37">
      <c r="A537" s="416">
        <v>63.1</v>
      </c>
      <c r="B537" s="80">
        <v>-145</v>
      </c>
      <c r="C537" s="79">
        <v>6</v>
      </c>
      <c r="D537" s="79">
        <v>4</v>
      </c>
      <c r="E537" s="80">
        <v>-18</v>
      </c>
      <c r="F537" s="73">
        <v>-144</v>
      </c>
      <c r="G537" s="79">
        <v>2363</v>
      </c>
      <c r="H537" s="8" t="s">
        <v>3254</v>
      </c>
      <c r="I537" s="22" t="s">
        <v>323</v>
      </c>
      <c r="J537" s="323">
        <v>41.83</v>
      </c>
      <c r="K537" s="73">
        <v>9.41</v>
      </c>
      <c r="L537" s="323">
        <v>8.9700000000000006</v>
      </c>
      <c r="N537" s="318">
        <f t="shared" si="123"/>
        <v>60.209999999999994</v>
      </c>
      <c r="O537" s="81">
        <f>IFERROR(VLOOKUP($G537,'321買'!A:E,3,0),"'沒有資料'")</f>
        <v>23</v>
      </c>
      <c r="P537" s="380">
        <f>IFERROR(VLOOKUP($G537,'321買'!$A:$G,7,0),"'沒有資料'")</f>
        <v>189</v>
      </c>
      <c r="R537" s="297">
        <f>IFERROR(RANK(VLOOKUP($G537,連買!$A:$D,4,0),連買!$D:$D,0),"'沒有資料'")</f>
        <v>935</v>
      </c>
      <c r="S537" s="34">
        <v>1.6</v>
      </c>
      <c r="T537" s="353">
        <f t="shared" si="117"/>
        <v>6.7796610169491525E-2</v>
      </c>
      <c r="U537" s="95">
        <v>-0.52</v>
      </c>
      <c r="V537" s="36">
        <f>RTD("money.excel",,"2363","Price")</f>
        <v>23.6</v>
      </c>
      <c r="W537" s="66"/>
      <c r="X537" s="15">
        <f t="shared" si="118"/>
        <v>23.6</v>
      </c>
      <c r="Y537" s="3" t="e">
        <f t="shared" si="119"/>
        <v>#DIV/0!</v>
      </c>
      <c r="Z537" s="413" t="s">
        <v>1801</v>
      </c>
      <c r="AA537" s="161">
        <v>0</v>
      </c>
      <c r="AB537" s="409">
        <v>0</v>
      </c>
      <c r="AC537" s="259">
        <f t="shared" si="116"/>
        <v>0</v>
      </c>
      <c r="AD537" s="22" t="s">
        <v>323</v>
      </c>
      <c r="AG537" s="33">
        <f t="shared" si="120"/>
        <v>0</v>
      </c>
      <c r="AH537" s="43" t="s">
        <v>2527</v>
      </c>
      <c r="AI537" s="63">
        <f t="shared" si="121"/>
        <v>1.7828843106180666E-3</v>
      </c>
      <c r="AJ537" s="307">
        <f>RTD("money.excel",,$G537,"PredictVolume")</f>
        <v>1125</v>
      </c>
      <c r="AK537" s="339"/>
    </row>
    <row r="538" spans="1:37">
      <c r="A538" s="415">
        <v>38</v>
      </c>
      <c r="B538" s="79">
        <v>670</v>
      </c>
      <c r="C538" s="79">
        <v>552</v>
      </c>
      <c r="D538" s="79">
        <v>0</v>
      </c>
      <c r="E538" s="79">
        <v>33</v>
      </c>
      <c r="F538" s="57">
        <v>11.27</v>
      </c>
      <c r="G538" s="79">
        <v>2369</v>
      </c>
      <c r="H538" s="17" t="s">
        <v>3254</v>
      </c>
      <c r="I538" s="22" t="s">
        <v>4365</v>
      </c>
      <c r="J538" s="73">
        <v>28.29</v>
      </c>
      <c r="K538" s="323">
        <v>14.08</v>
      </c>
      <c r="L538" s="73">
        <v>24.95</v>
      </c>
      <c r="M538" s="323">
        <v>4.6500000000000004</v>
      </c>
      <c r="N538" s="318">
        <f t="shared" si="123"/>
        <v>71.97</v>
      </c>
      <c r="O538" s="81">
        <f>IFERROR(VLOOKUP($G538,'321買'!A:E,3,0),"'沒有資料'")</f>
        <v>50</v>
      </c>
      <c r="P538" s="380">
        <f>IFERROR(VLOOKUP($G538,'321買'!$A:$G,7,0),"'沒有資料'")</f>
        <v>79</v>
      </c>
      <c r="Q538" s="245" t="s">
        <v>3816</v>
      </c>
      <c r="R538" s="297">
        <f>IFERROR(RANK(VLOOKUP($G538,連買!$A:$D,4,0),連買!$D:$D,0),"'沒有資料'")</f>
        <v>1054</v>
      </c>
      <c r="S538" s="34">
        <v>0</v>
      </c>
      <c r="T538" s="353">
        <f t="shared" si="117"/>
        <v>0</v>
      </c>
      <c r="U538" s="95">
        <v>1.45</v>
      </c>
      <c r="V538" s="36">
        <f>RTD("money.excel",,"2369","Price")</f>
        <v>23.45</v>
      </c>
      <c r="W538" s="66"/>
      <c r="X538" s="15">
        <f t="shared" si="118"/>
        <v>23.45</v>
      </c>
      <c r="Y538" s="3" t="e">
        <f t="shared" si="119"/>
        <v>#DIV/0!</v>
      </c>
      <c r="Z538" s="413" t="s">
        <v>1801</v>
      </c>
      <c r="AA538" s="161">
        <v>0</v>
      </c>
      <c r="AB538" s="409">
        <v>0</v>
      </c>
      <c r="AC538" s="259">
        <f t="shared" si="116"/>
        <v>0</v>
      </c>
      <c r="AD538" s="22" t="s">
        <v>4365</v>
      </c>
      <c r="AG538" s="33">
        <f t="shared" si="120"/>
        <v>0</v>
      </c>
      <c r="AH538" s="120" t="s">
        <v>2518</v>
      </c>
      <c r="AI538" s="63">
        <f t="shared" si="121"/>
        <v>2.9710526315789472E-3</v>
      </c>
      <c r="AJ538" s="307">
        <f>RTD("money.excel",,$G538,"PredictVolume")</f>
        <v>1129</v>
      </c>
      <c r="AK538" s="339"/>
    </row>
    <row r="539" spans="1:37">
      <c r="A539" s="415">
        <v>51</v>
      </c>
      <c r="B539" s="79">
        <v>19</v>
      </c>
      <c r="C539" s="79">
        <v>31</v>
      </c>
      <c r="D539" s="79">
        <v>20</v>
      </c>
      <c r="E539" s="79">
        <v>53</v>
      </c>
      <c r="F539" s="57">
        <v>10.76</v>
      </c>
      <c r="G539" s="79">
        <v>2379</v>
      </c>
      <c r="H539" s="17" t="s">
        <v>3254</v>
      </c>
      <c r="I539" s="22" t="s">
        <v>26</v>
      </c>
      <c r="J539" s="323">
        <v>58.75</v>
      </c>
      <c r="K539" s="73">
        <v>65.38</v>
      </c>
      <c r="L539" s="323">
        <v>2.31</v>
      </c>
      <c r="N539" s="318">
        <f t="shared" si="123"/>
        <v>126.44</v>
      </c>
      <c r="O539" s="81">
        <f>IFERROR(VLOOKUP($G539,'321買'!A:E,3,0),"'沒有資料'")</f>
        <v>1</v>
      </c>
      <c r="P539" s="380">
        <f>IFERROR(VLOOKUP($G539,'321買'!$A:$G,7,0),"'沒有資料'")</f>
        <v>783</v>
      </c>
      <c r="R539" s="297">
        <f>IFERROR(RANK(VLOOKUP($G539,連買!$A:$D,4,0),連買!$D:$D,0),"'沒有資料'")</f>
        <v>71</v>
      </c>
      <c r="S539" s="66">
        <v>11</v>
      </c>
      <c r="T539" s="353">
        <f t="shared" si="117"/>
        <v>2.6442307692307692E-2</v>
      </c>
      <c r="U539" s="57">
        <v>17.239999999999998</v>
      </c>
      <c r="V539" s="13">
        <f>RTD("money.excel",,"2379","Price")</f>
        <v>416</v>
      </c>
      <c r="W539" s="66"/>
      <c r="X539" s="15">
        <f t="shared" si="118"/>
        <v>416</v>
      </c>
      <c r="Y539" s="3" t="e">
        <f t="shared" si="119"/>
        <v>#DIV/0!</v>
      </c>
      <c r="Z539" s="413" t="s">
        <v>1997</v>
      </c>
      <c r="AA539" s="161">
        <v>0</v>
      </c>
      <c r="AB539" s="409">
        <v>0</v>
      </c>
      <c r="AC539" s="259">
        <f t="shared" si="116"/>
        <v>0</v>
      </c>
      <c r="AD539" s="22" t="s">
        <v>26</v>
      </c>
      <c r="AG539" s="33">
        <f t="shared" si="120"/>
        <v>0</v>
      </c>
      <c r="AH539" s="120" t="s">
        <v>2744</v>
      </c>
      <c r="AI539" s="63">
        <f t="shared" si="121"/>
        <v>3.7803921568627451E-3</v>
      </c>
      <c r="AJ539" s="307">
        <f>RTD("money.excel",,$G539,"PredictVolume")</f>
        <v>1928</v>
      </c>
      <c r="AK539" s="339"/>
    </row>
    <row r="540" spans="1:37">
      <c r="A540" s="416">
        <v>49.4</v>
      </c>
      <c r="B540" s="93">
        <v>5535</v>
      </c>
      <c r="C540" s="80">
        <v>-709</v>
      </c>
      <c r="D540" s="80">
        <v>-14</v>
      </c>
      <c r="E540" s="79">
        <v>4</v>
      </c>
      <c r="F540" s="6">
        <v>-31.32</v>
      </c>
      <c r="G540" s="79">
        <v>2388</v>
      </c>
      <c r="H540" s="17" t="s">
        <v>3254</v>
      </c>
      <c r="I540" s="22" t="s">
        <v>287</v>
      </c>
      <c r="J540" s="323">
        <v>70.94</v>
      </c>
      <c r="K540" s="323">
        <v>8.36</v>
      </c>
      <c r="L540" s="323">
        <v>3.8</v>
      </c>
      <c r="N540" s="318">
        <f t="shared" si="123"/>
        <v>83.1</v>
      </c>
      <c r="O540" s="81">
        <f>IFERROR(VLOOKUP($G540,'321買'!A:E,3,0),"'沒有資料'")</f>
        <v>11</v>
      </c>
      <c r="P540" s="380">
        <f>IFERROR(VLOOKUP($G540,'321買'!$A:$G,7,0),"'沒有資料'")</f>
        <v>387</v>
      </c>
      <c r="R540" s="297">
        <f>IFERROR(RANK(VLOOKUP($G540,連買!$A:$D,4,0),連買!$D:$D,0),"'沒有資料'")</f>
        <v>1567</v>
      </c>
      <c r="S540" s="34">
        <v>0.8</v>
      </c>
      <c r="T540" s="353">
        <f t="shared" si="117"/>
        <v>1.3675213675213675E-2</v>
      </c>
      <c r="U540" s="57">
        <v>12.94</v>
      </c>
      <c r="V540" s="36">
        <f>RTD("money.excel",,"2388","Price")</f>
        <v>58.5</v>
      </c>
      <c r="W540" s="66"/>
      <c r="X540" s="15">
        <f t="shared" si="118"/>
        <v>58.5</v>
      </c>
      <c r="Y540" s="3" t="e">
        <f t="shared" si="119"/>
        <v>#DIV/0!</v>
      </c>
      <c r="Z540" s="413" t="s">
        <v>1801</v>
      </c>
      <c r="AA540" s="161">
        <v>0</v>
      </c>
      <c r="AB540" s="409">
        <v>0</v>
      </c>
      <c r="AC540" s="259">
        <f t="shared" si="116"/>
        <v>0</v>
      </c>
      <c r="AD540" s="22" t="s">
        <v>287</v>
      </c>
      <c r="AG540" s="33">
        <f t="shared" si="120"/>
        <v>0</v>
      </c>
      <c r="AH540" s="43" t="s">
        <v>2209</v>
      </c>
      <c r="AI540" s="63">
        <f t="shared" si="121"/>
        <v>2.617408906882591E-3</v>
      </c>
      <c r="AJ540" s="307">
        <f>RTD("money.excel",,$G540,"PredictVolume")</f>
        <v>1293</v>
      </c>
      <c r="AK540" s="339"/>
    </row>
    <row r="541" spans="1:37">
      <c r="A541" s="416">
        <v>59.2</v>
      </c>
      <c r="B541" s="91">
        <v>118</v>
      </c>
      <c r="C541" s="91">
        <v>197</v>
      </c>
      <c r="D541" s="91">
        <v>-1</v>
      </c>
      <c r="E541" s="91">
        <v>100</v>
      </c>
      <c r="F541" s="6">
        <v>6.83</v>
      </c>
      <c r="G541" s="79">
        <v>2401</v>
      </c>
      <c r="H541" s="17" t="s">
        <v>3254</v>
      </c>
      <c r="I541" s="22" t="s">
        <v>94</v>
      </c>
      <c r="J541" s="73">
        <v>46.62</v>
      </c>
      <c r="K541" s="73">
        <v>13.14</v>
      </c>
      <c r="L541" s="73">
        <v>8.41</v>
      </c>
      <c r="N541" s="318">
        <f t="shared" si="123"/>
        <v>68.17</v>
      </c>
      <c r="O541" s="81">
        <f>IFERROR(VLOOKUP($G541,'321買'!A:E,3,0),"'沒有資料'")</f>
        <v>37</v>
      </c>
      <c r="P541" s="380">
        <f>IFERROR(VLOOKUP($G541,'321買'!$A:$G,7,0),"'沒有資料'")</f>
        <v>94</v>
      </c>
      <c r="R541" s="297">
        <f>IFERROR(RANK(VLOOKUP($G541,連買!$A:$D,4,0),連買!$D:$D,0),"'沒有資料'")</f>
        <v>804</v>
      </c>
      <c r="S541" s="34">
        <v>0.53</v>
      </c>
      <c r="T541" s="353">
        <f t="shared" si="117"/>
        <v>1.4971751412429381E-2</v>
      </c>
      <c r="U541" s="95">
        <v>0.55000000000000004</v>
      </c>
      <c r="V541" s="36">
        <f>RTD("money.excel",,"2401","Price")</f>
        <v>35.4</v>
      </c>
      <c r="W541" s="66"/>
      <c r="X541" s="15">
        <f t="shared" si="118"/>
        <v>35.4</v>
      </c>
      <c r="Y541" s="3" t="e">
        <f t="shared" si="119"/>
        <v>#DIV/0!</v>
      </c>
      <c r="Z541" s="413" t="s">
        <v>1801</v>
      </c>
      <c r="AA541" s="161">
        <v>0</v>
      </c>
      <c r="AB541" s="409">
        <v>0</v>
      </c>
      <c r="AC541" s="259">
        <f t="shared" si="116"/>
        <v>0</v>
      </c>
      <c r="AD541" s="22" t="s">
        <v>94</v>
      </c>
      <c r="AG541" s="33">
        <f t="shared" si="120"/>
        <v>0</v>
      </c>
      <c r="AH541" s="120" t="s">
        <v>1407</v>
      </c>
      <c r="AI541" s="63">
        <f t="shared" si="121"/>
        <v>7.7550675675675676E-3</v>
      </c>
      <c r="AJ541" s="307">
        <f>RTD("money.excel",,$G541,"PredictVolume")</f>
        <v>4591</v>
      </c>
      <c r="AK541" s="339"/>
    </row>
    <row r="542" spans="1:37">
      <c r="A542" s="415">
        <v>309</v>
      </c>
      <c r="B542" s="79">
        <v>142</v>
      </c>
      <c r="C542" s="79">
        <v>168</v>
      </c>
      <c r="D542" s="80">
        <v>-6</v>
      </c>
      <c r="E542" s="79">
        <v>50</v>
      </c>
      <c r="F542" s="57">
        <v>29.85</v>
      </c>
      <c r="G542" s="79">
        <v>2408</v>
      </c>
      <c r="H542" s="17" t="s">
        <v>3254</v>
      </c>
      <c r="I542" s="22" t="s">
        <v>209</v>
      </c>
      <c r="J542" s="73">
        <v>82.93</v>
      </c>
      <c r="K542" s="73">
        <v>20.48</v>
      </c>
      <c r="L542" s="323">
        <v>2.2799999999999998</v>
      </c>
      <c r="N542" s="318">
        <f t="shared" si="123"/>
        <v>105.69000000000001</v>
      </c>
      <c r="O542" s="81">
        <f>IFERROR(VLOOKUP($G542,'321買'!A:E,3,0),"'沒有資料'")</f>
        <v>3</v>
      </c>
      <c r="P542" s="380">
        <f>IFERROR(VLOOKUP($G542,'321買'!$A:$G,7,0),"'沒有資料'")</f>
        <v>636</v>
      </c>
      <c r="R542" s="297">
        <f>IFERROR(RANK(VLOOKUP($G542,連買!$A:$D,4,0),連買!$D:$D,0),"'沒有資料'")</f>
        <v>160</v>
      </c>
      <c r="S542" s="34">
        <v>1.3</v>
      </c>
      <c r="T542" s="353">
        <f t="shared" si="117"/>
        <v>2.0280811232449302E-2</v>
      </c>
      <c r="U542" s="57">
        <v>5.62</v>
      </c>
      <c r="V542" s="36">
        <f>RTD("money.excel",,"2408","Price")</f>
        <v>64.099999999999994</v>
      </c>
      <c r="W542" s="66"/>
      <c r="X542" s="15">
        <f t="shared" si="118"/>
        <v>64.099999999999994</v>
      </c>
      <c r="Y542" s="3" t="e">
        <f t="shared" si="119"/>
        <v>#DIV/0!</v>
      </c>
      <c r="Z542" s="413" t="s">
        <v>1801</v>
      </c>
      <c r="AA542" s="161">
        <v>0</v>
      </c>
      <c r="AB542" s="409">
        <v>0</v>
      </c>
      <c r="AC542" s="259">
        <f t="shared" si="116"/>
        <v>0</v>
      </c>
      <c r="AD542" s="22" t="s">
        <v>209</v>
      </c>
      <c r="AG542" s="33">
        <f t="shared" si="120"/>
        <v>0</v>
      </c>
      <c r="AH542" s="120" t="s">
        <v>2743</v>
      </c>
      <c r="AI542" s="63">
        <f t="shared" si="121"/>
        <v>6.3443365695792881E-3</v>
      </c>
      <c r="AJ542" s="307">
        <f>RTD("money.excel",,$G542,"PredictVolume")</f>
        <v>19604</v>
      </c>
      <c r="AK542" s="339"/>
    </row>
    <row r="543" spans="1:37">
      <c r="A543" s="416">
        <v>2.7</v>
      </c>
      <c r="B543" s="91">
        <v>69</v>
      </c>
      <c r="C543" s="91">
        <v>62</v>
      </c>
      <c r="D543" s="91">
        <v>-5</v>
      </c>
      <c r="E543" s="91">
        <v>32</v>
      </c>
      <c r="F543" s="6">
        <v>-55.57</v>
      </c>
      <c r="G543" s="79">
        <v>2434</v>
      </c>
      <c r="H543" s="17" t="s">
        <v>3254</v>
      </c>
      <c r="I543" s="22" t="s">
        <v>347</v>
      </c>
      <c r="J543" s="73">
        <v>57.56</v>
      </c>
      <c r="K543" s="73">
        <v>1.17</v>
      </c>
      <c r="N543" s="318">
        <f t="shared" si="123"/>
        <v>58.730000000000004</v>
      </c>
      <c r="O543" s="81">
        <f>IFERROR(VLOOKUP($G543,'321買'!A:E,3,0),"'沒有資料'")</f>
        <v>0</v>
      </c>
      <c r="P543" s="380">
        <f>IFERROR(VLOOKUP($G543,'321買'!$A:$G,7,0),"'沒有資料'")</f>
        <v>911</v>
      </c>
      <c r="R543" s="297">
        <f>IFERROR(RANK(VLOOKUP($G543,連買!$A:$D,4,0),連買!$D:$D,0),"'沒有資料'")</f>
        <v>1484</v>
      </c>
      <c r="S543" s="34">
        <v>0</v>
      </c>
      <c r="T543" s="353">
        <f t="shared" si="117"/>
        <v>0</v>
      </c>
      <c r="U543" s="95">
        <v>-0.14000000000000001</v>
      </c>
      <c r="V543" s="13">
        <f>RTD("money.excel",,"2434","Price")</f>
        <v>35.75</v>
      </c>
      <c r="W543" s="66"/>
      <c r="X543" s="15">
        <f t="shared" si="118"/>
        <v>35.75</v>
      </c>
      <c r="Y543" s="3" t="e">
        <f t="shared" si="119"/>
        <v>#DIV/0!</v>
      </c>
      <c r="AA543" s="161">
        <v>0</v>
      </c>
      <c r="AB543" s="409">
        <v>0</v>
      </c>
      <c r="AC543" s="259">
        <f t="shared" si="116"/>
        <v>0</v>
      </c>
      <c r="AD543" s="22" t="s">
        <v>347</v>
      </c>
      <c r="AG543" s="33">
        <f t="shared" si="120"/>
        <v>0</v>
      </c>
      <c r="AH543" s="43" t="s">
        <v>2356</v>
      </c>
      <c r="AI543" s="63">
        <f t="shared" si="121"/>
        <v>7.4074074074074073E-5</v>
      </c>
      <c r="AJ543" s="307">
        <f>RTD("money.excel",,$G543,"PredictVolume")</f>
        <v>2</v>
      </c>
      <c r="AK543" s="339"/>
    </row>
    <row r="544" spans="1:37">
      <c r="A544" s="415">
        <v>17.8</v>
      </c>
      <c r="B544" s="79">
        <v>120</v>
      </c>
      <c r="C544" s="79">
        <v>264</v>
      </c>
      <c r="D544" s="79">
        <v>14</v>
      </c>
      <c r="E544" s="79">
        <v>8</v>
      </c>
      <c r="F544" s="57">
        <v>12.77</v>
      </c>
      <c r="G544" s="79">
        <v>2436</v>
      </c>
      <c r="H544" s="17" t="s">
        <v>3254</v>
      </c>
      <c r="I544" s="22" t="s">
        <v>112</v>
      </c>
      <c r="J544" s="323">
        <v>26.32</v>
      </c>
      <c r="K544" s="73">
        <v>5.93</v>
      </c>
      <c r="L544" s="73">
        <v>38.200000000000003</v>
      </c>
      <c r="M544" s="323">
        <v>8.25</v>
      </c>
      <c r="N544" s="318">
        <f t="shared" si="123"/>
        <v>78.7</v>
      </c>
      <c r="O544" s="81">
        <f>IFERROR(VLOOKUP($G544,'321買'!A:E,3,0),"'沒有資料'")</f>
        <v>72</v>
      </c>
      <c r="P544" s="380">
        <f>IFERROR(VLOOKUP($G544,'321買'!$A:$G,7,0),"'沒有資料'")</f>
        <v>14</v>
      </c>
      <c r="Q544" s="245" t="s">
        <v>3816</v>
      </c>
      <c r="R544" s="297">
        <f>IFERROR(RANK(VLOOKUP($G544,連買!$A:$D,4,0),連買!$D:$D,0),"'沒有資料'")</f>
        <v>219</v>
      </c>
      <c r="S544" s="45">
        <v>3</v>
      </c>
      <c r="T544" s="353">
        <f t="shared" si="117"/>
        <v>3.7735849056603772E-2</v>
      </c>
      <c r="U544" s="95">
        <v>4.25</v>
      </c>
      <c r="V544" s="36">
        <f>RTD("money.excel",,"2436","Price")</f>
        <v>79.5</v>
      </c>
      <c r="W544" s="66"/>
      <c r="X544" s="15">
        <f t="shared" si="118"/>
        <v>79.5</v>
      </c>
      <c r="Y544" s="3" t="e">
        <f t="shared" si="119"/>
        <v>#DIV/0!</v>
      </c>
      <c r="Z544" s="413">
        <v>-32.64</v>
      </c>
      <c r="AA544" s="161">
        <v>1</v>
      </c>
      <c r="AB544" s="409">
        <v>0</v>
      </c>
      <c r="AC544" s="259">
        <f t="shared" si="116"/>
        <v>1</v>
      </c>
      <c r="AD544" s="22" t="s">
        <v>112</v>
      </c>
      <c r="AG544" s="33">
        <f t="shared" si="120"/>
        <v>0</v>
      </c>
      <c r="AH544" s="43" t="s">
        <v>2366</v>
      </c>
      <c r="AI544" s="63">
        <f t="shared" si="121"/>
        <v>1.0932584269662921E-2</v>
      </c>
      <c r="AJ544" s="307">
        <f>RTD("money.excel",,$G544,"PredictVolume")</f>
        <v>1946</v>
      </c>
      <c r="AK544" s="339">
        <v>59</v>
      </c>
    </row>
    <row r="545" spans="1:37">
      <c r="A545" s="415">
        <v>56.8</v>
      </c>
      <c r="B545" s="79">
        <v>36</v>
      </c>
      <c r="C545" s="79">
        <v>36</v>
      </c>
      <c r="D545" s="79">
        <v>0</v>
      </c>
      <c r="E545" s="79">
        <v>25</v>
      </c>
      <c r="F545" s="57">
        <v>21.78</v>
      </c>
      <c r="G545" s="79">
        <v>2441</v>
      </c>
      <c r="H545" s="17" t="s">
        <v>3254</v>
      </c>
      <c r="I545" s="22" t="s">
        <v>277</v>
      </c>
      <c r="J545" s="73">
        <v>74.75</v>
      </c>
      <c r="K545" s="323">
        <v>15.57</v>
      </c>
      <c r="L545" s="323">
        <v>0.93</v>
      </c>
      <c r="N545" s="318">
        <f t="shared" si="123"/>
        <v>91.25</v>
      </c>
      <c r="O545" s="81">
        <f>IFERROR(VLOOKUP($G545,'321買'!A:E,3,0),"'沒有資料'")</f>
        <v>13</v>
      </c>
      <c r="P545" s="380">
        <f>IFERROR(VLOOKUP($G545,'321買'!$A:$G,7,0),"'沒有資料'")</f>
        <v>348</v>
      </c>
      <c r="R545" s="297">
        <f>IFERROR(RANK(VLOOKUP($G545,連買!$A:$D,4,0),連買!$D:$D,0),"'沒有資料'")</f>
        <v>438</v>
      </c>
      <c r="S545" s="66">
        <v>3.1</v>
      </c>
      <c r="T545" s="353">
        <f t="shared" si="117"/>
        <v>4.3847241867043849E-2</v>
      </c>
      <c r="U545" s="95">
        <v>4.68</v>
      </c>
      <c r="V545" s="36">
        <f>RTD("money.excel",,"2441","Price")</f>
        <v>70.7</v>
      </c>
      <c r="W545" s="66"/>
      <c r="X545" s="15">
        <f t="shared" si="118"/>
        <v>70.7</v>
      </c>
      <c r="Y545" s="3" t="e">
        <f t="shared" si="119"/>
        <v>#DIV/0!</v>
      </c>
      <c r="Z545" s="413" t="s">
        <v>1997</v>
      </c>
      <c r="AA545" s="161">
        <v>0</v>
      </c>
      <c r="AB545" s="409">
        <v>0</v>
      </c>
      <c r="AC545" s="259">
        <f t="shared" si="116"/>
        <v>0</v>
      </c>
      <c r="AD545" s="22" t="s">
        <v>277</v>
      </c>
      <c r="AG545" s="33">
        <f t="shared" si="120"/>
        <v>0</v>
      </c>
      <c r="AH545" s="120" t="s">
        <v>3235</v>
      </c>
      <c r="AI545" s="63">
        <f t="shared" si="121"/>
        <v>1.1954225352112677E-3</v>
      </c>
      <c r="AJ545" s="307">
        <f>RTD("money.excel",,$G545,"PredictVolume")</f>
        <v>679</v>
      </c>
      <c r="AK545" s="339"/>
    </row>
    <row r="546" spans="1:37">
      <c r="A546" s="415">
        <v>122</v>
      </c>
      <c r="B546" s="79">
        <v>45</v>
      </c>
      <c r="C546" s="79">
        <v>48</v>
      </c>
      <c r="D546" s="80">
        <v>-6</v>
      </c>
      <c r="E546" s="80">
        <v>-5</v>
      </c>
      <c r="F546" s="57">
        <v>17.91</v>
      </c>
      <c r="G546" s="79">
        <v>2449</v>
      </c>
      <c r="H546" s="17" t="s">
        <v>3254</v>
      </c>
      <c r="I546" s="22" t="s">
        <v>47</v>
      </c>
      <c r="J546" s="73">
        <v>54.05</v>
      </c>
      <c r="K546" s="73">
        <v>31.09</v>
      </c>
      <c r="L546" s="73">
        <v>7.4</v>
      </c>
      <c r="N546" s="318">
        <f t="shared" si="123"/>
        <v>92.54</v>
      </c>
      <c r="O546" s="81">
        <f>IFERROR(VLOOKUP($G546,'321買'!A:E,3,0),"'沒有資料'")</f>
        <v>8</v>
      </c>
      <c r="P546" s="380">
        <f>IFERROR(VLOOKUP($G546,'321買'!$A:$G,7,0),"'沒有資料'")</f>
        <v>448</v>
      </c>
      <c r="R546" s="297">
        <f>IFERROR(RANK(VLOOKUP($G546,連買!$A:$D,4,0),連買!$D:$D,0),"'沒有資料'")</f>
        <v>474</v>
      </c>
      <c r="S546" s="34">
        <v>2</v>
      </c>
      <c r="T546" s="353">
        <f t="shared" si="117"/>
        <v>4.8426150121065381E-2</v>
      </c>
      <c r="U546" s="95">
        <v>2.97</v>
      </c>
      <c r="V546" s="36">
        <f>RTD("money.excel",,"2449","Price")</f>
        <v>41.3</v>
      </c>
      <c r="W546" s="66"/>
      <c r="X546" s="15">
        <f t="shared" si="118"/>
        <v>41.3</v>
      </c>
      <c r="Y546" s="3" t="e">
        <f t="shared" si="119"/>
        <v>#DIV/0!</v>
      </c>
      <c r="Z546" s="413" t="s">
        <v>1801</v>
      </c>
      <c r="AA546" s="161">
        <v>0</v>
      </c>
      <c r="AB546" s="409">
        <v>0</v>
      </c>
      <c r="AC546" s="259">
        <f t="shared" si="116"/>
        <v>0</v>
      </c>
      <c r="AD546" s="22" t="s">
        <v>47</v>
      </c>
      <c r="AG546" s="33">
        <f t="shared" si="120"/>
        <v>0</v>
      </c>
      <c r="AH546" s="120" t="s">
        <v>2481</v>
      </c>
      <c r="AI546" s="63">
        <f t="shared" si="121"/>
        <v>1.6918032786885245E-3</v>
      </c>
      <c r="AJ546" s="307">
        <f>RTD("money.excel",,$G546,"PredictVolume")</f>
        <v>2064</v>
      </c>
      <c r="AK546" s="339"/>
    </row>
    <row r="547" spans="1:37">
      <c r="A547" s="415">
        <v>42.9</v>
      </c>
      <c r="B547" s="79">
        <v>20</v>
      </c>
      <c r="C547" s="79">
        <v>24</v>
      </c>
      <c r="D547" s="80">
        <v>-4</v>
      </c>
      <c r="E547" s="79">
        <v>63</v>
      </c>
      <c r="F547" s="57">
        <v>14.82</v>
      </c>
      <c r="G547" s="79">
        <v>2451</v>
      </c>
      <c r="H547" s="17" t="s">
        <v>3254</v>
      </c>
      <c r="I547" s="22" t="s">
        <v>32</v>
      </c>
      <c r="J547" s="323">
        <v>67.23</v>
      </c>
      <c r="K547" s="323">
        <v>15.9</v>
      </c>
      <c r="L547" s="323">
        <v>11.9</v>
      </c>
      <c r="N547" s="318">
        <f t="shared" si="123"/>
        <v>95.030000000000015</v>
      </c>
      <c r="O547" s="81">
        <f>IFERROR(VLOOKUP($G547,'321買'!A:E,3,0),"'沒有資料'")</f>
        <v>1</v>
      </c>
      <c r="P547" s="380">
        <f>IFERROR(VLOOKUP($G547,'321買'!$A:$G,7,0),"'沒有資料'")</f>
        <v>783</v>
      </c>
      <c r="R547" s="297">
        <f>IFERROR(RANK(VLOOKUP($G547,連買!$A:$D,4,0),連買!$D:$D,0),"'沒有資料'")</f>
        <v>228</v>
      </c>
      <c r="S547" s="66">
        <v>3.05</v>
      </c>
      <c r="T547" s="353">
        <f t="shared" si="117"/>
        <v>4.1780821917808214E-2</v>
      </c>
      <c r="U547" s="57">
        <v>3.01</v>
      </c>
      <c r="V547" s="36">
        <f>RTD("money.excel",,"2451","Price")</f>
        <v>73</v>
      </c>
      <c r="W547" s="66"/>
      <c r="X547" s="15">
        <f t="shared" si="118"/>
        <v>73</v>
      </c>
      <c r="Y547" s="3" t="e">
        <f t="shared" si="119"/>
        <v>#DIV/0!</v>
      </c>
      <c r="Z547" s="413" t="s">
        <v>1831</v>
      </c>
      <c r="AA547" s="161">
        <v>0</v>
      </c>
      <c r="AB547" s="409">
        <v>0</v>
      </c>
      <c r="AC547" s="259">
        <f t="shared" si="116"/>
        <v>0</v>
      </c>
      <c r="AD547" s="22" t="s">
        <v>32</v>
      </c>
      <c r="AG547" s="33">
        <f t="shared" si="120"/>
        <v>0</v>
      </c>
      <c r="AH547" s="120" t="s">
        <v>1420</v>
      </c>
      <c r="AI547" s="63">
        <f t="shared" si="121"/>
        <v>8.041958041958042E-4</v>
      </c>
      <c r="AJ547" s="307">
        <f>RTD("money.excel",,$G547,"PredictVolume")</f>
        <v>345</v>
      </c>
      <c r="AK547" s="339"/>
    </row>
    <row r="548" spans="1:37">
      <c r="A548" s="415">
        <v>159</v>
      </c>
      <c r="B548" s="79">
        <v>169</v>
      </c>
      <c r="C548" s="79">
        <v>149</v>
      </c>
      <c r="D548" s="80">
        <v>-7</v>
      </c>
      <c r="E548" s="79">
        <v>22</v>
      </c>
      <c r="F548" s="57">
        <v>21.9</v>
      </c>
      <c r="G548" s="79">
        <v>2454</v>
      </c>
      <c r="H548" s="8" t="s">
        <v>3254</v>
      </c>
      <c r="I548" s="22" t="s">
        <v>1939</v>
      </c>
      <c r="J548" s="323">
        <v>79.2</v>
      </c>
      <c r="K548" s="323">
        <v>68.83</v>
      </c>
      <c r="L548" s="73">
        <v>2.09</v>
      </c>
      <c r="M548" s="323">
        <v>2.87</v>
      </c>
      <c r="N548" s="73">
        <f t="shared" si="123"/>
        <v>152.99</v>
      </c>
      <c r="O548" s="81">
        <f>IFERROR(VLOOKUP($G548,'321買'!A:E,3,0),"'沒有資料'")</f>
        <v>0</v>
      </c>
      <c r="P548" s="380">
        <f>IFERROR(VLOOKUP($G548,'321買'!$A:$G,7,0),"'沒有資料'")</f>
        <v>911</v>
      </c>
      <c r="Q548" s="245" t="s">
        <v>3818</v>
      </c>
      <c r="R548" s="297">
        <f>IFERROR(RANK(VLOOKUP($G548,連買!$A:$D,4,0),連買!$D:$D,0),"'沒有資料'")</f>
        <v>12</v>
      </c>
      <c r="S548" s="45">
        <v>73</v>
      </c>
      <c r="T548" s="353">
        <f t="shared" si="117"/>
        <v>8.4785133565621368E-2</v>
      </c>
      <c r="U548" s="57">
        <v>70.599999999999994</v>
      </c>
      <c r="V548" s="155">
        <f>RTD("money.excel",,"2454","Price")</f>
        <v>861</v>
      </c>
      <c r="W548" s="66"/>
      <c r="X548" s="141">
        <f t="shared" si="118"/>
        <v>861</v>
      </c>
      <c r="Y548" s="3" t="e">
        <f t="shared" si="119"/>
        <v>#DIV/0!</v>
      </c>
      <c r="Z548" s="413">
        <v>-30.86</v>
      </c>
      <c r="AA548" s="161">
        <v>0</v>
      </c>
      <c r="AB548" s="409">
        <v>0</v>
      </c>
      <c r="AC548" s="259">
        <f t="shared" si="116"/>
        <v>0</v>
      </c>
      <c r="AD548" s="22" t="s">
        <v>1939</v>
      </c>
      <c r="AG548" s="33">
        <f t="shared" si="120"/>
        <v>0</v>
      </c>
      <c r="AH548" s="120" t="s">
        <v>1056</v>
      </c>
      <c r="AI548" s="63">
        <f t="shared" si="121"/>
        <v>3.9088050314465411E-3</v>
      </c>
      <c r="AJ548" s="307">
        <f>RTD("money.excel",,$G548,"PredictVolume")</f>
        <v>6215</v>
      </c>
      <c r="AK548" s="339">
        <v>1.2</v>
      </c>
    </row>
    <row r="549" spans="1:37">
      <c r="A549" s="415">
        <v>30.3</v>
      </c>
      <c r="B549" s="79">
        <v>57</v>
      </c>
      <c r="C549" s="79">
        <v>34</v>
      </c>
      <c r="D549" s="80">
        <v>-16</v>
      </c>
      <c r="E549" s="79">
        <v>0</v>
      </c>
      <c r="F549" s="57">
        <v>30.91</v>
      </c>
      <c r="G549" s="79">
        <v>2458</v>
      </c>
      <c r="H549" s="8" t="s">
        <v>3254</v>
      </c>
      <c r="I549" s="22" t="s">
        <v>57</v>
      </c>
      <c r="J549" s="73">
        <v>46.56</v>
      </c>
      <c r="K549" s="73">
        <v>34.08</v>
      </c>
      <c r="L549" s="323">
        <v>6.86</v>
      </c>
      <c r="M549" s="73">
        <v>5.97</v>
      </c>
      <c r="N549" s="318">
        <f t="shared" si="123"/>
        <v>93.47</v>
      </c>
      <c r="O549" s="81">
        <f>IFERROR(VLOOKUP($G549,'321買'!A:E,3,0),"'沒有資料'")</f>
        <v>8</v>
      </c>
      <c r="P549" s="380">
        <f>IFERROR(VLOOKUP($G549,'321買'!$A:$G,7,0),"'沒有資料'")</f>
        <v>475</v>
      </c>
      <c r="Q549" s="388" t="s">
        <v>6637</v>
      </c>
      <c r="R549" s="297">
        <f>IFERROR(RANK(VLOOKUP($G549,連買!$A:$D,4,0),連買!$D:$D,0),"'沒有資料'")</f>
        <v>50</v>
      </c>
      <c r="S549" s="45">
        <v>13.5</v>
      </c>
      <c r="T549" s="353">
        <f t="shared" si="117"/>
        <v>8.3591331269349839E-2</v>
      </c>
      <c r="U549" s="95">
        <v>17.57</v>
      </c>
      <c r="V549" s="36">
        <f>RTD("money.excel",,"2458","Price")</f>
        <v>161.5</v>
      </c>
      <c r="W549" s="66"/>
      <c r="X549" s="15">
        <f t="shared" si="118"/>
        <v>161.5</v>
      </c>
      <c r="Y549" s="3" t="e">
        <f t="shared" si="119"/>
        <v>#DIV/0!</v>
      </c>
      <c r="Z549" s="413">
        <v>-21.2</v>
      </c>
      <c r="AA549" s="161">
        <v>0</v>
      </c>
      <c r="AB549" s="409">
        <v>0</v>
      </c>
      <c r="AC549" s="259">
        <f t="shared" si="116"/>
        <v>0</v>
      </c>
      <c r="AD549" s="22" t="s">
        <v>57</v>
      </c>
      <c r="AG549" s="33">
        <f t="shared" si="120"/>
        <v>0</v>
      </c>
      <c r="AH549" s="120" t="s">
        <v>2527</v>
      </c>
      <c r="AI549" s="63">
        <f t="shared" si="121"/>
        <v>2.778877887788779E-3</v>
      </c>
      <c r="AJ549" s="307">
        <f>RTD("money.excel",,$G549,"PredictVolume")</f>
        <v>842</v>
      </c>
      <c r="AK549" s="339">
        <v>13.7</v>
      </c>
    </row>
    <row r="550" spans="1:37">
      <c r="A550" s="416">
        <v>33.200000000000003</v>
      </c>
      <c r="B550" s="79">
        <v>98</v>
      </c>
      <c r="C550" s="79">
        <v>58</v>
      </c>
      <c r="D550" s="79">
        <v>6</v>
      </c>
      <c r="E550" s="79">
        <v>27</v>
      </c>
      <c r="F550" s="6">
        <v>9.1999999999999993</v>
      </c>
      <c r="G550" s="79">
        <v>2481</v>
      </c>
      <c r="H550" s="8" t="s">
        <v>3254</v>
      </c>
      <c r="I550" s="22" t="s">
        <v>183</v>
      </c>
      <c r="J550" s="73">
        <v>49.41</v>
      </c>
      <c r="K550" s="73">
        <v>22.93</v>
      </c>
      <c r="L550" s="323">
        <v>17.98</v>
      </c>
      <c r="N550" s="318">
        <f t="shared" si="123"/>
        <v>90.320000000000007</v>
      </c>
      <c r="O550" s="81">
        <f>IFERROR(VLOOKUP($G550,'321買'!A:E,3,0),"'沒有資料'")</f>
        <v>87</v>
      </c>
      <c r="P550" s="380">
        <f>IFERROR(VLOOKUP($G550,'321買'!$A:$G,7,0),"'沒有資料'")</f>
        <v>14</v>
      </c>
      <c r="R550" s="297">
        <f>IFERROR(RANK(VLOOKUP($G550,連買!$A:$D,4,0),連買!$D:$D,0),"'沒有資料'")</f>
        <v>177</v>
      </c>
      <c r="S550" s="34">
        <v>1.5</v>
      </c>
      <c r="T550" s="353">
        <f t="shared" si="117"/>
        <v>1.6519823788546256E-2</v>
      </c>
      <c r="U550" s="57">
        <v>2.7</v>
      </c>
      <c r="V550" s="36">
        <f>RTD("money.excel",,"2481","Price")</f>
        <v>90.8</v>
      </c>
      <c r="W550" s="66"/>
      <c r="X550" s="15">
        <f t="shared" si="118"/>
        <v>90.8</v>
      </c>
      <c r="Y550" s="3" t="e">
        <f t="shared" si="119"/>
        <v>#DIV/0!</v>
      </c>
      <c r="Z550" s="413" t="s">
        <v>1801</v>
      </c>
      <c r="AA550" s="161">
        <v>0</v>
      </c>
      <c r="AB550" s="409">
        <v>0</v>
      </c>
      <c r="AC550" s="259">
        <f t="shared" si="116"/>
        <v>0</v>
      </c>
      <c r="AD550" s="22" t="s">
        <v>183</v>
      </c>
      <c r="AG550" s="33">
        <f t="shared" si="120"/>
        <v>0</v>
      </c>
      <c r="AH550" s="122" t="s">
        <v>2356</v>
      </c>
      <c r="AI550" s="63">
        <f t="shared" si="121"/>
        <v>3.1256024096385539E-2</v>
      </c>
      <c r="AJ550" s="307">
        <f>RTD("money.excel",,$G550,"PredictVolume")</f>
        <v>10377</v>
      </c>
      <c r="AK550" s="339"/>
    </row>
    <row r="551" spans="1:37">
      <c r="A551" s="415">
        <v>28.6</v>
      </c>
      <c r="B551" s="79">
        <v>364</v>
      </c>
      <c r="C551" s="79">
        <v>408</v>
      </c>
      <c r="D551" s="80">
        <v>-7</v>
      </c>
      <c r="E551" s="79">
        <v>9</v>
      </c>
      <c r="F551" s="57">
        <v>24.64</v>
      </c>
      <c r="G551" s="79">
        <v>3006</v>
      </c>
      <c r="H551" s="8" t="s">
        <v>3254</v>
      </c>
      <c r="I551" s="22" t="s">
        <v>95</v>
      </c>
      <c r="J551" s="73">
        <v>44.45</v>
      </c>
      <c r="K551" s="73">
        <v>26.28</v>
      </c>
      <c r="L551" s="73">
        <v>57.57</v>
      </c>
      <c r="M551" s="323">
        <v>5.75</v>
      </c>
      <c r="N551" s="73">
        <f t="shared" si="123"/>
        <v>134.05000000000001</v>
      </c>
      <c r="O551" s="81">
        <f>IFERROR(VLOOKUP($G551,'321買'!A:E,3,0),"'沒有資料'")</f>
        <v>78</v>
      </c>
      <c r="P551" s="380">
        <f>IFERROR(VLOOKUP($G551,'321買'!$A:$G,7,0),"'沒有資料'")</f>
        <v>13</v>
      </c>
      <c r="Q551" s="245" t="s">
        <v>3817</v>
      </c>
      <c r="R551" s="297">
        <f>IFERROR(RANK(VLOOKUP($G551,連買!$A:$D,4,0),連買!$D:$D,0),"'沒有資料'")</f>
        <v>74</v>
      </c>
      <c r="S551" s="66">
        <v>8</v>
      </c>
      <c r="T551" s="353">
        <f t="shared" si="117"/>
        <v>5.9925093632958802E-2</v>
      </c>
      <c r="U551" s="95">
        <v>17.760000000000002</v>
      </c>
      <c r="V551" s="36">
        <f>RTD("money.excel",,"3006","Price")</f>
        <v>133.5</v>
      </c>
      <c r="W551" s="66"/>
      <c r="X551" s="15">
        <f t="shared" si="118"/>
        <v>133.5</v>
      </c>
      <c r="Y551" s="3" t="e">
        <f t="shared" si="119"/>
        <v>#DIV/0!</v>
      </c>
      <c r="Z551" s="413" t="s">
        <v>1997</v>
      </c>
      <c r="AA551" s="161">
        <v>0</v>
      </c>
      <c r="AB551" s="409">
        <v>0</v>
      </c>
      <c r="AC551" s="259">
        <f t="shared" si="116"/>
        <v>0</v>
      </c>
      <c r="AD551" s="22" t="s">
        <v>95</v>
      </c>
      <c r="AG551" s="33">
        <f t="shared" si="120"/>
        <v>0</v>
      </c>
      <c r="AH551" s="120" t="s">
        <v>2289</v>
      </c>
      <c r="AI551" s="63">
        <f t="shared" si="121"/>
        <v>2.8419580419580419E-2</v>
      </c>
      <c r="AJ551" s="307">
        <f>RTD("money.excel",,$G551,"PredictVolume")</f>
        <v>8128</v>
      </c>
      <c r="AK551" s="339">
        <v>38.299999999999997</v>
      </c>
    </row>
    <row r="552" spans="1:37">
      <c r="A552" s="415">
        <v>16.100000000000001</v>
      </c>
      <c r="B552" s="79">
        <v>93</v>
      </c>
      <c r="C552" s="79">
        <v>88</v>
      </c>
      <c r="D552" s="80">
        <v>-16</v>
      </c>
      <c r="E552" s="79">
        <v>3</v>
      </c>
      <c r="F552" s="57">
        <v>29.18</v>
      </c>
      <c r="G552" s="79">
        <v>3014</v>
      </c>
      <c r="H552" s="8" t="s">
        <v>3254</v>
      </c>
      <c r="I552" s="22" t="s">
        <v>97</v>
      </c>
      <c r="J552" s="73">
        <v>19.399999999999999</v>
      </c>
      <c r="K552" s="73">
        <v>11.35</v>
      </c>
      <c r="L552" s="323">
        <v>14.02</v>
      </c>
      <c r="M552" s="323">
        <v>12.5</v>
      </c>
      <c r="N552" s="318">
        <f t="shared" si="123"/>
        <v>57.269999999999996</v>
      </c>
      <c r="O552" s="81">
        <f>IFERROR(VLOOKUP($G552,'321買'!A:E,3,0),"'沒有資料'")</f>
        <v>32</v>
      </c>
      <c r="P552" s="380">
        <f>IFERROR(VLOOKUP($G552,'321買'!$A:$G,7,0),"'沒有資料'")</f>
        <v>110</v>
      </c>
      <c r="Q552" s="388" t="s">
        <v>3818</v>
      </c>
      <c r="R552" s="297">
        <f>IFERROR(RANK(VLOOKUP($G552,連買!$A:$D,4,0),連買!$D:$D,0),"'沒有資料'")</f>
        <v>136</v>
      </c>
      <c r="S552" s="45">
        <v>9</v>
      </c>
      <c r="T552" s="353">
        <f t="shared" si="117"/>
        <v>8.8235294117647065E-2</v>
      </c>
      <c r="U552" s="95">
        <v>11.21</v>
      </c>
      <c r="V552" s="36">
        <f>RTD("money.excel",,"3014","Price")</f>
        <v>102</v>
      </c>
      <c r="W552" s="66"/>
      <c r="X552" s="15">
        <f t="shared" si="118"/>
        <v>102</v>
      </c>
      <c r="Y552" s="3" t="e">
        <f t="shared" si="119"/>
        <v>#DIV/0!</v>
      </c>
      <c r="Z552" s="413">
        <v>-21.25</v>
      </c>
      <c r="AA552" s="161">
        <v>0</v>
      </c>
      <c r="AB552" s="409">
        <v>0</v>
      </c>
      <c r="AC552" s="259">
        <f t="shared" si="116"/>
        <v>0</v>
      </c>
      <c r="AD552" s="22" t="s">
        <v>97</v>
      </c>
      <c r="AG552" s="33">
        <f t="shared" si="120"/>
        <v>0</v>
      </c>
      <c r="AH552" s="120" t="s">
        <v>1444</v>
      </c>
      <c r="AI552" s="63">
        <f t="shared" si="121"/>
        <v>5.7701863354037266E-3</v>
      </c>
      <c r="AJ552" s="307">
        <f>RTD("money.excel",,$G552,"PredictVolume")</f>
        <v>929</v>
      </c>
      <c r="AK552" s="339">
        <v>38.229999999999997</v>
      </c>
    </row>
    <row r="553" spans="1:37">
      <c r="A553" s="416">
        <v>28</v>
      </c>
      <c r="B553" s="80">
        <v>-46</v>
      </c>
      <c r="C553" s="80">
        <v>-91</v>
      </c>
      <c r="D553" s="80">
        <v>-6</v>
      </c>
      <c r="E553" s="79">
        <v>5</v>
      </c>
      <c r="F553" s="6">
        <v>0.1</v>
      </c>
      <c r="G553" s="79">
        <v>3016</v>
      </c>
      <c r="H553" s="208" t="s">
        <v>3254</v>
      </c>
      <c r="I553" s="23" t="s">
        <v>246</v>
      </c>
      <c r="J553" s="323">
        <v>72.36</v>
      </c>
      <c r="K553" s="73">
        <v>2.66</v>
      </c>
      <c r="L553" s="73">
        <v>17.14</v>
      </c>
      <c r="N553" s="318">
        <f t="shared" si="123"/>
        <v>92.16</v>
      </c>
      <c r="O553" s="81">
        <f>IFERROR(VLOOKUP($G553,'321買'!A:E,3,0),"'沒有資料'")</f>
        <v>23</v>
      </c>
      <c r="P553" s="380">
        <f>IFERROR(VLOOKUP($G553,'321買'!$A:$G,7,0),"'沒有資料'")</f>
        <v>215</v>
      </c>
      <c r="R553" s="297">
        <f>IFERROR(RANK(VLOOKUP($G553,連買!$A:$D,4,0),連買!$D:$D,0),"'沒有資料'")</f>
        <v>794</v>
      </c>
      <c r="S553" s="34">
        <v>0.25</v>
      </c>
      <c r="T553" s="353">
        <f t="shared" si="117"/>
        <v>2.2935779816513763E-3</v>
      </c>
      <c r="U553" s="95">
        <v>0.09</v>
      </c>
      <c r="V553" s="36">
        <f>RTD("money.excel",,"3016","Price")</f>
        <v>109</v>
      </c>
      <c r="W553" s="66"/>
      <c r="X553" s="15">
        <f t="shared" si="118"/>
        <v>109</v>
      </c>
      <c r="Y553" s="3" t="e">
        <f t="shared" si="119"/>
        <v>#DIV/0!</v>
      </c>
      <c r="Z553" s="413" t="s">
        <v>1801</v>
      </c>
      <c r="AA553" s="161">
        <v>0</v>
      </c>
      <c r="AB553" s="409">
        <v>0</v>
      </c>
      <c r="AC553" s="259">
        <f t="shared" si="116"/>
        <v>0</v>
      </c>
      <c r="AD553" s="23" t="s">
        <v>246</v>
      </c>
      <c r="AG553" s="33">
        <f t="shared" si="120"/>
        <v>0</v>
      </c>
      <c r="AH553" s="122" t="s">
        <v>2493</v>
      </c>
      <c r="AI553" s="63">
        <f t="shared" si="121"/>
        <v>7.0285714285714283E-3</v>
      </c>
      <c r="AJ553" s="307">
        <f>RTD("money.excel",,$G553,"PredictVolume")</f>
        <v>1968</v>
      </c>
      <c r="AK553" s="339"/>
    </row>
    <row r="554" spans="1:37">
      <c r="A554" s="415">
        <v>60.8</v>
      </c>
      <c r="B554" s="79">
        <v>241</v>
      </c>
      <c r="C554" s="79">
        <v>242</v>
      </c>
      <c r="D554" s="80">
        <v>-1</v>
      </c>
      <c r="E554" s="79">
        <v>62</v>
      </c>
      <c r="F554" s="57">
        <v>34.729999999999997</v>
      </c>
      <c r="G554" s="79">
        <v>3034</v>
      </c>
      <c r="H554" s="8" t="s">
        <v>3254</v>
      </c>
      <c r="I554" s="22" t="s">
        <v>4366</v>
      </c>
      <c r="J554" s="323">
        <v>53.13</v>
      </c>
      <c r="K554" s="323">
        <v>65.06</v>
      </c>
      <c r="L554" s="323">
        <v>4.3099999999999996</v>
      </c>
      <c r="M554" s="323">
        <v>6.94</v>
      </c>
      <c r="N554" s="318">
        <f t="shared" si="123"/>
        <v>129.44</v>
      </c>
      <c r="O554" s="81">
        <f>IFERROR(VLOOKUP($G554,'321買'!A:E,3,0),"'沒有資料'")</f>
        <v>16</v>
      </c>
      <c r="P554" s="380">
        <f>IFERROR(VLOOKUP($G554,'321買'!$A:$G,7,0),"'沒有資料'")</f>
        <v>290</v>
      </c>
      <c r="Q554" s="245" t="s">
        <v>5079</v>
      </c>
      <c r="R554" s="297">
        <f>IFERROR(RANK(VLOOKUP($G554,連買!$A:$D,4,0),連買!$D:$D,0),"'沒有資料'")</f>
        <v>57</v>
      </c>
      <c r="S554" s="66">
        <v>15.6</v>
      </c>
      <c r="T554" s="353">
        <f t="shared" si="117"/>
        <v>3.7681159420289857E-2</v>
      </c>
      <c r="U554" s="57">
        <v>51.89</v>
      </c>
      <c r="V554" s="13">
        <f>RTD("money.excel",,"3034","Price")</f>
        <v>414</v>
      </c>
      <c r="W554" s="66"/>
      <c r="X554" s="15">
        <f t="shared" si="118"/>
        <v>414</v>
      </c>
      <c r="Y554" s="3" t="e">
        <f t="shared" si="119"/>
        <v>#DIV/0!</v>
      </c>
      <c r="Z554" s="413" t="s">
        <v>1997</v>
      </c>
      <c r="AA554" s="161">
        <v>0</v>
      </c>
      <c r="AB554" s="409">
        <v>0</v>
      </c>
      <c r="AC554" s="259">
        <f t="shared" si="116"/>
        <v>0</v>
      </c>
      <c r="AD554" s="22" t="s">
        <v>4366</v>
      </c>
      <c r="AG554" s="33">
        <f t="shared" si="120"/>
        <v>0</v>
      </c>
      <c r="AH554" s="120" t="s">
        <v>2745</v>
      </c>
      <c r="AI554" s="63">
        <f t="shared" si="121"/>
        <v>6.8042763157894733E-3</v>
      </c>
      <c r="AJ554" s="307">
        <f>RTD("money.excel",,$G554,"PredictVolume")</f>
        <v>4137</v>
      </c>
      <c r="AK554" s="339">
        <v>5.3</v>
      </c>
    </row>
    <row r="555" spans="1:37">
      <c r="A555" s="415">
        <v>24.8</v>
      </c>
      <c r="B555" s="79">
        <v>403</v>
      </c>
      <c r="C555" s="79">
        <v>840</v>
      </c>
      <c r="D555" s="80">
        <v>-1</v>
      </c>
      <c r="E555" s="79">
        <v>122</v>
      </c>
      <c r="F555" s="57">
        <v>17.34</v>
      </c>
      <c r="G555" s="79">
        <v>3035</v>
      </c>
      <c r="H555" s="8" t="s">
        <v>3254</v>
      </c>
      <c r="I555" s="22" t="s">
        <v>1926</v>
      </c>
      <c r="J555" s="323">
        <v>46.1</v>
      </c>
      <c r="K555" s="73">
        <v>51.87</v>
      </c>
      <c r="L555" s="323">
        <v>15.07</v>
      </c>
      <c r="M555" s="323">
        <v>14.35</v>
      </c>
      <c r="N555" s="318">
        <f t="shared" si="123"/>
        <v>127.38999999999999</v>
      </c>
      <c r="O555" s="81">
        <f>IFERROR(VLOOKUP($G555,'321買'!A:E,3,0),"'沒有資料'")</f>
        <v>125</v>
      </c>
      <c r="P555" s="380">
        <f>IFERROR(VLOOKUP($G555,'321買'!$A:$G,7,0),"'沒有資料'")</f>
        <v>5</v>
      </c>
      <c r="Q555" s="245" t="s">
        <v>5088</v>
      </c>
      <c r="R555" s="297">
        <f>IFERROR(RANK(VLOOKUP($G555,連買!$A:$D,4,0),連買!$D:$D,0),"'沒有資料'")</f>
        <v>117</v>
      </c>
      <c r="S555" s="66">
        <v>3.3</v>
      </c>
      <c r="T555" s="353">
        <f t="shared" si="117"/>
        <v>1.1722912966252219E-2</v>
      </c>
      <c r="U555" s="95">
        <v>4.6500000000000004</v>
      </c>
      <c r="V555" s="13">
        <f>RTD("money.excel",,"3035","Price")</f>
        <v>281.5</v>
      </c>
      <c r="W555" s="66"/>
      <c r="X555" s="15">
        <f t="shared" si="118"/>
        <v>281.5</v>
      </c>
      <c r="Y555" s="3" t="e">
        <f t="shared" si="119"/>
        <v>#DIV/0!</v>
      </c>
      <c r="Z555" s="413">
        <v>-1.68</v>
      </c>
      <c r="AA555" s="161">
        <v>0</v>
      </c>
      <c r="AB555" s="409">
        <v>0</v>
      </c>
      <c r="AC555" s="259">
        <f t="shared" si="116"/>
        <v>0</v>
      </c>
      <c r="AD555" s="22" t="s">
        <v>1926</v>
      </c>
      <c r="AG555" s="33">
        <f t="shared" si="120"/>
        <v>0</v>
      </c>
      <c r="AH555" s="120" t="s">
        <v>2498</v>
      </c>
      <c r="AI555" s="63">
        <f t="shared" si="121"/>
        <v>0.10651612903225806</v>
      </c>
      <c r="AJ555" s="307">
        <f>RTD("money.excel",,$G555,"PredictVolume")</f>
        <v>26416</v>
      </c>
      <c r="AK555" s="339">
        <v>45.71</v>
      </c>
    </row>
    <row r="556" spans="1:37">
      <c r="A556" s="416">
        <v>19.3</v>
      </c>
      <c r="B556" s="79">
        <v>41</v>
      </c>
      <c r="C556" s="79">
        <v>56</v>
      </c>
      <c r="D556" s="79">
        <v>39</v>
      </c>
      <c r="E556" s="79">
        <v>73</v>
      </c>
      <c r="F556" s="6">
        <v>-5.41</v>
      </c>
      <c r="G556" s="79">
        <v>3041</v>
      </c>
      <c r="H556" s="8" t="s">
        <v>3254</v>
      </c>
      <c r="I556" s="22" t="s">
        <v>4367</v>
      </c>
      <c r="J556" s="323">
        <v>18.059999999999999</v>
      </c>
      <c r="K556" s="323">
        <v>10.92</v>
      </c>
      <c r="L556" s="73">
        <v>58.11</v>
      </c>
      <c r="M556" s="73">
        <v>0.98</v>
      </c>
      <c r="N556" s="318">
        <f t="shared" si="123"/>
        <v>88.070000000000007</v>
      </c>
      <c r="O556" s="81">
        <f>IFERROR(VLOOKUP($G556,'321買'!A:E,3,0),"'沒有資料'")</f>
        <v>40</v>
      </c>
      <c r="P556" s="380">
        <f>IFERROR(VLOOKUP($G556,'321買'!$A:$G,7,0),"'沒有資料'")</f>
        <v>113</v>
      </c>
      <c r="Q556" s="245" t="s">
        <v>5063</v>
      </c>
      <c r="R556" s="297">
        <f>IFERROR(RANK(VLOOKUP($G556,連買!$A:$D,4,0),連買!$D:$D,0),"'沒有資料'")</f>
        <v>634</v>
      </c>
      <c r="S556" s="34">
        <v>0</v>
      </c>
      <c r="T556" s="353">
        <f t="shared" si="117"/>
        <v>0</v>
      </c>
      <c r="U556" s="95">
        <v>-0.89</v>
      </c>
      <c r="V556" s="36">
        <f>RTD("money.excel",,"3041","Price")</f>
        <v>30.95</v>
      </c>
      <c r="W556" s="66"/>
      <c r="X556" s="15">
        <f t="shared" si="118"/>
        <v>30.95</v>
      </c>
      <c r="Y556" s="3" t="e">
        <f t="shared" si="119"/>
        <v>#DIV/0!</v>
      </c>
      <c r="Z556" s="413" t="s">
        <v>1801</v>
      </c>
      <c r="AA556" s="161">
        <v>0</v>
      </c>
      <c r="AB556" s="409">
        <v>0</v>
      </c>
      <c r="AC556" s="259">
        <f t="shared" si="116"/>
        <v>0</v>
      </c>
      <c r="AD556" s="22" t="s">
        <v>4367</v>
      </c>
      <c r="AG556" s="33">
        <f t="shared" si="120"/>
        <v>0</v>
      </c>
      <c r="AH556" s="43" t="s">
        <v>1464</v>
      </c>
      <c r="AI556" s="63">
        <f t="shared" si="121"/>
        <v>7.5854922279792745E-3</v>
      </c>
      <c r="AJ556" s="307">
        <f>RTD("money.excel",,$G556,"PredictVolume")</f>
        <v>1464</v>
      </c>
      <c r="AK556" s="339">
        <v>53.55</v>
      </c>
    </row>
    <row r="557" spans="1:37">
      <c r="A557" s="416">
        <v>8.7799999999999994</v>
      </c>
      <c r="B557" s="91">
        <v>-389</v>
      </c>
      <c r="C557" s="91">
        <v>-4</v>
      </c>
      <c r="D557" s="91">
        <v>-35</v>
      </c>
      <c r="E557" s="91">
        <v>0</v>
      </c>
      <c r="F557" s="6">
        <v>-26.46</v>
      </c>
      <c r="G557" s="79">
        <v>3054</v>
      </c>
      <c r="H557" s="8" t="s">
        <v>3254</v>
      </c>
      <c r="I557" s="22" t="s">
        <v>4368</v>
      </c>
      <c r="J557" s="73">
        <v>84.37</v>
      </c>
      <c r="K557" s="73">
        <v>0.23</v>
      </c>
      <c r="L557" s="73">
        <v>12.79</v>
      </c>
      <c r="N557" s="318">
        <f t="shared" si="123"/>
        <v>97.390000000000015</v>
      </c>
      <c r="O557" s="81">
        <f>IFERROR(VLOOKUP($G557,'321買'!A:E,3,0),"'沒有資料'")</f>
        <v>0</v>
      </c>
      <c r="P557" s="380">
        <f>IFERROR(VLOOKUP($G557,'321買'!$A:$G,7,0),"'沒有資料'")</f>
        <v>911</v>
      </c>
      <c r="R557" s="297">
        <f>IFERROR(RANK(VLOOKUP($G557,連買!$A:$D,4,0),連買!$D:$D,0),"'沒有資料'")</f>
        <v>792</v>
      </c>
      <c r="S557" s="34">
        <v>0</v>
      </c>
      <c r="T557" s="353">
        <f t="shared" si="117"/>
        <v>0</v>
      </c>
      <c r="U557" s="95">
        <v>-0.16</v>
      </c>
      <c r="V557" s="13">
        <f>RTD("money.excel",,"3054","Price")</f>
        <v>22.1</v>
      </c>
      <c r="W557" s="66"/>
      <c r="X557" s="15">
        <f t="shared" si="118"/>
        <v>22.1</v>
      </c>
      <c r="Y557" s="3" t="e">
        <f t="shared" si="119"/>
        <v>#DIV/0!</v>
      </c>
      <c r="AA557" s="161">
        <v>0</v>
      </c>
      <c r="AB557" s="409">
        <v>0</v>
      </c>
      <c r="AC557" s="259">
        <f t="shared" si="116"/>
        <v>0</v>
      </c>
      <c r="AD557" s="22" t="s">
        <v>4368</v>
      </c>
      <c r="AG557" s="33">
        <f t="shared" si="120"/>
        <v>0</v>
      </c>
      <c r="AH557" s="43" t="s">
        <v>1420</v>
      </c>
      <c r="AI557" s="63">
        <f t="shared" si="121"/>
        <v>8.200455580865604E-4</v>
      </c>
      <c r="AJ557" s="307">
        <f>RTD("money.excel",,$G557,"PredictVolume")</f>
        <v>72</v>
      </c>
      <c r="AK557" s="339"/>
    </row>
    <row r="558" spans="1:37">
      <c r="A558" s="416">
        <v>1.71</v>
      </c>
      <c r="B558" s="91">
        <v>91</v>
      </c>
      <c r="C558" s="91">
        <v>104</v>
      </c>
      <c r="D558" s="91">
        <v>-39</v>
      </c>
      <c r="E558" s="91">
        <v>102</v>
      </c>
      <c r="F558" s="6">
        <v>1.8</v>
      </c>
      <c r="G558" s="79">
        <v>3073</v>
      </c>
      <c r="H558" s="149" t="s">
        <v>3254</v>
      </c>
      <c r="I558" s="16" t="s">
        <v>3376</v>
      </c>
      <c r="J558" s="73">
        <v>55.6</v>
      </c>
      <c r="K558" s="73">
        <v>0.12</v>
      </c>
      <c r="N558" s="318">
        <f t="shared" si="123"/>
        <v>55.72</v>
      </c>
      <c r="O558" s="81" t="str">
        <f>IFERROR(VLOOKUP($G558,'321買'!A:E,3,0),"'沒有資料'")</f>
        <v>'沒有資料'</v>
      </c>
      <c r="P558" s="380" t="str">
        <f>IFERROR(VLOOKUP($G558,'321買'!$A:$G,7,0),"'沒有資料'")</f>
        <v>'沒有資料'</v>
      </c>
      <c r="R558" s="297">
        <f>IFERROR(RANK(VLOOKUP($G558,連買!$A:$D,4,0),連買!$D:$D,0),"'沒有資料'")</f>
        <v>1356</v>
      </c>
      <c r="S558" s="34">
        <v>0</v>
      </c>
      <c r="T558" s="353">
        <f t="shared" si="117"/>
        <v>0</v>
      </c>
      <c r="U558" s="95">
        <v>-0.31</v>
      </c>
      <c r="V558" s="36">
        <f>RTD("money.excel",,"3073","Price")</f>
        <v>29.45</v>
      </c>
      <c r="W558" s="66"/>
      <c r="X558" s="15">
        <f t="shared" si="118"/>
        <v>29.45</v>
      </c>
      <c r="Y558" s="3" t="e">
        <f t="shared" si="119"/>
        <v>#DIV/0!</v>
      </c>
      <c r="AA558" s="161">
        <v>0</v>
      </c>
      <c r="AB558" s="409">
        <v>0</v>
      </c>
      <c r="AC558" s="259">
        <f t="shared" si="116"/>
        <v>0</v>
      </c>
      <c r="AD558" s="16" t="s">
        <v>3376</v>
      </c>
      <c r="AG558" s="33">
        <f t="shared" si="120"/>
        <v>0</v>
      </c>
      <c r="AH558" s="43" t="s">
        <v>3377</v>
      </c>
      <c r="AI558" s="63">
        <f t="shared" si="121"/>
        <v>1.7543859649122806E-4</v>
      </c>
      <c r="AJ558" s="307">
        <f>RTD("money.excel",,$G558,"PredictVolume")</f>
        <v>3</v>
      </c>
      <c r="AK558" s="339"/>
    </row>
    <row r="559" spans="1:37">
      <c r="A559" s="415">
        <v>8.4600000000000009</v>
      </c>
      <c r="B559" s="79">
        <v>106</v>
      </c>
      <c r="C559" s="79">
        <v>199</v>
      </c>
      <c r="D559" s="79">
        <v>6</v>
      </c>
      <c r="E559" s="79">
        <v>12</v>
      </c>
      <c r="F559" s="57">
        <v>20.85</v>
      </c>
      <c r="G559" s="79">
        <v>3094</v>
      </c>
      <c r="H559" s="8" t="s">
        <v>3254</v>
      </c>
      <c r="I559" s="22" t="s">
        <v>348</v>
      </c>
      <c r="J559" s="323">
        <v>12.4</v>
      </c>
      <c r="K559" s="323">
        <v>2.0299999999999998</v>
      </c>
      <c r="L559" s="73">
        <v>59.24</v>
      </c>
      <c r="M559" s="323">
        <v>11.71</v>
      </c>
      <c r="N559" s="318">
        <f t="shared" si="123"/>
        <v>85.38</v>
      </c>
      <c r="O559" s="81">
        <f>IFERROR(VLOOKUP($G559,'321買'!A:E,3,0),"'沒有資料'")</f>
        <v>33</v>
      </c>
      <c r="P559" s="380">
        <f>IFERROR(VLOOKUP($G559,'321買'!$A:$G,7,0),"'沒有資料'")</f>
        <v>147</v>
      </c>
      <c r="Q559" s="245" t="s">
        <v>3815</v>
      </c>
      <c r="R559" s="297">
        <f>IFERROR(RANK(VLOOKUP($G559,連買!$A:$D,4,0),連買!$D:$D,0),"'沒有資料'")</f>
        <v>1384</v>
      </c>
      <c r="S559" s="34">
        <v>0.8</v>
      </c>
      <c r="T559" s="353">
        <f t="shared" si="117"/>
        <v>2.5000000000000001E-2</v>
      </c>
      <c r="U559" s="95">
        <v>0.73</v>
      </c>
      <c r="V559" s="36">
        <f>RTD("money.excel",,"3094","Price")</f>
        <v>32</v>
      </c>
      <c r="W559" s="66"/>
      <c r="X559" s="15">
        <f t="shared" si="118"/>
        <v>32</v>
      </c>
      <c r="Y559" s="3" t="e">
        <f t="shared" si="119"/>
        <v>#DIV/0!</v>
      </c>
      <c r="Z559" s="413" t="s">
        <v>1801</v>
      </c>
      <c r="AA559" s="161">
        <v>0</v>
      </c>
      <c r="AB559" s="409">
        <v>0</v>
      </c>
      <c r="AC559" s="259">
        <f t="shared" si="116"/>
        <v>0</v>
      </c>
      <c r="AD559" s="22" t="s">
        <v>348</v>
      </c>
      <c r="AG559" s="33">
        <f t="shared" si="120"/>
        <v>0</v>
      </c>
      <c r="AH559" s="43" t="s">
        <v>2308</v>
      </c>
      <c r="AI559" s="63">
        <f t="shared" si="121"/>
        <v>4.6335697399527177E-3</v>
      </c>
      <c r="AJ559" s="307">
        <f>RTD("money.excel",,$G559,"PredictVolume")</f>
        <v>392</v>
      </c>
      <c r="AK559" s="339"/>
    </row>
    <row r="560" spans="1:37">
      <c r="A560" s="415">
        <v>42.4</v>
      </c>
      <c r="B560" s="80">
        <v>-19</v>
      </c>
      <c r="C560" s="80">
        <v>-17</v>
      </c>
      <c r="D560" s="79">
        <v>3</v>
      </c>
      <c r="E560" s="80">
        <v>-7</v>
      </c>
      <c r="F560" s="57">
        <v>24.53</v>
      </c>
      <c r="G560" s="79">
        <v>3105</v>
      </c>
      <c r="H560" s="149" t="s">
        <v>3254</v>
      </c>
      <c r="I560" s="16" t="s">
        <v>260</v>
      </c>
      <c r="J560" s="323">
        <v>70.37</v>
      </c>
      <c r="K560" s="323">
        <v>46.36</v>
      </c>
      <c r="L560" s="73">
        <v>4.49</v>
      </c>
      <c r="M560" s="323">
        <v>6.62</v>
      </c>
      <c r="N560" s="318">
        <f t="shared" si="123"/>
        <v>127.84</v>
      </c>
      <c r="O560" s="81">
        <f>IFERROR(VLOOKUP($G560,'321買'!A:E,3,0),"'沒有資料'")</f>
        <v>10</v>
      </c>
      <c r="P560" s="380">
        <f>IFERROR(VLOOKUP($G560,'321買'!$A:$G,7,0),"'沒有資料'")</f>
        <v>408</v>
      </c>
      <c r="Q560" s="245" t="s">
        <v>3816</v>
      </c>
      <c r="R560" s="297">
        <f>IFERROR(RANK(VLOOKUP($G560,連買!$A:$D,4,0),連買!$D:$D,0),"'沒有資料'")</f>
        <v>113</v>
      </c>
      <c r="S560" s="45">
        <v>8</v>
      </c>
      <c r="T560" s="353">
        <f t="shared" si="117"/>
        <v>3.4782608695652174E-2</v>
      </c>
      <c r="U560" s="57">
        <v>12.9</v>
      </c>
      <c r="V560" s="13">
        <f>RTD("money.excel",,"3105","Price")</f>
        <v>230</v>
      </c>
      <c r="W560" s="66"/>
      <c r="X560" s="15">
        <f t="shared" si="118"/>
        <v>230</v>
      </c>
      <c r="Y560" s="3" t="e">
        <f t="shared" si="119"/>
        <v>#DIV/0!</v>
      </c>
      <c r="Z560" s="413">
        <v>-40.17</v>
      </c>
      <c r="AA560" s="161">
        <v>0</v>
      </c>
      <c r="AB560" s="409">
        <v>0</v>
      </c>
      <c r="AC560" s="259">
        <f t="shared" si="116"/>
        <v>0</v>
      </c>
      <c r="AD560" s="16" t="s">
        <v>260</v>
      </c>
      <c r="AG560" s="33">
        <f t="shared" si="120"/>
        <v>0</v>
      </c>
      <c r="AH560" s="120" t="s">
        <v>2508</v>
      </c>
      <c r="AI560" s="63">
        <f t="shared" ref="AI560:AI591" si="124">AJ560/(A560*10000)</f>
        <v>4.7806603773584908E-3</v>
      </c>
      <c r="AJ560" s="307">
        <f>RTD("money.excel",,$G560,"PredictVolume")</f>
        <v>2027</v>
      </c>
      <c r="AK560" s="339">
        <v>6.32</v>
      </c>
    </row>
    <row r="561" spans="1:37">
      <c r="A561" s="415">
        <v>3.89</v>
      </c>
      <c r="B561" s="93">
        <v>1262</v>
      </c>
      <c r="C561" s="93">
        <v>1058</v>
      </c>
      <c r="D561" s="80">
        <v>-45</v>
      </c>
      <c r="E561" s="79">
        <v>32</v>
      </c>
      <c r="F561" s="57">
        <v>17.05</v>
      </c>
      <c r="G561" s="79">
        <v>3122</v>
      </c>
      <c r="H561" s="149" t="s">
        <v>3254</v>
      </c>
      <c r="I561" s="16" t="s">
        <v>360</v>
      </c>
      <c r="J561" s="323">
        <v>16.170000000000002</v>
      </c>
      <c r="K561" s="73">
        <v>6.3</v>
      </c>
      <c r="L561" s="73">
        <v>38.47</v>
      </c>
      <c r="M561" s="323">
        <v>15.47</v>
      </c>
      <c r="N561" s="318">
        <f t="shared" si="123"/>
        <v>76.41</v>
      </c>
      <c r="O561" s="81">
        <f>IFERROR(VLOOKUP($G561,'321買'!A:E,3,0),"'沒有資料'")</f>
        <v>80</v>
      </c>
      <c r="P561" s="380">
        <f>IFERROR(VLOOKUP($G561,'321買'!$A:$G,7,0),"'沒有資料'")</f>
        <v>23</v>
      </c>
      <c r="Q561" s="245" t="s">
        <v>3816</v>
      </c>
      <c r="R561" s="297">
        <f>IFERROR(RANK(VLOOKUP($G561,連買!$A:$D,4,0),連買!$D:$D,0),"'沒有資料'")</f>
        <v>395</v>
      </c>
      <c r="S561" s="34">
        <v>2.2000000000000002</v>
      </c>
      <c r="T561" s="353">
        <f t="shared" ref="T561:T591" si="125">S561/V561</f>
        <v>3.6727879799666116E-2</v>
      </c>
      <c r="U561" s="95">
        <v>3.38</v>
      </c>
      <c r="V561" s="36">
        <f>RTD("money.excel",,"3122","Price")</f>
        <v>59.9</v>
      </c>
      <c r="W561" s="66"/>
      <c r="X561" s="15">
        <f t="shared" si="118"/>
        <v>59.9</v>
      </c>
      <c r="Y561" s="3" t="e">
        <f t="shared" si="119"/>
        <v>#DIV/0!</v>
      </c>
      <c r="Z561" s="413" t="s">
        <v>1801</v>
      </c>
      <c r="AA561" s="161">
        <v>0</v>
      </c>
      <c r="AB561" s="409">
        <v>0</v>
      </c>
      <c r="AC561" s="259">
        <f t="shared" si="116"/>
        <v>0</v>
      </c>
      <c r="AD561" s="16" t="s">
        <v>360</v>
      </c>
      <c r="AG561" s="33">
        <f t="shared" si="120"/>
        <v>0</v>
      </c>
      <c r="AH561" s="43" t="s">
        <v>2535</v>
      </c>
      <c r="AI561" s="63">
        <f t="shared" si="124"/>
        <v>0.11645244215938304</v>
      </c>
      <c r="AJ561" s="307">
        <f>RTD("money.excel",,$G561,"PredictVolume")</f>
        <v>4530</v>
      </c>
      <c r="AK561" s="339">
        <v>83.74</v>
      </c>
    </row>
    <row r="562" spans="1:37">
      <c r="A562" s="415">
        <v>7.48</v>
      </c>
      <c r="B562" s="79">
        <v>445</v>
      </c>
      <c r="C562" s="79">
        <v>461</v>
      </c>
      <c r="D562" s="80">
        <v>-14</v>
      </c>
      <c r="E562" s="79">
        <v>41</v>
      </c>
      <c r="F562" s="57">
        <v>29.97</v>
      </c>
      <c r="G562" s="79">
        <v>3141</v>
      </c>
      <c r="H562" s="149" t="s">
        <v>3254</v>
      </c>
      <c r="I562" s="16" t="s">
        <v>181</v>
      </c>
      <c r="J562" s="323">
        <v>8.83</v>
      </c>
      <c r="K562" s="323">
        <v>15.29</v>
      </c>
      <c r="L562" s="323">
        <v>50.68</v>
      </c>
      <c r="M562" s="323">
        <v>4.07</v>
      </c>
      <c r="N562" s="318">
        <f t="shared" si="123"/>
        <v>78.87</v>
      </c>
      <c r="O562" s="81">
        <f>IFERROR(VLOOKUP($G562,'321買'!A:E,3,0),"'沒有資料'")</f>
        <v>118</v>
      </c>
      <c r="P562" s="380">
        <f>IFERROR(VLOOKUP($G562,'321買'!$A:$G,7,0),"'沒有資料'")</f>
        <v>3</v>
      </c>
      <c r="Q562" s="388" t="s">
        <v>3817</v>
      </c>
      <c r="R562" s="297">
        <f>IFERROR(RANK(VLOOKUP($G562,連買!$A:$D,4,0),連買!$D:$D,0),"'沒有資料'")</f>
        <v>84</v>
      </c>
      <c r="S562" s="45">
        <v>4</v>
      </c>
      <c r="T562" s="353">
        <f t="shared" si="125"/>
        <v>2.4169184290030211E-2</v>
      </c>
      <c r="U562" s="95">
        <v>9.9600000000000009</v>
      </c>
      <c r="V562" s="36">
        <f>RTD("money.excel",,"3141","Price")</f>
        <v>165.5</v>
      </c>
      <c r="W562" s="66"/>
      <c r="X562" s="15">
        <f t="shared" si="118"/>
        <v>165.5</v>
      </c>
      <c r="Y562" s="3" t="e">
        <f t="shared" si="119"/>
        <v>#DIV/0!</v>
      </c>
      <c r="Z562" s="413">
        <v>-37.44</v>
      </c>
      <c r="AA562" s="161">
        <v>0</v>
      </c>
      <c r="AB562" s="409">
        <v>0</v>
      </c>
      <c r="AC562" s="259">
        <f t="shared" si="116"/>
        <v>0</v>
      </c>
      <c r="AD562" s="16" t="s">
        <v>181</v>
      </c>
      <c r="AG562" s="33">
        <f t="shared" si="120"/>
        <v>0</v>
      </c>
      <c r="AH562" s="122" t="s">
        <v>2310</v>
      </c>
      <c r="AI562" s="63">
        <f t="shared" si="124"/>
        <v>4.8355614973262032E-2</v>
      </c>
      <c r="AJ562" s="307">
        <f>RTD("money.excel",,$G562,"PredictVolume")</f>
        <v>3617</v>
      </c>
      <c r="AK562" s="339">
        <v>66.83</v>
      </c>
    </row>
    <row r="563" spans="1:37">
      <c r="A563" s="415">
        <v>6.22</v>
      </c>
      <c r="B563" s="79">
        <v>141</v>
      </c>
      <c r="C563" s="79">
        <v>145</v>
      </c>
      <c r="D563" s="80">
        <v>-16</v>
      </c>
      <c r="E563" s="79">
        <v>46</v>
      </c>
      <c r="F563" s="57">
        <v>34.74</v>
      </c>
      <c r="G563" s="79">
        <v>3169</v>
      </c>
      <c r="H563" s="149" t="s">
        <v>3254</v>
      </c>
      <c r="I563" s="16" t="s">
        <v>361</v>
      </c>
      <c r="J563" s="73">
        <v>30.61</v>
      </c>
      <c r="K563" s="73">
        <v>8.1999999999999993</v>
      </c>
      <c r="L563" s="73">
        <v>60.43</v>
      </c>
      <c r="M563" s="323">
        <v>24.19</v>
      </c>
      <c r="N563" s="318">
        <f t="shared" si="123"/>
        <v>123.43</v>
      </c>
      <c r="O563" s="81">
        <f>IFERROR(VLOOKUP($G563,'321買'!A:E,3,0),"'沒有資料'")</f>
        <v>85</v>
      </c>
      <c r="P563" s="380">
        <f>IFERROR(VLOOKUP($G563,'321買'!$A:$G,7,0),"'沒有資料'")</f>
        <v>12</v>
      </c>
      <c r="Q563" s="245" t="s">
        <v>5088</v>
      </c>
      <c r="R563" s="297">
        <f>IFERROR(RANK(VLOOKUP($G563,連買!$A:$D,4,0),連買!$D:$D,0),"'沒有資料'")</f>
        <v>1620</v>
      </c>
      <c r="S563" s="66">
        <v>5</v>
      </c>
      <c r="T563" s="353">
        <f t="shared" si="125"/>
        <v>2.7472527472527472E-2</v>
      </c>
      <c r="U563" s="95">
        <v>6.39</v>
      </c>
      <c r="V563" s="36">
        <f>RTD("money.excel",,"3169","Price")</f>
        <v>182</v>
      </c>
      <c r="W563" s="66"/>
      <c r="X563" s="15">
        <f t="shared" si="118"/>
        <v>182</v>
      </c>
      <c r="Y563" s="3" t="e">
        <f t="shared" si="119"/>
        <v>#DIV/0!</v>
      </c>
      <c r="Z563" s="413" t="s">
        <v>1997</v>
      </c>
      <c r="AA563" s="161">
        <v>0</v>
      </c>
      <c r="AB563" s="409">
        <v>0</v>
      </c>
      <c r="AC563" s="259">
        <f t="shared" si="116"/>
        <v>0</v>
      </c>
      <c r="AD563" s="16" t="s">
        <v>361</v>
      </c>
      <c r="AG563" s="33">
        <f t="shared" si="120"/>
        <v>0</v>
      </c>
      <c r="AH563" s="43" t="s">
        <v>3078</v>
      </c>
      <c r="AI563" s="63">
        <f t="shared" si="124"/>
        <v>4.2459807073954983E-2</v>
      </c>
      <c r="AJ563" s="307">
        <f>RTD("money.excel",,$G563,"PredictVolume")</f>
        <v>2641</v>
      </c>
      <c r="AK563" s="339">
        <v>70.58</v>
      </c>
    </row>
    <row r="564" spans="1:37">
      <c r="A564" s="416">
        <v>45</v>
      </c>
      <c r="B564" s="79">
        <v>129</v>
      </c>
      <c r="C564" s="79">
        <v>144</v>
      </c>
      <c r="D564" s="80">
        <v>-1</v>
      </c>
      <c r="E564" s="79">
        <v>15</v>
      </c>
      <c r="F564" s="6">
        <v>4.0599999999999996</v>
      </c>
      <c r="G564" s="79">
        <v>3189</v>
      </c>
      <c r="H564" s="8" t="s">
        <v>3254</v>
      </c>
      <c r="I564" s="22" t="s">
        <v>4369</v>
      </c>
      <c r="J564" s="73">
        <v>65.77</v>
      </c>
      <c r="K564" s="73">
        <v>25.38</v>
      </c>
      <c r="L564" s="323">
        <v>10.45</v>
      </c>
      <c r="N564" s="318">
        <f t="shared" si="123"/>
        <v>101.6</v>
      </c>
      <c r="O564" s="81">
        <f>IFERROR(VLOOKUP($G564,'321買'!A:E,3,0),"'沒有資料'")</f>
        <v>71</v>
      </c>
      <c r="P564" s="380">
        <f>IFERROR(VLOOKUP($G564,'321買'!$A:$G,7,0),"'沒有資料'")</f>
        <v>35</v>
      </c>
      <c r="R564" s="297">
        <f>IFERROR(RANK(VLOOKUP($G564,連買!$A:$D,4,0),連買!$D:$D,0),"'沒有資料'")</f>
        <v>73</v>
      </c>
      <c r="S564" s="34">
        <v>1</v>
      </c>
      <c r="T564" s="353">
        <f t="shared" si="125"/>
        <v>5.2770448548812663E-3</v>
      </c>
      <c r="U564" s="95">
        <v>1.6</v>
      </c>
      <c r="V564" s="36">
        <f>RTD("money.excel",,"3189","Price")</f>
        <v>189.5</v>
      </c>
      <c r="W564" s="66"/>
      <c r="X564" s="15">
        <f t="shared" si="118"/>
        <v>189.5</v>
      </c>
      <c r="Y564" s="3" t="e">
        <f t="shared" si="119"/>
        <v>#DIV/0!</v>
      </c>
      <c r="Z564" s="413" t="s">
        <v>1801</v>
      </c>
      <c r="AA564" s="161">
        <v>0</v>
      </c>
      <c r="AB564" s="409">
        <v>0</v>
      </c>
      <c r="AC564" s="259">
        <f t="shared" si="116"/>
        <v>0</v>
      </c>
      <c r="AD564" s="22" t="s">
        <v>4369</v>
      </c>
      <c r="AG564" s="33">
        <f t="shared" si="120"/>
        <v>0</v>
      </c>
      <c r="AH564" s="120" t="s">
        <v>2486</v>
      </c>
      <c r="AI564" s="63">
        <f t="shared" si="124"/>
        <v>2.5024444444444443E-2</v>
      </c>
      <c r="AJ564" s="307">
        <f>RTD("money.excel",,$G564,"PredictVolume")</f>
        <v>11261</v>
      </c>
      <c r="AK564" s="339"/>
    </row>
    <row r="565" spans="1:37">
      <c r="A565" s="416">
        <v>7.03</v>
      </c>
      <c r="B565" s="91">
        <v>139</v>
      </c>
      <c r="C565" s="91">
        <v>181</v>
      </c>
      <c r="D565" s="91">
        <v>-1</v>
      </c>
      <c r="E565" s="91"/>
      <c r="F565" s="6">
        <v>-9.24</v>
      </c>
      <c r="G565" s="79">
        <v>3219</v>
      </c>
      <c r="H565" s="149" t="s">
        <v>3254</v>
      </c>
      <c r="I565" s="16" t="s">
        <v>3145</v>
      </c>
      <c r="J565" s="73">
        <v>47.33</v>
      </c>
      <c r="K565" s="73">
        <v>0.02</v>
      </c>
      <c r="L565" s="73">
        <v>5.95</v>
      </c>
      <c r="N565" s="318">
        <f t="shared" si="123"/>
        <v>53.300000000000004</v>
      </c>
      <c r="O565" s="81">
        <f>IFERROR(VLOOKUP($G565,'321買'!A:E,3,0),"'沒有資料'")</f>
        <v>0</v>
      </c>
      <c r="P565" s="380">
        <f>IFERROR(VLOOKUP($G565,'321買'!$A:$G,7,0),"'沒有資料'")</f>
        <v>911</v>
      </c>
      <c r="R565" s="297">
        <f>IFERROR(RANK(VLOOKUP($G565,連買!$A:$D,4,0),連買!$D:$D,0),"'沒有資料'")</f>
        <v>106</v>
      </c>
      <c r="S565" s="34">
        <v>0</v>
      </c>
      <c r="T565" s="353">
        <f t="shared" si="125"/>
        <v>0</v>
      </c>
      <c r="U565" s="95">
        <v>0.85</v>
      </c>
      <c r="V565" s="36">
        <f>RTD("money.excel",,"3219","Price")</f>
        <v>99.9</v>
      </c>
      <c r="W565" s="66"/>
      <c r="X565" s="15">
        <f t="shared" si="118"/>
        <v>99.9</v>
      </c>
      <c r="Y565" s="3" t="e">
        <f t="shared" si="119"/>
        <v>#DIV/0!</v>
      </c>
      <c r="AA565" s="161">
        <v>0</v>
      </c>
      <c r="AB565" s="409">
        <v>0</v>
      </c>
      <c r="AC565" s="259">
        <f t="shared" si="116"/>
        <v>0</v>
      </c>
      <c r="AD565" s="16" t="s">
        <v>3145</v>
      </c>
      <c r="AG565" s="33">
        <f t="shared" si="120"/>
        <v>0</v>
      </c>
      <c r="AH565" s="43" t="s">
        <v>1443</v>
      </c>
      <c r="AI565" s="63">
        <f t="shared" si="124"/>
        <v>6.9701280227596018E-4</v>
      </c>
      <c r="AJ565" s="307">
        <f>RTD("money.excel",,$G565,"PredictVolume")</f>
        <v>49</v>
      </c>
      <c r="AK565" s="339"/>
    </row>
    <row r="566" spans="1:37">
      <c r="A566" s="415">
        <v>14.3</v>
      </c>
      <c r="B566" s="79">
        <v>71</v>
      </c>
      <c r="C566" s="79">
        <v>73</v>
      </c>
      <c r="D566" s="80">
        <v>-6</v>
      </c>
      <c r="E566" s="79">
        <v>2</v>
      </c>
      <c r="F566" s="57">
        <v>23.42</v>
      </c>
      <c r="G566" s="79">
        <v>3227</v>
      </c>
      <c r="H566" s="149" t="s">
        <v>3254</v>
      </c>
      <c r="I566" s="16" t="s">
        <v>4370</v>
      </c>
      <c r="J566" s="323">
        <v>21.25</v>
      </c>
      <c r="K566" s="323">
        <v>17.62</v>
      </c>
      <c r="L566" s="323">
        <v>23.22</v>
      </c>
      <c r="N566" s="318">
        <f t="shared" si="123"/>
        <v>62.09</v>
      </c>
      <c r="O566" s="81">
        <f>IFERROR(VLOOKUP($G566,'321買'!A:E,3,0),"'沒有資料'")</f>
        <v>19</v>
      </c>
      <c r="P566" s="380">
        <f>IFERROR(VLOOKUP($G566,'321買'!$A:$G,7,0),"'沒有資料'")</f>
        <v>215</v>
      </c>
      <c r="R566" s="297">
        <f>IFERROR(RANK(VLOOKUP($G566,連買!$A:$D,4,0),連買!$D:$D,0),"'沒有資料'")</f>
        <v>1718</v>
      </c>
      <c r="S566" s="66">
        <v>8.48</v>
      </c>
      <c r="T566" s="353">
        <f t="shared" si="125"/>
        <v>6.4000000000000001E-2</v>
      </c>
      <c r="U566" s="95">
        <v>13.37</v>
      </c>
      <c r="V566" s="36">
        <f>RTD("money.excel",,"3227","Price")</f>
        <v>132.5</v>
      </c>
      <c r="W566" s="66"/>
      <c r="X566" s="15">
        <f t="shared" si="118"/>
        <v>132.5</v>
      </c>
      <c r="Y566" s="3" t="e">
        <f t="shared" si="119"/>
        <v>#DIV/0!</v>
      </c>
      <c r="Z566" s="413" t="s">
        <v>1997</v>
      </c>
      <c r="AA566" s="161">
        <v>0</v>
      </c>
      <c r="AB566" s="409">
        <v>0</v>
      </c>
      <c r="AC566" s="259">
        <f t="shared" si="116"/>
        <v>0</v>
      </c>
      <c r="AD566" s="16" t="s">
        <v>4370</v>
      </c>
      <c r="AG566" s="33">
        <f t="shared" si="120"/>
        <v>0</v>
      </c>
      <c r="AH566" s="120" t="s">
        <v>2495</v>
      </c>
      <c r="AI566" s="63">
        <f t="shared" si="124"/>
        <v>1.9930069930069929E-3</v>
      </c>
      <c r="AJ566" s="307">
        <f>RTD("money.excel",,$G566,"PredictVolume")</f>
        <v>285</v>
      </c>
      <c r="AK566" s="339"/>
    </row>
    <row r="567" spans="1:37">
      <c r="A567" s="415">
        <v>6.78</v>
      </c>
      <c r="B567" s="93">
        <v>1292</v>
      </c>
      <c r="C567" s="93">
        <v>1487</v>
      </c>
      <c r="D567" s="80">
        <v>-58</v>
      </c>
      <c r="E567" s="80">
        <v>-31</v>
      </c>
      <c r="F567" s="57">
        <v>49.69</v>
      </c>
      <c r="G567" s="79">
        <v>3228</v>
      </c>
      <c r="H567" s="149" t="s">
        <v>3254</v>
      </c>
      <c r="I567" s="16" t="s">
        <v>4371</v>
      </c>
      <c r="J567" s="323">
        <v>22.78</v>
      </c>
      <c r="K567" s="323">
        <v>9.9700000000000006</v>
      </c>
      <c r="L567" s="323"/>
      <c r="N567" s="318">
        <f t="shared" si="123"/>
        <v>32.75</v>
      </c>
      <c r="O567" s="81" t="str">
        <f>IFERROR(VLOOKUP($G567,'321買'!A:E,3,0),"'沒有資料'")</f>
        <v>'沒有資料'</v>
      </c>
      <c r="P567" s="380" t="str">
        <f>IFERROR(VLOOKUP($G567,'321買'!$A:$G,7,0),"'沒有資料'")</f>
        <v>'沒有資料'</v>
      </c>
      <c r="R567" s="297">
        <f>IFERROR(RANK(VLOOKUP($G567,連買!$A:$D,4,0),連買!$D:$D,0),"'沒有資料'")</f>
        <v>49</v>
      </c>
      <c r="S567" s="34">
        <v>0</v>
      </c>
      <c r="T567" s="353">
        <f t="shared" si="125"/>
        <v>0</v>
      </c>
      <c r="U567" s="95">
        <v>4.01</v>
      </c>
      <c r="V567" s="36">
        <f>RTD("money.excel",,"3228","Price")</f>
        <v>350</v>
      </c>
      <c r="W567" s="66"/>
      <c r="X567" s="15">
        <f t="shared" si="118"/>
        <v>350</v>
      </c>
      <c r="Y567" s="3" t="e">
        <f t="shared" si="119"/>
        <v>#DIV/0!</v>
      </c>
      <c r="Z567" s="413" t="s">
        <v>1801</v>
      </c>
      <c r="AA567" s="161">
        <v>0</v>
      </c>
      <c r="AB567" s="409">
        <v>0</v>
      </c>
      <c r="AC567" s="259">
        <f t="shared" si="116"/>
        <v>0</v>
      </c>
      <c r="AD567" s="16" t="s">
        <v>4371</v>
      </c>
      <c r="AG567" s="33">
        <f t="shared" si="120"/>
        <v>0</v>
      </c>
      <c r="AH567" s="43" t="s">
        <v>2179</v>
      </c>
      <c r="AI567" s="63">
        <f t="shared" si="124"/>
        <v>1.607669616519174E-2</v>
      </c>
      <c r="AJ567" s="307">
        <f>RTD("money.excel",,$G567,"PredictVolume")</f>
        <v>1090</v>
      </c>
      <c r="AK567" s="339"/>
    </row>
    <row r="568" spans="1:37">
      <c r="A568" s="416">
        <v>7.27</v>
      </c>
      <c r="B568" s="79">
        <v>853</v>
      </c>
      <c r="C568" s="79">
        <v>311</v>
      </c>
      <c r="D568" s="79">
        <v>6</v>
      </c>
      <c r="E568" s="79">
        <v>38</v>
      </c>
      <c r="F568" s="57">
        <v>18.32</v>
      </c>
      <c r="G568" s="79">
        <v>3257</v>
      </c>
      <c r="H568" s="8" t="s">
        <v>3254</v>
      </c>
      <c r="I568" s="22" t="s">
        <v>4372</v>
      </c>
      <c r="J568" s="73">
        <v>54.33</v>
      </c>
      <c r="K568" s="323">
        <v>4.9000000000000004</v>
      </c>
      <c r="L568" s="323">
        <v>21.86</v>
      </c>
      <c r="N568" s="318">
        <f t="shared" si="123"/>
        <v>81.09</v>
      </c>
      <c r="O568" s="81">
        <f>IFERROR(VLOOKUP($G568,'321買'!A:E,3,0),"'沒有資料'")</f>
        <v>9</v>
      </c>
      <c r="P568" s="380">
        <f>IFERROR(VLOOKUP($G568,'321買'!$A:$G,7,0),"'沒有資料'")</f>
        <v>368</v>
      </c>
      <c r="R568" s="297">
        <f>IFERROR(RANK(VLOOKUP($G568,連買!$A:$D,4,0),連買!$D:$D,0),"'沒有資料'")</f>
        <v>247</v>
      </c>
      <c r="S568" s="66">
        <v>4</v>
      </c>
      <c r="T568" s="353">
        <f t="shared" si="125"/>
        <v>5.5096418732782371E-2</v>
      </c>
      <c r="U568" s="95">
        <v>3.92</v>
      </c>
      <c r="V568" s="36">
        <f>RTD("money.excel",,"3257","Price")</f>
        <v>72.599999999999994</v>
      </c>
      <c r="W568" s="66"/>
      <c r="X568" s="15">
        <f t="shared" si="118"/>
        <v>72.599999999999994</v>
      </c>
      <c r="Y568" s="3" t="e">
        <f t="shared" si="119"/>
        <v>#DIV/0!</v>
      </c>
      <c r="Z568" s="413" t="s">
        <v>1997</v>
      </c>
      <c r="AA568" s="161">
        <v>0</v>
      </c>
      <c r="AB568" s="409">
        <v>0</v>
      </c>
      <c r="AC568" s="259">
        <f t="shared" si="116"/>
        <v>0</v>
      </c>
      <c r="AD568" s="22" t="s">
        <v>4372</v>
      </c>
      <c r="AG568" s="33">
        <f t="shared" si="120"/>
        <v>0</v>
      </c>
      <c r="AH568" s="43" t="s">
        <v>2075</v>
      </c>
      <c r="AI568" s="63">
        <f t="shared" si="124"/>
        <v>1.7469050894085281E-3</v>
      </c>
      <c r="AJ568" s="307">
        <f>RTD("money.excel",,$G568,"PredictVolume")</f>
        <v>127</v>
      </c>
      <c r="AK568" s="339"/>
    </row>
    <row r="569" spans="1:37">
      <c r="A569" s="416">
        <v>7.47</v>
      </c>
      <c r="B569" s="79">
        <v>118</v>
      </c>
      <c r="C569" s="79">
        <v>103</v>
      </c>
      <c r="D569" s="80">
        <v>-3</v>
      </c>
      <c r="E569" s="80">
        <v>-5</v>
      </c>
      <c r="F569" s="6">
        <v>0.69</v>
      </c>
      <c r="G569" s="79">
        <v>3259</v>
      </c>
      <c r="H569" s="149" t="s">
        <v>3254</v>
      </c>
      <c r="I569" s="16" t="s">
        <v>4373</v>
      </c>
      <c r="J569" s="323">
        <v>44.07</v>
      </c>
      <c r="K569" s="73">
        <v>15.97</v>
      </c>
      <c r="L569" s="323"/>
      <c r="N569" s="318">
        <f t="shared" si="123"/>
        <v>60.04</v>
      </c>
      <c r="O569" s="81" t="str">
        <f>IFERROR(VLOOKUP($G569,'321買'!A:E,3,0),"'沒有資料'")</f>
        <v>'沒有資料'</v>
      </c>
      <c r="P569" s="380" t="str">
        <f>IFERROR(VLOOKUP($G569,'321買'!$A:$G,7,0),"'沒有資料'")</f>
        <v>'沒有資料'</v>
      </c>
      <c r="R569" s="297">
        <f>IFERROR(RANK(VLOOKUP($G569,連買!$A:$D,4,0),連買!$D:$D,0),"'沒有資料'")</f>
        <v>1441</v>
      </c>
      <c r="S569" s="34">
        <v>0</v>
      </c>
      <c r="T569" s="353">
        <f t="shared" si="125"/>
        <v>0</v>
      </c>
      <c r="U569" s="95">
        <v>-0.55000000000000004</v>
      </c>
      <c r="V569" s="36">
        <f>RTD("money.excel",,"3259","Price")</f>
        <v>19.95</v>
      </c>
      <c r="W569" s="66"/>
      <c r="X569" s="15">
        <f t="shared" si="118"/>
        <v>19.95</v>
      </c>
      <c r="Y569" s="3" t="e">
        <f t="shared" si="119"/>
        <v>#DIV/0!</v>
      </c>
      <c r="AA569" s="161">
        <v>0</v>
      </c>
      <c r="AB569" s="409">
        <v>0</v>
      </c>
      <c r="AC569" s="259">
        <f t="shared" si="116"/>
        <v>0</v>
      </c>
      <c r="AD569" s="16" t="s">
        <v>4373</v>
      </c>
      <c r="AG569" s="33">
        <f t="shared" si="120"/>
        <v>0</v>
      </c>
      <c r="AH569" s="43" t="s">
        <v>2536</v>
      </c>
      <c r="AI569" s="63">
        <f t="shared" si="124"/>
        <v>3.4002677376171351E-3</v>
      </c>
      <c r="AJ569" s="307">
        <f>RTD("money.excel",,$G569,"PredictVolume")</f>
        <v>254</v>
      </c>
      <c r="AK569" s="339"/>
    </row>
    <row r="570" spans="1:37">
      <c r="A570" s="416">
        <v>26.3</v>
      </c>
      <c r="B570" s="79">
        <v>116</v>
      </c>
      <c r="C570" s="79">
        <v>35</v>
      </c>
      <c r="D570" s="79">
        <v>1</v>
      </c>
      <c r="E570" s="79">
        <v>13</v>
      </c>
      <c r="F570" s="6">
        <v>7.23</v>
      </c>
      <c r="G570" s="79">
        <v>3260</v>
      </c>
      <c r="H570" s="149" t="s">
        <v>3254</v>
      </c>
      <c r="I570" s="16" t="s">
        <v>215</v>
      </c>
      <c r="J570" s="73">
        <v>20.6</v>
      </c>
      <c r="K570" s="73">
        <v>9.59</v>
      </c>
      <c r="L570" s="73">
        <v>29.86</v>
      </c>
      <c r="M570" s="73">
        <v>5.58</v>
      </c>
      <c r="N570" s="318">
        <f t="shared" si="123"/>
        <v>65.63</v>
      </c>
      <c r="O570" s="81">
        <f>IFERROR(VLOOKUP($G570,'321買'!A:E,3,0),"'沒有資料'")</f>
        <v>42</v>
      </c>
      <c r="P570" s="380">
        <f>IFERROR(VLOOKUP($G570,'321買'!$A:$G,7,0),"'沒有資料'")</f>
        <v>63</v>
      </c>
      <c r="Q570" s="245" t="s">
        <v>5088</v>
      </c>
      <c r="R570" s="297">
        <f>IFERROR(RANK(VLOOKUP($G570,連買!$A:$D,4,0),連買!$D:$D,0),"'沒有資料'")</f>
        <v>175</v>
      </c>
      <c r="S570" s="66">
        <v>3.18</v>
      </c>
      <c r="T570" s="353">
        <f t="shared" si="125"/>
        <v>4.2684563758389263E-2</v>
      </c>
      <c r="U570" s="95">
        <v>10.55</v>
      </c>
      <c r="V570" s="36">
        <f>RTD("money.excel",,"3260","Price")</f>
        <v>74.5</v>
      </c>
      <c r="W570" s="66"/>
      <c r="X570" s="15">
        <f t="shared" si="118"/>
        <v>74.5</v>
      </c>
      <c r="Y570" s="3" t="e">
        <f t="shared" si="119"/>
        <v>#DIV/0!</v>
      </c>
      <c r="Z570" s="413" t="s">
        <v>1997</v>
      </c>
      <c r="AA570" s="161">
        <v>0</v>
      </c>
      <c r="AB570" s="409">
        <v>0</v>
      </c>
      <c r="AC570" s="259">
        <f t="shared" si="116"/>
        <v>0</v>
      </c>
      <c r="AD570" s="16" t="s">
        <v>215</v>
      </c>
      <c r="AG570" s="33">
        <f t="shared" si="120"/>
        <v>0</v>
      </c>
      <c r="AH570" s="120" t="s">
        <v>1420</v>
      </c>
      <c r="AI570" s="63">
        <f t="shared" si="124"/>
        <v>1.8612167300380227E-2</v>
      </c>
      <c r="AJ570" s="307">
        <f>RTD("money.excel",,$G570,"PredictVolume")</f>
        <v>4895</v>
      </c>
      <c r="AK570" s="339">
        <v>35.89</v>
      </c>
    </row>
    <row r="571" spans="1:37">
      <c r="A571" s="415">
        <v>49</v>
      </c>
      <c r="B571" s="79">
        <v>50</v>
      </c>
      <c r="C571" s="79">
        <v>44</v>
      </c>
      <c r="D571" s="79">
        <v>7</v>
      </c>
      <c r="E571" s="79">
        <v>28</v>
      </c>
      <c r="F571" s="57">
        <v>22.44</v>
      </c>
      <c r="G571" s="79">
        <v>3264</v>
      </c>
      <c r="H571" s="149" t="s">
        <v>3254</v>
      </c>
      <c r="I571" s="16" t="s">
        <v>3099</v>
      </c>
      <c r="J571" s="323">
        <v>56.83</v>
      </c>
      <c r="K571" s="73">
        <v>31.12</v>
      </c>
      <c r="L571" s="323">
        <v>6.96</v>
      </c>
      <c r="N571" s="318">
        <f t="shared" si="123"/>
        <v>94.91</v>
      </c>
      <c r="O571" s="81">
        <f>IFERROR(VLOOKUP($G571,'321買'!A:E,3,0),"'沒有資料'")</f>
        <v>36</v>
      </c>
      <c r="P571" s="380">
        <f>IFERROR(VLOOKUP($G571,'321買'!$A:$G,7,0),"'沒有資料'")</f>
        <v>130</v>
      </c>
      <c r="R571" s="297">
        <f>IFERROR(RANK(VLOOKUP($G571,連買!$A:$D,4,0),連買!$D:$D,0),"'沒有資料'")</f>
        <v>1526</v>
      </c>
      <c r="S571" s="34">
        <v>2</v>
      </c>
      <c r="T571" s="353">
        <f t="shared" si="125"/>
        <v>4.214963119072708E-2</v>
      </c>
      <c r="U571" s="57">
        <v>4.13</v>
      </c>
      <c r="V571" s="36">
        <f>RTD("money.excel",,"3264","Price")</f>
        <v>47.45</v>
      </c>
      <c r="W571" s="66"/>
      <c r="X571" s="15">
        <f t="shared" si="118"/>
        <v>47.45</v>
      </c>
      <c r="Y571" s="3" t="e">
        <f t="shared" si="119"/>
        <v>#DIV/0!</v>
      </c>
      <c r="Z571" s="413" t="s">
        <v>1801</v>
      </c>
      <c r="AA571" s="161">
        <v>0</v>
      </c>
      <c r="AB571" s="409">
        <v>0</v>
      </c>
      <c r="AC571" s="259">
        <f t="shared" si="116"/>
        <v>0</v>
      </c>
      <c r="AD571" s="16" t="s">
        <v>3099</v>
      </c>
      <c r="AG571" s="33">
        <f t="shared" si="120"/>
        <v>0</v>
      </c>
      <c r="AH571" s="120" t="s">
        <v>2525</v>
      </c>
      <c r="AI571" s="63">
        <f t="shared" si="124"/>
        <v>3.0857142857142858E-3</v>
      </c>
      <c r="AJ571" s="307">
        <f>RTD("money.excel",,$G571,"PredictVolume")</f>
        <v>1512</v>
      </c>
      <c r="AK571" s="339"/>
    </row>
    <row r="572" spans="1:37">
      <c r="A572" s="416">
        <v>13.6</v>
      </c>
      <c r="B572" s="79">
        <v>34</v>
      </c>
      <c r="C572" s="79">
        <v>189</v>
      </c>
      <c r="D572" s="80">
        <v>-9</v>
      </c>
      <c r="E572" s="80">
        <v>-1</v>
      </c>
      <c r="F572" s="6">
        <v>5.3</v>
      </c>
      <c r="G572" s="79">
        <v>3265</v>
      </c>
      <c r="H572" s="149" t="s">
        <v>3254</v>
      </c>
      <c r="I572" s="171" t="s">
        <v>78</v>
      </c>
      <c r="J572" s="73">
        <v>57.57</v>
      </c>
      <c r="K572" s="73">
        <v>60.14</v>
      </c>
      <c r="L572" s="73">
        <v>2.65</v>
      </c>
      <c r="N572" s="318">
        <f t="shared" si="123"/>
        <v>120.36000000000001</v>
      </c>
      <c r="O572" s="81">
        <f>IFERROR(VLOOKUP($G572,'321買'!A:E,3,0),"'沒有資料'")</f>
        <v>1</v>
      </c>
      <c r="P572" s="380">
        <f>IFERROR(VLOOKUP($G572,'321買'!$A:$G,7,0),"'沒有資料'")</f>
        <v>783</v>
      </c>
      <c r="R572" s="297">
        <f>IFERROR(RANK(VLOOKUP($G572,連買!$A:$D,4,0),連買!$D:$D,0),"'沒有資料'")</f>
        <v>590</v>
      </c>
      <c r="S572" s="197">
        <v>1.23</v>
      </c>
      <c r="T572" s="353">
        <f t="shared" si="125"/>
        <v>3.4166666666666665E-2</v>
      </c>
      <c r="U572" s="95">
        <v>1.54</v>
      </c>
      <c r="V572" s="13">
        <f>RTD("money.excel",,"3265","Price")</f>
        <v>36</v>
      </c>
      <c r="W572" s="66"/>
      <c r="X572" s="15">
        <f t="shared" si="118"/>
        <v>36</v>
      </c>
      <c r="Y572" s="3" t="e">
        <f t="shared" si="119"/>
        <v>#DIV/0!</v>
      </c>
      <c r="Z572" s="413" t="s">
        <v>1801</v>
      </c>
      <c r="AA572" s="161">
        <v>0</v>
      </c>
      <c r="AB572" s="409">
        <v>0</v>
      </c>
      <c r="AC572" s="259">
        <f t="shared" si="116"/>
        <v>0</v>
      </c>
      <c r="AD572" s="16" t="s">
        <v>78</v>
      </c>
      <c r="AG572" s="33">
        <f t="shared" si="120"/>
        <v>0</v>
      </c>
      <c r="AH572" s="120" t="s">
        <v>3281</v>
      </c>
      <c r="AI572" s="63">
        <f t="shared" si="124"/>
        <v>3.5661764705882354E-3</v>
      </c>
      <c r="AJ572" s="307">
        <f>RTD("money.excel",,$G572,"PredictVolume")</f>
        <v>485</v>
      </c>
      <c r="AK572" s="339"/>
    </row>
    <row r="573" spans="1:37">
      <c r="A573" s="416">
        <v>3.34</v>
      </c>
      <c r="B573" s="79">
        <v>935</v>
      </c>
      <c r="C573" s="79">
        <v>456</v>
      </c>
      <c r="D573" s="79">
        <v>52</v>
      </c>
      <c r="E573" s="79">
        <v>28</v>
      </c>
      <c r="F573" s="6">
        <v>2.4500000000000002</v>
      </c>
      <c r="G573" s="79">
        <v>3268</v>
      </c>
      <c r="H573" s="149" t="s">
        <v>3254</v>
      </c>
      <c r="I573" s="16" t="s">
        <v>363</v>
      </c>
      <c r="J573" s="323">
        <v>25.69</v>
      </c>
      <c r="K573" s="73">
        <v>0.87</v>
      </c>
      <c r="L573" s="323"/>
      <c r="N573" s="318">
        <f t="shared" si="123"/>
        <v>26.560000000000002</v>
      </c>
      <c r="O573" s="81" t="str">
        <f>IFERROR(VLOOKUP($G573,'321買'!A:E,3,0),"'沒有資料'")</f>
        <v>'沒有資料'</v>
      </c>
      <c r="P573" s="380" t="str">
        <f>IFERROR(VLOOKUP($G573,'321買'!$A:$G,7,0),"'沒有資料'")</f>
        <v>'沒有資料'</v>
      </c>
      <c r="R573" s="297">
        <f>IFERROR(RANK(VLOOKUP($G573,連買!$A:$D,4,0),連買!$D:$D,0),"'沒有資料'")</f>
        <v>994</v>
      </c>
      <c r="S573" s="34">
        <v>0.5</v>
      </c>
      <c r="T573" s="353">
        <f t="shared" si="125"/>
        <v>1.9607843137254902E-2</v>
      </c>
      <c r="U573" s="95">
        <v>1.32</v>
      </c>
      <c r="V573" s="36">
        <f>RTD("money.excel",,"3268","Price")</f>
        <v>25.5</v>
      </c>
      <c r="W573" s="66"/>
      <c r="X573" s="15">
        <f t="shared" si="118"/>
        <v>25.5</v>
      </c>
      <c r="Y573" s="3" t="e">
        <f t="shared" si="119"/>
        <v>#DIV/0!</v>
      </c>
      <c r="AA573" s="161">
        <v>0</v>
      </c>
      <c r="AB573" s="409">
        <v>0</v>
      </c>
      <c r="AC573" s="259">
        <f t="shared" si="116"/>
        <v>0</v>
      </c>
      <c r="AD573" s="16" t="s">
        <v>363</v>
      </c>
      <c r="AG573" s="33">
        <f t="shared" si="120"/>
        <v>0</v>
      </c>
      <c r="AH573" s="43" t="s">
        <v>2537</v>
      </c>
      <c r="AI573" s="63">
        <f t="shared" si="124"/>
        <v>1.6167664670658684E-3</v>
      </c>
      <c r="AJ573" s="307">
        <f>RTD("money.excel",,$G573,"PredictVolume")</f>
        <v>54</v>
      </c>
      <c r="AK573" s="339"/>
    </row>
    <row r="574" spans="1:37">
      <c r="A574" s="416">
        <v>6.13</v>
      </c>
      <c r="B574" s="80">
        <v>-23</v>
      </c>
      <c r="C574" s="80">
        <v>-10</v>
      </c>
      <c r="D574" s="80">
        <v>-35</v>
      </c>
      <c r="E574" s="79">
        <v>52</v>
      </c>
      <c r="F574" s="6">
        <v>10.69</v>
      </c>
      <c r="G574" s="79">
        <v>3317</v>
      </c>
      <c r="H574" s="208" t="s">
        <v>3254</v>
      </c>
      <c r="I574" s="16" t="s">
        <v>168</v>
      </c>
      <c r="J574" s="73">
        <v>20.97</v>
      </c>
      <c r="K574" s="323">
        <v>1.17</v>
      </c>
      <c r="L574" s="323">
        <v>46.05</v>
      </c>
      <c r="N574" s="318">
        <f t="shared" si="123"/>
        <v>68.19</v>
      </c>
      <c r="O574" s="81">
        <f>IFERROR(VLOOKUP($G574,'321買'!A:E,3,0),"'沒有資料'")</f>
        <v>69</v>
      </c>
      <c r="P574" s="380">
        <f>IFERROR(VLOOKUP($G574,'321買'!$A:$G,7,0),"'沒有資料'")</f>
        <v>33</v>
      </c>
      <c r="R574" s="297">
        <f>IFERROR(RANK(VLOOKUP($G574,連買!$A:$D,4,0),連買!$D:$D,0),"'沒有資料'")</f>
        <v>267</v>
      </c>
      <c r="S574" s="34">
        <v>1</v>
      </c>
      <c r="T574" s="353">
        <f t="shared" si="125"/>
        <v>1.582278481012658E-2</v>
      </c>
      <c r="U574" s="95">
        <v>3.04</v>
      </c>
      <c r="V574" s="36">
        <f>RTD("money.excel",,"3317","Price")</f>
        <v>63.2</v>
      </c>
      <c r="W574" s="66"/>
      <c r="X574" s="15">
        <f t="shared" si="118"/>
        <v>63.2</v>
      </c>
      <c r="Y574" s="3" t="e">
        <f t="shared" si="119"/>
        <v>#DIV/0!</v>
      </c>
      <c r="Z574" s="413" t="s">
        <v>1801</v>
      </c>
      <c r="AA574" s="161">
        <v>0</v>
      </c>
      <c r="AB574" s="409">
        <v>0</v>
      </c>
      <c r="AC574" s="259">
        <f t="shared" si="116"/>
        <v>0</v>
      </c>
      <c r="AD574" s="16" t="s">
        <v>168</v>
      </c>
      <c r="AG574" s="33">
        <f t="shared" si="120"/>
        <v>0</v>
      </c>
      <c r="AH574" s="120" t="s">
        <v>2345</v>
      </c>
      <c r="AI574" s="63">
        <f t="shared" si="124"/>
        <v>7.0962479608482872E-3</v>
      </c>
      <c r="AJ574" s="307">
        <f>RTD("money.excel",,$G574,"PredictVolume")</f>
        <v>435</v>
      </c>
      <c r="AK574" s="339"/>
    </row>
    <row r="575" spans="1:37">
      <c r="A575" s="416">
        <v>17.2</v>
      </c>
      <c r="B575" s="79">
        <v>76</v>
      </c>
      <c r="C575" s="79">
        <v>86</v>
      </c>
      <c r="D575" s="80">
        <v>-10</v>
      </c>
      <c r="E575" s="79">
        <v>32</v>
      </c>
      <c r="F575" s="6">
        <v>-0.7</v>
      </c>
      <c r="G575" s="79">
        <v>3372</v>
      </c>
      <c r="H575" s="149" t="s">
        <v>3254</v>
      </c>
      <c r="I575" s="16" t="s">
        <v>4374</v>
      </c>
      <c r="J575" s="73">
        <v>62.48</v>
      </c>
      <c r="K575" s="323">
        <v>2.5499999999999998</v>
      </c>
      <c r="L575" s="323">
        <v>0</v>
      </c>
      <c r="N575" s="318">
        <f t="shared" si="123"/>
        <v>65.03</v>
      </c>
      <c r="O575" s="81">
        <f>IFERROR(VLOOKUP($G575,'321買'!A:E,3,0),"'沒有資料'")</f>
        <v>11</v>
      </c>
      <c r="P575" s="380">
        <f>IFERROR(VLOOKUP($G575,'321買'!$A:$G,7,0),"'沒有資料'")</f>
        <v>387</v>
      </c>
      <c r="R575" s="297">
        <f>IFERROR(RANK(VLOOKUP($G575,連買!$A:$D,4,0),連買!$D:$D,0),"'沒有資料'")</f>
        <v>1590</v>
      </c>
      <c r="S575" s="34">
        <v>0</v>
      </c>
      <c r="T575" s="353">
        <f t="shared" si="125"/>
        <v>0</v>
      </c>
      <c r="U575" s="57">
        <v>-0.06</v>
      </c>
      <c r="V575" s="36">
        <f>RTD("money.excel",,"3372","Price")</f>
        <v>17.25</v>
      </c>
      <c r="W575" s="66"/>
      <c r="X575" s="15">
        <f t="shared" si="118"/>
        <v>17.25</v>
      </c>
      <c r="Y575" s="3" t="e">
        <f t="shared" si="119"/>
        <v>#DIV/0!</v>
      </c>
      <c r="Z575" s="413" t="s">
        <v>1801</v>
      </c>
      <c r="AA575" s="161">
        <v>0</v>
      </c>
      <c r="AB575" s="409">
        <v>0</v>
      </c>
      <c r="AC575" s="259">
        <f t="shared" si="116"/>
        <v>0</v>
      </c>
      <c r="AD575" s="16" t="s">
        <v>4374</v>
      </c>
      <c r="AG575" s="33">
        <f t="shared" si="120"/>
        <v>0</v>
      </c>
      <c r="AH575" s="43" t="s">
        <v>2538</v>
      </c>
      <c r="AI575" s="63">
        <f t="shared" si="124"/>
        <v>1.2209302325581395E-3</v>
      </c>
      <c r="AJ575" s="307">
        <f>RTD("money.excel",,$G575,"PredictVolume")</f>
        <v>210</v>
      </c>
      <c r="AK575" s="339"/>
    </row>
    <row r="576" spans="1:37">
      <c r="A576" s="415">
        <v>27.1</v>
      </c>
      <c r="B576" s="79">
        <v>8</v>
      </c>
      <c r="C576" s="79">
        <v>25</v>
      </c>
      <c r="D576" s="80">
        <v>-1</v>
      </c>
      <c r="E576" s="80">
        <v>-23</v>
      </c>
      <c r="F576" s="57">
        <v>28.8</v>
      </c>
      <c r="G576" s="79">
        <v>3374</v>
      </c>
      <c r="H576" s="149" t="s">
        <v>3254</v>
      </c>
      <c r="I576" s="16" t="s">
        <v>167</v>
      </c>
      <c r="J576" s="73">
        <v>48.21</v>
      </c>
      <c r="K576" s="73">
        <v>6.48</v>
      </c>
      <c r="L576" s="73">
        <v>17.239999999999998</v>
      </c>
      <c r="M576" s="73">
        <v>41.22</v>
      </c>
      <c r="N576" s="318">
        <f t="shared" si="123"/>
        <v>113.14999999999999</v>
      </c>
      <c r="O576" s="81">
        <f>IFERROR(VLOOKUP($G576,'321買'!A:E,3,0),"'沒有資料'")</f>
        <v>20</v>
      </c>
      <c r="P576" s="380">
        <f>IFERROR(VLOOKUP($G576,'321買'!$A:$G,7,0),"'沒有資料'")</f>
        <v>222</v>
      </c>
      <c r="Q576" s="388" t="s">
        <v>5063</v>
      </c>
      <c r="R576" s="297">
        <f>IFERROR(RANK(VLOOKUP($G576,連買!$A:$D,4,0),連買!$D:$D,0),"'沒有資料'")</f>
        <v>174</v>
      </c>
      <c r="S576" s="45">
        <v>3</v>
      </c>
      <c r="T576" s="353">
        <f t="shared" si="125"/>
        <v>2.4590163934426229E-2</v>
      </c>
      <c r="U576" s="95">
        <v>6.92</v>
      </c>
      <c r="V576" s="36">
        <f>RTD("money.excel",,"3374","Price")</f>
        <v>122</v>
      </c>
      <c r="W576" s="66"/>
      <c r="X576" s="15">
        <f t="shared" si="118"/>
        <v>122</v>
      </c>
      <c r="Y576" s="3" t="e">
        <f t="shared" si="119"/>
        <v>#DIV/0!</v>
      </c>
      <c r="Z576" s="413">
        <v>-32.21</v>
      </c>
      <c r="AA576" s="161">
        <v>0</v>
      </c>
      <c r="AB576" s="409">
        <v>0</v>
      </c>
      <c r="AC576" s="259">
        <f t="shared" si="116"/>
        <v>0</v>
      </c>
      <c r="AD576" s="16" t="s">
        <v>167</v>
      </c>
      <c r="AG576" s="33">
        <f t="shared" si="120"/>
        <v>0</v>
      </c>
      <c r="AH576" s="120" t="s">
        <v>2505</v>
      </c>
      <c r="AI576" s="63">
        <f t="shared" si="124"/>
        <v>1.8413284132841328E-3</v>
      </c>
      <c r="AJ576" s="307">
        <f>RTD("money.excel",,$G576,"PredictVolume")</f>
        <v>499</v>
      </c>
      <c r="AK576" s="339">
        <v>24.49</v>
      </c>
    </row>
    <row r="577" spans="1:37">
      <c r="A577" s="415">
        <v>8.76</v>
      </c>
      <c r="B577" s="79">
        <v>155</v>
      </c>
      <c r="C577" s="79">
        <v>166</v>
      </c>
      <c r="D577" s="80">
        <v>-1</v>
      </c>
      <c r="E577" s="79">
        <v>21</v>
      </c>
      <c r="F577" s="57">
        <v>17.11</v>
      </c>
      <c r="G577" s="79">
        <v>3413</v>
      </c>
      <c r="H577" s="8" t="s">
        <v>3254</v>
      </c>
      <c r="I577" s="22" t="s">
        <v>59</v>
      </c>
      <c r="J577" s="73">
        <v>38.85</v>
      </c>
      <c r="K577" s="73">
        <v>31.36</v>
      </c>
      <c r="L577" s="73">
        <v>21.15</v>
      </c>
      <c r="N577" s="318">
        <f t="shared" si="123"/>
        <v>91.360000000000014</v>
      </c>
      <c r="O577" s="81">
        <f>IFERROR(VLOOKUP($G577,'321買'!A:E,3,0),"'沒有資料'")</f>
        <v>22</v>
      </c>
      <c r="P577" s="380">
        <f>IFERROR(VLOOKUP($G577,'321買'!$A:$G,7,0),"'沒有資料'")</f>
        <v>207</v>
      </c>
      <c r="R577" s="297">
        <f>IFERROR(RANK(VLOOKUP($G577,連買!$A:$D,4,0),連買!$D:$D,0),"'沒有資料'")</f>
        <v>45</v>
      </c>
      <c r="S577" s="45">
        <v>7</v>
      </c>
      <c r="T577" s="353">
        <f t="shared" si="125"/>
        <v>3.0368763557483729E-2</v>
      </c>
      <c r="U577" s="57">
        <v>14.91</v>
      </c>
      <c r="V577" s="36">
        <f>RTD("money.excel",,"3413","Price")</f>
        <v>230.5</v>
      </c>
      <c r="W577" s="66"/>
      <c r="X577" s="15">
        <f t="shared" si="118"/>
        <v>230.5</v>
      </c>
      <c r="Y577" s="3" t="e">
        <f t="shared" si="119"/>
        <v>#DIV/0!</v>
      </c>
      <c r="Z577" s="413" t="s">
        <v>1997</v>
      </c>
      <c r="AA577" s="161">
        <v>0</v>
      </c>
      <c r="AB577" s="409">
        <v>0</v>
      </c>
      <c r="AC577" s="259">
        <f t="shared" si="116"/>
        <v>0</v>
      </c>
      <c r="AD577" s="22" t="s">
        <v>59</v>
      </c>
      <c r="AG577" s="33">
        <f t="shared" si="120"/>
        <v>0</v>
      </c>
      <c r="AH577" s="120" t="s">
        <v>1441</v>
      </c>
      <c r="AI577" s="63">
        <f t="shared" si="124"/>
        <v>1.9360730593607305E-2</v>
      </c>
      <c r="AJ577" s="307">
        <f>RTD("money.excel",,$G577,"PredictVolume")</f>
        <v>1696</v>
      </c>
      <c r="AK577" s="339"/>
    </row>
    <row r="578" spans="1:37">
      <c r="A578" s="416">
        <v>4.72</v>
      </c>
      <c r="B578" s="79">
        <v>355</v>
      </c>
      <c r="C578" s="79">
        <v>250</v>
      </c>
      <c r="D578" s="80">
        <v>-1</v>
      </c>
      <c r="E578" s="79">
        <v>28</v>
      </c>
      <c r="F578" s="6">
        <v>5.3</v>
      </c>
      <c r="G578" s="79">
        <v>3438</v>
      </c>
      <c r="H578" s="149" t="s">
        <v>3254</v>
      </c>
      <c r="I578" s="16" t="s">
        <v>364</v>
      </c>
      <c r="J578" s="73">
        <v>63.21</v>
      </c>
      <c r="K578" s="73">
        <v>5.4</v>
      </c>
      <c r="L578" s="73">
        <v>7.73</v>
      </c>
      <c r="N578" s="318">
        <f t="shared" si="123"/>
        <v>76.34</v>
      </c>
      <c r="O578" s="81">
        <f>IFERROR(VLOOKUP($G578,'321買'!A:E,3,0),"'沒有資料'")</f>
        <v>10</v>
      </c>
      <c r="P578" s="380">
        <f>IFERROR(VLOOKUP($G578,'321買'!$A:$G,7,0),"'沒有資料'")</f>
        <v>408</v>
      </c>
      <c r="R578" s="297">
        <f>IFERROR(RANK(VLOOKUP($G578,連買!$A:$D,4,0),連買!$D:$D,0),"'沒有資料'")</f>
        <v>758</v>
      </c>
      <c r="S578" s="34">
        <v>1.5</v>
      </c>
      <c r="T578" s="353">
        <f t="shared" si="125"/>
        <v>2.0463847203274217E-2</v>
      </c>
      <c r="U578" s="95">
        <v>1.79</v>
      </c>
      <c r="V578" s="36">
        <f>RTD("money.excel",,"3438","Price")</f>
        <v>73.3</v>
      </c>
      <c r="W578" s="66"/>
      <c r="X578" s="15">
        <f t="shared" si="118"/>
        <v>73.3</v>
      </c>
      <c r="Y578" s="3" t="e">
        <f t="shared" si="119"/>
        <v>#DIV/0!</v>
      </c>
      <c r="Z578" s="413" t="s">
        <v>1801</v>
      </c>
      <c r="AA578" s="161">
        <v>0</v>
      </c>
      <c r="AB578" s="409">
        <v>0</v>
      </c>
      <c r="AC578" s="259">
        <f t="shared" si="116"/>
        <v>0</v>
      </c>
      <c r="AD578" s="16" t="s">
        <v>364</v>
      </c>
      <c r="AG578" s="33">
        <f t="shared" si="120"/>
        <v>0</v>
      </c>
      <c r="AH578" s="43" t="s">
        <v>1444</v>
      </c>
      <c r="AI578" s="63">
        <f t="shared" si="124"/>
        <v>3.7076271186440679E-3</v>
      </c>
      <c r="AJ578" s="307">
        <f>RTD("money.excel",,$G578,"PredictVolume")</f>
        <v>175</v>
      </c>
      <c r="AK578" s="339"/>
    </row>
    <row r="579" spans="1:37">
      <c r="A579" s="415">
        <v>13.4</v>
      </c>
      <c r="B579" s="79">
        <v>71</v>
      </c>
      <c r="C579" s="79">
        <v>73</v>
      </c>
      <c r="D579" s="80">
        <v>-17</v>
      </c>
      <c r="E579" s="79">
        <v>53</v>
      </c>
      <c r="F579" s="57">
        <v>11.08</v>
      </c>
      <c r="G579" s="79">
        <v>3443</v>
      </c>
      <c r="H579" s="204" t="s">
        <v>3254</v>
      </c>
      <c r="I579" s="22" t="s">
        <v>49</v>
      </c>
      <c r="J579" s="323">
        <v>59.11</v>
      </c>
      <c r="K579" s="73">
        <v>45.81</v>
      </c>
      <c r="L579" s="73">
        <v>6</v>
      </c>
      <c r="M579" s="323">
        <v>34.840000000000003</v>
      </c>
      <c r="N579" s="73">
        <f t="shared" si="123"/>
        <v>145.76</v>
      </c>
      <c r="O579" s="81">
        <f>IFERROR(VLOOKUP($G579,'321買'!A:E,3,0),"'沒有資料'")</f>
        <v>43</v>
      </c>
      <c r="P579" s="380">
        <f>IFERROR(VLOOKUP($G579,'321買'!$A:$G,7,0),"'沒有資料'")</f>
        <v>98</v>
      </c>
      <c r="Q579" s="388" t="s">
        <v>3818</v>
      </c>
      <c r="R579" s="297">
        <f>IFERROR(RANK(VLOOKUP($G579,連買!$A:$D,4,0),連買!$D:$D,0),"'沒有資料'")</f>
        <v>1604</v>
      </c>
      <c r="S579" s="45">
        <v>7</v>
      </c>
      <c r="T579" s="353">
        <f t="shared" si="125"/>
        <v>1.4644351464435146E-2</v>
      </c>
      <c r="U579" s="57">
        <v>10.9</v>
      </c>
      <c r="V579" s="13">
        <f>RTD("money.excel",,"3443","Price")</f>
        <v>478</v>
      </c>
      <c r="W579" s="66"/>
      <c r="X579" s="15">
        <f t="shared" si="118"/>
        <v>478</v>
      </c>
      <c r="Y579" s="3" t="e">
        <f t="shared" si="119"/>
        <v>#DIV/0!</v>
      </c>
      <c r="Z579" s="413">
        <v>-21.33</v>
      </c>
      <c r="AA579" s="161">
        <v>0</v>
      </c>
      <c r="AB579" s="409">
        <v>0</v>
      </c>
      <c r="AC579" s="259">
        <f t="shared" si="116"/>
        <v>0</v>
      </c>
      <c r="AD579" s="22" t="s">
        <v>49</v>
      </c>
      <c r="AG579" s="33">
        <f t="shared" si="120"/>
        <v>0</v>
      </c>
      <c r="AH579" s="120" t="s">
        <v>3537</v>
      </c>
      <c r="AI579" s="63">
        <f t="shared" si="124"/>
        <v>5.1044776119402984E-3</v>
      </c>
      <c r="AJ579" s="307">
        <f>RTD("money.excel",,$G579,"PredictVolume")</f>
        <v>684</v>
      </c>
      <c r="AK579" s="339">
        <v>13.65</v>
      </c>
    </row>
    <row r="580" spans="1:37">
      <c r="A580" s="415">
        <v>4.4400000000000004</v>
      </c>
      <c r="B580" s="93">
        <v>1166</v>
      </c>
      <c r="C580" s="234">
        <v>25679</v>
      </c>
      <c r="D580" s="79">
        <v>5</v>
      </c>
      <c r="E580" s="79">
        <v>26</v>
      </c>
      <c r="F580" s="57">
        <v>18.239999999999998</v>
      </c>
      <c r="G580" s="79">
        <v>3527</v>
      </c>
      <c r="H580" s="8" t="s">
        <v>3254</v>
      </c>
      <c r="I580" s="16" t="s">
        <v>328</v>
      </c>
      <c r="J580" s="73">
        <v>23.18</v>
      </c>
      <c r="K580" s="73">
        <v>13.16</v>
      </c>
      <c r="L580" s="73">
        <v>30.96</v>
      </c>
      <c r="M580" s="73">
        <v>16.39</v>
      </c>
      <c r="N580" s="318">
        <f t="shared" si="123"/>
        <v>83.690000000000012</v>
      </c>
      <c r="O580" s="81">
        <f>IFERROR(VLOOKUP($G580,'321買'!A:E,3,0),"'沒有資料'")</f>
        <v>58</v>
      </c>
      <c r="P580" s="380">
        <f>IFERROR(VLOOKUP($G580,'321買'!$A:$G,7,0),"'沒有資料'")</f>
        <v>41</v>
      </c>
      <c r="Q580" s="245" t="s">
        <v>5088</v>
      </c>
      <c r="R580" s="297">
        <f>IFERROR(RANK(VLOOKUP($G580,連買!$A:$D,4,0),連買!$D:$D,0),"'沒有資料'")</f>
        <v>83</v>
      </c>
      <c r="S580" s="34">
        <v>2</v>
      </c>
      <c r="T580" s="353">
        <f t="shared" si="125"/>
        <v>1.2861736334405145E-2</v>
      </c>
      <c r="U580" s="95">
        <v>10.47</v>
      </c>
      <c r="V580" s="36">
        <f>RTD("money.excel",,"3527","Price")</f>
        <v>155.5</v>
      </c>
      <c r="W580" s="66"/>
      <c r="X580" s="15">
        <f t="shared" si="118"/>
        <v>155.5</v>
      </c>
      <c r="Y580" s="3" t="e">
        <f t="shared" si="119"/>
        <v>#DIV/0!</v>
      </c>
      <c r="Z580" s="413" t="s">
        <v>1801</v>
      </c>
      <c r="AA580" s="161">
        <v>0</v>
      </c>
      <c r="AB580" s="409">
        <v>0</v>
      </c>
      <c r="AC580" s="259">
        <f t="shared" si="116"/>
        <v>0</v>
      </c>
      <c r="AD580" s="16" t="s">
        <v>328</v>
      </c>
      <c r="AG580" s="33">
        <f t="shared" si="120"/>
        <v>0</v>
      </c>
      <c r="AH580" s="43" t="s">
        <v>2539</v>
      </c>
      <c r="AI580" s="63">
        <f t="shared" si="124"/>
        <v>3.8963963963963956E-3</v>
      </c>
      <c r="AJ580" s="307">
        <f>RTD("money.excel",,$G580,"PredictVolume")</f>
        <v>173</v>
      </c>
      <c r="AK580" s="339">
        <v>42.73</v>
      </c>
    </row>
    <row r="581" spans="1:37">
      <c r="A581" s="415">
        <v>7.61</v>
      </c>
      <c r="B581" s="79">
        <v>54</v>
      </c>
      <c r="C581" s="79">
        <v>54</v>
      </c>
      <c r="D581" s="80">
        <v>-75</v>
      </c>
      <c r="E581" s="79">
        <v>9</v>
      </c>
      <c r="F581" s="57">
        <v>53.68</v>
      </c>
      <c r="G581" s="79">
        <v>3529</v>
      </c>
      <c r="H581" s="149" t="s">
        <v>3254</v>
      </c>
      <c r="I581" s="16" t="s">
        <v>36</v>
      </c>
      <c r="J581" s="73">
        <v>55.13</v>
      </c>
      <c r="K581" s="323">
        <v>73.77</v>
      </c>
      <c r="L581" s="73">
        <v>4.5</v>
      </c>
      <c r="M581" s="73">
        <v>8.83</v>
      </c>
      <c r="N581" s="73">
        <f t="shared" si="123"/>
        <v>142.23000000000002</v>
      </c>
      <c r="O581" s="81">
        <f>IFERROR(VLOOKUP($G581,'321買'!A:E,3,0),"'沒有資料'")</f>
        <v>5</v>
      </c>
      <c r="P581" s="380">
        <f>IFERROR(VLOOKUP($G581,'321買'!$A:$G,7,0),"'沒有資料'")</f>
        <v>558</v>
      </c>
      <c r="Q581" s="245" t="s">
        <v>3817</v>
      </c>
      <c r="R581" s="297">
        <f>IFERROR(RANK(VLOOKUP($G581,連買!$A:$D,4,0),連買!$D:$D,0),"'沒有資料'")</f>
        <v>5</v>
      </c>
      <c r="S581" s="45">
        <v>14</v>
      </c>
      <c r="T581" s="353">
        <f t="shared" si="125"/>
        <v>9.5890410958904115E-3</v>
      </c>
      <c r="U581" s="57">
        <v>14.78</v>
      </c>
      <c r="V581" s="155">
        <f>RTD("money.excel",,"3529","Price")</f>
        <v>1460</v>
      </c>
      <c r="W581" s="66"/>
      <c r="X581" s="141">
        <f t="shared" si="118"/>
        <v>1460</v>
      </c>
      <c r="Y581" s="3" t="e">
        <f t="shared" si="119"/>
        <v>#DIV/0!</v>
      </c>
      <c r="Z581" s="413">
        <v>-37.700000000000003</v>
      </c>
      <c r="AA581" s="161">
        <v>0</v>
      </c>
      <c r="AB581" s="409">
        <v>0</v>
      </c>
      <c r="AC581" s="259">
        <f t="shared" ref="AC581:AC644" si="126">AA581-AB581</f>
        <v>0</v>
      </c>
      <c r="AD581" s="16" t="s">
        <v>36</v>
      </c>
      <c r="AG581" s="33">
        <f t="shared" si="120"/>
        <v>0</v>
      </c>
      <c r="AH581" s="120" t="s">
        <v>3110</v>
      </c>
      <c r="AI581" s="63">
        <f t="shared" si="124"/>
        <v>5.9132720105124839E-3</v>
      </c>
      <c r="AJ581" s="307">
        <f>RTD("money.excel",,$G581,"PredictVolume")</f>
        <v>450</v>
      </c>
      <c r="AK581" s="339">
        <v>8.49</v>
      </c>
    </row>
    <row r="582" spans="1:37">
      <c r="A582" s="415">
        <v>7.81</v>
      </c>
      <c r="B582" s="79">
        <v>555</v>
      </c>
      <c r="C582" s="79">
        <v>674</v>
      </c>
      <c r="D582" s="80">
        <v>-3</v>
      </c>
      <c r="E582" s="79">
        <v>28</v>
      </c>
      <c r="F582" s="57">
        <v>21.69</v>
      </c>
      <c r="G582" s="79">
        <v>3530</v>
      </c>
      <c r="H582" s="208" t="s">
        <v>3254</v>
      </c>
      <c r="I582" s="22" t="s">
        <v>517</v>
      </c>
      <c r="J582" s="73">
        <v>48.19</v>
      </c>
      <c r="K582" s="323">
        <v>54.45</v>
      </c>
      <c r="L582" s="323">
        <v>25.76</v>
      </c>
      <c r="N582" s="318">
        <f t="shared" si="123"/>
        <v>128.4</v>
      </c>
      <c r="O582" s="81">
        <f>IFERROR(VLOOKUP($G582,'321買'!A:E,3,0),"'沒有資料'")</f>
        <v>54</v>
      </c>
      <c r="P582" s="380">
        <f>IFERROR(VLOOKUP($G582,'321買'!$A:$G,7,0),"'沒有資料'")</f>
        <v>42</v>
      </c>
      <c r="R582" s="297">
        <f>IFERROR(RANK(VLOOKUP($G582,連買!$A:$D,4,0),連買!$D:$D,0),"'沒有資料'")</f>
        <v>1744</v>
      </c>
      <c r="S582" s="34">
        <v>2.8</v>
      </c>
      <c r="T582" s="353">
        <f t="shared" si="125"/>
        <v>2.3236514522821574E-2</v>
      </c>
      <c r="U582" s="95">
        <v>7.68</v>
      </c>
      <c r="V582" s="13">
        <f>RTD("money.excel",,"3530","Price")</f>
        <v>120.5</v>
      </c>
      <c r="W582" s="66"/>
      <c r="X582" s="15">
        <f t="shared" si="118"/>
        <v>120.5</v>
      </c>
      <c r="Y582" s="3" t="e">
        <f t="shared" si="119"/>
        <v>#DIV/0!</v>
      </c>
      <c r="Z582" s="413" t="s">
        <v>1801</v>
      </c>
      <c r="AA582" s="161">
        <v>0</v>
      </c>
      <c r="AB582" s="409">
        <v>0</v>
      </c>
      <c r="AC582" s="259">
        <f t="shared" si="126"/>
        <v>0</v>
      </c>
      <c r="AD582" s="22" t="s">
        <v>517</v>
      </c>
      <c r="AG582" s="33">
        <f t="shared" si="120"/>
        <v>0</v>
      </c>
      <c r="AH582" s="43" t="s">
        <v>2496</v>
      </c>
      <c r="AI582" s="63">
        <f t="shared" si="124"/>
        <v>1.4788732394366197E-2</v>
      </c>
      <c r="AJ582" s="307">
        <f>RTD("money.excel",,$G582,"PredictVolume")</f>
        <v>1155</v>
      </c>
      <c r="AK582" s="339"/>
    </row>
    <row r="583" spans="1:37">
      <c r="A583" s="415">
        <v>38.700000000000003</v>
      </c>
      <c r="B583" s="80">
        <v>-48</v>
      </c>
      <c r="C583" s="80">
        <v>-40</v>
      </c>
      <c r="D583" s="79">
        <v>4</v>
      </c>
      <c r="E583" s="79">
        <v>11</v>
      </c>
      <c r="F583" s="57">
        <v>14.95</v>
      </c>
      <c r="G583" s="79">
        <v>3532</v>
      </c>
      <c r="H583" s="8" t="s">
        <v>3254</v>
      </c>
      <c r="I583" s="22" t="s">
        <v>43</v>
      </c>
      <c r="J583" s="323">
        <v>85.54</v>
      </c>
      <c r="K583" s="73">
        <v>54.05</v>
      </c>
      <c r="L583" s="73">
        <v>5.22</v>
      </c>
      <c r="N583" s="318">
        <f t="shared" si="123"/>
        <v>144.81</v>
      </c>
      <c r="O583" s="81">
        <f>IFERROR(VLOOKUP($G583,'321買'!A:E,3,0),"'沒有資料'")</f>
        <v>17</v>
      </c>
      <c r="P583" s="380">
        <f>IFERROR(VLOOKUP($G583,'321買'!$A:$G,7,0),"'沒有資料'")</f>
        <v>307</v>
      </c>
      <c r="R583" s="297">
        <f>IFERROR(RANK(VLOOKUP($G583,連買!$A:$D,4,0),連買!$D:$D,0),"'沒有資料'")</f>
        <v>40</v>
      </c>
      <c r="S583" s="34">
        <v>2.15</v>
      </c>
      <c r="T583" s="353">
        <f t="shared" si="125"/>
        <v>8.5828343313373249E-3</v>
      </c>
      <c r="U583" s="95">
        <v>3.37</v>
      </c>
      <c r="V583" s="13">
        <f>RTD("money.excel",,"3532","Price")</f>
        <v>250.5</v>
      </c>
      <c r="W583" s="66"/>
      <c r="X583" s="15">
        <f t="shared" si="118"/>
        <v>250.5</v>
      </c>
      <c r="Y583" s="3" t="e">
        <f t="shared" si="119"/>
        <v>#DIV/0!</v>
      </c>
      <c r="Z583" s="413" t="s">
        <v>1801</v>
      </c>
      <c r="AA583" s="161">
        <v>0</v>
      </c>
      <c r="AB583" s="409">
        <v>0</v>
      </c>
      <c r="AC583" s="259">
        <f t="shared" si="126"/>
        <v>0</v>
      </c>
      <c r="AD583" s="22" t="s">
        <v>43</v>
      </c>
      <c r="AG583" s="33">
        <f t="shared" si="120"/>
        <v>0</v>
      </c>
      <c r="AH583" s="120" t="s">
        <v>2746</v>
      </c>
      <c r="AI583" s="63">
        <f t="shared" si="124"/>
        <v>1.6183462532299742E-2</v>
      </c>
      <c r="AJ583" s="307">
        <f>RTD("money.excel",,$G583,"PredictVolume")</f>
        <v>6263</v>
      </c>
      <c r="AK583" s="339"/>
    </row>
    <row r="584" spans="1:37">
      <c r="A584" s="416">
        <v>10.6</v>
      </c>
      <c r="B584" s="91">
        <v>10</v>
      </c>
      <c r="C584" s="91">
        <v>10</v>
      </c>
      <c r="D584" s="91">
        <v>-8</v>
      </c>
      <c r="E584" s="91">
        <v>74</v>
      </c>
      <c r="F584" s="6">
        <v>-20.74</v>
      </c>
      <c r="G584" s="79">
        <v>3536</v>
      </c>
      <c r="H584" s="8" t="s">
        <v>3254</v>
      </c>
      <c r="I584" s="22" t="s">
        <v>4375</v>
      </c>
      <c r="J584" s="73">
        <v>55.86</v>
      </c>
      <c r="K584" s="73">
        <v>0.36</v>
      </c>
      <c r="N584" s="318">
        <f t="shared" si="123"/>
        <v>56.22</v>
      </c>
      <c r="O584" s="81">
        <f>IFERROR(VLOOKUP($G584,'321買'!A:E,3,0),"'沒有資料'")</f>
        <v>0</v>
      </c>
      <c r="P584" s="380">
        <f>IFERROR(VLOOKUP($G584,'321買'!$A:$G,7,0),"'沒有資料'")</f>
        <v>911</v>
      </c>
      <c r="R584" s="297">
        <f>IFERROR(RANK(VLOOKUP($G584,連買!$A:$D,4,0),連買!$D:$D,0),"'沒有資料'")</f>
        <v>1407</v>
      </c>
      <c r="S584" s="34">
        <v>0</v>
      </c>
      <c r="T584" s="353">
        <f t="shared" si="125"/>
        <v>0</v>
      </c>
      <c r="U584" s="95">
        <v>-1.0900000000000001</v>
      </c>
      <c r="V584" s="36">
        <f>RTD("money.excel",,"3536","Price")</f>
        <v>5.85</v>
      </c>
      <c r="W584" s="66"/>
      <c r="X584" s="15">
        <f t="shared" si="118"/>
        <v>5.85</v>
      </c>
      <c r="Y584" s="3" t="e">
        <f t="shared" si="119"/>
        <v>#DIV/0!</v>
      </c>
      <c r="AA584" s="161">
        <v>0</v>
      </c>
      <c r="AB584" s="409">
        <v>0</v>
      </c>
      <c r="AC584" s="259">
        <f t="shared" si="126"/>
        <v>0</v>
      </c>
      <c r="AD584" s="22" t="s">
        <v>4375</v>
      </c>
      <c r="AG584" s="33">
        <f t="shared" si="120"/>
        <v>0</v>
      </c>
      <c r="AH584" s="43" t="s">
        <v>2348</v>
      </c>
      <c r="AI584" s="63">
        <f t="shared" si="124"/>
        <v>4.7169811320754715E-5</v>
      </c>
      <c r="AJ584" s="307">
        <f>RTD("money.excel",,$G584,"PredictVolume")</f>
        <v>5</v>
      </c>
      <c r="AK584" s="339"/>
    </row>
    <row r="585" spans="1:37">
      <c r="A585" s="415">
        <v>21.6</v>
      </c>
      <c r="B585" s="93">
        <v>1012</v>
      </c>
      <c r="C585" s="93">
        <v>1190</v>
      </c>
      <c r="D585" s="80">
        <v>-8</v>
      </c>
      <c r="E585" s="79">
        <v>24</v>
      </c>
      <c r="F585" s="57">
        <v>32.83</v>
      </c>
      <c r="G585" s="79">
        <v>3545</v>
      </c>
      <c r="H585" s="8" t="s">
        <v>3254</v>
      </c>
      <c r="I585" s="22" t="s">
        <v>349</v>
      </c>
      <c r="J585" s="73">
        <v>19.98</v>
      </c>
      <c r="K585" s="73">
        <v>20.21</v>
      </c>
      <c r="L585" s="73">
        <v>39.81</v>
      </c>
      <c r="M585" s="73">
        <v>2.5</v>
      </c>
      <c r="N585" s="318">
        <f t="shared" si="123"/>
        <v>82.5</v>
      </c>
      <c r="O585" s="81">
        <f>IFERROR(VLOOKUP($G585,'321買'!A:E,3,0),"'沒有資料'")</f>
        <v>56</v>
      </c>
      <c r="P585" s="380">
        <f>IFERROR(VLOOKUP($G585,'321買'!$A:$G,7,0),"'沒有資料'")</f>
        <v>53</v>
      </c>
      <c r="Q585" s="245" t="s">
        <v>3815</v>
      </c>
      <c r="R585" s="297">
        <f>IFERROR(RANK(VLOOKUP($G585,連買!$A:$D,4,0),連買!$D:$D,0),"'沒有資料'")</f>
        <v>52</v>
      </c>
      <c r="S585" s="45">
        <v>3.23</v>
      </c>
      <c r="T585" s="353">
        <f t="shared" si="125"/>
        <v>2.5038759689922481E-2</v>
      </c>
      <c r="U585" s="95">
        <v>24.89</v>
      </c>
      <c r="V585" s="36">
        <f>RTD("money.excel",,"3545","Price")</f>
        <v>129</v>
      </c>
      <c r="W585" s="66"/>
      <c r="X585" s="15">
        <f t="shared" si="118"/>
        <v>129</v>
      </c>
      <c r="Y585" s="3" t="e">
        <f t="shared" si="119"/>
        <v>#DIV/0!</v>
      </c>
      <c r="Z585" s="413" t="s">
        <v>1997</v>
      </c>
      <c r="AA585" s="161">
        <v>0</v>
      </c>
      <c r="AB585" s="409">
        <v>0</v>
      </c>
      <c r="AC585" s="259">
        <f t="shared" si="126"/>
        <v>0</v>
      </c>
      <c r="AD585" s="22" t="s">
        <v>349</v>
      </c>
      <c r="AG585" s="33">
        <f t="shared" si="120"/>
        <v>0</v>
      </c>
      <c r="AH585" s="43" t="s">
        <v>2527</v>
      </c>
      <c r="AI585" s="63">
        <f t="shared" si="124"/>
        <v>7.9074074074074081E-3</v>
      </c>
      <c r="AJ585" s="307">
        <f>RTD("money.excel",,$G585,"PredictVolume")</f>
        <v>1708</v>
      </c>
      <c r="AK585" s="339"/>
    </row>
    <row r="586" spans="1:37">
      <c r="A586" s="416">
        <v>3.56</v>
      </c>
      <c r="B586" s="91">
        <v>-5</v>
      </c>
      <c r="C586" s="91">
        <v>68</v>
      </c>
      <c r="D586" s="91">
        <v>-70</v>
      </c>
      <c r="E586" s="91">
        <v>-93</v>
      </c>
      <c r="F586" s="6">
        <v>-15.41</v>
      </c>
      <c r="G586" s="79">
        <v>3555</v>
      </c>
      <c r="H586" s="149" t="s">
        <v>3254</v>
      </c>
      <c r="I586" s="16" t="s">
        <v>3147</v>
      </c>
      <c r="J586" s="73">
        <v>87.07</v>
      </c>
      <c r="K586" s="323">
        <v>3.43</v>
      </c>
      <c r="L586" s="323">
        <v>3.04</v>
      </c>
      <c r="N586" s="318">
        <f t="shared" si="123"/>
        <v>93.54</v>
      </c>
      <c r="O586" s="81">
        <f>IFERROR(VLOOKUP($G586,'321買'!A:E,3,0),"'沒有資料'")</f>
        <v>0</v>
      </c>
      <c r="P586" s="380">
        <f>IFERROR(VLOOKUP($G586,'321買'!$A:$G,7,0),"'沒有資料'")</f>
        <v>911</v>
      </c>
      <c r="R586" s="297">
        <f>IFERROR(RANK(VLOOKUP($G586,連買!$A:$D,4,0),連買!$D:$D,0),"'沒有資料'")</f>
        <v>1328</v>
      </c>
      <c r="S586" s="34">
        <v>0</v>
      </c>
      <c r="T586" s="353">
        <f t="shared" si="125"/>
        <v>0</v>
      </c>
      <c r="U586" s="95">
        <v>-1.78</v>
      </c>
      <c r="V586" s="13">
        <f>RTD("money.excel",,"3555","Price")</f>
        <v>33.9</v>
      </c>
      <c r="W586" s="66"/>
      <c r="X586" s="15">
        <f t="shared" si="118"/>
        <v>33.9</v>
      </c>
      <c r="Y586" s="3" t="e">
        <f t="shared" si="119"/>
        <v>#DIV/0!</v>
      </c>
      <c r="AA586" s="161">
        <v>0</v>
      </c>
      <c r="AB586" s="409">
        <v>0</v>
      </c>
      <c r="AC586" s="259">
        <f t="shared" si="126"/>
        <v>0</v>
      </c>
      <c r="AD586" s="16" t="s">
        <v>3147</v>
      </c>
      <c r="AG586" s="33">
        <f t="shared" si="120"/>
        <v>0</v>
      </c>
      <c r="AH586" s="43" t="s">
        <v>2582</v>
      </c>
      <c r="AI586" s="63">
        <f t="shared" si="124"/>
        <v>3.9325842696629214E-4</v>
      </c>
      <c r="AJ586" s="307">
        <f>RTD("money.excel",,$G586,"PredictVolume")</f>
        <v>14</v>
      </c>
      <c r="AK586" s="339"/>
    </row>
    <row r="587" spans="1:37">
      <c r="A587" s="415">
        <v>6.13</v>
      </c>
      <c r="B587" s="79">
        <v>60</v>
      </c>
      <c r="C587" s="79">
        <v>61</v>
      </c>
      <c r="D587" s="79">
        <v>44</v>
      </c>
      <c r="E587" s="79">
        <v>28</v>
      </c>
      <c r="F587" s="57">
        <v>26.95</v>
      </c>
      <c r="G587" s="79">
        <v>3556</v>
      </c>
      <c r="H587" s="149" t="s">
        <v>3254</v>
      </c>
      <c r="I587" s="16" t="s">
        <v>365</v>
      </c>
      <c r="J587" s="323">
        <v>18.850000000000001</v>
      </c>
      <c r="K587" s="73">
        <v>8.89</v>
      </c>
      <c r="L587" s="323">
        <v>26.21</v>
      </c>
      <c r="M587" s="73">
        <v>11.22</v>
      </c>
      <c r="N587" s="318">
        <f t="shared" si="123"/>
        <v>65.17</v>
      </c>
      <c r="O587" s="81">
        <f>IFERROR(VLOOKUP($G587,'321買'!A:E,3,0),"'沒有資料'")</f>
        <v>43</v>
      </c>
      <c r="P587" s="380">
        <f>IFERROR(VLOOKUP($G587,'321買'!$A:$G,7,0),"'沒有資料'")</f>
        <v>89</v>
      </c>
      <c r="Q587" s="245" t="s">
        <v>3816</v>
      </c>
      <c r="R587" s="297">
        <f>IFERROR(RANK(VLOOKUP($G587,連買!$A:$D,4,0),連買!$D:$D,0),"'沒有資料'")</f>
        <v>242</v>
      </c>
      <c r="S587" s="45">
        <v>5.4</v>
      </c>
      <c r="T587" s="353">
        <f t="shared" si="125"/>
        <v>6.8181818181818191E-2</v>
      </c>
      <c r="U587" s="95">
        <v>6.17</v>
      </c>
      <c r="V587" s="36">
        <f>RTD("money.excel",,"3556","Price")</f>
        <v>79.2</v>
      </c>
      <c r="W587" s="66"/>
      <c r="X587" s="15">
        <f t="shared" si="118"/>
        <v>79.2</v>
      </c>
      <c r="Y587" s="3" t="e">
        <f t="shared" si="119"/>
        <v>#DIV/0!</v>
      </c>
      <c r="Z587" s="413">
        <v>-31.58</v>
      </c>
      <c r="AA587" s="161">
        <v>0</v>
      </c>
      <c r="AB587" s="409">
        <v>0</v>
      </c>
      <c r="AC587" s="259">
        <f t="shared" si="126"/>
        <v>0</v>
      </c>
      <c r="AD587" s="16" t="s">
        <v>365</v>
      </c>
      <c r="AG587" s="33">
        <f t="shared" si="120"/>
        <v>0</v>
      </c>
      <c r="AH587" s="43" t="s">
        <v>2540</v>
      </c>
      <c r="AI587" s="63">
        <f t="shared" si="124"/>
        <v>4.8450244698205547E-3</v>
      </c>
      <c r="AJ587" s="307">
        <f>RTD("money.excel",,$G587,"PredictVolume")</f>
        <v>297</v>
      </c>
      <c r="AK587" s="339">
        <v>29.1</v>
      </c>
    </row>
    <row r="588" spans="1:37">
      <c r="A588" s="415">
        <v>3.41</v>
      </c>
      <c r="B588" s="79">
        <v>38</v>
      </c>
      <c r="C588" s="79">
        <v>41</v>
      </c>
      <c r="D588" s="80">
        <v>-4</v>
      </c>
      <c r="E588" s="79">
        <v>5</v>
      </c>
      <c r="F588" s="57">
        <v>24.75</v>
      </c>
      <c r="G588" s="79">
        <v>3567</v>
      </c>
      <c r="H588" s="149" t="s">
        <v>3254</v>
      </c>
      <c r="I588" s="16" t="s">
        <v>4376</v>
      </c>
      <c r="J588" s="73">
        <v>21.52</v>
      </c>
      <c r="K588" s="73">
        <v>1.05</v>
      </c>
      <c r="L588" s="323">
        <v>12.46</v>
      </c>
      <c r="N588" s="318">
        <f t="shared" si="123"/>
        <v>35.03</v>
      </c>
      <c r="O588" s="81">
        <f>IFERROR(VLOOKUP($G588,'321買'!A:E,3,0),"'沒有資料'")</f>
        <v>4</v>
      </c>
      <c r="P588" s="380">
        <f>IFERROR(VLOOKUP($G588,'321買'!$A:$G,7,0),"'沒有資料'")</f>
        <v>558</v>
      </c>
      <c r="R588" s="297">
        <f>IFERROR(RANK(VLOOKUP($G588,連買!$A:$D,4,0),連買!$D:$D,0),"'沒有資料'")</f>
        <v>773</v>
      </c>
      <c r="S588" s="34">
        <v>2</v>
      </c>
      <c r="T588" s="353">
        <f t="shared" si="125"/>
        <v>5.5172413793103448E-2</v>
      </c>
      <c r="U588" s="95">
        <v>2.35</v>
      </c>
      <c r="V588" s="36">
        <f>RTD("money.excel",,"3567","Price")</f>
        <v>36.25</v>
      </c>
      <c r="W588" s="66"/>
      <c r="X588" s="15">
        <f t="shared" si="118"/>
        <v>36.25</v>
      </c>
      <c r="Y588" s="3" t="e">
        <f t="shared" si="119"/>
        <v>#DIV/0!</v>
      </c>
      <c r="AA588" s="161">
        <v>0</v>
      </c>
      <c r="AB588" s="409">
        <v>0</v>
      </c>
      <c r="AC588" s="259">
        <f t="shared" si="126"/>
        <v>0</v>
      </c>
      <c r="AD588" s="16" t="s">
        <v>4376</v>
      </c>
      <c r="AG588" s="33">
        <f t="shared" si="120"/>
        <v>0</v>
      </c>
      <c r="AH588" s="43" t="s">
        <v>2518</v>
      </c>
      <c r="AI588" s="63">
        <f t="shared" si="124"/>
        <v>1.436950146627566E-3</v>
      </c>
      <c r="AJ588" s="307">
        <f>RTD("money.excel",,$G588,"PredictVolume")</f>
        <v>49</v>
      </c>
      <c r="AK588" s="339"/>
    </row>
    <row r="589" spans="1:37">
      <c r="A589" s="416">
        <v>5.0999999999999996</v>
      </c>
      <c r="B589" s="91">
        <v>6</v>
      </c>
      <c r="C589" s="91">
        <v>28</v>
      </c>
      <c r="D589" s="91">
        <v>-28</v>
      </c>
      <c r="E589" s="91">
        <v>21</v>
      </c>
      <c r="F589" s="6">
        <v>9.33</v>
      </c>
      <c r="G589" s="79">
        <v>3581</v>
      </c>
      <c r="H589" s="149" t="s">
        <v>3254</v>
      </c>
      <c r="I589" s="16" t="s">
        <v>366</v>
      </c>
      <c r="J589" s="73">
        <v>63.85</v>
      </c>
      <c r="K589" s="73">
        <v>7.24</v>
      </c>
      <c r="L589" s="73">
        <v>4.92</v>
      </c>
      <c r="N589" s="318">
        <f t="shared" si="123"/>
        <v>76.010000000000005</v>
      </c>
      <c r="O589" s="81" t="str">
        <f>IFERROR(VLOOKUP($G589,'321買'!A:E,3,0),"'沒有資料'")</f>
        <v>'沒有資料'</v>
      </c>
      <c r="P589" s="380" t="str">
        <f>IFERROR(VLOOKUP($G589,'321買'!$A:$G,7,0),"'沒有資料'")</f>
        <v>'沒有資料'</v>
      </c>
      <c r="R589" s="297">
        <f>IFERROR(RANK(VLOOKUP($G589,連買!$A:$D,4,0),連買!$D:$D,0),"'沒有資料'")</f>
        <v>812</v>
      </c>
      <c r="S589" s="34">
        <v>0.9</v>
      </c>
      <c r="T589" s="353">
        <f t="shared" si="125"/>
        <v>3.5573122529644272E-2</v>
      </c>
      <c r="U589" s="95">
        <v>1.5</v>
      </c>
      <c r="V589" s="13">
        <f>RTD("money.excel",,"3581","Price")</f>
        <v>25.3</v>
      </c>
      <c r="W589" s="66"/>
      <c r="X589" s="15">
        <f t="shared" si="118"/>
        <v>25.3</v>
      </c>
      <c r="Y589" s="3" t="e">
        <f t="shared" si="119"/>
        <v>#DIV/0!</v>
      </c>
      <c r="AA589" s="161">
        <v>0</v>
      </c>
      <c r="AB589" s="409">
        <v>0</v>
      </c>
      <c r="AC589" s="259">
        <f t="shared" si="126"/>
        <v>0</v>
      </c>
      <c r="AD589" s="16" t="s">
        <v>366</v>
      </c>
      <c r="AG589" s="33">
        <f t="shared" si="120"/>
        <v>0</v>
      </c>
      <c r="AH589" s="43" t="s">
        <v>2514</v>
      </c>
      <c r="AI589" s="63">
        <f t="shared" si="124"/>
        <v>5.8823529411764701E-4</v>
      </c>
      <c r="AJ589" s="307">
        <f>RTD("money.excel",,$G589,"PredictVolume")</f>
        <v>30</v>
      </c>
      <c r="AK589" s="339"/>
    </row>
    <row r="590" spans="1:37">
      <c r="A590" s="415">
        <v>8.11</v>
      </c>
      <c r="B590" s="79">
        <v>37</v>
      </c>
      <c r="C590" s="79">
        <v>19</v>
      </c>
      <c r="D590" s="79">
        <v>2</v>
      </c>
      <c r="E590" s="79">
        <v>77</v>
      </c>
      <c r="F590" s="57">
        <v>11.85</v>
      </c>
      <c r="G590" s="79">
        <v>3583</v>
      </c>
      <c r="H590" s="8" t="s">
        <v>3254</v>
      </c>
      <c r="I590" s="22" t="s">
        <v>7</v>
      </c>
      <c r="J590" s="323">
        <v>51.22</v>
      </c>
      <c r="K590" s="323">
        <v>7.79</v>
      </c>
      <c r="L590" s="73">
        <v>23.99</v>
      </c>
      <c r="M590" s="323">
        <v>14.77</v>
      </c>
      <c r="N590" s="318">
        <f t="shared" si="123"/>
        <v>97.77</v>
      </c>
      <c r="O590" s="81">
        <f>IFERROR(VLOOKUP($G590,'321買'!A:E,3,0),"'沒有資料'")</f>
        <v>23</v>
      </c>
      <c r="P590" s="380">
        <f>IFERROR(VLOOKUP($G590,'321買'!$A:$G,7,0),"'沒有資料'")</f>
        <v>207</v>
      </c>
      <c r="Q590" s="245" t="s">
        <v>5063</v>
      </c>
      <c r="R590" s="297">
        <f>IFERROR(RANK(VLOOKUP($G590,連買!$A:$D,4,0),連買!$D:$D,0),"'沒有資料'")</f>
        <v>607</v>
      </c>
      <c r="S590" s="34">
        <v>2.5</v>
      </c>
      <c r="T590" s="353">
        <f t="shared" si="125"/>
        <v>2.9002320185614848E-2</v>
      </c>
      <c r="U590" s="57">
        <v>5.23</v>
      </c>
      <c r="V590" s="36">
        <f>RTD("money.excel",,"3583","Price")</f>
        <v>86.2</v>
      </c>
      <c r="W590" s="66"/>
      <c r="X590" s="15">
        <f t="shared" si="118"/>
        <v>86.2</v>
      </c>
      <c r="Y590" s="3" t="e">
        <f t="shared" si="119"/>
        <v>#DIV/0!</v>
      </c>
      <c r="Z590" s="413" t="s">
        <v>1801</v>
      </c>
      <c r="AA590" s="161">
        <v>0</v>
      </c>
      <c r="AB590" s="409">
        <v>0</v>
      </c>
      <c r="AC590" s="259">
        <f t="shared" si="126"/>
        <v>0</v>
      </c>
      <c r="AD590" s="22" t="s">
        <v>7</v>
      </c>
      <c r="AG590" s="33">
        <f t="shared" si="120"/>
        <v>0</v>
      </c>
      <c r="AH590" s="120" t="s">
        <v>2322</v>
      </c>
      <c r="AI590" s="63">
        <f t="shared" si="124"/>
        <v>1.2959309494451295E-2</v>
      </c>
      <c r="AJ590" s="307">
        <f>RTD("money.excel",,$G590,"PredictVolume")</f>
        <v>1051</v>
      </c>
      <c r="AK590" s="339">
        <v>56.41</v>
      </c>
    </row>
    <row r="591" spans="1:37">
      <c r="A591" s="415">
        <v>5.29</v>
      </c>
      <c r="B591" s="79">
        <v>500</v>
      </c>
      <c r="C591" s="79">
        <v>404</v>
      </c>
      <c r="D591" s="80">
        <v>-4</v>
      </c>
      <c r="E591" s="79">
        <v>44</v>
      </c>
      <c r="F591" s="57">
        <v>16.600000000000001</v>
      </c>
      <c r="G591" s="79">
        <v>3588</v>
      </c>
      <c r="H591" s="8" t="s">
        <v>3254</v>
      </c>
      <c r="I591" s="22" t="s">
        <v>350</v>
      </c>
      <c r="J591" s="323">
        <v>26.68</v>
      </c>
      <c r="K591" s="323">
        <v>8.6199999999999992</v>
      </c>
      <c r="L591" s="323">
        <v>36.67</v>
      </c>
      <c r="M591" s="323">
        <v>9.27</v>
      </c>
      <c r="N591" s="318">
        <f t="shared" si="123"/>
        <v>81.239999999999995</v>
      </c>
      <c r="O591" s="81">
        <f>IFERROR(VLOOKUP($G591,'321買'!A:E,3,0),"'沒有資料'")</f>
        <v>71</v>
      </c>
      <c r="P591" s="380">
        <f>IFERROR(VLOOKUP($G591,'321買'!$A:$G,7,0),"'沒有資料'")</f>
        <v>31</v>
      </c>
      <c r="Q591" s="245" t="s">
        <v>3815</v>
      </c>
      <c r="R591" s="297">
        <f>IFERROR(RANK(VLOOKUP($G591,連買!$A:$D,4,0),連買!$D:$D,0),"'沒有資料'")</f>
        <v>170</v>
      </c>
      <c r="S591" s="34">
        <v>1.6</v>
      </c>
      <c r="T591" s="353">
        <f t="shared" si="125"/>
        <v>1.3675213675213675E-2</v>
      </c>
      <c r="U591" s="95">
        <v>4.97</v>
      </c>
      <c r="V591" s="36">
        <f>RTD("money.excel",,"3588","Price")</f>
        <v>117</v>
      </c>
      <c r="W591" s="66"/>
      <c r="X591" s="15">
        <f t="shared" si="118"/>
        <v>117</v>
      </c>
      <c r="Y591" s="3" t="e">
        <f t="shared" si="119"/>
        <v>#DIV/0!</v>
      </c>
      <c r="Z591" s="413" t="s">
        <v>1801</v>
      </c>
      <c r="AA591" s="161">
        <v>0</v>
      </c>
      <c r="AB591" s="409">
        <v>0</v>
      </c>
      <c r="AC591" s="259">
        <f t="shared" si="126"/>
        <v>0</v>
      </c>
      <c r="AD591" s="22" t="s">
        <v>350</v>
      </c>
      <c r="AG591" s="33">
        <f t="shared" si="120"/>
        <v>0</v>
      </c>
      <c r="AH591" s="43" t="s">
        <v>3858</v>
      </c>
      <c r="AI591" s="63">
        <f t="shared" si="124"/>
        <v>1.9716446124763705E-2</v>
      </c>
      <c r="AJ591" s="307">
        <f>RTD("money.excel",,$G591,"PredictVolume")</f>
        <v>1043</v>
      </c>
      <c r="AK591" s="339"/>
    </row>
    <row r="592" spans="1:37">
      <c r="A592" s="415">
        <v>7.59</v>
      </c>
      <c r="B592" s="79">
        <v>592</v>
      </c>
      <c r="C592" s="79">
        <v>551</v>
      </c>
      <c r="D592" s="79">
        <v>8</v>
      </c>
      <c r="E592" s="79">
        <v>52</v>
      </c>
      <c r="F592" s="57">
        <v>20.25</v>
      </c>
      <c r="G592" s="79">
        <v>3592</v>
      </c>
      <c r="H592" s="8" t="s">
        <v>3254</v>
      </c>
      <c r="I592" s="22" t="s">
        <v>3876</v>
      </c>
      <c r="J592" s="323">
        <v>20.100000000000001</v>
      </c>
      <c r="K592" s="73">
        <v>11.32</v>
      </c>
      <c r="L592" s="323"/>
      <c r="M592" s="73">
        <v>17.350000000000001</v>
      </c>
      <c r="N592" s="318">
        <f>J592+K592+L592+M592</f>
        <v>48.77</v>
      </c>
      <c r="O592" s="81" t="str">
        <f>IFERROR(VLOOKUP($G592,'321買'!A:E,3,0),"'沒有資料'")</f>
        <v>'沒有資料'</v>
      </c>
      <c r="P592" s="380" t="str">
        <f>IFERROR(VLOOKUP($G592,'321買'!$A:$G,7,0),"'沒有資料'")</f>
        <v>'沒有資料'</v>
      </c>
      <c r="R592" s="297">
        <f>IFERROR(RANK(VLOOKUP($G592,連買!$A:$D,4,0),連買!$D:$D,0),"'沒有資料'")</f>
        <v>1703</v>
      </c>
      <c r="S592" s="45">
        <v>10.5</v>
      </c>
      <c r="T592" s="353">
        <f t="shared" ref="T592:T623" si="127">S592/V592</f>
        <v>2.2105263157894735E-2</v>
      </c>
      <c r="U592" s="95" t="s">
        <v>3500</v>
      </c>
      <c r="V592" s="36">
        <f>RTD("money.excel",,"3592","Price")</f>
        <v>475</v>
      </c>
      <c r="W592" s="66"/>
      <c r="X592" s="15">
        <f t="shared" ref="X592:X656" si="128">V592-W592</f>
        <v>475</v>
      </c>
      <c r="Y592" s="3" t="e">
        <f t="shared" ref="Y592:Y656" si="129">X592/W592</f>
        <v>#DIV/0!</v>
      </c>
      <c r="Z592" s="413" t="s">
        <v>1997</v>
      </c>
      <c r="AA592" s="161">
        <v>0</v>
      </c>
      <c r="AB592" s="409">
        <v>0</v>
      </c>
      <c r="AC592" s="259">
        <f t="shared" si="126"/>
        <v>0</v>
      </c>
      <c r="AD592" s="22" t="s">
        <v>3876</v>
      </c>
      <c r="AG592" s="33">
        <f t="shared" ref="AG592:AG656" si="130">AF592-AE592</f>
        <v>0</v>
      </c>
      <c r="AH592" s="43" t="s">
        <v>3878</v>
      </c>
      <c r="AI592" s="63">
        <f t="shared" ref="AI592:AI623" si="131">AJ592/(A592*10000)</f>
        <v>2.779973649538867E-3</v>
      </c>
      <c r="AJ592" s="307">
        <f>RTD("money.excel",,$G592,"PredictVolume")</f>
        <v>211</v>
      </c>
      <c r="AK592" s="339"/>
    </row>
    <row r="593" spans="1:37">
      <c r="A593" s="130" t="s">
        <v>8663</v>
      </c>
      <c r="B593" s="79">
        <v>78</v>
      </c>
      <c r="C593" s="79">
        <v>85</v>
      </c>
      <c r="D593" s="80">
        <v>-3</v>
      </c>
      <c r="E593" s="80">
        <v>-17</v>
      </c>
      <c r="F593" s="57">
        <v>17.53</v>
      </c>
      <c r="G593" s="79">
        <v>3661</v>
      </c>
      <c r="H593" s="8" t="s">
        <v>3254</v>
      </c>
      <c r="I593" s="22" t="s">
        <v>4377</v>
      </c>
      <c r="J593" s="73">
        <v>24.2</v>
      </c>
      <c r="K593" s="73">
        <v>77.5</v>
      </c>
      <c r="L593" s="73">
        <v>10.78</v>
      </c>
      <c r="M593" s="73">
        <v>3.93</v>
      </c>
      <c r="N593" s="318">
        <f>J593+K593+L593+M593</f>
        <v>116.41000000000001</v>
      </c>
      <c r="O593" s="81">
        <f>IFERROR(VLOOKUP($G593,'321買'!A:E,3,0),"'沒有資料'")</f>
        <v>69</v>
      </c>
      <c r="P593" s="380">
        <f>IFERROR(VLOOKUP($G593,'321買'!$A:$G,7,0),"'沒有資料'")</f>
        <v>42</v>
      </c>
      <c r="Q593" s="245" t="s">
        <v>3817</v>
      </c>
      <c r="R593" s="297">
        <f>IFERROR(RANK(VLOOKUP($G593,連買!$A:$D,4,0),連買!$D:$D,0),"'沒有資料'")</f>
        <v>8</v>
      </c>
      <c r="S593" s="45">
        <v>10.59</v>
      </c>
      <c r="T593" s="353">
        <f t="shared" si="127"/>
        <v>1.0795107033639144E-2</v>
      </c>
      <c r="U593" s="95">
        <v>21.4</v>
      </c>
      <c r="V593" s="155">
        <f>RTD("money.excel",,"3661","Price")</f>
        <v>981</v>
      </c>
      <c r="W593" s="66"/>
      <c r="X593" s="141">
        <f t="shared" si="128"/>
        <v>981</v>
      </c>
      <c r="Y593" s="3" t="e">
        <f t="shared" si="129"/>
        <v>#DIV/0!</v>
      </c>
      <c r="Z593" s="413">
        <v>-25.74</v>
      </c>
      <c r="AA593" s="161">
        <v>1</v>
      </c>
      <c r="AB593" s="409">
        <v>1</v>
      </c>
      <c r="AC593" s="259">
        <f t="shared" si="126"/>
        <v>0</v>
      </c>
      <c r="AD593" s="22" t="s">
        <v>4377</v>
      </c>
      <c r="AG593" s="33">
        <f t="shared" si="130"/>
        <v>0</v>
      </c>
      <c r="AH593" s="43" t="s">
        <v>3256</v>
      </c>
      <c r="AI593" s="63">
        <f t="shared" si="131"/>
        <v>4.1221910112359553E-2</v>
      </c>
      <c r="AJ593" s="307">
        <f>RTD("money.excel",,$G593,"PredictVolume")</f>
        <v>2935</v>
      </c>
      <c r="AK593" s="339">
        <v>34.22</v>
      </c>
    </row>
    <row r="594" spans="1:37">
      <c r="A594" s="415">
        <v>4.4400000000000004</v>
      </c>
      <c r="B594" s="79">
        <v>249</v>
      </c>
      <c r="C594" s="79">
        <v>154</v>
      </c>
      <c r="D594" s="80">
        <v>-15</v>
      </c>
      <c r="E594" s="79">
        <v>19</v>
      </c>
      <c r="F594" s="57">
        <v>16.510000000000002</v>
      </c>
      <c r="G594" s="79">
        <v>3675</v>
      </c>
      <c r="H594" s="149" t="s">
        <v>3254</v>
      </c>
      <c r="I594" s="16" t="s">
        <v>367</v>
      </c>
      <c r="J594" s="73">
        <v>57.54</v>
      </c>
      <c r="K594" s="73">
        <v>67.650000000000006</v>
      </c>
      <c r="L594" s="73">
        <v>18.91</v>
      </c>
      <c r="M594" s="323">
        <v>54.85</v>
      </c>
      <c r="N594" s="73">
        <f>J594+K594+L594+M594</f>
        <v>198.95</v>
      </c>
      <c r="O594" s="81">
        <f>IFERROR(VLOOKUP($G594,'321買'!A:E,3,0),"'沒有資料'")</f>
        <v>60</v>
      </c>
      <c r="P594" s="380">
        <f>IFERROR(VLOOKUP($G594,'321買'!$A:$G,7,0),"'沒有資料'")</f>
        <v>49</v>
      </c>
      <c r="Q594" s="245" t="s">
        <v>5088</v>
      </c>
      <c r="R594" s="297">
        <f>IFERROR(RANK(VLOOKUP($G594,連買!$A:$D,4,0),連買!$D:$D,0),"'沒有資料'")</f>
        <v>62</v>
      </c>
      <c r="S594" s="66">
        <v>5</v>
      </c>
      <c r="T594" s="353">
        <f t="shared" si="127"/>
        <v>1.5673981191222569E-2</v>
      </c>
      <c r="U594" s="57">
        <v>7.36</v>
      </c>
      <c r="V594" s="13">
        <f>RTD("money.excel",,"3675","Price")</f>
        <v>319</v>
      </c>
      <c r="W594" s="66"/>
      <c r="X594" s="15">
        <f t="shared" si="128"/>
        <v>319</v>
      </c>
      <c r="Y594" s="3" t="e">
        <f t="shared" si="129"/>
        <v>#DIV/0!</v>
      </c>
      <c r="Z594" s="413">
        <v>-6.88</v>
      </c>
      <c r="AA594" s="161">
        <v>0</v>
      </c>
      <c r="AB594" s="409">
        <v>0</v>
      </c>
      <c r="AC594" s="259">
        <f t="shared" si="126"/>
        <v>0</v>
      </c>
      <c r="AD594" s="16" t="s">
        <v>367</v>
      </c>
      <c r="AG594" s="33">
        <f t="shared" si="130"/>
        <v>0</v>
      </c>
      <c r="AH594" s="43" t="s">
        <v>3129</v>
      </c>
      <c r="AI594" s="63">
        <f t="shared" si="131"/>
        <v>0.10175675675675674</v>
      </c>
      <c r="AJ594" s="307">
        <f>RTD("money.excel",,$G594,"PredictVolume")</f>
        <v>4518</v>
      </c>
      <c r="AK594" s="339">
        <v>42.38</v>
      </c>
    </row>
    <row r="595" spans="1:37">
      <c r="A595" s="416">
        <v>8.41</v>
      </c>
      <c r="B595" s="80">
        <v>-34</v>
      </c>
      <c r="C595" s="80">
        <v>-44</v>
      </c>
      <c r="D595" s="80">
        <v>-14</v>
      </c>
      <c r="E595" s="79">
        <v>15</v>
      </c>
      <c r="F595" s="6">
        <v>8.75</v>
      </c>
      <c r="G595" s="79">
        <v>3680</v>
      </c>
      <c r="H595" s="149" t="s">
        <v>3254</v>
      </c>
      <c r="I595" s="16" t="s">
        <v>368</v>
      </c>
      <c r="J595" s="323">
        <v>44.02</v>
      </c>
      <c r="K595" s="323">
        <v>13.16</v>
      </c>
      <c r="L595" s="323">
        <v>10.18</v>
      </c>
      <c r="N595" s="318">
        <f t="shared" ref="N595:N656" si="132">J595+K595+L595+M595</f>
        <v>67.360000000000014</v>
      </c>
      <c r="O595" s="81">
        <f>IFERROR(VLOOKUP($G595,'321買'!A:E,3,0),"'沒有資料'")</f>
        <v>12</v>
      </c>
      <c r="P595" s="380">
        <f>IFERROR(VLOOKUP($G595,'321買'!$A:$G,7,0),"'沒有資料'")</f>
        <v>348</v>
      </c>
      <c r="R595" s="297">
        <f>IFERROR(RANK(VLOOKUP($G595,連買!$A:$D,4,0),連買!$D:$D,0),"'沒有資料'")</f>
        <v>252</v>
      </c>
      <c r="S595" s="66">
        <v>3.5</v>
      </c>
      <c r="T595" s="353">
        <f t="shared" si="127"/>
        <v>1.5873015873015872E-2</v>
      </c>
      <c r="U595" s="95">
        <v>5.12</v>
      </c>
      <c r="V595" s="36">
        <f>RTD("money.excel",,"3680","Price")</f>
        <v>220.5</v>
      </c>
      <c r="W595" s="66"/>
      <c r="X595" s="15">
        <f t="shared" si="128"/>
        <v>220.5</v>
      </c>
      <c r="Y595" s="3" t="e">
        <f t="shared" si="129"/>
        <v>#DIV/0!</v>
      </c>
      <c r="Z595" s="413" t="s">
        <v>1997</v>
      </c>
      <c r="AA595" s="161">
        <v>0</v>
      </c>
      <c r="AB595" s="409">
        <v>0</v>
      </c>
      <c r="AC595" s="259">
        <f t="shared" si="126"/>
        <v>0</v>
      </c>
      <c r="AD595" s="16" t="s">
        <v>368</v>
      </c>
      <c r="AG595" s="33">
        <f t="shared" si="130"/>
        <v>0</v>
      </c>
      <c r="AH595" s="43" t="s">
        <v>290</v>
      </c>
      <c r="AI595" s="63">
        <f t="shared" si="131"/>
        <v>4.3995243757431633E-3</v>
      </c>
      <c r="AJ595" s="307">
        <f>RTD("money.excel",,$G595,"PredictVolume")</f>
        <v>370</v>
      </c>
      <c r="AK595" s="339"/>
    </row>
    <row r="596" spans="1:37">
      <c r="A596" s="416">
        <v>11.3</v>
      </c>
      <c r="B596" s="80">
        <v>-60</v>
      </c>
      <c r="C596" s="79">
        <v>39</v>
      </c>
      <c r="D596" s="80">
        <v>-2</v>
      </c>
      <c r="E596" s="79">
        <v>9</v>
      </c>
      <c r="F596" s="6">
        <v>-47.4</v>
      </c>
      <c r="G596" s="79">
        <v>3686</v>
      </c>
      <c r="H596" s="8" t="s">
        <v>3254</v>
      </c>
      <c r="I596" s="22" t="s">
        <v>351</v>
      </c>
      <c r="J596" s="73">
        <v>6.09</v>
      </c>
      <c r="K596" s="73">
        <v>2.63</v>
      </c>
      <c r="N596" s="318">
        <f t="shared" si="132"/>
        <v>8.7199999999999989</v>
      </c>
      <c r="O596" s="81">
        <f>IFERROR(VLOOKUP($G596,'321買'!A:E,3,0),"'沒有資料'")</f>
        <v>5</v>
      </c>
      <c r="P596" s="380">
        <f>IFERROR(VLOOKUP($G596,'321買'!$A:$G,7,0),"'沒有資料'")</f>
        <v>558</v>
      </c>
      <c r="R596" s="297">
        <f>IFERROR(RANK(VLOOKUP($G596,連買!$A:$D,4,0),連買!$D:$D,0),"'沒有資料'")</f>
        <v>996</v>
      </c>
      <c r="S596" s="34">
        <v>0</v>
      </c>
      <c r="T596" s="353">
        <f t="shared" si="127"/>
        <v>0</v>
      </c>
      <c r="U596" s="95">
        <v>-1.33</v>
      </c>
      <c r="V596" s="36">
        <f>RTD("money.excel",,"3686","Price")</f>
        <v>16.45</v>
      </c>
      <c r="W596" s="66"/>
      <c r="X596" s="15">
        <f t="shared" si="128"/>
        <v>16.45</v>
      </c>
      <c r="Y596" s="3" t="e">
        <f t="shared" si="129"/>
        <v>#DIV/0!</v>
      </c>
      <c r="Z596" s="413" t="s">
        <v>1801</v>
      </c>
      <c r="AA596" s="161">
        <v>0</v>
      </c>
      <c r="AB596" s="409">
        <v>0</v>
      </c>
      <c r="AC596" s="259">
        <f t="shared" si="126"/>
        <v>0</v>
      </c>
      <c r="AD596" s="22" t="s">
        <v>351</v>
      </c>
      <c r="AG596" s="33">
        <f t="shared" si="130"/>
        <v>0</v>
      </c>
      <c r="AH596" s="43" t="s">
        <v>2336</v>
      </c>
      <c r="AI596" s="63">
        <f t="shared" si="131"/>
        <v>6.7699115044247788E-3</v>
      </c>
      <c r="AJ596" s="307">
        <f>RTD("money.excel",,$G596,"PredictVolume")</f>
        <v>765</v>
      </c>
      <c r="AK596" s="339"/>
    </row>
    <row r="597" spans="1:37">
      <c r="A597" s="416">
        <v>32</v>
      </c>
      <c r="B597" s="79">
        <v>134</v>
      </c>
      <c r="C597" s="79">
        <v>155</v>
      </c>
      <c r="D597" s="79">
        <v>4</v>
      </c>
      <c r="E597" s="79">
        <v>41</v>
      </c>
      <c r="F597" s="6">
        <v>3.66</v>
      </c>
      <c r="G597" s="79">
        <v>3707</v>
      </c>
      <c r="H597" s="208" t="s">
        <v>3254</v>
      </c>
      <c r="I597" s="24" t="s">
        <v>4378</v>
      </c>
      <c r="J597" s="323">
        <v>49.2</v>
      </c>
      <c r="K597" s="323">
        <v>19.309999999999999</v>
      </c>
      <c r="L597" s="73">
        <v>32.979999999999997</v>
      </c>
      <c r="N597" s="318">
        <f t="shared" si="132"/>
        <v>101.49000000000001</v>
      </c>
      <c r="O597" s="81">
        <f>IFERROR(VLOOKUP($G597,'321買'!A:E,3,0),"'沒有資料'")</f>
        <v>96</v>
      </c>
      <c r="P597" s="380">
        <f>IFERROR(VLOOKUP($G597,'321買'!$A:$G,7,0),"'沒有資料'")</f>
        <v>10</v>
      </c>
      <c r="R597" s="297">
        <f>IFERROR(RANK(VLOOKUP($G597,連買!$A:$D,4,0),連買!$D:$D,0),"'沒有資料'")</f>
        <v>155</v>
      </c>
      <c r="S597" s="34">
        <v>0</v>
      </c>
      <c r="T597" s="353">
        <f t="shared" si="127"/>
        <v>0</v>
      </c>
      <c r="U597" s="95">
        <v>-0.74</v>
      </c>
      <c r="V597" s="36">
        <f>RTD("money.excel",,"3707","Price")</f>
        <v>130.5</v>
      </c>
      <c r="W597" s="66"/>
      <c r="X597" s="15">
        <f t="shared" si="128"/>
        <v>130.5</v>
      </c>
      <c r="Y597" s="3" t="e">
        <f t="shared" si="129"/>
        <v>#DIV/0!</v>
      </c>
      <c r="Z597" s="413" t="s">
        <v>1801</v>
      </c>
      <c r="AA597" s="161">
        <v>0</v>
      </c>
      <c r="AB597" s="409">
        <v>0</v>
      </c>
      <c r="AC597" s="259">
        <f t="shared" si="126"/>
        <v>0</v>
      </c>
      <c r="AD597" s="24" t="s">
        <v>4378</v>
      </c>
      <c r="AG597" s="33">
        <f t="shared" si="130"/>
        <v>0</v>
      </c>
      <c r="AH597" s="122" t="s">
        <v>2740</v>
      </c>
      <c r="AI597" s="63">
        <f t="shared" si="131"/>
        <v>2.5871874999999999E-2</v>
      </c>
      <c r="AJ597" s="307">
        <f>RTD("money.excel",,$G597,"PredictVolume")</f>
        <v>8279</v>
      </c>
      <c r="AK597" s="339"/>
    </row>
    <row r="598" spans="1:37">
      <c r="A598" s="415">
        <v>435</v>
      </c>
      <c r="B598" s="79">
        <v>125</v>
      </c>
      <c r="C598" s="79">
        <v>78</v>
      </c>
      <c r="D598" s="80">
        <v>-9</v>
      </c>
      <c r="E598" s="79">
        <v>19</v>
      </c>
      <c r="F598" s="57">
        <v>10.9</v>
      </c>
      <c r="G598" s="79">
        <v>3711</v>
      </c>
      <c r="H598" s="8" t="s">
        <v>3254</v>
      </c>
      <c r="I598" s="22" t="s">
        <v>12</v>
      </c>
      <c r="J598" s="323">
        <v>87.15</v>
      </c>
      <c r="K598" s="323">
        <v>77.84</v>
      </c>
      <c r="L598" s="323">
        <v>0.89</v>
      </c>
      <c r="M598" s="323">
        <v>16.2</v>
      </c>
      <c r="N598" s="73">
        <f t="shared" si="132"/>
        <v>182.07999999999998</v>
      </c>
      <c r="O598" s="81">
        <f>IFERROR(VLOOKUP($G598,'321買'!A:E,3,0),"'沒有資料'")</f>
        <v>0</v>
      </c>
      <c r="P598" s="380">
        <f>IFERROR(VLOOKUP($G598,'321買'!$A:$G,7,0),"'沒有資料'")</f>
        <v>911</v>
      </c>
      <c r="Q598" s="245" t="s">
        <v>3817</v>
      </c>
      <c r="R598" s="297">
        <f>IFERROR(RANK(VLOOKUP($G598,連買!$A:$D,4,0),連買!$D:$D,0),"'沒有資料'")</f>
        <v>124</v>
      </c>
      <c r="S598" s="45">
        <v>7</v>
      </c>
      <c r="T598" s="353">
        <f t="shared" si="127"/>
        <v>7.0351758793969849E-2</v>
      </c>
      <c r="U598" s="57">
        <v>14.83</v>
      </c>
      <c r="V598" s="13">
        <f>RTD("money.excel",,"3711","Price")</f>
        <v>99.5</v>
      </c>
      <c r="W598" s="66"/>
      <c r="X598" s="15">
        <f t="shared" si="128"/>
        <v>99.5</v>
      </c>
      <c r="Y598" s="3" t="e">
        <f t="shared" si="129"/>
        <v>#DIV/0!</v>
      </c>
      <c r="Z598" s="413">
        <v>-24.72</v>
      </c>
      <c r="AA598" s="161">
        <v>0</v>
      </c>
      <c r="AB598" s="409">
        <v>0</v>
      </c>
      <c r="AC598" s="259">
        <f t="shared" si="126"/>
        <v>0</v>
      </c>
      <c r="AD598" s="22" t="s">
        <v>12</v>
      </c>
      <c r="AG598" s="33">
        <f t="shared" si="130"/>
        <v>0</v>
      </c>
      <c r="AH598" s="120" t="s">
        <v>2573</v>
      </c>
      <c r="AI598" s="63">
        <f t="shared" si="131"/>
        <v>1.7216091954022988E-3</v>
      </c>
      <c r="AJ598" s="307">
        <f>RTD("money.excel",,$G598,"PredictVolume")</f>
        <v>7489</v>
      </c>
      <c r="AK598" s="339">
        <v>2.0699999999999998</v>
      </c>
    </row>
    <row r="599" spans="1:37">
      <c r="A599" s="416">
        <v>41.9</v>
      </c>
      <c r="B599" s="79">
        <v>451</v>
      </c>
      <c r="C599" s="79">
        <v>932</v>
      </c>
      <c r="D599" s="79">
        <v>1</v>
      </c>
      <c r="E599" s="79">
        <v>17</v>
      </c>
      <c r="F599" s="6">
        <v>8.0299999999999994</v>
      </c>
      <c r="G599" s="79">
        <v>4919</v>
      </c>
      <c r="H599" s="8" t="s">
        <v>3254</v>
      </c>
      <c r="I599" s="22" t="s">
        <v>118</v>
      </c>
      <c r="J599" s="73">
        <v>66.56</v>
      </c>
      <c r="K599" s="73">
        <v>15.32</v>
      </c>
      <c r="L599" s="323">
        <v>17.940000000000001</v>
      </c>
      <c r="M599" s="323">
        <v>52.65</v>
      </c>
      <c r="N599" s="318">
        <f t="shared" si="132"/>
        <v>152.47</v>
      </c>
      <c r="O599" s="81">
        <f>IFERROR(VLOOKUP($G599,'321買'!A:E,3,0),"'沒有資料'")</f>
        <v>76</v>
      </c>
      <c r="P599" s="380">
        <f>IFERROR(VLOOKUP($G599,'321買'!$A:$G,7,0),"'沒有資料'")</f>
        <v>25</v>
      </c>
      <c r="Q599" s="245" t="s">
        <v>3816</v>
      </c>
      <c r="R599" s="297">
        <f>IFERROR(RANK(VLOOKUP($G599,連買!$A:$D,4,0),連買!$D:$D,0),"'沒有資料'")</f>
        <v>132</v>
      </c>
      <c r="S599" s="66">
        <v>5</v>
      </c>
      <c r="T599" s="353">
        <f t="shared" si="127"/>
        <v>2.9940119760479042E-2</v>
      </c>
      <c r="U599" s="57">
        <v>2.52</v>
      </c>
      <c r="V599" s="36">
        <f>RTD("money.excel",,"4919","Price")</f>
        <v>167</v>
      </c>
      <c r="W599" s="66"/>
      <c r="X599" s="15">
        <f t="shared" si="128"/>
        <v>167</v>
      </c>
      <c r="Y599" s="3" t="e">
        <f t="shared" si="129"/>
        <v>#DIV/0!</v>
      </c>
      <c r="Z599" s="413" t="s">
        <v>1997</v>
      </c>
      <c r="AA599" s="161">
        <v>0</v>
      </c>
      <c r="AB599" s="409">
        <v>0</v>
      </c>
      <c r="AC599" s="259">
        <f t="shared" si="126"/>
        <v>0</v>
      </c>
      <c r="AD599" s="22" t="s">
        <v>118</v>
      </c>
      <c r="AG599" s="33">
        <f t="shared" si="130"/>
        <v>0</v>
      </c>
      <c r="AH599" s="120" t="s">
        <v>3236</v>
      </c>
      <c r="AI599" s="63">
        <f t="shared" si="131"/>
        <v>5.0109785202863959E-2</v>
      </c>
      <c r="AJ599" s="307">
        <f>RTD("money.excel",,$G599,"PredictVolume")</f>
        <v>20996</v>
      </c>
      <c r="AK599" s="339">
        <v>42.17</v>
      </c>
    </row>
    <row r="600" spans="1:37">
      <c r="A600" s="415">
        <v>2.83</v>
      </c>
      <c r="B600" s="79">
        <v>854</v>
      </c>
      <c r="C600" s="79">
        <v>622</v>
      </c>
      <c r="D600" s="79">
        <v>1</v>
      </c>
      <c r="E600" s="79">
        <v>60</v>
      </c>
      <c r="F600" s="57">
        <v>15.92</v>
      </c>
      <c r="G600" s="79">
        <v>4923</v>
      </c>
      <c r="H600" s="149" t="s">
        <v>3254</v>
      </c>
      <c r="I600" s="16" t="s">
        <v>5152</v>
      </c>
      <c r="J600" s="323">
        <v>10.44</v>
      </c>
      <c r="K600" s="323">
        <v>2.91</v>
      </c>
      <c r="L600" s="323"/>
      <c r="M600" s="73">
        <v>20.97</v>
      </c>
      <c r="N600" s="318">
        <f t="shared" si="132"/>
        <v>34.32</v>
      </c>
      <c r="O600" s="81" t="str">
        <f>IFERROR(VLOOKUP($G600,'321買'!A:E,3,0),"'沒有資料'")</f>
        <v>'沒有資料'</v>
      </c>
      <c r="P600" s="380" t="str">
        <f>IFERROR(VLOOKUP($G600,'321買'!$A:$G,7,0),"'沒有資料'")</f>
        <v>'沒有資料'</v>
      </c>
      <c r="R600" s="297">
        <f>IFERROR(RANK(VLOOKUP($G600,連買!$A:$D,4,0),連買!$D:$D,0),"'沒有資料'")</f>
        <v>1408</v>
      </c>
      <c r="S600" s="66">
        <v>5</v>
      </c>
      <c r="T600" s="353">
        <f t="shared" si="127"/>
        <v>6.8870523415977963E-2</v>
      </c>
      <c r="U600" s="95" t="s">
        <v>3500</v>
      </c>
      <c r="V600" s="36">
        <f>RTD("money.excel",,"4923","Price")</f>
        <v>72.599999999999994</v>
      </c>
      <c r="W600" s="66"/>
      <c r="X600" s="15">
        <f>V600-W600</f>
        <v>72.599999999999994</v>
      </c>
      <c r="Y600" s="3" t="e">
        <f>X600/W600</f>
        <v>#DIV/0!</v>
      </c>
      <c r="AA600" s="161">
        <v>0</v>
      </c>
      <c r="AB600" s="409">
        <v>0</v>
      </c>
      <c r="AC600" s="259">
        <f t="shared" si="126"/>
        <v>0</v>
      </c>
      <c r="AD600" s="16" t="s">
        <v>5152</v>
      </c>
      <c r="AG600" s="33">
        <f>AF600-AE600</f>
        <v>0</v>
      </c>
      <c r="AH600" s="126" t="s">
        <v>5155</v>
      </c>
      <c r="AI600" s="63">
        <f t="shared" si="131"/>
        <v>5.2296819787985864E-3</v>
      </c>
      <c r="AJ600" s="307">
        <f>RTD("money.excel",,$G600,"PredictVolume")</f>
        <v>148</v>
      </c>
      <c r="AK600" s="339"/>
    </row>
    <row r="601" spans="1:37">
      <c r="A601" s="415">
        <v>3.01</v>
      </c>
      <c r="B601" s="79">
        <v>37</v>
      </c>
      <c r="C601" s="79">
        <v>45</v>
      </c>
      <c r="D601" s="80">
        <v>-18</v>
      </c>
      <c r="E601" s="79">
        <v>23</v>
      </c>
      <c r="F601" s="57">
        <v>23.3</v>
      </c>
      <c r="G601" s="79">
        <v>4945</v>
      </c>
      <c r="H601" s="208" t="s">
        <v>3254</v>
      </c>
      <c r="I601" s="24" t="s">
        <v>2223</v>
      </c>
      <c r="J601" s="73">
        <v>48.69</v>
      </c>
      <c r="K601" s="73">
        <v>5.56</v>
      </c>
      <c r="L601" s="323">
        <v>11.14</v>
      </c>
      <c r="N601" s="318">
        <f t="shared" si="132"/>
        <v>65.39</v>
      </c>
      <c r="O601" s="81">
        <f>IFERROR(VLOOKUP($G601,'321買'!A:E,3,0),"'沒有資料'")</f>
        <v>11</v>
      </c>
      <c r="P601" s="380">
        <f>IFERROR(VLOOKUP($G601,'321買'!$A:$G,7,0),"'沒有資料'")</f>
        <v>408</v>
      </c>
      <c r="R601" s="297">
        <f>IFERROR(RANK(VLOOKUP($G601,連買!$A:$D,4,0),連買!$D:$D,0),"'沒有資料'")</f>
        <v>297</v>
      </c>
      <c r="S601" s="34">
        <v>1.6</v>
      </c>
      <c r="T601" s="353">
        <f t="shared" si="127"/>
        <v>2.0645161290322581E-2</v>
      </c>
      <c r="U601" s="95">
        <v>2.39</v>
      </c>
      <c r="V601" s="36">
        <f>RTD("money.excel",,"4945","Price")</f>
        <v>77.5</v>
      </c>
      <c r="W601" s="66"/>
      <c r="X601" s="15">
        <f t="shared" si="128"/>
        <v>77.5</v>
      </c>
      <c r="Y601" s="3" t="e">
        <f t="shared" si="129"/>
        <v>#DIV/0!</v>
      </c>
      <c r="Z601" s="413" t="s">
        <v>1801</v>
      </c>
      <c r="AA601" s="161">
        <v>0</v>
      </c>
      <c r="AB601" s="409">
        <v>0</v>
      </c>
      <c r="AC601" s="259">
        <f t="shared" si="126"/>
        <v>0</v>
      </c>
      <c r="AD601" s="24" t="s">
        <v>2223</v>
      </c>
      <c r="AG601" s="33">
        <f t="shared" si="130"/>
        <v>0</v>
      </c>
      <c r="AH601" s="122" t="s">
        <v>2227</v>
      </c>
      <c r="AI601" s="63">
        <f t="shared" si="131"/>
        <v>5.2823920265780734E-3</v>
      </c>
      <c r="AJ601" s="307">
        <f>RTD("money.excel",,$G601,"PredictVolume")</f>
        <v>159</v>
      </c>
      <c r="AK601" s="339"/>
    </row>
    <row r="602" spans="1:37">
      <c r="A602" s="415">
        <v>10.8</v>
      </c>
      <c r="B602" s="79">
        <v>133</v>
      </c>
      <c r="C602" s="79">
        <v>144</v>
      </c>
      <c r="D602" s="79">
        <v>10</v>
      </c>
      <c r="E602" s="79">
        <v>58</v>
      </c>
      <c r="F602" s="57">
        <v>22.08</v>
      </c>
      <c r="G602" s="79">
        <v>4952</v>
      </c>
      <c r="H602" s="8" t="s">
        <v>3254</v>
      </c>
      <c r="I602" s="22" t="s">
        <v>176</v>
      </c>
      <c r="J602" s="323">
        <v>49.17</v>
      </c>
      <c r="K602" s="73">
        <v>8.2899999999999991</v>
      </c>
      <c r="L602" s="323">
        <v>18.37</v>
      </c>
      <c r="M602" s="323">
        <v>36.18</v>
      </c>
      <c r="N602" s="318">
        <f t="shared" si="132"/>
        <v>112.00999999999999</v>
      </c>
      <c r="O602" s="81">
        <f>IFERROR(VLOOKUP($G602,'321買'!A:E,3,0),"'沒有資料'")</f>
        <v>22</v>
      </c>
      <c r="P602" s="380">
        <f>IFERROR(VLOOKUP($G602,'321買'!$A:$G,7,0),"'沒有資料'")</f>
        <v>233</v>
      </c>
      <c r="Q602" s="245" t="s">
        <v>3816</v>
      </c>
      <c r="R602" s="297">
        <f>IFERROR(RANK(VLOOKUP($G602,連買!$A:$D,4,0),連買!$D:$D,0),"'沒有資料'")</f>
        <v>216</v>
      </c>
      <c r="S602" s="66">
        <v>5.4</v>
      </c>
      <c r="T602" s="353">
        <f t="shared" si="127"/>
        <v>7.3770491803278687E-2</v>
      </c>
      <c r="U602" s="95">
        <v>2.59</v>
      </c>
      <c r="V602" s="36">
        <f>RTD("money.excel",,"4952","Price")</f>
        <v>73.2</v>
      </c>
      <c r="W602" s="66"/>
      <c r="X602" s="15">
        <f t="shared" si="128"/>
        <v>73.2</v>
      </c>
      <c r="Y602" s="3" t="e">
        <f t="shared" si="129"/>
        <v>#DIV/0!</v>
      </c>
      <c r="Z602" s="413" t="s">
        <v>1997</v>
      </c>
      <c r="AA602" s="161">
        <v>0</v>
      </c>
      <c r="AB602" s="409">
        <v>0</v>
      </c>
      <c r="AC602" s="259">
        <f t="shared" si="126"/>
        <v>0</v>
      </c>
      <c r="AD602" s="22" t="s">
        <v>176</v>
      </c>
      <c r="AG602" s="33">
        <f t="shared" si="130"/>
        <v>0</v>
      </c>
      <c r="AH602" s="120" t="s">
        <v>2261</v>
      </c>
      <c r="AI602" s="63">
        <f t="shared" si="131"/>
        <v>7.8148148148148144E-3</v>
      </c>
      <c r="AJ602" s="307">
        <f>RTD("money.excel",,$G602,"PredictVolume")</f>
        <v>844</v>
      </c>
      <c r="AK602" s="339">
        <v>40.049999999999997</v>
      </c>
    </row>
    <row r="603" spans="1:37">
      <c r="A603" s="415">
        <v>18.600000000000001</v>
      </c>
      <c r="B603" s="93">
        <v>1975</v>
      </c>
      <c r="C603" s="93">
        <v>2232</v>
      </c>
      <c r="D603" s="80">
        <v>-6</v>
      </c>
      <c r="E603" s="79">
        <v>68</v>
      </c>
      <c r="F603" s="57">
        <v>34.61</v>
      </c>
      <c r="G603" s="79">
        <v>4961</v>
      </c>
      <c r="H603" s="8" t="s">
        <v>3254</v>
      </c>
      <c r="I603" s="22" t="s">
        <v>1068</v>
      </c>
      <c r="J603" s="73">
        <v>38.81</v>
      </c>
      <c r="K603" s="73">
        <v>11.6</v>
      </c>
      <c r="L603" s="73">
        <v>28.3</v>
      </c>
      <c r="M603" s="323">
        <v>8.57</v>
      </c>
      <c r="N603" s="318">
        <f t="shared" si="132"/>
        <v>87.28</v>
      </c>
      <c r="O603" s="81">
        <f>IFERROR(VLOOKUP($G603,'321買'!A:E,3,0),"'沒有資料'")</f>
        <v>54</v>
      </c>
      <c r="P603" s="380">
        <f>IFERROR(VLOOKUP($G603,'321買'!$A:$G,7,0),"'沒有資料'")</f>
        <v>58</v>
      </c>
      <c r="Q603" s="245" t="s">
        <v>3818</v>
      </c>
      <c r="R603" s="297">
        <f>IFERROR(RANK(VLOOKUP($G603,連買!$A:$D,4,0),連買!$D:$D,0),"'沒有資料'")</f>
        <v>234</v>
      </c>
      <c r="S603" s="34">
        <v>2.5</v>
      </c>
      <c r="T603" s="353">
        <f t="shared" si="127"/>
        <v>1.2500000000000001E-2</v>
      </c>
      <c r="U603" s="95">
        <v>29.22</v>
      </c>
      <c r="V603" s="36">
        <f>RTD("money.excel",,"4961","Price")</f>
        <v>200</v>
      </c>
      <c r="W603" s="66"/>
      <c r="X603" s="15">
        <f t="shared" si="128"/>
        <v>200</v>
      </c>
      <c r="Y603" s="3" t="e">
        <f t="shared" si="129"/>
        <v>#DIV/0!</v>
      </c>
      <c r="Z603" s="413" t="s">
        <v>1801</v>
      </c>
      <c r="AA603" s="161">
        <v>0</v>
      </c>
      <c r="AB603" s="409">
        <v>0</v>
      </c>
      <c r="AC603" s="259">
        <f t="shared" si="126"/>
        <v>0</v>
      </c>
      <c r="AD603" s="22" t="s">
        <v>1068</v>
      </c>
      <c r="AG603" s="33">
        <f t="shared" si="130"/>
        <v>0</v>
      </c>
      <c r="AH603" s="43" t="s">
        <v>3650</v>
      </c>
      <c r="AI603" s="63">
        <f t="shared" si="131"/>
        <v>4.5645161290322582E-3</v>
      </c>
      <c r="AJ603" s="307">
        <f>RTD("money.excel",,$G603,"PredictVolume")</f>
        <v>849</v>
      </c>
      <c r="AK603" s="339"/>
    </row>
    <row r="604" spans="1:37">
      <c r="A604" s="415">
        <v>8.1199999999999992</v>
      </c>
      <c r="B604" s="79">
        <v>49</v>
      </c>
      <c r="C604" s="79">
        <v>58</v>
      </c>
      <c r="D604" s="79">
        <v>4</v>
      </c>
      <c r="E604" s="79">
        <v>35</v>
      </c>
      <c r="F604" s="57">
        <v>29.16</v>
      </c>
      <c r="G604" s="79">
        <v>4966</v>
      </c>
      <c r="H604" s="149" t="s">
        <v>3254</v>
      </c>
      <c r="I604" s="16" t="s">
        <v>4379</v>
      </c>
      <c r="J604" s="323">
        <v>24.69</v>
      </c>
      <c r="K604" s="73">
        <v>74.709999999999994</v>
      </c>
      <c r="L604" s="323">
        <v>4.43</v>
      </c>
      <c r="M604" s="323">
        <v>7.48</v>
      </c>
      <c r="N604" s="318">
        <f t="shared" si="132"/>
        <v>111.30999999999999</v>
      </c>
      <c r="O604" s="81">
        <f>IFERROR(VLOOKUP($G604,'321買'!A:E,3,0),"'沒有資料'")</f>
        <v>8</v>
      </c>
      <c r="P604" s="380">
        <f>IFERROR(VLOOKUP($G604,'321買'!$A:$G,7,0),"'沒有資料'")</f>
        <v>475</v>
      </c>
      <c r="Q604" s="388" t="s">
        <v>3817</v>
      </c>
      <c r="R604" s="297">
        <f>IFERROR(RANK(VLOOKUP($G604,連買!$A:$D,4,0),連買!$D:$D,0),"'沒有資料'")</f>
        <v>6</v>
      </c>
      <c r="S604" s="45">
        <v>18.23</v>
      </c>
      <c r="T604" s="353">
        <f t="shared" si="127"/>
        <v>1.1954098360655738E-2</v>
      </c>
      <c r="U604" s="95">
        <v>66.349999999999994</v>
      </c>
      <c r="V604" s="155">
        <f>RTD("money.excel",,"4966","Price")</f>
        <v>1525</v>
      </c>
      <c r="W604" s="66"/>
      <c r="X604" s="141">
        <f t="shared" si="128"/>
        <v>1525</v>
      </c>
      <c r="Y604" s="3" t="e">
        <f t="shared" si="129"/>
        <v>#DIV/0!</v>
      </c>
      <c r="Z604" s="413">
        <v>-27.68</v>
      </c>
      <c r="AA604" s="161">
        <v>0</v>
      </c>
      <c r="AB604" s="409">
        <v>0</v>
      </c>
      <c r="AC604" s="259">
        <f t="shared" si="126"/>
        <v>0</v>
      </c>
      <c r="AD604" s="16" t="s">
        <v>4379</v>
      </c>
      <c r="AG604" s="33">
        <f t="shared" si="130"/>
        <v>0</v>
      </c>
      <c r="AH604" s="120" t="s">
        <v>2543</v>
      </c>
      <c r="AI604" s="63">
        <f t="shared" si="131"/>
        <v>4.2980295566502468E-3</v>
      </c>
      <c r="AJ604" s="307">
        <f>RTD("money.excel",,$G604,"PredictVolume")</f>
        <v>349</v>
      </c>
      <c r="AK604" s="339">
        <v>9.36</v>
      </c>
    </row>
    <row r="605" spans="1:37">
      <c r="A605" s="416">
        <v>10.199999999999999</v>
      </c>
      <c r="B605" s="80">
        <v>-8</v>
      </c>
      <c r="C605" s="80">
        <v>-48</v>
      </c>
      <c r="D605" s="79">
        <v>17</v>
      </c>
      <c r="E605" s="79">
        <v>33</v>
      </c>
      <c r="F605" s="6">
        <v>1.49</v>
      </c>
      <c r="G605" s="79">
        <v>4967</v>
      </c>
      <c r="H605" s="8" t="s">
        <v>3254</v>
      </c>
      <c r="I605" s="22" t="s">
        <v>1806</v>
      </c>
      <c r="J605" s="73">
        <v>11.5</v>
      </c>
      <c r="K605" s="73">
        <v>1.81</v>
      </c>
      <c r="L605" s="323">
        <v>49.87</v>
      </c>
      <c r="M605" s="323">
        <v>4.84</v>
      </c>
      <c r="N605" s="318">
        <f t="shared" si="132"/>
        <v>68.02</v>
      </c>
      <c r="O605" s="81">
        <f>IFERROR(VLOOKUP($G605,'321買'!A:E,3,0),"'沒有資料'")</f>
        <v>48</v>
      </c>
      <c r="P605" s="380">
        <f>IFERROR(VLOOKUP($G605,'321買'!$A:$G,7,0),"'沒有資料'")</f>
        <v>79</v>
      </c>
      <c r="Q605" s="245" t="s">
        <v>3815</v>
      </c>
      <c r="R605" s="297">
        <f>IFERROR(RANK(VLOOKUP($G605,連買!$A:$D,4,0),連買!$D:$D,0),"'沒有資料'")</f>
        <v>323</v>
      </c>
      <c r="S605" s="34">
        <v>0.86</v>
      </c>
      <c r="T605" s="353">
        <f t="shared" si="127"/>
        <v>2.3369565217391305E-2</v>
      </c>
      <c r="U605" s="95">
        <v>1.61</v>
      </c>
      <c r="V605" s="36">
        <f>RTD("money.excel",,"4967","Price")</f>
        <v>36.799999999999997</v>
      </c>
      <c r="W605" s="66"/>
      <c r="X605" s="15">
        <f t="shared" si="128"/>
        <v>36.799999999999997</v>
      </c>
      <c r="Y605" s="3" t="e">
        <f t="shared" si="129"/>
        <v>#DIV/0!</v>
      </c>
      <c r="Z605" s="413" t="s">
        <v>1801</v>
      </c>
      <c r="AA605" s="161">
        <v>0</v>
      </c>
      <c r="AB605" s="409">
        <v>0</v>
      </c>
      <c r="AC605" s="259">
        <f t="shared" si="126"/>
        <v>0</v>
      </c>
      <c r="AD605" s="22" t="s">
        <v>1806</v>
      </c>
      <c r="AG605" s="33">
        <f t="shared" si="130"/>
        <v>0</v>
      </c>
      <c r="AH605" s="43" t="s">
        <v>1420</v>
      </c>
      <c r="AI605" s="63">
        <f t="shared" si="131"/>
        <v>5.3039215686274512E-3</v>
      </c>
      <c r="AJ605" s="307">
        <f>RTD("money.excel",,$G605,"PredictVolume")</f>
        <v>541</v>
      </c>
      <c r="AK605" s="339"/>
    </row>
    <row r="606" spans="1:37">
      <c r="A606" s="415">
        <v>8.85</v>
      </c>
      <c r="B606" s="80">
        <v>-46</v>
      </c>
      <c r="C606" s="80">
        <v>-47</v>
      </c>
      <c r="D606" s="79">
        <v>32</v>
      </c>
      <c r="E606" s="80">
        <v>-44</v>
      </c>
      <c r="F606" s="57">
        <v>10.039999999999999</v>
      </c>
      <c r="G606" s="79">
        <v>4968</v>
      </c>
      <c r="H606" s="8" t="s">
        <v>3254</v>
      </c>
      <c r="I606" s="22" t="s">
        <v>352</v>
      </c>
      <c r="J606" s="323">
        <v>33.81</v>
      </c>
      <c r="K606" s="73">
        <v>38.03</v>
      </c>
      <c r="L606" s="323">
        <v>24.45</v>
      </c>
      <c r="M606" s="323">
        <v>9.5</v>
      </c>
      <c r="N606" s="318">
        <f t="shared" si="132"/>
        <v>105.79</v>
      </c>
      <c r="O606" s="81">
        <f>IFERROR(VLOOKUP($G606,'321買'!A:E,3,0),"'沒有資料'")</f>
        <v>33</v>
      </c>
      <c r="P606" s="380">
        <f>IFERROR(VLOOKUP($G606,'321買'!$A:$G,7,0),"'沒有資料'")</f>
        <v>151</v>
      </c>
      <c r="Q606" s="245" t="s">
        <v>3816</v>
      </c>
      <c r="R606" s="297">
        <f>IFERROR(RANK(VLOOKUP($G606,連買!$A:$D,4,0),連買!$D:$D,0),"'沒有資料'")</f>
        <v>1756</v>
      </c>
      <c r="S606" s="45">
        <v>3.5</v>
      </c>
      <c r="T606" s="353">
        <f t="shared" si="127"/>
        <v>1.7241379310344827E-2</v>
      </c>
      <c r="U606" s="95">
        <v>6.14</v>
      </c>
      <c r="V606" s="36">
        <f>RTD("money.excel",,"4968","Price")</f>
        <v>203</v>
      </c>
      <c r="W606" s="66"/>
      <c r="X606" s="15">
        <f t="shared" si="128"/>
        <v>203</v>
      </c>
      <c r="Y606" s="3" t="e">
        <f t="shared" si="129"/>
        <v>#DIV/0!</v>
      </c>
      <c r="Z606" s="413">
        <v>-63.98</v>
      </c>
      <c r="AA606" s="161">
        <v>1</v>
      </c>
      <c r="AB606" s="409">
        <v>0</v>
      </c>
      <c r="AC606" s="259">
        <f t="shared" si="126"/>
        <v>1</v>
      </c>
      <c r="AD606" s="22" t="s">
        <v>352</v>
      </c>
      <c r="AG606" s="33">
        <f t="shared" si="130"/>
        <v>0</v>
      </c>
      <c r="AH606" s="43" t="s">
        <v>2143</v>
      </c>
      <c r="AI606" s="63">
        <f t="shared" si="131"/>
        <v>8.6621468926553674E-2</v>
      </c>
      <c r="AJ606" s="307">
        <f>RTD("money.excel",,$G606,"PredictVolume")</f>
        <v>7666</v>
      </c>
      <c r="AK606" s="81">
        <v>38.880000000000003</v>
      </c>
    </row>
    <row r="607" spans="1:37">
      <c r="A607" s="416">
        <v>3.65</v>
      </c>
      <c r="B607" s="80">
        <v>-70</v>
      </c>
      <c r="C607" s="80">
        <v>-84</v>
      </c>
      <c r="D607" s="79">
        <v>0</v>
      </c>
      <c r="E607" s="80">
        <v>-2</v>
      </c>
      <c r="F607" s="6">
        <v>2.0699999999999998</v>
      </c>
      <c r="G607" s="79">
        <v>4971</v>
      </c>
      <c r="H607" s="149" t="s">
        <v>3254</v>
      </c>
      <c r="I607" s="16" t="s">
        <v>4380</v>
      </c>
      <c r="J607" s="73">
        <v>3</v>
      </c>
      <c r="K607" s="323">
        <v>15.72</v>
      </c>
      <c r="L607" s="73">
        <v>20.67</v>
      </c>
      <c r="N607" s="318">
        <f t="shared" si="132"/>
        <v>39.39</v>
      </c>
      <c r="O607" s="81">
        <f>IFERROR(VLOOKUP($G607,'321買'!A:E,3,0),"'沒有資料'")</f>
        <v>14</v>
      </c>
      <c r="P607" s="380">
        <f>IFERROR(VLOOKUP($G607,'321買'!$A:$G,7,0),"'沒有資料'")</f>
        <v>321</v>
      </c>
      <c r="R607" s="297">
        <f>IFERROR(RANK(VLOOKUP($G607,連買!$A:$D,4,0),連買!$D:$D,0),"'沒有資料'")</f>
        <v>306</v>
      </c>
      <c r="S607" s="34">
        <v>1</v>
      </c>
      <c r="T607" s="353">
        <f t="shared" si="127"/>
        <v>1.3227513227513229E-2</v>
      </c>
      <c r="U607" s="95">
        <v>1.84</v>
      </c>
      <c r="V607" s="36">
        <f>RTD("money.excel",,"4971","Price")</f>
        <v>75.599999999999994</v>
      </c>
      <c r="W607" s="66"/>
      <c r="X607" s="15">
        <f t="shared" si="128"/>
        <v>75.599999999999994</v>
      </c>
      <c r="Y607" s="3" t="e">
        <f t="shared" si="129"/>
        <v>#DIV/0!</v>
      </c>
      <c r="Z607" s="413" t="s">
        <v>1801</v>
      </c>
      <c r="AA607" s="161">
        <v>0</v>
      </c>
      <c r="AB607" s="409">
        <v>0</v>
      </c>
      <c r="AC607" s="259">
        <f t="shared" si="126"/>
        <v>0</v>
      </c>
      <c r="AD607" s="16" t="s">
        <v>4380</v>
      </c>
      <c r="AG607" s="33">
        <f t="shared" si="130"/>
        <v>0</v>
      </c>
      <c r="AH607" s="120" t="s">
        <v>2333</v>
      </c>
      <c r="AI607" s="63">
        <f t="shared" si="131"/>
        <v>4.6301369863013695E-3</v>
      </c>
      <c r="AJ607" s="307">
        <f>RTD("money.excel",,$G607,"PredictVolume")</f>
        <v>169</v>
      </c>
      <c r="AK607" s="339"/>
    </row>
    <row r="608" spans="1:37">
      <c r="A608" s="416">
        <v>6.35</v>
      </c>
      <c r="B608" s="79">
        <v>91</v>
      </c>
      <c r="C608" s="79">
        <v>117</v>
      </c>
      <c r="D608" s="80">
        <v>-10</v>
      </c>
      <c r="E608" s="80">
        <v>-11</v>
      </c>
      <c r="F608" s="6">
        <v>2.06</v>
      </c>
      <c r="G608" s="79">
        <v>4973</v>
      </c>
      <c r="H608" s="149" t="s">
        <v>3254</v>
      </c>
      <c r="I608" s="16" t="s">
        <v>369</v>
      </c>
      <c r="J608" s="323">
        <v>22.55</v>
      </c>
      <c r="K608" s="323">
        <v>0.77</v>
      </c>
      <c r="L608" s="323">
        <v>19.77</v>
      </c>
      <c r="N608" s="318">
        <f t="shared" si="132"/>
        <v>43.09</v>
      </c>
      <c r="O608" s="81">
        <f>IFERROR(VLOOKUP($G608,'321買'!A:E,3,0),"'沒有資料'")</f>
        <v>5</v>
      </c>
      <c r="P608" s="380">
        <f>IFERROR(VLOOKUP($G608,'321買'!$A:$G,7,0),"'沒有資料'")</f>
        <v>521</v>
      </c>
      <c r="R608" s="297">
        <f>IFERROR(RANK(VLOOKUP($G608,連買!$A:$D,4,0),連買!$D:$D,0),"'沒有資料'")</f>
        <v>705</v>
      </c>
      <c r="S608" s="34">
        <v>1</v>
      </c>
      <c r="T608" s="353">
        <f t="shared" si="127"/>
        <v>4.2735042735042736E-2</v>
      </c>
      <c r="U608" s="95">
        <v>1.3</v>
      </c>
      <c r="V608" s="36">
        <f>RTD("money.excel",,"4973","Price")</f>
        <v>23.4</v>
      </c>
      <c r="W608" s="66"/>
      <c r="X608" s="15">
        <f t="shared" si="128"/>
        <v>23.4</v>
      </c>
      <c r="Y608" s="3" t="e">
        <f t="shared" si="129"/>
        <v>#DIV/0!</v>
      </c>
      <c r="AA608" s="161">
        <v>0</v>
      </c>
      <c r="AB608" s="409">
        <v>0</v>
      </c>
      <c r="AC608" s="259">
        <f t="shared" si="126"/>
        <v>0</v>
      </c>
      <c r="AD608" s="16" t="s">
        <v>369</v>
      </c>
      <c r="AG608" s="33">
        <f t="shared" si="130"/>
        <v>0</v>
      </c>
      <c r="AH608" s="43" t="s">
        <v>2542</v>
      </c>
      <c r="AI608" s="63">
        <f t="shared" si="131"/>
        <v>2.3307086614173227E-3</v>
      </c>
      <c r="AJ608" s="307">
        <f>RTD("money.excel",,$G608,"PredictVolume")</f>
        <v>148</v>
      </c>
      <c r="AK608" s="339"/>
    </row>
    <row r="609" spans="1:37">
      <c r="A609" s="415">
        <v>9.14</v>
      </c>
      <c r="B609" s="80">
        <v>-43</v>
      </c>
      <c r="C609" s="80">
        <v>-41</v>
      </c>
      <c r="D609" s="79">
        <v>51</v>
      </c>
      <c r="E609" s="80">
        <v>-4</v>
      </c>
      <c r="F609" s="57">
        <v>14.61</v>
      </c>
      <c r="G609" s="79">
        <v>4991</v>
      </c>
      <c r="H609" s="149" t="s">
        <v>3254</v>
      </c>
      <c r="I609" s="16" t="s">
        <v>177</v>
      </c>
      <c r="J609" s="323">
        <v>49.09</v>
      </c>
      <c r="K609" s="73">
        <v>15.44</v>
      </c>
      <c r="L609" s="323">
        <v>25.38</v>
      </c>
      <c r="N609" s="318">
        <f t="shared" si="132"/>
        <v>89.91</v>
      </c>
      <c r="O609" s="81" t="str">
        <f>IFERROR(VLOOKUP($G609,'321買'!A:E,3,0),"'沒有資料'")</f>
        <v>'沒有資料'</v>
      </c>
      <c r="P609" s="380" t="str">
        <f>IFERROR(VLOOKUP($G609,'321買'!$A:$G,7,0),"'沒有資料'")</f>
        <v>'沒有資料'</v>
      </c>
      <c r="R609" s="297">
        <f>IFERROR(RANK(VLOOKUP($G609,連買!$A:$D,4,0),連買!$D:$D,0),"'沒有資料'")</f>
        <v>776</v>
      </c>
      <c r="S609" s="34">
        <v>0</v>
      </c>
      <c r="T609" s="353">
        <f t="shared" si="127"/>
        <v>0</v>
      </c>
      <c r="U609" s="95">
        <v>-1.28</v>
      </c>
      <c r="V609" s="36">
        <f>RTD("money.excel",,"4991","Price")</f>
        <v>41.9</v>
      </c>
      <c r="W609" s="66"/>
      <c r="X609" s="15">
        <f t="shared" si="128"/>
        <v>41.9</v>
      </c>
      <c r="Y609" s="3" t="e">
        <f t="shared" si="129"/>
        <v>#DIV/0!</v>
      </c>
      <c r="AA609" s="161">
        <v>0</v>
      </c>
      <c r="AB609" s="409">
        <v>0</v>
      </c>
      <c r="AC609" s="259">
        <f t="shared" si="126"/>
        <v>0</v>
      </c>
      <c r="AD609" s="16" t="s">
        <v>177</v>
      </c>
      <c r="AG609" s="33">
        <f t="shared" si="130"/>
        <v>0</v>
      </c>
      <c r="AH609" s="122" t="s">
        <v>1894</v>
      </c>
      <c r="AI609" s="63">
        <f t="shared" si="131"/>
        <v>7.4398249452954049E-4</v>
      </c>
      <c r="AJ609" s="307">
        <f>RTD("money.excel",,$G609,"PredictVolume")</f>
        <v>68</v>
      </c>
      <c r="AK609" s="339"/>
    </row>
    <row r="610" spans="1:37">
      <c r="A610" s="415">
        <v>6.78</v>
      </c>
      <c r="B610" s="79">
        <v>164</v>
      </c>
      <c r="C610" s="79">
        <v>183</v>
      </c>
      <c r="D610" s="79">
        <v>77</v>
      </c>
      <c r="E610" s="79">
        <v>12</v>
      </c>
      <c r="F610" s="57">
        <v>35.46</v>
      </c>
      <c r="G610" s="79">
        <v>5222</v>
      </c>
      <c r="H610" s="8" t="s">
        <v>3254</v>
      </c>
      <c r="I610" s="22" t="s">
        <v>3748</v>
      </c>
      <c r="J610" s="323">
        <v>20.87</v>
      </c>
      <c r="K610" s="73">
        <v>4.0599999999999996</v>
      </c>
      <c r="L610" s="323"/>
      <c r="N610" s="318">
        <f t="shared" si="132"/>
        <v>24.93</v>
      </c>
      <c r="O610" s="81" t="str">
        <f>IFERROR(VLOOKUP($G610,'321買'!A:E,3,0),"'沒有資料'")</f>
        <v>'沒有資料'</v>
      </c>
      <c r="P610" s="380" t="str">
        <f>IFERROR(VLOOKUP($G610,'321買'!$A:$G,7,0),"'沒有資料'")</f>
        <v>'沒有資料'</v>
      </c>
      <c r="R610" s="297">
        <f>IFERROR(RANK(VLOOKUP($G610,連買!$A:$D,4,0),連買!$D:$D,0),"'沒有資料'")</f>
        <v>408</v>
      </c>
      <c r="S610" s="66">
        <v>6.2</v>
      </c>
      <c r="T610" s="353">
        <f t="shared" si="127"/>
        <v>4.1610738255033558E-2</v>
      </c>
      <c r="U610" s="95" t="s">
        <v>3500</v>
      </c>
      <c r="V610" s="36">
        <f>RTD("money.excel",,"5222","Price")</f>
        <v>149</v>
      </c>
      <c r="W610" s="66"/>
      <c r="X610" s="15">
        <f t="shared" si="128"/>
        <v>149</v>
      </c>
      <c r="Y610" s="3" t="e">
        <f t="shared" si="129"/>
        <v>#DIV/0!</v>
      </c>
      <c r="Z610" s="413" t="s">
        <v>1997</v>
      </c>
      <c r="AA610" s="161">
        <v>0</v>
      </c>
      <c r="AB610" s="409">
        <v>0</v>
      </c>
      <c r="AC610" s="259">
        <f t="shared" si="126"/>
        <v>0</v>
      </c>
      <c r="AD610" s="22" t="s">
        <v>3748</v>
      </c>
      <c r="AG610" s="33">
        <f t="shared" si="130"/>
        <v>0</v>
      </c>
      <c r="AH610" s="43" t="s">
        <v>3752</v>
      </c>
      <c r="AI610" s="63">
        <f t="shared" si="131"/>
        <v>1.8436578171091445E-3</v>
      </c>
      <c r="AJ610" s="307">
        <f>RTD("money.excel",,$G610,"PredictVolume")</f>
        <v>125</v>
      </c>
      <c r="AK610" s="339"/>
    </row>
    <row r="611" spans="1:37">
      <c r="A611" s="415">
        <v>5.75</v>
      </c>
      <c r="B611" s="79">
        <v>397</v>
      </c>
      <c r="C611" s="79">
        <v>422</v>
      </c>
      <c r="D611" s="79">
        <v>12</v>
      </c>
      <c r="E611" s="79">
        <v>0</v>
      </c>
      <c r="F611" s="57">
        <v>31.68</v>
      </c>
      <c r="G611" s="79">
        <v>5236</v>
      </c>
      <c r="H611" s="149" t="s">
        <v>3254</v>
      </c>
      <c r="I611" s="16" t="s">
        <v>3613</v>
      </c>
      <c r="J611" s="323">
        <v>62.15</v>
      </c>
      <c r="K611" s="73">
        <v>3.42</v>
      </c>
      <c r="L611" s="323"/>
      <c r="N611" s="318">
        <f t="shared" si="132"/>
        <v>65.569999999999993</v>
      </c>
      <c r="O611" s="81">
        <f>IFERROR(VLOOKUP($G611,'321買'!A:E,3,0),"'沒有資料'")</f>
        <v>1</v>
      </c>
      <c r="P611" s="380">
        <f>IFERROR(VLOOKUP($G611,'321買'!$A:$G,7,0),"'沒有資料'")</f>
        <v>783</v>
      </c>
      <c r="R611" s="297">
        <f>IFERROR(RANK(VLOOKUP($G611,連買!$A:$D,4,0),連買!$D:$D,0),"'沒有資料'")</f>
        <v>1661</v>
      </c>
      <c r="S611" s="34">
        <v>8</v>
      </c>
      <c r="T611" s="353">
        <f t="shared" si="127"/>
        <v>6.4257028112449793E-2</v>
      </c>
      <c r="U611" s="68" t="s">
        <v>3500</v>
      </c>
      <c r="V611" s="36">
        <f>RTD("money.excel",,"5236","Price")</f>
        <v>124.5</v>
      </c>
      <c r="W611" s="66"/>
      <c r="X611" s="15">
        <f t="shared" si="128"/>
        <v>124.5</v>
      </c>
      <c r="Y611" s="3" t="e">
        <f t="shared" si="129"/>
        <v>#DIV/0!</v>
      </c>
      <c r="AA611" s="161">
        <v>0</v>
      </c>
      <c r="AB611" s="409">
        <v>0</v>
      </c>
      <c r="AC611" s="259">
        <f t="shared" si="126"/>
        <v>0</v>
      </c>
      <c r="AD611" s="16" t="s">
        <v>3613</v>
      </c>
      <c r="AG611" s="33">
        <f t="shared" si="130"/>
        <v>0</v>
      </c>
      <c r="AH611" s="43" t="s">
        <v>3614</v>
      </c>
      <c r="AI611" s="63">
        <f t="shared" si="131"/>
        <v>9.2173913043478264E-4</v>
      </c>
      <c r="AJ611" s="307">
        <f>RTD("money.excel",,$G611,"PredictVolume")</f>
        <v>53</v>
      </c>
      <c r="AK611" s="339"/>
    </row>
    <row r="612" spans="1:37">
      <c r="A612" s="415">
        <v>6.92</v>
      </c>
      <c r="B612" s="79">
        <v>12</v>
      </c>
      <c r="C612" s="80">
        <v>-5</v>
      </c>
      <c r="D612" s="80">
        <v>-1</v>
      </c>
      <c r="E612" s="80">
        <v>-31</v>
      </c>
      <c r="F612" s="57">
        <v>31.97</v>
      </c>
      <c r="G612" s="79">
        <v>5269</v>
      </c>
      <c r="H612" s="8" t="s">
        <v>3254</v>
      </c>
      <c r="I612" s="22" t="s">
        <v>53</v>
      </c>
      <c r="J612" s="73">
        <v>64.959999999999994</v>
      </c>
      <c r="K612" s="323">
        <v>25.91</v>
      </c>
      <c r="L612" s="73">
        <v>4.99</v>
      </c>
      <c r="N612" s="318">
        <f t="shared" si="132"/>
        <v>95.859999999999985</v>
      </c>
      <c r="O612" s="81">
        <f>IFERROR(VLOOKUP($G612,'321買'!A:E,3,0),"'沒有資料'")</f>
        <v>23</v>
      </c>
      <c r="P612" s="380">
        <f>IFERROR(VLOOKUP($G612,'321買'!$A:$G,7,0),"'沒有資料'")</f>
        <v>241</v>
      </c>
      <c r="R612" s="297">
        <f>IFERROR(RANK(VLOOKUP($G612,連買!$A:$D,4,0),連買!$D:$D,0),"'沒有資料'")</f>
        <v>3</v>
      </c>
      <c r="S612" s="66">
        <v>24</v>
      </c>
      <c r="T612" s="353">
        <f t="shared" si="127"/>
        <v>1.4953271028037384E-2</v>
      </c>
      <c r="U612" s="57">
        <v>45.19</v>
      </c>
      <c r="V612" s="36">
        <f>RTD("money.excel",,"5269","Price")</f>
        <v>1605</v>
      </c>
      <c r="W612" s="66"/>
      <c r="X612" s="141">
        <f t="shared" si="128"/>
        <v>1605</v>
      </c>
      <c r="Y612" s="35" t="e">
        <f t="shared" si="129"/>
        <v>#DIV/0!</v>
      </c>
      <c r="Z612" s="413" t="s">
        <v>1997</v>
      </c>
      <c r="AA612" s="161">
        <v>0</v>
      </c>
      <c r="AB612" s="409">
        <v>0</v>
      </c>
      <c r="AC612" s="259">
        <f t="shared" si="126"/>
        <v>0</v>
      </c>
      <c r="AD612" s="22" t="s">
        <v>53</v>
      </c>
      <c r="AG612" s="33">
        <f t="shared" si="130"/>
        <v>0</v>
      </c>
      <c r="AH612" s="120" t="s">
        <v>2203</v>
      </c>
      <c r="AI612" s="63">
        <f t="shared" si="131"/>
        <v>1.23121387283237E-2</v>
      </c>
      <c r="AJ612" s="307">
        <f>RTD("money.excel",,$G612,"PredictVolume")</f>
        <v>852</v>
      </c>
      <c r="AK612" s="339"/>
    </row>
    <row r="613" spans="1:37">
      <c r="A613" s="416">
        <v>5.64</v>
      </c>
      <c r="B613" s="80">
        <v>-460</v>
      </c>
      <c r="C613" s="80">
        <v>-647</v>
      </c>
      <c r="D613" s="79">
        <v>13</v>
      </c>
      <c r="E613" s="79">
        <v>8</v>
      </c>
      <c r="F613" s="6">
        <v>-12.54</v>
      </c>
      <c r="G613" s="79">
        <v>5272</v>
      </c>
      <c r="H613" s="149" t="s">
        <v>3254</v>
      </c>
      <c r="I613" s="16" t="s">
        <v>4381</v>
      </c>
      <c r="J613" s="73">
        <v>22.23</v>
      </c>
      <c r="K613" s="323">
        <v>0.86</v>
      </c>
      <c r="L613" s="73">
        <v>15.45</v>
      </c>
      <c r="N613" s="318">
        <f t="shared" si="132"/>
        <v>38.54</v>
      </c>
      <c r="O613" s="81">
        <f>IFERROR(VLOOKUP($G613,'321買'!A:E,3,0),"'沒有資料'")</f>
        <v>29</v>
      </c>
      <c r="P613" s="380">
        <f>IFERROR(VLOOKUP($G613,'321買'!$A:$G,7,0),"'沒有資料'")</f>
        <v>180</v>
      </c>
      <c r="R613" s="297">
        <f>IFERROR(RANK(VLOOKUP($G613,連買!$A:$D,4,0),連買!$D:$D,0),"'沒有資料'")</f>
        <v>817</v>
      </c>
      <c r="S613" s="34">
        <v>0</v>
      </c>
      <c r="T613" s="353">
        <f t="shared" si="127"/>
        <v>0</v>
      </c>
      <c r="U613" s="95">
        <v>-0.61</v>
      </c>
      <c r="V613" s="36">
        <f>RTD("money.excel",,"5272","Price")</f>
        <v>34.6</v>
      </c>
      <c r="W613" s="66"/>
      <c r="X613" s="15">
        <f t="shared" si="128"/>
        <v>34.6</v>
      </c>
      <c r="Y613" s="3" t="e">
        <f t="shared" si="129"/>
        <v>#DIV/0!</v>
      </c>
      <c r="AA613" s="161">
        <v>0</v>
      </c>
      <c r="AB613" s="409">
        <v>0</v>
      </c>
      <c r="AC613" s="259">
        <f t="shared" si="126"/>
        <v>0</v>
      </c>
      <c r="AD613" s="16" t="s">
        <v>4381</v>
      </c>
      <c r="AG613" s="33">
        <f t="shared" si="130"/>
        <v>0</v>
      </c>
      <c r="AH613" s="43" t="s">
        <v>2410</v>
      </c>
      <c r="AI613" s="63">
        <f t="shared" si="131"/>
        <v>2.9964539007092199E-3</v>
      </c>
      <c r="AJ613" s="307">
        <f>RTD("money.excel",,$G613,"PredictVolume")</f>
        <v>169</v>
      </c>
      <c r="AK613" s="339"/>
    </row>
    <row r="614" spans="1:37">
      <c r="A614" s="415">
        <v>3.44</v>
      </c>
      <c r="B614" s="79">
        <v>30</v>
      </c>
      <c r="C614" s="79">
        <v>30</v>
      </c>
      <c r="D614" s="79">
        <v>29</v>
      </c>
      <c r="E614" s="79">
        <v>66</v>
      </c>
      <c r="F614" s="57">
        <v>45.42</v>
      </c>
      <c r="G614" s="79">
        <v>5274</v>
      </c>
      <c r="H614" s="149" t="s">
        <v>3254</v>
      </c>
      <c r="I614" s="16" t="s">
        <v>217</v>
      </c>
      <c r="J614" s="323">
        <v>42.85</v>
      </c>
      <c r="K614" s="323">
        <v>69.25</v>
      </c>
      <c r="L614" s="73">
        <v>1.01</v>
      </c>
      <c r="M614" s="323">
        <v>21.79</v>
      </c>
      <c r="N614" s="73">
        <f t="shared" si="132"/>
        <v>134.9</v>
      </c>
      <c r="O614" s="81">
        <f>IFERROR(VLOOKUP($G614,'321買'!A:E,3,0),"'沒有資料'")</f>
        <v>12</v>
      </c>
      <c r="P614" s="380">
        <f>IFERROR(VLOOKUP($G614,'321買'!$A:$G,7,0),"'沒有資料'")</f>
        <v>387</v>
      </c>
      <c r="Q614" s="388" t="s">
        <v>3818</v>
      </c>
      <c r="R614" s="297">
        <f>IFERROR(RANK(VLOOKUP($G614,連買!$A:$D,4,0),連買!$D:$D,0),"'沒有資料'")</f>
        <v>1</v>
      </c>
      <c r="S614" s="45">
        <v>36</v>
      </c>
      <c r="T614" s="353">
        <f t="shared" si="127"/>
        <v>1.0827067669172932E-2</v>
      </c>
      <c r="U614" s="95">
        <v>38.32</v>
      </c>
      <c r="V614" s="155">
        <f>RTD("money.excel",,"5274","Price")</f>
        <v>3325</v>
      </c>
      <c r="W614" s="66"/>
      <c r="X614" s="141">
        <f t="shared" si="128"/>
        <v>3325</v>
      </c>
      <c r="Y614" s="3" t="e">
        <f t="shared" si="129"/>
        <v>#DIV/0!</v>
      </c>
      <c r="Z614" s="413">
        <v>-17.55</v>
      </c>
      <c r="AA614" s="2">
        <v>1</v>
      </c>
      <c r="AB614" s="409">
        <v>0</v>
      </c>
      <c r="AC614" s="259">
        <f t="shared" si="126"/>
        <v>1</v>
      </c>
      <c r="AD614" s="16" t="s">
        <v>217</v>
      </c>
      <c r="AG614" s="33">
        <f t="shared" si="130"/>
        <v>0</v>
      </c>
      <c r="AH614" s="120" t="s">
        <v>2541</v>
      </c>
      <c r="AI614" s="63">
        <f t="shared" si="131"/>
        <v>6.0465116279069765E-3</v>
      </c>
      <c r="AJ614" s="307">
        <f>RTD("money.excel",,$G614,"PredictVolume")</f>
        <v>208</v>
      </c>
      <c r="AK614" s="339">
        <v>3.92</v>
      </c>
    </row>
    <row r="615" spans="1:37">
      <c r="A615" s="416">
        <v>10.199999999999999</v>
      </c>
      <c r="B615" s="79">
        <v>263</v>
      </c>
      <c r="C615" s="79">
        <v>173</v>
      </c>
      <c r="D615" s="80">
        <v>-7</v>
      </c>
      <c r="E615" s="79">
        <v>17</v>
      </c>
      <c r="F615" s="6">
        <v>9.73</v>
      </c>
      <c r="G615" s="79">
        <v>5285</v>
      </c>
      <c r="H615" s="8" t="s">
        <v>3254</v>
      </c>
      <c r="I615" s="22" t="s">
        <v>353</v>
      </c>
      <c r="J615" s="73">
        <v>54.66</v>
      </c>
      <c r="K615" s="73">
        <v>3.03</v>
      </c>
      <c r="L615" s="73">
        <v>23.89</v>
      </c>
      <c r="M615" s="323">
        <v>18.53</v>
      </c>
      <c r="N615" s="318">
        <f>J615+K615+L615+M615</f>
        <v>100.11</v>
      </c>
      <c r="O615" s="81">
        <f>IFERROR(VLOOKUP($G615,'321買'!A:E,3,0),"'沒有資料'")</f>
        <v>47</v>
      </c>
      <c r="P615" s="380">
        <f>IFERROR(VLOOKUP($G615,'321買'!$A:$G,7,0),"'沒有資料'")</f>
        <v>83</v>
      </c>
      <c r="Q615" s="388" t="s">
        <v>5063</v>
      </c>
      <c r="R615" s="297">
        <f>IFERROR(RANK(VLOOKUP($G615,連買!$A:$D,4,0),連買!$D:$D,0),"'沒有資料'")</f>
        <v>166</v>
      </c>
      <c r="S615" s="45">
        <v>4</v>
      </c>
      <c r="T615" s="353">
        <f>S615/V615</f>
        <v>4.0858018386108273E-2</v>
      </c>
      <c r="U615" s="95">
        <v>4.92</v>
      </c>
      <c r="V615" s="36">
        <f>RTD("money.excel",,"5285","Price")</f>
        <v>97.9</v>
      </c>
      <c r="W615" s="66"/>
      <c r="X615" s="15">
        <f>V615-W615</f>
        <v>97.9</v>
      </c>
      <c r="Y615" s="3" t="e">
        <f>X615/W615</f>
        <v>#DIV/0!</v>
      </c>
      <c r="Z615" s="413">
        <v>-26.83</v>
      </c>
      <c r="AA615" s="161">
        <v>0</v>
      </c>
      <c r="AB615" s="409">
        <v>0</v>
      </c>
      <c r="AC615" s="259">
        <f t="shared" si="126"/>
        <v>0</v>
      </c>
      <c r="AD615" s="22" t="s">
        <v>353</v>
      </c>
      <c r="AG615" s="33">
        <f>AF615-AE615</f>
        <v>0</v>
      </c>
      <c r="AH615" s="43" t="s">
        <v>3234</v>
      </c>
      <c r="AI615" s="63">
        <f t="shared" si="131"/>
        <v>7.1568627450980396E-3</v>
      </c>
      <c r="AJ615" s="307">
        <f>RTD("money.excel",,$G615,"PredictVolume")</f>
        <v>730</v>
      </c>
      <c r="AK615" s="106">
        <v>24.47</v>
      </c>
    </row>
    <row r="616" spans="1:37">
      <c r="A616" s="415">
        <v>3.55</v>
      </c>
      <c r="B616" s="79">
        <v>104</v>
      </c>
      <c r="C616" s="79">
        <v>102</v>
      </c>
      <c r="D616" s="79">
        <v>0</v>
      </c>
      <c r="E616" s="79">
        <v>26</v>
      </c>
      <c r="F616" s="57">
        <v>29.61</v>
      </c>
      <c r="G616" s="79">
        <v>5299</v>
      </c>
      <c r="H616" s="149" t="s">
        <v>3254</v>
      </c>
      <c r="I616" s="16" t="s">
        <v>318</v>
      </c>
      <c r="J616" s="73">
        <v>32.9</v>
      </c>
      <c r="K616" s="323">
        <v>4.26</v>
      </c>
      <c r="L616" s="73">
        <v>41.35</v>
      </c>
      <c r="M616" s="323">
        <v>10.130000000000001</v>
      </c>
      <c r="N616" s="318">
        <f t="shared" si="132"/>
        <v>88.639999999999986</v>
      </c>
      <c r="O616" s="81">
        <f>IFERROR(VLOOKUP($G616,'321買'!A:E,3,0),"'沒有資料'")</f>
        <v>52</v>
      </c>
      <c r="P616" s="380">
        <f>IFERROR(VLOOKUP($G616,'321買'!$A:$G,7,0),"'沒有資料'")</f>
        <v>58</v>
      </c>
      <c r="Q616" s="245" t="s">
        <v>3817</v>
      </c>
      <c r="R616" s="297">
        <f>IFERROR(RANK(VLOOKUP($G616,連買!$A:$D,4,0),連買!$D:$D,0),"'沒有資料'")</f>
        <v>70</v>
      </c>
      <c r="S616" s="66">
        <v>6.5</v>
      </c>
      <c r="T616" s="353">
        <f t="shared" si="127"/>
        <v>3.6723163841807911E-2</v>
      </c>
      <c r="U616" s="95">
        <v>12.91</v>
      </c>
      <c r="V616" s="36">
        <f>RTD("money.excel",,"5299","Price")</f>
        <v>177</v>
      </c>
      <c r="W616" s="66"/>
      <c r="X616" s="15">
        <f t="shared" si="128"/>
        <v>177</v>
      </c>
      <c r="Y616" s="3" t="e">
        <f t="shared" si="129"/>
        <v>#DIV/0!</v>
      </c>
      <c r="Z616" s="413" t="s">
        <v>1997</v>
      </c>
      <c r="AA616" s="161">
        <v>0</v>
      </c>
      <c r="AB616" s="409">
        <v>0</v>
      </c>
      <c r="AC616" s="259">
        <f t="shared" si="126"/>
        <v>0</v>
      </c>
      <c r="AD616" s="16" t="s">
        <v>318</v>
      </c>
      <c r="AG616" s="33">
        <f t="shared" si="130"/>
        <v>0</v>
      </c>
      <c r="AH616" s="43" t="s">
        <v>2562</v>
      </c>
      <c r="AI616" s="63">
        <f t="shared" si="131"/>
        <v>4.6197183098591549E-3</v>
      </c>
      <c r="AJ616" s="307">
        <f>RTD("money.excel",,$G616,"PredictVolume")</f>
        <v>164</v>
      </c>
      <c r="AK616" s="339">
        <v>48.13</v>
      </c>
    </row>
    <row r="617" spans="1:37">
      <c r="A617" s="416">
        <v>16.2</v>
      </c>
      <c r="B617" s="91">
        <v>10</v>
      </c>
      <c r="C617" s="91">
        <v>0</v>
      </c>
      <c r="D617" s="91">
        <v>-57</v>
      </c>
      <c r="E617" s="91">
        <v>-57</v>
      </c>
      <c r="F617" s="73">
        <v>-286.97000000000003</v>
      </c>
      <c r="G617" s="79">
        <v>5302</v>
      </c>
      <c r="H617" s="149" t="s">
        <v>3254</v>
      </c>
      <c r="I617" s="16" t="s">
        <v>370</v>
      </c>
      <c r="J617" s="73">
        <v>51.94</v>
      </c>
      <c r="K617" s="73">
        <v>0.43</v>
      </c>
      <c r="L617" s="73">
        <v>0</v>
      </c>
      <c r="N617" s="318">
        <f t="shared" si="132"/>
        <v>52.37</v>
      </c>
      <c r="O617" s="81">
        <f>IFERROR(VLOOKUP($G617,'321買'!A:E,3,0),"'沒有資料'")</f>
        <v>0</v>
      </c>
      <c r="P617" s="380">
        <f>IFERROR(VLOOKUP($G617,'321買'!$A:$G,7,0),"'沒有資料'")</f>
        <v>911</v>
      </c>
      <c r="R617" s="297">
        <f>IFERROR(RANK(VLOOKUP($G617,連買!$A:$D,4,0),連買!$D:$D,0),"'沒有資料'")</f>
        <v>1277</v>
      </c>
      <c r="S617" s="34">
        <v>0</v>
      </c>
      <c r="T617" s="353">
        <f t="shared" si="127"/>
        <v>0</v>
      </c>
      <c r="U617" s="95">
        <v>-0.37</v>
      </c>
      <c r="V617" s="13">
        <f>RTD("money.excel",,"5302","Price")</f>
        <v>11.25</v>
      </c>
      <c r="W617" s="66"/>
      <c r="X617" s="15">
        <f t="shared" si="128"/>
        <v>11.25</v>
      </c>
      <c r="Y617" s="3" t="e">
        <f t="shared" si="129"/>
        <v>#DIV/0!</v>
      </c>
      <c r="AA617" s="161">
        <v>0</v>
      </c>
      <c r="AB617" s="409">
        <v>0</v>
      </c>
      <c r="AC617" s="259">
        <f t="shared" si="126"/>
        <v>0</v>
      </c>
      <c r="AD617" s="16" t="s">
        <v>370</v>
      </c>
      <c r="AG617" s="33">
        <f t="shared" si="130"/>
        <v>0</v>
      </c>
      <c r="AH617" s="43" t="s">
        <v>2579</v>
      </c>
      <c r="AI617" s="63">
        <f t="shared" si="131"/>
        <v>2.419753086419753E-3</v>
      </c>
      <c r="AJ617" s="307">
        <f>RTD("money.excel",,$G617,"PredictVolume")</f>
        <v>392</v>
      </c>
      <c r="AK617" s="339"/>
    </row>
    <row r="618" spans="1:37">
      <c r="A618" s="416">
        <v>6</v>
      </c>
      <c r="B618" s="91">
        <v>-184</v>
      </c>
      <c r="C618" s="91">
        <v>-84</v>
      </c>
      <c r="D618" s="91">
        <v>69</v>
      </c>
      <c r="E618" s="91">
        <v>41</v>
      </c>
      <c r="F618" s="73">
        <v>-125.06</v>
      </c>
      <c r="G618" s="79">
        <v>5314</v>
      </c>
      <c r="H618" s="149" t="s">
        <v>3254</v>
      </c>
      <c r="I618" s="16" t="s">
        <v>4382</v>
      </c>
      <c r="J618" s="73">
        <v>47.96</v>
      </c>
      <c r="K618" s="73">
        <v>0.55000000000000004</v>
      </c>
      <c r="N618" s="318">
        <f t="shared" si="132"/>
        <v>48.51</v>
      </c>
      <c r="O618" s="81" t="str">
        <f>IFERROR(VLOOKUP($G618,'321買'!A:E,3,0),"'沒有資料'")</f>
        <v>'沒有資料'</v>
      </c>
      <c r="P618" s="380" t="str">
        <f>IFERROR(VLOOKUP($G618,'321買'!$A:$G,7,0),"'沒有資料'")</f>
        <v>'沒有資料'</v>
      </c>
      <c r="R618" s="297">
        <f>IFERROR(RANK(VLOOKUP($G618,連買!$A:$D,4,0),連買!$D:$D,0),"'沒有資料'")</f>
        <v>1399</v>
      </c>
      <c r="S618" s="34">
        <v>0</v>
      </c>
      <c r="T618" s="353">
        <f t="shared" si="127"/>
        <v>0</v>
      </c>
      <c r="U618" s="95">
        <v>-0.51</v>
      </c>
      <c r="V618" s="36">
        <f>RTD("money.excel",,"5314","Price")</f>
        <v>5.01</v>
      </c>
      <c r="W618" s="66"/>
      <c r="X618" s="15">
        <f t="shared" si="128"/>
        <v>5.01</v>
      </c>
      <c r="Y618" s="3" t="e">
        <f t="shared" si="129"/>
        <v>#DIV/0!</v>
      </c>
      <c r="AA618" s="161">
        <v>0</v>
      </c>
      <c r="AB618" s="409">
        <v>0</v>
      </c>
      <c r="AC618" s="259">
        <f t="shared" si="126"/>
        <v>0</v>
      </c>
      <c r="AD618" s="16" t="s">
        <v>4382</v>
      </c>
      <c r="AG618" s="33">
        <f t="shared" si="130"/>
        <v>0</v>
      </c>
      <c r="AH618" s="43" t="s">
        <v>2580</v>
      </c>
      <c r="AI618" s="63">
        <f t="shared" si="131"/>
        <v>1.6666666666666667E-5</v>
      </c>
      <c r="AJ618" s="307">
        <f>RTD("money.excel",,$G618,"PredictVolume")</f>
        <v>1</v>
      </c>
      <c r="AK618" s="339"/>
    </row>
    <row r="619" spans="1:37">
      <c r="A619" s="416">
        <v>7.94</v>
      </c>
      <c r="B619" s="91">
        <v>182</v>
      </c>
      <c r="C619" s="91">
        <v>160</v>
      </c>
      <c r="D619" s="91">
        <v>21</v>
      </c>
      <c r="E619" s="91">
        <v>62</v>
      </c>
      <c r="F619" s="6">
        <v>8.89</v>
      </c>
      <c r="G619" s="79">
        <v>5344</v>
      </c>
      <c r="H619" s="149" t="s">
        <v>3254</v>
      </c>
      <c r="I619" s="16" t="s">
        <v>1069</v>
      </c>
      <c r="J619" s="73">
        <v>76.540000000000006</v>
      </c>
      <c r="K619" s="73">
        <v>0.06</v>
      </c>
      <c r="N619" s="318">
        <f t="shared" si="132"/>
        <v>76.600000000000009</v>
      </c>
      <c r="O619" s="81">
        <f>IFERROR(VLOOKUP($G619,'321買'!A:E,3,0),"'沒有資料'")</f>
        <v>0</v>
      </c>
      <c r="P619" s="380">
        <f>IFERROR(VLOOKUP($G619,'321買'!$A:$G,7,0),"'沒有資料'")</f>
        <v>911</v>
      </c>
      <c r="R619" s="297">
        <f>IFERROR(RANK(VLOOKUP($G619,連買!$A:$D,4,0),連買!$D:$D,0),"'沒有資料'")</f>
        <v>1516</v>
      </c>
      <c r="S619" s="34">
        <v>0</v>
      </c>
      <c r="T619" s="353">
        <f t="shared" si="127"/>
        <v>0</v>
      </c>
      <c r="U619" s="95">
        <v>0.53</v>
      </c>
      <c r="V619" s="13">
        <f>RTD("money.excel",,"5344","Price")</f>
        <v>22.75</v>
      </c>
      <c r="W619" s="66"/>
      <c r="X619" s="15">
        <f t="shared" si="128"/>
        <v>22.75</v>
      </c>
      <c r="Y619" s="3" t="e">
        <f t="shared" si="129"/>
        <v>#DIV/0!</v>
      </c>
      <c r="AA619" s="161">
        <v>0</v>
      </c>
      <c r="AB619" s="409">
        <v>0</v>
      </c>
      <c r="AC619" s="259">
        <f t="shared" si="126"/>
        <v>0</v>
      </c>
      <c r="AD619" s="16" t="s">
        <v>1069</v>
      </c>
      <c r="AG619" s="33">
        <f t="shared" si="130"/>
        <v>0</v>
      </c>
      <c r="AH619" s="43" t="s">
        <v>2581</v>
      </c>
      <c r="AI619" s="63">
        <f t="shared" si="131"/>
        <v>1.7506297229219145E-3</v>
      </c>
      <c r="AJ619" s="307">
        <f>RTD("money.excel",,$G619,"PredictVolume")</f>
        <v>139</v>
      </c>
      <c r="AK619" s="339"/>
    </row>
    <row r="620" spans="1:37">
      <c r="A620" s="415">
        <v>163</v>
      </c>
      <c r="B620" s="79">
        <v>87</v>
      </c>
      <c r="C620" s="79">
        <v>90</v>
      </c>
      <c r="D620" s="79">
        <v>19</v>
      </c>
      <c r="E620" s="79">
        <v>41</v>
      </c>
      <c r="F620" s="57">
        <v>32.090000000000003</v>
      </c>
      <c r="G620" s="79">
        <v>5347</v>
      </c>
      <c r="H620" s="149" t="s">
        <v>3254</v>
      </c>
      <c r="I620" s="16" t="s">
        <v>33</v>
      </c>
      <c r="J620" s="323">
        <v>88.5</v>
      </c>
      <c r="K620" s="323">
        <v>33.909999999999997</v>
      </c>
      <c r="L620" s="73">
        <v>1.28</v>
      </c>
      <c r="M620" s="323">
        <v>45.36</v>
      </c>
      <c r="N620" s="73">
        <f t="shared" si="132"/>
        <v>169.05</v>
      </c>
      <c r="O620" s="81">
        <f>IFERROR(VLOOKUP($G620,'321買'!A:E,3,0),"'沒有資料'")</f>
        <v>2</v>
      </c>
      <c r="P620" s="380">
        <f>IFERROR(VLOOKUP($G620,'321買'!$A:$G,7,0),"'沒有資料'")</f>
        <v>706</v>
      </c>
      <c r="Q620" s="245" t="s">
        <v>8635</v>
      </c>
      <c r="R620" s="297">
        <f>IFERROR(RANK(VLOOKUP($G620,連買!$A:$D,4,0),連買!$D:$D,0),"'沒有資料'")</f>
        <v>1623</v>
      </c>
      <c r="S620" s="45">
        <v>4.5</v>
      </c>
      <c r="T620" s="353">
        <f t="shared" si="127"/>
        <v>4.0178571428571432E-2</v>
      </c>
      <c r="U620" s="57">
        <v>7.21</v>
      </c>
      <c r="V620" s="36">
        <f>RTD("money.excel",,"5347","Price")</f>
        <v>112</v>
      </c>
      <c r="W620" s="66"/>
      <c r="X620" s="15">
        <f t="shared" si="128"/>
        <v>112</v>
      </c>
      <c r="Y620" s="3" t="e">
        <f t="shared" si="129"/>
        <v>#DIV/0!</v>
      </c>
      <c r="Z620" s="413">
        <v>-34.18</v>
      </c>
      <c r="AA620" s="161">
        <v>0</v>
      </c>
      <c r="AB620" s="409">
        <v>0</v>
      </c>
      <c r="AC620" s="259">
        <f t="shared" si="126"/>
        <v>0</v>
      </c>
      <c r="AD620" s="16" t="s">
        <v>33</v>
      </c>
      <c r="AG620" s="33">
        <f t="shared" si="130"/>
        <v>0</v>
      </c>
      <c r="AH620" s="120" t="s">
        <v>1459</v>
      </c>
      <c r="AI620" s="63">
        <f t="shared" si="131"/>
        <v>3.6300613496932513E-3</v>
      </c>
      <c r="AJ620" s="307">
        <f>RTD("money.excel",,$G620,"PredictVolume")</f>
        <v>5917</v>
      </c>
      <c r="AK620" s="339">
        <v>3.26</v>
      </c>
    </row>
    <row r="621" spans="1:37">
      <c r="A621" s="416">
        <v>26.7</v>
      </c>
      <c r="B621" s="79">
        <v>55</v>
      </c>
      <c r="C621" s="79">
        <v>60</v>
      </c>
      <c r="D621" s="79">
        <v>13</v>
      </c>
      <c r="E621" s="79">
        <v>27</v>
      </c>
      <c r="F621" s="6">
        <v>-6.44</v>
      </c>
      <c r="G621" s="79">
        <v>5351</v>
      </c>
      <c r="H621" s="149" t="s">
        <v>3254</v>
      </c>
      <c r="I621" s="24" t="s">
        <v>250</v>
      </c>
      <c r="J621" s="73">
        <v>21.42</v>
      </c>
      <c r="K621" s="73">
        <v>7.21</v>
      </c>
      <c r="L621" s="323">
        <v>25.32</v>
      </c>
      <c r="N621" s="318">
        <f t="shared" si="132"/>
        <v>53.95</v>
      </c>
      <c r="O621" s="81">
        <f>IFERROR(VLOOKUP($G621,'321買'!A:E,3,0),"'沒有資料'")</f>
        <v>62</v>
      </c>
      <c r="P621" s="380">
        <f>IFERROR(VLOOKUP($G621,'321買'!$A:$G,7,0),"'沒有資料'")</f>
        <v>38</v>
      </c>
      <c r="R621" s="297">
        <f>IFERROR(RANK(VLOOKUP($G621,連買!$A:$D,4,0),連買!$D:$D,0),"'沒有資料'")</f>
        <v>403</v>
      </c>
      <c r="S621" s="34">
        <v>0</v>
      </c>
      <c r="T621" s="353">
        <f t="shared" si="127"/>
        <v>0</v>
      </c>
      <c r="U621" s="95">
        <v>-0.93</v>
      </c>
      <c r="V621" s="36">
        <f>RTD("money.excel",,"5351","Price")</f>
        <v>70.3</v>
      </c>
      <c r="W621" s="66"/>
      <c r="X621" s="15">
        <f t="shared" si="128"/>
        <v>70.3</v>
      </c>
      <c r="Y621" s="3" t="e">
        <f t="shared" si="129"/>
        <v>#DIV/0!</v>
      </c>
      <c r="Z621" s="413" t="s">
        <v>1801</v>
      </c>
      <c r="AA621" s="161">
        <v>0</v>
      </c>
      <c r="AB621" s="409">
        <v>0</v>
      </c>
      <c r="AC621" s="259">
        <f t="shared" si="126"/>
        <v>0</v>
      </c>
      <c r="AD621" s="24" t="s">
        <v>250</v>
      </c>
      <c r="AG621" s="33">
        <f t="shared" si="130"/>
        <v>0</v>
      </c>
      <c r="AH621" s="122" t="s">
        <v>3276</v>
      </c>
      <c r="AI621" s="63">
        <f t="shared" si="131"/>
        <v>3.1235955056179775E-2</v>
      </c>
      <c r="AJ621" s="307">
        <f>RTD("money.excel",,$G621,"PredictVolume")</f>
        <v>8340</v>
      </c>
      <c r="AK621" s="339"/>
    </row>
    <row r="622" spans="1:37">
      <c r="A622" s="415">
        <v>26.5</v>
      </c>
      <c r="B622" s="79">
        <v>61</v>
      </c>
      <c r="C622" s="79">
        <v>81</v>
      </c>
      <c r="D622" s="79">
        <v>1</v>
      </c>
      <c r="E622" s="79">
        <v>28</v>
      </c>
      <c r="F622" s="57">
        <v>13.85</v>
      </c>
      <c r="G622" s="79">
        <v>5425</v>
      </c>
      <c r="H622" s="149" t="s">
        <v>3254</v>
      </c>
      <c r="I622" s="16" t="s">
        <v>218</v>
      </c>
      <c r="J622" s="323">
        <v>38.270000000000003</v>
      </c>
      <c r="K622" s="73">
        <v>18.04</v>
      </c>
      <c r="L622" s="323">
        <v>26.1</v>
      </c>
      <c r="N622" s="318">
        <f t="shared" si="132"/>
        <v>82.41</v>
      </c>
      <c r="O622" s="81">
        <f>IFERROR(VLOOKUP($G622,'321買'!A:E,3,0),"'沒有資料'")</f>
        <v>83</v>
      </c>
      <c r="P622" s="380">
        <f>IFERROR(VLOOKUP($G622,'321買'!$A:$G,7,0),"'沒有資料'")</f>
        <v>8</v>
      </c>
      <c r="R622" s="297">
        <f>IFERROR(RANK(VLOOKUP($G622,連買!$A:$D,4,0),連買!$D:$D,0),"'沒有資料'")</f>
        <v>248</v>
      </c>
      <c r="S622" s="34">
        <v>1.5</v>
      </c>
      <c r="T622" s="353">
        <f t="shared" si="127"/>
        <v>1.8072289156626505E-2</v>
      </c>
      <c r="U622" s="95">
        <v>2.88</v>
      </c>
      <c r="V622" s="36">
        <f>RTD("money.excel",,"5425","Price")</f>
        <v>83</v>
      </c>
      <c r="W622" s="66"/>
      <c r="X622" s="15">
        <f t="shared" si="128"/>
        <v>83</v>
      </c>
      <c r="Y622" s="3" t="e">
        <f t="shared" si="129"/>
        <v>#DIV/0!</v>
      </c>
      <c r="Z622" s="413" t="s">
        <v>1801</v>
      </c>
      <c r="AA622" s="161">
        <v>0</v>
      </c>
      <c r="AB622" s="409">
        <v>0</v>
      </c>
      <c r="AC622" s="259">
        <f t="shared" si="126"/>
        <v>0</v>
      </c>
      <c r="AD622" s="16" t="s">
        <v>218</v>
      </c>
      <c r="AG622" s="33">
        <f t="shared" si="130"/>
        <v>0</v>
      </c>
      <c r="AH622" s="120" t="s">
        <v>2993</v>
      </c>
      <c r="AI622" s="63">
        <f t="shared" si="131"/>
        <v>6.3867924528301881E-2</v>
      </c>
      <c r="AJ622" s="307">
        <f>RTD("money.excel",,$G622,"PredictVolume")</f>
        <v>16925</v>
      </c>
      <c r="AK622" s="339"/>
    </row>
    <row r="623" spans="1:37">
      <c r="A623" s="416">
        <v>2.78</v>
      </c>
      <c r="B623" s="79">
        <v>88</v>
      </c>
      <c r="C623" s="79">
        <v>84</v>
      </c>
      <c r="D623" s="80">
        <v>-25</v>
      </c>
      <c r="E623" s="80">
        <v>-15</v>
      </c>
      <c r="F623" s="6">
        <v>-5.24</v>
      </c>
      <c r="G623" s="79">
        <v>5468</v>
      </c>
      <c r="H623" s="149" t="s">
        <v>3254</v>
      </c>
      <c r="I623" s="16" t="s">
        <v>4383</v>
      </c>
      <c r="J623" s="323">
        <v>44.24</v>
      </c>
      <c r="K623" s="73">
        <v>0.28000000000000003</v>
      </c>
      <c r="N623" s="318">
        <f t="shared" si="132"/>
        <v>44.52</v>
      </c>
      <c r="O623" s="81">
        <f>IFERROR(VLOOKUP($G623,'321買'!A:E,3,0),"'沒有資料'")</f>
        <v>0</v>
      </c>
      <c r="P623" s="380">
        <f>IFERROR(VLOOKUP($G623,'321買'!$A:$G,7,0),"'沒有資料'")</f>
        <v>911</v>
      </c>
      <c r="R623" s="297">
        <f>IFERROR(RANK(VLOOKUP($G623,連買!$A:$D,4,0),連買!$D:$D,0),"'沒有資料'")</f>
        <v>1039</v>
      </c>
      <c r="S623" s="34">
        <v>0</v>
      </c>
      <c r="T623" s="353">
        <f t="shared" si="127"/>
        <v>0</v>
      </c>
      <c r="U623" s="95">
        <v>-0.48</v>
      </c>
      <c r="V623" s="36">
        <f>RTD("money.excel",,"5468","Price")</f>
        <v>28.85</v>
      </c>
      <c r="W623" s="66"/>
      <c r="X623" s="15">
        <f t="shared" si="128"/>
        <v>28.85</v>
      </c>
      <c r="Y623" s="3" t="e">
        <f t="shared" si="129"/>
        <v>#DIV/0!</v>
      </c>
      <c r="AA623" s="161">
        <v>0</v>
      </c>
      <c r="AB623" s="409">
        <v>0</v>
      </c>
      <c r="AC623" s="259">
        <f t="shared" si="126"/>
        <v>0</v>
      </c>
      <c r="AD623" s="16" t="s">
        <v>4383</v>
      </c>
      <c r="AG623" s="33">
        <f t="shared" si="130"/>
        <v>0</v>
      </c>
      <c r="AH623" s="43" t="s">
        <v>2544</v>
      </c>
      <c r="AI623" s="63">
        <f t="shared" si="131"/>
        <v>2.1366906474820146E-2</v>
      </c>
      <c r="AJ623" s="307">
        <f>RTD("money.excel",,$G623,"PredictVolume")</f>
        <v>594</v>
      </c>
      <c r="AK623" s="339"/>
    </row>
    <row r="624" spans="1:37">
      <c r="A624" s="415">
        <v>16.7</v>
      </c>
      <c r="B624" s="79">
        <v>53</v>
      </c>
      <c r="C624" s="79">
        <v>69</v>
      </c>
      <c r="D624" s="80">
        <v>-10</v>
      </c>
      <c r="E624" s="80">
        <v>-22</v>
      </c>
      <c r="F624" s="57">
        <v>32.22</v>
      </c>
      <c r="G624" s="79">
        <v>5471</v>
      </c>
      <c r="H624" s="8" t="s">
        <v>3254</v>
      </c>
      <c r="I624" s="22" t="s">
        <v>4384</v>
      </c>
      <c r="J624" s="323">
        <v>25.78</v>
      </c>
      <c r="K624" s="323">
        <v>16.04</v>
      </c>
      <c r="L624" s="323">
        <v>18.82</v>
      </c>
      <c r="N624" s="318">
        <f t="shared" si="132"/>
        <v>60.64</v>
      </c>
      <c r="O624" s="81">
        <f>IFERROR(VLOOKUP($G624,'321買'!A:E,3,0),"'沒有資料'")</f>
        <v>21</v>
      </c>
      <c r="P624" s="380">
        <f>IFERROR(VLOOKUP($G624,'321買'!$A:$G,7,0),"'沒有資料'")</f>
        <v>222</v>
      </c>
      <c r="Q624" s="245" t="s">
        <v>3816</v>
      </c>
      <c r="R624" s="297">
        <f>IFERROR(RANK(VLOOKUP($G624,連買!$A:$D,4,0),連買!$D:$D,0),"'沒有資料'")</f>
        <v>197</v>
      </c>
      <c r="S624" s="66">
        <v>5.7</v>
      </c>
      <c r="T624" s="353">
        <f t="shared" ref="T624:T656" si="133">S624/V624</f>
        <v>6.8757539203860074E-2</v>
      </c>
      <c r="U624" s="95">
        <v>8.57</v>
      </c>
      <c r="V624" s="36">
        <f>RTD("money.excel",,"5471","Price")</f>
        <v>82.9</v>
      </c>
      <c r="W624" s="66"/>
      <c r="X624" s="15">
        <f t="shared" si="128"/>
        <v>82.9</v>
      </c>
      <c r="Y624" s="3" t="e">
        <f t="shared" si="129"/>
        <v>#DIV/0!</v>
      </c>
      <c r="Z624" s="413" t="s">
        <v>1997</v>
      </c>
      <c r="AA624" s="161">
        <v>0</v>
      </c>
      <c r="AB624" s="409">
        <v>0</v>
      </c>
      <c r="AC624" s="259">
        <f t="shared" si="126"/>
        <v>0</v>
      </c>
      <c r="AD624" s="22" t="s">
        <v>4384</v>
      </c>
      <c r="AG624" s="33">
        <f t="shared" si="130"/>
        <v>0</v>
      </c>
      <c r="AH624" s="43" t="s">
        <v>3857</v>
      </c>
      <c r="AI624" s="63">
        <f t="shared" ref="AI624:AI655" si="134">AJ624/(A624*10000)</f>
        <v>3.592814371257485E-3</v>
      </c>
      <c r="AJ624" s="307">
        <f>RTD("money.excel",,$G624,"PredictVolume")</f>
        <v>600</v>
      </c>
      <c r="AK624" s="339"/>
    </row>
    <row r="625" spans="1:37">
      <c r="A625" s="415">
        <v>58.6</v>
      </c>
      <c r="B625" s="80">
        <v>-1</v>
      </c>
      <c r="C625" s="79">
        <v>21</v>
      </c>
      <c r="D625" s="79">
        <v>8</v>
      </c>
      <c r="E625" s="79">
        <v>8</v>
      </c>
      <c r="F625" s="57">
        <v>26.26</v>
      </c>
      <c r="G625" s="79">
        <v>5483</v>
      </c>
      <c r="H625" s="149" t="s">
        <v>3254</v>
      </c>
      <c r="I625" s="16" t="s">
        <v>145</v>
      </c>
      <c r="J625" s="323">
        <v>64.680000000000007</v>
      </c>
      <c r="K625" s="323">
        <v>27.28</v>
      </c>
      <c r="L625" s="73">
        <v>8.84</v>
      </c>
      <c r="M625" s="323">
        <v>5.49</v>
      </c>
      <c r="N625" s="318">
        <f t="shared" si="132"/>
        <v>106.29</v>
      </c>
      <c r="O625" s="81">
        <f>IFERROR(VLOOKUP($G625,'321買'!A:E,3,0),"'沒有資料'")</f>
        <v>19</v>
      </c>
      <c r="P625" s="380">
        <f>IFERROR(VLOOKUP($G625,'321買'!$A:$G,7,0),"'沒有資料'")</f>
        <v>258</v>
      </c>
      <c r="Q625" s="245" t="s">
        <v>8635</v>
      </c>
      <c r="R625" s="297">
        <f>IFERROR(RANK(VLOOKUP($G625,連買!$A:$D,4,0),連買!$D:$D,0),"'沒有資料'")</f>
        <v>1532</v>
      </c>
      <c r="S625" s="45">
        <v>3.5</v>
      </c>
      <c r="T625" s="353">
        <f t="shared" si="133"/>
        <v>2.1671826625386997E-2</v>
      </c>
      <c r="U625" s="57">
        <v>12.22</v>
      </c>
      <c r="V625" s="36">
        <f>RTD("money.excel",,"5483","Price")</f>
        <v>161.5</v>
      </c>
      <c r="W625" s="66"/>
      <c r="X625" s="15">
        <f t="shared" si="128"/>
        <v>161.5</v>
      </c>
      <c r="Y625" s="3" t="e">
        <f t="shared" si="129"/>
        <v>#DIV/0!</v>
      </c>
      <c r="Z625" s="413">
        <v>-30.92</v>
      </c>
      <c r="AA625" s="161">
        <v>0</v>
      </c>
      <c r="AB625" s="409">
        <v>0</v>
      </c>
      <c r="AC625" s="259">
        <f t="shared" si="126"/>
        <v>0</v>
      </c>
      <c r="AD625" s="16" t="s">
        <v>145</v>
      </c>
      <c r="AG625" s="33">
        <f t="shared" si="130"/>
        <v>0</v>
      </c>
      <c r="AH625" s="120" t="s">
        <v>2534</v>
      </c>
      <c r="AI625" s="63">
        <f t="shared" si="134"/>
        <v>4.1774744027303756E-3</v>
      </c>
      <c r="AJ625" s="307">
        <f>RTD("money.excel",,$G625,"PredictVolume")</f>
        <v>2448</v>
      </c>
      <c r="AK625" s="339">
        <v>12.91</v>
      </c>
    </row>
    <row r="626" spans="1:37">
      <c r="A626" s="415">
        <v>2.38</v>
      </c>
      <c r="B626" s="91">
        <v>-46</v>
      </c>
      <c r="C626" s="91">
        <v>512</v>
      </c>
      <c r="D626" s="91">
        <v>72</v>
      </c>
      <c r="E626" s="91">
        <v>131</v>
      </c>
      <c r="F626" s="57">
        <v>13.23</v>
      </c>
      <c r="G626" s="79">
        <v>5487</v>
      </c>
      <c r="H626" s="149" t="s">
        <v>3254</v>
      </c>
      <c r="I626" s="16" t="s">
        <v>372</v>
      </c>
      <c r="J626" s="73">
        <v>60.51</v>
      </c>
      <c r="K626" s="73">
        <v>0</v>
      </c>
      <c r="L626" s="73">
        <v>2.11</v>
      </c>
      <c r="N626" s="318">
        <f t="shared" si="132"/>
        <v>62.62</v>
      </c>
      <c r="O626" s="81" t="str">
        <f>IFERROR(VLOOKUP($G626,'321買'!A:E,3,0),"'沒有資料'")</f>
        <v>'沒有資料'</v>
      </c>
      <c r="P626" s="380" t="str">
        <f>IFERROR(VLOOKUP($G626,'321買'!$A:$G,7,0),"'沒有資料'")</f>
        <v>'沒有資料'</v>
      </c>
      <c r="R626" s="297">
        <f>IFERROR(RANK(VLOOKUP($G626,連買!$A:$D,4,0),連買!$D:$D,0),"'沒有資料'")</f>
        <v>879</v>
      </c>
      <c r="S626" s="34">
        <v>1.1000000000000001</v>
      </c>
      <c r="T626" s="353">
        <f t="shared" si="133"/>
        <v>3.4055727554179571E-2</v>
      </c>
      <c r="U626" s="95">
        <v>1.67</v>
      </c>
      <c r="V626" s="13">
        <f>RTD("money.excel",,"5487","Price")</f>
        <v>32.299999999999997</v>
      </c>
      <c r="W626" s="66"/>
      <c r="X626" s="15">
        <f t="shared" si="128"/>
        <v>32.299999999999997</v>
      </c>
      <c r="Y626" s="3" t="e">
        <f t="shared" si="129"/>
        <v>#DIV/0!</v>
      </c>
      <c r="AA626" s="161">
        <v>0</v>
      </c>
      <c r="AB626" s="409">
        <v>0</v>
      </c>
      <c r="AC626" s="259">
        <f t="shared" si="126"/>
        <v>0</v>
      </c>
      <c r="AD626" s="16" t="s">
        <v>372</v>
      </c>
      <c r="AG626" s="33">
        <f t="shared" si="130"/>
        <v>0</v>
      </c>
      <c r="AH626" s="43" t="s">
        <v>2042</v>
      </c>
      <c r="AI626" s="63">
        <f t="shared" si="134"/>
        <v>4.2016806722689077E-5</v>
      </c>
      <c r="AJ626" s="307">
        <f>RTD("money.excel",,$G626,"PredictVolume")</f>
        <v>1</v>
      </c>
      <c r="AK626" s="339"/>
    </row>
    <row r="627" spans="1:37">
      <c r="A627" s="416">
        <v>8.94</v>
      </c>
      <c r="B627" s="91">
        <v>-367</v>
      </c>
      <c r="C627" s="91">
        <v>-155</v>
      </c>
      <c r="D627" s="91">
        <v>-62</v>
      </c>
      <c r="E627" s="91">
        <v>-66</v>
      </c>
      <c r="F627" s="73">
        <v>-136.97999999999999</v>
      </c>
      <c r="G627" s="79">
        <v>6103</v>
      </c>
      <c r="H627" s="149" t="s">
        <v>3254</v>
      </c>
      <c r="I627" s="16" t="s">
        <v>373</v>
      </c>
      <c r="J627" s="73">
        <v>90.61</v>
      </c>
      <c r="K627" s="73">
        <v>1.0900000000000001</v>
      </c>
      <c r="N627" s="318">
        <f t="shared" si="132"/>
        <v>91.7</v>
      </c>
      <c r="O627" s="81" t="str">
        <f>IFERROR(VLOOKUP($G627,'321買'!A:E,3,0),"'沒有資料'")</f>
        <v>'沒有資料'</v>
      </c>
      <c r="P627" s="380" t="str">
        <f>IFERROR(VLOOKUP($G627,'321買'!$A:$G,7,0),"'沒有資料'")</f>
        <v>'沒有資料'</v>
      </c>
      <c r="R627" s="297">
        <f>IFERROR(RANK(VLOOKUP($G627,連買!$A:$D,4,0),連買!$D:$D,0),"'沒有資料'")</f>
        <v>1408</v>
      </c>
      <c r="S627" s="34">
        <v>0</v>
      </c>
      <c r="T627" s="353" t="e">
        <f t="shared" si="133"/>
        <v>#VALUE!</v>
      </c>
      <c r="U627" s="95">
        <v>-2.76</v>
      </c>
      <c r="V627" s="13" t="str">
        <f>RTD("money.excel",,"6103","Price")</f>
        <v>無資料</v>
      </c>
      <c r="W627" s="66"/>
      <c r="X627" s="15" t="e">
        <f t="shared" si="128"/>
        <v>#VALUE!</v>
      </c>
      <c r="Y627" s="3" t="e">
        <f t="shared" si="129"/>
        <v>#VALUE!</v>
      </c>
      <c r="AA627" s="161">
        <v>0</v>
      </c>
      <c r="AB627" s="409">
        <v>0</v>
      </c>
      <c r="AC627" s="259">
        <f t="shared" si="126"/>
        <v>0</v>
      </c>
      <c r="AD627" s="16" t="s">
        <v>373</v>
      </c>
      <c r="AG627" s="33">
        <f t="shared" si="130"/>
        <v>0</v>
      </c>
      <c r="AH627" s="43" t="s">
        <v>2545</v>
      </c>
      <c r="AI627" s="63">
        <f t="shared" si="134"/>
        <v>0</v>
      </c>
      <c r="AJ627" s="307">
        <f>RTD("money.excel",,$G627,"PredictVolume")</f>
        <v>0</v>
      </c>
      <c r="AK627" s="339"/>
    </row>
    <row r="628" spans="1:37">
      <c r="A628" s="415">
        <v>9.0299999999999994</v>
      </c>
      <c r="B628" s="79">
        <v>73</v>
      </c>
      <c r="C628" s="79">
        <v>79</v>
      </c>
      <c r="D628" s="80">
        <v>-10</v>
      </c>
      <c r="E628" s="79">
        <v>160</v>
      </c>
      <c r="F628" s="57">
        <v>21.07</v>
      </c>
      <c r="G628" s="79">
        <v>6104</v>
      </c>
      <c r="H628" s="149" t="s">
        <v>3254</v>
      </c>
      <c r="I628" s="16" t="s">
        <v>374</v>
      </c>
      <c r="J628" s="323">
        <v>19.96</v>
      </c>
      <c r="K628" s="73">
        <v>28.82</v>
      </c>
      <c r="L628" s="73">
        <v>54.05</v>
      </c>
      <c r="M628" s="73">
        <v>8.69</v>
      </c>
      <c r="N628" s="318">
        <f t="shared" si="132"/>
        <v>111.52</v>
      </c>
      <c r="O628" s="81">
        <f>IFERROR(VLOOKUP($G628,'321買'!A:E,3,0),"'沒有資料'")</f>
        <v>116</v>
      </c>
      <c r="P628" s="380">
        <f>IFERROR(VLOOKUP($G628,'321買'!$A:$G,7,0),"'沒有資料'")</f>
        <v>2</v>
      </c>
      <c r="Q628" s="245" t="s">
        <v>5097</v>
      </c>
      <c r="R628" s="297">
        <f>IFERROR(RANK(VLOOKUP($G628,連買!$A:$D,4,0),連買!$D:$D,0),"'沒有資料'")</f>
        <v>90</v>
      </c>
      <c r="S628" s="66">
        <v>4.5</v>
      </c>
      <c r="T628" s="353">
        <f t="shared" si="133"/>
        <v>1.9396551724137932E-2</v>
      </c>
      <c r="U628" s="95">
        <v>4.42</v>
      </c>
      <c r="V628" s="36">
        <f>RTD("money.excel",,"6104","Price")</f>
        <v>232</v>
      </c>
      <c r="W628" s="66"/>
      <c r="X628" s="15">
        <f t="shared" si="128"/>
        <v>232</v>
      </c>
      <c r="Y628" s="3" t="e">
        <f t="shared" si="129"/>
        <v>#DIV/0!</v>
      </c>
      <c r="Z628" s="413" t="s">
        <v>1997</v>
      </c>
      <c r="AA628" s="161">
        <v>0</v>
      </c>
      <c r="AB628" s="409">
        <v>0</v>
      </c>
      <c r="AC628" s="259">
        <f t="shared" si="126"/>
        <v>0</v>
      </c>
      <c r="AD628" s="16" t="s">
        <v>374</v>
      </c>
      <c r="AG628" s="33">
        <f t="shared" si="130"/>
        <v>0</v>
      </c>
      <c r="AH628" s="43" t="s">
        <v>3261</v>
      </c>
      <c r="AI628" s="63">
        <f t="shared" si="134"/>
        <v>0.21765227021040975</v>
      </c>
      <c r="AJ628" s="307">
        <f>RTD("money.excel",,$G628,"PredictVolume")</f>
        <v>19654</v>
      </c>
      <c r="AK628" s="221">
        <v>114.78</v>
      </c>
    </row>
    <row r="629" spans="1:37">
      <c r="A629" s="416">
        <v>18</v>
      </c>
      <c r="B629" s="79">
        <v>242</v>
      </c>
      <c r="C629" s="79">
        <v>244</v>
      </c>
      <c r="D629" s="80">
        <v>-9</v>
      </c>
      <c r="E629" s="79">
        <v>19</v>
      </c>
      <c r="F629" s="6">
        <v>7.31</v>
      </c>
      <c r="G629" s="79">
        <v>6129</v>
      </c>
      <c r="H629" s="149" t="s">
        <v>3254</v>
      </c>
      <c r="I629" s="16" t="s">
        <v>4385</v>
      </c>
      <c r="J629" s="323">
        <v>12.32</v>
      </c>
      <c r="K629" s="73">
        <v>0.78</v>
      </c>
      <c r="L629" s="323">
        <v>0</v>
      </c>
      <c r="M629" s="323">
        <v>11.65</v>
      </c>
      <c r="N629" s="318">
        <f t="shared" si="132"/>
        <v>24.75</v>
      </c>
      <c r="O629" s="81">
        <f>IFERROR(VLOOKUP($G629,'321買'!A:E,3,0),"'沒有資料'")</f>
        <v>11</v>
      </c>
      <c r="P629" s="380">
        <f>IFERROR(VLOOKUP($G629,'321買'!$A:$G,7,0),"'沒有資料'")</f>
        <v>408</v>
      </c>
      <c r="R629" s="297">
        <f>IFERROR(RANK(VLOOKUP($G629,連買!$A:$D,4,0),連買!$D:$D,0),"'沒有資料'")</f>
        <v>617</v>
      </c>
      <c r="S629" s="34">
        <v>0</v>
      </c>
      <c r="T629" s="353">
        <f t="shared" si="133"/>
        <v>0</v>
      </c>
      <c r="U629" s="95">
        <v>0.5</v>
      </c>
      <c r="V629" s="36">
        <f>RTD("money.excel",,"6129","Price")</f>
        <v>33.85</v>
      </c>
      <c r="W629" s="66"/>
      <c r="X629" s="15">
        <f t="shared" si="128"/>
        <v>33.85</v>
      </c>
      <c r="Y629" s="3" t="e">
        <f t="shared" si="129"/>
        <v>#DIV/0!</v>
      </c>
      <c r="AA629" s="161">
        <v>0</v>
      </c>
      <c r="AB629" s="409">
        <v>0</v>
      </c>
      <c r="AC629" s="259">
        <f t="shared" si="126"/>
        <v>0</v>
      </c>
      <c r="AD629" s="16" t="s">
        <v>4385</v>
      </c>
      <c r="AG629" s="33">
        <f t="shared" si="130"/>
        <v>0</v>
      </c>
      <c r="AH629" s="43" t="s">
        <v>2483</v>
      </c>
      <c r="AI629" s="63">
        <f t="shared" si="134"/>
        <v>5.9388888888888885E-3</v>
      </c>
      <c r="AJ629" s="307">
        <f>RTD("money.excel",,$G629,"PredictVolume")</f>
        <v>1069</v>
      </c>
      <c r="AK629" s="339"/>
    </row>
    <row r="630" spans="1:37">
      <c r="A630" s="415">
        <v>7.41</v>
      </c>
      <c r="B630" s="79">
        <v>102</v>
      </c>
      <c r="C630" s="79">
        <v>118</v>
      </c>
      <c r="D630" s="80">
        <v>-3</v>
      </c>
      <c r="E630" s="79">
        <v>26</v>
      </c>
      <c r="F630" s="57">
        <v>19.43</v>
      </c>
      <c r="G630" s="79">
        <v>6138</v>
      </c>
      <c r="H630" s="149" t="s">
        <v>3254</v>
      </c>
      <c r="I630" s="16" t="s">
        <v>159</v>
      </c>
      <c r="J630" s="73">
        <v>18.809999999999999</v>
      </c>
      <c r="K630" s="73">
        <v>30.08</v>
      </c>
      <c r="L630" s="73">
        <v>29.74</v>
      </c>
      <c r="M630" s="323">
        <v>7.86</v>
      </c>
      <c r="N630" s="318">
        <f t="shared" si="132"/>
        <v>86.49</v>
      </c>
      <c r="O630" s="81">
        <f>IFERROR(VLOOKUP($G630,'321買'!A:E,3,0),"'沒有資料'")</f>
        <v>101</v>
      </c>
      <c r="P630" s="380">
        <f>IFERROR(VLOOKUP($G630,'321買'!$A:$G,7,0),"'沒有資料'")</f>
        <v>7</v>
      </c>
      <c r="Q630" s="245" t="s">
        <v>3817</v>
      </c>
      <c r="R630" s="297">
        <f>IFERROR(RANK(VLOOKUP($G630,連買!$A:$D,4,0),連買!$D:$D,0),"'沒有資料'")</f>
        <v>82</v>
      </c>
      <c r="S630" s="66">
        <v>5.2</v>
      </c>
      <c r="T630" s="353">
        <f t="shared" si="133"/>
        <v>2.3423423423423424E-2</v>
      </c>
      <c r="U630" s="95">
        <v>11.03</v>
      </c>
      <c r="V630" s="36">
        <f>RTD("money.excel",,"6138","Price")</f>
        <v>222</v>
      </c>
      <c r="W630" s="66"/>
      <c r="X630" s="15">
        <f t="shared" si="128"/>
        <v>222</v>
      </c>
      <c r="Y630" s="3" t="e">
        <f t="shared" si="129"/>
        <v>#DIV/0!</v>
      </c>
      <c r="Z630" s="413" t="s">
        <v>1997</v>
      </c>
      <c r="AA630" s="161">
        <v>0</v>
      </c>
      <c r="AB630" s="409">
        <v>0</v>
      </c>
      <c r="AC630" s="259">
        <f t="shared" si="126"/>
        <v>0</v>
      </c>
      <c r="AD630" s="16" t="s">
        <v>159</v>
      </c>
      <c r="AG630" s="33">
        <f t="shared" si="130"/>
        <v>0</v>
      </c>
      <c r="AH630" s="120" t="s">
        <v>3856</v>
      </c>
      <c r="AI630" s="63">
        <f t="shared" si="134"/>
        <v>2.4412955465587045E-2</v>
      </c>
      <c r="AJ630" s="307">
        <f>RTD("money.excel",,$G630,"PredictVolume")</f>
        <v>1809</v>
      </c>
      <c r="AK630" s="339">
        <v>35.200000000000003</v>
      </c>
    </row>
    <row r="631" spans="1:37">
      <c r="A631" s="415">
        <v>67.099999999999994</v>
      </c>
      <c r="B631" s="80">
        <v>-10</v>
      </c>
      <c r="C631" s="80">
        <v>-10</v>
      </c>
      <c r="D631" s="80">
        <v>-3</v>
      </c>
      <c r="E631" s="79">
        <v>21</v>
      </c>
      <c r="F631" s="57">
        <v>21.7</v>
      </c>
      <c r="G631" s="79">
        <v>6147</v>
      </c>
      <c r="H631" s="149" t="s">
        <v>3254</v>
      </c>
      <c r="I631" s="171" t="s">
        <v>3101</v>
      </c>
      <c r="J631" s="73">
        <v>68.209999999999994</v>
      </c>
      <c r="K631" s="73">
        <v>51.18</v>
      </c>
      <c r="L631" s="73">
        <v>6.09</v>
      </c>
      <c r="N631" s="318">
        <f t="shared" si="132"/>
        <v>125.47999999999999</v>
      </c>
      <c r="O631" s="81">
        <f>IFERROR(VLOOKUP($G631,'321買'!A:E,3,0),"'沒有資料'")</f>
        <v>12</v>
      </c>
      <c r="P631" s="380">
        <f>IFERROR(VLOOKUP($G631,'321買'!$A:$G,7,0),"'沒有資料'")</f>
        <v>368</v>
      </c>
      <c r="R631" s="297">
        <f>IFERROR(RANK(VLOOKUP($G631,連買!$A:$D,4,0),連買!$D:$D,0),"'沒有資料'")</f>
        <v>229</v>
      </c>
      <c r="S631" s="65">
        <v>4.2</v>
      </c>
      <c r="T631" s="353">
        <f t="shared" si="133"/>
        <v>6.2780269058295965E-2</v>
      </c>
      <c r="U631" s="57">
        <v>5.61</v>
      </c>
      <c r="V631" s="170">
        <f>RTD("money.excel",,"6147","Price")</f>
        <v>66.900000000000006</v>
      </c>
      <c r="W631" s="66"/>
      <c r="X631" s="15">
        <f t="shared" si="128"/>
        <v>66.900000000000006</v>
      </c>
      <c r="Y631" s="3" t="e">
        <f t="shared" si="129"/>
        <v>#DIV/0!</v>
      </c>
      <c r="Z631" s="413" t="s">
        <v>1997</v>
      </c>
      <c r="AA631" s="161">
        <v>0</v>
      </c>
      <c r="AB631" s="409">
        <v>0</v>
      </c>
      <c r="AC631" s="259">
        <f t="shared" si="126"/>
        <v>0</v>
      </c>
      <c r="AD631" s="16" t="s">
        <v>3101</v>
      </c>
      <c r="AG631" s="33">
        <f t="shared" si="130"/>
        <v>0</v>
      </c>
      <c r="AH631" s="120" t="s">
        <v>2474</v>
      </c>
      <c r="AI631" s="63">
        <f t="shared" si="134"/>
        <v>2.0700447093889717E-3</v>
      </c>
      <c r="AJ631" s="307">
        <f>RTD("money.excel",,$G631,"PredictVolume")</f>
        <v>1389</v>
      </c>
      <c r="AK631" s="339"/>
    </row>
    <row r="632" spans="1:37">
      <c r="A632" s="415">
        <v>54</v>
      </c>
      <c r="B632" s="79">
        <v>73</v>
      </c>
      <c r="C632" s="79">
        <v>135</v>
      </c>
      <c r="D632" s="79">
        <v>0</v>
      </c>
      <c r="E632" s="79">
        <v>52</v>
      </c>
      <c r="F632" s="57">
        <v>18.690000000000001</v>
      </c>
      <c r="G632" s="79">
        <v>6182</v>
      </c>
      <c r="H632" s="208" t="s">
        <v>3254</v>
      </c>
      <c r="I632" s="16" t="s">
        <v>166</v>
      </c>
      <c r="J632" s="323">
        <v>36.03</v>
      </c>
      <c r="K632" s="73">
        <v>25.53</v>
      </c>
      <c r="L632" s="323">
        <v>28.48</v>
      </c>
      <c r="M632" s="323">
        <v>4.22</v>
      </c>
      <c r="N632" s="318">
        <f t="shared" si="132"/>
        <v>94.26</v>
      </c>
      <c r="O632" s="81">
        <f>IFERROR(VLOOKUP($G632,'321買'!A:E,3,0),"'沒有資料'")</f>
        <v>79</v>
      </c>
      <c r="P632" s="380">
        <f>IFERROR(VLOOKUP($G632,'321買'!$A:$G,7,0),"'沒有資料'")</f>
        <v>17</v>
      </c>
      <c r="Q632" s="245" t="s">
        <v>5088</v>
      </c>
      <c r="R632" s="297">
        <f>IFERROR(RANK(VLOOKUP($G632,連買!$A:$D,4,0),連買!$D:$D,0),"'沒有資料'")</f>
        <v>344</v>
      </c>
      <c r="S632" s="34">
        <v>1.1000000000000001</v>
      </c>
      <c r="T632" s="353">
        <f t="shared" si="133"/>
        <v>1.8092105263157895E-2</v>
      </c>
      <c r="U632" s="95">
        <v>1.54</v>
      </c>
      <c r="V632" s="36">
        <f>RTD("money.excel",,"6182","Price")</f>
        <v>60.8</v>
      </c>
      <c r="W632" s="66"/>
      <c r="X632" s="15">
        <f t="shared" si="128"/>
        <v>60.8</v>
      </c>
      <c r="Y632" s="3" t="e">
        <f t="shared" si="129"/>
        <v>#DIV/0!</v>
      </c>
      <c r="Z632" s="413" t="s">
        <v>1801</v>
      </c>
      <c r="AA632" s="161">
        <v>0</v>
      </c>
      <c r="AB632" s="409">
        <v>0</v>
      </c>
      <c r="AC632" s="259">
        <f t="shared" si="126"/>
        <v>0</v>
      </c>
      <c r="AD632" s="16" t="s">
        <v>166</v>
      </c>
      <c r="AG632" s="33">
        <f t="shared" si="130"/>
        <v>0</v>
      </c>
      <c r="AH632" s="120" t="s">
        <v>2337</v>
      </c>
      <c r="AI632" s="63">
        <f t="shared" si="134"/>
        <v>2.4694444444444446E-2</v>
      </c>
      <c r="AJ632" s="307">
        <f>RTD("money.excel",,$G632,"PredictVolume")</f>
        <v>13335</v>
      </c>
      <c r="AK632" s="339">
        <v>39.35</v>
      </c>
    </row>
    <row r="633" spans="1:37">
      <c r="A633" s="416">
        <v>2.2599999999999998</v>
      </c>
      <c r="B633" s="91">
        <v>6</v>
      </c>
      <c r="C633" s="91">
        <v>18</v>
      </c>
      <c r="D633" s="91">
        <v>67</v>
      </c>
      <c r="E633" s="91">
        <v>-26</v>
      </c>
      <c r="F633" s="6">
        <v>-62.99</v>
      </c>
      <c r="G633" s="79">
        <v>6198</v>
      </c>
      <c r="H633" s="208" t="s">
        <v>3254</v>
      </c>
      <c r="I633" s="16" t="s">
        <v>375</v>
      </c>
      <c r="J633" s="73">
        <v>60.85</v>
      </c>
      <c r="K633" s="73">
        <v>8.6999999999999993</v>
      </c>
      <c r="N633" s="318">
        <f t="shared" si="132"/>
        <v>69.55</v>
      </c>
      <c r="O633" s="81" t="str">
        <f>IFERROR(VLOOKUP($G633,'321買'!A:E,3,0),"'沒有資料'")</f>
        <v>'沒有資料'</v>
      </c>
      <c r="P633" s="380" t="str">
        <f>IFERROR(VLOOKUP($G633,'321買'!$A:$G,7,0),"'沒有資料'")</f>
        <v>'沒有資料'</v>
      </c>
      <c r="R633" s="297">
        <f>IFERROR(RANK(VLOOKUP($G633,連買!$A:$D,4,0),連買!$D:$D,0),"'沒有資料'")</f>
        <v>1462</v>
      </c>
      <c r="S633" s="34">
        <v>0</v>
      </c>
      <c r="T633" s="353">
        <f t="shared" si="133"/>
        <v>0</v>
      </c>
      <c r="U633" s="95">
        <v>-0.56999999999999995</v>
      </c>
      <c r="V633" s="13">
        <f>RTD("money.excel",,"6198","Price")</f>
        <v>33.950000000000003</v>
      </c>
      <c r="W633" s="66"/>
      <c r="X633" s="15">
        <f t="shared" si="128"/>
        <v>33.950000000000003</v>
      </c>
      <c r="Y633" s="3" t="e">
        <f t="shared" si="129"/>
        <v>#DIV/0!</v>
      </c>
      <c r="AA633" s="161">
        <v>0</v>
      </c>
      <c r="AB633" s="409">
        <v>0</v>
      </c>
      <c r="AC633" s="259">
        <f t="shared" si="126"/>
        <v>0</v>
      </c>
      <c r="AD633" s="16" t="s">
        <v>375</v>
      </c>
      <c r="AG633" s="33">
        <f t="shared" si="130"/>
        <v>0</v>
      </c>
      <c r="AH633" s="43" t="s">
        <v>2546</v>
      </c>
      <c r="AI633" s="63">
        <f t="shared" si="134"/>
        <v>3.0973451327433632E-4</v>
      </c>
      <c r="AJ633" s="307">
        <f>RTD("money.excel",,$G633,"PredictVolume")</f>
        <v>7</v>
      </c>
      <c r="AK633" s="339"/>
    </row>
    <row r="634" spans="1:37">
      <c r="A634" s="415">
        <v>22.6</v>
      </c>
      <c r="B634" s="79">
        <v>97</v>
      </c>
      <c r="C634" s="79">
        <v>57</v>
      </c>
      <c r="D634" s="79">
        <v>9</v>
      </c>
      <c r="E634" s="79">
        <v>81</v>
      </c>
      <c r="F634" s="57">
        <v>24.89</v>
      </c>
      <c r="G634" s="79">
        <v>6202</v>
      </c>
      <c r="H634" s="8" t="s">
        <v>3254</v>
      </c>
      <c r="I634" s="22" t="s">
        <v>119</v>
      </c>
      <c r="J634" s="323">
        <v>48.26</v>
      </c>
      <c r="K634" s="323">
        <v>21.08</v>
      </c>
      <c r="L634" s="323">
        <v>13.18</v>
      </c>
      <c r="M634" s="323">
        <v>7.86</v>
      </c>
      <c r="N634" s="318">
        <f t="shared" si="132"/>
        <v>90.38000000000001</v>
      </c>
      <c r="O634" s="81">
        <f>IFERROR(VLOOKUP($G634,'321買'!A:E,3,0),"'沒有資料'")</f>
        <v>15</v>
      </c>
      <c r="P634" s="380">
        <f>IFERROR(VLOOKUP($G634,'321買'!$A:$G,7,0),"'沒有資料'")</f>
        <v>321</v>
      </c>
      <c r="Q634" s="388" t="s">
        <v>3818</v>
      </c>
      <c r="R634" s="297">
        <f>IFERROR(RANK(VLOOKUP($G634,連買!$A:$D,4,0),連買!$D:$D,0),"'沒有資料'")</f>
        <v>147</v>
      </c>
      <c r="S634" s="45">
        <v>8.1199999999999992</v>
      </c>
      <c r="T634" s="353">
        <f t="shared" si="133"/>
        <v>7.9999999999999988E-2</v>
      </c>
      <c r="U634" s="95">
        <v>9.0399999999999991</v>
      </c>
      <c r="V634" s="36">
        <f>RTD("money.excel",,"6202","Price")</f>
        <v>101.5</v>
      </c>
      <c r="W634" s="66"/>
      <c r="X634" s="15">
        <f t="shared" si="128"/>
        <v>101.5</v>
      </c>
      <c r="Y634" s="3" t="e">
        <f t="shared" si="129"/>
        <v>#DIV/0!</v>
      </c>
      <c r="Z634" s="413">
        <v>-20.46</v>
      </c>
      <c r="AA634" s="161">
        <v>0</v>
      </c>
      <c r="AB634" s="409">
        <v>0</v>
      </c>
      <c r="AC634" s="259">
        <f t="shared" si="126"/>
        <v>0</v>
      </c>
      <c r="AD634" s="22" t="s">
        <v>119</v>
      </c>
      <c r="AG634" s="33">
        <f t="shared" si="130"/>
        <v>0</v>
      </c>
      <c r="AH634" s="120" t="s">
        <v>3237</v>
      </c>
      <c r="AI634" s="63">
        <f t="shared" si="134"/>
        <v>1.0353982300884955E-2</v>
      </c>
      <c r="AJ634" s="307">
        <f>RTD("money.excel",,$G634,"PredictVolume")</f>
        <v>2340</v>
      </c>
      <c r="AK634" s="339">
        <v>16.170000000000002</v>
      </c>
    </row>
    <row r="635" spans="1:37" ht="17.25" customHeight="1">
      <c r="A635" s="415">
        <v>9.41</v>
      </c>
      <c r="B635" s="80">
        <v>-19</v>
      </c>
      <c r="C635" s="80">
        <v>-18</v>
      </c>
      <c r="D635" s="79">
        <v>15</v>
      </c>
      <c r="E635" s="79">
        <v>17</v>
      </c>
      <c r="F635" s="57">
        <v>12.25</v>
      </c>
      <c r="G635" s="79">
        <v>6223</v>
      </c>
      <c r="H635" s="208" t="s">
        <v>3254</v>
      </c>
      <c r="I635" s="16" t="s">
        <v>4386</v>
      </c>
      <c r="J635" s="73">
        <v>21</v>
      </c>
      <c r="K635" s="323">
        <v>14.35</v>
      </c>
      <c r="L635" s="73">
        <v>44.63</v>
      </c>
      <c r="M635" s="323">
        <v>12.43</v>
      </c>
      <c r="N635" s="318">
        <f t="shared" si="132"/>
        <v>92.41</v>
      </c>
      <c r="O635" s="81">
        <f>IFERROR(VLOOKUP($G635,'321買'!A:E,3,0),"'沒有資料'")</f>
        <v>74</v>
      </c>
      <c r="P635" s="380">
        <f>IFERROR(VLOOKUP($G635,'321買'!$A:$G,7,0),"'沒有資料'")</f>
        <v>20</v>
      </c>
      <c r="Q635" s="245" t="s">
        <v>3817</v>
      </c>
      <c r="R635" s="297">
        <f>IFERROR(RANK(VLOOKUP($G635,連買!$A:$D,4,0),連買!$D:$D,0),"'沒有資料'")</f>
        <v>161</v>
      </c>
      <c r="S635" s="66">
        <v>4.47</v>
      </c>
      <c r="T635" s="353">
        <f t="shared" si="133"/>
        <v>4.7502656748140276E-2</v>
      </c>
      <c r="U635" s="95">
        <v>6.6</v>
      </c>
      <c r="V635" s="36">
        <f>RTD("money.excel",,"6223","Price")</f>
        <v>94.1</v>
      </c>
      <c r="W635" s="66"/>
      <c r="X635" s="15">
        <f t="shared" si="128"/>
        <v>94.1</v>
      </c>
      <c r="Y635" s="3" t="e">
        <f t="shared" si="129"/>
        <v>#DIV/0!</v>
      </c>
      <c r="Z635" s="413" t="s">
        <v>1997</v>
      </c>
      <c r="AA635" s="161">
        <v>0</v>
      </c>
      <c r="AB635" s="409">
        <v>0</v>
      </c>
      <c r="AC635" s="259">
        <f t="shared" si="126"/>
        <v>0</v>
      </c>
      <c r="AD635" s="16" t="s">
        <v>4386</v>
      </c>
      <c r="AG635" s="33">
        <f t="shared" si="130"/>
        <v>0</v>
      </c>
      <c r="AH635" s="120" t="s">
        <v>2533</v>
      </c>
      <c r="AI635" s="63">
        <f t="shared" si="134"/>
        <v>1.0743889479277364E-2</v>
      </c>
      <c r="AJ635" s="307">
        <f>RTD("money.excel",,$G635,"PredictVolume")</f>
        <v>1011</v>
      </c>
      <c r="AK635" s="339">
        <v>36.770000000000003</v>
      </c>
    </row>
    <row r="636" spans="1:37">
      <c r="A636" s="416">
        <v>3.56</v>
      </c>
      <c r="B636" s="79">
        <v>571</v>
      </c>
      <c r="C636" s="79">
        <v>227</v>
      </c>
      <c r="D636" s="80">
        <v>-2</v>
      </c>
      <c r="E636" s="79">
        <v>8</v>
      </c>
      <c r="F636" s="6">
        <v>4.21</v>
      </c>
      <c r="G636" s="79">
        <v>6229</v>
      </c>
      <c r="H636" s="208" t="s">
        <v>3254</v>
      </c>
      <c r="I636" s="16" t="s">
        <v>376</v>
      </c>
      <c r="J636" s="323">
        <v>22.82</v>
      </c>
      <c r="K636" s="73">
        <v>4.0999999999999996</v>
      </c>
      <c r="L636" s="73">
        <v>36.200000000000003</v>
      </c>
      <c r="N636" s="318">
        <f t="shared" si="132"/>
        <v>63.120000000000005</v>
      </c>
      <c r="O636" s="81">
        <f>IFERROR(VLOOKUP($G636,'321買'!A:E,3,0),"'沒有資料'")</f>
        <v>48</v>
      </c>
      <c r="P636" s="380">
        <f>IFERROR(VLOOKUP($G636,'321買'!$A:$G,7,0),"'沒有資料'")</f>
        <v>89</v>
      </c>
      <c r="R636" s="297">
        <f>IFERROR(RANK(VLOOKUP($G636,連買!$A:$D,4,0),連買!$D:$D,0),"'沒有資料'")</f>
        <v>625</v>
      </c>
      <c r="S636" s="34">
        <v>1.02</v>
      </c>
      <c r="T636" s="353">
        <f t="shared" si="133"/>
        <v>2.7236315086782373E-2</v>
      </c>
      <c r="U636" s="95">
        <v>1.99</v>
      </c>
      <c r="V636" s="36">
        <f>RTD("money.excel",,"6229","Price")</f>
        <v>37.450000000000003</v>
      </c>
      <c r="W636" s="66"/>
      <c r="X636" s="15">
        <f t="shared" si="128"/>
        <v>37.450000000000003</v>
      </c>
      <c r="Y636" s="3" t="e">
        <f t="shared" si="129"/>
        <v>#DIV/0!</v>
      </c>
      <c r="AA636" s="161">
        <v>0</v>
      </c>
      <c r="AB636" s="409">
        <v>0</v>
      </c>
      <c r="AC636" s="259">
        <f t="shared" si="126"/>
        <v>0</v>
      </c>
      <c r="AD636" s="16" t="s">
        <v>376</v>
      </c>
      <c r="AG636" s="33">
        <f t="shared" si="130"/>
        <v>0</v>
      </c>
      <c r="AH636" s="43" t="s">
        <v>2537</v>
      </c>
      <c r="AI636" s="63">
        <f t="shared" si="134"/>
        <v>2.1348314606741575E-3</v>
      </c>
      <c r="AJ636" s="307">
        <f>RTD("money.excel",,$G636,"PredictVolume")</f>
        <v>76</v>
      </c>
      <c r="AK636" s="339"/>
    </row>
    <row r="637" spans="1:37">
      <c r="A637" s="416">
        <v>7.96</v>
      </c>
      <c r="B637" s="80">
        <v>-7</v>
      </c>
      <c r="C637" s="79">
        <v>12</v>
      </c>
      <c r="D637" s="79">
        <v>33</v>
      </c>
      <c r="E637" s="79">
        <v>81</v>
      </c>
      <c r="F637" s="6">
        <v>-3.33</v>
      </c>
      <c r="G637" s="79">
        <v>6233</v>
      </c>
      <c r="H637" s="149" t="s">
        <v>3254</v>
      </c>
      <c r="I637" s="16" t="s">
        <v>377</v>
      </c>
      <c r="J637" s="73">
        <v>29.17</v>
      </c>
      <c r="K637" s="73">
        <v>8.2899999999999991</v>
      </c>
      <c r="L637" s="73">
        <v>64.209999999999994</v>
      </c>
      <c r="N637" s="318">
        <f t="shared" si="132"/>
        <v>101.66999999999999</v>
      </c>
      <c r="O637" s="81">
        <f>IFERROR(VLOOKUP($G637,'321買'!A:E,3,0),"'沒有資料'")</f>
        <v>32</v>
      </c>
      <c r="P637" s="380">
        <f>IFERROR(VLOOKUP($G637,'321買'!$A:$G,7,0),"'沒有資料'")</f>
        <v>122</v>
      </c>
      <c r="R637" s="297">
        <f>IFERROR(RANK(VLOOKUP($G637,連買!$A:$D,4,0),連買!$D:$D,0),"'沒有資料'")</f>
        <v>983</v>
      </c>
      <c r="S637" s="34">
        <v>0</v>
      </c>
      <c r="T637" s="353">
        <f t="shared" si="133"/>
        <v>0</v>
      </c>
      <c r="U637" s="95">
        <v>0.11</v>
      </c>
      <c r="V637" s="36">
        <f>RTD("money.excel",,"6233","Price")</f>
        <v>26.6</v>
      </c>
      <c r="W637" s="66"/>
      <c r="X637" s="15">
        <f t="shared" si="128"/>
        <v>26.6</v>
      </c>
      <c r="Y637" s="3" t="e">
        <f t="shared" si="129"/>
        <v>#DIV/0!</v>
      </c>
      <c r="AA637" s="161">
        <v>0</v>
      </c>
      <c r="AB637" s="409">
        <v>0</v>
      </c>
      <c r="AC637" s="259">
        <f t="shared" si="126"/>
        <v>0</v>
      </c>
      <c r="AD637" s="16" t="s">
        <v>377</v>
      </c>
      <c r="AG637" s="33">
        <f t="shared" si="130"/>
        <v>0</v>
      </c>
      <c r="AH637" s="43" t="s">
        <v>2409</v>
      </c>
      <c r="AI637" s="63">
        <f t="shared" si="134"/>
        <v>2.4748743718592966E-3</v>
      </c>
      <c r="AJ637" s="307">
        <f>RTD("money.excel",,$G637,"PredictVolume")</f>
        <v>197</v>
      </c>
      <c r="AK637" s="339"/>
    </row>
    <row r="638" spans="1:37">
      <c r="A638" s="415">
        <v>8.01</v>
      </c>
      <c r="B638" s="79">
        <v>382</v>
      </c>
      <c r="C638" s="79">
        <v>870</v>
      </c>
      <c r="D638" s="80">
        <v>-12</v>
      </c>
      <c r="E638" s="80">
        <v>-33</v>
      </c>
      <c r="F638" s="57">
        <v>35.18</v>
      </c>
      <c r="G638" s="79">
        <v>6237</v>
      </c>
      <c r="H638" s="149" t="s">
        <v>3254</v>
      </c>
      <c r="I638" s="16" t="s">
        <v>378</v>
      </c>
      <c r="J638" s="73">
        <v>15.46</v>
      </c>
      <c r="K638" s="73">
        <v>2.59</v>
      </c>
      <c r="L638" s="73">
        <v>49.47</v>
      </c>
      <c r="M638" s="323">
        <v>12.4</v>
      </c>
      <c r="N638" s="318">
        <f t="shared" si="132"/>
        <v>79.92</v>
      </c>
      <c r="O638" s="81">
        <f>IFERROR(VLOOKUP($G638,'321買'!A:E,3,0),"'沒有資料'")</f>
        <v>61</v>
      </c>
      <c r="P638" s="380">
        <f>IFERROR(VLOOKUP($G638,'321買'!$A:$G,7,0),"'沒有資料'")</f>
        <v>45</v>
      </c>
      <c r="Q638" s="245" t="s">
        <v>3815</v>
      </c>
      <c r="R638" s="297">
        <f>IFERROR(RANK(VLOOKUP($G638,連買!$A:$D,4,0),連買!$D:$D,0),"'沒有資料'")</f>
        <v>1678</v>
      </c>
      <c r="S638" s="34">
        <v>1</v>
      </c>
      <c r="T638" s="353">
        <f t="shared" si="133"/>
        <v>1.457725947521866E-2</v>
      </c>
      <c r="U638" s="95">
        <v>7.21</v>
      </c>
      <c r="V638" s="36">
        <f>RTD("money.excel",,"6237","Price")</f>
        <v>68.599999999999994</v>
      </c>
      <c r="W638" s="66"/>
      <c r="X638" s="15">
        <f t="shared" si="128"/>
        <v>68.599999999999994</v>
      </c>
      <c r="Y638" s="3" t="e">
        <f t="shared" si="129"/>
        <v>#DIV/0!</v>
      </c>
      <c r="Z638" s="413" t="s">
        <v>1801</v>
      </c>
      <c r="AA638" s="161">
        <v>0</v>
      </c>
      <c r="AB638" s="409">
        <v>0</v>
      </c>
      <c r="AC638" s="259">
        <f t="shared" si="126"/>
        <v>0</v>
      </c>
      <c r="AD638" s="16" t="s">
        <v>378</v>
      </c>
      <c r="AG638" s="33">
        <f t="shared" si="130"/>
        <v>0</v>
      </c>
      <c r="AH638" s="43" t="s">
        <v>3277</v>
      </c>
      <c r="AI638" s="63">
        <f t="shared" si="134"/>
        <v>8.7390761548064924E-3</v>
      </c>
      <c r="AJ638" s="307">
        <f>RTD("money.excel",,$G638,"PredictVolume")</f>
        <v>700</v>
      </c>
      <c r="AK638" s="339"/>
    </row>
    <row r="639" spans="1:37">
      <c r="A639" s="416">
        <v>77.900000000000006</v>
      </c>
      <c r="B639" s="79">
        <v>38</v>
      </c>
      <c r="C639" s="79">
        <v>33</v>
      </c>
      <c r="D639" s="80">
        <v>-2</v>
      </c>
      <c r="E639" s="79">
        <v>18</v>
      </c>
      <c r="F639" s="57">
        <v>17.29</v>
      </c>
      <c r="G639" s="79">
        <v>6239</v>
      </c>
      <c r="H639" s="8" t="s">
        <v>3254</v>
      </c>
      <c r="I639" s="22" t="s">
        <v>22</v>
      </c>
      <c r="J639" s="73">
        <v>72.650000000000006</v>
      </c>
      <c r="K639" s="323">
        <v>54.67</v>
      </c>
      <c r="L639" s="323">
        <v>1.7</v>
      </c>
      <c r="M639" s="73">
        <v>6.2</v>
      </c>
      <c r="N639" s="73">
        <f t="shared" si="132"/>
        <v>135.22</v>
      </c>
      <c r="O639" s="81">
        <f>IFERROR(VLOOKUP($G639,'321買'!A:E,3,0),"'沒有資料'")</f>
        <v>0</v>
      </c>
      <c r="P639" s="380">
        <f>IFERROR(VLOOKUP($G639,'321買'!$A:$G,7,0),"'沒有資料'")</f>
        <v>911</v>
      </c>
      <c r="Q639" s="245" t="s">
        <v>5079</v>
      </c>
      <c r="R639" s="297">
        <f>IFERROR(RANK(VLOOKUP($G639,連買!$A:$D,4,0),連買!$D:$D,0),"'沒有資料'")</f>
        <v>1582</v>
      </c>
      <c r="S639" s="66">
        <v>5</v>
      </c>
      <c r="T639" s="353">
        <f t="shared" si="133"/>
        <v>5.3361792956243326E-2</v>
      </c>
      <c r="U639" s="57">
        <v>10.44</v>
      </c>
      <c r="V639" s="13">
        <f>RTD("money.excel",,"6239","Price")</f>
        <v>93.7</v>
      </c>
      <c r="W639" s="66"/>
      <c r="X639" s="15">
        <f t="shared" si="128"/>
        <v>93.7</v>
      </c>
      <c r="Y639" s="3" t="e">
        <f t="shared" si="129"/>
        <v>#DIV/0!</v>
      </c>
      <c r="Z639" s="413" t="s">
        <v>1997</v>
      </c>
      <c r="AA639" s="161">
        <v>0</v>
      </c>
      <c r="AB639" s="409">
        <v>0</v>
      </c>
      <c r="AC639" s="259">
        <f t="shared" si="126"/>
        <v>0</v>
      </c>
      <c r="AD639" s="22" t="s">
        <v>22</v>
      </c>
      <c r="AG639" s="33">
        <f t="shared" si="130"/>
        <v>0</v>
      </c>
      <c r="AH639" s="120" t="s">
        <v>2481</v>
      </c>
      <c r="AI639" s="63">
        <f t="shared" si="134"/>
        <v>1.7021822849807445E-3</v>
      </c>
      <c r="AJ639" s="307">
        <f>RTD("money.excel",,$G639,"PredictVolume")</f>
        <v>1326</v>
      </c>
      <c r="AK639" s="339">
        <v>10.16</v>
      </c>
    </row>
    <row r="640" spans="1:37">
      <c r="A640" s="416">
        <v>7.5</v>
      </c>
      <c r="B640" s="79">
        <v>5</v>
      </c>
      <c r="C640" s="79">
        <v>58</v>
      </c>
      <c r="D640" s="79">
        <v>44</v>
      </c>
      <c r="E640" s="79">
        <v>33</v>
      </c>
      <c r="F640" s="6">
        <v>-4.0199999999999996</v>
      </c>
      <c r="G640" s="79">
        <v>6243</v>
      </c>
      <c r="H640" s="8" t="s">
        <v>3254</v>
      </c>
      <c r="I640" s="22" t="s">
        <v>355</v>
      </c>
      <c r="J640" s="323">
        <v>5.61</v>
      </c>
      <c r="K640" s="73">
        <v>2.91</v>
      </c>
      <c r="L640" s="323"/>
      <c r="N640" s="318">
        <f t="shared" si="132"/>
        <v>8.52</v>
      </c>
      <c r="O640" s="81">
        <f>IFERROR(VLOOKUP($G640,'321買'!A:E,3,0),"'沒有資料'")</f>
        <v>24</v>
      </c>
      <c r="P640" s="380">
        <f>IFERROR(VLOOKUP($G640,'321買'!$A:$G,7,0),"'沒有資料'")</f>
        <v>222</v>
      </c>
      <c r="R640" s="297">
        <f>IFERROR(RANK(VLOOKUP($G640,連買!$A:$D,4,0),連買!$D:$D,0),"'沒有資料'")</f>
        <v>1549</v>
      </c>
      <c r="S640" s="34">
        <v>0</v>
      </c>
      <c r="T640" s="353">
        <f t="shared" si="133"/>
        <v>0</v>
      </c>
      <c r="U640" s="95">
        <v>-0.82</v>
      </c>
      <c r="V640" s="36">
        <f>RTD("money.excel",,"6243","Price")</f>
        <v>45.4</v>
      </c>
      <c r="W640" s="66"/>
      <c r="X640" s="15">
        <f t="shared" si="128"/>
        <v>45.4</v>
      </c>
      <c r="Y640" s="3" t="e">
        <f t="shared" si="129"/>
        <v>#DIV/0!</v>
      </c>
      <c r="Z640" s="413" t="s">
        <v>1801</v>
      </c>
      <c r="AA640" s="161">
        <v>0</v>
      </c>
      <c r="AB640" s="409">
        <v>0</v>
      </c>
      <c r="AC640" s="259">
        <f t="shared" si="126"/>
        <v>0</v>
      </c>
      <c r="AD640" s="22" t="s">
        <v>355</v>
      </c>
      <c r="AG640" s="33">
        <f t="shared" si="130"/>
        <v>0</v>
      </c>
      <c r="AH640" s="43" t="s">
        <v>2574</v>
      </c>
      <c r="AI640" s="63">
        <f t="shared" si="134"/>
        <v>6.626666666666667E-3</v>
      </c>
      <c r="AJ640" s="307">
        <f>RTD("money.excel",,$G640,"PredictVolume")</f>
        <v>497</v>
      </c>
      <c r="AK640" s="339"/>
    </row>
    <row r="641" spans="1:37">
      <c r="A641" s="415">
        <v>45.2</v>
      </c>
      <c r="B641" s="79">
        <v>64</v>
      </c>
      <c r="C641" s="79">
        <v>58</v>
      </c>
      <c r="D641" s="79">
        <v>14</v>
      </c>
      <c r="E641" s="79">
        <v>25</v>
      </c>
      <c r="F641" s="57">
        <v>21.36</v>
      </c>
      <c r="G641" s="79">
        <v>6257</v>
      </c>
      <c r="H641" s="8" t="s">
        <v>3254</v>
      </c>
      <c r="I641" s="22" t="s">
        <v>4387</v>
      </c>
      <c r="J641" s="323">
        <v>31.31</v>
      </c>
      <c r="K641" s="73">
        <v>24.18</v>
      </c>
      <c r="L641" s="323">
        <v>12.27</v>
      </c>
      <c r="M641" s="323">
        <v>6.48</v>
      </c>
      <c r="N641" s="318">
        <f t="shared" si="132"/>
        <v>74.239999999999995</v>
      </c>
      <c r="O641" s="81">
        <f>IFERROR(VLOOKUP($G641,'321買'!A:E,3,0),"'沒有資料'")</f>
        <v>23</v>
      </c>
      <c r="P641" s="380">
        <f>IFERROR(VLOOKUP($G641,'321買'!$A:$G,7,0),"'沒有資料'")</f>
        <v>233</v>
      </c>
      <c r="Q641" s="245" t="s">
        <v>3816</v>
      </c>
      <c r="R641" s="297">
        <f>IFERROR(RANK(VLOOKUP($G641,連買!$A:$D,4,0),連買!$D:$D,0),"'沒有資料'")</f>
        <v>514</v>
      </c>
      <c r="S641" s="34">
        <v>2.87</v>
      </c>
      <c r="T641" s="353">
        <f t="shared" si="133"/>
        <v>4.9312714776632301E-2</v>
      </c>
      <c r="U641" s="95">
        <v>5.91</v>
      </c>
      <c r="V641" s="36">
        <f>RTD("money.excel",,"6257","Price")</f>
        <v>58.2</v>
      </c>
      <c r="W641" s="66"/>
      <c r="X641" s="15">
        <f t="shared" si="128"/>
        <v>58.2</v>
      </c>
      <c r="Y641" s="3" t="e">
        <f t="shared" si="129"/>
        <v>#DIV/0!</v>
      </c>
      <c r="Z641" s="413" t="s">
        <v>1801</v>
      </c>
      <c r="AA641" s="161">
        <v>0</v>
      </c>
      <c r="AB641" s="409">
        <v>0</v>
      </c>
      <c r="AC641" s="259">
        <f t="shared" si="126"/>
        <v>0</v>
      </c>
      <c r="AD641" s="22" t="s">
        <v>4387</v>
      </c>
      <c r="AG641" s="33">
        <f t="shared" si="130"/>
        <v>0</v>
      </c>
      <c r="AH641" s="43" t="s">
        <v>2991</v>
      </c>
      <c r="AI641" s="63">
        <f t="shared" si="134"/>
        <v>2.1194690265486727E-3</v>
      </c>
      <c r="AJ641" s="307">
        <f>RTD("money.excel",,$G641,"PredictVolume")</f>
        <v>958</v>
      </c>
      <c r="AK641" s="339">
        <v>13.57</v>
      </c>
    </row>
    <row r="642" spans="1:37">
      <c r="A642" s="415">
        <v>12.8</v>
      </c>
      <c r="B642" s="79">
        <v>100</v>
      </c>
      <c r="C642" s="79">
        <v>116</v>
      </c>
      <c r="D642" s="79">
        <v>3</v>
      </c>
      <c r="E642" s="79">
        <v>20</v>
      </c>
      <c r="F642" s="57">
        <v>28.89</v>
      </c>
      <c r="G642" s="79">
        <v>6261</v>
      </c>
      <c r="H642" s="149" t="s">
        <v>3254</v>
      </c>
      <c r="I642" s="24" t="s">
        <v>249</v>
      </c>
      <c r="J642" s="73">
        <v>24.27</v>
      </c>
      <c r="K642" s="73">
        <v>4.1500000000000004</v>
      </c>
      <c r="L642" s="323">
        <v>15.26</v>
      </c>
      <c r="M642" s="73">
        <v>11.1</v>
      </c>
      <c r="N642" s="318">
        <f t="shared" si="132"/>
        <v>54.78</v>
      </c>
      <c r="O642" s="81">
        <f>IFERROR(VLOOKUP($G642,'321買'!A:E,3,0),"'沒有資料'")</f>
        <v>26</v>
      </c>
      <c r="P642" s="380">
        <f>IFERROR(VLOOKUP($G642,'321買'!$A:$G,7,0),"'沒有資料'")</f>
        <v>141</v>
      </c>
      <c r="Q642" s="245" t="s">
        <v>3816</v>
      </c>
      <c r="R642" s="297">
        <f>IFERROR(RANK(VLOOKUP($G642,連買!$A:$D,4,0),連買!$D:$D,0),"'沒有資料'")</f>
        <v>350</v>
      </c>
      <c r="S642" s="66">
        <v>4</v>
      </c>
      <c r="T642" s="353">
        <f t="shared" si="133"/>
        <v>5.1347881899871627E-2</v>
      </c>
      <c r="U642" s="95">
        <v>7.54</v>
      </c>
      <c r="V642" s="36">
        <f>RTD("money.excel",,"6261","Price")</f>
        <v>77.900000000000006</v>
      </c>
      <c r="W642" s="66"/>
      <c r="X642" s="15">
        <f t="shared" si="128"/>
        <v>77.900000000000006</v>
      </c>
      <c r="Y642" s="3" t="e">
        <f t="shared" si="129"/>
        <v>#DIV/0!</v>
      </c>
      <c r="Z642" s="413" t="s">
        <v>1997</v>
      </c>
      <c r="AA642" s="161">
        <v>0</v>
      </c>
      <c r="AB642" s="409">
        <v>0</v>
      </c>
      <c r="AC642" s="259">
        <f t="shared" si="126"/>
        <v>0</v>
      </c>
      <c r="AD642" s="24" t="s">
        <v>249</v>
      </c>
      <c r="AG642" s="33">
        <f t="shared" si="130"/>
        <v>0</v>
      </c>
      <c r="AH642" s="122" t="s">
        <v>2109</v>
      </c>
      <c r="AI642" s="63">
        <f t="shared" si="134"/>
        <v>1.6406249999999999E-3</v>
      </c>
      <c r="AJ642" s="307">
        <f>RTD("money.excel",,$G642,"PredictVolume")</f>
        <v>210</v>
      </c>
      <c r="AK642" s="339">
        <v>15.48</v>
      </c>
    </row>
    <row r="643" spans="1:37">
      <c r="A643" s="415">
        <v>17.8</v>
      </c>
      <c r="B643" s="79">
        <v>90</v>
      </c>
      <c r="C643" s="79">
        <v>69</v>
      </c>
      <c r="D643" s="80">
        <v>-7</v>
      </c>
      <c r="E643" s="79">
        <v>10</v>
      </c>
      <c r="F643" s="57">
        <v>24.5</v>
      </c>
      <c r="G643" s="79">
        <v>6271</v>
      </c>
      <c r="H643" s="8" t="s">
        <v>3254</v>
      </c>
      <c r="I643" s="22" t="s">
        <v>55</v>
      </c>
      <c r="J643" s="323">
        <v>45.47</v>
      </c>
      <c r="K643" s="73">
        <v>55.64</v>
      </c>
      <c r="L643" s="323">
        <v>8.5399999999999991</v>
      </c>
      <c r="M643" s="323">
        <v>11.76</v>
      </c>
      <c r="N643" s="318">
        <f t="shared" si="132"/>
        <v>121.41000000000001</v>
      </c>
      <c r="O643" s="81">
        <f>IFERROR(VLOOKUP($G643,'321買'!A:E,3,0),"'沒有資料'")</f>
        <v>74</v>
      </c>
      <c r="P643" s="380">
        <f>IFERROR(VLOOKUP($G643,'321買'!$A:$G,7,0),"'沒有資料'")</f>
        <v>21</v>
      </c>
      <c r="Q643" s="245" t="s">
        <v>5088</v>
      </c>
      <c r="R643" s="297">
        <f>IFERROR(RANK(VLOOKUP($G643,連買!$A:$D,4,0),連買!$D:$D,0),"'沒有資料'")</f>
        <v>38</v>
      </c>
      <c r="S643" s="66">
        <v>9</v>
      </c>
      <c r="T643" s="353">
        <f t="shared" si="133"/>
        <v>3.3582089552238806E-2</v>
      </c>
      <c r="U643" s="95">
        <v>15.49</v>
      </c>
      <c r="V643" s="13">
        <f>RTD("money.excel",,"6271","Price")</f>
        <v>268</v>
      </c>
      <c r="W643" s="66"/>
      <c r="X643" s="15">
        <f t="shared" si="128"/>
        <v>268</v>
      </c>
      <c r="Y643" s="3" t="e">
        <f t="shared" si="129"/>
        <v>#DIV/0!</v>
      </c>
      <c r="Z643" s="413" t="s">
        <v>1997</v>
      </c>
      <c r="AA643" s="161">
        <v>0</v>
      </c>
      <c r="AB643" s="409">
        <v>0</v>
      </c>
      <c r="AC643" s="259">
        <f t="shared" si="126"/>
        <v>0</v>
      </c>
      <c r="AD643" s="22" t="s">
        <v>55</v>
      </c>
      <c r="AG643" s="33">
        <f t="shared" si="130"/>
        <v>0</v>
      </c>
      <c r="AH643" s="120" t="s">
        <v>2479</v>
      </c>
      <c r="AI643" s="63">
        <f t="shared" si="134"/>
        <v>6.1404494382022471E-3</v>
      </c>
      <c r="AJ643" s="307">
        <f>RTD("money.excel",,$G643,"PredictVolume")</f>
        <v>1093</v>
      </c>
      <c r="AK643" s="339">
        <v>14.34</v>
      </c>
    </row>
    <row r="644" spans="1:37">
      <c r="A644" s="416">
        <v>43.8</v>
      </c>
      <c r="B644" s="91">
        <v>36</v>
      </c>
      <c r="C644" s="91">
        <v>42</v>
      </c>
      <c r="D644" s="91">
        <v>-9</v>
      </c>
      <c r="E644" s="91">
        <v>55</v>
      </c>
      <c r="F644" s="6">
        <v>-10.95</v>
      </c>
      <c r="G644" s="79">
        <v>6287</v>
      </c>
      <c r="H644" s="149" t="s">
        <v>3254</v>
      </c>
      <c r="I644" s="16" t="s">
        <v>379</v>
      </c>
      <c r="J644" s="73">
        <v>89.34</v>
      </c>
      <c r="K644" s="73">
        <v>5.92</v>
      </c>
      <c r="N644" s="318">
        <f t="shared" si="132"/>
        <v>95.26</v>
      </c>
      <c r="O644" s="81" t="str">
        <f>IFERROR(VLOOKUP($G644,'321買'!A:E,3,0),"'沒有資料'")</f>
        <v>'沒有資料'</v>
      </c>
      <c r="P644" s="380" t="str">
        <f>IFERROR(VLOOKUP($G644,'321買'!$A:$G,7,0),"'沒有資料'")</f>
        <v>'沒有資料'</v>
      </c>
      <c r="R644" s="297">
        <f>IFERROR(RANK(VLOOKUP($G644,連買!$A:$D,4,0),連買!$D:$D,0),"'沒有資料'")</f>
        <v>1302</v>
      </c>
      <c r="S644" s="34">
        <v>0</v>
      </c>
      <c r="T644" s="353">
        <f t="shared" si="133"/>
        <v>0</v>
      </c>
      <c r="U644" s="95">
        <v>-0.34</v>
      </c>
      <c r="V644" s="13">
        <f>RTD("money.excel",,"6287","Price")</f>
        <v>8.0299999999999994</v>
      </c>
      <c r="W644" s="66"/>
      <c r="X644" s="15">
        <f t="shared" si="128"/>
        <v>8.0299999999999994</v>
      </c>
      <c r="Y644" s="3" t="e">
        <f t="shared" si="129"/>
        <v>#DIV/0!</v>
      </c>
      <c r="AA644" s="161">
        <v>0</v>
      </c>
      <c r="AB644" s="409">
        <v>0</v>
      </c>
      <c r="AC644" s="259">
        <f t="shared" si="126"/>
        <v>0</v>
      </c>
      <c r="AD644" s="16" t="s">
        <v>379</v>
      </c>
      <c r="AG644" s="33">
        <f t="shared" si="130"/>
        <v>0</v>
      </c>
      <c r="AH644" s="43" t="s">
        <v>1894</v>
      </c>
      <c r="AI644" s="63">
        <f t="shared" si="134"/>
        <v>6.1643835616438354E-5</v>
      </c>
      <c r="AJ644" s="307">
        <f>RTD("money.excel",,$G644,"PredictVolume")</f>
        <v>27</v>
      </c>
      <c r="AK644" s="339"/>
    </row>
    <row r="645" spans="1:37">
      <c r="A645" s="415">
        <v>2.7</v>
      </c>
      <c r="B645" s="91">
        <v>170</v>
      </c>
      <c r="C645" s="91">
        <v>155</v>
      </c>
      <c r="D645" s="91">
        <v>15</v>
      </c>
      <c r="E645" s="91">
        <v>13</v>
      </c>
      <c r="F645" s="57">
        <v>10.64</v>
      </c>
      <c r="G645" s="79">
        <v>6291</v>
      </c>
      <c r="H645" s="149" t="s">
        <v>3254</v>
      </c>
      <c r="I645" s="16" t="s">
        <v>380</v>
      </c>
      <c r="J645" s="73">
        <v>78.709999999999994</v>
      </c>
      <c r="K645" s="73">
        <v>7.08</v>
      </c>
      <c r="N645" s="318">
        <f t="shared" si="132"/>
        <v>85.789999999999992</v>
      </c>
      <c r="O645" s="81">
        <f>IFERROR(VLOOKUP($G645,'321買'!A:E,3,0),"'沒有資料'")</f>
        <v>0</v>
      </c>
      <c r="P645" s="380">
        <f>IFERROR(VLOOKUP($G645,'321買'!$A:$G,7,0),"'沒有資料'")</f>
        <v>911</v>
      </c>
      <c r="R645" s="297">
        <f>IFERROR(RANK(VLOOKUP($G645,連買!$A:$D,4,0),連買!$D:$D,0),"'沒有資料'")</f>
        <v>1230</v>
      </c>
      <c r="S645" s="34">
        <v>0</v>
      </c>
      <c r="T645" s="353">
        <f t="shared" si="133"/>
        <v>0</v>
      </c>
      <c r="U645" s="95">
        <v>0.86</v>
      </c>
      <c r="V645" s="13">
        <f>RTD("money.excel",,"6291","Price")</f>
        <v>58.5</v>
      </c>
      <c r="W645" s="66"/>
      <c r="X645" s="15">
        <f t="shared" si="128"/>
        <v>58.5</v>
      </c>
      <c r="Y645" s="3" t="e">
        <f t="shared" si="129"/>
        <v>#DIV/0!</v>
      </c>
      <c r="AA645" s="161">
        <v>0</v>
      </c>
      <c r="AB645" s="409">
        <v>0</v>
      </c>
      <c r="AC645" s="259">
        <f t="shared" ref="AC645:AC708" si="135">AA645-AB645</f>
        <v>0</v>
      </c>
      <c r="AD645" s="16" t="s">
        <v>380</v>
      </c>
      <c r="AG645" s="33">
        <f t="shared" si="130"/>
        <v>0</v>
      </c>
      <c r="AH645" s="43" t="s">
        <v>1444</v>
      </c>
      <c r="AI645" s="63">
        <f t="shared" si="134"/>
        <v>1.9629629629629628E-3</v>
      </c>
      <c r="AJ645" s="307">
        <f>RTD("money.excel",,$G645,"PredictVolume")</f>
        <v>53</v>
      </c>
      <c r="AK645" s="339"/>
    </row>
    <row r="646" spans="1:37">
      <c r="A646" s="415">
        <v>9.15</v>
      </c>
      <c r="B646" s="79">
        <v>75</v>
      </c>
      <c r="C646" s="79">
        <v>77</v>
      </c>
      <c r="D646" s="79">
        <v>3</v>
      </c>
      <c r="E646" s="79">
        <v>24</v>
      </c>
      <c r="F646" s="57">
        <v>24.43</v>
      </c>
      <c r="G646" s="79">
        <v>6411</v>
      </c>
      <c r="H646" s="149" t="s">
        <v>3254</v>
      </c>
      <c r="I646" s="16" t="s">
        <v>253</v>
      </c>
      <c r="J646" s="73">
        <v>26.05</v>
      </c>
      <c r="K646" s="323">
        <v>17.43</v>
      </c>
      <c r="L646" s="73">
        <v>35.590000000000003</v>
      </c>
      <c r="M646" s="323">
        <v>13.98</v>
      </c>
      <c r="N646" s="318">
        <f t="shared" si="132"/>
        <v>93.050000000000011</v>
      </c>
      <c r="O646" s="81">
        <f>IFERROR(VLOOKUP($G646,'321買'!A:E,3,0),"'沒有資料'")</f>
        <v>102</v>
      </c>
      <c r="P646" s="380">
        <f>IFERROR(VLOOKUP($G646,'321買'!$A:$G,7,0),"'沒有資料'")</f>
        <v>6</v>
      </c>
      <c r="Q646" s="245" t="s">
        <v>5088</v>
      </c>
      <c r="R646" s="297">
        <f>IFERROR(RANK(VLOOKUP($G646,連買!$A:$D,4,0),連買!$D:$D,0),"'沒有資料'")</f>
        <v>1695</v>
      </c>
      <c r="S646" s="66">
        <v>5.03</v>
      </c>
      <c r="T646" s="353">
        <f t="shared" si="133"/>
        <v>3.505226480836237E-2</v>
      </c>
      <c r="U646" s="95">
        <v>8.82</v>
      </c>
      <c r="V646" s="36">
        <f>RTD("money.excel",,"6411","Price")</f>
        <v>143.5</v>
      </c>
      <c r="W646" s="66"/>
      <c r="X646" s="15">
        <f t="shared" si="128"/>
        <v>143.5</v>
      </c>
      <c r="Y646" s="3" t="e">
        <f t="shared" si="129"/>
        <v>#DIV/0!</v>
      </c>
      <c r="Z646" s="413" t="s">
        <v>1997</v>
      </c>
      <c r="AA646" s="161">
        <v>0</v>
      </c>
      <c r="AB646" s="409">
        <v>0</v>
      </c>
      <c r="AC646" s="259">
        <f t="shared" si="135"/>
        <v>0</v>
      </c>
      <c r="AD646" s="16" t="s">
        <v>253</v>
      </c>
      <c r="AG646" s="33">
        <f t="shared" si="130"/>
        <v>0</v>
      </c>
      <c r="AH646" s="43" t="s">
        <v>2312</v>
      </c>
      <c r="AI646" s="63">
        <f t="shared" si="134"/>
        <v>6.1431693989071036E-2</v>
      </c>
      <c r="AJ646" s="307">
        <f>RTD("money.excel",,$G646,"PredictVolume")</f>
        <v>5621</v>
      </c>
      <c r="AK646" s="339">
        <v>48.2</v>
      </c>
    </row>
    <row r="647" spans="1:37">
      <c r="A647" s="415">
        <v>9.4700000000000006</v>
      </c>
      <c r="B647" s="79">
        <v>78</v>
      </c>
      <c r="C647" s="79">
        <v>113</v>
      </c>
      <c r="D647" s="80">
        <v>-1</v>
      </c>
      <c r="E647" s="79">
        <v>65</v>
      </c>
      <c r="F647" s="57">
        <v>30.86</v>
      </c>
      <c r="G647" s="79">
        <v>6415</v>
      </c>
      <c r="H647" s="8" t="s">
        <v>3254</v>
      </c>
      <c r="I647" s="22" t="s">
        <v>258</v>
      </c>
      <c r="J647" s="73">
        <v>33.93</v>
      </c>
      <c r="K647" s="73">
        <v>95.64</v>
      </c>
      <c r="L647" s="323">
        <v>0.8</v>
      </c>
      <c r="M647" s="323">
        <v>14.62</v>
      </c>
      <c r="N647" s="73">
        <f t="shared" si="132"/>
        <v>144.99</v>
      </c>
      <c r="O647" s="81">
        <f>IFERROR(VLOOKUP($G647,'321買'!A:E,3,0),"'沒有資料'")</f>
        <v>0</v>
      </c>
      <c r="P647" s="380">
        <f>IFERROR(VLOOKUP($G647,'321買'!$A:$G,7,0),"'沒有資料'")</f>
        <v>911</v>
      </c>
      <c r="Q647" s="388" t="s">
        <v>3818</v>
      </c>
      <c r="R647" s="297">
        <f>IFERROR(RANK(VLOOKUP($G647,連買!$A:$D,4,0),連買!$D:$D,0),"'沒有資料'")</f>
        <v>1755</v>
      </c>
      <c r="S647" s="45">
        <v>17.98</v>
      </c>
      <c r="T647" s="353">
        <f t="shared" si="133"/>
        <v>6.1786941580756014E-3</v>
      </c>
      <c r="U647" s="95">
        <v>61.55</v>
      </c>
      <c r="V647" s="155">
        <f>RTD("money.excel",,"6415","Price")</f>
        <v>2910</v>
      </c>
      <c r="W647" s="66"/>
      <c r="X647" s="141">
        <f t="shared" si="128"/>
        <v>2910</v>
      </c>
      <c r="Y647" s="3" t="e">
        <f t="shared" si="129"/>
        <v>#DIV/0!</v>
      </c>
      <c r="Z647" s="413">
        <v>-37.520000000000003</v>
      </c>
      <c r="AA647" s="161">
        <v>0</v>
      </c>
      <c r="AB647" s="409">
        <v>0</v>
      </c>
      <c r="AC647" s="259">
        <f t="shared" si="135"/>
        <v>0</v>
      </c>
      <c r="AD647" s="22" t="s">
        <v>258</v>
      </c>
      <c r="AG647" s="33">
        <f t="shared" si="130"/>
        <v>0</v>
      </c>
      <c r="AH647" s="120" t="s">
        <v>1444</v>
      </c>
      <c r="AI647" s="63">
        <f t="shared" si="134"/>
        <v>6.4836325237592396E-3</v>
      </c>
      <c r="AJ647" s="307">
        <f>RTD("money.excel",,$G647,"PredictVolume")</f>
        <v>614</v>
      </c>
      <c r="AK647" s="339">
        <v>2.78</v>
      </c>
    </row>
    <row r="648" spans="1:37">
      <c r="A648" s="415">
        <v>3.34</v>
      </c>
      <c r="B648" s="79">
        <v>87</v>
      </c>
      <c r="C648" s="79">
        <v>100</v>
      </c>
      <c r="D648" s="80">
        <v>-20</v>
      </c>
      <c r="E648" s="79">
        <v>33</v>
      </c>
      <c r="F648" s="57">
        <v>15.93</v>
      </c>
      <c r="G648" s="79">
        <v>6435</v>
      </c>
      <c r="H648" s="8" t="s">
        <v>3254</v>
      </c>
      <c r="I648" s="16" t="s">
        <v>4388</v>
      </c>
      <c r="J648" s="323">
        <v>43.41</v>
      </c>
      <c r="K648" s="73">
        <v>6.65</v>
      </c>
      <c r="L648" s="323">
        <v>31.23</v>
      </c>
      <c r="M648" s="73">
        <v>48.47</v>
      </c>
      <c r="N648" s="318">
        <f t="shared" si="132"/>
        <v>129.76</v>
      </c>
      <c r="O648" s="81">
        <f>IFERROR(VLOOKUP($G648,'321買'!A:E,3,0),"'沒有資料'")</f>
        <v>29</v>
      </c>
      <c r="P648" s="380">
        <f>IFERROR(VLOOKUP($G648,'321買'!$A:$G,7,0),"'沒有資料'")</f>
        <v>135</v>
      </c>
      <c r="Q648" s="245" t="s">
        <v>5088</v>
      </c>
      <c r="R648" s="297">
        <f>IFERROR(RANK(VLOOKUP($G648,連買!$A:$D,4,0),連買!$D:$D,0),"'沒有資料'")</f>
        <v>114</v>
      </c>
      <c r="S648" s="45">
        <v>7.2</v>
      </c>
      <c r="T648" s="353">
        <f t="shared" si="133"/>
        <v>5.0349650349650353E-2</v>
      </c>
      <c r="U648" s="95">
        <v>13.09</v>
      </c>
      <c r="V648" s="36">
        <f>RTD("money.excel",,"6435","Price")</f>
        <v>143</v>
      </c>
      <c r="W648" s="66"/>
      <c r="X648" s="15">
        <f t="shared" si="128"/>
        <v>143</v>
      </c>
      <c r="Y648" s="3" t="e">
        <f t="shared" si="129"/>
        <v>#DIV/0!</v>
      </c>
      <c r="Z648" s="413">
        <v>-5.85</v>
      </c>
      <c r="AA648" s="161">
        <v>0</v>
      </c>
      <c r="AB648" s="409">
        <v>0</v>
      </c>
      <c r="AC648" s="259">
        <f t="shared" si="135"/>
        <v>0</v>
      </c>
      <c r="AD648" s="16" t="s">
        <v>4388</v>
      </c>
      <c r="AG648" s="33">
        <f t="shared" si="130"/>
        <v>0</v>
      </c>
      <c r="AH648" s="43" t="s">
        <v>2344</v>
      </c>
      <c r="AI648" s="63">
        <f t="shared" si="134"/>
        <v>6.4071856287425148E-3</v>
      </c>
      <c r="AJ648" s="307">
        <f>RTD("money.excel",,$G648,"PredictVolume")</f>
        <v>214</v>
      </c>
      <c r="AK648" s="339">
        <v>21.18</v>
      </c>
    </row>
    <row r="649" spans="1:37">
      <c r="A649" s="416">
        <v>10.7</v>
      </c>
      <c r="B649" s="80">
        <v>-4</v>
      </c>
      <c r="C649" s="80">
        <v>-79</v>
      </c>
      <c r="D649" s="80">
        <v>-3</v>
      </c>
      <c r="E649" s="80">
        <v>-33</v>
      </c>
      <c r="F649" s="6">
        <v>3.96</v>
      </c>
      <c r="G649" s="79">
        <v>6451</v>
      </c>
      <c r="H649" s="8" t="s">
        <v>3254</v>
      </c>
      <c r="I649" s="22" t="s">
        <v>226</v>
      </c>
      <c r="J649" s="73">
        <v>63.4</v>
      </c>
      <c r="K649" s="323">
        <v>63.42</v>
      </c>
      <c r="L649" s="73">
        <v>14.65</v>
      </c>
      <c r="M649" s="73">
        <v>61.51</v>
      </c>
      <c r="N649" s="73">
        <f t="shared" si="132"/>
        <v>202.98</v>
      </c>
      <c r="O649" s="81">
        <f>IFERROR(VLOOKUP($G649,'321買'!A:E,3,0),"'沒有資料'")</f>
        <v>0</v>
      </c>
      <c r="P649" s="380">
        <f>IFERROR(VLOOKUP($G649,'321買'!$A:$G,7,0),"'沒有資料'")</f>
        <v>911</v>
      </c>
      <c r="Q649" s="245" t="s">
        <v>3817</v>
      </c>
      <c r="R649" s="297">
        <f>IFERROR(RANK(VLOOKUP($G649,連買!$A:$D,4,0),連買!$D:$D,0),"'沒有資料'")</f>
        <v>857</v>
      </c>
      <c r="S649" s="66">
        <v>4.0999999999999996</v>
      </c>
      <c r="T649" s="353">
        <f t="shared" si="133"/>
        <v>4.7126436781609195E-2</v>
      </c>
      <c r="U649" s="57">
        <v>6.57</v>
      </c>
      <c r="V649" s="13">
        <f>RTD("money.excel",,"6451","Price")</f>
        <v>87</v>
      </c>
      <c r="W649" s="66"/>
      <c r="X649" s="15">
        <f t="shared" si="128"/>
        <v>87</v>
      </c>
      <c r="Y649" s="3" t="e">
        <f t="shared" si="129"/>
        <v>#DIV/0!</v>
      </c>
      <c r="Z649" s="413" t="s">
        <v>1997</v>
      </c>
      <c r="AA649" s="161">
        <v>0</v>
      </c>
      <c r="AB649" s="409">
        <v>0</v>
      </c>
      <c r="AC649" s="259">
        <f t="shared" si="135"/>
        <v>0</v>
      </c>
      <c r="AD649" s="22" t="s">
        <v>226</v>
      </c>
      <c r="AG649" s="33">
        <f t="shared" si="130"/>
        <v>0</v>
      </c>
      <c r="AH649" s="120" t="s">
        <v>2480</v>
      </c>
      <c r="AI649" s="63">
        <f t="shared" si="134"/>
        <v>4.9158878504672893E-3</v>
      </c>
      <c r="AJ649" s="307">
        <f>RTD("money.excel",,$G649,"PredictVolume")</f>
        <v>526</v>
      </c>
      <c r="AK649" s="339"/>
    </row>
    <row r="650" spans="1:37">
      <c r="A650" s="415">
        <v>3.19</v>
      </c>
      <c r="B650" s="79">
        <v>109</v>
      </c>
      <c r="C650" s="79">
        <v>89</v>
      </c>
      <c r="D650" s="80">
        <v>-9</v>
      </c>
      <c r="E650" s="80">
        <v>-4</v>
      </c>
      <c r="F650" s="57">
        <v>32.36</v>
      </c>
      <c r="G650" s="79">
        <v>6457</v>
      </c>
      <c r="H650" s="149" t="s">
        <v>3254</v>
      </c>
      <c r="I650" s="16" t="s">
        <v>381</v>
      </c>
      <c r="J650" s="73">
        <v>17.48</v>
      </c>
      <c r="K650" s="73">
        <v>8.32</v>
      </c>
      <c r="L650" s="73">
        <v>15.69</v>
      </c>
      <c r="M650" s="323">
        <v>12.86</v>
      </c>
      <c r="N650" s="318">
        <f t="shared" si="132"/>
        <v>54.35</v>
      </c>
      <c r="O650" s="81">
        <f>IFERROR(VLOOKUP($G650,'321買'!A:E,3,0),"'沒有資料'")</f>
        <v>56</v>
      </c>
      <c r="P650" s="380">
        <f>IFERROR(VLOOKUP($G650,'321買'!$A:$G,7,0),"'沒有資料'")</f>
        <v>35</v>
      </c>
      <c r="Q650" s="245" t="s">
        <v>5063</v>
      </c>
      <c r="R650" s="297">
        <f>IFERROR(RANK(VLOOKUP($G650,連買!$A:$D,4,0),連買!$D:$D,0),"'沒有資料'")</f>
        <v>111</v>
      </c>
      <c r="S650" s="66">
        <v>6.32</v>
      </c>
      <c r="T650" s="353">
        <f t="shared" si="133"/>
        <v>5.3333333333333337E-2</v>
      </c>
      <c r="U650" s="95">
        <v>12.2</v>
      </c>
      <c r="V650" s="36">
        <f>RTD("money.excel",,"6457","Price")</f>
        <v>118.5</v>
      </c>
      <c r="W650" s="66"/>
      <c r="X650" s="15">
        <f t="shared" si="128"/>
        <v>118.5</v>
      </c>
      <c r="Y650" s="3" t="e">
        <f t="shared" si="129"/>
        <v>#DIV/0!</v>
      </c>
      <c r="Z650" s="413" t="s">
        <v>1997</v>
      </c>
      <c r="AA650" s="161">
        <v>0</v>
      </c>
      <c r="AB650" s="409">
        <v>0</v>
      </c>
      <c r="AC650" s="259">
        <f t="shared" si="135"/>
        <v>0</v>
      </c>
      <c r="AD650" s="16" t="s">
        <v>381</v>
      </c>
      <c r="AG650" s="33">
        <f t="shared" si="130"/>
        <v>0</v>
      </c>
      <c r="AH650" s="43" t="s">
        <v>2547</v>
      </c>
      <c r="AI650" s="63">
        <f t="shared" si="134"/>
        <v>1.5893416927899688E-2</v>
      </c>
      <c r="AJ650" s="307">
        <f>RTD("money.excel",,$G650,"PredictVolume")</f>
        <v>507</v>
      </c>
      <c r="AK650" s="339">
        <v>30.26</v>
      </c>
    </row>
    <row r="651" spans="1:37">
      <c r="A651" s="416">
        <v>6.93</v>
      </c>
      <c r="B651" s="80">
        <v>-129</v>
      </c>
      <c r="C651" s="80">
        <v>-125</v>
      </c>
      <c r="D651" s="79">
        <v>16</v>
      </c>
      <c r="E651" s="80">
        <v>-42</v>
      </c>
      <c r="F651" s="6">
        <v>-8.08</v>
      </c>
      <c r="G651" s="79">
        <v>6462</v>
      </c>
      <c r="H651" s="149" t="s">
        <v>3254</v>
      </c>
      <c r="I651" s="16" t="s">
        <v>220</v>
      </c>
      <c r="J651" s="323">
        <v>14.59</v>
      </c>
      <c r="K651" s="323">
        <v>20.14</v>
      </c>
      <c r="L651" s="73">
        <v>27.6</v>
      </c>
      <c r="M651" s="73">
        <v>9.7100000000000009</v>
      </c>
      <c r="N651" s="318">
        <f t="shared" si="132"/>
        <v>72.040000000000006</v>
      </c>
      <c r="O651" s="81">
        <f>IFERROR(VLOOKUP($G651,'321買'!A:E,3,0),"'沒有資料'")</f>
        <v>4</v>
      </c>
      <c r="P651" s="380">
        <f>IFERROR(VLOOKUP($G651,'321買'!$A:$G,7,0),"'沒有資料'")</f>
        <v>592</v>
      </c>
      <c r="Q651" s="245" t="s">
        <v>3817</v>
      </c>
      <c r="R651" s="297">
        <f>IFERROR(RANK(VLOOKUP($G651,連買!$A:$D,4,0),連買!$D:$D,0),"'沒有資料'")</f>
        <v>312</v>
      </c>
      <c r="S651" s="66">
        <v>15</v>
      </c>
      <c r="T651" s="353">
        <f t="shared" si="133"/>
        <v>0.12931034482758622</v>
      </c>
      <c r="U651" s="95">
        <v>-2.48</v>
      </c>
      <c r="V651" s="36">
        <f>RTD("money.excel",,"6462","Price")</f>
        <v>116</v>
      </c>
      <c r="W651" s="66"/>
      <c r="X651" s="15">
        <f t="shared" si="128"/>
        <v>116</v>
      </c>
      <c r="Y651" s="3" t="e">
        <f t="shared" si="129"/>
        <v>#DIV/0!</v>
      </c>
      <c r="Z651" s="413" t="s">
        <v>1997</v>
      </c>
      <c r="AA651" s="161">
        <v>0</v>
      </c>
      <c r="AB651" s="409">
        <v>0</v>
      </c>
      <c r="AC651" s="259">
        <f t="shared" si="135"/>
        <v>0</v>
      </c>
      <c r="AD651" s="16" t="s">
        <v>220</v>
      </c>
      <c r="AG651" s="33">
        <f t="shared" si="130"/>
        <v>0</v>
      </c>
      <c r="AH651" s="120" t="s">
        <v>1448</v>
      </c>
      <c r="AI651" s="63">
        <f t="shared" si="134"/>
        <v>1.2222222222222223E-2</v>
      </c>
      <c r="AJ651" s="307">
        <f>RTD("money.excel",,$G651,"PredictVolume")</f>
        <v>847</v>
      </c>
      <c r="AK651" s="339"/>
    </row>
    <row r="652" spans="1:37">
      <c r="A652" s="415">
        <v>4.4000000000000004</v>
      </c>
      <c r="B652" s="93">
        <v>1610</v>
      </c>
      <c r="C652" s="93">
        <v>2987</v>
      </c>
      <c r="D652" s="80">
        <v>-2</v>
      </c>
      <c r="E652" s="79">
        <v>51</v>
      </c>
      <c r="F652" s="57">
        <v>31.91</v>
      </c>
      <c r="G652" s="79">
        <v>6485</v>
      </c>
      <c r="H652" s="17" t="s">
        <v>3254</v>
      </c>
      <c r="I652" s="16" t="s">
        <v>232</v>
      </c>
      <c r="J652" s="323">
        <v>10.130000000000001</v>
      </c>
      <c r="K652" s="73">
        <v>8.31</v>
      </c>
      <c r="L652" s="323">
        <v>62.83</v>
      </c>
      <c r="M652" s="323">
        <v>10.25</v>
      </c>
      <c r="N652" s="318">
        <f t="shared" si="132"/>
        <v>91.52</v>
      </c>
      <c r="O652" s="81">
        <f>IFERROR(VLOOKUP($G652,'321買'!A:E,3,0),"'沒有資料'")</f>
        <v>82</v>
      </c>
      <c r="P652" s="380">
        <f>IFERROR(VLOOKUP($G652,'321買'!$A:$G,7,0),"'沒有資料'")</f>
        <v>14</v>
      </c>
      <c r="Q652" s="245" t="s">
        <v>5088</v>
      </c>
      <c r="R652" s="297">
        <f>IFERROR(RANK(VLOOKUP($G652,連買!$A:$D,4,0),連買!$D:$D,0),"'沒有資料'")</f>
        <v>98</v>
      </c>
      <c r="S652" s="66">
        <v>5</v>
      </c>
      <c r="T652" s="353">
        <f t="shared" si="133"/>
        <v>3.7453183520599252E-2</v>
      </c>
      <c r="U652" s="95">
        <v>12.29</v>
      </c>
      <c r="V652" s="36">
        <f>RTD("money.excel",,"6485","Price")</f>
        <v>133.5</v>
      </c>
      <c r="W652" s="66"/>
      <c r="X652" s="15">
        <f t="shared" si="128"/>
        <v>133.5</v>
      </c>
      <c r="Y652" s="3" t="e">
        <f t="shared" si="129"/>
        <v>#DIV/0!</v>
      </c>
      <c r="Z652" s="413" t="s">
        <v>1997</v>
      </c>
      <c r="AA652" s="161">
        <v>0</v>
      </c>
      <c r="AB652" s="409">
        <v>0</v>
      </c>
      <c r="AC652" s="259">
        <f t="shared" si="135"/>
        <v>0</v>
      </c>
      <c r="AD652" s="16" t="s">
        <v>232</v>
      </c>
      <c r="AG652" s="33">
        <f t="shared" si="130"/>
        <v>0</v>
      </c>
      <c r="AH652" s="43" t="s">
        <v>2548</v>
      </c>
      <c r="AI652" s="63">
        <f t="shared" si="134"/>
        <v>1.4068181818181818E-2</v>
      </c>
      <c r="AJ652" s="307">
        <f>RTD("money.excel",,$G652,"PredictVolume")</f>
        <v>619</v>
      </c>
      <c r="AK652" s="339">
        <v>69.739999999999995</v>
      </c>
    </row>
    <row r="653" spans="1:37">
      <c r="A653" s="415">
        <v>43.7</v>
      </c>
      <c r="B653" s="80">
        <v>-9</v>
      </c>
      <c r="C653" s="79">
        <v>15</v>
      </c>
      <c r="D653" s="79">
        <v>7</v>
      </c>
      <c r="E653" s="79">
        <v>0</v>
      </c>
      <c r="F653" s="57">
        <v>28.94</v>
      </c>
      <c r="G653" s="79">
        <v>6488</v>
      </c>
      <c r="H653" s="204" t="s">
        <v>3254</v>
      </c>
      <c r="I653" s="16" t="s">
        <v>34</v>
      </c>
      <c r="J653" s="323">
        <v>80.83</v>
      </c>
      <c r="K653" s="323">
        <v>29.88</v>
      </c>
      <c r="L653" s="323">
        <v>3.9</v>
      </c>
      <c r="M653" s="73">
        <v>51.56</v>
      </c>
      <c r="N653" s="73">
        <f t="shared" si="132"/>
        <v>166.17000000000002</v>
      </c>
      <c r="O653" s="81">
        <f>IFERROR(VLOOKUP($G653,'321買'!A:E,3,0),"'沒有資料'")</f>
        <v>1</v>
      </c>
      <c r="P653" s="380">
        <f>IFERROR(VLOOKUP($G653,'321買'!$A:$G,7,0),"'沒有資料'")</f>
        <v>783</v>
      </c>
      <c r="Q653" s="245" t="s">
        <v>3817</v>
      </c>
      <c r="R653" s="297">
        <f>IFERROR(RANK(VLOOKUP($G653,連買!$A:$D,4,0),連買!$D:$D,0),"'沒有資料'")</f>
        <v>28</v>
      </c>
      <c r="S653" s="45">
        <v>8</v>
      </c>
      <c r="T653" s="353">
        <f t="shared" si="133"/>
        <v>1.2841091492776886E-2</v>
      </c>
      <c r="U653" s="57">
        <v>27.27</v>
      </c>
      <c r="V653" s="36">
        <f>RTD("money.excel",,"6488","Price")</f>
        <v>623</v>
      </c>
      <c r="W653" s="66"/>
      <c r="X653" s="15">
        <f t="shared" si="128"/>
        <v>623</v>
      </c>
      <c r="Y653" s="3" t="e">
        <f t="shared" si="129"/>
        <v>#DIV/0!</v>
      </c>
      <c r="Z653" s="413">
        <v>-32.72</v>
      </c>
      <c r="AA653" s="161">
        <v>0</v>
      </c>
      <c r="AB653" s="409">
        <v>0</v>
      </c>
      <c r="AC653" s="259">
        <f t="shared" si="135"/>
        <v>0</v>
      </c>
      <c r="AD653" s="16" t="s">
        <v>34</v>
      </c>
      <c r="AG653" s="33">
        <f t="shared" si="130"/>
        <v>0</v>
      </c>
      <c r="AH653" s="121" t="s">
        <v>2337</v>
      </c>
      <c r="AI653" s="63">
        <f t="shared" si="134"/>
        <v>2.7848970251716249E-3</v>
      </c>
      <c r="AJ653" s="307">
        <f>RTD("money.excel",,$G653,"PredictVolume")</f>
        <v>1217</v>
      </c>
      <c r="AK653" s="339"/>
    </row>
    <row r="654" spans="1:37">
      <c r="A654" s="415">
        <v>3.16</v>
      </c>
      <c r="B654" s="93">
        <v>1185</v>
      </c>
      <c r="C654" s="93">
        <v>1672</v>
      </c>
      <c r="D654" s="79">
        <v>13</v>
      </c>
      <c r="E654" s="79">
        <v>108</v>
      </c>
      <c r="F654" s="57">
        <v>18.190000000000001</v>
      </c>
      <c r="G654" s="79">
        <v>6494</v>
      </c>
      <c r="H654" s="204" t="s">
        <v>3254</v>
      </c>
      <c r="I654" s="16" t="s">
        <v>382</v>
      </c>
      <c r="J654" s="73">
        <v>5.23</v>
      </c>
      <c r="K654" s="73">
        <v>12.1</v>
      </c>
      <c r="L654" s="73">
        <v>22.41</v>
      </c>
      <c r="N654" s="318">
        <f t="shared" si="132"/>
        <v>39.739999999999995</v>
      </c>
      <c r="O654" s="81">
        <f>IFERROR(VLOOKUP($G654,'321買'!A:E,3,0),"'沒有資料'")</f>
        <v>73</v>
      </c>
      <c r="P654" s="380">
        <f>IFERROR(VLOOKUP($G654,'321買'!$A:$G,7,0),"'沒有資料'")</f>
        <v>28</v>
      </c>
      <c r="R654" s="297">
        <f>IFERROR(RANK(VLOOKUP($G654,連買!$A:$D,4,0),連買!$D:$D,0),"'沒有資料'")</f>
        <v>108</v>
      </c>
      <c r="S654" s="66">
        <v>3.5</v>
      </c>
      <c r="T654" s="353">
        <f t="shared" si="133"/>
        <v>2.5925925925925925E-2</v>
      </c>
      <c r="U654" s="95">
        <v>5.68</v>
      </c>
      <c r="V654" s="36">
        <f>RTD("money.excel",,"6494","Price")</f>
        <v>135</v>
      </c>
      <c r="W654" s="66"/>
      <c r="X654" s="15">
        <f t="shared" si="128"/>
        <v>135</v>
      </c>
      <c r="Y654" s="3" t="e">
        <f t="shared" si="129"/>
        <v>#DIV/0!</v>
      </c>
      <c r="Z654" s="413" t="s">
        <v>1997</v>
      </c>
      <c r="AA654" s="161">
        <v>0</v>
      </c>
      <c r="AB654" s="409">
        <v>0</v>
      </c>
      <c r="AC654" s="259">
        <f t="shared" si="135"/>
        <v>0</v>
      </c>
      <c r="AD654" s="16" t="s">
        <v>382</v>
      </c>
      <c r="AG654" s="33">
        <f t="shared" si="130"/>
        <v>0</v>
      </c>
      <c r="AH654" s="43" t="s">
        <v>2549</v>
      </c>
      <c r="AI654" s="63">
        <f t="shared" si="134"/>
        <v>1.1139240506329114E-2</v>
      </c>
      <c r="AJ654" s="307">
        <f>RTD("money.excel",,$G654,"PredictVolume")</f>
        <v>352</v>
      </c>
      <c r="AK654" s="339"/>
    </row>
    <row r="655" spans="1:37">
      <c r="A655" s="415">
        <v>3.28</v>
      </c>
      <c r="B655" s="80">
        <v>-12</v>
      </c>
      <c r="C655" s="80">
        <v>-17</v>
      </c>
      <c r="D655" s="80">
        <v>2</v>
      </c>
      <c r="E655" s="79">
        <v>26</v>
      </c>
      <c r="F655" s="57">
        <v>24.54</v>
      </c>
      <c r="G655" s="79">
        <v>6510</v>
      </c>
      <c r="H655" s="204" t="s">
        <v>3254</v>
      </c>
      <c r="I655" s="16" t="s">
        <v>221</v>
      </c>
      <c r="J655" s="73">
        <v>44.01</v>
      </c>
      <c r="K655" s="323">
        <v>14.31</v>
      </c>
      <c r="L655" s="323">
        <v>15.64</v>
      </c>
      <c r="M655" s="323">
        <v>38.82</v>
      </c>
      <c r="N655" s="318">
        <f t="shared" si="132"/>
        <v>112.78</v>
      </c>
      <c r="O655" s="81">
        <f>IFERROR(VLOOKUP($G655,'321買'!A:E,3,0),"'沒有資料'")</f>
        <v>17</v>
      </c>
      <c r="P655" s="380">
        <f>IFERROR(VLOOKUP($G655,'321買'!$A:$G,7,0),"'沒有資料'")</f>
        <v>290</v>
      </c>
      <c r="Q655" s="245" t="s">
        <v>3817</v>
      </c>
      <c r="R655" s="297">
        <f>IFERROR(RANK(VLOOKUP($G655,連買!$A:$D,4,0),連買!$D:$D,0),"'沒有資料'")</f>
        <v>13</v>
      </c>
      <c r="S655" s="66">
        <v>12</v>
      </c>
      <c r="T655" s="353">
        <f t="shared" si="133"/>
        <v>2.197802197802198E-2</v>
      </c>
      <c r="U655" s="95">
        <v>25.81</v>
      </c>
      <c r="V655" s="36">
        <f>RTD("money.excel",,"6510","Price")</f>
        <v>546</v>
      </c>
      <c r="W655" s="66"/>
      <c r="X655" s="15">
        <f t="shared" si="128"/>
        <v>546</v>
      </c>
      <c r="Y655" s="3" t="e">
        <f t="shared" si="129"/>
        <v>#DIV/0!</v>
      </c>
      <c r="Z655" s="413" t="s">
        <v>1997</v>
      </c>
      <c r="AA655" s="161">
        <v>0</v>
      </c>
      <c r="AB655" s="409">
        <v>0</v>
      </c>
      <c r="AC655" s="259">
        <f t="shared" si="135"/>
        <v>0</v>
      </c>
      <c r="AD655" s="16" t="s">
        <v>221</v>
      </c>
      <c r="AG655" s="33">
        <f t="shared" si="130"/>
        <v>0</v>
      </c>
      <c r="AH655" s="120" t="s">
        <v>1449</v>
      </c>
      <c r="AI655" s="63">
        <f t="shared" si="134"/>
        <v>2.4390243902439024E-3</v>
      </c>
      <c r="AJ655" s="307">
        <f>RTD("money.excel",,$G655,"PredictVolume")</f>
        <v>80</v>
      </c>
      <c r="AK655" s="339"/>
    </row>
    <row r="656" spans="1:37">
      <c r="A656" s="415">
        <v>3.42</v>
      </c>
      <c r="B656" s="80">
        <v>-39</v>
      </c>
      <c r="C656" s="80">
        <v>-40</v>
      </c>
      <c r="D656" s="80">
        <v>-26</v>
      </c>
      <c r="E656" s="79">
        <v>60</v>
      </c>
      <c r="F656" s="57">
        <v>16.149999999999999</v>
      </c>
      <c r="G656" s="79">
        <v>6515</v>
      </c>
      <c r="H656" s="8" t="s">
        <v>3254</v>
      </c>
      <c r="I656" s="22" t="s">
        <v>2445</v>
      </c>
      <c r="J656" s="323">
        <v>30.28</v>
      </c>
      <c r="K656" s="73">
        <v>17.559999999999999</v>
      </c>
      <c r="L656" s="323">
        <v>10.56</v>
      </c>
      <c r="M656" s="323">
        <v>21.3</v>
      </c>
      <c r="N656" s="318">
        <f t="shared" si="132"/>
        <v>79.7</v>
      </c>
      <c r="O656" s="81">
        <f>IFERROR(VLOOKUP($G656,'321買'!A:E,3,0),"'沒有資料'")</f>
        <v>37</v>
      </c>
      <c r="P656" s="380">
        <f>IFERROR(VLOOKUP($G656,'321買'!$A:$G,7,0),"'沒有資料'")</f>
        <v>117</v>
      </c>
      <c r="Q656" s="245" t="s">
        <v>5097</v>
      </c>
      <c r="R656" s="297">
        <f>IFERROR(RANK(VLOOKUP($G656,連買!$A:$D,4,0),連買!$D:$D,0),"'沒有資料'")</f>
        <v>18</v>
      </c>
      <c r="S656" s="66">
        <v>11</v>
      </c>
      <c r="T656" s="353">
        <f t="shared" si="133"/>
        <v>2.9451137884872823E-2</v>
      </c>
      <c r="U656" s="95">
        <v>11.24</v>
      </c>
      <c r="V656" s="36">
        <f>RTD("money.excel",,"6515","Price")</f>
        <v>373.5</v>
      </c>
      <c r="W656" s="66"/>
      <c r="X656" s="15">
        <f t="shared" si="128"/>
        <v>373.5</v>
      </c>
      <c r="Y656" s="3" t="e">
        <f t="shared" si="129"/>
        <v>#DIV/0!</v>
      </c>
      <c r="Z656" s="413" t="s">
        <v>1997</v>
      </c>
      <c r="AA656" s="161">
        <v>0</v>
      </c>
      <c r="AB656" s="409">
        <v>0</v>
      </c>
      <c r="AC656" s="259">
        <f t="shared" si="135"/>
        <v>0</v>
      </c>
      <c r="AD656" s="22" t="s">
        <v>2445</v>
      </c>
      <c r="AG656" s="33">
        <f t="shared" si="130"/>
        <v>0</v>
      </c>
      <c r="AH656" s="120" t="s">
        <v>2447</v>
      </c>
      <c r="AI656" s="63">
        <f t="shared" ref="AI656:AI687" si="136">AJ656/(A656*10000)</f>
        <v>1.0497076023391812E-2</v>
      </c>
      <c r="AJ656" s="307">
        <f>RTD("money.excel",,$G656,"PredictVolume")</f>
        <v>359</v>
      </c>
      <c r="AK656" s="339">
        <v>7.53</v>
      </c>
    </row>
    <row r="657" spans="1:37">
      <c r="A657" s="415">
        <v>12.9</v>
      </c>
      <c r="B657" s="80">
        <v>-1</v>
      </c>
      <c r="C657" s="80">
        <v>-18</v>
      </c>
      <c r="D657" s="80">
        <v>-4</v>
      </c>
      <c r="E657" s="79">
        <v>9</v>
      </c>
      <c r="F657" s="57">
        <v>18.03</v>
      </c>
      <c r="G657" s="79">
        <v>6525</v>
      </c>
      <c r="H657" s="8" t="s">
        <v>3254</v>
      </c>
      <c r="I657" s="22" t="s">
        <v>291</v>
      </c>
      <c r="J657" s="73">
        <v>68.099999999999994</v>
      </c>
      <c r="K657" s="73">
        <v>12.34</v>
      </c>
      <c r="L657" s="73">
        <v>4.4000000000000004</v>
      </c>
      <c r="N657" s="318">
        <f t="shared" ref="N657:N676" si="137">J657+K657+L657+M657</f>
        <v>84.84</v>
      </c>
      <c r="O657" s="81">
        <f>IFERROR(VLOOKUP($G657,'321買'!A:E,3,0),"'沒有資料'")</f>
        <v>14</v>
      </c>
      <c r="P657" s="380">
        <f>IFERROR(VLOOKUP($G657,'321買'!$A:$G,7,0),"'沒有資料'")</f>
        <v>348</v>
      </c>
      <c r="R657" s="297">
        <f>IFERROR(RANK(VLOOKUP($G657,連買!$A:$D,4,0),連買!$D:$D,0),"'沒有資料'")</f>
        <v>259</v>
      </c>
      <c r="S657" s="66">
        <v>4.5</v>
      </c>
      <c r="T657" s="353">
        <f t="shared" ref="T657:T687" si="138">S657/V657</f>
        <v>5.3254437869822487E-2</v>
      </c>
      <c r="U657" s="95">
        <v>5.31</v>
      </c>
      <c r="V657" s="36">
        <f>RTD("money.excel",,"6525","Price")</f>
        <v>84.5</v>
      </c>
      <c r="W657" s="66"/>
      <c r="X657" s="15">
        <f t="shared" ref="X657:X693" si="139">V657-W657</f>
        <v>84.5</v>
      </c>
      <c r="Y657" s="3" t="e">
        <f t="shared" ref="Y657:Y693" si="140">X657/W657</f>
        <v>#DIV/0!</v>
      </c>
      <c r="Z657" s="413" t="s">
        <v>1831</v>
      </c>
      <c r="AA657" s="161">
        <v>0</v>
      </c>
      <c r="AB657" s="409">
        <v>0</v>
      </c>
      <c r="AC657" s="259">
        <f t="shared" si="135"/>
        <v>0</v>
      </c>
      <c r="AD657" s="22" t="s">
        <v>291</v>
      </c>
      <c r="AG657" s="33">
        <f t="shared" ref="AG657:AG693" si="141">AF657-AE657</f>
        <v>0</v>
      </c>
      <c r="AH657" s="43" t="s">
        <v>2575</v>
      </c>
      <c r="AI657" s="63">
        <f t="shared" si="136"/>
        <v>1.0930232558139534E-3</v>
      </c>
      <c r="AJ657" s="307">
        <f>RTD("money.excel",,$G657,"PredictVolume")</f>
        <v>141</v>
      </c>
      <c r="AK657" s="339"/>
    </row>
    <row r="658" spans="1:37">
      <c r="A658" s="415">
        <v>8.07</v>
      </c>
      <c r="B658" s="79">
        <v>146</v>
      </c>
      <c r="C658" s="79">
        <v>356</v>
      </c>
      <c r="D658" s="80">
        <v>-6</v>
      </c>
      <c r="E658" s="79">
        <v>47</v>
      </c>
      <c r="F658" s="57">
        <v>35.82</v>
      </c>
      <c r="G658" s="79">
        <v>6531</v>
      </c>
      <c r="H658" s="8" t="s">
        <v>3254</v>
      </c>
      <c r="I658" s="22" t="s">
        <v>356</v>
      </c>
      <c r="J658" s="323">
        <v>49.15</v>
      </c>
      <c r="K658" s="73">
        <v>17.8</v>
      </c>
      <c r="L658" s="323">
        <v>36.11</v>
      </c>
      <c r="M658" s="323">
        <v>18.329999999999998</v>
      </c>
      <c r="N658" s="318">
        <f t="shared" si="137"/>
        <v>121.39</v>
      </c>
      <c r="O658" s="81">
        <f>IFERROR(VLOOKUP($G658,'321買'!A:E,3,0),"'沒有資料'")</f>
        <v>54</v>
      </c>
      <c r="P658" s="380">
        <f>IFERROR(VLOOKUP($G658,'321買'!$A:$G,7,0),"'沒有資料'")</f>
        <v>58</v>
      </c>
      <c r="Q658" s="245" t="s">
        <v>3816</v>
      </c>
      <c r="R658" s="297">
        <f>IFERROR(RANK(VLOOKUP($G658,連買!$A:$D,4,0),連買!$D:$D,0),"'沒有資料'")</f>
        <v>23</v>
      </c>
      <c r="S658" s="66">
        <v>6</v>
      </c>
      <c r="T658" s="353">
        <f t="shared" si="138"/>
        <v>2.1314387211367674E-2</v>
      </c>
      <c r="U658" s="95">
        <v>10.94</v>
      </c>
      <c r="V658" s="36">
        <f>RTD("money.excel",,"6531","Price")</f>
        <v>281.5</v>
      </c>
      <c r="W658" s="66"/>
      <c r="X658" s="15">
        <f t="shared" si="139"/>
        <v>281.5</v>
      </c>
      <c r="Y658" s="3" t="e">
        <f t="shared" si="140"/>
        <v>#DIV/0!</v>
      </c>
      <c r="Z658" s="413" t="s">
        <v>1997</v>
      </c>
      <c r="AA658" s="161">
        <v>0</v>
      </c>
      <c r="AB658" s="409">
        <v>0</v>
      </c>
      <c r="AC658" s="259">
        <f t="shared" si="135"/>
        <v>0</v>
      </c>
      <c r="AD658" s="22" t="s">
        <v>356</v>
      </c>
      <c r="AG658" s="33">
        <f t="shared" si="141"/>
        <v>0</v>
      </c>
      <c r="AH658" s="43" t="s">
        <v>2289</v>
      </c>
      <c r="AI658" s="63">
        <f t="shared" si="136"/>
        <v>2.399008674101611E-2</v>
      </c>
      <c r="AJ658" s="307">
        <f>RTD("money.excel",,$G658,"PredictVolume")</f>
        <v>1936</v>
      </c>
      <c r="AK658" s="339">
        <v>30.22</v>
      </c>
    </row>
    <row r="659" spans="1:37">
      <c r="A659" s="415">
        <v>3.61</v>
      </c>
      <c r="B659" s="80">
        <v>-32</v>
      </c>
      <c r="C659" s="80">
        <v>-32</v>
      </c>
      <c r="D659" s="80">
        <v>-20</v>
      </c>
      <c r="E659" s="80">
        <v>-5</v>
      </c>
      <c r="F659" s="57">
        <v>23.82</v>
      </c>
      <c r="G659" s="79">
        <v>6532</v>
      </c>
      <c r="H659" s="204" t="s">
        <v>3254</v>
      </c>
      <c r="I659" s="16" t="s">
        <v>383</v>
      </c>
      <c r="J659" s="323">
        <v>15.08</v>
      </c>
      <c r="K659" s="323">
        <v>2.1800000000000002</v>
      </c>
      <c r="L659" s="323">
        <v>22.97</v>
      </c>
      <c r="M659" s="323">
        <v>13.71</v>
      </c>
      <c r="N659" s="318">
        <f t="shared" si="137"/>
        <v>53.940000000000005</v>
      </c>
      <c r="O659" s="81">
        <f>IFERROR(VLOOKUP($G659,'321買'!A:E,3,0),"'沒有資料'")</f>
        <v>3</v>
      </c>
      <c r="P659" s="380">
        <f>IFERROR(VLOOKUP($G659,'321買'!$A:$G,7,0),"'沒有資料'")</f>
        <v>636</v>
      </c>
      <c r="Q659" s="245" t="s">
        <v>5077</v>
      </c>
      <c r="R659" s="297">
        <f>IFERROR(RANK(VLOOKUP($G659,連買!$A:$D,4,0),連買!$D:$D,0),"'沒有資料'")</f>
        <v>845</v>
      </c>
      <c r="S659" s="34">
        <v>2</v>
      </c>
      <c r="T659" s="353">
        <f t="shared" si="138"/>
        <v>4.250797024442083E-2</v>
      </c>
      <c r="U659" s="95">
        <v>2.04</v>
      </c>
      <c r="V659" s="36">
        <f>RTD("money.excel",,"6532","Price")</f>
        <v>47.05</v>
      </c>
      <c r="W659" s="66"/>
      <c r="X659" s="15">
        <f t="shared" si="139"/>
        <v>47.05</v>
      </c>
      <c r="Y659" s="3" t="e">
        <f t="shared" si="140"/>
        <v>#DIV/0!</v>
      </c>
      <c r="Z659" s="413" t="s">
        <v>1801</v>
      </c>
      <c r="AA659" s="161">
        <v>0</v>
      </c>
      <c r="AB659" s="409">
        <v>0</v>
      </c>
      <c r="AC659" s="259">
        <f t="shared" si="135"/>
        <v>0</v>
      </c>
      <c r="AD659" s="16" t="s">
        <v>383</v>
      </c>
      <c r="AG659" s="33">
        <f t="shared" si="141"/>
        <v>0</v>
      </c>
      <c r="AH659" s="43" t="s">
        <v>2492</v>
      </c>
      <c r="AI659" s="63">
        <f t="shared" si="136"/>
        <v>1.7451523545706372E-3</v>
      </c>
      <c r="AJ659" s="307">
        <f>RTD("money.excel",,$G659,"PredictVolume")</f>
        <v>63</v>
      </c>
      <c r="AK659" s="339">
        <v>13.7</v>
      </c>
    </row>
    <row r="660" spans="1:37">
      <c r="A660" s="415">
        <v>5.07</v>
      </c>
      <c r="B660" s="79">
        <v>258</v>
      </c>
      <c r="C660" s="79">
        <v>236</v>
      </c>
      <c r="D660" s="79">
        <v>58</v>
      </c>
      <c r="E660" s="79">
        <v>217</v>
      </c>
      <c r="F660" s="57">
        <v>22.97</v>
      </c>
      <c r="G660" s="79">
        <v>6533</v>
      </c>
      <c r="H660" s="8" t="s">
        <v>3254</v>
      </c>
      <c r="I660" s="22" t="s">
        <v>4389</v>
      </c>
      <c r="J660" s="323">
        <v>43.07</v>
      </c>
      <c r="K660" s="323">
        <v>33.840000000000003</v>
      </c>
      <c r="L660" s="323">
        <v>46.29</v>
      </c>
      <c r="N660" s="318">
        <f t="shared" si="137"/>
        <v>123.19999999999999</v>
      </c>
      <c r="O660" s="81">
        <f>IFERROR(VLOOKUP($G660,'321買'!A:E,3,0),"'沒有資料'")</f>
        <v>35</v>
      </c>
      <c r="P660" s="380">
        <f>IFERROR(VLOOKUP($G660,'321買'!$A:$G,7,0),"'沒有資料'")</f>
        <v>141</v>
      </c>
      <c r="R660" s="297">
        <f>IFERROR(RANK(VLOOKUP($G660,連買!$A:$D,4,0),連買!$D:$D,0),"'沒有資料'")</f>
        <v>80</v>
      </c>
      <c r="S660" s="34">
        <v>0.74</v>
      </c>
      <c r="T660" s="353">
        <f t="shared" si="138"/>
        <v>1.9346405228758169E-3</v>
      </c>
      <c r="U660" s="95">
        <v>4.18</v>
      </c>
      <c r="V660" s="36">
        <f>RTD("money.excel",,"6533","Price")</f>
        <v>382.5</v>
      </c>
      <c r="W660" s="66"/>
      <c r="X660" s="15">
        <f t="shared" si="139"/>
        <v>382.5</v>
      </c>
      <c r="Y660" s="3" t="e">
        <f t="shared" si="140"/>
        <v>#DIV/0!</v>
      </c>
      <c r="Z660" s="413" t="s">
        <v>1801</v>
      </c>
      <c r="AA660" s="161">
        <v>0</v>
      </c>
      <c r="AB660" s="409">
        <v>0</v>
      </c>
      <c r="AC660" s="259">
        <f t="shared" si="135"/>
        <v>0</v>
      </c>
      <c r="AD660" s="22" t="s">
        <v>4389</v>
      </c>
      <c r="AG660" s="33">
        <f t="shared" si="141"/>
        <v>0</v>
      </c>
      <c r="AH660" s="43" t="s">
        <v>2497</v>
      </c>
      <c r="AI660" s="63">
        <f t="shared" si="136"/>
        <v>1.0315581854043392E-2</v>
      </c>
      <c r="AJ660" s="307">
        <f>RTD("money.excel",,$G660,"PredictVolume")</f>
        <v>523</v>
      </c>
      <c r="AK660" s="339"/>
    </row>
    <row r="661" spans="1:37">
      <c r="A661" s="415">
        <v>3.81</v>
      </c>
      <c r="B661" s="79">
        <v>84</v>
      </c>
      <c r="C661" s="79">
        <v>120</v>
      </c>
      <c r="D661" s="79">
        <v>2</v>
      </c>
      <c r="E661" s="79">
        <v>32</v>
      </c>
      <c r="F661" s="57">
        <v>15.8</v>
      </c>
      <c r="G661" s="79">
        <v>6548</v>
      </c>
      <c r="H661" s="204" t="s">
        <v>3254</v>
      </c>
      <c r="I661" s="16" t="s">
        <v>1404</v>
      </c>
      <c r="J661" s="323">
        <v>84.12</v>
      </c>
      <c r="K661" s="73">
        <v>6.06</v>
      </c>
      <c r="L661" s="323">
        <v>7.37</v>
      </c>
      <c r="M661" s="323">
        <v>63.22</v>
      </c>
      <c r="N661" s="73">
        <f t="shared" si="137"/>
        <v>160.77000000000001</v>
      </c>
      <c r="O661" s="81">
        <f>IFERROR(VLOOKUP($G661,'321買'!A:E,3,0),"'沒有資料'")</f>
        <v>105</v>
      </c>
      <c r="P661" s="380">
        <f>IFERROR(VLOOKUP($G661,'321買'!$A:$G,7,0),"'沒有資料'")</f>
        <v>4</v>
      </c>
      <c r="Q661" s="245" t="s">
        <v>5088</v>
      </c>
      <c r="R661" s="297">
        <f>IFERROR(RANK(VLOOKUP($G661,連買!$A:$D,4,0),連買!$D:$D,0),"'沒有資料'")</f>
        <v>218</v>
      </c>
      <c r="S661" s="66">
        <v>0.68</v>
      </c>
      <c r="T661" s="353">
        <f t="shared" si="138"/>
        <v>6.8686868686868695E-3</v>
      </c>
      <c r="U661" s="57">
        <v>3.64</v>
      </c>
      <c r="V661" s="36">
        <f>RTD("money.excel",,"6548","Price")</f>
        <v>99</v>
      </c>
      <c r="W661" s="66"/>
      <c r="X661" s="15">
        <f t="shared" si="139"/>
        <v>99</v>
      </c>
      <c r="Y661" s="3" t="e">
        <f t="shared" si="140"/>
        <v>#DIV/0!</v>
      </c>
      <c r="Z661" s="413" t="s">
        <v>1997</v>
      </c>
      <c r="AA661" s="161">
        <v>0</v>
      </c>
      <c r="AB661" s="409">
        <v>0</v>
      </c>
      <c r="AC661" s="259">
        <f t="shared" si="135"/>
        <v>0</v>
      </c>
      <c r="AD661" s="16" t="s">
        <v>1404</v>
      </c>
      <c r="AG661" s="33">
        <f t="shared" si="141"/>
        <v>0</v>
      </c>
      <c r="AH661" s="120" t="s">
        <v>2990</v>
      </c>
      <c r="AI661" s="63">
        <f t="shared" si="136"/>
        <v>1.5459317585301837E-2</v>
      </c>
      <c r="AJ661" s="307">
        <f>RTD("money.excel",,$G661,"PredictVolume")</f>
        <v>589</v>
      </c>
      <c r="AK661" s="339">
        <v>72.3</v>
      </c>
    </row>
    <row r="662" spans="1:37">
      <c r="A662" s="416">
        <v>8.3000000000000007</v>
      </c>
      <c r="B662" s="79">
        <v>193</v>
      </c>
      <c r="C662" s="93">
        <v>6133</v>
      </c>
      <c r="D662" s="80">
        <v>-1</v>
      </c>
      <c r="E662" s="79">
        <v>7</v>
      </c>
      <c r="F662" s="6">
        <v>4.97</v>
      </c>
      <c r="G662" s="79">
        <v>6552</v>
      </c>
      <c r="H662" s="8" t="s">
        <v>3254</v>
      </c>
      <c r="I662" s="22" t="s">
        <v>357</v>
      </c>
      <c r="J662" s="323">
        <v>54.81</v>
      </c>
      <c r="K662" s="73">
        <v>2.4300000000000002</v>
      </c>
      <c r="L662" s="73">
        <v>12.05</v>
      </c>
      <c r="N662" s="318">
        <f t="shared" si="137"/>
        <v>69.290000000000006</v>
      </c>
      <c r="O662" s="81">
        <f>IFERROR(VLOOKUP($G662,'321買'!A:E,3,0),"'沒有資料'")</f>
        <v>6</v>
      </c>
      <c r="P662" s="380">
        <f>IFERROR(VLOOKUP($G662,'321買'!$A:$G,7,0),"'沒有資料'")</f>
        <v>448</v>
      </c>
      <c r="R662" s="297">
        <f>IFERROR(RANK(VLOOKUP($G662,連買!$A:$D,4,0),連買!$D:$D,0),"'沒有資料'")</f>
        <v>498</v>
      </c>
      <c r="S662" s="34">
        <v>1.5</v>
      </c>
      <c r="T662" s="353">
        <f t="shared" si="138"/>
        <v>3.0333670374115267E-2</v>
      </c>
      <c r="U662" s="57">
        <v>1.85</v>
      </c>
      <c r="V662" s="36">
        <f>RTD("money.excel",,"6552","Price")</f>
        <v>49.45</v>
      </c>
      <c r="W662" s="66"/>
      <c r="X662" s="15">
        <f t="shared" si="139"/>
        <v>49.45</v>
      </c>
      <c r="Y662" s="3" t="e">
        <f t="shared" si="140"/>
        <v>#DIV/0!</v>
      </c>
      <c r="Z662" s="413" t="s">
        <v>1801</v>
      </c>
      <c r="AA662" s="161">
        <v>0</v>
      </c>
      <c r="AB662" s="409">
        <v>0</v>
      </c>
      <c r="AC662" s="259">
        <f t="shared" si="135"/>
        <v>0</v>
      </c>
      <c r="AD662" s="22" t="s">
        <v>357</v>
      </c>
      <c r="AG662" s="33">
        <f t="shared" si="141"/>
        <v>0</v>
      </c>
      <c r="AH662" s="43" t="s">
        <v>2720</v>
      </c>
      <c r="AI662" s="63">
        <f t="shared" si="136"/>
        <v>3.9759036144578315E-4</v>
      </c>
      <c r="AJ662" s="307">
        <f>RTD("money.excel",,$G662,"PredictVolume")</f>
        <v>33</v>
      </c>
      <c r="AK662" s="339"/>
    </row>
    <row r="663" spans="1:37">
      <c r="A663" s="415">
        <v>3.08</v>
      </c>
      <c r="B663" s="79">
        <v>13</v>
      </c>
      <c r="C663" s="80">
        <v>-12</v>
      </c>
      <c r="D663" s="79">
        <v>34</v>
      </c>
      <c r="E663" s="80">
        <v>-4</v>
      </c>
      <c r="F663" s="57">
        <v>16.309999999999999</v>
      </c>
      <c r="G663" s="79">
        <v>6568</v>
      </c>
      <c r="H663" s="204" t="s">
        <v>3254</v>
      </c>
      <c r="I663" s="16" t="s">
        <v>4390</v>
      </c>
      <c r="J663" s="73">
        <v>11.42</v>
      </c>
      <c r="K663" s="73">
        <v>7.78</v>
      </c>
      <c r="M663" s="323">
        <v>12.67</v>
      </c>
      <c r="N663" s="318">
        <f t="shared" si="137"/>
        <v>31.869999999999997</v>
      </c>
      <c r="O663" s="81" t="str">
        <f>IFERROR(VLOOKUP($G663,'321買'!A:E,3,0),"'沒有資料'")</f>
        <v>'沒有資料'</v>
      </c>
      <c r="P663" s="380" t="str">
        <f>IFERROR(VLOOKUP($G663,'321買'!$A:$G,7,0),"'沒有資料'")</f>
        <v>'沒有資料'</v>
      </c>
      <c r="R663" s="297">
        <f>IFERROR(RANK(VLOOKUP($G663,連買!$A:$D,4,0),連買!$D:$D,0),"'沒有資料'")</f>
        <v>1711</v>
      </c>
      <c r="S663" s="66">
        <v>7.08</v>
      </c>
      <c r="T663" s="353">
        <f t="shared" si="138"/>
        <v>4.1282798833819245E-2</v>
      </c>
      <c r="U663" s="95">
        <v>7.65</v>
      </c>
      <c r="V663" s="36">
        <f>RTD("money.excel",,"6568","Price")</f>
        <v>171.5</v>
      </c>
      <c r="W663" s="66"/>
      <c r="X663" s="15">
        <f t="shared" si="139"/>
        <v>171.5</v>
      </c>
      <c r="Y663" s="3" t="e">
        <f t="shared" si="140"/>
        <v>#DIV/0!</v>
      </c>
      <c r="Z663" s="413" t="s">
        <v>1997</v>
      </c>
      <c r="AA663" s="161">
        <v>0</v>
      </c>
      <c r="AB663" s="409">
        <v>0</v>
      </c>
      <c r="AC663" s="259">
        <f t="shared" si="135"/>
        <v>0</v>
      </c>
      <c r="AD663" s="16" t="s">
        <v>4390</v>
      </c>
      <c r="AG663" s="33">
        <f t="shared" si="141"/>
        <v>0</v>
      </c>
      <c r="AH663" s="43" t="s">
        <v>2550</v>
      </c>
      <c r="AI663" s="63">
        <f t="shared" si="136"/>
        <v>6.850649350649351E-3</v>
      </c>
      <c r="AJ663" s="307">
        <f>RTD("money.excel",,$G663,"PredictVolume")</f>
        <v>211</v>
      </c>
      <c r="AK663" s="339"/>
    </row>
    <row r="664" spans="1:37">
      <c r="A664" s="416">
        <v>8.0500000000000007</v>
      </c>
      <c r="B664" s="80">
        <v>-371</v>
      </c>
      <c r="C664" s="79">
        <v>9</v>
      </c>
      <c r="D664" s="80">
        <v>-6</v>
      </c>
      <c r="E664" s="80">
        <v>-24</v>
      </c>
      <c r="F664" s="6">
        <v>-19.100000000000001</v>
      </c>
      <c r="G664" s="79">
        <v>6573</v>
      </c>
      <c r="H664" s="8" t="s">
        <v>3254</v>
      </c>
      <c r="I664" s="22" t="s">
        <v>358</v>
      </c>
      <c r="J664" s="323">
        <v>73.489999999999995</v>
      </c>
      <c r="K664" s="323">
        <v>67.2</v>
      </c>
      <c r="L664" s="73">
        <v>4.63</v>
      </c>
      <c r="N664" s="318">
        <f t="shared" si="137"/>
        <v>145.32</v>
      </c>
      <c r="O664" s="81">
        <f>IFERROR(VLOOKUP($G664,'321買'!A:E,3,0),"'沒有資料'")</f>
        <v>3</v>
      </c>
      <c r="P664" s="380">
        <f>IFERROR(VLOOKUP($G664,'321買'!$A:$G,7,0),"'沒有資料'")</f>
        <v>636</v>
      </c>
      <c r="R664" s="297">
        <f>IFERROR(RANK(VLOOKUP($G664,連買!$A:$D,4,0),連買!$D:$D,0),"'沒有資料'")</f>
        <v>1553</v>
      </c>
      <c r="S664" s="34">
        <v>0</v>
      </c>
      <c r="T664" s="353">
        <f t="shared" si="138"/>
        <v>0</v>
      </c>
      <c r="U664" s="95">
        <v>-2.61</v>
      </c>
      <c r="V664" s="13">
        <f>RTD("money.excel",,"6573","Price")</f>
        <v>19.100000000000001</v>
      </c>
      <c r="W664" s="66"/>
      <c r="X664" s="15">
        <f t="shared" si="139"/>
        <v>19.100000000000001</v>
      </c>
      <c r="Y664" s="3" t="e">
        <f t="shared" si="140"/>
        <v>#DIV/0!</v>
      </c>
      <c r="Z664" s="413" t="s">
        <v>1801</v>
      </c>
      <c r="AA664" s="161">
        <v>0</v>
      </c>
      <c r="AB664" s="409">
        <v>0</v>
      </c>
      <c r="AC664" s="259">
        <f t="shared" si="135"/>
        <v>0</v>
      </c>
      <c r="AD664" s="22" t="s">
        <v>358</v>
      </c>
      <c r="AG664" s="33">
        <f t="shared" si="141"/>
        <v>0</v>
      </c>
      <c r="AH664" s="43" t="s">
        <v>1411</v>
      </c>
      <c r="AI664" s="63">
        <f t="shared" si="136"/>
        <v>2.3354037267080746E-3</v>
      </c>
      <c r="AJ664" s="307">
        <f>RTD("money.excel",,$G664,"PredictVolume")</f>
        <v>188</v>
      </c>
      <c r="AK664" s="339"/>
    </row>
    <row r="665" spans="1:37">
      <c r="A665" s="416">
        <v>3.02</v>
      </c>
      <c r="B665" s="80">
        <v>-42</v>
      </c>
      <c r="C665" s="80">
        <v>-51</v>
      </c>
      <c r="D665" s="79">
        <v>9</v>
      </c>
      <c r="E665" s="79">
        <v>1</v>
      </c>
      <c r="F665" s="6">
        <v>3.44</v>
      </c>
      <c r="G665" s="79">
        <v>6594</v>
      </c>
      <c r="H665" s="204" t="s">
        <v>3254</v>
      </c>
      <c r="I665" s="16" t="s">
        <v>4391</v>
      </c>
      <c r="J665" s="323">
        <v>48.54</v>
      </c>
      <c r="K665" s="323">
        <v>1.2</v>
      </c>
      <c r="L665" s="323">
        <v>0</v>
      </c>
      <c r="M665" s="73">
        <v>53.73</v>
      </c>
      <c r="N665" s="318">
        <f t="shared" si="137"/>
        <v>103.47</v>
      </c>
      <c r="O665" s="81">
        <f>IFERROR(VLOOKUP($G665,'321買'!A:E,3,0),"'沒有資料'")</f>
        <v>2</v>
      </c>
      <c r="P665" s="380">
        <f>IFERROR(VLOOKUP($G665,'321買'!$A:$G,7,0),"'沒有資料'")</f>
        <v>706</v>
      </c>
      <c r="R665" s="297">
        <f>IFERROR(RANK(VLOOKUP($G665,連買!$A:$D,4,0),連買!$D:$D,0),"'沒有資料'")</f>
        <v>632</v>
      </c>
      <c r="S665" s="34">
        <v>1.6</v>
      </c>
      <c r="T665" s="353">
        <f t="shared" si="138"/>
        <v>3.7470725995316159E-2</v>
      </c>
      <c r="U665" s="95">
        <v>1.1499999999999999</v>
      </c>
      <c r="V665" s="36">
        <f>RTD("money.excel",,"6594","Price")</f>
        <v>42.7</v>
      </c>
      <c r="W665" s="66"/>
      <c r="X665" s="15">
        <f t="shared" si="139"/>
        <v>42.7</v>
      </c>
      <c r="Y665" s="3" t="e">
        <f t="shared" si="140"/>
        <v>#DIV/0!</v>
      </c>
      <c r="AA665" s="161">
        <v>0</v>
      </c>
      <c r="AB665" s="409">
        <v>0</v>
      </c>
      <c r="AC665" s="259">
        <f t="shared" si="135"/>
        <v>0</v>
      </c>
      <c r="AD665" s="16" t="s">
        <v>4391</v>
      </c>
      <c r="AG665" s="33">
        <f t="shared" si="141"/>
        <v>0</v>
      </c>
      <c r="AH665" s="43" t="s">
        <v>2551</v>
      </c>
      <c r="AI665" s="63">
        <f t="shared" si="136"/>
        <v>1.2086092715231788E-2</v>
      </c>
      <c r="AJ665" s="307">
        <f>RTD("money.excel",,$G665,"PredictVolume")</f>
        <v>365</v>
      </c>
      <c r="AK665" s="339"/>
    </row>
    <row r="666" spans="1:37">
      <c r="A666" s="415">
        <v>2.83</v>
      </c>
      <c r="B666" s="79">
        <v>65</v>
      </c>
      <c r="C666" s="79">
        <v>138</v>
      </c>
      <c r="D666" s="80">
        <v>-32</v>
      </c>
      <c r="E666" s="79">
        <v>25</v>
      </c>
      <c r="F666" s="57">
        <v>12.42</v>
      </c>
      <c r="G666" s="79">
        <v>6640</v>
      </c>
      <c r="H666" s="204" t="s">
        <v>3254</v>
      </c>
      <c r="I666" s="16" t="s">
        <v>1070</v>
      </c>
      <c r="J666" s="323">
        <v>67.78</v>
      </c>
      <c r="K666" s="323">
        <v>2.37</v>
      </c>
      <c r="L666" s="323"/>
      <c r="M666" s="73">
        <v>63.67</v>
      </c>
      <c r="N666" s="73">
        <f t="shared" si="137"/>
        <v>133.82</v>
      </c>
      <c r="O666" s="81" t="str">
        <f>IFERROR(VLOOKUP($G666,'321買'!A:E,3,0),"'沒有資料'")</f>
        <v>'沒有資料'</v>
      </c>
      <c r="P666" s="380" t="str">
        <f>IFERROR(VLOOKUP($G666,'321買'!$A:$G,7,0),"'沒有資料'")</f>
        <v>'沒有資料'</v>
      </c>
      <c r="R666" s="297">
        <f>IFERROR(RANK(VLOOKUP($G666,連買!$A:$D,4,0),連買!$D:$D,0),"'沒有資料'")</f>
        <v>189</v>
      </c>
      <c r="S666" s="66">
        <v>3</v>
      </c>
      <c r="T666" s="353">
        <f t="shared" si="138"/>
        <v>2.9850746268656716E-2</v>
      </c>
      <c r="U666" s="57">
        <v>3.42</v>
      </c>
      <c r="V666" s="36">
        <f>RTD("money.excel",,"6640","Price")</f>
        <v>100.5</v>
      </c>
      <c r="W666" s="66"/>
      <c r="X666" s="15">
        <f t="shared" si="139"/>
        <v>100.5</v>
      </c>
      <c r="Y666" s="3" t="e">
        <f t="shared" si="140"/>
        <v>#DIV/0!</v>
      </c>
      <c r="Z666" s="413" t="s">
        <v>1997</v>
      </c>
      <c r="AA666" s="161">
        <v>0</v>
      </c>
      <c r="AB666" s="409">
        <v>0</v>
      </c>
      <c r="AC666" s="259">
        <f t="shared" si="135"/>
        <v>0</v>
      </c>
      <c r="AD666" s="16" t="s">
        <v>1070</v>
      </c>
      <c r="AG666" s="33">
        <f t="shared" si="141"/>
        <v>0</v>
      </c>
      <c r="AH666" s="43" t="s">
        <v>2552</v>
      </c>
      <c r="AI666" s="63">
        <f t="shared" si="136"/>
        <v>3.1802120141342759E-4</v>
      </c>
      <c r="AJ666" s="307">
        <f>RTD("money.excel",,$G666,"PredictVolume")</f>
        <v>9</v>
      </c>
      <c r="AK666" s="339"/>
    </row>
    <row r="667" spans="1:37">
      <c r="A667" s="415">
        <v>3.13</v>
      </c>
      <c r="B667" s="80">
        <v>-20</v>
      </c>
      <c r="C667" s="80">
        <v>-11</v>
      </c>
      <c r="D667" s="80">
        <v>-8</v>
      </c>
      <c r="E667" s="80">
        <v>-26</v>
      </c>
      <c r="F667" s="57">
        <v>30.55</v>
      </c>
      <c r="G667" s="79">
        <v>6643</v>
      </c>
      <c r="H667" s="204" t="s">
        <v>3254</v>
      </c>
      <c r="I667" s="16" t="s">
        <v>1622</v>
      </c>
      <c r="J667" s="73">
        <v>40.68</v>
      </c>
      <c r="K667" s="73">
        <v>9.73</v>
      </c>
      <c r="L667" s="73">
        <v>23.92</v>
      </c>
      <c r="N667" s="318">
        <f t="shared" si="137"/>
        <v>74.33</v>
      </c>
      <c r="O667" s="81">
        <f>IFERROR(VLOOKUP($G667,'321買'!A:E,3,0),"'沒有資料'")</f>
        <v>24</v>
      </c>
      <c r="P667" s="380">
        <f>IFERROR(VLOOKUP($G667,'321買'!$A:$G,7,0),"'沒有資料'")</f>
        <v>196</v>
      </c>
      <c r="R667" s="297">
        <f>IFERROR(RANK(VLOOKUP($G667,連買!$A:$D,4,0),連買!$D:$D,0),"'沒有資料'")</f>
        <v>1700</v>
      </c>
      <c r="S667" s="66">
        <v>8</v>
      </c>
      <c r="T667" s="353">
        <f t="shared" si="138"/>
        <v>2.5848142164781908E-2</v>
      </c>
      <c r="U667" s="95">
        <v>9.52</v>
      </c>
      <c r="V667" s="36">
        <f>RTD("money.excel",,"6643","Price")</f>
        <v>309.5</v>
      </c>
      <c r="W667" s="66"/>
      <c r="X667" s="15">
        <f t="shared" si="139"/>
        <v>309.5</v>
      </c>
      <c r="Y667" s="3" t="e">
        <f t="shared" si="140"/>
        <v>#DIV/0!</v>
      </c>
      <c r="Z667" s="413" t="s">
        <v>1997</v>
      </c>
      <c r="AA667" s="161">
        <v>0</v>
      </c>
      <c r="AB667" s="409">
        <v>0</v>
      </c>
      <c r="AC667" s="259">
        <f t="shared" si="135"/>
        <v>0</v>
      </c>
      <c r="AD667" s="16" t="s">
        <v>1622</v>
      </c>
      <c r="AG667" s="33">
        <f t="shared" si="141"/>
        <v>0</v>
      </c>
      <c r="AH667" s="120" t="s">
        <v>3110</v>
      </c>
      <c r="AI667" s="63">
        <f t="shared" si="136"/>
        <v>2.0766773162939297E-3</v>
      </c>
      <c r="AJ667" s="307">
        <f>RTD("money.excel",,$G667,"PredictVolume")</f>
        <v>65</v>
      </c>
      <c r="AK667" s="339"/>
    </row>
    <row r="668" spans="1:37">
      <c r="A668" s="415">
        <v>3.3</v>
      </c>
      <c r="B668" s="79">
        <v>150</v>
      </c>
      <c r="C668" s="79">
        <v>123</v>
      </c>
      <c r="D668" s="79">
        <v>16</v>
      </c>
      <c r="E668" s="79">
        <v>43</v>
      </c>
      <c r="F668" s="57">
        <v>20.53</v>
      </c>
      <c r="G668" s="79">
        <v>6651</v>
      </c>
      <c r="H668" s="204" t="s">
        <v>3254</v>
      </c>
      <c r="I668" s="16" t="s">
        <v>2520</v>
      </c>
      <c r="J668" s="73">
        <v>27.87</v>
      </c>
      <c r="K668" s="323">
        <v>0.43</v>
      </c>
      <c r="L668" s="73">
        <v>16</v>
      </c>
      <c r="M668" s="73">
        <v>15.89</v>
      </c>
      <c r="N668" s="318">
        <f t="shared" si="137"/>
        <v>60.19</v>
      </c>
      <c r="O668" s="81">
        <f>IFERROR(VLOOKUP($G668,'321買'!A:E,3,0),"'沒有資料'")</f>
        <v>9</v>
      </c>
      <c r="P668" s="380">
        <f>IFERROR(VLOOKUP($G668,'321買'!$A:$G,7,0),"'沒有資料'")</f>
        <v>448</v>
      </c>
      <c r="Q668" s="245" t="s">
        <v>5063</v>
      </c>
      <c r="R668" s="297">
        <f>IFERROR(RANK(VLOOKUP($G668,連買!$A:$D,4,0),連買!$D:$D,0),"'沒有資料'")</f>
        <v>308</v>
      </c>
      <c r="S668" s="66">
        <v>3</v>
      </c>
      <c r="T668" s="353">
        <f t="shared" si="138"/>
        <v>3.1779661016949151E-2</v>
      </c>
      <c r="U668" s="95">
        <v>7.46</v>
      </c>
      <c r="V668" s="36">
        <f>RTD("money.excel",,"6651","Price")</f>
        <v>94.4</v>
      </c>
      <c r="W668" s="66"/>
      <c r="X668" s="15">
        <f t="shared" si="139"/>
        <v>94.4</v>
      </c>
      <c r="Y668" s="3" t="e">
        <f t="shared" si="140"/>
        <v>#DIV/0!</v>
      </c>
      <c r="Z668" s="413" t="s">
        <v>1831</v>
      </c>
      <c r="AA668" s="161">
        <v>0</v>
      </c>
      <c r="AB668" s="409">
        <v>0</v>
      </c>
      <c r="AC668" s="259">
        <f t="shared" si="135"/>
        <v>0</v>
      </c>
      <c r="AD668" s="16" t="s">
        <v>2520</v>
      </c>
      <c r="AG668" s="33">
        <f t="shared" si="141"/>
        <v>0</v>
      </c>
      <c r="AH668" s="43" t="s">
        <v>2345</v>
      </c>
      <c r="AI668" s="63">
        <f t="shared" si="136"/>
        <v>1.9090909090909091E-3</v>
      </c>
      <c r="AJ668" s="307">
        <f>RTD("money.excel",,$G668,"PredictVolume")</f>
        <v>63</v>
      </c>
      <c r="AK668" s="339">
        <v>18.14</v>
      </c>
    </row>
    <row r="669" spans="1:37">
      <c r="A669" s="415">
        <v>4.26</v>
      </c>
      <c r="B669" s="79">
        <v>127</v>
      </c>
      <c r="C669" s="79">
        <v>120</v>
      </c>
      <c r="D669" s="79">
        <v>1</v>
      </c>
      <c r="E669" s="79">
        <v>12</v>
      </c>
      <c r="F669" s="57">
        <v>27.62</v>
      </c>
      <c r="G669" s="79">
        <v>6679</v>
      </c>
      <c r="H669" s="204" t="s">
        <v>3254</v>
      </c>
      <c r="I669" s="16" t="s">
        <v>1740</v>
      </c>
      <c r="J669" s="323">
        <v>29.58</v>
      </c>
      <c r="K669" s="73">
        <v>24.48</v>
      </c>
      <c r="L669" s="73">
        <v>11.46</v>
      </c>
      <c r="M669" s="73">
        <v>18.61</v>
      </c>
      <c r="N669" s="318">
        <f t="shared" si="137"/>
        <v>84.13000000000001</v>
      </c>
      <c r="O669" s="81">
        <f>IFERROR(VLOOKUP($G669,'321買'!A:E,3,0),"'沒有資料'")</f>
        <v>52</v>
      </c>
      <c r="P669" s="380">
        <f>IFERROR(VLOOKUP($G669,'321買'!$A:$G,7,0),"'沒有資料'")</f>
        <v>63</v>
      </c>
      <c r="Q669" s="245" t="s">
        <v>3818</v>
      </c>
      <c r="R669" s="297">
        <f>IFERROR(RANK(VLOOKUP($G669,連買!$A:$D,4,0),連買!$D:$D,0),"'沒有資料'")</f>
        <v>21</v>
      </c>
      <c r="S669" s="66">
        <v>4.99</v>
      </c>
      <c r="T669" s="353">
        <f t="shared" si="138"/>
        <v>1.3218543046357617E-2</v>
      </c>
      <c r="U669" s="95">
        <v>13.96</v>
      </c>
      <c r="V669" s="36">
        <f>RTD("money.excel",,"6679","Price")</f>
        <v>377.5</v>
      </c>
      <c r="W669" s="66"/>
      <c r="X669" s="15">
        <f t="shared" si="139"/>
        <v>377.5</v>
      </c>
      <c r="Y669" s="3" t="e">
        <f t="shared" si="140"/>
        <v>#DIV/0!</v>
      </c>
      <c r="Z669" s="413" t="s">
        <v>1997</v>
      </c>
      <c r="AA669" s="161">
        <v>0</v>
      </c>
      <c r="AB669" s="409">
        <v>0</v>
      </c>
      <c r="AC669" s="259">
        <f t="shared" si="135"/>
        <v>0</v>
      </c>
      <c r="AD669" s="16" t="s">
        <v>1740</v>
      </c>
      <c r="AG669" s="33">
        <f t="shared" si="141"/>
        <v>0</v>
      </c>
      <c r="AH669" s="43" t="s">
        <v>2528</v>
      </c>
      <c r="AI669" s="63">
        <f t="shared" si="136"/>
        <v>3.544600938967136E-3</v>
      </c>
      <c r="AJ669" s="307">
        <f>RTD("money.excel",,$G669,"PredictVolume")</f>
        <v>151</v>
      </c>
      <c r="AK669" s="339"/>
    </row>
    <row r="670" spans="1:37">
      <c r="A670" s="415">
        <v>2.71</v>
      </c>
      <c r="B670" s="79">
        <v>61</v>
      </c>
      <c r="C670" s="79">
        <v>66</v>
      </c>
      <c r="D670" s="79">
        <v>11.46</v>
      </c>
      <c r="E670" s="79">
        <v>46</v>
      </c>
      <c r="F670" s="57">
        <v>35.51</v>
      </c>
      <c r="G670" s="79">
        <v>6683</v>
      </c>
      <c r="H670" s="204" t="s">
        <v>3254</v>
      </c>
      <c r="I670" s="16" t="s">
        <v>1741</v>
      </c>
      <c r="J670" s="73">
        <v>16.28</v>
      </c>
      <c r="K670" s="73">
        <v>10.6</v>
      </c>
      <c r="N670" s="318">
        <f t="shared" si="137"/>
        <v>26.880000000000003</v>
      </c>
      <c r="O670" s="81" t="str">
        <f>IFERROR(VLOOKUP($G670,'321買'!A:E,3,0),"'沒有資料'")</f>
        <v>'沒有資料'</v>
      </c>
      <c r="P670" s="380" t="str">
        <f>IFERROR(VLOOKUP($G670,'321買'!$A:$G,7,0),"'沒有資料'")</f>
        <v>'沒有資料'</v>
      </c>
      <c r="R670" s="297">
        <f>IFERROR(RANK(VLOOKUP($G670,連買!$A:$D,4,0),連買!$D:$D,0),"'沒有資料'")</f>
        <v>66</v>
      </c>
      <c r="S670" s="66">
        <v>5.5</v>
      </c>
      <c r="T670" s="353">
        <f t="shared" si="138"/>
        <v>2.2357723577235773E-2</v>
      </c>
      <c r="U670" s="95">
        <v>12.34</v>
      </c>
      <c r="V670" s="36">
        <f>RTD("money.excel",,"6683","Price")</f>
        <v>246</v>
      </c>
      <c r="W670" s="66"/>
      <c r="X670" s="15">
        <f t="shared" si="139"/>
        <v>246</v>
      </c>
      <c r="Y670" s="3" t="e">
        <f t="shared" si="140"/>
        <v>#DIV/0!</v>
      </c>
      <c r="Z670" s="413" t="s">
        <v>1997</v>
      </c>
      <c r="AA670" s="161">
        <v>0</v>
      </c>
      <c r="AB670" s="409">
        <v>0</v>
      </c>
      <c r="AC670" s="259">
        <f t="shared" si="135"/>
        <v>0</v>
      </c>
      <c r="AD670" s="16" t="s">
        <v>1741</v>
      </c>
      <c r="AG670" s="33">
        <f t="shared" si="141"/>
        <v>0</v>
      </c>
      <c r="AH670" s="43" t="s">
        <v>3132</v>
      </c>
      <c r="AI670" s="63">
        <f t="shared" si="136"/>
        <v>1.7343173431734317E-3</v>
      </c>
      <c r="AJ670" s="307">
        <f>RTD("money.excel",,$G670,"PredictVolume")</f>
        <v>47</v>
      </c>
      <c r="AK670" s="339"/>
    </row>
    <row r="671" spans="1:37">
      <c r="A671" s="415">
        <v>2.4500000000000002</v>
      </c>
      <c r="B671" s="93">
        <v>1416</v>
      </c>
      <c r="C671" s="234">
        <v>25521</v>
      </c>
      <c r="D671" s="79">
        <v>4</v>
      </c>
      <c r="E671" s="79">
        <v>52</v>
      </c>
      <c r="F671" s="57">
        <v>28.59</v>
      </c>
      <c r="G671" s="79">
        <v>6684</v>
      </c>
      <c r="H671" s="204" t="s">
        <v>3254</v>
      </c>
      <c r="I671" s="16" t="s">
        <v>3625</v>
      </c>
      <c r="J671" s="323">
        <v>23.81</v>
      </c>
      <c r="K671" s="73">
        <v>7.02</v>
      </c>
      <c r="N671" s="318">
        <f t="shared" si="137"/>
        <v>30.83</v>
      </c>
      <c r="O671" s="81" t="str">
        <f>IFERROR(VLOOKUP($G671,'321買'!A:E,3,0),"'沒有資料'")</f>
        <v>'沒有資料'</v>
      </c>
      <c r="P671" s="380" t="str">
        <f>IFERROR(VLOOKUP($G671,'321買'!$A:$G,7,0),"'沒有資料'")</f>
        <v>'沒有資料'</v>
      </c>
      <c r="R671" s="297">
        <f>IFERROR(RANK(VLOOKUP($G671,連買!$A:$D,4,0),連買!$D:$D,0),"'沒有資料'")</f>
        <v>231</v>
      </c>
      <c r="S671" s="34">
        <v>2.0099999999999998</v>
      </c>
      <c r="T671" s="353">
        <f t="shared" si="138"/>
        <v>1.5227272727272726E-2</v>
      </c>
      <c r="U671" s="290" t="s">
        <v>3500</v>
      </c>
      <c r="V671" s="36">
        <f>RTD("money.excel",,"6684","Price")</f>
        <v>132</v>
      </c>
      <c r="W671" s="66"/>
      <c r="X671" s="15">
        <f t="shared" si="139"/>
        <v>132</v>
      </c>
      <c r="Y671" s="3" t="e">
        <f t="shared" si="140"/>
        <v>#DIV/0!</v>
      </c>
      <c r="Z671" s="413" t="s">
        <v>1801</v>
      </c>
      <c r="AA671" s="161">
        <v>0</v>
      </c>
      <c r="AB671" s="409">
        <v>0</v>
      </c>
      <c r="AC671" s="259">
        <f t="shared" si="135"/>
        <v>0</v>
      </c>
      <c r="AD671" s="16" t="s">
        <v>3625</v>
      </c>
      <c r="AG671" s="33">
        <f t="shared" si="141"/>
        <v>0</v>
      </c>
      <c r="AH671" s="43" t="s">
        <v>3626</v>
      </c>
      <c r="AI671" s="63">
        <f t="shared" si="136"/>
        <v>5.387755102040816E-3</v>
      </c>
      <c r="AJ671" s="307">
        <f>RTD("money.excel",,$G671,"PredictVolume")</f>
        <v>132</v>
      </c>
      <c r="AK671" s="339"/>
    </row>
    <row r="672" spans="1:37">
      <c r="A672" s="415">
        <v>4.57</v>
      </c>
      <c r="B672" s="79">
        <v>320</v>
      </c>
      <c r="C672" s="79">
        <v>264</v>
      </c>
      <c r="D672" s="80">
        <v>-9</v>
      </c>
      <c r="E672" s="79">
        <v>32</v>
      </c>
      <c r="F672" s="57">
        <v>11.47</v>
      </c>
      <c r="G672" s="79">
        <v>6693</v>
      </c>
      <c r="H672" s="204" t="s">
        <v>3254</v>
      </c>
      <c r="I672" s="16" t="s">
        <v>5103</v>
      </c>
      <c r="J672" s="73">
        <v>43.1</v>
      </c>
      <c r="K672" s="73">
        <v>0.26</v>
      </c>
      <c r="M672" s="73">
        <v>31.56</v>
      </c>
      <c r="N672" s="318">
        <f>J672+K672+L672+M672</f>
        <v>74.92</v>
      </c>
      <c r="O672" s="81" t="str">
        <f>IFERROR(VLOOKUP($G672,'321買'!A:E,3,0),"'沒有資料'")</f>
        <v>'沒有資料'</v>
      </c>
      <c r="P672" s="380" t="str">
        <f>IFERROR(VLOOKUP($G672,'321買'!$A:$G,7,0),"'沒有資料'")</f>
        <v>'沒有資料'</v>
      </c>
      <c r="R672" s="297">
        <f>IFERROR(RANK(VLOOKUP($G672,連買!$A:$D,4,0),連買!$D:$D,0),"'沒有資料'")</f>
        <v>1361</v>
      </c>
      <c r="S672" s="66">
        <v>0.2</v>
      </c>
      <c r="T672" s="353">
        <f>S672/V672</f>
        <v>2.2883295194508009E-3</v>
      </c>
      <c r="U672" s="95" t="s">
        <v>3500</v>
      </c>
      <c r="V672" s="36">
        <f>RTD("money.excel",,"6693","Price")</f>
        <v>87.4</v>
      </c>
      <c r="W672" s="66"/>
      <c r="X672" s="15">
        <f>V672-W672</f>
        <v>87.4</v>
      </c>
      <c r="Y672" s="3" t="e">
        <f>X672/W672</f>
        <v>#DIV/0!</v>
      </c>
      <c r="AA672" s="161">
        <v>0</v>
      </c>
      <c r="AB672" s="409">
        <v>0</v>
      </c>
      <c r="AC672" s="259">
        <f t="shared" si="135"/>
        <v>0</v>
      </c>
      <c r="AD672" s="16" t="s">
        <v>5103</v>
      </c>
      <c r="AG672" s="33">
        <f>AF672-AE672</f>
        <v>0</v>
      </c>
      <c r="AH672" s="43" t="s">
        <v>5105</v>
      </c>
      <c r="AI672" s="63">
        <f t="shared" si="136"/>
        <v>1.2691466083150985E-3</v>
      </c>
      <c r="AJ672" s="307">
        <f>RTD("money.excel",,$G672,"PredictVolume")</f>
        <v>58</v>
      </c>
      <c r="AK672" s="339">
        <v>2.84</v>
      </c>
    </row>
    <row r="673" spans="1:37">
      <c r="A673" s="415">
        <v>2.4500000000000002</v>
      </c>
      <c r="B673" s="79">
        <v>163</v>
      </c>
      <c r="C673" s="79">
        <v>168</v>
      </c>
      <c r="D673" s="80">
        <v>-1</v>
      </c>
      <c r="E673" s="79">
        <v>33</v>
      </c>
      <c r="F673" s="57">
        <v>36.04</v>
      </c>
      <c r="G673" s="79">
        <v>6716</v>
      </c>
      <c r="H673" s="204" t="s">
        <v>3254</v>
      </c>
      <c r="I673" s="16" t="s">
        <v>1971</v>
      </c>
      <c r="J673" s="73">
        <v>28.86</v>
      </c>
      <c r="K673" s="73">
        <v>1.54</v>
      </c>
      <c r="L673" s="323"/>
      <c r="M673" s="323">
        <v>14.82</v>
      </c>
      <c r="N673" s="318">
        <f t="shared" si="137"/>
        <v>45.22</v>
      </c>
      <c r="O673" s="81" t="str">
        <f>IFERROR(VLOOKUP($G673,'321買'!A:E,3,0),"'沒有資料'")</f>
        <v>'沒有資料'</v>
      </c>
      <c r="P673" s="380" t="str">
        <f>IFERROR(VLOOKUP($G673,'321買'!$A:$G,7,0),"'沒有資料'")</f>
        <v>'沒有資料'</v>
      </c>
      <c r="Q673" s="245" t="s">
        <v>5077</v>
      </c>
      <c r="R673" s="297">
        <f>IFERROR(RANK(VLOOKUP($G673,連買!$A:$D,4,0),連買!$D:$D,0),"'沒有資料'")</f>
        <v>141</v>
      </c>
      <c r="S673" s="66">
        <v>5</v>
      </c>
      <c r="T673" s="353">
        <f t="shared" si="138"/>
        <v>3.0864197530864196E-2</v>
      </c>
      <c r="U673" s="95">
        <v>10.06</v>
      </c>
      <c r="V673" s="36">
        <f>RTD("money.excel",,"6716","Price")</f>
        <v>162</v>
      </c>
      <c r="W673" s="66"/>
      <c r="X673" s="15">
        <f t="shared" si="139"/>
        <v>162</v>
      </c>
      <c r="Y673" s="3" t="e">
        <f t="shared" si="140"/>
        <v>#DIV/0!</v>
      </c>
      <c r="Z673" s="413" t="s">
        <v>1997</v>
      </c>
      <c r="AA673" s="161">
        <v>0</v>
      </c>
      <c r="AB673" s="409">
        <v>0</v>
      </c>
      <c r="AC673" s="259">
        <f t="shared" si="135"/>
        <v>0</v>
      </c>
      <c r="AD673" s="16" t="s">
        <v>1971</v>
      </c>
      <c r="AG673" s="33">
        <f t="shared" si="141"/>
        <v>0</v>
      </c>
      <c r="AH673" s="43" t="s">
        <v>2499</v>
      </c>
      <c r="AI673" s="63">
        <f t="shared" si="136"/>
        <v>3.7551020408163266E-3</v>
      </c>
      <c r="AJ673" s="307">
        <f>RTD("money.excel",,$G673,"PredictVolume")</f>
        <v>92</v>
      </c>
      <c r="AK673" s="339">
        <v>7.28</v>
      </c>
    </row>
    <row r="674" spans="1:37">
      <c r="A674" s="415">
        <v>7.78</v>
      </c>
      <c r="B674" s="79">
        <v>147</v>
      </c>
      <c r="C674" s="79">
        <v>153</v>
      </c>
      <c r="D674" s="79">
        <v>1</v>
      </c>
      <c r="E674" s="79">
        <v>62</v>
      </c>
      <c r="F674" s="57">
        <v>22.55</v>
      </c>
      <c r="G674" s="79">
        <v>6719</v>
      </c>
      <c r="H674" s="204" t="s">
        <v>3254</v>
      </c>
      <c r="I674" s="22" t="s">
        <v>5034</v>
      </c>
      <c r="J674" s="323">
        <v>46.14</v>
      </c>
      <c r="K674" s="73">
        <v>3.95</v>
      </c>
      <c r="M674" s="73">
        <v>39.69</v>
      </c>
      <c r="N674" s="318">
        <f t="shared" si="137"/>
        <v>89.78</v>
      </c>
      <c r="O674" s="81" t="str">
        <f>IFERROR(VLOOKUP($G674,'321買'!A:E,3,0),"'沒有資料'")</f>
        <v>'沒有資料'</v>
      </c>
      <c r="P674" s="380" t="str">
        <f>IFERROR(VLOOKUP($G674,'321買'!$A:$G,7,0),"'沒有資料'")</f>
        <v>'沒有資料'</v>
      </c>
      <c r="R674" s="297">
        <f>IFERROR(RANK(VLOOKUP($G674,連買!$A:$D,4,0),連買!$D:$D,0),"'沒有資料'")</f>
        <v>1708</v>
      </c>
      <c r="S674" s="34">
        <v>1.5</v>
      </c>
      <c r="T674" s="353">
        <f t="shared" si="138"/>
        <v>2.5125628140703518E-3</v>
      </c>
      <c r="U674" s="57" t="s">
        <v>3500</v>
      </c>
      <c r="V674" s="36">
        <f>RTD("money.excel",,"6719","Price")</f>
        <v>597</v>
      </c>
      <c r="W674" s="66"/>
      <c r="X674" s="15">
        <f>V674-W674</f>
        <v>597</v>
      </c>
      <c r="Y674" s="3" t="e">
        <f>X674/W674</f>
        <v>#DIV/0!</v>
      </c>
      <c r="AA674" s="161">
        <v>0</v>
      </c>
      <c r="AB674" s="409">
        <v>0</v>
      </c>
      <c r="AC674" s="259">
        <f t="shared" si="135"/>
        <v>0</v>
      </c>
      <c r="AD674" s="22" t="s">
        <v>5034</v>
      </c>
      <c r="AG674" s="33">
        <f>AF674-AE674</f>
        <v>0</v>
      </c>
      <c r="AH674" s="43" t="s">
        <v>5036</v>
      </c>
      <c r="AI674" s="63">
        <f t="shared" si="136"/>
        <v>1.9575835475578406E-2</v>
      </c>
      <c r="AJ674" s="307">
        <f>RTD("money.excel",,$G674,"PredictVolume")</f>
        <v>1523</v>
      </c>
      <c r="AK674" s="339"/>
    </row>
    <row r="675" spans="1:37">
      <c r="A675" s="415">
        <v>4.8899999999999997</v>
      </c>
      <c r="B675" s="79">
        <v>21</v>
      </c>
      <c r="C675" s="79">
        <v>23</v>
      </c>
      <c r="D675" s="79">
        <v>22</v>
      </c>
      <c r="E675" s="79">
        <v>10</v>
      </c>
      <c r="F675" s="57">
        <v>32.35</v>
      </c>
      <c r="G675" s="79">
        <v>6732</v>
      </c>
      <c r="H675" s="204" t="s">
        <v>3254</v>
      </c>
      <c r="I675" s="16" t="s">
        <v>2032</v>
      </c>
      <c r="J675" s="323">
        <v>56.74</v>
      </c>
      <c r="K675" s="73">
        <v>9.25</v>
      </c>
      <c r="L675" s="73">
        <v>7.88</v>
      </c>
      <c r="M675" s="323">
        <v>48.19</v>
      </c>
      <c r="N675" s="318">
        <f t="shared" si="137"/>
        <v>122.06</v>
      </c>
      <c r="O675" s="81">
        <f>IFERROR(VLOOKUP($G675,'321買'!A:E,3,0),"'沒有資料'")</f>
        <v>21</v>
      </c>
      <c r="P675" s="380">
        <f>IFERROR(VLOOKUP($G675,'321買'!$A:$G,7,0),"'沒有資料'")</f>
        <v>241</v>
      </c>
      <c r="Q675" s="388" t="s">
        <v>3816</v>
      </c>
      <c r="R675" s="297">
        <f>IFERROR(RANK(VLOOKUP($G675,連買!$A:$D,4,0),連買!$D:$D,0),"'沒有資料'")</f>
        <v>1754</v>
      </c>
      <c r="S675" s="45">
        <v>30</v>
      </c>
      <c r="T675" s="353">
        <f t="shared" si="138"/>
        <v>7.1343638525564801E-2</v>
      </c>
      <c r="U675" s="57">
        <v>33.97</v>
      </c>
      <c r="V675" s="36">
        <f>RTD("money.excel",,"6732","Price")</f>
        <v>420.5</v>
      </c>
      <c r="W675" s="66"/>
      <c r="X675" s="15">
        <f t="shared" ref="X675" si="142">V675-W675</f>
        <v>420.5</v>
      </c>
      <c r="Y675" s="3" t="e">
        <f t="shared" ref="Y675" si="143">X675/W675</f>
        <v>#DIV/0!</v>
      </c>
      <c r="Z675" s="413">
        <v>-49.65</v>
      </c>
      <c r="AA675" s="161">
        <v>0</v>
      </c>
      <c r="AB675" s="409">
        <v>0</v>
      </c>
      <c r="AC675" s="259">
        <f t="shared" si="135"/>
        <v>0</v>
      </c>
      <c r="AD675" s="16" t="s">
        <v>2032</v>
      </c>
      <c r="AG675" s="33">
        <f t="shared" ref="AG675" si="144">AF675-AE675</f>
        <v>0</v>
      </c>
      <c r="AH675" s="43" t="s">
        <v>2723</v>
      </c>
      <c r="AI675" s="63">
        <f t="shared" si="136"/>
        <v>1.3087934560327198E-3</v>
      </c>
      <c r="AJ675" s="307">
        <f>RTD("money.excel",,$G675,"PredictVolume")</f>
        <v>64</v>
      </c>
      <c r="AK675" s="339">
        <v>5.18</v>
      </c>
    </row>
    <row r="676" spans="1:37">
      <c r="A676" s="415">
        <v>6.81</v>
      </c>
      <c r="B676" s="79">
        <v>169</v>
      </c>
      <c r="C676" s="79">
        <v>171</v>
      </c>
      <c r="D676" s="79">
        <v>16</v>
      </c>
      <c r="E676" s="79">
        <v>29</v>
      </c>
      <c r="F676" s="57">
        <v>30.9</v>
      </c>
      <c r="G676" s="79">
        <v>6756</v>
      </c>
      <c r="H676" s="8" t="s">
        <v>3254</v>
      </c>
      <c r="I676" s="22" t="s">
        <v>2294</v>
      </c>
      <c r="J676" s="323">
        <v>59</v>
      </c>
      <c r="K676" s="73">
        <v>6.86</v>
      </c>
      <c r="L676" s="323">
        <v>12.84</v>
      </c>
      <c r="M676" s="323">
        <v>60.91</v>
      </c>
      <c r="N676" s="73">
        <f t="shared" si="137"/>
        <v>139.61000000000001</v>
      </c>
      <c r="O676" s="81">
        <f>IFERROR(VLOOKUP($G676,'321買'!A:E,3,0),"'沒有資料'")</f>
        <v>35</v>
      </c>
      <c r="P676" s="380">
        <f>IFERROR(VLOOKUP($G676,'321買'!$A:$G,7,0),"'沒有資料'")</f>
        <v>104</v>
      </c>
      <c r="Q676" s="245" t="s">
        <v>3817</v>
      </c>
      <c r="R676" s="297">
        <f>IFERROR(RANK(VLOOKUP($G676,連買!$A:$D,4,0),連買!$D:$D,0),"'沒有資料'")</f>
        <v>11</v>
      </c>
      <c r="S676" s="66">
        <v>4.5</v>
      </c>
      <c r="T676" s="353">
        <f t="shared" si="138"/>
        <v>1.3043478260869565E-2</v>
      </c>
      <c r="U676" s="57">
        <v>10.91</v>
      </c>
      <c r="V676" s="36">
        <f>RTD("money.excel",,"6756","Price")</f>
        <v>345</v>
      </c>
      <c r="W676" s="66"/>
      <c r="X676" s="15">
        <f t="shared" si="139"/>
        <v>345</v>
      </c>
      <c r="Y676" s="3" t="e">
        <f t="shared" si="140"/>
        <v>#DIV/0!</v>
      </c>
      <c r="Z676" s="413" t="s">
        <v>1997</v>
      </c>
      <c r="AA676" s="161">
        <v>0</v>
      </c>
      <c r="AB676" s="409">
        <v>0</v>
      </c>
      <c r="AC676" s="259">
        <f t="shared" si="135"/>
        <v>0</v>
      </c>
      <c r="AD676" s="22" t="s">
        <v>2294</v>
      </c>
      <c r="AG676" s="33">
        <f t="shared" si="141"/>
        <v>0</v>
      </c>
      <c r="AH676" s="43" t="s">
        <v>2295</v>
      </c>
      <c r="AI676" s="63">
        <f t="shared" si="136"/>
        <v>9.3685756240822326E-3</v>
      </c>
      <c r="AJ676" s="307">
        <f>RTD("money.excel",,$G676,"PredictVolume")</f>
        <v>638</v>
      </c>
      <c r="AK676" s="339">
        <v>19.3</v>
      </c>
    </row>
    <row r="677" spans="1:37">
      <c r="A677" s="415">
        <v>353</v>
      </c>
      <c r="B677" s="79">
        <v>263</v>
      </c>
      <c r="C677" s="79">
        <v>210</v>
      </c>
      <c r="D677" s="79">
        <v>9</v>
      </c>
      <c r="E677" s="79">
        <v>70</v>
      </c>
      <c r="F677" s="57">
        <v>27.37</v>
      </c>
      <c r="G677" s="79">
        <v>6770</v>
      </c>
      <c r="H677" s="8" t="s">
        <v>3254</v>
      </c>
      <c r="I677" s="22" t="s">
        <v>3793</v>
      </c>
      <c r="J677" s="323">
        <v>44.91</v>
      </c>
      <c r="K677" s="73">
        <v>6.21</v>
      </c>
      <c r="L677" s="323"/>
      <c r="M677" s="323">
        <v>28.78</v>
      </c>
      <c r="N677" s="318">
        <f>K677+J677+L677+M677</f>
        <v>79.900000000000006</v>
      </c>
      <c r="O677" s="81" t="str">
        <f>IFERROR(VLOOKUP($G677,'321買'!A:E,3,0),"'沒有資料'")</f>
        <v>'沒有資料'</v>
      </c>
      <c r="P677" s="380" t="str">
        <f>IFERROR(VLOOKUP($G677,'321買'!$A:$G,7,0),"'沒有資料'")</f>
        <v>'沒有資料'</v>
      </c>
      <c r="Q677" s="245" t="s">
        <v>3817</v>
      </c>
      <c r="R677" s="297">
        <f>IFERROR(RANK(VLOOKUP($G677,連買!$A:$D,4,0),連買!$D:$D,0),"'沒有資料'")</f>
        <v>1670</v>
      </c>
      <c r="S677" s="34">
        <v>0.65</v>
      </c>
      <c r="T677" s="353">
        <f t="shared" si="138"/>
        <v>1.2500000000000001E-2</v>
      </c>
      <c r="U677" s="95">
        <v>3.44</v>
      </c>
      <c r="V677" s="36">
        <f>RTD("money.excel",,"6770","Price")</f>
        <v>52</v>
      </c>
      <c r="W677" s="66"/>
      <c r="X677" s="15">
        <f t="shared" si="139"/>
        <v>52</v>
      </c>
      <c r="Y677" s="3" t="e">
        <f t="shared" si="140"/>
        <v>#DIV/0!</v>
      </c>
      <c r="AA677" s="161">
        <v>0</v>
      </c>
      <c r="AB677" s="409">
        <v>0</v>
      </c>
      <c r="AC677" s="259">
        <f t="shared" si="135"/>
        <v>0</v>
      </c>
      <c r="AD677" s="22" t="s">
        <v>3793</v>
      </c>
      <c r="AG677" s="33">
        <f t="shared" si="141"/>
        <v>0</v>
      </c>
      <c r="AH677" s="43" t="s">
        <v>1894</v>
      </c>
      <c r="AI677" s="63">
        <f t="shared" si="136"/>
        <v>3.8844192634560908E-3</v>
      </c>
      <c r="AJ677" s="307">
        <f>RTD("money.excel",,$G677,"PredictVolume")</f>
        <v>13712</v>
      </c>
      <c r="AK677" s="339"/>
    </row>
    <row r="678" spans="1:37">
      <c r="A678" s="415">
        <v>3.47</v>
      </c>
      <c r="B678" s="79">
        <v>21</v>
      </c>
      <c r="C678" s="79">
        <v>26</v>
      </c>
      <c r="D678" s="80">
        <v>-10</v>
      </c>
      <c r="E678" s="79">
        <v>19</v>
      </c>
      <c r="F678" s="57">
        <v>28.15</v>
      </c>
      <c r="G678" s="79">
        <v>6788</v>
      </c>
      <c r="H678" s="204" t="s">
        <v>3254</v>
      </c>
      <c r="I678" s="16" t="s">
        <v>3688</v>
      </c>
      <c r="J678" s="323">
        <v>18.350000000000001</v>
      </c>
      <c r="K678" s="73">
        <v>1.7</v>
      </c>
      <c r="L678" s="323"/>
      <c r="N678" s="318">
        <f t="shared" ref="N678:N693" si="145">J678+K678+L678+M678</f>
        <v>20.05</v>
      </c>
      <c r="O678" s="81" t="str">
        <f>IFERROR(VLOOKUP($G678,'321買'!A:E,3,0),"'沒有資料'")</f>
        <v>'沒有資料'</v>
      </c>
      <c r="P678" s="380" t="str">
        <f>IFERROR(VLOOKUP($G678,'321買'!$A:$G,7,0),"'沒有資料'")</f>
        <v>'沒有資料'</v>
      </c>
      <c r="R678" s="297">
        <f>IFERROR(RANK(VLOOKUP($G678,連買!$A:$D,4,0),連買!$D:$D,0),"'沒有資料'")</f>
        <v>1716</v>
      </c>
      <c r="S678" s="66">
        <v>4</v>
      </c>
      <c r="T678" s="353">
        <f t="shared" si="138"/>
        <v>3.2786885245901641E-2</v>
      </c>
      <c r="U678" s="95" t="s">
        <v>3500</v>
      </c>
      <c r="V678" s="36">
        <f>RTD("money.excel",,"6788","Price")</f>
        <v>122</v>
      </c>
      <c r="W678" s="66"/>
      <c r="X678" s="15">
        <f t="shared" si="139"/>
        <v>122</v>
      </c>
      <c r="Y678" s="3" t="e">
        <f t="shared" si="140"/>
        <v>#DIV/0!</v>
      </c>
      <c r="Z678" s="413" t="s">
        <v>1997</v>
      </c>
      <c r="AA678" s="161">
        <v>0</v>
      </c>
      <c r="AB678" s="409">
        <v>0</v>
      </c>
      <c r="AC678" s="259">
        <f t="shared" si="135"/>
        <v>0</v>
      </c>
      <c r="AD678" s="16" t="s">
        <v>3688</v>
      </c>
      <c r="AG678" s="33">
        <f t="shared" si="141"/>
        <v>0</v>
      </c>
      <c r="AH678" s="43" t="s">
        <v>3689</v>
      </c>
      <c r="AI678" s="63">
        <f t="shared" si="136"/>
        <v>2.5677233429394812E-2</v>
      </c>
      <c r="AJ678" s="307">
        <f>RTD("money.excel",,$G678,"PredictVolume")</f>
        <v>891</v>
      </c>
      <c r="AK678" s="339"/>
    </row>
    <row r="679" spans="1:37">
      <c r="A679" s="415">
        <v>2.14</v>
      </c>
      <c r="B679" s="79">
        <v>17</v>
      </c>
      <c r="C679" s="80">
        <v>-1</v>
      </c>
      <c r="D679" s="79">
        <v>7</v>
      </c>
      <c r="E679" s="80">
        <v>-1</v>
      </c>
      <c r="F679" s="57">
        <v>24.54</v>
      </c>
      <c r="G679" s="79">
        <v>7556</v>
      </c>
      <c r="H679" s="204" t="s">
        <v>3254</v>
      </c>
      <c r="I679" s="16" t="s">
        <v>2196</v>
      </c>
      <c r="J679" s="323">
        <v>57.11</v>
      </c>
      <c r="K679" s="323">
        <v>3.16</v>
      </c>
      <c r="L679" s="323"/>
      <c r="N679" s="318">
        <f t="shared" si="145"/>
        <v>60.269999999999996</v>
      </c>
      <c r="O679" s="81" t="str">
        <f>IFERROR(VLOOKUP($G679,'321買'!A:E,3,0),"'沒有資料'")</f>
        <v>'沒有資料'</v>
      </c>
      <c r="P679" s="380" t="str">
        <f>IFERROR(VLOOKUP($G679,'321買'!$A:$G,7,0),"'沒有資料'")</f>
        <v>'沒有資料'</v>
      </c>
      <c r="R679" s="297">
        <f>IFERROR(RANK(VLOOKUP($G679,連買!$A:$D,4,0),連買!$D:$D,0),"'沒有資料'")</f>
        <v>787</v>
      </c>
      <c r="S679" s="34">
        <v>2.4</v>
      </c>
      <c r="T679" s="353">
        <f t="shared" si="138"/>
        <v>2.2018348623853209E-2</v>
      </c>
      <c r="U679" s="57">
        <v>4.08</v>
      </c>
      <c r="V679" s="36">
        <f>RTD("money.excel",,"7556","Price")</f>
        <v>109</v>
      </c>
      <c r="W679" s="66"/>
      <c r="X679" s="15">
        <f t="shared" si="139"/>
        <v>109</v>
      </c>
      <c r="Y679" s="3" t="e">
        <f t="shared" si="140"/>
        <v>#DIV/0!</v>
      </c>
      <c r="Z679" s="413" t="s">
        <v>1801</v>
      </c>
      <c r="AA679" s="161">
        <v>0</v>
      </c>
      <c r="AB679" s="409">
        <v>0</v>
      </c>
      <c r="AC679" s="259">
        <f t="shared" si="135"/>
        <v>0</v>
      </c>
      <c r="AD679" s="16" t="s">
        <v>2196</v>
      </c>
      <c r="AG679" s="33">
        <f t="shared" si="141"/>
        <v>0</v>
      </c>
      <c r="AH679" s="43" t="s">
        <v>2553</v>
      </c>
      <c r="AI679" s="63">
        <f t="shared" si="136"/>
        <v>5.6074766355140187E-4</v>
      </c>
      <c r="AJ679" s="307">
        <f>RTD("money.excel",,$G679,"PredictVolume")</f>
        <v>12</v>
      </c>
      <c r="AK679" s="339"/>
    </row>
    <row r="680" spans="1:37">
      <c r="A680" s="415">
        <v>12</v>
      </c>
      <c r="B680" s="79">
        <v>243</v>
      </c>
      <c r="C680" s="79">
        <v>273</v>
      </c>
      <c r="D680" s="80">
        <v>-5</v>
      </c>
      <c r="E680" s="79">
        <v>50</v>
      </c>
      <c r="F680" s="57">
        <v>35.99</v>
      </c>
      <c r="G680" s="79">
        <v>8016</v>
      </c>
      <c r="H680" s="208" t="s">
        <v>3254</v>
      </c>
      <c r="I680" s="22" t="s">
        <v>4392</v>
      </c>
      <c r="J680" s="323">
        <v>24.15</v>
      </c>
      <c r="K680" s="323">
        <v>38</v>
      </c>
      <c r="L680" s="73">
        <v>20.76</v>
      </c>
      <c r="M680" s="323">
        <v>6.65</v>
      </c>
      <c r="N680" s="318">
        <f t="shared" si="145"/>
        <v>89.56</v>
      </c>
      <c r="O680" s="81">
        <f>IFERROR(VLOOKUP($G680,'321買'!A:E,3,0),"'沒有資料'")</f>
        <v>55</v>
      </c>
      <c r="P680" s="380">
        <f>IFERROR(VLOOKUP($G680,'321買'!$A:$G,7,0),"'沒有資料'")</f>
        <v>58</v>
      </c>
      <c r="Q680" s="245" t="s">
        <v>3817</v>
      </c>
      <c r="R680" s="297">
        <f>IFERROR(RANK(VLOOKUP($G680,連買!$A:$D,4,0),連買!$D:$D,0),"'沒有資料'")</f>
        <v>26</v>
      </c>
      <c r="S680" s="66">
        <v>7.5</v>
      </c>
      <c r="T680" s="353">
        <f t="shared" si="138"/>
        <v>2.6785714285714284E-2</v>
      </c>
      <c r="U680" s="95">
        <v>39.28</v>
      </c>
      <c r="V680" s="36">
        <f>RTD("money.excel",,"8016","Price")</f>
        <v>280</v>
      </c>
      <c r="W680" s="66"/>
      <c r="X680" s="15">
        <f t="shared" si="139"/>
        <v>280</v>
      </c>
      <c r="Y680" s="3" t="e">
        <f t="shared" si="140"/>
        <v>#DIV/0!</v>
      </c>
      <c r="Z680" s="413" t="s">
        <v>1997</v>
      </c>
      <c r="AA680" s="161">
        <v>0</v>
      </c>
      <c r="AB680" s="409">
        <v>0</v>
      </c>
      <c r="AC680" s="259">
        <f t="shared" si="135"/>
        <v>0</v>
      </c>
      <c r="AD680" s="22" t="s">
        <v>4392</v>
      </c>
      <c r="AG680" s="33">
        <f t="shared" si="141"/>
        <v>0</v>
      </c>
      <c r="AH680" s="120" t="s">
        <v>2960</v>
      </c>
      <c r="AI680" s="63">
        <f t="shared" si="136"/>
        <v>7.025E-3</v>
      </c>
      <c r="AJ680" s="307">
        <f>RTD("money.excel",,$G680,"PredictVolume")</f>
        <v>843</v>
      </c>
      <c r="AK680" s="339"/>
    </row>
    <row r="681" spans="1:37">
      <c r="A681" s="416">
        <v>4.5199999999999996</v>
      </c>
      <c r="B681" s="80">
        <v>-102</v>
      </c>
      <c r="C681" s="80">
        <v>-64</v>
      </c>
      <c r="D681" s="79">
        <v>55</v>
      </c>
      <c r="E681" s="79">
        <v>10</v>
      </c>
      <c r="F681" s="6">
        <v>-6.41</v>
      </c>
      <c r="G681" s="79">
        <v>8024</v>
      </c>
      <c r="H681" s="204" t="s">
        <v>3254</v>
      </c>
      <c r="I681" s="16" t="s">
        <v>385</v>
      </c>
      <c r="J681" s="323">
        <v>21.3</v>
      </c>
      <c r="K681" s="73">
        <v>1.83</v>
      </c>
      <c r="L681" s="73">
        <v>42.38</v>
      </c>
      <c r="N681" s="318">
        <f t="shared" si="145"/>
        <v>65.510000000000005</v>
      </c>
      <c r="O681" s="81">
        <f>IFERROR(VLOOKUP($G681,'321買'!A:E,3,0),"'沒有資料'")</f>
        <v>31</v>
      </c>
      <c r="P681" s="380">
        <f>IFERROR(VLOOKUP($G681,'321買'!$A:$G,7,0),"'沒有資料'")</f>
        <v>151</v>
      </c>
      <c r="R681" s="297">
        <f>IFERROR(RANK(VLOOKUP($G681,連買!$A:$D,4,0),連買!$D:$D,0),"'沒有資料'")</f>
        <v>793</v>
      </c>
      <c r="S681" s="34">
        <v>0</v>
      </c>
      <c r="T681" s="353">
        <f t="shared" si="138"/>
        <v>0</v>
      </c>
      <c r="U681" s="95">
        <v>-0.85</v>
      </c>
      <c r="V681" s="36">
        <f>RTD("money.excel",,"8024","Price")</f>
        <v>24.9</v>
      </c>
      <c r="W681" s="66"/>
      <c r="X681" s="15">
        <f t="shared" si="139"/>
        <v>24.9</v>
      </c>
      <c r="Y681" s="3" t="e">
        <f t="shared" si="140"/>
        <v>#DIV/0!</v>
      </c>
      <c r="AA681" s="161">
        <v>0</v>
      </c>
      <c r="AB681" s="409">
        <v>0</v>
      </c>
      <c r="AC681" s="259">
        <f t="shared" si="135"/>
        <v>0</v>
      </c>
      <c r="AD681" s="16" t="s">
        <v>385</v>
      </c>
      <c r="AG681" s="33">
        <f t="shared" si="141"/>
        <v>0</v>
      </c>
      <c r="AH681" s="43" t="s">
        <v>2554</v>
      </c>
      <c r="AI681" s="63">
        <f t="shared" si="136"/>
        <v>4.358407079646018E-3</v>
      </c>
      <c r="AJ681" s="307">
        <f>RTD("money.excel",,$G681,"PredictVolume")</f>
        <v>197</v>
      </c>
      <c r="AK681" s="339"/>
    </row>
    <row r="682" spans="1:37">
      <c r="A682" s="416">
        <v>13.2</v>
      </c>
      <c r="B682" s="80">
        <v>-70</v>
      </c>
      <c r="C682" s="80">
        <v>-91</v>
      </c>
      <c r="D682" s="79">
        <v>8</v>
      </c>
      <c r="E682" s="80">
        <v>-6</v>
      </c>
      <c r="F682" s="6">
        <v>1.73</v>
      </c>
      <c r="G682" s="79">
        <v>8028</v>
      </c>
      <c r="H682" s="208" t="s">
        <v>3254</v>
      </c>
      <c r="I682" s="22" t="s">
        <v>1067</v>
      </c>
      <c r="J682" s="323">
        <v>28.58</v>
      </c>
      <c r="K682" s="73">
        <v>13.61</v>
      </c>
      <c r="L682" s="73">
        <v>25.05</v>
      </c>
      <c r="N682" s="318">
        <f t="shared" si="145"/>
        <v>67.239999999999995</v>
      </c>
      <c r="O682" s="81">
        <f>IFERROR(VLOOKUP($G682,'321買'!A:E,3,0),"'沒有資料'")</f>
        <v>12</v>
      </c>
      <c r="P682" s="380">
        <f>IFERROR(VLOOKUP($G682,'321買'!$A:$G,7,0),"'沒有資料'")</f>
        <v>336</v>
      </c>
      <c r="R682" s="297">
        <f>IFERROR(RANK(VLOOKUP($G682,連買!$A:$D,4,0),連買!$D:$D,0),"'沒有資料'")</f>
        <v>411</v>
      </c>
      <c r="S682" s="34">
        <v>2</v>
      </c>
      <c r="T682" s="353">
        <f t="shared" si="138"/>
        <v>3.4602076124567477E-2</v>
      </c>
      <c r="U682" s="95">
        <v>1.02</v>
      </c>
      <c r="V682" s="36">
        <f>RTD("money.excel",,"8028","Price")</f>
        <v>57.8</v>
      </c>
      <c r="W682" s="66"/>
      <c r="X682" s="15">
        <f t="shared" si="139"/>
        <v>57.8</v>
      </c>
      <c r="Y682" s="3" t="e">
        <f t="shared" si="140"/>
        <v>#DIV/0!</v>
      </c>
      <c r="Z682" s="413" t="s">
        <v>1801</v>
      </c>
      <c r="AA682" s="161">
        <v>0</v>
      </c>
      <c r="AB682" s="409">
        <v>0</v>
      </c>
      <c r="AC682" s="259">
        <f t="shared" si="135"/>
        <v>0</v>
      </c>
      <c r="AD682" s="22" t="s">
        <v>1067</v>
      </c>
      <c r="AG682" s="33">
        <f t="shared" si="141"/>
        <v>0</v>
      </c>
      <c r="AH682" s="120" t="s">
        <v>2140</v>
      </c>
      <c r="AI682" s="63">
        <f t="shared" si="136"/>
        <v>5.2060606060606057E-2</v>
      </c>
      <c r="AJ682" s="307">
        <f>RTD("money.excel",,$G682,"PredictVolume")</f>
        <v>6872</v>
      </c>
      <c r="AK682" s="339"/>
    </row>
    <row r="683" spans="1:37">
      <c r="A683" s="416">
        <v>6.87</v>
      </c>
      <c r="B683" s="80">
        <v>-163</v>
      </c>
      <c r="C683" s="80">
        <v>-911</v>
      </c>
      <c r="D683" s="80">
        <v>-18</v>
      </c>
      <c r="E683" s="80">
        <v>-32</v>
      </c>
      <c r="F683" s="6">
        <v>-2.83</v>
      </c>
      <c r="G683" s="79">
        <v>8040</v>
      </c>
      <c r="H683" s="204" t="s">
        <v>3254</v>
      </c>
      <c r="I683" s="16" t="s">
        <v>386</v>
      </c>
      <c r="J683" s="73">
        <v>28.78</v>
      </c>
      <c r="K683" s="323">
        <v>2.46</v>
      </c>
      <c r="L683" s="73">
        <v>32.729999999999997</v>
      </c>
      <c r="N683" s="318">
        <f t="shared" si="145"/>
        <v>63.97</v>
      </c>
      <c r="O683" s="81">
        <f>IFERROR(VLOOKUP($G683,'321買'!A:E,3,0),"'沒有資料'")</f>
        <v>33</v>
      </c>
      <c r="P683" s="380">
        <f>IFERROR(VLOOKUP($G683,'321買'!$A:$G,7,0),"'沒有資料'")</f>
        <v>122</v>
      </c>
      <c r="R683" s="297">
        <f>IFERROR(RANK(VLOOKUP($G683,連買!$A:$D,4,0),連買!$D:$D,0),"'沒有資料'")</f>
        <v>1016</v>
      </c>
      <c r="S683" s="34">
        <v>0</v>
      </c>
      <c r="T683" s="353">
        <f t="shared" si="138"/>
        <v>0</v>
      </c>
      <c r="U683" s="95">
        <v>-1.71</v>
      </c>
      <c r="V683" s="36">
        <f>RTD("money.excel",,"8040","Price")</f>
        <v>57.5</v>
      </c>
      <c r="W683" s="66"/>
      <c r="X683" s="15">
        <f t="shared" si="139"/>
        <v>57.5</v>
      </c>
      <c r="Y683" s="3" t="e">
        <f t="shared" si="140"/>
        <v>#DIV/0!</v>
      </c>
      <c r="Z683" s="413" t="s">
        <v>1801</v>
      </c>
      <c r="AA683" s="161">
        <v>0</v>
      </c>
      <c r="AB683" s="409">
        <v>0</v>
      </c>
      <c r="AC683" s="259">
        <f t="shared" si="135"/>
        <v>0</v>
      </c>
      <c r="AD683" s="16" t="s">
        <v>386</v>
      </c>
      <c r="AG683" s="33">
        <f t="shared" si="141"/>
        <v>0</v>
      </c>
      <c r="AH683" s="43" t="s">
        <v>2738</v>
      </c>
      <c r="AI683" s="63">
        <f t="shared" si="136"/>
        <v>6.9141193595342069E-3</v>
      </c>
      <c r="AJ683" s="307">
        <f>RTD("money.excel",,$G683,"PredictVolume")</f>
        <v>475</v>
      </c>
      <c r="AK683" s="339"/>
    </row>
    <row r="684" spans="1:37">
      <c r="A684" s="416">
        <v>7.06</v>
      </c>
      <c r="B684" s="79">
        <v>323</v>
      </c>
      <c r="C684" s="79">
        <v>370</v>
      </c>
      <c r="D684" s="79">
        <v>6</v>
      </c>
      <c r="E684" s="80">
        <v>-7</v>
      </c>
      <c r="F684" s="6">
        <v>14.33</v>
      </c>
      <c r="G684" s="79">
        <v>8054</v>
      </c>
      <c r="H684" s="204" t="s">
        <v>3254</v>
      </c>
      <c r="I684" s="16" t="s">
        <v>4393</v>
      </c>
      <c r="J684" s="323">
        <v>4.54</v>
      </c>
      <c r="K684" s="73">
        <v>7.28</v>
      </c>
      <c r="L684" s="323">
        <v>51.03</v>
      </c>
      <c r="N684" s="318">
        <f t="shared" si="145"/>
        <v>62.85</v>
      </c>
      <c r="O684" s="81">
        <f>IFERROR(VLOOKUP($G684,'321買'!A:E,3,0),"'沒有資料'")</f>
        <v>54</v>
      </c>
      <c r="P684" s="380">
        <f>IFERROR(VLOOKUP($G684,'321買'!$A:$G,7,0),"'沒有資料'")</f>
        <v>51</v>
      </c>
      <c r="R684" s="297">
        <f>IFERROR(RANK(VLOOKUP($G684,連買!$A:$D,4,0),連買!$D:$D,0),"'沒有資料'")</f>
        <v>359</v>
      </c>
      <c r="S684" s="34">
        <v>0.5</v>
      </c>
      <c r="T684" s="353">
        <f t="shared" si="138"/>
        <v>9.1911764705882356E-3</v>
      </c>
      <c r="U684" s="95">
        <v>2.19</v>
      </c>
      <c r="V684" s="36">
        <f>RTD("money.excel",,"8054","Price")</f>
        <v>54.4</v>
      </c>
      <c r="W684" s="66"/>
      <c r="X684" s="15">
        <f t="shared" si="139"/>
        <v>54.4</v>
      </c>
      <c r="Y684" s="3" t="e">
        <f t="shared" si="140"/>
        <v>#DIV/0!</v>
      </c>
      <c r="Z684" s="413" t="s">
        <v>1801</v>
      </c>
      <c r="AA684" s="161">
        <v>0</v>
      </c>
      <c r="AB684" s="409">
        <v>0</v>
      </c>
      <c r="AC684" s="259">
        <f t="shared" si="135"/>
        <v>0</v>
      </c>
      <c r="AD684" s="16" t="s">
        <v>4393</v>
      </c>
      <c r="AG684" s="33">
        <f t="shared" si="141"/>
        <v>0</v>
      </c>
      <c r="AH684" s="43" t="s">
        <v>2409</v>
      </c>
      <c r="AI684" s="63">
        <f t="shared" si="136"/>
        <v>1.6855524079320113E-2</v>
      </c>
      <c r="AJ684" s="307">
        <f>RTD("money.excel",,$G684,"PredictVolume")</f>
        <v>1190</v>
      </c>
      <c r="AK684" s="339"/>
    </row>
    <row r="685" spans="1:37">
      <c r="A685" s="415">
        <v>8.6199999999999992</v>
      </c>
      <c r="B685" s="79">
        <v>46</v>
      </c>
      <c r="C685" s="79">
        <v>59</v>
      </c>
      <c r="D685" s="79">
        <v>2</v>
      </c>
      <c r="E685" s="79">
        <v>24</v>
      </c>
      <c r="F685" s="57">
        <v>18.34</v>
      </c>
      <c r="G685" s="79">
        <v>8081</v>
      </c>
      <c r="H685" s="8" t="s">
        <v>3254</v>
      </c>
      <c r="I685" s="22" t="s">
        <v>359</v>
      </c>
      <c r="J685" s="323">
        <v>22.99</v>
      </c>
      <c r="K685" s="323">
        <v>23.67</v>
      </c>
      <c r="L685" s="323">
        <v>11.81</v>
      </c>
      <c r="N685" s="318">
        <f t="shared" si="145"/>
        <v>58.47</v>
      </c>
      <c r="O685" s="81">
        <f>IFERROR(VLOOKUP($G685,'321買'!A:E,3,0),"'沒有資料'")</f>
        <v>27</v>
      </c>
      <c r="P685" s="380">
        <f>IFERROR(VLOOKUP($G685,'321買'!$A:$G,7,0),"'沒有資料'")</f>
        <v>172</v>
      </c>
      <c r="R685" s="297">
        <f>IFERROR(RANK(VLOOKUP($G685,連買!$A:$D,4,0),連買!$D:$D,0),"'沒有資料'")</f>
        <v>43</v>
      </c>
      <c r="S685" s="66">
        <v>9.5</v>
      </c>
      <c r="T685" s="353">
        <f t="shared" si="138"/>
        <v>4.4600938967136149E-2</v>
      </c>
      <c r="U685" s="95">
        <v>12.24</v>
      </c>
      <c r="V685" s="36">
        <f>RTD("money.excel",,"8081","Price")</f>
        <v>213</v>
      </c>
      <c r="W685" s="66"/>
      <c r="X685" s="15">
        <f t="shared" si="139"/>
        <v>213</v>
      </c>
      <c r="Y685" s="3" t="e">
        <f t="shared" si="140"/>
        <v>#DIV/0!</v>
      </c>
      <c r="Z685" s="413" t="s">
        <v>1997</v>
      </c>
      <c r="AA685" s="161">
        <v>0</v>
      </c>
      <c r="AB685" s="409">
        <v>0</v>
      </c>
      <c r="AC685" s="259">
        <f t="shared" si="135"/>
        <v>0</v>
      </c>
      <c r="AD685" s="22" t="s">
        <v>359</v>
      </c>
      <c r="AG685" s="33">
        <f t="shared" si="141"/>
        <v>0</v>
      </c>
      <c r="AH685" s="43" t="s">
        <v>1444</v>
      </c>
      <c r="AI685" s="63">
        <f t="shared" si="136"/>
        <v>3.7006960556844556E-3</v>
      </c>
      <c r="AJ685" s="307">
        <f>RTD("money.excel",,$G685,"PredictVolume")</f>
        <v>319</v>
      </c>
      <c r="AK685" s="339"/>
    </row>
    <row r="686" spans="1:37">
      <c r="A686" s="415">
        <v>19.600000000000001</v>
      </c>
      <c r="B686" s="79">
        <v>31</v>
      </c>
      <c r="C686" s="79">
        <v>23</v>
      </c>
      <c r="D686" s="80">
        <v>-5</v>
      </c>
      <c r="E686" s="79">
        <v>24</v>
      </c>
      <c r="F686" s="57">
        <v>20.88</v>
      </c>
      <c r="G686" s="79">
        <v>8086</v>
      </c>
      <c r="H686" s="204" t="s">
        <v>3254</v>
      </c>
      <c r="I686" s="16" t="s">
        <v>264</v>
      </c>
      <c r="J686" s="323">
        <v>43.12</v>
      </c>
      <c r="K686" s="323">
        <v>18.32</v>
      </c>
      <c r="L686" s="323">
        <v>23.99</v>
      </c>
      <c r="M686" s="73">
        <v>27.28</v>
      </c>
      <c r="N686" s="318">
        <f t="shared" si="145"/>
        <v>112.71</v>
      </c>
      <c r="O686" s="81">
        <f>IFERROR(VLOOKUP($G686,'321買'!A:E,3,0),"'沒有資料'")</f>
        <v>33</v>
      </c>
      <c r="P686" s="380">
        <f>IFERROR(VLOOKUP($G686,'321買'!$A:$G,7,0),"'沒有資料'")</f>
        <v>117</v>
      </c>
      <c r="Q686" s="245" t="s">
        <v>3817</v>
      </c>
      <c r="R686" s="297">
        <f>IFERROR(RANK(VLOOKUP($G686,連買!$A:$D,4,0),連買!$D:$D,0),"'沒有資料'")</f>
        <v>1710</v>
      </c>
      <c r="S686" s="34">
        <v>2.8</v>
      </c>
      <c r="T686" s="353">
        <f t="shared" si="138"/>
        <v>2.8629856850715747E-2</v>
      </c>
      <c r="U686" s="95">
        <v>4.0999999999999996</v>
      </c>
      <c r="V686" s="36">
        <f>RTD("money.excel",,"8086","Price")</f>
        <v>97.8</v>
      </c>
      <c r="W686" s="66"/>
      <c r="X686" s="15">
        <f t="shared" si="139"/>
        <v>97.8</v>
      </c>
      <c r="Y686" s="3" t="e">
        <f t="shared" si="140"/>
        <v>#DIV/0!</v>
      </c>
      <c r="Z686" s="413" t="s">
        <v>1801</v>
      </c>
      <c r="AA686" s="161">
        <v>0</v>
      </c>
      <c r="AB686" s="409">
        <v>0</v>
      </c>
      <c r="AC686" s="259">
        <f t="shared" si="135"/>
        <v>0</v>
      </c>
      <c r="AD686" s="16" t="s">
        <v>264</v>
      </c>
      <c r="AG686" s="33">
        <f t="shared" si="141"/>
        <v>0</v>
      </c>
      <c r="AH686" s="120" t="s">
        <v>2508</v>
      </c>
      <c r="AI686" s="63">
        <f t="shared" si="136"/>
        <v>3.5918367346938775E-3</v>
      </c>
      <c r="AJ686" s="307">
        <f>RTD("money.excel",,$G686,"PredictVolume")</f>
        <v>704</v>
      </c>
      <c r="AK686" s="339"/>
    </row>
    <row r="687" spans="1:37">
      <c r="A687" s="416">
        <v>6.09</v>
      </c>
      <c r="B687" s="80">
        <v>-66</v>
      </c>
      <c r="C687" s="80">
        <v>-51</v>
      </c>
      <c r="D687" s="79">
        <v>19</v>
      </c>
      <c r="E687" s="79">
        <v>17</v>
      </c>
      <c r="F687" s="6">
        <v>4.0999999999999996</v>
      </c>
      <c r="G687" s="79">
        <v>8088</v>
      </c>
      <c r="H687" s="204" t="s">
        <v>3254</v>
      </c>
      <c r="I687" s="16" t="s">
        <v>387</v>
      </c>
      <c r="J687" s="323">
        <v>18.809999999999999</v>
      </c>
      <c r="K687" s="73">
        <v>9.89</v>
      </c>
      <c r="L687" s="323">
        <v>16.309999999999999</v>
      </c>
      <c r="M687" s="323">
        <v>18.98</v>
      </c>
      <c r="N687" s="318">
        <f t="shared" si="145"/>
        <v>63.989999999999995</v>
      </c>
      <c r="O687" s="81">
        <f>IFERROR(VLOOKUP($G687,'321買'!A:E,3,0),"'沒有資料'")</f>
        <v>11</v>
      </c>
      <c r="P687" s="380">
        <f>IFERROR(VLOOKUP($G687,'321買'!$A:$G,7,0),"'沒有資料'")</f>
        <v>408</v>
      </c>
      <c r="Q687" s="245" t="s">
        <v>3816</v>
      </c>
      <c r="R687" s="297">
        <f>IFERROR(RANK(VLOOKUP($G687,連買!$A:$D,4,0),連買!$D:$D,0),"'沒有資料'")</f>
        <v>730</v>
      </c>
      <c r="S687" s="34">
        <v>1.2</v>
      </c>
      <c r="T687" s="353">
        <f t="shared" si="138"/>
        <v>5.2401746724890834E-2</v>
      </c>
      <c r="U687" s="95">
        <v>0.84</v>
      </c>
      <c r="V687" s="36">
        <f>RTD("money.excel",,"8088","Price")</f>
        <v>22.9</v>
      </c>
      <c r="W687" s="66"/>
      <c r="X687" s="15">
        <f t="shared" si="139"/>
        <v>22.9</v>
      </c>
      <c r="Y687" s="3" t="e">
        <f t="shared" si="140"/>
        <v>#DIV/0!</v>
      </c>
      <c r="Z687" s="413" t="s">
        <v>1801</v>
      </c>
      <c r="AA687" s="161">
        <v>0</v>
      </c>
      <c r="AB687" s="409">
        <v>0</v>
      </c>
      <c r="AC687" s="259">
        <f t="shared" si="135"/>
        <v>0</v>
      </c>
      <c r="AD687" s="16" t="s">
        <v>387</v>
      </c>
      <c r="AG687" s="33">
        <f t="shared" si="141"/>
        <v>0</v>
      </c>
      <c r="AH687" s="43" t="s">
        <v>2507</v>
      </c>
      <c r="AI687" s="63">
        <f t="shared" si="136"/>
        <v>2.0689655172413794E-3</v>
      </c>
      <c r="AJ687" s="307">
        <f>RTD("money.excel",,$G687,"PredictVolume")</f>
        <v>126</v>
      </c>
      <c r="AK687" s="339"/>
    </row>
    <row r="688" spans="1:37">
      <c r="A688" s="416">
        <v>50.6</v>
      </c>
      <c r="B688" s="140">
        <v>2527</v>
      </c>
      <c r="C688" s="91">
        <v>92</v>
      </c>
      <c r="D688" s="91">
        <v>-6</v>
      </c>
      <c r="E688" s="91">
        <v>-10</v>
      </c>
      <c r="F688" s="6">
        <v>-0.69</v>
      </c>
      <c r="G688" s="79">
        <v>8110</v>
      </c>
      <c r="H688" s="8" t="s">
        <v>3254</v>
      </c>
      <c r="I688" s="22" t="s">
        <v>4394</v>
      </c>
      <c r="J688" s="73">
        <v>64.11</v>
      </c>
      <c r="K688" s="73">
        <v>7.57</v>
      </c>
      <c r="L688" s="73">
        <v>11.1</v>
      </c>
      <c r="N688" s="318">
        <f t="shared" si="145"/>
        <v>82.78</v>
      </c>
      <c r="O688" s="81">
        <f>IFERROR(VLOOKUP($G688,'321買'!A:E,3,0),"'沒有資料'")</f>
        <v>17</v>
      </c>
      <c r="P688" s="380">
        <f>IFERROR(VLOOKUP($G688,'321買'!$A:$G,7,0),"'沒有資料'")</f>
        <v>290</v>
      </c>
      <c r="R688" s="297">
        <f>IFERROR(RANK(VLOOKUP($G688,連買!$A:$D,4,0),連買!$D:$D,0),"'沒有資料'")</f>
        <v>965</v>
      </c>
      <c r="S688" s="34">
        <v>0</v>
      </c>
      <c r="T688" s="353">
        <f t="shared" ref="T688:T694" si="146">S688/V688</f>
        <v>0</v>
      </c>
      <c r="U688" s="95">
        <v>0.52</v>
      </c>
      <c r="V688" s="13">
        <f>RTD("money.excel",,"8110","Price")</f>
        <v>15.7</v>
      </c>
      <c r="W688" s="66"/>
      <c r="X688" s="15">
        <f t="shared" si="139"/>
        <v>15.7</v>
      </c>
      <c r="Y688" s="3" t="e">
        <f t="shared" si="140"/>
        <v>#DIV/0!</v>
      </c>
      <c r="AA688" s="161">
        <v>0</v>
      </c>
      <c r="AB688" s="409">
        <v>0</v>
      </c>
      <c r="AC688" s="259">
        <f t="shared" si="135"/>
        <v>0</v>
      </c>
      <c r="AD688" s="22" t="s">
        <v>4394</v>
      </c>
      <c r="AG688" s="33">
        <f t="shared" si="141"/>
        <v>0</v>
      </c>
      <c r="AH688" s="120" t="s">
        <v>1063</v>
      </c>
      <c r="AI688" s="63">
        <f t="shared" ref="AI688:AI694" si="147">AJ688/(A688*10000)</f>
        <v>2.6126482213438733E-3</v>
      </c>
      <c r="AJ688" s="307">
        <f>RTD("money.excel",,$G688,"PredictVolume")</f>
        <v>1322</v>
      </c>
      <c r="AK688" s="339"/>
    </row>
    <row r="689" spans="1:37">
      <c r="A689" s="415">
        <v>44.2</v>
      </c>
      <c r="B689" s="79">
        <v>13</v>
      </c>
      <c r="C689" s="79">
        <v>22</v>
      </c>
      <c r="D689" s="80">
        <v>-1</v>
      </c>
      <c r="E689" s="80">
        <v>-5</v>
      </c>
      <c r="F689" s="57">
        <v>16.93</v>
      </c>
      <c r="G689" s="79">
        <v>8131</v>
      </c>
      <c r="H689" s="8" t="s">
        <v>3254</v>
      </c>
      <c r="I689" s="22" t="s">
        <v>4395</v>
      </c>
      <c r="J689" s="73">
        <v>75.239999999999995</v>
      </c>
      <c r="K689" s="323">
        <v>5.18</v>
      </c>
      <c r="L689" s="323">
        <v>0.66</v>
      </c>
      <c r="N689" s="318">
        <f t="shared" si="145"/>
        <v>81.079999999999984</v>
      </c>
      <c r="O689" s="81">
        <f>IFERROR(VLOOKUP($G689,'321買'!A:E,3,0),"'沒有資料'")</f>
        <v>0</v>
      </c>
      <c r="P689" s="380">
        <f>IFERROR(VLOOKUP($G689,'321買'!$A:$G,7,0),"'沒有資料'")</f>
        <v>911</v>
      </c>
      <c r="R689" s="297">
        <f>IFERROR(RANK(VLOOKUP($G689,連買!$A:$D,4,0),連買!$D:$D,0),"'沒有資料'")</f>
        <v>456</v>
      </c>
      <c r="S689" s="34">
        <v>2.2999999999999998</v>
      </c>
      <c r="T689" s="353">
        <f t="shared" si="146"/>
        <v>5.7071960297766747E-2</v>
      </c>
      <c r="U689" s="95">
        <v>3.17</v>
      </c>
      <c r="V689" s="36">
        <f>RTD("money.excel",,"8131","Price")</f>
        <v>40.299999999999997</v>
      </c>
      <c r="W689" s="66"/>
      <c r="X689" s="15">
        <f t="shared" si="139"/>
        <v>40.299999999999997</v>
      </c>
      <c r="Y689" s="3" t="e">
        <f t="shared" si="140"/>
        <v>#DIV/0!</v>
      </c>
      <c r="AA689" s="161">
        <v>0</v>
      </c>
      <c r="AB689" s="409">
        <v>0</v>
      </c>
      <c r="AC689" s="259">
        <f t="shared" si="135"/>
        <v>0</v>
      </c>
      <c r="AD689" s="22" t="s">
        <v>4395</v>
      </c>
      <c r="AG689" s="33">
        <f t="shared" si="141"/>
        <v>0</v>
      </c>
      <c r="AH689" s="120" t="s">
        <v>1788</v>
      </c>
      <c r="AI689" s="63">
        <f t="shared" si="147"/>
        <v>3.0090497737556563E-4</v>
      </c>
      <c r="AJ689" s="307">
        <f>RTD("money.excel",,$G689,"PredictVolume")</f>
        <v>133</v>
      </c>
      <c r="AK689" s="339"/>
    </row>
    <row r="690" spans="1:37">
      <c r="A690" s="415">
        <v>72.7</v>
      </c>
      <c r="B690" s="80">
        <v>-18</v>
      </c>
      <c r="C690" s="79">
        <v>54</v>
      </c>
      <c r="D690" s="80">
        <v>-1</v>
      </c>
      <c r="E690" s="79">
        <v>10</v>
      </c>
      <c r="F690" s="57">
        <v>14.41</v>
      </c>
      <c r="G690" s="79">
        <v>8150</v>
      </c>
      <c r="H690" s="8" t="s">
        <v>3254</v>
      </c>
      <c r="I690" s="22" t="s">
        <v>278</v>
      </c>
      <c r="J690" s="73">
        <v>64.739999999999995</v>
      </c>
      <c r="K690" s="323">
        <v>41.37</v>
      </c>
      <c r="L690" s="323">
        <v>8.44</v>
      </c>
      <c r="N690" s="318">
        <f t="shared" si="145"/>
        <v>114.54999999999998</v>
      </c>
      <c r="O690" s="81">
        <f>IFERROR(VLOOKUP($G690,'321買'!A:E,3,0),"'沒有資料'")</f>
        <v>18</v>
      </c>
      <c r="P690" s="380">
        <f>IFERROR(VLOOKUP($G690,'321買'!$A:$G,7,0),"'沒有資料'")</f>
        <v>273</v>
      </c>
      <c r="R690" s="297">
        <f>IFERROR(RANK(VLOOKUP($G690,連買!$A:$D,4,0),連買!$D:$D,0),"'沒有資料'")</f>
        <v>398</v>
      </c>
      <c r="S690" s="34">
        <v>2.2000000000000002</v>
      </c>
      <c r="T690" s="353">
        <f t="shared" si="146"/>
        <v>4.5501551189245093E-2</v>
      </c>
      <c r="U690" s="95">
        <v>3.26</v>
      </c>
      <c r="V690" s="13">
        <f>RTD("money.excel",,"8150","Price")</f>
        <v>48.35</v>
      </c>
      <c r="W690" s="66"/>
      <c r="X690" s="15">
        <f t="shared" si="139"/>
        <v>48.35</v>
      </c>
      <c r="Y690" s="3" t="e">
        <f t="shared" si="140"/>
        <v>#DIV/0!</v>
      </c>
      <c r="Z690" s="413" t="s">
        <v>1801</v>
      </c>
      <c r="AA690" s="161">
        <v>0</v>
      </c>
      <c r="AB690" s="409">
        <v>0</v>
      </c>
      <c r="AC690" s="259">
        <f t="shared" si="135"/>
        <v>0</v>
      </c>
      <c r="AD690" s="22" t="s">
        <v>278</v>
      </c>
      <c r="AG690" s="33">
        <f t="shared" si="141"/>
        <v>0</v>
      </c>
      <c r="AH690" s="120" t="s">
        <v>2481</v>
      </c>
      <c r="AI690" s="63">
        <f t="shared" si="147"/>
        <v>3.5309491059147182E-3</v>
      </c>
      <c r="AJ690" s="307">
        <f>RTD("money.excel",,$G690,"PredictVolume")</f>
        <v>2567</v>
      </c>
      <c r="AK690" s="339"/>
    </row>
    <row r="691" spans="1:37">
      <c r="A691" s="415">
        <v>8.1300000000000008</v>
      </c>
      <c r="B691" s="79">
        <v>231</v>
      </c>
      <c r="C691" s="79">
        <v>245</v>
      </c>
      <c r="D691" s="80">
        <v>-6</v>
      </c>
      <c r="E691" s="79">
        <v>28</v>
      </c>
      <c r="F691" s="57">
        <v>19.72</v>
      </c>
      <c r="G691" s="79">
        <v>8261</v>
      </c>
      <c r="H691" s="8" t="s">
        <v>3254</v>
      </c>
      <c r="I691" s="22" t="s">
        <v>324</v>
      </c>
      <c r="J691" s="323">
        <v>18.05</v>
      </c>
      <c r="K691" s="73">
        <v>14.46</v>
      </c>
      <c r="L691" s="323">
        <v>46.32</v>
      </c>
      <c r="M691" s="323">
        <v>13.85</v>
      </c>
      <c r="N691" s="318">
        <f t="shared" si="145"/>
        <v>92.68</v>
      </c>
      <c r="O691" s="81">
        <f>IFERROR(VLOOKUP($G691,'321買'!A:E,3,0),"'沒有資料'")</f>
        <v>73</v>
      </c>
      <c r="P691" s="380">
        <f>IFERROR(VLOOKUP($G691,'321買'!$A:$G,7,0),"'沒有資料'")</f>
        <v>28</v>
      </c>
      <c r="Q691" s="245" t="s">
        <v>3816</v>
      </c>
      <c r="R691" s="297">
        <f>IFERROR(RANK(VLOOKUP($G691,連買!$A:$D,4,0),連買!$D:$D,0),"'沒有資料'")</f>
        <v>180</v>
      </c>
      <c r="S691" s="45">
        <v>6</v>
      </c>
      <c r="T691" s="353">
        <f t="shared" si="146"/>
        <v>5.7416267942583733E-2</v>
      </c>
      <c r="U691" s="95">
        <v>8.0299999999999994</v>
      </c>
      <c r="V691" s="36">
        <f>RTD("money.excel",,"8261","Price")</f>
        <v>104.5</v>
      </c>
      <c r="W691" s="66"/>
      <c r="X691" s="15">
        <f t="shared" si="139"/>
        <v>104.5</v>
      </c>
      <c r="Y691" s="3" t="e">
        <f t="shared" si="140"/>
        <v>#DIV/0!</v>
      </c>
      <c r="Z691" s="413">
        <v>-19.34</v>
      </c>
      <c r="AA691" s="161">
        <v>0</v>
      </c>
      <c r="AB691" s="409">
        <v>0</v>
      </c>
      <c r="AC691" s="259">
        <f t="shared" si="135"/>
        <v>0</v>
      </c>
      <c r="AD691" s="22" t="s">
        <v>324</v>
      </c>
      <c r="AG691" s="33">
        <f t="shared" si="141"/>
        <v>0</v>
      </c>
      <c r="AH691" s="43" t="s">
        <v>2345</v>
      </c>
      <c r="AI691" s="63">
        <f t="shared" si="147"/>
        <v>2.7552275522755222E-2</v>
      </c>
      <c r="AJ691" s="307">
        <f>RTD("money.excel",,$G691,"PredictVolume")</f>
        <v>2240</v>
      </c>
      <c r="AK691" s="339">
        <v>68.010000000000005</v>
      </c>
    </row>
    <row r="692" spans="1:37">
      <c r="A692" s="416">
        <v>10.1</v>
      </c>
      <c r="B692" s="80">
        <v>-14</v>
      </c>
      <c r="C692" s="80">
        <v>-23</v>
      </c>
      <c r="D692" s="79">
        <v>14</v>
      </c>
      <c r="E692" s="80">
        <v>-1</v>
      </c>
      <c r="F692" s="6">
        <v>5.33</v>
      </c>
      <c r="G692" s="79">
        <v>8271</v>
      </c>
      <c r="H692" s="8" t="s">
        <v>3254</v>
      </c>
      <c r="I692" s="22" t="s">
        <v>4396</v>
      </c>
      <c r="J692" s="73">
        <v>20.41</v>
      </c>
      <c r="K692" s="73">
        <v>8.67</v>
      </c>
      <c r="L692" s="73">
        <v>11.77</v>
      </c>
      <c r="N692" s="318">
        <f t="shared" si="145"/>
        <v>40.849999999999994</v>
      </c>
      <c r="O692" s="81">
        <f>IFERROR(VLOOKUP($G692,'321買'!A:E,3,0),"'沒有資料'")</f>
        <v>13</v>
      </c>
      <c r="P692" s="380">
        <f>IFERROR(VLOOKUP($G692,'321買'!$A:$G,7,0),"'沒有資料'")</f>
        <v>336</v>
      </c>
      <c r="R692" s="297">
        <f>IFERROR(RANK(VLOOKUP($G692,連買!$A:$D,4,0),連買!$D:$D,0),"'沒有資料'")</f>
        <v>464</v>
      </c>
      <c r="S692" s="34">
        <v>1</v>
      </c>
      <c r="T692" s="353">
        <f t="shared" si="146"/>
        <v>2.4038461538461536E-2</v>
      </c>
      <c r="U692" s="95">
        <v>2.57</v>
      </c>
      <c r="V692" s="36">
        <f>RTD("money.excel",,"8271","Price")</f>
        <v>41.6</v>
      </c>
      <c r="W692" s="66"/>
      <c r="X692" s="15">
        <f t="shared" si="139"/>
        <v>41.6</v>
      </c>
      <c r="Y692" s="3" t="e">
        <f t="shared" si="140"/>
        <v>#DIV/0!</v>
      </c>
      <c r="Z692" s="413" t="s">
        <v>1801</v>
      </c>
      <c r="AA692" s="161">
        <v>0</v>
      </c>
      <c r="AB692" s="409">
        <v>0</v>
      </c>
      <c r="AC692" s="259">
        <f t="shared" si="135"/>
        <v>0</v>
      </c>
      <c r="AD692" s="22" t="s">
        <v>4396</v>
      </c>
      <c r="AG692" s="33">
        <f t="shared" si="141"/>
        <v>0</v>
      </c>
      <c r="AH692" s="43" t="s">
        <v>1420</v>
      </c>
      <c r="AI692" s="63">
        <f t="shared" si="147"/>
        <v>5.4356435643564353E-3</v>
      </c>
      <c r="AJ692" s="307">
        <f>RTD("money.excel",,$G692,"PredictVolume")</f>
        <v>549</v>
      </c>
      <c r="AK692" s="339"/>
    </row>
    <row r="693" spans="1:37">
      <c r="A693" s="416">
        <v>9.16</v>
      </c>
      <c r="B693" s="91">
        <v>38</v>
      </c>
      <c r="C693" s="91">
        <v>41</v>
      </c>
      <c r="D693" s="91">
        <v>-57</v>
      </c>
      <c r="E693" s="91">
        <v>37</v>
      </c>
      <c r="F693" s="6">
        <v>-13.92</v>
      </c>
      <c r="G693" s="79">
        <v>8277</v>
      </c>
      <c r="H693" s="204" t="s">
        <v>3254</v>
      </c>
      <c r="I693" s="16" t="s">
        <v>4397</v>
      </c>
      <c r="J693" s="73">
        <v>38.42</v>
      </c>
      <c r="K693" s="73">
        <v>4.4800000000000004</v>
      </c>
      <c r="L693" s="73">
        <v>18.18</v>
      </c>
      <c r="N693" s="318">
        <f t="shared" si="145"/>
        <v>61.080000000000005</v>
      </c>
      <c r="O693" s="81">
        <f>IFERROR(VLOOKUP($G693,'321買'!A:E,3,0),"'沒有資料'")</f>
        <v>4</v>
      </c>
      <c r="P693" s="380">
        <f>IFERROR(VLOOKUP($G693,'321買'!$A:$G,7,0),"'沒有資料'")</f>
        <v>592</v>
      </c>
      <c r="R693" s="297">
        <f>IFERROR(RANK(VLOOKUP($G693,連買!$A:$D,4,0),連買!$D:$D,0),"'沒有資料'")</f>
        <v>1098</v>
      </c>
      <c r="S693" s="34">
        <v>0</v>
      </c>
      <c r="T693" s="353">
        <f t="shared" si="146"/>
        <v>0</v>
      </c>
      <c r="U693" s="95">
        <v>-0.69</v>
      </c>
      <c r="V693" s="36">
        <f>RTD("money.excel",,"8277","Price")</f>
        <v>11.4</v>
      </c>
      <c r="W693" s="66"/>
      <c r="X693" s="15">
        <f t="shared" si="139"/>
        <v>11.4</v>
      </c>
      <c r="Y693" s="3" t="e">
        <f t="shared" si="140"/>
        <v>#DIV/0!</v>
      </c>
      <c r="AA693" s="161">
        <v>0</v>
      </c>
      <c r="AB693" s="409">
        <v>0</v>
      </c>
      <c r="AC693" s="259">
        <f t="shared" si="135"/>
        <v>0</v>
      </c>
      <c r="AD693" s="16" t="s">
        <v>4397</v>
      </c>
      <c r="AG693" s="33">
        <f t="shared" si="141"/>
        <v>0</v>
      </c>
      <c r="AH693" s="43" t="s">
        <v>1420</v>
      </c>
      <c r="AI693" s="63">
        <f t="shared" si="147"/>
        <v>2.074235807860262E-3</v>
      </c>
      <c r="AJ693" s="307">
        <f>RTD("money.excel",,$G693,"PredictVolume")</f>
        <v>190</v>
      </c>
      <c r="AK693" s="339"/>
    </row>
    <row r="694" spans="1:37">
      <c r="A694" s="415">
        <v>19.7</v>
      </c>
      <c r="B694" s="80">
        <v>-6</v>
      </c>
      <c r="C694" s="79">
        <v>133</v>
      </c>
      <c r="D694" s="80">
        <v>-2</v>
      </c>
      <c r="E694" s="79">
        <v>45</v>
      </c>
      <c r="F694" s="57">
        <v>14.52</v>
      </c>
      <c r="G694" s="79">
        <v>8299</v>
      </c>
      <c r="H694" s="204" t="s">
        <v>3254</v>
      </c>
      <c r="I694" s="16" t="s">
        <v>4398</v>
      </c>
      <c r="J694" s="323">
        <v>51.42</v>
      </c>
      <c r="K694" s="323">
        <v>44.4</v>
      </c>
      <c r="L694" s="73">
        <v>14.28</v>
      </c>
      <c r="M694" s="323">
        <v>18.940000000000001</v>
      </c>
      <c r="N694" s="318">
        <f>J694+K694+L694+M694</f>
        <v>129.04</v>
      </c>
      <c r="O694" s="81">
        <f>IFERROR(VLOOKUP($G694,'321買'!A:E,3,0),"'沒有資料'")</f>
        <v>21</v>
      </c>
      <c r="P694" s="380">
        <f>IFERROR(VLOOKUP($G694,'321買'!$A:$G,7,0),"'沒有資料'")</f>
        <v>250</v>
      </c>
      <c r="Q694" s="245" t="s">
        <v>8635</v>
      </c>
      <c r="R694" s="297">
        <f>IFERROR(RANK(VLOOKUP($G694,連買!$A:$D,4,0),連買!$D:$D,0),"'沒有資料'")</f>
        <v>19</v>
      </c>
      <c r="S694" s="45">
        <v>13</v>
      </c>
      <c r="T694" s="353">
        <f t="shared" si="146"/>
        <v>3.0660377358490566E-2</v>
      </c>
      <c r="U694" s="57">
        <v>51.35</v>
      </c>
      <c r="V694" s="13">
        <f>RTD("money.excel",,"8299","Price")</f>
        <v>424</v>
      </c>
      <c r="W694" s="66"/>
      <c r="X694" s="15">
        <f>V694-W694</f>
        <v>424</v>
      </c>
      <c r="Y694" s="3" t="e">
        <f>X694/W694</f>
        <v>#DIV/0!</v>
      </c>
      <c r="Z694" s="413">
        <v>-19.91</v>
      </c>
      <c r="AA694" s="161">
        <v>0</v>
      </c>
      <c r="AB694" s="409">
        <v>0</v>
      </c>
      <c r="AC694" s="259">
        <f t="shared" si="135"/>
        <v>0</v>
      </c>
      <c r="AD694" s="16" t="s">
        <v>4398</v>
      </c>
      <c r="AG694" s="33">
        <f>AF694-AE694</f>
        <v>0</v>
      </c>
      <c r="AH694" s="120" t="s">
        <v>2289</v>
      </c>
      <c r="AI694" s="63">
        <f t="shared" si="147"/>
        <v>1.482741116751269E-2</v>
      </c>
      <c r="AJ694" s="307">
        <f>RTD("money.excel",,$G694,"PredictVolume")</f>
        <v>2921</v>
      </c>
      <c r="AK694" s="339">
        <v>9.6300000000000008</v>
      </c>
    </row>
    <row r="695" spans="1:37">
      <c r="B695" s="79"/>
      <c r="C695" s="79"/>
      <c r="D695" s="80"/>
      <c r="E695" s="79"/>
      <c r="F695" s="57"/>
      <c r="G695" s="79"/>
      <c r="H695" s="204"/>
      <c r="I695" s="16"/>
      <c r="J695" s="73"/>
      <c r="K695" s="73"/>
      <c r="M695" s="73"/>
      <c r="N695" s="318"/>
      <c r="O695" s="26"/>
      <c r="S695" s="66"/>
      <c r="U695" s="95"/>
      <c r="V695" s="13"/>
      <c r="W695" s="66"/>
      <c r="X695" s="15"/>
      <c r="Y695" s="3"/>
      <c r="AA695" s="2"/>
      <c r="AD695" s="16"/>
      <c r="AG695" s="33"/>
      <c r="AH695" s="120"/>
      <c r="AK695" s="339"/>
    </row>
    <row r="696" spans="1:37">
      <c r="A696" s="130" t="s">
        <v>1732</v>
      </c>
      <c r="B696" s="91" t="s">
        <v>1588</v>
      </c>
      <c r="C696" s="91" t="s">
        <v>1589</v>
      </c>
      <c r="D696" s="91" t="s">
        <v>1590</v>
      </c>
      <c r="E696" s="91" t="s">
        <v>1591</v>
      </c>
      <c r="F696" s="8" t="s">
        <v>1066</v>
      </c>
      <c r="G696" s="27" t="s">
        <v>4399</v>
      </c>
      <c r="H696" s="55" t="s">
        <v>322</v>
      </c>
      <c r="I696" s="8" t="s">
        <v>1152</v>
      </c>
      <c r="J696" s="317" t="s">
        <v>1467</v>
      </c>
      <c r="K696" s="317" t="s">
        <v>1157</v>
      </c>
      <c r="L696" s="317" t="s">
        <v>284</v>
      </c>
      <c r="M696" s="317" t="s">
        <v>1059</v>
      </c>
      <c r="N696" s="317" t="s">
        <v>5048</v>
      </c>
      <c r="O696" s="26" t="s">
        <v>5107</v>
      </c>
      <c r="P696" s="373" t="s">
        <v>5059</v>
      </c>
      <c r="Q696" s="245" t="s">
        <v>5087</v>
      </c>
      <c r="R696" s="345" t="s">
        <v>5059</v>
      </c>
      <c r="S696" s="10" t="s">
        <v>66</v>
      </c>
      <c r="T696" s="351" t="s">
        <v>5076</v>
      </c>
      <c r="U696" s="68" t="s">
        <v>3493</v>
      </c>
      <c r="V696" s="28" t="s">
        <v>2</v>
      </c>
      <c r="W696" s="17" t="s">
        <v>1405</v>
      </c>
      <c r="X696" s="14" t="s">
        <v>5</v>
      </c>
      <c r="Y696" s="21" t="s">
        <v>3</v>
      </c>
      <c r="Z696" s="97" t="s">
        <v>6627</v>
      </c>
      <c r="AA696" s="406" t="s">
        <v>8647</v>
      </c>
      <c r="AB696" s="407" t="s">
        <v>8648</v>
      </c>
      <c r="AC696" s="408" t="s">
        <v>8649</v>
      </c>
      <c r="AD696" s="8" t="s">
        <v>1152</v>
      </c>
      <c r="AE696" s="71" t="s">
        <v>1406</v>
      </c>
      <c r="AF696" s="72" t="s">
        <v>1163</v>
      </c>
      <c r="AG696" s="32" t="s">
        <v>1164</v>
      </c>
      <c r="AH696" s="25" t="s">
        <v>8650</v>
      </c>
      <c r="AI696" s="8" t="s">
        <v>3852</v>
      </c>
      <c r="AJ696" s="50" t="s">
        <v>3586</v>
      </c>
      <c r="AK696" s="339" t="s">
        <v>5038</v>
      </c>
    </row>
    <row r="697" spans="1:37">
      <c r="A697" s="415">
        <v>12</v>
      </c>
      <c r="B697" s="79">
        <v>252</v>
      </c>
      <c r="C697" s="79">
        <v>128</v>
      </c>
      <c r="D697" s="79">
        <v>51</v>
      </c>
      <c r="E697" s="80">
        <v>-22</v>
      </c>
      <c r="F697" s="57">
        <v>11.98</v>
      </c>
      <c r="G697" s="79">
        <v>1569</v>
      </c>
      <c r="H697" s="204" t="s">
        <v>1152</v>
      </c>
      <c r="I697" s="16" t="s">
        <v>2375</v>
      </c>
      <c r="J697" s="73">
        <v>41.19</v>
      </c>
      <c r="K697" s="73">
        <v>1.59</v>
      </c>
      <c r="L697" s="73">
        <v>17.11</v>
      </c>
      <c r="N697" s="318">
        <f>J697+K697+L697+M697</f>
        <v>59.89</v>
      </c>
      <c r="O697" s="81">
        <f>IFERROR(VLOOKUP($G697,'321買'!A:E,3,0),"'沒有資料'")</f>
        <v>3</v>
      </c>
      <c r="P697" s="380">
        <f>IFERROR(VLOOKUP($G697,'321買'!$A:$G,7,0),"'沒有資料'")</f>
        <v>636</v>
      </c>
      <c r="R697" s="297">
        <f>IFERROR(RANK(VLOOKUP($G697,連買!$A:$D,4,0),連買!$D:$D,0),"'沒有資料'")</f>
        <v>700</v>
      </c>
      <c r="S697" s="34">
        <v>1.5</v>
      </c>
      <c r="T697" s="353">
        <f t="shared" ref="T697:T728" si="148">S697/V697</f>
        <v>5.3003533568904596E-2</v>
      </c>
      <c r="U697" s="95">
        <v>3.45</v>
      </c>
      <c r="V697" s="36">
        <f>RTD("money.excel",,"1569","Price")</f>
        <v>28.3</v>
      </c>
      <c r="W697" s="66"/>
      <c r="X697" s="15">
        <f t="shared" ref="X697:X761" si="149">V697-W697</f>
        <v>28.3</v>
      </c>
      <c r="Y697" s="3" t="e">
        <f t="shared" ref="Y697:Y761" si="150">X697/W697</f>
        <v>#DIV/0!</v>
      </c>
      <c r="AA697" s="161">
        <v>0</v>
      </c>
      <c r="AB697" s="409">
        <v>0</v>
      </c>
      <c r="AC697" s="259">
        <f t="shared" si="135"/>
        <v>0</v>
      </c>
      <c r="AD697" s="16" t="s">
        <v>2375</v>
      </c>
      <c r="AG697" s="33">
        <f t="shared" ref="AG697:AG761" si="151">AF697-AE697</f>
        <v>0</v>
      </c>
      <c r="AH697" s="43" t="s">
        <v>2619</v>
      </c>
      <c r="AI697" s="63">
        <f t="shared" ref="AI697:AI728" si="152">AJ697/(A697*10000)</f>
        <v>2.2458333333333334E-2</v>
      </c>
      <c r="AJ697" s="307">
        <f>RTD("money.excel",,$G697,"PredictVolume")</f>
        <v>2695</v>
      </c>
      <c r="AK697" s="339"/>
    </row>
    <row r="698" spans="1:37">
      <c r="A698" s="416">
        <v>235</v>
      </c>
      <c r="B698" s="79">
        <v>11</v>
      </c>
      <c r="C698" s="79">
        <v>23</v>
      </c>
      <c r="D698" s="80">
        <v>-1</v>
      </c>
      <c r="E698" s="80">
        <v>-7</v>
      </c>
      <c r="F698" s="6">
        <v>7.25</v>
      </c>
      <c r="G698" s="79">
        <v>2301</v>
      </c>
      <c r="H698" s="204" t="s">
        <v>1152</v>
      </c>
      <c r="I698" s="22" t="s">
        <v>4400</v>
      </c>
      <c r="J698" s="73">
        <v>77.16</v>
      </c>
      <c r="K698" s="323">
        <v>56.3</v>
      </c>
      <c r="L698" s="323">
        <v>0.74</v>
      </c>
      <c r="N698" s="318">
        <f t="shared" ref="N698:N761" si="153">J698+K698+L698+M698</f>
        <v>134.19999999999999</v>
      </c>
      <c r="O698" s="81">
        <f>IFERROR(VLOOKUP($G698,'321買'!A:E,3,0),"'沒有資料'")</f>
        <v>1</v>
      </c>
      <c r="P698" s="380">
        <f>IFERROR(VLOOKUP($G698,'321買'!$A:$G,7,0),"'沒有資料'")</f>
        <v>783</v>
      </c>
      <c r="R698" s="297">
        <f>IFERROR(RANK(VLOOKUP($G698,連買!$A:$D,4,0),連買!$D:$D,0),"'沒有資料'")</f>
        <v>221</v>
      </c>
      <c r="S698" s="66">
        <v>3.4</v>
      </c>
      <c r="T698" s="353">
        <f t="shared" si="148"/>
        <v>5.0147492625368731E-2</v>
      </c>
      <c r="U698" s="95">
        <v>4.3099999999999996</v>
      </c>
      <c r="V698" s="13">
        <f>RTD("money.excel",,"2301","Price")</f>
        <v>67.8</v>
      </c>
      <c r="W698" s="66"/>
      <c r="X698" s="15">
        <f t="shared" si="149"/>
        <v>67.8</v>
      </c>
      <c r="Y698" s="3" t="e">
        <f t="shared" si="150"/>
        <v>#DIV/0!</v>
      </c>
      <c r="Z698" s="413" t="s">
        <v>1997</v>
      </c>
      <c r="AA698" s="161">
        <v>0</v>
      </c>
      <c r="AB698" s="409">
        <v>0</v>
      </c>
      <c r="AC698" s="259">
        <f t="shared" si="135"/>
        <v>0</v>
      </c>
      <c r="AD698" s="22" t="s">
        <v>4400</v>
      </c>
      <c r="AG698" s="33">
        <f t="shared" si="151"/>
        <v>0</v>
      </c>
      <c r="AH698" s="120" t="s">
        <v>2893</v>
      </c>
      <c r="AI698" s="63">
        <f t="shared" si="152"/>
        <v>1.0787234042553191E-3</v>
      </c>
      <c r="AJ698" s="307">
        <f>RTD("money.excel",,$G698,"PredictVolume")</f>
        <v>2535</v>
      </c>
      <c r="AK698" s="339"/>
    </row>
    <row r="699" spans="1:37">
      <c r="A699" s="416">
        <v>20.5</v>
      </c>
      <c r="B699" s="91">
        <v>768</v>
      </c>
      <c r="C699" s="91">
        <v>45</v>
      </c>
      <c r="D699" s="91">
        <v>-16</v>
      </c>
      <c r="E699" s="91">
        <v>88</v>
      </c>
      <c r="F699" s="6">
        <v>-14.79</v>
      </c>
      <c r="G699" s="79">
        <v>2305</v>
      </c>
      <c r="H699" s="204" t="s">
        <v>1152</v>
      </c>
      <c r="I699" s="22" t="s">
        <v>457</v>
      </c>
      <c r="J699" s="73">
        <v>58.65</v>
      </c>
      <c r="K699" s="73">
        <v>5</v>
      </c>
      <c r="L699" s="323">
        <v>10.7</v>
      </c>
      <c r="N699" s="318">
        <f t="shared" si="153"/>
        <v>74.349999999999994</v>
      </c>
      <c r="O699" s="81">
        <f>IFERROR(VLOOKUP($G699,'321買'!A:E,3,0),"'沒有資料'")</f>
        <v>3</v>
      </c>
      <c r="P699" s="380">
        <f>IFERROR(VLOOKUP($G699,'321買'!$A:$G,7,0),"'沒有資料'")</f>
        <v>636</v>
      </c>
      <c r="R699" s="297">
        <f>IFERROR(RANK(VLOOKUP($G699,連買!$A:$D,4,0),連買!$D:$D,0),"'沒有資料'")</f>
        <v>1238</v>
      </c>
      <c r="S699" s="34">
        <v>0</v>
      </c>
      <c r="T699" s="353">
        <f t="shared" si="148"/>
        <v>0</v>
      </c>
      <c r="U699" s="95">
        <v>0.08</v>
      </c>
      <c r="V699" s="13">
        <f>RTD("money.excel",,"2305","Price")</f>
        <v>8.81</v>
      </c>
      <c r="W699" s="66"/>
      <c r="X699" s="15">
        <f t="shared" si="149"/>
        <v>8.81</v>
      </c>
      <c r="Y699" s="3" t="e">
        <f t="shared" si="150"/>
        <v>#DIV/0!</v>
      </c>
      <c r="AA699" s="161">
        <v>0</v>
      </c>
      <c r="AB699" s="409">
        <v>0</v>
      </c>
      <c r="AC699" s="259">
        <f t="shared" si="135"/>
        <v>0</v>
      </c>
      <c r="AD699" s="22" t="s">
        <v>457</v>
      </c>
      <c r="AG699" s="33">
        <f t="shared" si="151"/>
        <v>0</v>
      </c>
      <c r="AH699" s="43" t="s">
        <v>2894</v>
      </c>
      <c r="AI699" s="63">
        <f t="shared" si="152"/>
        <v>1.726829268292683E-3</v>
      </c>
      <c r="AJ699" s="307">
        <f>RTD("money.excel",,$G699,"PredictVolume")</f>
        <v>354</v>
      </c>
      <c r="AK699" s="339"/>
    </row>
    <row r="700" spans="1:37">
      <c r="A700" s="416">
        <v>440</v>
      </c>
      <c r="B700" s="79">
        <v>85</v>
      </c>
      <c r="C700" s="79">
        <v>48</v>
      </c>
      <c r="D700" s="79">
        <v>5</v>
      </c>
      <c r="E700" s="79">
        <v>15</v>
      </c>
      <c r="F700" s="6">
        <v>1.0900000000000001</v>
      </c>
      <c r="G700" s="79">
        <v>2324</v>
      </c>
      <c r="H700" s="204" t="s">
        <v>1152</v>
      </c>
      <c r="I700" s="22" t="s">
        <v>17</v>
      </c>
      <c r="J700" s="323">
        <v>67.069999999999993</v>
      </c>
      <c r="K700" s="73">
        <v>56.27</v>
      </c>
      <c r="L700" s="73">
        <v>0.71</v>
      </c>
      <c r="N700" s="318">
        <f t="shared" si="153"/>
        <v>124.05</v>
      </c>
      <c r="O700" s="81">
        <f>IFERROR(VLOOKUP($G700,'321買'!A:E,3,0),"'沒有資料'")</f>
        <v>4</v>
      </c>
      <c r="P700" s="380">
        <f>IFERROR(VLOOKUP($G700,'321買'!$A:$G,7,0),"'沒有資料'")</f>
        <v>592</v>
      </c>
      <c r="Q700" s="245" t="s">
        <v>3816</v>
      </c>
      <c r="R700" s="297">
        <f>IFERROR(RANK(VLOOKUP($G700,連買!$A:$D,4,0),連買!$D:$D,0),"'沒有資料'")</f>
        <v>669</v>
      </c>
      <c r="S700" s="34">
        <v>1.6</v>
      </c>
      <c r="T700" s="353">
        <f t="shared" si="148"/>
        <v>6.2992125984251982E-2</v>
      </c>
      <c r="U700" s="57">
        <v>3.22</v>
      </c>
      <c r="V700" s="13">
        <f>RTD("money.excel",,"2324","Price")</f>
        <v>25.4</v>
      </c>
      <c r="W700" s="66"/>
      <c r="X700" s="15">
        <f t="shared" si="149"/>
        <v>25.4</v>
      </c>
      <c r="Y700" s="3" t="e">
        <f t="shared" si="150"/>
        <v>#DIV/0!</v>
      </c>
      <c r="Z700" s="413" t="s">
        <v>1801</v>
      </c>
      <c r="AA700" s="161">
        <v>0</v>
      </c>
      <c r="AB700" s="409">
        <v>0</v>
      </c>
      <c r="AC700" s="259">
        <f t="shared" si="135"/>
        <v>0</v>
      </c>
      <c r="AD700" s="22" t="s">
        <v>17</v>
      </c>
      <c r="AG700" s="33">
        <f t="shared" si="151"/>
        <v>0</v>
      </c>
      <c r="AH700" s="120" t="s">
        <v>2895</v>
      </c>
      <c r="AI700" s="63">
        <f t="shared" si="152"/>
        <v>3.8470454545454546E-3</v>
      </c>
      <c r="AJ700" s="307">
        <f>RTD("money.excel",,$G700,"PredictVolume")</f>
        <v>16927</v>
      </c>
      <c r="AK700" s="339"/>
    </row>
    <row r="701" spans="1:37">
      <c r="A701" s="416">
        <v>55.7</v>
      </c>
      <c r="B701" s="79">
        <v>104</v>
      </c>
      <c r="C701" s="79">
        <v>112</v>
      </c>
      <c r="D701" s="79">
        <v>21</v>
      </c>
      <c r="E701" s="79">
        <v>6</v>
      </c>
      <c r="F701" s="6">
        <v>0.52</v>
      </c>
      <c r="G701" s="79">
        <v>2331</v>
      </c>
      <c r="H701" s="204" t="s">
        <v>1152</v>
      </c>
      <c r="I701" s="22" t="s">
        <v>93</v>
      </c>
      <c r="J701" s="73">
        <v>73.709999999999994</v>
      </c>
      <c r="K701" s="73">
        <v>14.85</v>
      </c>
      <c r="L701" s="73">
        <v>27.67</v>
      </c>
      <c r="N701" s="318">
        <f t="shared" si="153"/>
        <v>116.22999999999999</v>
      </c>
      <c r="O701" s="81">
        <f>IFERROR(VLOOKUP($G701,'321買'!A:E,3,0),"'沒有資料'")</f>
        <v>9</v>
      </c>
      <c r="P701" s="380">
        <f>IFERROR(VLOOKUP($G701,'321買'!$A:$G,7,0),"'沒有資料'")</f>
        <v>433</v>
      </c>
      <c r="R701" s="297">
        <f>IFERROR(RANK(VLOOKUP($G701,連買!$A:$D,4,0),連買!$D:$D,0),"'沒有資料'")</f>
        <v>1451</v>
      </c>
      <c r="S701" s="34">
        <v>0.1</v>
      </c>
      <c r="T701" s="353">
        <f t="shared" si="148"/>
        <v>5.2219321148825075E-3</v>
      </c>
      <c r="U701" s="95">
        <v>0.11</v>
      </c>
      <c r="V701" s="36">
        <f>RTD("money.excel",,"2331","Price")</f>
        <v>19.149999999999999</v>
      </c>
      <c r="W701" s="66"/>
      <c r="X701" s="15">
        <f t="shared" si="149"/>
        <v>19.149999999999999</v>
      </c>
      <c r="Y701" s="3" t="e">
        <f t="shared" si="150"/>
        <v>#DIV/0!</v>
      </c>
      <c r="AA701" s="161">
        <v>0</v>
      </c>
      <c r="AB701" s="409">
        <v>0</v>
      </c>
      <c r="AC701" s="259">
        <f t="shared" si="135"/>
        <v>0</v>
      </c>
      <c r="AD701" s="22" t="s">
        <v>93</v>
      </c>
      <c r="AG701" s="33">
        <f t="shared" si="151"/>
        <v>0</v>
      </c>
      <c r="AH701" s="120" t="s">
        <v>2896</v>
      </c>
      <c r="AI701" s="63">
        <f t="shared" si="152"/>
        <v>9.5511669658886894E-4</v>
      </c>
      <c r="AJ701" s="307">
        <f>RTD("money.excel",,$G701,"PredictVolume")</f>
        <v>532</v>
      </c>
      <c r="AK701" s="339"/>
    </row>
    <row r="702" spans="1:37">
      <c r="A702" s="415">
        <v>196</v>
      </c>
      <c r="B702" s="79">
        <v>13</v>
      </c>
      <c r="C702" s="80">
        <v>-7</v>
      </c>
      <c r="D702" s="80">
        <v>-3</v>
      </c>
      <c r="E702" s="79">
        <v>33</v>
      </c>
      <c r="F702" s="57">
        <v>33.659999999999997</v>
      </c>
      <c r="G702" s="79">
        <v>2352</v>
      </c>
      <c r="H702" s="204" t="s">
        <v>1152</v>
      </c>
      <c r="I702" s="22" t="s">
        <v>107</v>
      </c>
      <c r="J702" s="323">
        <v>55.91</v>
      </c>
      <c r="K702" s="73">
        <v>22.73</v>
      </c>
      <c r="L702" s="73">
        <v>4.5</v>
      </c>
      <c r="N702" s="318">
        <f t="shared" si="153"/>
        <v>83.14</v>
      </c>
      <c r="O702" s="81">
        <f>IFERROR(VLOOKUP($G702,'321買'!A:E,3,0),"'沒有資料'")</f>
        <v>0</v>
      </c>
      <c r="P702" s="380">
        <f>IFERROR(VLOOKUP($G702,'321買'!$A:$G,7,0),"'沒有資料'")</f>
        <v>911</v>
      </c>
      <c r="R702" s="297">
        <f>IFERROR(RANK(VLOOKUP($G702,連買!$A:$D,4,0),連買!$D:$D,0),"'沒有資料'")</f>
        <v>534</v>
      </c>
      <c r="S702" s="34">
        <v>0.75</v>
      </c>
      <c r="T702" s="353">
        <f t="shared" si="148"/>
        <v>2.2388059701492536E-2</v>
      </c>
      <c r="U702" s="95">
        <v>2.54</v>
      </c>
      <c r="V702" s="36">
        <f>RTD("money.excel",,"2352","Price")</f>
        <v>33.5</v>
      </c>
      <c r="W702" s="66"/>
      <c r="X702" s="15">
        <f t="shared" si="149"/>
        <v>33.5</v>
      </c>
      <c r="Y702" s="3" t="e">
        <f t="shared" si="150"/>
        <v>#DIV/0!</v>
      </c>
      <c r="Z702" s="413" t="s">
        <v>1801</v>
      </c>
      <c r="AA702" s="161">
        <v>0</v>
      </c>
      <c r="AB702" s="409">
        <v>0</v>
      </c>
      <c r="AC702" s="259">
        <f t="shared" si="135"/>
        <v>0</v>
      </c>
      <c r="AD702" s="22" t="s">
        <v>107</v>
      </c>
      <c r="AG702" s="33">
        <f t="shared" si="151"/>
        <v>0</v>
      </c>
      <c r="AH702" s="120" t="s">
        <v>2208</v>
      </c>
      <c r="AI702" s="63">
        <f t="shared" si="152"/>
        <v>2.1224489795918368E-3</v>
      </c>
      <c r="AJ702" s="307">
        <f>RTD("money.excel",,$G702,"PredictVolume")</f>
        <v>4160</v>
      </c>
      <c r="AK702" s="339"/>
    </row>
    <row r="703" spans="1:37">
      <c r="A703" s="416">
        <v>304</v>
      </c>
      <c r="B703" s="79">
        <v>224</v>
      </c>
      <c r="C703" s="79">
        <v>216</v>
      </c>
      <c r="D703" s="79">
        <v>3</v>
      </c>
      <c r="E703" s="80">
        <v>-1</v>
      </c>
      <c r="F703" s="6">
        <v>4.4800000000000004</v>
      </c>
      <c r="G703" s="79">
        <v>2353</v>
      </c>
      <c r="H703" s="204" t="s">
        <v>1152</v>
      </c>
      <c r="I703" s="22" t="s">
        <v>4401</v>
      </c>
      <c r="J703" s="73">
        <v>43.93</v>
      </c>
      <c r="K703" s="73">
        <v>35.28</v>
      </c>
      <c r="L703" s="323">
        <v>7.24</v>
      </c>
      <c r="N703" s="318">
        <f t="shared" si="153"/>
        <v>86.45</v>
      </c>
      <c r="O703" s="81">
        <f>IFERROR(VLOOKUP($G703,'321買'!A:E,3,0),"'沒有資料'")</f>
        <v>12</v>
      </c>
      <c r="P703" s="380">
        <f>IFERROR(VLOOKUP($G703,'321買'!$A:$G,7,0),"'沒有資料'")</f>
        <v>348</v>
      </c>
      <c r="R703" s="297">
        <f>IFERROR(RANK(VLOOKUP($G703,連買!$A:$D,4,0),連買!$D:$D,0),"'沒有資料'")</f>
        <v>555</v>
      </c>
      <c r="S703" s="34">
        <v>1.5</v>
      </c>
      <c r="T703" s="353">
        <f t="shared" si="148"/>
        <v>5.272407732864675E-2</v>
      </c>
      <c r="U703" s="95">
        <v>3.3</v>
      </c>
      <c r="V703" s="36">
        <f>RTD("money.excel",,"2353","Price")</f>
        <v>28.45</v>
      </c>
      <c r="W703" s="66"/>
      <c r="X703" s="15">
        <f t="shared" si="149"/>
        <v>28.45</v>
      </c>
      <c r="Y703" s="3" t="e">
        <f t="shared" si="150"/>
        <v>#DIV/0!</v>
      </c>
      <c r="Z703" s="413" t="s">
        <v>1801</v>
      </c>
      <c r="AA703" s="161">
        <v>0</v>
      </c>
      <c r="AB703" s="409">
        <v>0</v>
      </c>
      <c r="AC703" s="259">
        <f t="shared" si="135"/>
        <v>0</v>
      </c>
      <c r="AD703" s="22" t="s">
        <v>4401</v>
      </c>
      <c r="AG703" s="33">
        <f t="shared" si="151"/>
        <v>0</v>
      </c>
      <c r="AH703" s="120" t="s">
        <v>2897</v>
      </c>
      <c r="AI703" s="63">
        <f t="shared" si="152"/>
        <v>4.2753289473684208E-3</v>
      </c>
      <c r="AJ703" s="307">
        <f>RTD("money.excel",,$G703,"PredictVolume")</f>
        <v>12997</v>
      </c>
      <c r="AK703" s="339"/>
    </row>
    <row r="704" spans="1:37">
      <c r="A704" s="416">
        <v>358</v>
      </c>
      <c r="B704" s="80">
        <v>-22</v>
      </c>
      <c r="C704" s="80">
        <v>-7</v>
      </c>
      <c r="D704" s="80">
        <v>-5</v>
      </c>
      <c r="E704" s="79">
        <v>13</v>
      </c>
      <c r="F704" s="6">
        <v>0.95</v>
      </c>
      <c r="G704" s="79">
        <v>2356</v>
      </c>
      <c r="H704" s="204" t="s">
        <v>1152</v>
      </c>
      <c r="I704" s="22" t="s">
        <v>20</v>
      </c>
      <c r="J704" s="73">
        <v>77.8</v>
      </c>
      <c r="K704" s="73">
        <v>36.42</v>
      </c>
      <c r="L704" s="323">
        <v>0.32</v>
      </c>
      <c r="N704" s="318">
        <f t="shared" si="153"/>
        <v>114.53999999999999</v>
      </c>
      <c r="O704" s="81">
        <f>IFERROR(VLOOKUP($G704,'321買'!A:E,3,0),"'沒有資料'")</f>
        <v>2</v>
      </c>
      <c r="P704" s="380">
        <f>IFERROR(VLOOKUP($G704,'321買'!$A:$G,7,0),"'沒有資料'")</f>
        <v>706</v>
      </c>
      <c r="R704" s="297">
        <f>IFERROR(RANK(VLOOKUP($G704,連買!$A:$D,4,0),連買!$D:$D,0),"'沒有資料'")</f>
        <v>1228</v>
      </c>
      <c r="S704" s="34">
        <v>1.85</v>
      </c>
      <c r="T704" s="353">
        <f t="shared" si="148"/>
        <v>7.2407045009784732E-2</v>
      </c>
      <c r="U704" s="57">
        <v>1.67</v>
      </c>
      <c r="V704" s="36">
        <f>RTD("money.excel",,"2356","Price")</f>
        <v>25.55</v>
      </c>
      <c r="W704" s="66"/>
      <c r="X704" s="15">
        <f t="shared" si="149"/>
        <v>25.55</v>
      </c>
      <c r="Y704" s="3" t="e">
        <f t="shared" si="150"/>
        <v>#DIV/0!</v>
      </c>
      <c r="Z704" s="413" t="s">
        <v>1801</v>
      </c>
      <c r="AA704" s="161">
        <v>0</v>
      </c>
      <c r="AB704" s="409">
        <v>0</v>
      </c>
      <c r="AC704" s="259">
        <f t="shared" si="135"/>
        <v>0</v>
      </c>
      <c r="AD704" s="22" t="s">
        <v>20</v>
      </c>
      <c r="AG704" s="33">
        <f t="shared" si="151"/>
        <v>0</v>
      </c>
      <c r="AH704" s="120" t="s">
        <v>1057</v>
      </c>
      <c r="AI704" s="63">
        <f t="shared" si="152"/>
        <v>1.8388268156424581E-3</v>
      </c>
      <c r="AJ704" s="307">
        <f>RTD("money.excel",,$G704,"PredictVolume")</f>
        <v>6583</v>
      </c>
      <c r="AK704" s="339"/>
    </row>
    <row r="705" spans="1:39">
      <c r="A705" s="416">
        <v>74.2</v>
      </c>
      <c r="B705" s="79">
        <v>87</v>
      </c>
      <c r="C705" s="79">
        <v>109</v>
      </c>
      <c r="D705" s="79">
        <v>22</v>
      </c>
      <c r="E705" s="79">
        <v>38</v>
      </c>
      <c r="F705" s="6">
        <v>9.5</v>
      </c>
      <c r="G705" s="79">
        <v>2357</v>
      </c>
      <c r="H705" s="204" t="s">
        <v>1152</v>
      </c>
      <c r="I705" s="22" t="s">
        <v>1925</v>
      </c>
      <c r="J705" s="73">
        <v>59.16</v>
      </c>
      <c r="K705" s="323">
        <v>58.84</v>
      </c>
      <c r="L705" s="323">
        <v>1.55</v>
      </c>
      <c r="N705" s="318">
        <f t="shared" si="153"/>
        <v>119.55</v>
      </c>
      <c r="O705" s="81">
        <f>IFERROR(VLOOKUP($G705,'321買'!A:E,3,0),"'沒有資料'")</f>
        <v>0</v>
      </c>
      <c r="P705" s="380">
        <f>IFERROR(VLOOKUP($G705,'321買'!$A:$G,7,0),"'沒有資料'")</f>
        <v>911</v>
      </c>
      <c r="Q705" s="245" t="s">
        <v>3816</v>
      </c>
      <c r="R705" s="297">
        <f>IFERROR(RANK(VLOOKUP($G705,連買!$A:$D,4,0),連買!$D:$D,0),"'沒有資料'")</f>
        <v>14</v>
      </c>
      <c r="S705" s="66">
        <v>26</v>
      </c>
      <c r="T705" s="353">
        <f t="shared" si="148"/>
        <v>7.2829131652661069E-2</v>
      </c>
      <c r="U705" s="57">
        <v>57</v>
      </c>
      <c r="V705" s="13">
        <f>RTD("money.excel",,"2357","Price")</f>
        <v>357</v>
      </c>
      <c r="W705" s="66"/>
      <c r="X705" s="15">
        <f t="shared" si="149"/>
        <v>357</v>
      </c>
      <c r="Y705" s="3" t="e">
        <f t="shared" si="150"/>
        <v>#DIV/0!</v>
      </c>
      <c r="Z705" s="413" t="s">
        <v>1997</v>
      </c>
      <c r="AA705" s="161">
        <v>0</v>
      </c>
      <c r="AB705" s="409">
        <v>0</v>
      </c>
      <c r="AC705" s="259">
        <f t="shared" si="135"/>
        <v>0</v>
      </c>
      <c r="AD705" s="22" t="s">
        <v>1925</v>
      </c>
      <c r="AG705" s="33">
        <f t="shared" si="151"/>
        <v>0</v>
      </c>
      <c r="AH705" s="120" t="s">
        <v>2629</v>
      </c>
      <c r="AI705" s="63">
        <f t="shared" si="152"/>
        <v>2.2102425876010783E-3</v>
      </c>
      <c r="AJ705" s="307">
        <f>RTD("money.excel",,$G705,"PredictVolume")</f>
        <v>1640</v>
      </c>
      <c r="AK705" s="339"/>
    </row>
    <row r="706" spans="1:39">
      <c r="A706" s="416">
        <v>66.900000000000006</v>
      </c>
      <c r="B706" s="80">
        <v>-74</v>
      </c>
      <c r="C706" s="79">
        <v>95</v>
      </c>
      <c r="D706" s="80">
        <v>-1</v>
      </c>
      <c r="E706" s="79">
        <v>1</v>
      </c>
      <c r="F706" s="6">
        <v>8.65</v>
      </c>
      <c r="G706" s="79">
        <v>2362</v>
      </c>
      <c r="H706" s="204" t="s">
        <v>1152</v>
      </c>
      <c r="I706" s="22" t="s">
        <v>56</v>
      </c>
      <c r="J706" s="73">
        <v>79.81</v>
      </c>
      <c r="K706" s="73">
        <v>10.86</v>
      </c>
      <c r="L706" s="73">
        <v>6.36</v>
      </c>
      <c r="N706" s="318">
        <f t="shared" si="153"/>
        <v>97.03</v>
      </c>
      <c r="O706" s="81">
        <f>IFERROR(VLOOKUP($G706,'321買'!A:E,3,0),"'沒有資料'")</f>
        <v>0</v>
      </c>
      <c r="P706" s="380">
        <f>IFERROR(VLOOKUP($G706,'321買'!$A:$G,7,0),"'沒有資料'")</f>
        <v>911</v>
      </c>
      <c r="R706" s="297">
        <f>IFERROR(RANK(VLOOKUP($G706,連買!$A:$D,4,0),連買!$D:$D,0),"'沒有資料'")</f>
        <v>609</v>
      </c>
      <c r="S706" s="34">
        <v>0.6</v>
      </c>
      <c r="T706" s="353">
        <f t="shared" si="148"/>
        <v>1.889763779527559E-2</v>
      </c>
      <c r="U706" s="95">
        <v>1.1100000000000001</v>
      </c>
      <c r="V706" s="36">
        <f>RTD("money.excel",,"2362","Price")</f>
        <v>31.75</v>
      </c>
      <c r="W706" s="66"/>
      <c r="X706" s="15">
        <f t="shared" si="149"/>
        <v>31.75</v>
      </c>
      <c r="Y706" s="3" t="e">
        <f t="shared" si="150"/>
        <v>#DIV/0!</v>
      </c>
      <c r="Z706" s="413" t="s">
        <v>1801</v>
      </c>
      <c r="AA706" s="161">
        <v>0</v>
      </c>
      <c r="AB706" s="409">
        <v>0</v>
      </c>
      <c r="AC706" s="259">
        <f t="shared" si="135"/>
        <v>0</v>
      </c>
      <c r="AD706" s="22" t="s">
        <v>56</v>
      </c>
      <c r="AG706" s="33">
        <f t="shared" si="151"/>
        <v>0</v>
      </c>
      <c r="AH706" s="120" t="s">
        <v>2898</v>
      </c>
      <c r="AI706" s="63">
        <f t="shared" si="152"/>
        <v>3.6023916292974591E-4</v>
      </c>
      <c r="AJ706" s="307">
        <f>RTD("money.excel",,$G706,"PredictVolume")</f>
        <v>241</v>
      </c>
      <c r="AK706" s="339"/>
    </row>
    <row r="707" spans="1:39">
      <c r="A707" s="416">
        <v>19.5</v>
      </c>
      <c r="B707" s="91">
        <v>106</v>
      </c>
      <c r="C707" s="91">
        <v>100</v>
      </c>
      <c r="D707" s="91">
        <v>-29</v>
      </c>
      <c r="E707" s="91">
        <v>11</v>
      </c>
      <c r="F707" s="6">
        <v>0.08</v>
      </c>
      <c r="G707" s="79">
        <v>2364</v>
      </c>
      <c r="H707" s="204" t="s">
        <v>1152</v>
      </c>
      <c r="I707" s="22" t="s">
        <v>458</v>
      </c>
      <c r="J707" s="73">
        <v>64.209999999999994</v>
      </c>
      <c r="K707" s="73">
        <v>15.1</v>
      </c>
      <c r="N707" s="318">
        <f t="shared" si="153"/>
        <v>79.309999999999988</v>
      </c>
      <c r="O707" s="81">
        <f>IFERROR(VLOOKUP($G707,'321買'!A:E,3,0),"'沒有資料'")</f>
        <v>0</v>
      </c>
      <c r="P707" s="380">
        <f>IFERROR(VLOOKUP($G707,'321買'!$A:$G,7,0),"'沒有資料'")</f>
        <v>911</v>
      </c>
      <c r="R707" s="297">
        <f>IFERROR(RANK(VLOOKUP($G707,連買!$A:$D,4,0),連買!$D:$D,0),"'沒有資料'")</f>
        <v>1379</v>
      </c>
      <c r="S707" s="34">
        <v>0</v>
      </c>
      <c r="T707" s="353">
        <f t="shared" si="148"/>
        <v>0</v>
      </c>
      <c r="U707" s="95">
        <v>0.11</v>
      </c>
      <c r="V707" s="13">
        <f>RTD("money.excel",,"2364","Price")</f>
        <v>22.3</v>
      </c>
      <c r="W707" s="66"/>
      <c r="X707" s="15">
        <f t="shared" si="149"/>
        <v>22.3</v>
      </c>
      <c r="Y707" s="3" t="e">
        <f t="shared" si="150"/>
        <v>#DIV/0!</v>
      </c>
      <c r="AA707" s="161">
        <v>0</v>
      </c>
      <c r="AB707" s="409">
        <v>0</v>
      </c>
      <c r="AC707" s="259">
        <f t="shared" si="135"/>
        <v>0</v>
      </c>
      <c r="AD707" s="22" t="s">
        <v>458</v>
      </c>
      <c r="AG707" s="33">
        <f t="shared" si="151"/>
        <v>0</v>
      </c>
      <c r="AH707" s="43" t="s">
        <v>2899</v>
      </c>
      <c r="AI707" s="63">
        <f t="shared" si="152"/>
        <v>3.0769230769230768E-5</v>
      </c>
      <c r="AJ707" s="307">
        <f>RTD("money.excel",,$G707,"PredictVolume")</f>
        <v>6</v>
      </c>
      <c r="AK707" s="339"/>
    </row>
    <row r="708" spans="1:39">
      <c r="A708" s="415">
        <v>22.4</v>
      </c>
      <c r="B708" s="91">
        <v>247</v>
      </c>
      <c r="C708" s="91">
        <v>289</v>
      </c>
      <c r="D708" s="91">
        <v>19</v>
      </c>
      <c r="E708" s="91">
        <v>14</v>
      </c>
      <c r="F708" s="57">
        <v>10.69</v>
      </c>
      <c r="G708" s="79">
        <v>2365</v>
      </c>
      <c r="H708" s="204" t="s">
        <v>1152</v>
      </c>
      <c r="I708" s="22" t="s">
        <v>4402</v>
      </c>
      <c r="J708" s="73">
        <v>41.55</v>
      </c>
      <c r="K708" s="73">
        <v>5.84</v>
      </c>
      <c r="L708" s="73">
        <v>15.85</v>
      </c>
      <c r="N708" s="318">
        <f t="shared" si="153"/>
        <v>63.24</v>
      </c>
      <c r="O708" s="81">
        <f>IFERROR(VLOOKUP($G708,'321買'!A:E,3,0),"'沒有資料'")</f>
        <v>3</v>
      </c>
      <c r="P708" s="380">
        <f>IFERROR(VLOOKUP($G708,'321買'!$A:$G,7,0),"'沒有資料'")</f>
        <v>636</v>
      </c>
      <c r="R708" s="297">
        <f>IFERROR(RANK(VLOOKUP($G708,連買!$A:$D,4,0),連買!$D:$D,0),"'沒有資料'")</f>
        <v>1107</v>
      </c>
      <c r="S708" s="34">
        <v>0.3</v>
      </c>
      <c r="T708" s="353">
        <f t="shared" si="148"/>
        <v>2.7522935779816512E-2</v>
      </c>
      <c r="U708" s="95">
        <v>0.64</v>
      </c>
      <c r="V708" s="36">
        <f>RTD("money.excel",,"2365","Price")</f>
        <v>10.9</v>
      </c>
      <c r="W708" s="66"/>
      <c r="X708" s="15">
        <f t="shared" si="149"/>
        <v>10.9</v>
      </c>
      <c r="Y708" s="3" t="e">
        <f t="shared" si="150"/>
        <v>#DIV/0!</v>
      </c>
      <c r="AA708" s="161">
        <v>0</v>
      </c>
      <c r="AB708" s="409">
        <v>0</v>
      </c>
      <c r="AC708" s="259">
        <f t="shared" si="135"/>
        <v>0</v>
      </c>
      <c r="AD708" s="22" t="s">
        <v>4402</v>
      </c>
      <c r="AG708" s="33">
        <f t="shared" si="151"/>
        <v>0</v>
      </c>
      <c r="AH708" s="43" t="s">
        <v>2900</v>
      </c>
      <c r="AI708" s="63">
        <f t="shared" si="152"/>
        <v>1.4508928571428572E-3</v>
      </c>
      <c r="AJ708" s="307">
        <f>RTD("money.excel",,$G708,"PredictVolume")</f>
        <v>325</v>
      </c>
      <c r="AK708" s="339"/>
    </row>
    <row r="709" spans="1:39">
      <c r="A709" s="415">
        <v>63.5</v>
      </c>
      <c r="B709" s="79">
        <v>229</v>
      </c>
      <c r="C709" s="79">
        <v>295</v>
      </c>
      <c r="D709" s="79">
        <v>25</v>
      </c>
      <c r="E709" s="79">
        <v>48</v>
      </c>
      <c r="F709" s="57">
        <v>11.68</v>
      </c>
      <c r="G709" s="79">
        <v>2376</v>
      </c>
      <c r="H709" s="204" t="s">
        <v>1152</v>
      </c>
      <c r="I709" s="22" t="s">
        <v>4403</v>
      </c>
      <c r="J709" s="73">
        <v>56.77</v>
      </c>
      <c r="K709" s="73">
        <v>35.31</v>
      </c>
      <c r="L709" s="323">
        <v>8.1300000000000008</v>
      </c>
      <c r="N709" s="318">
        <f t="shared" si="153"/>
        <v>100.21000000000001</v>
      </c>
      <c r="O709" s="81">
        <f>IFERROR(VLOOKUP($G709,'321買'!A:E,3,0),"'沒有資料'")</f>
        <v>34</v>
      </c>
      <c r="P709" s="380">
        <f>IFERROR(VLOOKUP($G709,'321買'!$A:$G,7,0),"'沒有資料'")</f>
        <v>135</v>
      </c>
      <c r="R709" s="297">
        <f>IFERROR(RANK(VLOOKUP($G709,連買!$A:$D,4,0),連買!$D:$D,0),"'沒有資料'")</f>
        <v>130</v>
      </c>
      <c r="S709" s="66">
        <v>5</v>
      </c>
      <c r="T709" s="353">
        <f t="shared" si="148"/>
        <v>4.3668122270742356E-2</v>
      </c>
      <c r="U709" s="57">
        <v>13.49</v>
      </c>
      <c r="V709" s="36">
        <f>RTD("money.excel",,"2376","Price")</f>
        <v>114.5</v>
      </c>
      <c r="W709" s="66"/>
      <c r="X709" s="15">
        <f t="shared" si="149"/>
        <v>114.5</v>
      </c>
      <c r="Y709" s="3" t="e">
        <f t="shared" si="150"/>
        <v>#DIV/0!</v>
      </c>
      <c r="Z709" s="413" t="s">
        <v>1997</v>
      </c>
      <c r="AA709" s="161">
        <v>0</v>
      </c>
      <c r="AB709" s="409">
        <v>0</v>
      </c>
      <c r="AC709" s="259">
        <f t="shared" ref="AC709:AC772" si="154">AA709-AB709</f>
        <v>0</v>
      </c>
      <c r="AD709" s="22" t="s">
        <v>4403</v>
      </c>
      <c r="AG709" s="33">
        <f t="shared" si="151"/>
        <v>0</v>
      </c>
      <c r="AH709" s="43" t="s">
        <v>2903</v>
      </c>
      <c r="AI709" s="63">
        <f t="shared" si="152"/>
        <v>1.1313385826771653E-2</v>
      </c>
      <c r="AJ709" s="307">
        <f>RTD("money.excel",,$G709,"PredictVolume")</f>
        <v>7184</v>
      </c>
      <c r="AK709" s="339"/>
    </row>
    <row r="710" spans="1:39">
      <c r="A710" s="415">
        <v>84.4</v>
      </c>
      <c r="B710" s="79">
        <v>155</v>
      </c>
      <c r="C710" s="79">
        <v>158</v>
      </c>
      <c r="D710" s="79">
        <v>3</v>
      </c>
      <c r="E710" s="79">
        <v>40</v>
      </c>
      <c r="F710" s="57">
        <v>10.77</v>
      </c>
      <c r="G710" s="79">
        <v>2377</v>
      </c>
      <c r="H710" s="204" t="s">
        <v>1152</v>
      </c>
      <c r="I710" s="22" t="s">
        <v>3610</v>
      </c>
      <c r="J710" s="323">
        <v>71.48</v>
      </c>
      <c r="K710" s="73">
        <v>48.34</v>
      </c>
      <c r="L710" s="73">
        <v>2.66</v>
      </c>
      <c r="N710" s="318">
        <f t="shared" si="153"/>
        <v>122.48</v>
      </c>
      <c r="O710" s="81">
        <f>IFERROR(VLOOKUP($G710,'321買'!A:E,3,0),"'沒有資料'")</f>
        <v>3</v>
      </c>
      <c r="P710" s="380">
        <f>IFERROR(VLOOKUP($G710,'321買'!$A:$G,7,0),"'沒有資料'")</f>
        <v>636</v>
      </c>
      <c r="R710" s="297">
        <f>IFERROR(RANK(VLOOKUP($G710,連買!$A:$D,4,0),連買!$D:$D,0),"'沒有資料'")</f>
        <v>326</v>
      </c>
      <c r="S710" s="66">
        <v>6.1</v>
      </c>
      <c r="T710" s="353">
        <f t="shared" si="148"/>
        <v>4.9593495934959347E-2</v>
      </c>
      <c r="U710" s="57">
        <v>15.6</v>
      </c>
      <c r="V710" s="13">
        <f>RTD("money.excel",,"2377","Price")</f>
        <v>123</v>
      </c>
      <c r="W710" s="66"/>
      <c r="X710" s="15">
        <f t="shared" si="149"/>
        <v>123</v>
      </c>
      <c r="Y710" s="3" t="e">
        <f t="shared" si="150"/>
        <v>#DIV/0!</v>
      </c>
      <c r="Z710" s="413" t="s">
        <v>1997</v>
      </c>
      <c r="AA710" s="161">
        <v>0</v>
      </c>
      <c r="AB710" s="409">
        <v>0</v>
      </c>
      <c r="AC710" s="259">
        <f t="shared" si="154"/>
        <v>0</v>
      </c>
      <c r="AD710" s="22" t="s">
        <v>3610</v>
      </c>
      <c r="AG710" s="33">
        <f t="shared" si="151"/>
        <v>0</v>
      </c>
      <c r="AH710" s="43" t="s">
        <v>2903</v>
      </c>
      <c r="AI710" s="63">
        <f t="shared" si="152"/>
        <v>3.2452606635071089E-3</v>
      </c>
      <c r="AJ710" s="307">
        <f>RTD("money.excel",,$G710,"PredictVolume")</f>
        <v>2739</v>
      </c>
      <c r="AK710" s="339"/>
    </row>
    <row r="711" spans="1:39">
      <c r="A711" s="416">
        <v>17.899999999999999</v>
      </c>
      <c r="B711" s="91">
        <v>-22</v>
      </c>
      <c r="C711" s="91">
        <v>-16</v>
      </c>
      <c r="D711" s="91">
        <v>-14</v>
      </c>
      <c r="E711" s="91">
        <v>140</v>
      </c>
      <c r="F711" s="6">
        <v>-34.51</v>
      </c>
      <c r="G711" s="79">
        <v>2380</v>
      </c>
      <c r="H711" s="204" t="s">
        <v>1152</v>
      </c>
      <c r="I711" s="22" t="s">
        <v>4404</v>
      </c>
      <c r="J711" s="73">
        <v>54.63</v>
      </c>
      <c r="K711" s="73">
        <v>8.94</v>
      </c>
      <c r="L711" s="73">
        <v>0</v>
      </c>
      <c r="N711" s="318">
        <f t="shared" si="153"/>
        <v>63.57</v>
      </c>
      <c r="O711" s="81">
        <f>IFERROR(VLOOKUP($G711,'321買'!A:E,3,0),"'沒有資料'")</f>
        <v>0</v>
      </c>
      <c r="P711" s="380">
        <f>IFERROR(VLOOKUP($G711,'321買'!$A:$G,7,0),"'沒有資料'")</f>
        <v>911</v>
      </c>
      <c r="R711" s="297">
        <f>IFERROR(RANK(VLOOKUP($G711,連買!$A:$D,4,0),連買!$D:$D,0),"'沒有資料'")</f>
        <v>1237</v>
      </c>
      <c r="S711" s="34">
        <v>0</v>
      </c>
      <c r="T711" s="353">
        <f t="shared" si="148"/>
        <v>0</v>
      </c>
      <c r="U711" s="95">
        <v>-2.37</v>
      </c>
      <c r="V711" s="36">
        <f>RTD("money.excel",,"2380","Price")</f>
        <v>11.55</v>
      </c>
      <c r="W711" s="66"/>
      <c r="X711" s="15">
        <f t="shared" si="149"/>
        <v>11.55</v>
      </c>
      <c r="Y711" s="3" t="e">
        <f t="shared" si="150"/>
        <v>#DIV/0!</v>
      </c>
      <c r="AA711" s="161">
        <v>0</v>
      </c>
      <c r="AB711" s="409">
        <v>0</v>
      </c>
      <c r="AC711" s="259">
        <f t="shared" si="154"/>
        <v>0</v>
      </c>
      <c r="AD711" s="22" t="s">
        <v>4404</v>
      </c>
      <c r="AG711" s="33">
        <f t="shared" si="151"/>
        <v>0</v>
      </c>
      <c r="AH711" s="43" t="s">
        <v>2894</v>
      </c>
      <c r="AI711" s="63">
        <f t="shared" si="152"/>
        <v>1.9608938547486035E-3</v>
      </c>
      <c r="AJ711" s="307">
        <f>RTD("money.excel",,$G711,"PredictVolume")</f>
        <v>351</v>
      </c>
      <c r="AK711" s="339"/>
    </row>
    <row r="712" spans="1:39">
      <c r="A712" s="416">
        <v>386</v>
      </c>
      <c r="B712" s="79">
        <v>35</v>
      </c>
      <c r="C712" s="79">
        <v>14</v>
      </c>
      <c r="D712" s="79">
        <v>21</v>
      </c>
      <c r="E712" s="79">
        <v>16</v>
      </c>
      <c r="F712" s="6">
        <v>3.3</v>
      </c>
      <c r="G712" s="79">
        <v>2382</v>
      </c>
      <c r="H712" s="204" t="s">
        <v>1152</v>
      </c>
      <c r="I712" s="22" t="s">
        <v>208</v>
      </c>
      <c r="J712" s="323">
        <v>89.88</v>
      </c>
      <c r="K712" s="323">
        <v>32.58</v>
      </c>
      <c r="L712" s="73">
        <v>0.3</v>
      </c>
      <c r="M712" s="323">
        <v>13.24</v>
      </c>
      <c r="N712" s="73">
        <f t="shared" si="153"/>
        <v>136</v>
      </c>
      <c r="O712" s="81">
        <f>IFERROR(VLOOKUP($G712,'321買'!A:E,3,0),"'沒有資料'")</f>
        <v>0</v>
      </c>
      <c r="P712" s="380">
        <f>IFERROR(VLOOKUP($G712,'321買'!$A:$G,7,0),"'沒有資料'")</f>
        <v>911</v>
      </c>
      <c r="Q712" s="245" t="s">
        <v>3816</v>
      </c>
      <c r="R712" s="297">
        <f>IFERROR(RANK(VLOOKUP($G712,連買!$A:$D,4,0),連買!$D:$D,0),"'沒有資料'")</f>
        <v>85</v>
      </c>
      <c r="S712" s="45">
        <v>6.6</v>
      </c>
      <c r="T712" s="353">
        <f t="shared" si="148"/>
        <v>7.7102803738317752E-2</v>
      </c>
      <c r="U712" s="57">
        <v>8.73</v>
      </c>
      <c r="V712" s="36">
        <f>RTD("money.excel",,"2382","Price")</f>
        <v>85.6</v>
      </c>
      <c r="W712" s="66"/>
      <c r="X712" s="15">
        <f t="shared" si="149"/>
        <v>85.6</v>
      </c>
      <c r="Y712" s="3" t="e">
        <f t="shared" si="150"/>
        <v>#DIV/0!</v>
      </c>
      <c r="Z712" s="413" t="s">
        <v>8615</v>
      </c>
      <c r="AA712" s="161">
        <v>0</v>
      </c>
      <c r="AB712" s="409">
        <v>0</v>
      </c>
      <c r="AC712" s="259">
        <f t="shared" si="154"/>
        <v>0</v>
      </c>
      <c r="AD712" s="22" t="s">
        <v>208</v>
      </c>
      <c r="AG712" s="33">
        <f t="shared" si="151"/>
        <v>0</v>
      </c>
      <c r="AH712" s="120" t="s">
        <v>2901</v>
      </c>
      <c r="AI712" s="63">
        <f t="shared" si="152"/>
        <v>2.1336787564766838E-3</v>
      </c>
      <c r="AJ712" s="307">
        <f>RTD("money.excel",,$G712,"PredictVolume")</f>
        <v>8236</v>
      </c>
      <c r="AK712" s="339">
        <v>0.98</v>
      </c>
    </row>
    <row r="713" spans="1:39">
      <c r="A713" s="416">
        <v>19.5</v>
      </c>
      <c r="B713" s="80">
        <v>-3</v>
      </c>
      <c r="C713" s="80">
        <v>-5</v>
      </c>
      <c r="D713" s="79">
        <v>2</v>
      </c>
      <c r="E713" s="79">
        <v>0</v>
      </c>
      <c r="F713" s="6">
        <v>7.05</v>
      </c>
      <c r="G713" s="79">
        <v>2387</v>
      </c>
      <c r="H713" s="204" t="s">
        <v>1152</v>
      </c>
      <c r="I713" s="22" t="s">
        <v>234</v>
      </c>
      <c r="J713" s="323">
        <v>64.739999999999995</v>
      </c>
      <c r="K713" s="73">
        <v>0.7</v>
      </c>
      <c r="L713" s="73">
        <v>18.350000000000001</v>
      </c>
      <c r="M713" s="73">
        <v>33.5</v>
      </c>
      <c r="N713" s="318">
        <f t="shared" si="153"/>
        <v>117.28999999999999</v>
      </c>
      <c r="O713" s="81">
        <f>IFERROR(VLOOKUP($G713,'321買'!A:E,3,0),"'沒有資料'")</f>
        <v>3</v>
      </c>
      <c r="P713" s="380">
        <f>IFERROR(VLOOKUP($G713,'321買'!$A:$G,7,0),"'沒有資料'")</f>
        <v>636</v>
      </c>
      <c r="Q713" s="245" t="s">
        <v>5079</v>
      </c>
      <c r="R713" s="297">
        <f>IFERROR(RANK(VLOOKUP($G713,連買!$A:$D,4,0),連買!$D:$D,0),"'沒有資料'")</f>
        <v>286</v>
      </c>
      <c r="S713" s="34">
        <v>2</v>
      </c>
      <c r="T713" s="353">
        <f t="shared" si="148"/>
        <v>4.8543689320388349E-2</v>
      </c>
      <c r="U713" s="57">
        <v>6.4</v>
      </c>
      <c r="V713" s="36">
        <f>RTD("money.excel",,"2387","Price")</f>
        <v>41.2</v>
      </c>
      <c r="W713" s="66"/>
      <c r="X713" s="15">
        <f t="shared" si="149"/>
        <v>41.2</v>
      </c>
      <c r="Y713" s="3" t="e">
        <f t="shared" si="150"/>
        <v>#DIV/0!</v>
      </c>
      <c r="Z713" s="413" t="s">
        <v>1801</v>
      </c>
      <c r="AA713" s="161">
        <v>0</v>
      </c>
      <c r="AB713" s="409">
        <v>0</v>
      </c>
      <c r="AC713" s="259">
        <f t="shared" si="154"/>
        <v>0</v>
      </c>
      <c r="AD713" s="22" t="s">
        <v>234</v>
      </c>
      <c r="AG713" s="33">
        <f t="shared" si="151"/>
        <v>0</v>
      </c>
      <c r="AH713" s="43" t="s">
        <v>2466</v>
      </c>
      <c r="AI713" s="63">
        <f t="shared" si="152"/>
        <v>1.1794871794871796E-3</v>
      </c>
      <c r="AJ713" s="307">
        <f>RTD("money.excel",,$G713,"PredictVolume")</f>
        <v>230</v>
      </c>
      <c r="AK713" s="339">
        <v>19.59</v>
      </c>
    </row>
    <row r="714" spans="1:39">
      <c r="A714" s="415">
        <v>77.2</v>
      </c>
      <c r="B714" s="80">
        <v>-1</v>
      </c>
      <c r="C714" s="80">
        <v>-1</v>
      </c>
      <c r="D714" s="80">
        <v>-10</v>
      </c>
      <c r="E714" s="79">
        <v>13</v>
      </c>
      <c r="F714" s="57">
        <v>17.63</v>
      </c>
      <c r="G714" s="79">
        <v>2395</v>
      </c>
      <c r="H714" s="204" t="s">
        <v>1152</v>
      </c>
      <c r="I714" s="22" t="s">
        <v>15</v>
      </c>
      <c r="J714" s="73">
        <v>81.099999999999994</v>
      </c>
      <c r="K714" s="323">
        <v>42.25</v>
      </c>
      <c r="L714" s="73">
        <v>0.08</v>
      </c>
      <c r="N714" s="318">
        <f t="shared" si="153"/>
        <v>123.42999999999999</v>
      </c>
      <c r="O714" s="81">
        <f>IFERROR(VLOOKUP($G714,'321買'!A:E,3,0),"'沒有資料'")</f>
        <v>1</v>
      </c>
      <c r="P714" s="380">
        <f>IFERROR(VLOOKUP($G714,'321買'!$A:$G,7,0),"'沒有資料'")</f>
        <v>783</v>
      </c>
      <c r="R714" s="297">
        <f>IFERROR(RANK(VLOOKUP($G714,連買!$A:$D,4,0),連買!$D:$D,0),"'沒有資料'")</f>
        <v>37</v>
      </c>
      <c r="S714" s="66">
        <v>7.1</v>
      </c>
      <c r="T714" s="353">
        <f t="shared" si="148"/>
        <v>1.8684210526315789E-2</v>
      </c>
      <c r="U714" s="57">
        <v>9.85</v>
      </c>
      <c r="V714" s="13">
        <f>RTD("money.excel",,"2395","Price")</f>
        <v>380</v>
      </c>
      <c r="W714" s="66"/>
      <c r="X714" s="15">
        <f t="shared" si="149"/>
        <v>380</v>
      </c>
      <c r="Y714" s="3" t="e">
        <f t="shared" si="150"/>
        <v>#DIV/0!</v>
      </c>
      <c r="Z714" s="413" t="s">
        <v>1997</v>
      </c>
      <c r="AA714" s="161">
        <v>0</v>
      </c>
      <c r="AB714" s="409">
        <v>0</v>
      </c>
      <c r="AC714" s="259">
        <f t="shared" si="154"/>
        <v>0</v>
      </c>
      <c r="AD714" s="22" t="s">
        <v>15</v>
      </c>
      <c r="AG714" s="33">
        <f t="shared" si="151"/>
        <v>0</v>
      </c>
      <c r="AH714" s="120" t="s">
        <v>2051</v>
      </c>
      <c r="AI714" s="63">
        <f t="shared" si="152"/>
        <v>1.3380829015544043E-3</v>
      </c>
      <c r="AJ714" s="307">
        <f>RTD("money.excel",,$G714,"PredictVolume")</f>
        <v>1033</v>
      </c>
      <c r="AK714" s="339"/>
    </row>
    <row r="715" spans="1:39">
      <c r="A715" s="416">
        <v>11.4</v>
      </c>
      <c r="B715" s="80">
        <v>-6</v>
      </c>
      <c r="C715" s="80">
        <v>-3</v>
      </c>
      <c r="D715" s="79">
        <v>3</v>
      </c>
      <c r="E715" s="79">
        <v>101</v>
      </c>
      <c r="F715" s="6">
        <v>5.3</v>
      </c>
      <c r="G715" s="79">
        <v>2397</v>
      </c>
      <c r="H715" s="204" t="s">
        <v>1152</v>
      </c>
      <c r="I715" s="22" t="s">
        <v>459</v>
      </c>
      <c r="J715" s="323">
        <v>81.510000000000005</v>
      </c>
      <c r="K715" s="323">
        <v>23.88</v>
      </c>
      <c r="L715" s="73">
        <v>2.91</v>
      </c>
      <c r="M715" s="73">
        <v>45.23</v>
      </c>
      <c r="N715" s="73">
        <f t="shared" si="153"/>
        <v>153.53</v>
      </c>
      <c r="O715" s="81">
        <f>IFERROR(VLOOKUP($G715,'321買'!A:E,3,0),"'沒有資料'")</f>
        <v>0</v>
      </c>
      <c r="P715" s="380">
        <f>IFERROR(VLOOKUP($G715,'321買'!$A:$G,7,0),"'沒有資料'")</f>
        <v>911</v>
      </c>
      <c r="Q715" s="245" t="s">
        <v>3816</v>
      </c>
      <c r="R715" s="297">
        <f>IFERROR(RANK(VLOOKUP($G715,連買!$A:$D,4,0),連買!$D:$D,0),"'沒有資料'")</f>
        <v>241</v>
      </c>
      <c r="S715" s="66">
        <v>3</v>
      </c>
      <c r="T715" s="353">
        <f t="shared" si="148"/>
        <v>4.8543689320388349E-2</v>
      </c>
      <c r="U715" s="57">
        <v>2.4300000000000002</v>
      </c>
      <c r="V715" s="36">
        <f>RTD("money.excel",,"2397","Price")</f>
        <v>61.8</v>
      </c>
      <c r="W715" s="66"/>
      <c r="X715" s="15">
        <f t="shared" si="149"/>
        <v>61.8</v>
      </c>
      <c r="Y715" s="3" t="e">
        <f t="shared" si="150"/>
        <v>#DIV/0!</v>
      </c>
      <c r="Z715" s="413" t="s">
        <v>1997</v>
      </c>
      <c r="AA715" s="161">
        <v>0</v>
      </c>
      <c r="AB715" s="409">
        <v>0</v>
      </c>
      <c r="AC715" s="259">
        <f t="shared" si="154"/>
        <v>0</v>
      </c>
      <c r="AD715" s="22" t="s">
        <v>459</v>
      </c>
      <c r="AG715" s="33">
        <f t="shared" si="151"/>
        <v>0</v>
      </c>
      <c r="AH715" s="43" t="s">
        <v>2408</v>
      </c>
      <c r="AI715" s="63">
        <f t="shared" si="152"/>
        <v>3.4210526315789472E-4</v>
      </c>
      <c r="AJ715" s="307">
        <f>RTD("money.excel",,$G715,"PredictVolume")</f>
        <v>39</v>
      </c>
      <c r="AK715" s="340"/>
      <c r="AM715" s="258"/>
    </row>
    <row r="716" spans="1:39">
      <c r="A716" s="416">
        <v>17.8</v>
      </c>
      <c r="B716" s="79">
        <v>150</v>
      </c>
      <c r="C716" s="79">
        <v>482</v>
      </c>
      <c r="D716" s="79">
        <v>50</v>
      </c>
      <c r="E716" s="79">
        <v>77</v>
      </c>
      <c r="F716" s="6">
        <v>6.96</v>
      </c>
      <c r="G716" s="79">
        <v>2399</v>
      </c>
      <c r="H716" s="204" t="s">
        <v>1152</v>
      </c>
      <c r="I716" s="22" t="s">
        <v>460</v>
      </c>
      <c r="J716" s="73">
        <v>25.03</v>
      </c>
      <c r="K716" s="323">
        <v>9.91</v>
      </c>
      <c r="L716" s="73">
        <v>30.59</v>
      </c>
      <c r="M716" s="323">
        <v>7.53</v>
      </c>
      <c r="N716" s="318">
        <f t="shared" si="153"/>
        <v>73.06</v>
      </c>
      <c r="O716" s="81">
        <f>IFERROR(VLOOKUP($G716,'321買'!A:E,3,0),"'沒有資料'")</f>
        <v>24</v>
      </c>
      <c r="P716" s="380">
        <f>IFERROR(VLOOKUP($G716,'321買'!$A:$G,7,0),"'沒有資料'")</f>
        <v>233</v>
      </c>
      <c r="Q716" s="245" t="s">
        <v>3815</v>
      </c>
      <c r="R716" s="297">
        <f>IFERROR(RANK(VLOOKUP($G716,連買!$A:$D,4,0),連買!$D:$D,0),"'沒有資料'")</f>
        <v>606</v>
      </c>
      <c r="S716" s="34">
        <v>0.4</v>
      </c>
      <c r="T716" s="353">
        <f t="shared" si="148"/>
        <v>1.9138755980861247E-2</v>
      </c>
      <c r="U716" s="95">
        <v>1.75</v>
      </c>
      <c r="V716" s="36">
        <f>RTD("money.excel",,"2399","Price")</f>
        <v>20.9</v>
      </c>
      <c r="W716" s="66"/>
      <c r="X716" s="15">
        <f t="shared" si="149"/>
        <v>20.9</v>
      </c>
      <c r="Y716" s="3" t="e">
        <f t="shared" si="150"/>
        <v>#DIV/0!</v>
      </c>
      <c r="Z716" s="413" t="s">
        <v>1801</v>
      </c>
      <c r="AA716" s="161">
        <v>0</v>
      </c>
      <c r="AB716" s="409">
        <v>0</v>
      </c>
      <c r="AC716" s="259">
        <f t="shared" si="154"/>
        <v>0</v>
      </c>
      <c r="AD716" s="22" t="s">
        <v>460</v>
      </c>
      <c r="AG716" s="33">
        <f t="shared" si="151"/>
        <v>0</v>
      </c>
      <c r="AH716" s="43" t="s">
        <v>2903</v>
      </c>
      <c r="AI716" s="63">
        <f t="shared" si="152"/>
        <v>2.7584269662921349E-3</v>
      </c>
      <c r="AJ716" s="307">
        <f>RTD("money.excel",,$G716,"PredictVolume")</f>
        <v>491</v>
      </c>
      <c r="AK716" s="339"/>
    </row>
    <row r="717" spans="1:39">
      <c r="A717" s="416">
        <v>34.299999999999997</v>
      </c>
      <c r="B717" s="91">
        <v>-98</v>
      </c>
      <c r="C717" s="91">
        <v>31</v>
      </c>
      <c r="D717" s="91">
        <v>-33</v>
      </c>
      <c r="E717" s="91">
        <v>-27</v>
      </c>
      <c r="F717" s="6">
        <v>-1</v>
      </c>
      <c r="G717" s="79">
        <v>2405</v>
      </c>
      <c r="H717" s="208" t="s">
        <v>1152</v>
      </c>
      <c r="I717" s="22" t="s">
        <v>4405</v>
      </c>
      <c r="J717" s="323">
        <v>19.940000000000001</v>
      </c>
      <c r="K717" s="73">
        <v>4.71</v>
      </c>
      <c r="L717" s="73">
        <v>26.86</v>
      </c>
      <c r="N717" s="318">
        <f t="shared" si="153"/>
        <v>51.510000000000005</v>
      </c>
      <c r="O717" s="81">
        <f>IFERROR(VLOOKUP($G717,'321買'!A:E,3,0),"'沒有資料'")</f>
        <v>4</v>
      </c>
      <c r="P717" s="380">
        <f>IFERROR(VLOOKUP($G717,'321買'!$A:$G,7,0),"'沒有資料'")</f>
        <v>592</v>
      </c>
      <c r="R717" s="297">
        <f>IFERROR(RANK(VLOOKUP($G717,連買!$A:$D,4,0),連買!$D:$D,0),"'沒有資料'")</f>
        <v>1025</v>
      </c>
      <c r="S717" s="34">
        <v>0</v>
      </c>
      <c r="T717" s="353">
        <f t="shared" si="148"/>
        <v>0</v>
      </c>
      <c r="U717" s="95">
        <v>0.17</v>
      </c>
      <c r="V717" s="36">
        <f>RTD("money.excel",,"2405","Price")</f>
        <v>13.35</v>
      </c>
      <c r="W717" s="66"/>
      <c r="X717" s="15">
        <f t="shared" si="149"/>
        <v>13.35</v>
      </c>
      <c r="Y717" s="3" t="e">
        <f t="shared" si="150"/>
        <v>#DIV/0!</v>
      </c>
      <c r="Z717" s="413" t="s">
        <v>1801</v>
      </c>
      <c r="AA717" s="161">
        <v>0</v>
      </c>
      <c r="AB717" s="409">
        <v>0</v>
      </c>
      <c r="AC717" s="259">
        <f t="shared" si="154"/>
        <v>0</v>
      </c>
      <c r="AD717" s="22" t="s">
        <v>4405</v>
      </c>
      <c r="AG717" s="33">
        <f t="shared" si="151"/>
        <v>0</v>
      </c>
      <c r="AH717" s="120" t="s">
        <v>1057</v>
      </c>
      <c r="AI717" s="63">
        <f t="shared" si="152"/>
        <v>5.9562682215743437E-3</v>
      </c>
      <c r="AJ717" s="307">
        <f>RTD("money.excel",,$G717,"PredictVolume")</f>
        <v>2043</v>
      </c>
      <c r="AK717" s="339"/>
    </row>
    <row r="718" spans="1:39">
      <c r="A718" s="415">
        <v>15.4</v>
      </c>
      <c r="B718" s="80">
        <v>-70</v>
      </c>
      <c r="C718" s="80">
        <v>-66</v>
      </c>
      <c r="D718" s="79">
        <v>3</v>
      </c>
      <c r="E718" s="80">
        <v>-51</v>
      </c>
      <c r="F718" s="57">
        <v>12.06</v>
      </c>
      <c r="G718" s="79">
        <v>2417</v>
      </c>
      <c r="H718" s="204" t="s">
        <v>1152</v>
      </c>
      <c r="I718" s="22" t="s">
        <v>461</v>
      </c>
      <c r="J718" s="323">
        <v>30.32</v>
      </c>
      <c r="K718" s="323">
        <v>2.8</v>
      </c>
      <c r="L718" s="323">
        <v>20.61</v>
      </c>
      <c r="M718" s="323">
        <v>22.72</v>
      </c>
      <c r="N718" s="318">
        <f t="shared" si="153"/>
        <v>76.449999999999989</v>
      </c>
      <c r="O718" s="81">
        <f>IFERROR(VLOOKUP($G718,'321買'!A:E,3,0),"'沒有資料'")</f>
        <v>4</v>
      </c>
      <c r="P718" s="380">
        <f>IFERROR(VLOOKUP($G718,'321買'!$A:$G,7,0),"'沒有資料'")</f>
        <v>592</v>
      </c>
      <c r="Q718" s="245" t="s">
        <v>3817</v>
      </c>
      <c r="R718" s="297">
        <f>IFERROR(RANK(VLOOKUP($G718,連買!$A:$D,4,0),連買!$D:$D,0),"'沒有資料'")</f>
        <v>1615</v>
      </c>
      <c r="S718" s="34">
        <v>2</v>
      </c>
      <c r="T718" s="353">
        <f t="shared" si="148"/>
        <v>7.7669902912621352E-2</v>
      </c>
      <c r="U718" s="95">
        <v>2.09</v>
      </c>
      <c r="V718" s="36">
        <f>RTD("money.excel",,"2417","Price")</f>
        <v>25.75</v>
      </c>
      <c r="W718" s="66"/>
      <c r="X718" s="15">
        <f t="shared" si="149"/>
        <v>25.75</v>
      </c>
      <c r="Y718" s="3" t="e">
        <f t="shared" si="150"/>
        <v>#DIV/0!</v>
      </c>
      <c r="Z718" s="413" t="s">
        <v>1801</v>
      </c>
      <c r="AA718" s="161">
        <v>0</v>
      </c>
      <c r="AB718" s="409">
        <v>0</v>
      </c>
      <c r="AC718" s="259">
        <f t="shared" si="154"/>
        <v>0</v>
      </c>
      <c r="AD718" s="22" t="s">
        <v>461</v>
      </c>
      <c r="AG718" s="33">
        <f t="shared" si="151"/>
        <v>0</v>
      </c>
      <c r="AH718" s="43" t="s">
        <v>2621</v>
      </c>
      <c r="AI718" s="63">
        <f t="shared" si="152"/>
        <v>2.5000000000000001E-3</v>
      </c>
      <c r="AJ718" s="307">
        <f>RTD("money.excel",,$G718,"PredictVolume")</f>
        <v>385</v>
      </c>
      <c r="AK718" s="339"/>
    </row>
    <row r="719" spans="1:39">
      <c r="A719" s="416">
        <v>1.9</v>
      </c>
      <c r="B719" s="91">
        <v>-59</v>
      </c>
      <c r="C719" s="91">
        <v>-72</v>
      </c>
      <c r="D719" s="91">
        <v>9</v>
      </c>
      <c r="E719" s="91">
        <v>57</v>
      </c>
      <c r="F719" s="47">
        <v>-1063</v>
      </c>
      <c r="G719" s="79">
        <v>2424</v>
      </c>
      <c r="H719" s="204" t="s">
        <v>1152</v>
      </c>
      <c r="I719" s="22" t="s">
        <v>462</v>
      </c>
      <c r="J719" s="73">
        <v>75.349999999999994</v>
      </c>
      <c r="K719" s="73">
        <v>0.23</v>
      </c>
      <c r="L719" s="73">
        <v>11.21</v>
      </c>
      <c r="N719" s="318">
        <f t="shared" si="153"/>
        <v>86.789999999999992</v>
      </c>
      <c r="O719" s="81">
        <f>IFERROR(VLOOKUP($G719,'321買'!A:E,3,0),"'沒有資料'")</f>
        <v>0</v>
      </c>
      <c r="P719" s="380">
        <f>IFERROR(VLOOKUP($G719,'321買'!$A:$G,7,0),"'沒有資料'")</f>
        <v>911</v>
      </c>
      <c r="R719" s="297">
        <f>IFERROR(RANK(VLOOKUP($G719,連買!$A:$D,4,0),連買!$D:$D,0),"'沒有資料'")</f>
        <v>1510</v>
      </c>
      <c r="S719" s="34">
        <v>0</v>
      </c>
      <c r="T719" s="353">
        <f t="shared" si="148"/>
        <v>0</v>
      </c>
      <c r="U719" s="95">
        <v>-5.86</v>
      </c>
      <c r="V719" s="13">
        <f>RTD("money.excel",,"2424","Price")</f>
        <v>22.2</v>
      </c>
      <c r="W719" s="66"/>
      <c r="X719" s="15">
        <f t="shared" si="149"/>
        <v>22.2</v>
      </c>
      <c r="Y719" s="3" t="e">
        <f t="shared" si="150"/>
        <v>#DIV/0!</v>
      </c>
      <c r="AA719" s="161">
        <v>0</v>
      </c>
      <c r="AB719" s="409">
        <v>0</v>
      </c>
      <c r="AC719" s="259">
        <f t="shared" si="154"/>
        <v>0</v>
      </c>
      <c r="AD719" s="22" t="s">
        <v>462</v>
      </c>
      <c r="AG719" s="33">
        <f t="shared" si="151"/>
        <v>0</v>
      </c>
      <c r="AH719" s="43" t="s">
        <v>2905</v>
      </c>
      <c r="AI719" s="63">
        <f t="shared" si="152"/>
        <v>2.631578947368421E-4</v>
      </c>
      <c r="AJ719" s="307">
        <f>RTD("money.excel",,$G719,"PredictVolume")</f>
        <v>5</v>
      </c>
      <c r="AK719" s="339"/>
    </row>
    <row r="720" spans="1:39">
      <c r="A720" s="416">
        <v>10.1</v>
      </c>
      <c r="B720" s="80">
        <v>-19</v>
      </c>
      <c r="C720" s="80">
        <v>-24</v>
      </c>
      <c r="D720" s="79">
        <v>36</v>
      </c>
      <c r="E720" s="79">
        <v>68</v>
      </c>
      <c r="F720" s="6">
        <v>3.65</v>
      </c>
      <c r="G720" s="79">
        <v>2425</v>
      </c>
      <c r="H720" s="204" t="s">
        <v>1152</v>
      </c>
      <c r="I720" s="22" t="s">
        <v>463</v>
      </c>
      <c r="J720" s="73">
        <v>74.28</v>
      </c>
      <c r="K720" s="73">
        <v>23.94</v>
      </c>
      <c r="L720" s="73">
        <v>22.01</v>
      </c>
      <c r="N720" s="318">
        <f t="shared" si="153"/>
        <v>120.23</v>
      </c>
      <c r="O720" s="81">
        <f>IFERROR(VLOOKUP($G720,'321買'!A:E,3,0),"'沒有資料'")</f>
        <v>1</v>
      </c>
      <c r="P720" s="380">
        <f>IFERROR(VLOOKUP($G720,'321買'!$A:$G,7,0),"'沒有資料'")</f>
        <v>783</v>
      </c>
      <c r="R720" s="297">
        <f>IFERROR(RANK(VLOOKUP($G720,連買!$A:$D,4,0),連買!$D:$D,0),"'沒有資料'")</f>
        <v>566</v>
      </c>
      <c r="S720" s="34">
        <v>0.3</v>
      </c>
      <c r="T720" s="353">
        <f t="shared" si="148"/>
        <v>1.0771992818671453E-2</v>
      </c>
      <c r="U720" s="95">
        <v>1.51</v>
      </c>
      <c r="V720" s="36">
        <f>RTD("money.excel",,"2425","Price")</f>
        <v>27.85</v>
      </c>
      <c r="W720" s="66"/>
      <c r="X720" s="15">
        <f t="shared" si="149"/>
        <v>27.85</v>
      </c>
      <c r="Y720" s="3" t="e">
        <f t="shared" si="150"/>
        <v>#DIV/0!</v>
      </c>
      <c r="Z720" s="413" t="s">
        <v>1801</v>
      </c>
      <c r="AA720" s="161">
        <v>0</v>
      </c>
      <c r="AB720" s="409">
        <v>0</v>
      </c>
      <c r="AC720" s="259">
        <f t="shared" si="154"/>
        <v>0</v>
      </c>
      <c r="AD720" s="22" t="s">
        <v>463</v>
      </c>
      <c r="AG720" s="33">
        <f t="shared" si="151"/>
        <v>0</v>
      </c>
      <c r="AH720" s="43" t="s">
        <v>1516</v>
      </c>
      <c r="AI720" s="63">
        <f t="shared" si="152"/>
        <v>4.7326732673267325E-3</v>
      </c>
      <c r="AJ720" s="307">
        <f>RTD("money.excel",,$G720,"PredictVolume")</f>
        <v>478</v>
      </c>
      <c r="AK720" s="339"/>
    </row>
    <row r="721" spans="1:37">
      <c r="A721" s="416">
        <v>24</v>
      </c>
      <c r="B721" s="140">
        <v>8893</v>
      </c>
      <c r="C721" s="91">
        <v>-42</v>
      </c>
      <c r="D721" s="91">
        <v>32</v>
      </c>
      <c r="E721" s="91">
        <v>59</v>
      </c>
      <c r="F721" s="6">
        <v>-1.22</v>
      </c>
      <c r="G721" s="79">
        <v>2442</v>
      </c>
      <c r="H721" s="204" t="s">
        <v>1152</v>
      </c>
      <c r="I721" s="22" t="s">
        <v>4406</v>
      </c>
      <c r="J721" s="73">
        <v>59.48</v>
      </c>
      <c r="K721" s="73">
        <v>3.97</v>
      </c>
      <c r="L721" s="73">
        <v>18.91</v>
      </c>
      <c r="N721" s="318">
        <f t="shared" si="153"/>
        <v>82.36</v>
      </c>
      <c r="O721" s="81">
        <f>IFERROR(VLOOKUP($G721,'321買'!A:E,3,0),"'沒有資料'")</f>
        <v>15</v>
      </c>
      <c r="P721" s="380">
        <f>IFERROR(VLOOKUP($G721,'321買'!$A:$G,7,0),"'沒有資料'")</f>
        <v>321</v>
      </c>
      <c r="R721" s="297">
        <f>IFERROR(RANK(VLOOKUP($G721,連買!$A:$D,4,0),連買!$D:$D,0),"'沒有資料'")</f>
        <v>1111</v>
      </c>
      <c r="S721" s="34">
        <v>0.3</v>
      </c>
      <c r="T721" s="353">
        <f t="shared" si="148"/>
        <v>2.2222222222222223E-2</v>
      </c>
      <c r="U721" s="95">
        <v>0.59</v>
      </c>
      <c r="V721" s="13">
        <f>RTD("money.excel",,"2442","Price")</f>
        <v>13.5</v>
      </c>
      <c r="W721" s="66"/>
      <c r="X721" s="15">
        <f t="shared" si="149"/>
        <v>13.5</v>
      </c>
      <c r="Y721" s="3" t="e">
        <f t="shared" si="150"/>
        <v>#DIV/0!</v>
      </c>
      <c r="AA721" s="161">
        <v>0</v>
      </c>
      <c r="AB721" s="409">
        <v>0</v>
      </c>
      <c r="AC721" s="259">
        <f t="shared" si="154"/>
        <v>0</v>
      </c>
      <c r="AD721" s="22" t="s">
        <v>4406</v>
      </c>
      <c r="AG721" s="33">
        <f t="shared" si="151"/>
        <v>0</v>
      </c>
      <c r="AH721" s="43" t="s">
        <v>2906</v>
      </c>
      <c r="AI721" s="63">
        <f t="shared" si="152"/>
        <v>0.15687916666666665</v>
      </c>
      <c r="AJ721" s="307">
        <f>RTD("money.excel",,$G721,"PredictVolume")</f>
        <v>37651</v>
      </c>
      <c r="AK721" s="339"/>
    </row>
    <row r="722" spans="1:37">
      <c r="A722" s="416">
        <v>5.36</v>
      </c>
      <c r="B722" s="93">
        <v>1653</v>
      </c>
      <c r="C722" s="79">
        <v>972</v>
      </c>
      <c r="D722" s="80">
        <v>-43</v>
      </c>
      <c r="E722" s="79">
        <v>13</v>
      </c>
      <c r="F722" s="6">
        <v>6.27</v>
      </c>
      <c r="G722" s="79">
        <v>2465</v>
      </c>
      <c r="H722" s="204" t="s">
        <v>1152</v>
      </c>
      <c r="I722" s="22" t="s">
        <v>4407</v>
      </c>
      <c r="J722" s="323">
        <v>2.56</v>
      </c>
      <c r="K722" s="73">
        <v>3.44</v>
      </c>
      <c r="L722" s="73">
        <v>34.08</v>
      </c>
      <c r="M722" s="323">
        <v>1.53</v>
      </c>
      <c r="N722" s="318">
        <f t="shared" si="153"/>
        <v>41.61</v>
      </c>
      <c r="O722" s="81">
        <f>IFERROR(VLOOKUP($G722,'321買'!A:E,3,0),"'沒有資料'")</f>
        <v>36</v>
      </c>
      <c r="P722" s="380">
        <f>IFERROR(VLOOKUP($G722,'321買'!$A:$G,7,0),"'沒有資料'")</f>
        <v>122</v>
      </c>
      <c r="Q722" s="245" t="s">
        <v>3816</v>
      </c>
      <c r="R722" s="297">
        <f>IFERROR(RANK(VLOOKUP($G722,連買!$A:$D,4,0),連買!$D:$D,0),"'沒有資料'")</f>
        <v>299</v>
      </c>
      <c r="S722" s="34">
        <v>2</v>
      </c>
      <c r="T722" s="353">
        <f t="shared" si="148"/>
        <v>3.5460992907801421E-2</v>
      </c>
      <c r="U722" s="95">
        <v>5.46</v>
      </c>
      <c r="V722" s="36">
        <f>RTD("money.excel",,"2465","Price")</f>
        <v>56.4</v>
      </c>
      <c r="W722" s="66"/>
      <c r="X722" s="15">
        <f t="shared" si="149"/>
        <v>56.4</v>
      </c>
      <c r="Y722" s="3" t="e">
        <f t="shared" si="150"/>
        <v>#DIV/0!</v>
      </c>
      <c r="Z722" s="413" t="s">
        <v>6628</v>
      </c>
      <c r="AA722" s="161">
        <v>0</v>
      </c>
      <c r="AB722" s="409">
        <v>0</v>
      </c>
      <c r="AC722" s="259">
        <f t="shared" si="154"/>
        <v>0</v>
      </c>
      <c r="AD722" s="22" t="s">
        <v>4407</v>
      </c>
      <c r="AG722" s="33">
        <f t="shared" si="151"/>
        <v>0</v>
      </c>
      <c r="AH722" s="43" t="s">
        <v>2903</v>
      </c>
      <c r="AI722" s="63">
        <f t="shared" si="152"/>
        <v>2.4981343283582088E-2</v>
      </c>
      <c r="AJ722" s="307">
        <f>RTD("money.excel",,$G722,"PredictVolume")</f>
        <v>1339</v>
      </c>
      <c r="AK722" s="339">
        <v>85.01</v>
      </c>
    </row>
    <row r="723" spans="1:37">
      <c r="A723" s="416">
        <v>10.199999999999999</v>
      </c>
      <c r="B723" s="91">
        <v>-2</v>
      </c>
      <c r="C723" s="91">
        <v>-59</v>
      </c>
      <c r="D723" s="91">
        <v>-8</v>
      </c>
      <c r="E723" s="91">
        <v>-8</v>
      </c>
      <c r="F723" s="6">
        <v>0.98</v>
      </c>
      <c r="G723" s="79">
        <v>3002</v>
      </c>
      <c r="H723" s="204" t="s">
        <v>1152</v>
      </c>
      <c r="I723" s="22" t="s">
        <v>4408</v>
      </c>
      <c r="J723" s="73">
        <v>68.510000000000005</v>
      </c>
      <c r="K723" s="73">
        <v>0.14000000000000001</v>
      </c>
      <c r="L723" s="73">
        <v>18.559999999999999</v>
      </c>
      <c r="N723" s="318">
        <f t="shared" si="153"/>
        <v>87.210000000000008</v>
      </c>
      <c r="O723" s="81">
        <f>IFERROR(VLOOKUP($G723,'321買'!A:E,3,0),"'沒有資料'")</f>
        <v>1</v>
      </c>
      <c r="P723" s="380">
        <f>IFERROR(VLOOKUP($G723,'321買'!$A:$G,7,0),"'沒有資料'")</f>
        <v>783</v>
      </c>
      <c r="R723" s="297">
        <f>IFERROR(RANK(VLOOKUP($G723,連買!$A:$D,4,0),連買!$D:$D,0),"'沒有資料'")</f>
        <v>1150</v>
      </c>
      <c r="S723" s="34">
        <v>0.1</v>
      </c>
      <c r="T723" s="353">
        <f t="shared" si="148"/>
        <v>8.2987551867219917E-3</v>
      </c>
      <c r="U723" s="95">
        <v>0.56999999999999995</v>
      </c>
      <c r="V723" s="13">
        <f>RTD("money.excel",,"3002","Price")</f>
        <v>12.05</v>
      </c>
      <c r="W723" s="66"/>
      <c r="X723" s="15">
        <f t="shared" si="149"/>
        <v>12.05</v>
      </c>
      <c r="Y723" s="3" t="e">
        <f t="shared" si="150"/>
        <v>#DIV/0!</v>
      </c>
      <c r="AA723" s="161">
        <v>0</v>
      </c>
      <c r="AB723" s="409">
        <v>0</v>
      </c>
      <c r="AC723" s="259">
        <f t="shared" si="154"/>
        <v>0</v>
      </c>
      <c r="AD723" s="22" t="s">
        <v>4408</v>
      </c>
      <c r="AG723" s="33">
        <f t="shared" si="151"/>
        <v>0</v>
      </c>
      <c r="AH723" s="43" t="s">
        <v>2907</v>
      </c>
      <c r="AI723" s="63">
        <f t="shared" si="152"/>
        <v>5.6862745098039218E-4</v>
      </c>
      <c r="AJ723" s="307">
        <f>RTD("money.excel",,$G723,"PredictVolume")</f>
        <v>58</v>
      </c>
      <c r="AK723" s="339"/>
    </row>
    <row r="724" spans="1:37">
      <c r="A724" s="416">
        <v>59.6</v>
      </c>
      <c r="B724" s="79">
        <v>85</v>
      </c>
      <c r="C724" s="80">
        <v>-20</v>
      </c>
      <c r="D724" s="79">
        <v>4</v>
      </c>
      <c r="E724" s="80">
        <v>-1</v>
      </c>
      <c r="F724" s="6">
        <v>8.01</v>
      </c>
      <c r="G724" s="79">
        <v>3005</v>
      </c>
      <c r="H724" s="204" t="s">
        <v>1152</v>
      </c>
      <c r="I724" s="22" t="s">
        <v>51</v>
      </c>
      <c r="J724" s="323">
        <v>75.650000000000006</v>
      </c>
      <c r="K724" s="323">
        <v>37.32</v>
      </c>
      <c r="L724" s="323">
        <v>1.8</v>
      </c>
      <c r="N724" s="318">
        <f t="shared" si="153"/>
        <v>114.77</v>
      </c>
      <c r="O724" s="81">
        <f>IFERROR(VLOOKUP($G724,'321買'!A:E,3,0),"'沒有資料'")</f>
        <v>2</v>
      </c>
      <c r="P724" s="380">
        <f>IFERROR(VLOOKUP($G724,'321買'!$A:$G,7,0),"'沒有資料'")</f>
        <v>706</v>
      </c>
      <c r="R724" s="297">
        <f>IFERROR(RANK(VLOOKUP($G724,連買!$A:$D,4,0),連買!$D:$D,0),"'沒有資料'")</f>
        <v>406</v>
      </c>
      <c r="S724" s="66">
        <v>3.59</v>
      </c>
      <c r="T724" s="353">
        <f t="shared" si="148"/>
        <v>7.6627534685165422E-2</v>
      </c>
      <c r="U724" s="57">
        <v>7.32</v>
      </c>
      <c r="V724" s="36">
        <f>RTD("money.excel",,"3005","Price")</f>
        <v>46.85</v>
      </c>
      <c r="W724" s="66"/>
      <c r="X724" s="15">
        <f t="shared" si="149"/>
        <v>46.85</v>
      </c>
      <c r="Y724" s="3" t="e">
        <f t="shared" si="150"/>
        <v>#DIV/0!</v>
      </c>
      <c r="Z724" s="413" t="s">
        <v>1997</v>
      </c>
      <c r="AA724" s="161">
        <v>0</v>
      </c>
      <c r="AB724" s="409">
        <v>0</v>
      </c>
      <c r="AC724" s="259">
        <f t="shared" si="154"/>
        <v>0</v>
      </c>
      <c r="AD724" s="22" t="s">
        <v>51</v>
      </c>
      <c r="AG724" s="33">
        <f t="shared" si="151"/>
        <v>0</v>
      </c>
      <c r="AH724" s="120" t="s">
        <v>2908</v>
      </c>
      <c r="AI724" s="63">
        <f t="shared" si="152"/>
        <v>1.2953020134228188E-3</v>
      </c>
      <c r="AJ724" s="307">
        <f>RTD("money.excel",,$G724,"PredictVolume")</f>
        <v>772</v>
      </c>
      <c r="AK724" s="339"/>
    </row>
    <row r="725" spans="1:37">
      <c r="A725" s="416">
        <v>15.5</v>
      </c>
      <c r="B725" s="91">
        <v>45</v>
      </c>
      <c r="C725" s="91">
        <v>246</v>
      </c>
      <c r="D725" s="91">
        <v>-19</v>
      </c>
      <c r="E725" s="91">
        <v>1</v>
      </c>
      <c r="F725" s="6">
        <v>0.51</v>
      </c>
      <c r="G725" s="79">
        <v>3013</v>
      </c>
      <c r="H725" s="204" t="s">
        <v>1152</v>
      </c>
      <c r="I725" s="22" t="s">
        <v>4409</v>
      </c>
      <c r="J725" s="73">
        <v>58.19</v>
      </c>
      <c r="K725" s="73">
        <v>2.14</v>
      </c>
      <c r="L725" s="73">
        <v>16.45</v>
      </c>
      <c r="N725" s="318">
        <f t="shared" si="153"/>
        <v>76.78</v>
      </c>
      <c r="O725" s="81">
        <f>IFERROR(VLOOKUP($G725,'321買'!A:E,3,0),"'沒有資料'")</f>
        <v>0</v>
      </c>
      <c r="P725" s="380">
        <f>IFERROR(VLOOKUP($G725,'321買'!$A:$G,7,0),"'沒有資料'")</f>
        <v>911</v>
      </c>
      <c r="R725" s="297">
        <f>IFERROR(RANK(VLOOKUP($G725,連買!$A:$D,4,0),連買!$D:$D,0),"'沒有資料'")</f>
        <v>1275</v>
      </c>
      <c r="S725" s="34">
        <v>0.3</v>
      </c>
      <c r="T725" s="353">
        <f t="shared" si="148"/>
        <v>2.247191011235955E-2</v>
      </c>
      <c r="U725" s="95">
        <v>0.4</v>
      </c>
      <c r="V725" s="13">
        <f>RTD("money.excel",,"3013","Price")</f>
        <v>13.35</v>
      </c>
      <c r="W725" s="66"/>
      <c r="X725" s="15">
        <f t="shared" si="149"/>
        <v>13.35</v>
      </c>
      <c r="Y725" s="3" t="e">
        <f t="shared" si="150"/>
        <v>#DIV/0!</v>
      </c>
      <c r="AA725" s="161">
        <v>0</v>
      </c>
      <c r="AB725" s="409">
        <v>0</v>
      </c>
      <c r="AC725" s="259">
        <f t="shared" si="154"/>
        <v>0</v>
      </c>
      <c r="AD725" s="22" t="s">
        <v>4409</v>
      </c>
      <c r="AG725" s="33">
        <f t="shared" si="151"/>
        <v>0</v>
      </c>
      <c r="AH725" s="43" t="s">
        <v>2909</v>
      </c>
      <c r="AI725" s="63">
        <f t="shared" si="152"/>
        <v>1.135483870967742E-3</v>
      </c>
      <c r="AJ725" s="307">
        <f>RTD("money.excel",,$G725,"PredictVolume")</f>
        <v>176</v>
      </c>
      <c r="AK725" s="339"/>
    </row>
    <row r="726" spans="1:37">
      <c r="A726" s="416">
        <v>35.299999999999997</v>
      </c>
      <c r="B726" s="79">
        <v>121</v>
      </c>
      <c r="C726" s="79">
        <v>196</v>
      </c>
      <c r="D726" s="80">
        <v>-23</v>
      </c>
      <c r="E726" s="79">
        <v>28</v>
      </c>
      <c r="F726" s="6">
        <v>7.48</v>
      </c>
      <c r="G726" s="79">
        <v>3017</v>
      </c>
      <c r="H726" s="204" t="s">
        <v>1152</v>
      </c>
      <c r="I726" s="22" t="s">
        <v>117</v>
      </c>
      <c r="J726" s="323">
        <v>53.84</v>
      </c>
      <c r="K726" s="73">
        <v>37.61</v>
      </c>
      <c r="L726" s="73">
        <v>22.12</v>
      </c>
      <c r="N726" s="318">
        <f t="shared" si="153"/>
        <v>113.57000000000001</v>
      </c>
      <c r="O726" s="81">
        <f>IFERROR(VLOOKUP($G726,'321買'!A:E,3,0),"'沒有資料'")</f>
        <v>73</v>
      </c>
      <c r="P726" s="380">
        <f>IFERROR(VLOOKUP($G726,'321買'!$A:$G,7,0),"'沒有資料'")</f>
        <v>28</v>
      </c>
      <c r="R726" s="297">
        <f>IFERROR(RANK(VLOOKUP($G726,連買!$A:$D,4,0),連買!$D:$D,0),"'沒有資料'")</f>
        <v>208</v>
      </c>
      <c r="S726" s="34">
        <v>2.8</v>
      </c>
      <c r="T726" s="353">
        <f t="shared" si="148"/>
        <v>2.5925925925925925E-2</v>
      </c>
      <c r="U726" s="57">
        <v>5.42</v>
      </c>
      <c r="V726" s="36">
        <f>RTD("money.excel",,"3017","Price")</f>
        <v>108</v>
      </c>
      <c r="W726" s="66"/>
      <c r="X726" s="15">
        <f t="shared" si="149"/>
        <v>108</v>
      </c>
      <c r="Y726" s="3" t="e">
        <f t="shared" si="150"/>
        <v>#DIV/0!</v>
      </c>
      <c r="Z726" s="413" t="s">
        <v>1801</v>
      </c>
      <c r="AA726" s="161">
        <v>0</v>
      </c>
      <c r="AB726" s="409">
        <v>0</v>
      </c>
      <c r="AC726" s="259">
        <f t="shared" si="154"/>
        <v>0</v>
      </c>
      <c r="AD726" s="22" t="s">
        <v>117</v>
      </c>
      <c r="AG726" s="33">
        <f t="shared" si="151"/>
        <v>0</v>
      </c>
      <c r="AH726" s="43" t="s">
        <v>3113</v>
      </c>
      <c r="AI726" s="63">
        <f t="shared" si="152"/>
        <v>1.6226628895184135E-2</v>
      </c>
      <c r="AJ726" s="307">
        <f>RTD("money.excel",,$G726,"PredictVolume")</f>
        <v>5728</v>
      </c>
      <c r="AK726" s="339"/>
    </row>
    <row r="727" spans="1:37" ht="16.5" customHeight="1">
      <c r="A727" s="415">
        <v>17.600000000000001</v>
      </c>
      <c r="B727" s="79">
        <v>8</v>
      </c>
      <c r="C727" s="79">
        <v>9</v>
      </c>
      <c r="D727" s="80">
        <v>-5</v>
      </c>
      <c r="E727" s="79">
        <v>10</v>
      </c>
      <c r="F727" s="57">
        <v>14.26</v>
      </c>
      <c r="G727" s="79">
        <v>3022</v>
      </c>
      <c r="H727" s="204" t="s">
        <v>1152</v>
      </c>
      <c r="I727" s="22" t="s">
        <v>63</v>
      </c>
      <c r="J727" s="73">
        <v>65.78</v>
      </c>
      <c r="K727" s="73">
        <v>21.02</v>
      </c>
      <c r="L727" s="73">
        <v>5.39</v>
      </c>
      <c r="N727" s="318">
        <f t="shared" si="153"/>
        <v>92.19</v>
      </c>
      <c r="O727" s="81">
        <f>IFERROR(VLOOKUP($G727,'321買'!A:E,3,0),"'沒有資料'")</f>
        <v>0</v>
      </c>
      <c r="P727" s="380">
        <f>IFERROR(VLOOKUP($G727,'321買'!$A:$G,7,0),"'沒有資料'")</f>
        <v>911</v>
      </c>
      <c r="R727" s="297">
        <f>IFERROR(RANK(VLOOKUP($G727,連買!$A:$D,4,0),連買!$D:$D,0),"'沒有資料'")</f>
        <v>400</v>
      </c>
      <c r="S727" s="34">
        <v>2</v>
      </c>
      <c r="T727" s="353">
        <f t="shared" si="148"/>
        <v>4.3859649122807015E-2</v>
      </c>
      <c r="U727" s="95">
        <v>5.63</v>
      </c>
      <c r="V727" s="36">
        <f>RTD("money.excel",,"3022","Price")</f>
        <v>45.6</v>
      </c>
      <c r="W727" s="66"/>
      <c r="X727" s="15">
        <f t="shared" si="149"/>
        <v>45.6</v>
      </c>
      <c r="Y727" s="3" t="e">
        <f t="shared" si="150"/>
        <v>#DIV/0!</v>
      </c>
      <c r="Z727" s="413" t="s">
        <v>1801</v>
      </c>
      <c r="AA727" s="161">
        <v>0</v>
      </c>
      <c r="AB727" s="409">
        <v>0</v>
      </c>
      <c r="AC727" s="259">
        <f t="shared" si="154"/>
        <v>0</v>
      </c>
      <c r="AD727" s="22" t="s">
        <v>63</v>
      </c>
      <c r="AG727" s="33">
        <f t="shared" si="151"/>
        <v>0</v>
      </c>
      <c r="AH727" s="120" t="s">
        <v>2910</v>
      </c>
      <c r="AI727" s="63">
        <f t="shared" si="152"/>
        <v>4.6590909090909088E-4</v>
      </c>
      <c r="AJ727" s="307">
        <f>RTD("money.excel",,$G727,"PredictVolume")</f>
        <v>82</v>
      </c>
      <c r="AK727" s="339"/>
    </row>
    <row r="728" spans="1:37" ht="16.5" customHeight="1">
      <c r="A728" s="416">
        <v>7.14</v>
      </c>
      <c r="B728" s="94">
        <v>-880</v>
      </c>
      <c r="C728" s="94">
        <v>-1728</v>
      </c>
      <c r="D728" s="80">
        <v>-1</v>
      </c>
      <c r="E728" s="79">
        <v>14</v>
      </c>
      <c r="F728" s="6">
        <v>-6.55</v>
      </c>
      <c r="G728" s="79">
        <v>3046</v>
      </c>
      <c r="H728" s="204" t="s">
        <v>1152</v>
      </c>
      <c r="I728" s="22" t="s">
        <v>4410</v>
      </c>
      <c r="J728" s="323">
        <v>65.069999999999993</v>
      </c>
      <c r="K728" s="323">
        <v>1.67</v>
      </c>
      <c r="L728" s="323"/>
      <c r="N728" s="318">
        <f t="shared" si="153"/>
        <v>66.739999999999995</v>
      </c>
      <c r="O728" s="81">
        <f>IFERROR(VLOOKUP($G728,'321買'!A:E,3,0),"'沒有資料'")</f>
        <v>0</v>
      </c>
      <c r="P728" s="380">
        <f>IFERROR(VLOOKUP($G728,'321買'!$A:$G,7,0),"'沒有資料'")</f>
        <v>911</v>
      </c>
      <c r="R728" s="297">
        <f>IFERROR(RANK(VLOOKUP($G728,連買!$A:$D,4,0),連買!$D:$D,0),"'沒有資料'")</f>
        <v>1522</v>
      </c>
      <c r="S728" s="34">
        <v>0</v>
      </c>
      <c r="T728" s="353">
        <f t="shared" si="148"/>
        <v>0</v>
      </c>
      <c r="U728" s="95">
        <v>-0.93</v>
      </c>
      <c r="V728" s="36">
        <f>RTD("money.excel",,"3046","Price")</f>
        <v>37.950000000000003</v>
      </c>
      <c r="W728" s="66"/>
      <c r="X728" s="15">
        <f t="shared" si="149"/>
        <v>37.950000000000003</v>
      </c>
      <c r="Y728" s="3" t="e">
        <f t="shared" si="150"/>
        <v>#DIV/0!</v>
      </c>
      <c r="Z728" s="413" t="s">
        <v>1801</v>
      </c>
      <c r="AA728" s="161">
        <v>0</v>
      </c>
      <c r="AB728" s="409">
        <v>0</v>
      </c>
      <c r="AC728" s="259">
        <f t="shared" si="154"/>
        <v>0</v>
      </c>
      <c r="AD728" s="22" t="s">
        <v>4410</v>
      </c>
      <c r="AG728" s="33">
        <f t="shared" si="151"/>
        <v>0</v>
      </c>
      <c r="AH728" s="43" t="s">
        <v>2260</v>
      </c>
      <c r="AI728" s="63">
        <f t="shared" si="152"/>
        <v>1.9635854341736696E-2</v>
      </c>
      <c r="AJ728" s="307">
        <f>RTD("money.excel",,$G728,"PredictVolume")</f>
        <v>1402</v>
      </c>
      <c r="AK728" s="339"/>
    </row>
    <row r="729" spans="1:37" ht="16.5" customHeight="1">
      <c r="A729" s="416">
        <v>8.81</v>
      </c>
      <c r="B729" s="91">
        <v>92</v>
      </c>
      <c r="C729" s="91">
        <v>39</v>
      </c>
      <c r="D729" s="91">
        <v>-6</v>
      </c>
      <c r="E729" s="91">
        <v>-27</v>
      </c>
      <c r="F729" s="6">
        <v>-17.36</v>
      </c>
      <c r="G729" s="79">
        <v>3057</v>
      </c>
      <c r="H729" s="204" t="s">
        <v>1152</v>
      </c>
      <c r="I729" s="22" t="s">
        <v>464</v>
      </c>
      <c r="J729" s="73">
        <v>26.81</v>
      </c>
      <c r="K729" s="323">
        <v>4.24</v>
      </c>
      <c r="L729" s="323">
        <v>0</v>
      </c>
      <c r="N729" s="318">
        <f t="shared" si="153"/>
        <v>31.049999999999997</v>
      </c>
      <c r="O729" s="81">
        <f>IFERROR(VLOOKUP($G729,'321買'!A:E,3,0),"'沒有資料'")</f>
        <v>0</v>
      </c>
      <c r="P729" s="380">
        <f>IFERROR(VLOOKUP($G729,'321買'!$A:$G,7,0),"'沒有資料'")</f>
        <v>911</v>
      </c>
      <c r="R729" s="297">
        <f>IFERROR(RANK(VLOOKUP($G729,連買!$A:$D,4,0),連買!$D:$D,0),"'沒有資料'")</f>
        <v>1263</v>
      </c>
      <c r="S729" s="34">
        <v>0</v>
      </c>
      <c r="T729" s="353">
        <f t="shared" ref="T729:T761" si="155">S729/V729</f>
        <v>0</v>
      </c>
      <c r="U729" s="95">
        <v>-0.48</v>
      </c>
      <c r="V729" s="36">
        <f>RTD("money.excel",,"3057","Price")</f>
        <v>12.8</v>
      </c>
      <c r="W729" s="66"/>
      <c r="X729" s="15">
        <f t="shared" si="149"/>
        <v>12.8</v>
      </c>
      <c r="Y729" s="3" t="e">
        <f t="shared" si="150"/>
        <v>#DIV/0!</v>
      </c>
      <c r="AA729" s="161">
        <v>0</v>
      </c>
      <c r="AB729" s="409">
        <v>0</v>
      </c>
      <c r="AC729" s="259">
        <f t="shared" si="154"/>
        <v>0</v>
      </c>
      <c r="AD729" s="22" t="s">
        <v>464</v>
      </c>
      <c r="AG729" s="33">
        <f t="shared" si="151"/>
        <v>0</v>
      </c>
      <c r="AH729" s="43" t="s">
        <v>2911</v>
      </c>
      <c r="AI729" s="63">
        <f t="shared" ref="AI729:AI760" si="156">AJ729/(A729*10000)</f>
        <v>3.40522133938706E-4</v>
      </c>
      <c r="AJ729" s="307">
        <f>RTD("money.excel",,$G729,"PredictVolume")</f>
        <v>30</v>
      </c>
      <c r="AK729" s="339"/>
    </row>
    <row r="730" spans="1:37" ht="16.5" customHeight="1">
      <c r="A730" s="416">
        <v>13.7</v>
      </c>
      <c r="B730" s="91">
        <v>47</v>
      </c>
      <c r="C730" s="91">
        <v>45</v>
      </c>
      <c r="D730" s="91">
        <v>5</v>
      </c>
      <c r="E730" s="91">
        <v>-12</v>
      </c>
      <c r="F730" s="6">
        <v>-7.88</v>
      </c>
      <c r="G730" s="79">
        <v>3060</v>
      </c>
      <c r="H730" s="204" t="s">
        <v>1152</v>
      </c>
      <c r="I730" s="22" t="s">
        <v>465</v>
      </c>
      <c r="J730" s="73">
        <v>22.63</v>
      </c>
      <c r="K730" s="73">
        <v>12.12</v>
      </c>
      <c r="L730" s="73">
        <v>14.25</v>
      </c>
      <c r="N730" s="318">
        <f t="shared" si="153"/>
        <v>49</v>
      </c>
      <c r="O730" s="81">
        <f>IFERROR(VLOOKUP($G730,'321買'!A:E,3,0),"'沒有資料'")</f>
        <v>15</v>
      </c>
      <c r="P730" s="380">
        <f>IFERROR(VLOOKUP($G730,'321買'!$A:$G,7,0),"'沒有資料'")</f>
        <v>321</v>
      </c>
      <c r="R730" s="297">
        <f>IFERROR(RANK(VLOOKUP($G730,連買!$A:$D,4,0),連買!$D:$D,0),"'沒有資料'")</f>
        <v>1196</v>
      </c>
      <c r="S730" s="34">
        <v>0</v>
      </c>
      <c r="T730" s="353">
        <f t="shared" si="155"/>
        <v>0</v>
      </c>
      <c r="U730" s="95">
        <v>-1.85</v>
      </c>
      <c r="V730" s="36">
        <f>RTD("money.excel",,"3060","Price")</f>
        <v>21.8</v>
      </c>
      <c r="W730" s="66"/>
      <c r="X730" s="15">
        <f t="shared" si="149"/>
        <v>21.8</v>
      </c>
      <c r="Y730" s="3" t="e">
        <f t="shared" si="150"/>
        <v>#DIV/0!</v>
      </c>
      <c r="AA730" s="161">
        <v>0</v>
      </c>
      <c r="AB730" s="409">
        <v>0</v>
      </c>
      <c r="AC730" s="259">
        <f t="shared" si="154"/>
        <v>0</v>
      </c>
      <c r="AD730" s="22" t="s">
        <v>465</v>
      </c>
      <c r="AG730" s="33">
        <f t="shared" si="151"/>
        <v>0</v>
      </c>
      <c r="AH730" s="43" t="s">
        <v>2912</v>
      </c>
      <c r="AI730" s="63">
        <f t="shared" si="156"/>
        <v>1.3795620437956205E-3</v>
      </c>
      <c r="AJ730" s="307">
        <f>RTD("money.excel",,$G730,"PredictVolume")</f>
        <v>189</v>
      </c>
      <c r="AK730" s="339"/>
    </row>
    <row r="731" spans="1:37" ht="16.5" customHeight="1">
      <c r="A731" s="416">
        <v>11</v>
      </c>
      <c r="B731" s="80">
        <v>-1</v>
      </c>
      <c r="C731" s="79">
        <v>18</v>
      </c>
      <c r="D731" s="80">
        <v>-13</v>
      </c>
      <c r="E731" s="79">
        <v>116</v>
      </c>
      <c r="F731" s="6">
        <v>8.83</v>
      </c>
      <c r="G731" s="79">
        <v>3071</v>
      </c>
      <c r="H731" s="204" t="s">
        <v>1152</v>
      </c>
      <c r="I731" s="16" t="s">
        <v>2376</v>
      </c>
      <c r="J731" s="323">
        <v>56.1</v>
      </c>
      <c r="K731" s="323">
        <v>2.61</v>
      </c>
      <c r="L731" s="323">
        <v>12.5</v>
      </c>
      <c r="N731" s="318">
        <f t="shared" si="153"/>
        <v>71.210000000000008</v>
      </c>
      <c r="O731" s="81">
        <f>IFERROR(VLOOKUP($G731,'321買'!A:E,3,0),"'沒有資料'")</f>
        <v>1</v>
      </c>
      <c r="P731" s="380">
        <f>IFERROR(VLOOKUP($G731,'321買'!$A:$G,7,0),"'沒有資料'")</f>
        <v>783</v>
      </c>
      <c r="R731" s="297">
        <f>IFERROR(RANK(VLOOKUP($G731,連買!$A:$D,4,0),連買!$D:$D,0),"'沒有資料'")</f>
        <v>662</v>
      </c>
      <c r="S731" s="34">
        <v>1.6</v>
      </c>
      <c r="T731" s="353">
        <f t="shared" si="155"/>
        <v>6.2256809338521409E-2</v>
      </c>
      <c r="U731" s="57">
        <v>1.82</v>
      </c>
      <c r="V731" s="36">
        <f>RTD("money.excel",,"3071","Price")</f>
        <v>25.7</v>
      </c>
      <c r="W731" s="66"/>
      <c r="X731" s="15">
        <f t="shared" si="149"/>
        <v>25.7</v>
      </c>
      <c r="Y731" s="3" t="e">
        <f t="shared" si="150"/>
        <v>#DIV/0!</v>
      </c>
      <c r="AA731" s="161">
        <v>0</v>
      </c>
      <c r="AB731" s="409">
        <v>0</v>
      </c>
      <c r="AC731" s="259">
        <f t="shared" si="154"/>
        <v>0</v>
      </c>
      <c r="AD731" s="16" t="s">
        <v>2376</v>
      </c>
      <c r="AG731" s="33">
        <f t="shared" si="151"/>
        <v>0</v>
      </c>
      <c r="AH731" s="43" t="s">
        <v>2458</v>
      </c>
      <c r="AI731" s="63">
        <f t="shared" si="156"/>
        <v>1.2909090909090908E-3</v>
      </c>
      <c r="AJ731" s="307">
        <f>RTD("money.excel",,$G731,"PredictVolume")</f>
        <v>142</v>
      </c>
      <c r="AK731" s="339"/>
    </row>
    <row r="732" spans="1:37" ht="16.5" customHeight="1">
      <c r="A732" s="416">
        <v>8.31</v>
      </c>
      <c r="B732" s="91">
        <v>-38</v>
      </c>
      <c r="C732" s="91">
        <v>-20</v>
      </c>
      <c r="D732" s="91">
        <v>-38</v>
      </c>
      <c r="E732" s="91">
        <v>-36</v>
      </c>
      <c r="F732" s="6">
        <v>8.7200000000000006</v>
      </c>
      <c r="G732" s="79">
        <v>3088</v>
      </c>
      <c r="H732" s="149" t="s">
        <v>1152</v>
      </c>
      <c r="I732" s="16" t="s">
        <v>2377</v>
      </c>
      <c r="J732" s="323">
        <v>43.92</v>
      </c>
      <c r="K732" s="326">
        <v>12.38</v>
      </c>
      <c r="L732" s="323">
        <v>1.94</v>
      </c>
      <c r="N732" s="318">
        <f t="shared" si="153"/>
        <v>58.24</v>
      </c>
      <c r="O732" s="81">
        <f>IFERROR(VLOOKUP($G732,'321買'!A:E,3,0),"'沒有資料'")</f>
        <v>5</v>
      </c>
      <c r="P732" s="380">
        <f>IFERROR(VLOOKUP($G732,'321買'!$A:$G,7,0),"'沒有資料'")</f>
        <v>558</v>
      </c>
      <c r="R732" s="297">
        <f>IFERROR(RANK(VLOOKUP($G732,連買!$A:$D,4,0),連買!$D:$D,0),"'沒有資料'")</f>
        <v>510</v>
      </c>
      <c r="S732" s="34">
        <v>2.6</v>
      </c>
      <c r="T732" s="353">
        <f t="shared" si="155"/>
        <v>3.9877300613496931E-2</v>
      </c>
      <c r="U732" s="95">
        <v>3.73</v>
      </c>
      <c r="V732" s="36">
        <f>RTD("money.excel",,"3088","Price")</f>
        <v>65.2</v>
      </c>
      <c r="W732" s="66"/>
      <c r="X732" s="15">
        <f t="shared" si="149"/>
        <v>65.2</v>
      </c>
      <c r="Y732" s="3" t="e">
        <f t="shared" si="150"/>
        <v>#DIV/0!</v>
      </c>
      <c r="Z732" s="413" t="s">
        <v>1801</v>
      </c>
      <c r="AA732" s="161">
        <v>0</v>
      </c>
      <c r="AB732" s="409">
        <v>0</v>
      </c>
      <c r="AC732" s="259">
        <f t="shared" si="154"/>
        <v>0</v>
      </c>
      <c r="AD732" s="16" t="s">
        <v>2377</v>
      </c>
      <c r="AG732" s="33">
        <f t="shared" si="151"/>
        <v>0</v>
      </c>
      <c r="AH732" s="120" t="s">
        <v>1053</v>
      </c>
      <c r="AI732" s="63">
        <f t="shared" si="156"/>
        <v>5.55956678700361E-2</v>
      </c>
      <c r="AJ732" s="307">
        <f>RTD("money.excel",,$G732,"PredictVolume")</f>
        <v>4620</v>
      </c>
      <c r="AK732" s="339"/>
    </row>
    <row r="733" spans="1:37" ht="16.5" customHeight="1">
      <c r="A733" s="416">
        <v>14.9</v>
      </c>
      <c r="B733" s="79">
        <v>219</v>
      </c>
      <c r="C733" s="80">
        <v>-36</v>
      </c>
      <c r="D733" s="79">
        <v>21</v>
      </c>
      <c r="E733" s="80">
        <v>-11</v>
      </c>
      <c r="F733" s="6">
        <v>4.08</v>
      </c>
      <c r="G733" s="79">
        <v>3211</v>
      </c>
      <c r="H733" s="149" t="s">
        <v>1152</v>
      </c>
      <c r="I733" s="16" t="s">
        <v>4411</v>
      </c>
      <c r="J733" s="323">
        <v>22.56</v>
      </c>
      <c r="K733" s="73">
        <v>10.76</v>
      </c>
      <c r="L733" s="323">
        <v>5.12</v>
      </c>
      <c r="M733" s="323">
        <v>9.56</v>
      </c>
      <c r="N733" s="318">
        <f t="shared" si="153"/>
        <v>48</v>
      </c>
      <c r="O733" s="81">
        <f>IFERROR(VLOOKUP($G733,'321買'!A:E,3,0),"'沒有資料'")</f>
        <v>6</v>
      </c>
      <c r="P733" s="380">
        <f>IFERROR(VLOOKUP($G733,'321買'!$A:$G,7,0),"'沒有資料'")</f>
        <v>521</v>
      </c>
      <c r="Q733" s="245" t="s">
        <v>3816</v>
      </c>
      <c r="R733" s="297">
        <f>IFERROR(RANK(VLOOKUP($G733,連買!$A:$D,4,0),連買!$D:$D,0),"'沒有資料'")</f>
        <v>120</v>
      </c>
      <c r="S733" s="45">
        <v>15.03</v>
      </c>
      <c r="T733" s="355">
        <f t="shared" si="155"/>
        <v>0.17079545454545453</v>
      </c>
      <c r="U733" s="95">
        <v>22.43</v>
      </c>
      <c r="V733" s="36">
        <f>RTD("money.excel",,"3211","Price")</f>
        <v>88</v>
      </c>
      <c r="W733" s="66"/>
      <c r="X733" s="15">
        <f t="shared" si="149"/>
        <v>88</v>
      </c>
      <c r="Y733" s="3" t="e">
        <f t="shared" si="150"/>
        <v>#DIV/0!</v>
      </c>
      <c r="Z733" s="413" t="s">
        <v>8576</v>
      </c>
      <c r="AA733" s="161">
        <v>0</v>
      </c>
      <c r="AB733" s="409">
        <v>0</v>
      </c>
      <c r="AC733" s="259">
        <f t="shared" si="154"/>
        <v>0</v>
      </c>
      <c r="AD733" s="16" t="s">
        <v>4411</v>
      </c>
      <c r="AG733" s="33">
        <f t="shared" si="151"/>
        <v>0</v>
      </c>
      <c r="AH733" s="43" t="s">
        <v>2389</v>
      </c>
      <c r="AI733" s="63">
        <f t="shared" si="156"/>
        <v>4.5570469798657722E-3</v>
      </c>
      <c r="AJ733" s="307">
        <f>RTD("money.excel",,$G733,"PredictVolume")</f>
        <v>679</v>
      </c>
      <c r="AK733" s="339">
        <v>10.11</v>
      </c>
    </row>
    <row r="734" spans="1:37">
      <c r="A734" s="415">
        <v>5.87</v>
      </c>
      <c r="B734" s="79">
        <v>56</v>
      </c>
      <c r="C734" s="79">
        <v>70</v>
      </c>
      <c r="D734" s="80">
        <v>-20</v>
      </c>
      <c r="E734" s="79">
        <v>16</v>
      </c>
      <c r="F734" s="57">
        <v>11.39</v>
      </c>
      <c r="G734" s="79">
        <v>3213</v>
      </c>
      <c r="H734" s="149" t="s">
        <v>1152</v>
      </c>
      <c r="I734" s="16" t="s">
        <v>2378</v>
      </c>
      <c r="J734" s="323">
        <v>25.38</v>
      </c>
      <c r="K734" s="73">
        <v>6.01</v>
      </c>
      <c r="L734" s="73">
        <v>1.87</v>
      </c>
      <c r="N734" s="318">
        <f t="shared" si="153"/>
        <v>33.26</v>
      </c>
      <c r="O734" s="81">
        <f>IFERROR(VLOOKUP($G734,'321買'!A:E,3,0),"'沒有資料'")</f>
        <v>3</v>
      </c>
      <c r="P734" s="380">
        <f>IFERROR(VLOOKUP($G734,'321買'!$A:$G,7,0),"'沒有資料'")</f>
        <v>636</v>
      </c>
      <c r="R734" s="297">
        <f>IFERROR(RANK(VLOOKUP($G734,連買!$A:$D,4,0),連買!$D:$D,0),"'沒有資料'")</f>
        <v>348</v>
      </c>
      <c r="S734" s="66">
        <v>4.5</v>
      </c>
      <c r="T734" s="353">
        <f t="shared" si="155"/>
        <v>8.4269662921348312E-2</v>
      </c>
      <c r="U734" s="95">
        <v>5.51</v>
      </c>
      <c r="V734" s="36">
        <f>RTD("money.excel",,"3213","Price")</f>
        <v>53.4</v>
      </c>
      <c r="W734" s="66"/>
      <c r="X734" s="15">
        <f t="shared" si="149"/>
        <v>53.4</v>
      </c>
      <c r="Y734" s="3" t="e">
        <f t="shared" si="150"/>
        <v>#DIV/0!</v>
      </c>
      <c r="Z734" s="413" t="s">
        <v>1997</v>
      </c>
      <c r="AA734" s="161">
        <v>0</v>
      </c>
      <c r="AB734" s="409">
        <v>0</v>
      </c>
      <c r="AC734" s="259">
        <f t="shared" si="154"/>
        <v>0</v>
      </c>
      <c r="AD734" s="16" t="s">
        <v>2378</v>
      </c>
      <c r="AG734" s="33">
        <f t="shared" si="151"/>
        <v>0</v>
      </c>
      <c r="AH734" s="43" t="s">
        <v>2620</v>
      </c>
      <c r="AI734" s="63">
        <f t="shared" si="156"/>
        <v>6.6439522998296423E-4</v>
      </c>
      <c r="AJ734" s="307">
        <f>RTD("money.excel",,$G734,"PredictVolume")</f>
        <v>39</v>
      </c>
      <c r="AK734" s="339"/>
    </row>
    <row r="735" spans="1:37">
      <c r="A735" s="416">
        <v>290</v>
      </c>
      <c r="B735" s="80">
        <v>-13</v>
      </c>
      <c r="C735" s="79">
        <v>6</v>
      </c>
      <c r="D735" s="80">
        <v>-2</v>
      </c>
      <c r="E735" s="79">
        <v>11</v>
      </c>
      <c r="F735" s="6">
        <v>1.82</v>
      </c>
      <c r="G735" s="79">
        <v>3231</v>
      </c>
      <c r="H735" s="204" t="s">
        <v>1152</v>
      </c>
      <c r="I735" s="22" t="s">
        <v>23</v>
      </c>
      <c r="J735" s="73">
        <v>56.7</v>
      </c>
      <c r="K735" s="73">
        <v>42.44</v>
      </c>
      <c r="L735" s="323">
        <v>1.58</v>
      </c>
      <c r="N735" s="318">
        <f t="shared" si="153"/>
        <v>100.72</v>
      </c>
      <c r="O735" s="81">
        <f>IFERROR(VLOOKUP($G735,'321買'!A:E,3,0),"'沒有資料'")</f>
        <v>7</v>
      </c>
      <c r="P735" s="380">
        <f>IFERROR(VLOOKUP($G735,'321買'!$A:$G,7,0),"'沒有資料'")</f>
        <v>499</v>
      </c>
      <c r="R735" s="297">
        <f>IFERROR(RANK(VLOOKUP($G735,連買!$A:$D,4,0),連買!$D:$D,0),"'沒有資料'")</f>
        <v>551</v>
      </c>
      <c r="S735" s="34">
        <v>2.2000000000000002</v>
      </c>
      <c r="T735" s="353">
        <f t="shared" si="155"/>
        <v>7.4576271186440682E-2</v>
      </c>
      <c r="U735" s="57">
        <v>2.66</v>
      </c>
      <c r="V735" s="13">
        <f>RTD("money.excel",,"3231","Price")</f>
        <v>29.5</v>
      </c>
      <c r="W735" s="66"/>
      <c r="X735" s="15">
        <f t="shared" si="149"/>
        <v>29.5</v>
      </c>
      <c r="Y735" s="3" t="e">
        <f t="shared" si="150"/>
        <v>#DIV/0!</v>
      </c>
      <c r="Z735" s="413" t="s">
        <v>1801</v>
      </c>
      <c r="AA735" s="161">
        <v>0</v>
      </c>
      <c r="AB735" s="409">
        <v>0</v>
      </c>
      <c r="AC735" s="259">
        <f t="shared" si="154"/>
        <v>0</v>
      </c>
      <c r="AD735" s="22" t="s">
        <v>23</v>
      </c>
      <c r="AG735" s="33">
        <f t="shared" si="151"/>
        <v>0</v>
      </c>
      <c r="AH735" s="120" t="s">
        <v>2913</v>
      </c>
      <c r="AI735" s="63">
        <f t="shared" si="156"/>
        <v>1.3027586206896553E-3</v>
      </c>
      <c r="AJ735" s="307">
        <f>RTD("money.excel",,$G735,"PredictVolume")</f>
        <v>3778</v>
      </c>
      <c r="AK735" s="339"/>
    </row>
    <row r="736" spans="1:37">
      <c r="A736" s="416">
        <v>5.55</v>
      </c>
      <c r="B736" s="79">
        <v>73</v>
      </c>
      <c r="C736" s="79">
        <v>59</v>
      </c>
      <c r="D736" s="79">
        <v>36</v>
      </c>
      <c r="E736" s="80">
        <v>-12</v>
      </c>
      <c r="F736" s="6">
        <v>4.25</v>
      </c>
      <c r="G736" s="79">
        <v>3272</v>
      </c>
      <c r="H736" s="149" t="s">
        <v>1152</v>
      </c>
      <c r="I736" s="16" t="s">
        <v>2379</v>
      </c>
      <c r="J736" s="323">
        <v>41.37</v>
      </c>
      <c r="K736" s="323">
        <v>1.29</v>
      </c>
      <c r="L736" s="323">
        <v>27.94</v>
      </c>
      <c r="N736" s="318">
        <f t="shared" si="153"/>
        <v>70.599999999999994</v>
      </c>
      <c r="O736" s="81">
        <f>IFERROR(VLOOKUP($G736,'321買'!A:E,3,0),"'沒有資料'")</f>
        <v>0</v>
      </c>
      <c r="P736" s="380">
        <f>IFERROR(VLOOKUP($G736,'321買'!$A:$G,7,0),"'沒有資料'")</f>
        <v>911</v>
      </c>
      <c r="R736" s="297">
        <f>IFERROR(RANK(VLOOKUP($G736,連買!$A:$D,4,0),連買!$D:$D,0),"'沒有資料'")</f>
        <v>1494</v>
      </c>
      <c r="S736" s="34">
        <v>1.8</v>
      </c>
      <c r="T736" s="353">
        <f t="shared" si="155"/>
        <v>5.844155844155844E-2</v>
      </c>
      <c r="U736" s="95">
        <v>3.51</v>
      </c>
      <c r="V736" s="36">
        <f>RTD("money.excel",,"3272","Price")</f>
        <v>30.8</v>
      </c>
      <c r="W736" s="66"/>
      <c r="X736" s="15">
        <f t="shared" si="149"/>
        <v>30.8</v>
      </c>
      <c r="Y736" s="3" t="e">
        <f t="shared" si="150"/>
        <v>#DIV/0!</v>
      </c>
      <c r="AA736" s="161">
        <v>0</v>
      </c>
      <c r="AB736" s="409">
        <v>0</v>
      </c>
      <c r="AC736" s="259">
        <f t="shared" si="154"/>
        <v>0</v>
      </c>
      <c r="AD736" s="16" t="s">
        <v>2379</v>
      </c>
      <c r="AG736" s="33">
        <f t="shared" si="151"/>
        <v>0</v>
      </c>
      <c r="AH736" s="122" t="s">
        <v>2482</v>
      </c>
      <c r="AI736" s="63">
        <f t="shared" si="156"/>
        <v>5.5855855855855858E-4</v>
      </c>
      <c r="AJ736" s="307">
        <f>RTD("money.excel",,$G736,"PredictVolume")</f>
        <v>31</v>
      </c>
      <c r="AK736" s="339"/>
    </row>
    <row r="737" spans="1:39">
      <c r="A737" s="415">
        <v>4.4000000000000004</v>
      </c>
      <c r="B737" s="79">
        <v>172</v>
      </c>
      <c r="C737" s="79">
        <v>316</v>
      </c>
      <c r="D737" s="79">
        <v>13</v>
      </c>
      <c r="E737" s="80">
        <v>-12</v>
      </c>
      <c r="F737" s="57">
        <v>12.97</v>
      </c>
      <c r="G737" s="79">
        <v>3287</v>
      </c>
      <c r="H737" s="149" t="s">
        <v>1152</v>
      </c>
      <c r="I737" s="16" t="s">
        <v>2380</v>
      </c>
      <c r="J737" s="323">
        <v>51.08</v>
      </c>
      <c r="K737" s="323">
        <v>0.68</v>
      </c>
      <c r="L737" s="73">
        <v>14.58</v>
      </c>
      <c r="N737" s="318">
        <f t="shared" si="153"/>
        <v>66.34</v>
      </c>
      <c r="O737" s="81">
        <f>IFERROR(VLOOKUP($G737,'321買'!A:E,3,0),"'沒有資料'")</f>
        <v>1</v>
      </c>
      <c r="P737" s="380">
        <f>IFERROR(VLOOKUP($G737,'321買'!$A:$G,7,0),"'沒有資料'")</f>
        <v>783</v>
      </c>
      <c r="R737" s="297">
        <f>IFERROR(RANK(VLOOKUP($G737,連買!$A:$D,4,0),連買!$D:$D,0),"'沒有資料'")</f>
        <v>895</v>
      </c>
      <c r="S737" s="34">
        <v>0</v>
      </c>
      <c r="T737" s="353">
        <f t="shared" si="155"/>
        <v>0</v>
      </c>
      <c r="U737" s="57">
        <v>1.88</v>
      </c>
      <c r="V737" s="36">
        <f>RTD("money.excel",,"3287","Price")</f>
        <v>16.25</v>
      </c>
      <c r="W737" s="66"/>
      <c r="X737" s="15">
        <f t="shared" si="149"/>
        <v>16.25</v>
      </c>
      <c r="Y737" s="3" t="e">
        <f t="shared" si="150"/>
        <v>#DIV/0!</v>
      </c>
      <c r="AA737" s="161">
        <v>0</v>
      </c>
      <c r="AB737" s="409">
        <v>0</v>
      </c>
      <c r="AC737" s="259">
        <f t="shared" si="154"/>
        <v>0</v>
      </c>
      <c r="AD737" s="16" t="s">
        <v>2380</v>
      </c>
      <c r="AG737" s="33">
        <f t="shared" si="151"/>
        <v>0</v>
      </c>
      <c r="AH737" s="43" t="s">
        <v>2621</v>
      </c>
      <c r="AI737" s="63">
        <f t="shared" si="156"/>
        <v>2.7272727272727274E-4</v>
      </c>
      <c r="AJ737" s="307">
        <f>RTD("money.excel",,$G737,"PredictVolume")</f>
        <v>12</v>
      </c>
      <c r="AK737" s="339"/>
    </row>
    <row r="738" spans="1:39">
      <c r="A738" s="416">
        <v>8.0299999999999994</v>
      </c>
      <c r="B738" s="80">
        <v>-1</v>
      </c>
      <c r="C738" s="79">
        <v>1</v>
      </c>
      <c r="D738" s="80">
        <v>-15</v>
      </c>
      <c r="E738" s="80">
        <v>-40</v>
      </c>
      <c r="F738" s="6">
        <v>2.39</v>
      </c>
      <c r="G738" s="79">
        <v>3323</v>
      </c>
      <c r="H738" s="149" t="s">
        <v>1152</v>
      </c>
      <c r="I738" s="16" t="s">
        <v>2382</v>
      </c>
      <c r="J738" s="323">
        <v>10.54</v>
      </c>
      <c r="K738" s="73">
        <v>4.41</v>
      </c>
      <c r="L738" s="73">
        <v>22.31</v>
      </c>
      <c r="N738" s="318">
        <f t="shared" si="153"/>
        <v>37.26</v>
      </c>
      <c r="O738" s="81">
        <f>IFERROR(VLOOKUP($G738,'321買'!A:E,3,0),"'沒有資料'")</f>
        <v>13</v>
      </c>
      <c r="P738" s="380">
        <f>IFERROR(VLOOKUP($G738,'321買'!$A:$G,7,0),"'沒有資料'")</f>
        <v>321</v>
      </c>
      <c r="R738" s="297">
        <f>IFERROR(RANK(VLOOKUP($G738,連買!$A:$D,4,0),連買!$D:$D,0),"'沒有資料'")</f>
        <v>447</v>
      </c>
      <c r="S738" s="34">
        <v>2.5</v>
      </c>
      <c r="T738" s="353">
        <f t="shared" si="155"/>
        <v>6.4020486555697823E-2</v>
      </c>
      <c r="U738" s="95">
        <v>4.09</v>
      </c>
      <c r="V738" s="36">
        <f>RTD("money.excel",,"3323","Price")</f>
        <v>39.049999999999997</v>
      </c>
      <c r="W738" s="66"/>
      <c r="X738" s="15">
        <f t="shared" si="149"/>
        <v>39.049999999999997</v>
      </c>
      <c r="Y738" s="3" t="e">
        <f t="shared" si="150"/>
        <v>#DIV/0!</v>
      </c>
      <c r="Z738" s="413" t="s">
        <v>1801</v>
      </c>
      <c r="AA738" s="161">
        <v>0</v>
      </c>
      <c r="AB738" s="409">
        <v>0</v>
      </c>
      <c r="AC738" s="259">
        <f t="shared" si="154"/>
        <v>0</v>
      </c>
      <c r="AD738" s="16" t="s">
        <v>2382</v>
      </c>
      <c r="AG738" s="33">
        <f t="shared" si="151"/>
        <v>0</v>
      </c>
      <c r="AH738" s="43" t="s">
        <v>2389</v>
      </c>
      <c r="AI738" s="63">
        <f t="shared" si="156"/>
        <v>1.6438356164383563E-3</v>
      </c>
      <c r="AJ738" s="307">
        <f>RTD("money.excel",,$G738,"PredictVolume")</f>
        <v>132</v>
      </c>
      <c r="AK738" s="339"/>
    </row>
    <row r="739" spans="1:39">
      <c r="A739" s="416">
        <v>8.4600000000000009</v>
      </c>
      <c r="B739" s="80">
        <v>-121</v>
      </c>
      <c r="C739" s="80">
        <v>-113</v>
      </c>
      <c r="D739" s="79">
        <v>9</v>
      </c>
      <c r="E739" s="79">
        <v>13</v>
      </c>
      <c r="F739" s="6">
        <v>-2.85</v>
      </c>
      <c r="G739" s="79">
        <v>3325</v>
      </c>
      <c r="H739" s="149" t="s">
        <v>1152</v>
      </c>
      <c r="I739" s="16" t="s">
        <v>473</v>
      </c>
      <c r="J739" s="73">
        <v>13.93</v>
      </c>
      <c r="K739" s="73">
        <v>0.73</v>
      </c>
      <c r="L739" s="73">
        <v>22.24</v>
      </c>
      <c r="M739" s="323">
        <v>12.2</v>
      </c>
      <c r="N739" s="318">
        <f t="shared" si="153"/>
        <v>49.099999999999994</v>
      </c>
      <c r="O739" s="81">
        <f>IFERROR(VLOOKUP($G739,'321買'!A:E,3,0),"'沒有資料'")</f>
        <v>0</v>
      </c>
      <c r="P739" s="380">
        <f>IFERROR(VLOOKUP($G739,'321買'!$A:$G,7,0),"'沒有資料'")</f>
        <v>911</v>
      </c>
      <c r="Q739" s="245" t="s">
        <v>3816</v>
      </c>
      <c r="R739" s="297">
        <f>IFERROR(RANK(VLOOKUP($G739,連買!$A:$D,4,0),連買!$D:$D,0),"'沒有資料'")</f>
        <v>1644</v>
      </c>
      <c r="S739" s="34">
        <v>2.5</v>
      </c>
      <c r="T739" s="353">
        <f t="shared" si="155"/>
        <v>0.16339869281045752</v>
      </c>
      <c r="U739" s="95">
        <v>-0.44</v>
      </c>
      <c r="V739" s="36">
        <f>RTD("money.excel",,"3325","Price")</f>
        <v>15.3</v>
      </c>
      <c r="W739" s="66"/>
      <c r="X739" s="15">
        <f t="shared" si="149"/>
        <v>15.3</v>
      </c>
      <c r="Y739" s="3" t="e">
        <f t="shared" si="150"/>
        <v>#DIV/0!</v>
      </c>
      <c r="AA739" s="161">
        <v>0</v>
      </c>
      <c r="AB739" s="409">
        <v>0</v>
      </c>
      <c r="AC739" s="259">
        <f t="shared" si="154"/>
        <v>0</v>
      </c>
      <c r="AD739" s="16" t="s">
        <v>473</v>
      </c>
      <c r="AG739" s="33">
        <f t="shared" si="151"/>
        <v>0</v>
      </c>
      <c r="AH739" s="43" t="s">
        <v>2622</v>
      </c>
      <c r="AI739" s="63">
        <f t="shared" si="156"/>
        <v>8.0378250591016539E-4</v>
      </c>
      <c r="AJ739" s="307">
        <f>RTD("money.excel",,$G739,"PredictVolume")</f>
        <v>68</v>
      </c>
      <c r="AK739" s="339"/>
    </row>
    <row r="740" spans="1:39">
      <c r="A740" s="416">
        <v>3.85</v>
      </c>
      <c r="B740" s="79">
        <v>181</v>
      </c>
      <c r="C740" s="79">
        <v>283</v>
      </c>
      <c r="D740" s="80">
        <v>-51</v>
      </c>
      <c r="E740" s="80">
        <v>-30</v>
      </c>
      <c r="F740" s="6">
        <v>5.67</v>
      </c>
      <c r="G740" s="79">
        <v>3349</v>
      </c>
      <c r="H740" s="149" t="s">
        <v>1152</v>
      </c>
      <c r="I740" s="16" t="s">
        <v>5160</v>
      </c>
      <c r="J740" s="323">
        <v>36.880000000000003</v>
      </c>
      <c r="K740" s="323">
        <v>0.01</v>
      </c>
      <c r="L740" s="323"/>
      <c r="M740" s="73">
        <v>16.88</v>
      </c>
      <c r="N740" s="318">
        <f t="shared" si="153"/>
        <v>53.769999999999996</v>
      </c>
      <c r="O740" s="81" t="str">
        <f>IFERROR(VLOOKUP($G740,'321買'!A:E,3,0),"'沒有資料'")</f>
        <v>'沒有資料'</v>
      </c>
      <c r="P740" s="380" t="str">
        <f>IFERROR(VLOOKUP($G740,'321買'!$A:$G,7,0),"'沒有資料'")</f>
        <v>'沒有資料'</v>
      </c>
      <c r="R740" s="297">
        <f>IFERROR(RANK(VLOOKUP($G740,連買!$A:$D,4,0),連買!$D:$D,0),"'沒有資料'")</f>
        <v>1408</v>
      </c>
      <c r="S740" s="34">
        <v>1.2</v>
      </c>
      <c r="T740" s="353">
        <f>S740/V740</f>
        <v>5.9850374064837904E-2</v>
      </c>
      <c r="U740" s="95" t="s">
        <v>3500</v>
      </c>
      <c r="V740" s="36">
        <f>RTD("money.excel",,"3349","Price")</f>
        <v>20.05</v>
      </c>
      <c r="W740" s="66"/>
      <c r="X740" s="15">
        <f>V740-W740</f>
        <v>20.05</v>
      </c>
      <c r="Y740" s="3" t="e">
        <f>X740/W740</f>
        <v>#DIV/0!</v>
      </c>
      <c r="Z740" s="413" t="s">
        <v>1801</v>
      </c>
      <c r="AA740" s="161">
        <v>0</v>
      </c>
      <c r="AB740" s="409">
        <v>0</v>
      </c>
      <c r="AC740" s="259">
        <f t="shared" si="154"/>
        <v>0</v>
      </c>
      <c r="AD740" s="16" t="s">
        <v>5160</v>
      </c>
      <c r="AG740" s="33">
        <f>AF740-AE740</f>
        <v>0</v>
      </c>
      <c r="AH740" s="43" t="s">
        <v>5161</v>
      </c>
      <c r="AI740" s="63">
        <f t="shared" si="156"/>
        <v>3.87012987012987E-3</v>
      </c>
      <c r="AJ740" s="307">
        <f>RTD("money.excel",,$G740,"PredictVolume")</f>
        <v>149</v>
      </c>
      <c r="AK740" s="339"/>
    </row>
    <row r="741" spans="1:39">
      <c r="A741" s="415">
        <v>7.25</v>
      </c>
      <c r="B741" s="80">
        <v>-1</v>
      </c>
      <c r="C741" s="80">
        <v>-1</v>
      </c>
      <c r="D741" s="79">
        <v>14</v>
      </c>
      <c r="E741" s="79">
        <v>34</v>
      </c>
      <c r="F741" s="57">
        <v>16.2</v>
      </c>
      <c r="G741" s="79">
        <v>3416</v>
      </c>
      <c r="H741" s="204" t="s">
        <v>1152</v>
      </c>
      <c r="I741" s="22" t="s">
        <v>466</v>
      </c>
      <c r="J741" s="73">
        <v>59.86</v>
      </c>
      <c r="K741" s="73">
        <v>2.74</v>
      </c>
      <c r="L741" s="73">
        <v>6.43</v>
      </c>
      <c r="N741" s="318">
        <f t="shared" si="153"/>
        <v>69.03</v>
      </c>
      <c r="O741" s="81">
        <f>IFERROR(VLOOKUP($G741,'321買'!A:E,3,0),"'沒有資料'")</f>
        <v>0</v>
      </c>
      <c r="P741" s="380">
        <f>IFERROR(VLOOKUP($G741,'321買'!$A:$G,7,0),"'沒有資料'")</f>
        <v>911</v>
      </c>
      <c r="R741" s="297">
        <f>IFERROR(RANK(VLOOKUP($G741,連買!$A:$D,4,0),連買!$D:$D,0),"'沒有資料'")</f>
        <v>292</v>
      </c>
      <c r="S741" s="66">
        <v>4</v>
      </c>
      <c r="T741" s="353">
        <f t="shared" si="155"/>
        <v>5.108556832694764E-2</v>
      </c>
      <c r="U741" s="95">
        <v>3.55</v>
      </c>
      <c r="V741" s="36">
        <f>RTD("money.excel",,"3416","Price")</f>
        <v>78.3</v>
      </c>
      <c r="W741" s="66"/>
      <c r="X741" s="15">
        <f t="shared" si="149"/>
        <v>78.3</v>
      </c>
      <c r="Y741" s="3" t="e">
        <f t="shared" si="150"/>
        <v>#DIV/0!</v>
      </c>
      <c r="Z741" s="413" t="s">
        <v>1997</v>
      </c>
      <c r="AA741" s="161">
        <v>0</v>
      </c>
      <c r="AB741" s="409">
        <v>0</v>
      </c>
      <c r="AC741" s="259">
        <f t="shared" si="154"/>
        <v>0</v>
      </c>
      <c r="AD741" s="22" t="s">
        <v>466</v>
      </c>
      <c r="AG741" s="33">
        <f t="shared" si="151"/>
        <v>0</v>
      </c>
      <c r="AH741" s="43" t="s">
        <v>2408</v>
      </c>
      <c r="AI741" s="63">
        <f t="shared" si="156"/>
        <v>2.8965517241379309E-4</v>
      </c>
      <c r="AJ741" s="307">
        <f>RTD("money.excel",,$G741,"PredictVolume")</f>
        <v>21</v>
      </c>
      <c r="AK741" s="339"/>
    </row>
    <row r="742" spans="1:39">
      <c r="A742" s="416">
        <v>7.05</v>
      </c>
      <c r="B742" s="80">
        <v>-32</v>
      </c>
      <c r="C742" s="80">
        <v>-28</v>
      </c>
      <c r="D742" s="79">
        <v>17</v>
      </c>
      <c r="E742" s="79">
        <v>35</v>
      </c>
      <c r="F742" s="6">
        <v>4.46</v>
      </c>
      <c r="G742" s="79">
        <v>3479</v>
      </c>
      <c r="H742" s="149" t="s">
        <v>1152</v>
      </c>
      <c r="I742" s="16" t="s">
        <v>2383</v>
      </c>
      <c r="J742" s="73">
        <v>38.17</v>
      </c>
      <c r="K742" s="323">
        <v>2.85</v>
      </c>
      <c r="L742" s="73">
        <v>10.46</v>
      </c>
      <c r="M742" s="323">
        <v>27.27</v>
      </c>
      <c r="N742" s="318">
        <f t="shared" si="153"/>
        <v>78.75</v>
      </c>
      <c r="O742" s="81">
        <f>IFERROR(VLOOKUP($G742,'321買'!A:E,3,0),"'沒有資料'")</f>
        <v>2</v>
      </c>
      <c r="P742" s="380">
        <f>IFERROR(VLOOKUP($G742,'321買'!$A:$G,7,0),"'沒有資料'")</f>
        <v>706</v>
      </c>
      <c r="Q742" s="245" t="s">
        <v>5077</v>
      </c>
      <c r="R742" s="297">
        <f>IFERROR(RANK(VLOOKUP($G742,連買!$A:$D,4,0),連買!$D:$D,0),"'沒有資料'")</f>
        <v>347</v>
      </c>
      <c r="S742" s="34">
        <v>2.58</v>
      </c>
      <c r="T742" s="353">
        <f t="shared" si="155"/>
        <v>0.04</v>
      </c>
      <c r="U742" s="95">
        <v>2.23</v>
      </c>
      <c r="V742" s="36">
        <f>RTD("money.excel",,"3479","Price")</f>
        <v>64.5</v>
      </c>
      <c r="W742" s="66"/>
      <c r="X742" s="15">
        <f t="shared" si="149"/>
        <v>64.5</v>
      </c>
      <c r="Y742" s="3" t="e">
        <f t="shared" si="150"/>
        <v>#DIV/0!</v>
      </c>
      <c r="Z742" s="413" t="s">
        <v>1801</v>
      </c>
      <c r="AA742" s="161">
        <v>0</v>
      </c>
      <c r="AB742" s="409">
        <v>0</v>
      </c>
      <c r="AC742" s="259">
        <f t="shared" si="154"/>
        <v>0</v>
      </c>
      <c r="AD742" s="16" t="s">
        <v>2383</v>
      </c>
      <c r="AG742" s="33">
        <f t="shared" si="151"/>
        <v>0</v>
      </c>
      <c r="AH742" s="120" t="s">
        <v>2470</v>
      </c>
      <c r="AI742" s="63">
        <f t="shared" si="156"/>
        <v>1.7900709219858157E-2</v>
      </c>
      <c r="AJ742" s="307">
        <f>RTD("money.excel",,$G742,"PredictVolume")</f>
        <v>1262</v>
      </c>
      <c r="AK742" s="339">
        <v>11.47</v>
      </c>
    </row>
    <row r="743" spans="1:39">
      <c r="A743" s="416">
        <v>7.79</v>
      </c>
      <c r="B743" s="79">
        <v>35</v>
      </c>
      <c r="C743" s="80">
        <v>-16</v>
      </c>
      <c r="D743" s="79">
        <v>61</v>
      </c>
      <c r="E743" s="79">
        <v>35</v>
      </c>
      <c r="F743" s="6">
        <v>5.23</v>
      </c>
      <c r="G743" s="79">
        <v>3483</v>
      </c>
      <c r="H743" s="149" t="s">
        <v>1152</v>
      </c>
      <c r="I743" s="16" t="s">
        <v>474</v>
      </c>
      <c r="J743" s="323">
        <v>27.76</v>
      </c>
      <c r="K743" s="73">
        <v>3.3</v>
      </c>
      <c r="L743" s="323">
        <v>58.83</v>
      </c>
      <c r="M743" s="323">
        <v>5.68</v>
      </c>
      <c r="N743" s="318">
        <f t="shared" si="153"/>
        <v>95.57</v>
      </c>
      <c r="O743" s="81">
        <f>IFERROR(VLOOKUP($G743,'321買'!A:E,3,0),"'沒有資料'")</f>
        <v>35</v>
      </c>
      <c r="P743" s="380">
        <f>IFERROR(VLOOKUP($G743,'321買'!$A:$G,7,0),"'沒有資料'")</f>
        <v>100</v>
      </c>
      <c r="Q743" s="245" t="s">
        <v>8656</v>
      </c>
      <c r="R743" s="297">
        <f>IFERROR(RANK(VLOOKUP($G743,連買!$A:$D,4,0),連買!$D:$D,0),"'沒有資料'")</f>
        <v>96</v>
      </c>
      <c r="S743" s="45">
        <v>3</v>
      </c>
      <c r="T743" s="353">
        <f t="shared" si="155"/>
        <v>3.6585365853658534E-2</v>
      </c>
      <c r="U743" s="95">
        <v>5.51</v>
      </c>
      <c r="V743" s="36">
        <f>RTD("money.excel",,"3483","Price")</f>
        <v>82</v>
      </c>
      <c r="W743" s="66"/>
      <c r="X743" s="15">
        <f t="shared" si="149"/>
        <v>82</v>
      </c>
      <c r="Y743" s="3" t="e">
        <f t="shared" si="150"/>
        <v>#DIV/0!</v>
      </c>
      <c r="Z743" s="413" t="s">
        <v>8657</v>
      </c>
      <c r="AA743" s="161">
        <v>2</v>
      </c>
      <c r="AB743" s="409">
        <v>1</v>
      </c>
      <c r="AC743" s="259">
        <f t="shared" si="154"/>
        <v>1</v>
      </c>
      <c r="AD743" s="16" t="s">
        <v>474</v>
      </c>
      <c r="AG743" s="33">
        <f t="shared" si="151"/>
        <v>0</v>
      </c>
      <c r="AH743" s="43" t="s">
        <v>3112</v>
      </c>
      <c r="AI743" s="63">
        <f t="shared" si="156"/>
        <v>7.3170731707317077E-3</v>
      </c>
      <c r="AJ743" s="307">
        <f>RTD("money.excel",,$G743,"PredictVolume")</f>
        <v>570</v>
      </c>
      <c r="AK743" s="339">
        <v>36.36</v>
      </c>
    </row>
    <row r="744" spans="1:39">
      <c r="A744" s="416">
        <v>17.899999999999999</v>
      </c>
      <c r="B744" s="91">
        <v>-194</v>
      </c>
      <c r="C744" s="91">
        <v>-38</v>
      </c>
      <c r="D744" s="91">
        <v>-35</v>
      </c>
      <c r="E744" s="91">
        <v>-52</v>
      </c>
      <c r="F744" s="6">
        <v>-99.12</v>
      </c>
      <c r="G744" s="79">
        <v>3494</v>
      </c>
      <c r="H744" s="204" t="s">
        <v>1152</v>
      </c>
      <c r="I744" s="22" t="s">
        <v>467</v>
      </c>
      <c r="J744" s="73">
        <v>48.93</v>
      </c>
      <c r="K744" s="73">
        <v>5.67</v>
      </c>
      <c r="L744" s="73">
        <v>0</v>
      </c>
      <c r="N744" s="318">
        <f t="shared" si="153"/>
        <v>54.6</v>
      </c>
      <c r="O744" s="81">
        <f>IFERROR(VLOOKUP($G744,'321買'!A:E,3,0),"'沒有資料'")</f>
        <v>0</v>
      </c>
      <c r="P744" s="380">
        <f>IFERROR(VLOOKUP($G744,'321買'!$A:$G,7,0),"'沒有資料'")</f>
        <v>911</v>
      </c>
      <c r="R744" s="297">
        <f>IFERROR(RANK(VLOOKUP($G744,連買!$A:$D,4,0),連買!$D:$D,0),"'沒有資料'")</f>
        <v>1359</v>
      </c>
      <c r="S744" s="34">
        <v>0</v>
      </c>
      <c r="T744" s="353">
        <f t="shared" si="155"/>
        <v>0</v>
      </c>
      <c r="U744" s="95">
        <v>-2.44</v>
      </c>
      <c r="V744" s="36">
        <f>RTD("money.excel",,"3494","Price")</f>
        <v>5.53</v>
      </c>
      <c r="W744" s="66"/>
      <c r="X744" s="15">
        <f t="shared" si="149"/>
        <v>5.53</v>
      </c>
      <c r="Y744" s="3" t="e">
        <f t="shared" si="150"/>
        <v>#DIV/0!</v>
      </c>
      <c r="AA744" s="161">
        <v>0</v>
      </c>
      <c r="AB744" s="409">
        <v>0</v>
      </c>
      <c r="AC744" s="259">
        <f t="shared" si="154"/>
        <v>0</v>
      </c>
      <c r="AD744" s="22" t="s">
        <v>467</v>
      </c>
      <c r="AG744" s="33">
        <f t="shared" si="151"/>
        <v>0</v>
      </c>
      <c r="AH744" s="43" t="s">
        <v>2914</v>
      </c>
      <c r="AI744" s="63">
        <f t="shared" si="156"/>
        <v>5.0279329608938551E-4</v>
      </c>
      <c r="AJ744" s="307">
        <f>RTD("money.excel",,$G744,"PredictVolume")</f>
        <v>90</v>
      </c>
      <c r="AK744" s="339"/>
    </row>
    <row r="745" spans="1:39">
      <c r="A745" s="415">
        <v>12.2</v>
      </c>
      <c r="B745" s="79">
        <v>54</v>
      </c>
      <c r="C745" s="79">
        <v>62</v>
      </c>
      <c r="D745" s="79">
        <v>31</v>
      </c>
      <c r="E745" s="79">
        <v>26</v>
      </c>
      <c r="F745" s="57">
        <v>15.55</v>
      </c>
      <c r="G745" s="79">
        <v>3515</v>
      </c>
      <c r="H745" s="204" t="s">
        <v>1152</v>
      </c>
      <c r="I745" s="22" t="s">
        <v>468</v>
      </c>
      <c r="J745" s="73">
        <v>69.400000000000006</v>
      </c>
      <c r="K745" s="73">
        <v>13.97</v>
      </c>
      <c r="L745" s="323">
        <v>9.7899999999999991</v>
      </c>
      <c r="M745" s="323">
        <v>50.7</v>
      </c>
      <c r="N745" s="73">
        <f t="shared" si="153"/>
        <v>143.86000000000001</v>
      </c>
      <c r="O745" s="81">
        <f>IFERROR(VLOOKUP($G745,'321買'!A:E,3,0),"'沒有資料'")</f>
        <v>42</v>
      </c>
      <c r="P745" s="380">
        <f>IFERROR(VLOOKUP($G745,'321買'!$A:$G,7,0),"'沒有資料'")</f>
        <v>92</v>
      </c>
      <c r="Q745" s="245" t="s">
        <v>3817</v>
      </c>
      <c r="R745" s="297">
        <f>IFERROR(RANK(VLOOKUP($G745,連買!$A:$D,4,0),連買!$D:$D,0),"'沒有資料'")</f>
        <v>1648</v>
      </c>
      <c r="S745" s="66">
        <v>8</v>
      </c>
      <c r="T745" s="353">
        <f t="shared" si="155"/>
        <v>4.5454545454545456E-2</v>
      </c>
      <c r="U745" s="57">
        <v>17.05</v>
      </c>
      <c r="V745" s="36">
        <f>RTD("money.excel",,"3515","Price")</f>
        <v>176</v>
      </c>
      <c r="W745" s="66"/>
      <c r="X745" s="15">
        <f t="shared" si="149"/>
        <v>176</v>
      </c>
      <c r="Y745" s="3" t="e">
        <f t="shared" si="150"/>
        <v>#DIV/0!</v>
      </c>
      <c r="Z745" s="413" t="s">
        <v>1997</v>
      </c>
      <c r="AA745" s="161">
        <v>0</v>
      </c>
      <c r="AB745" s="409">
        <v>0</v>
      </c>
      <c r="AC745" s="259">
        <f t="shared" si="154"/>
        <v>0</v>
      </c>
      <c r="AD745" s="22" t="s">
        <v>468</v>
      </c>
      <c r="AG745" s="33">
        <f t="shared" si="151"/>
        <v>0</v>
      </c>
      <c r="AH745" s="43" t="s">
        <v>2904</v>
      </c>
      <c r="AI745" s="63">
        <f t="shared" si="156"/>
        <v>5.5819672131147543E-3</v>
      </c>
      <c r="AJ745" s="307">
        <f>RTD("money.excel",,$G745,"PredictVolume")</f>
        <v>681</v>
      </c>
      <c r="AK745" s="340"/>
      <c r="AM745" s="258"/>
    </row>
    <row r="746" spans="1:39">
      <c r="A746" s="416">
        <v>4.67</v>
      </c>
      <c r="B746" s="80">
        <v>-134</v>
      </c>
      <c r="C746" s="80">
        <v>-137</v>
      </c>
      <c r="D746" s="80">
        <v>-56</v>
      </c>
      <c r="E746" s="80">
        <v>-34</v>
      </c>
      <c r="F746" s="6">
        <v>-14.6</v>
      </c>
      <c r="G746" s="79">
        <v>3521</v>
      </c>
      <c r="H746" s="149" t="s">
        <v>1152</v>
      </c>
      <c r="I746" s="16" t="s">
        <v>2384</v>
      </c>
      <c r="J746" s="323">
        <v>47.81</v>
      </c>
      <c r="K746" s="73">
        <v>1.0900000000000001</v>
      </c>
      <c r="L746" s="73">
        <v>13.64</v>
      </c>
      <c r="N746" s="318">
        <f t="shared" si="153"/>
        <v>62.540000000000006</v>
      </c>
      <c r="O746" s="81">
        <f>IFERROR(VLOOKUP($G746,'321買'!A:E,3,0),"'沒有資料'")</f>
        <v>2</v>
      </c>
      <c r="P746" s="380">
        <f>IFERROR(VLOOKUP($G746,'321買'!$A:$G,7,0),"'沒有資料'")</f>
        <v>706</v>
      </c>
      <c r="R746" s="297">
        <f>IFERROR(RANK(VLOOKUP($G746,連買!$A:$D,4,0),連買!$D:$D,0),"'沒有資料'")</f>
        <v>613</v>
      </c>
      <c r="S746" s="34">
        <v>0</v>
      </c>
      <c r="T746" s="353">
        <f t="shared" si="155"/>
        <v>0</v>
      </c>
      <c r="U746" s="95">
        <v>-0.89</v>
      </c>
      <c r="V746" s="36">
        <f>RTD("money.excel",,"3521","Price")</f>
        <v>13.75</v>
      </c>
      <c r="W746" s="66"/>
      <c r="X746" s="15">
        <f t="shared" si="149"/>
        <v>13.75</v>
      </c>
      <c r="Y746" s="3" t="e">
        <f t="shared" si="150"/>
        <v>#DIV/0!</v>
      </c>
      <c r="AA746" s="161">
        <v>0</v>
      </c>
      <c r="AB746" s="409">
        <v>0</v>
      </c>
      <c r="AC746" s="259">
        <f t="shared" si="154"/>
        <v>0</v>
      </c>
      <c r="AD746" s="16" t="s">
        <v>2384</v>
      </c>
      <c r="AG746" s="33">
        <f t="shared" si="151"/>
        <v>0</v>
      </c>
      <c r="AH746" s="43" t="s">
        <v>2578</v>
      </c>
      <c r="AI746" s="63">
        <f t="shared" si="156"/>
        <v>4.2826552462526769E-5</v>
      </c>
      <c r="AJ746" s="307">
        <f>RTD("money.excel",,$G746,"PredictVolume")</f>
        <v>2</v>
      </c>
      <c r="AK746" s="339"/>
    </row>
    <row r="747" spans="1:39">
      <c r="A747" s="416">
        <v>7.31</v>
      </c>
      <c r="B747" s="80">
        <v>-43</v>
      </c>
      <c r="C747" s="80">
        <v>-33</v>
      </c>
      <c r="D747" s="80">
        <v>-1</v>
      </c>
      <c r="E747" s="80">
        <v>-30</v>
      </c>
      <c r="F747" s="6">
        <v>9.76</v>
      </c>
      <c r="G747" s="79">
        <v>3540</v>
      </c>
      <c r="H747" s="149" t="s">
        <v>1152</v>
      </c>
      <c r="I747" s="16" t="s">
        <v>4412</v>
      </c>
      <c r="J747" s="323">
        <v>25.89</v>
      </c>
      <c r="K747" s="323">
        <v>1.34</v>
      </c>
      <c r="L747" s="73">
        <v>14.2</v>
      </c>
      <c r="M747" s="73">
        <v>16.309999999999999</v>
      </c>
      <c r="N747" s="318">
        <f t="shared" si="153"/>
        <v>57.739999999999995</v>
      </c>
      <c r="O747" s="81">
        <f>IFERROR(VLOOKUP($G747,'321買'!A:E,3,0),"'沒有資料'")</f>
        <v>1</v>
      </c>
      <c r="P747" s="380">
        <f>IFERROR(VLOOKUP($G747,'321買'!$A:$G,7,0),"'沒有資料'")</f>
        <v>783</v>
      </c>
      <c r="Q747" s="245" t="s">
        <v>3816</v>
      </c>
      <c r="R747" s="297">
        <f>IFERROR(RANK(VLOOKUP($G747,連買!$A:$D,4,0),連買!$D:$D,0),"'沒有資料'")</f>
        <v>1728</v>
      </c>
      <c r="S747" s="66">
        <v>4.49</v>
      </c>
      <c r="T747" s="353">
        <f t="shared" si="155"/>
        <v>0.12865329512893983</v>
      </c>
      <c r="U747" s="95">
        <v>4.7300000000000004</v>
      </c>
      <c r="V747" s="36">
        <f>RTD("money.excel",,"3540","Price")</f>
        <v>34.9</v>
      </c>
      <c r="W747" s="66"/>
      <c r="X747" s="15">
        <f t="shared" si="149"/>
        <v>34.9</v>
      </c>
      <c r="Y747" s="3" t="e">
        <f t="shared" si="150"/>
        <v>#DIV/0!</v>
      </c>
      <c r="Z747" s="413" t="s">
        <v>1997</v>
      </c>
      <c r="AA747" s="161">
        <v>0</v>
      </c>
      <c r="AB747" s="409">
        <v>0</v>
      </c>
      <c r="AC747" s="259">
        <f t="shared" si="154"/>
        <v>0</v>
      </c>
      <c r="AD747" s="16" t="s">
        <v>4412</v>
      </c>
      <c r="AG747" s="33">
        <f t="shared" si="151"/>
        <v>0</v>
      </c>
      <c r="AH747" s="120" t="s">
        <v>3788</v>
      </c>
      <c r="AI747" s="63">
        <f t="shared" si="156"/>
        <v>1.5868673050615596E-3</v>
      </c>
      <c r="AJ747" s="307">
        <f>RTD("money.excel",,$G747,"PredictVolume")</f>
        <v>116</v>
      </c>
      <c r="AK747" s="339"/>
    </row>
    <row r="748" spans="1:39">
      <c r="A748" s="416">
        <v>5.29</v>
      </c>
      <c r="B748" s="91">
        <v>-38</v>
      </c>
      <c r="C748" s="91">
        <v>-29</v>
      </c>
      <c r="D748" s="91">
        <v>30</v>
      </c>
      <c r="E748" s="91">
        <v>54</v>
      </c>
      <c r="F748" s="6">
        <v>4.62</v>
      </c>
      <c r="G748" s="79">
        <v>3577</v>
      </c>
      <c r="H748" s="149" t="s">
        <v>1152</v>
      </c>
      <c r="I748" s="16" t="s">
        <v>2385</v>
      </c>
      <c r="J748" s="73">
        <v>59.27</v>
      </c>
      <c r="K748" s="73">
        <v>0.63</v>
      </c>
      <c r="L748" s="73">
        <v>6.82</v>
      </c>
      <c r="N748" s="318">
        <f t="shared" si="153"/>
        <v>66.72</v>
      </c>
      <c r="O748" s="81">
        <f>IFERROR(VLOOKUP($G748,'321買'!A:E,3,0),"'沒有資料'")</f>
        <v>0</v>
      </c>
      <c r="P748" s="380">
        <f>IFERROR(VLOOKUP($G748,'321買'!$A:$G,7,0),"'沒有資料'")</f>
        <v>911</v>
      </c>
      <c r="R748" s="297">
        <f>IFERROR(RANK(VLOOKUP($G748,連買!$A:$D,4,0),連買!$D:$D,0),"'沒有資料'")</f>
        <v>417</v>
      </c>
      <c r="S748" s="34">
        <v>0.7</v>
      </c>
      <c r="T748" s="353">
        <f t="shared" si="155"/>
        <v>8.3632019115890081E-3</v>
      </c>
      <c r="U748" s="95">
        <v>0.76</v>
      </c>
      <c r="V748" s="13">
        <f>RTD("money.excel",,"3577","Price")</f>
        <v>83.7</v>
      </c>
      <c r="W748" s="66"/>
      <c r="X748" s="15">
        <f t="shared" si="149"/>
        <v>83.7</v>
      </c>
      <c r="Y748" s="3" t="e">
        <f t="shared" si="150"/>
        <v>#DIV/0!</v>
      </c>
      <c r="AA748" s="161">
        <v>0</v>
      </c>
      <c r="AB748" s="409">
        <v>0</v>
      </c>
      <c r="AC748" s="259">
        <f t="shared" si="154"/>
        <v>0</v>
      </c>
      <c r="AD748" s="16" t="s">
        <v>2385</v>
      </c>
      <c r="AG748" s="33">
        <f t="shared" si="151"/>
        <v>0</v>
      </c>
      <c r="AH748" s="43" t="s">
        <v>2408</v>
      </c>
      <c r="AI748" s="63">
        <f t="shared" si="156"/>
        <v>2.1361058601134216E-3</v>
      </c>
      <c r="AJ748" s="307">
        <f>RTD("money.excel",,$G748,"PredictVolume")</f>
        <v>113</v>
      </c>
      <c r="AK748" s="339"/>
    </row>
    <row r="749" spans="1:39">
      <c r="A749" s="416">
        <v>7.12</v>
      </c>
      <c r="B749" s="91">
        <v>-83</v>
      </c>
      <c r="C749" s="91">
        <v>-42</v>
      </c>
      <c r="D749" s="91">
        <v>23</v>
      </c>
      <c r="E749" s="91">
        <v>-16</v>
      </c>
      <c r="F749" s="6">
        <v>2.65</v>
      </c>
      <c r="G749" s="79">
        <v>3594</v>
      </c>
      <c r="H749" s="149" t="s">
        <v>1152</v>
      </c>
      <c r="I749" s="16" t="s">
        <v>2386</v>
      </c>
      <c r="J749" s="73">
        <v>48.73</v>
      </c>
      <c r="K749" s="73">
        <v>1.51</v>
      </c>
      <c r="L749" s="73">
        <v>26.54</v>
      </c>
      <c r="N749" s="318">
        <f t="shared" si="153"/>
        <v>76.78</v>
      </c>
      <c r="O749" s="81">
        <f>IFERROR(VLOOKUP($G749,'321買'!A:E,3,0),"'沒有資料'")</f>
        <v>1</v>
      </c>
      <c r="P749" s="380">
        <f>IFERROR(VLOOKUP($G749,'321買'!$A:$G,7,0),"'沒有資料'")</f>
        <v>783</v>
      </c>
      <c r="R749" s="297">
        <f>IFERROR(RANK(VLOOKUP($G749,連買!$A:$D,4,0),連買!$D:$D,0),"'沒有資料'")</f>
        <v>677</v>
      </c>
      <c r="S749" s="34">
        <v>0.2</v>
      </c>
      <c r="T749" s="353">
        <f t="shared" si="155"/>
        <v>8.6021505376344086E-3</v>
      </c>
      <c r="U749" s="95">
        <v>0.16</v>
      </c>
      <c r="V749" s="36">
        <f>RTD("money.excel",,"3594","Price")</f>
        <v>23.25</v>
      </c>
      <c r="W749" s="66"/>
      <c r="X749" s="15">
        <f t="shared" si="149"/>
        <v>23.25</v>
      </c>
      <c r="Y749" s="3" t="e">
        <f t="shared" si="150"/>
        <v>#DIV/0!</v>
      </c>
      <c r="AA749" s="161">
        <v>0</v>
      </c>
      <c r="AB749" s="409">
        <v>0</v>
      </c>
      <c r="AC749" s="259">
        <f t="shared" si="154"/>
        <v>0</v>
      </c>
      <c r="AD749" s="16" t="s">
        <v>2386</v>
      </c>
      <c r="AG749" s="33">
        <f t="shared" si="151"/>
        <v>0</v>
      </c>
      <c r="AH749" s="43" t="s">
        <v>2408</v>
      </c>
      <c r="AI749" s="63">
        <f t="shared" si="156"/>
        <v>2.2752808988764045E-3</v>
      </c>
      <c r="AJ749" s="307">
        <f>RTD("money.excel",,$G749,"PredictVolume")</f>
        <v>162</v>
      </c>
      <c r="AK749" s="339"/>
    </row>
    <row r="750" spans="1:39">
      <c r="A750" s="415">
        <v>4.25</v>
      </c>
      <c r="B750" s="80">
        <v>-21</v>
      </c>
      <c r="C750" s="80">
        <v>-15</v>
      </c>
      <c r="D750" s="79">
        <v>19</v>
      </c>
      <c r="E750" s="80">
        <v>-10</v>
      </c>
      <c r="F750" s="57">
        <v>13.36</v>
      </c>
      <c r="G750" s="79">
        <v>3611</v>
      </c>
      <c r="H750" s="149" t="s">
        <v>1152</v>
      </c>
      <c r="I750" s="16" t="s">
        <v>2387</v>
      </c>
      <c r="J750" s="323">
        <v>58.36</v>
      </c>
      <c r="K750" s="323">
        <v>4.16</v>
      </c>
      <c r="L750" s="73">
        <v>5.3</v>
      </c>
      <c r="N750" s="318">
        <f t="shared" si="153"/>
        <v>67.819999999999993</v>
      </c>
      <c r="O750" s="81">
        <f>IFERROR(VLOOKUP($G750,'321買'!A:E,3,0),"'沒有資料'")</f>
        <v>0</v>
      </c>
      <c r="P750" s="380">
        <f>IFERROR(VLOOKUP($G750,'321買'!$A:$G,7,0),"'沒有資料'")</f>
        <v>911</v>
      </c>
      <c r="R750" s="297">
        <f>IFERROR(RANK(VLOOKUP($G750,連買!$A:$D,4,0),連買!$D:$D,0),"'沒有資料'")</f>
        <v>1706</v>
      </c>
      <c r="S750" s="66">
        <v>10</v>
      </c>
      <c r="T750" s="353">
        <f t="shared" si="155"/>
        <v>5.1020408163265307E-2</v>
      </c>
      <c r="U750" s="95">
        <v>16.84</v>
      </c>
      <c r="V750" s="36">
        <f>RTD("money.excel",,"3611","Price")</f>
        <v>196</v>
      </c>
      <c r="W750" s="66"/>
      <c r="X750" s="15">
        <f t="shared" si="149"/>
        <v>196</v>
      </c>
      <c r="Y750" s="3" t="e">
        <f t="shared" si="150"/>
        <v>#DIV/0!</v>
      </c>
      <c r="Z750" s="413" t="s">
        <v>1831</v>
      </c>
      <c r="AA750" s="161">
        <v>0</v>
      </c>
      <c r="AB750" s="409">
        <v>0</v>
      </c>
      <c r="AC750" s="259">
        <f t="shared" si="154"/>
        <v>0</v>
      </c>
      <c r="AD750" s="16" t="s">
        <v>2387</v>
      </c>
      <c r="AG750" s="33">
        <f t="shared" si="151"/>
        <v>0</v>
      </c>
      <c r="AH750" s="120" t="s">
        <v>3074</v>
      </c>
      <c r="AI750" s="63">
        <f t="shared" si="156"/>
        <v>3.7647058823529414E-4</v>
      </c>
      <c r="AJ750" s="307">
        <f>RTD("money.excel",,$G750,"PredictVolume")</f>
        <v>16</v>
      </c>
      <c r="AK750" s="339"/>
    </row>
    <row r="751" spans="1:39">
      <c r="A751" s="416">
        <v>11.4</v>
      </c>
      <c r="B751" s="80">
        <v>-3</v>
      </c>
      <c r="C751" s="80">
        <v>-16</v>
      </c>
      <c r="D751" s="80">
        <v>-28</v>
      </c>
      <c r="E751" s="80">
        <v>-10</v>
      </c>
      <c r="F751" s="6">
        <v>-4.24</v>
      </c>
      <c r="G751" s="79">
        <v>3625</v>
      </c>
      <c r="H751" s="149" t="s">
        <v>1152</v>
      </c>
      <c r="I751" s="24" t="s">
        <v>2388</v>
      </c>
      <c r="J751" s="323">
        <v>35.92</v>
      </c>
      <c r="K751" s="73">
        <v>8.5399999999999991</v>
      </c>
      <c r="L751" s="323">
        <v>14.31</v>
      </c>
      <c r="M751" s="323">
        <v>17.46</v>
      </c>
      <c r="N751" s="318">
        <f t="shared" si="153"/>
        <v>76.23</v>
      </c>
      <c r="O751" s="81">
        <f>IFERROR(VLOOKUP($G751,'321買'!A:E,3,0),"'沒有資料'")</f>
        <v>9</v>
      </c>
      <c r="P751" s="380">
        <f>IFERROR(VLOOKUP($G751,'321買'!$A:$G,7,0),"'沒有資料'")</f>
        <v>408</v>
      </c>
      <c r="R751" s="297">
        <f>IFERROR(RANK(VLOOKUP($G751,連買!$A:$D,4,0),連買!$D:$D,0),"'沒有資料'")</f>
        <v>844</v>
      </c>
      <c r="S751" s="34">
        <v>0</v>
      </c>
      <c r="T751" s="353">
        <f t="shared" si="155"/>
        <v>0</v>
      </c>
      <c r="U751" s="95">
        <v>-2.0099999999999998</v>
      </c>
      <c r="V751" s="36">
        <f>RTD("money.excel",,"3625","Price")</f>
        <v>20.2</v>
      </c>
      <c r="W751" s="66"/>
      <c r="X751" s="15">
        <f t="shared" si="149"/>
        <v>20.2</v>
      </c>
      <c r="Y751" s="3" t="e">
        <f t="shared" si="150"/>
        <v>#DIV/0!</v>
      </c>
      <c r="Z751" s="413" t="s">
        <v>1801</v>
      </c>
      <c r="AA751" s="161">
        <v>0</v>
      </c>
      <c r="AB751" s="409">
        <v>0</v>
      </c>
      <c r="AC751" s="259">
        <f t="shared" si="154"/>
        <v>0</v>
      </c>
      <c r="AD751" s="24" t="s">
        <v>2388</v>
      </c>
      <c r="AG751" s="33">
        <f t="shared" si="151"/>
        <v>0</v>
      </c>
      <c r="AH751" s="122" t="s">
        <v>2389</v>
      </c>
      <c r="AI751" s="63">
        <f t="shared" si="156"/>
        <v>1.9122807017543859E-3</v>
      </c>
      <c r="AJ751" s="307">
        <f>RTD("money.excel",,$G751,"PredictVolume")</f>
        <v>218</v>
      </c>
      <c r="AK751" s="339">
        <v>21.99</v>
      </c>
    </row>
    <row r="752" spans="1:39">
      <c r="A752" s="416">
        <v>7.51</v>
      </c>
      <c r="B752" s="93">
        <v>1551</v>
      </c>
      <c r="C752" s="93">
        <v>1272</v>
      </c>
      <c r="D752" s="80">
        <v>-11</v>
      </c>
      <c r="E752" s="79">
        <v>14</v>
      </c>
      <c r="F752" s="6">
        <v>4.9800000000000004</v>
      </c>
      <c r="G752" s="79">
        <v>3652</v>
      </c>
      <c r="H752" s="149" t="s">
        <v>1152</v>
      </c>
      <c r="I752" s="16" t="s">
        <v>2390</v>
      </c>
      <c r="J752" s="323">
        <v>64.62</v>
      </c>
      <c r="K752" s="323">
        <v>1.32</v>
      </c>
      <c r="L752" s="323">
        <v>3.68</v>
      </c>
      <c r="N752" s="318">
        <f t="shared" si="153"/>
        <v>69.62</v>
      </c>
      <c r="O752" s="81">
        <f>IFERROR(VLOOKUP($G752,'321買'!A:E,3,0),"'沒有資料'")</f>
        <v>2</v>
      </c>
      <c r="P752" s="380">
        <f>IFERROR(VLOOKUP($G752,'321買'!$A:$G,7,0),"'沒有資料'")</f>
        <v>706</v>
      </c>
      <c r="R752" s="297">
        <f>IFERROR(RANK(VLOOKUP($G752,連買!$A:$D,4,0),連買!$D:$D,0),"'沒有資料'")</f>
        <v>1518</v>
      </c>
      <c r="S752" s="34">
        <v>0.15</v>
      </c>
      <c r="T752" s="353">
        <f t="shared" si="155"/>
        <v>7.2639225181598066E-3</v>
      </c>
      <c r="U752" s="57">
        <v>1.6</v>
      </c>
      <c r="V752" s="36">
        <f>RTD("money.excel",,"3652","Price")</f>
        <v>20.65</v>
      </c>
      <c r="W752" s="66"/>
      <c r="X752" s="15">
        <f t="shared" si="149"/>
        <v>20.65</v>
      </c>
      <c r="Y752" s="3" t="e">
        <f t="shared" si="150"/>
        <v>#DIV/0!</v>
      </c>
      <c r="AA752" s="161">
        <v>0</v>
      </c>
      <c r="AB752" s="409">
        <v>0</v>
      </c>
      <c r="AC752" s="259">
        <f t="shared" si="154"/>
        <v>0</v>
      </c>
      <c r="AD752" s="16" t="s">
        <v>2390</v>
      </c>
      <c r="AG752" s="33">
        <f t="shared" si="151"/>
        <v>0</v>
      </c>
      <c r="AH752" s="43" t="s">
        <v>2623</v>
      </c>
      <c r="AI752" s="63">
        <f t="shared" si="156"/>
        <v>1.7310252996005326E-4</v>
      </c>
      <c r="AJ752" s="307">
        <f>RTD("money.excel",,$G752,"PredictVolume")</f>
        <v>13</v>
      </c>
      <c r="AK752" s="339"/>
    </row>
    <row r="753" spans="1:37">
      <c r="A753" s="416">
        <v>3.85</v>
      </c>
      <c r="B753" s="93">
        <v>2353</v>
      </c>
      <c r="C753" s="93">
        <v>2144</v>
      </c>
      <c r="D753" s="79">
        <v>10</v>
      </c>
      <c r="E753" s="80">
        <v>-6</v>
      </c>
      <c r="F753" s="6">
        <v>5.67</v>
      </c>
      <c r="G753" s="79">
        <v>3693</v>
      </c>
      <c r="H753" s="149" t="s">
        <v>1152</v>
      </c>
      <c r="I753" s="16" t="s">
        <v>2391</v>
      </c>
      <c r="J753" s="323">
        <v>59.89</v>
      </c>
      <c r="K753" s="323">
        <v>2.99</v>
      </c>
      <c r="L753" s="73">
        <v>12.71</v>
      </c>
      <c r="N753" s="318">
        <f t="shared" si="153"/>
        <v>75.59</v>
      </c>
      <c r="O753" s="81">
        <f>IFERROR(VLOOKUP($G753,'321買'!A:E,3,0),"'沒有資料'")</f>
        <v>1</v>
      </c>
      <c r="P753" s="380">
        <f>IFERROR(VLOOKUP($G753,'321買'!$A:$G,7,0),"'沒有資料'")</f>
        <v>783</v>
      </c>
      <c r="R753" s="297">
        <f>IFERROR(RANK(VLOOKUP($G753,連買!$A:$D,4,0),連買!$D:$D,0),"'沒有資料'")</f>
        <v>413</v>
      </c>
      <c r="S753" s="34">
        <v>0.7</v>
      </c>
      <c r="T753" s="353">
        <f t="shared" si="155"/>
        <v>1.2216404886561954E-2</v>
      </c>
      <c r="U753" s="95">
        <v>2.14</v>
      </c>
      <c r="V753" s="36">
        <f>RTD("money.excel",,"3693","Price")</f>
        <v>57.3</v>
      </c>
      <c r="W753" s="66"/>
      <c r="X753" s="15">
        <f t="shared" si="149"/>
        <v>57.3</v>
      </c>
      <c r="Y753" s="3" t="e">
        <f t="shared" si="150"/>
        <v>#DIV/0!</v>
      </c>
      <c r="Z753" s="413" t="s">
        <v>1801</v>
      </c>
      <c r="AA753" s="161">
        <v>0</v>
      </c>
      <c r="AB753" s="409">
        <v>0</v>
      </c>
      <c r="AC753" s="259">
        <f t="shared" si="154"/>
        <v>0</v>
      </c>
      <c r="AD753" s="16" t="s">
        <v>2391</v>
      </c>
      <c r="AG753" s="33">
        <f t="shared" si="151"/>
        <v>0</v>
      </c>
      <c r="AH753" s="120" t="s">
        <v>2392</v>
      </c>
      <c r="AI753" s="63">
        <f t="shared" si="156"/>
        <v>2.9090909090909089E-3</v>
      </c>
      <c r="AJ753" s="307">
        <f>RTD("money.excel",,$G753,"PredictVolume")</f>
        <v>112</v>
      </c>
      <c r="AK753" s="339"/>
    </row>
    <row r="754" spans="1:37">
      <c r="A754" s="416">
        <v>19</v>
      </c>
      <c r="B754" s="91">
        <v>-83</v>
      </c>
      <c r="C754" s="91">
        <v>-131</v>
      </c>
      <c r="D754" s="91">
        <v>-12</v>
      </c>
      <c r="E754" s="91">
        <v>76</v>
      </c>
      <c r="F754" s="6">
        <v>-8.83</v>
      </c>
      <c r="G754" s="79">
        <v>3701</v>
      </c>
      <c r="H754" s="204" t="s">
        <v>1152</v>
      </c>
      <c r="I754" s="22" t="s">
        <v>4413</v>
      </c>
      <c r="J754" s="73">
        <v>94.81</v>
      </c>
      <c r="K754" s="73">
        <v>3.3</v>
      </c>
      <c r="N754" s="318">
        <f t="shared" si="153"/>
        <v>98.11</v>
      </c>
      <c r="O754" s="81">
        <f>IFERROR(VLOOKUP($G754,'321買'!A:E,3,0),"'沒有資料'")</f>
        <v>7</v>
      </c>
      <c r="P754" s="380">
        <f>IFERROR(VLOOKUP($G754,'321買'!$A:$G,7,0),"'沒有資料'")</f>
        <v>499</v>
      </c>
      <c r="R754" s="297">
        <f>IFERROR(RANK(VLOOKUP($G754,連買!$A:$D,4,0),連買!$D:$D,0),"'沒有資料'")</f>
        <v>679</v>
      </c>
      <c r="S754" s="34">
        <v>0</v>
      </c>
      <c r="T754" s="353">
        <f t="shared" si="155"/>
        <v>0</v>
      </c>
      <c r="U754" s="95">
        <v>-0.21</v>
      </c>
      <c r="V754" s="13">
        <f>RTD("money.excel",,"3701","Price")</f>
        <v>65.5</v>
      </c>
      <c r="W754" s="66"/>
      <c r="X754" s="15">
        <f t="shared" si="149"/>
        <v>65.5</v>
      </c>
      <c r="Y754" s="3" t="e">
        <f t="shared" si="150"/>
        <v>#DIV/0!</v>
      </c>
      <c r="AA754" s="161">
        <v>0</v>
      </c>
      <c r="AB754" s="409">
        <v>0</v>
      </c>
      <c r="AC754" s="259">
        <f t="shared" si="154"/>
        <v>0</v>
      </c>
      <c r="AD754" s="22" t="s">
        <v>4413</v>
      </c>
      <c r="AG754" s="33">
        <f t="shared" si="151"/>
        <v>0</v>
      </c>
      <c r="AH754" s="43" t="s">
        <v>1517</v>
      </c>
      <c r="AI754" s="63">
        <f t="shared" si="156"/>
        <v>1.0631578947368421E-2</v>
      </c>
      <c r="AJ754" s="307">
        <f>RTD("money.excel",,$G754,"PredictVolume")</f>
        <v>2020</v>
      </c>
      <c r="AK754" s="339"/>
    </row>
    <row r="755" spans="1:37">
      <c r="A755" s="416">
        <v>120</v>
      </c>
      <c r="B755" s="79">
        <v>2</v>
      </c>
      <c r="C755" s="80">
        <v>-85</v>
      </c>
      <c r="D755" s="79">
        <v>6</v>
      </c>
      <c r="E755" s="79">
        <v>50</v>
      </c>
      <c r="F755" s="6">
        <v>0.18</v>
      </c>
      <c r="G755" s="79">
        <v>3706</v>
      </c>
      <c r="H755" s="204" t="s">
        <v>1152</v>
      </c>
      <c r="I755" s="22" t="s">
        <v>50</v>
      </c>
      <c r="J755" s="323">
        <v>44.26</v>
      </c>
      <c r="K755" s="323">
        <v>12.7</v>
      </c>
      <c r="L755" s="323">
        <v>4.33</v>
      </c>
      <c r="N755" s="318">
        <f t="shared" si="153"/>
        <v>61.289999999999992</v>
      </c>
      <c r="O755" s="81">
        <f>IFERROR(VLOOKUP($G755,'321買'!A:E,3,0),"'沒有資料'")</f>
        <v>2</v>
      </c>
      <c r="P755" s="380">
        <f>IFERROR(VLOOKUP($G755,'321買'!$A:$G,7,0),"'沒有資料'")</f>
        <v>706</v>
      </c>
      <c r="R755" s="297">
        <f>IFERROR(RANK(VLOOKUP($G755,連買!$A:$D,4,0),連買!$D:$D,0),"'沒有資料'")</f>
        <v>549</v>
      </c>
      <c r="S755" s="34">
        <v>1</v>
      </c>
      <c r="T755" s="353">
        <f t="shared" si="155"/>
        <v>3.5026269702276708E-2</v>
      </c>
      <c r="U755" s="95">
        <v>2.58</v>
      </c>
      <c r="V755" s="36">
        <f>RTD("money.excel",,"3706","Price")</f>
        <v>28.55</v>
      </c>
      <c r="W755" s="66"/>
      <c r="X755" s="15">
        <f t="shared" si="149"/>
        <v>28.55</v>
      </c>
      <c r="Y755" s="3" t="e">
        <f t="shared" si="150"/>
        <v>#DIV/0!</v>
      </c>
      <c r="Z755" s="413" t="s">
        <v>1801</v>
      </c>
      <c r="AA755" s="161">
        <v>0</v>
      </c>
      <c r="AB755" s="409">
        <v>0</v>
      </c>
      <c r="AC755" s="259">
        <f t="shared" si="154"/>
        <v>0</v>
      </c>
      <c r="AD755" s="22" t="s">
        <v>50</v>
      </c>
      <c r="AG755" s="33">
        <f t="shared" si="151"/>
        <v>0</v>
      </c>
      <c r="AH755" s="120" t="s">
        <v>2915</v>
      </c>
      <c r="AI755" s="63">
        <f t="shared" si="156"/>
        <v>1.9091666666666667E-3</v>
      </c>
      <c r="AJ755" s="307">
        <f>RTD("money.excel",,$G755,"PredictVolume")</f>
        <v>2291</v>
      </c>
      <c r="AK755" s="339"/>
    </row>
    <row r="756" spans="1:37">
      <c r="A756" s="416">
        <v>10</v>
      </c>
      <c r="B756" s="79">
        <v>211</v>
      </c>
      <c r="C756" s="79">
        <v>134</v>
      </c>
      <c r="D756" s="79">
        <v>12</v>
      </c>
      <c r="E756" s="80">
        <v>-5</v>
      </c>
      <c r="F756" s="6">
        <v>3.13</v>
      </c>
      <c r="G756" s="79">
        <v>3709</v>
      </c>
      <c r="H756" s="149" t="s">
        <v>1152</v>
      </c>
      <c r="I756" s="16" t="s">
        <v>2393</v>
      </c>
      <c r="J756" s="323">
        <v>77.53</v>
      </c>
      <c r="K756" s="323">
        <v>1.56</v>
      </c>
      <c r="L756" s="323">
        <v>0.78</v>
      </c>
      <c r="N756" s="318">
        <f t="shared" si="153"/>
        <v>79.87</v>
      </c>
      <c r="O756" s="81">
        <f>IFERROR(VLOOKUP($G756,'321買'!A:E,3,0),"'沒有資料'")</f>
        <v>1</v>
      </c>
      <c r="P756" s="380">
        <f>IFERROR(VLOOKUP($G756,'321買'!$A:$G,7,0),"'沒有資料'")</f>
        <v>783</v>
      </c>
      <c r="R756" s="297">
        <f>IFERROR(RANK(VLOOKUP($G756,連買!$A:$D,4,0),連買!$D:$D,0),"'沒有資料'")</f>
        <v>1473</v>
      </c>
      <c r="S756" s="34">
        <v>1.4</v>
      </c>
      <c r="T756" s="353">
        <f t="shared" si="155"/>
        <v>4.0756914119359527E-2</v>
      </c>
      <c r="U756" s="57">
        <v>4.5999999999999996</v>
      </c>
      <c r="V756" s="36">
        <f>RTD("money.excel",,"3709","Price")</f>
        <v>34.35</v>
      </c>
      <c r="W756" s="66"/>
      <c r="X756" s="15">
        <f t="shared" si="149"/>
        <v>34.35</v>
      </c>
      <c r="Y756" s="3" t="e">
        <f t="shared" si="150"/>
        <v>#DIV/0!</v>
      </c>
      <c r="AA756" s="161">
        <v>0</v>
      </c>
      <c r="AB756" s="409">
        <v>0</v>
      </c>
      <c r="AC756" s="259">
        <f t="shared" si="154"/>
        <v>0</v>
      </c>
      <c r="AD756" s="16" t="s">
        <v>2393</v>
      </c>
      <c r="AG756" s="33">
        <f t="shared" si="151"/>
        <v>0</v>
      </c>
      <c r="AH756" s="43" t="s">
        <v>2624</v>
      </c>
      <c r="AI756" s="63">
        <f t="shared" si="156"/>
        <v>3.4000000000000002E-4</v>
      </c>
      <c r="AJ756" s="307">
        <f>RTD("money.excel",,$G756,"PredictVolume")</f>
        <v>34</v>
      </c>
      <c r="AK756" s="339"/>
    </row>
    <row r="757" spans="1:37">
      <c r="A757" s="416">
        <v>24.6</v>
      </c>
      <c r="B757" s="79">
        <v>336</v>
      </c>
      <c r="C757" s="79">
        <v>330</v>
      </c>
      <c r="D757" s="79">
        <v>6</v>
      </c>
      <c r="E757" s="80">
        <v>-2</v>
      </c>
      <c r="F757" s="6">
        <v>12.51</v>
      </c>
      <c r="G757" s="79">
        <v>3712</v>
      </c>
      <c r="H757" s="204" t="s">
        <v>1152</v>
      </c>
      <c r="I757" s="22" t="s">
        <v>1076</v>
      </c>
      <c r="J757" s="73">
        <v>49.34</v>
      </c>
      <c r="K757" s="323">
        <v>2.2999999999999998</v>
      </c>
      <c r="L757" s="73">
        <v>12.12</v>
      </c>
      <c r="N757" s="318">
        <f t="shared" si="153"/>
        <v>63.76</v>
      </c>
      <c r="O757" s="81">
        <f>IFERROR(VLOOKUP($G757,'321買'!A:E,3,0),"'沒有資料'")</f>
        <v>0</v>
      </c>
      <c r="P757" s="380">
        <f>IFERROR(VLOOKUP($G757,'321買'!$A:$G,7,0),"'沒有資料'")</f>
        <v>911</v>
      </c>
      <c r="R757" s="297">
        <f>IFERROR(RANK(VLOOKUP($G757,連買!$A:$D,4,0),連買!$D:$D,0),"'沒有資料'")</f>
        <v>752</v>
      </c>
      <c r="S757" s="34">
        <v>1</v>
      </c>
      <c r="T757" s="353">
        <f t="shared" si="155"/>
        <v>3.3333333333333333E-2</v>
      </c>
      <c r="U757" s="95">
        <v>1.07</v>
      </c>
      <c r="V757" s="36">
        <f>RTD("money.excel",,"3712","Price")</f>
        <v>30</v>
      </c>
      <c r="W757" s="66"/>
      <c r="X757" s="15">
        <f t="shared" si="149"/>
        <v>30</v>
      </c>
      <c r="Y757" s="3" t="e">
        <f t="shared" si="150"/>
        <v>#DIV/0!</v>
      </c>
      <c r="AA757" s="161">
        <v>0</v>
      </c>
      <c r="AB757" s="409">
        <v>0</v>
      </c>
      <c r="AC757" s="259">
        <f t="shared" si="154"/>
        <v>0</v>
      </c>
      <c r="AD757" s="22" t="s">
        <v>1076</v>
      </c>
      <c r="AG757" s="33">
        <f t="shared" si="151"/>
        <v>0</v>
      </c>
      <c r="AH757" s="120" t="s">
        <v>2916</v>
      </c>
      <c r="AI757" s="63">
        <f t="shared" si="156"/>
        <v>1.3943089430894309E-3</v>
      </c>
      <c r="AJ757" s="307">
        <f>RTD("money.excel",,$G757,"PredictVolume")</f>
        <v>343</v>
      </c>
      <c r="AK757" s="339"/>
    </row>
    <row r="758" spans="1:37">
      <c r="A758" s="416">
        <v>8.35</v>
      </c>
      <c r="B758" s="80">
        <v>-158</v>
      </c>
      <c r="C758" s="94">
        <v>-6453</v>
      </c>
      <c r="D758" s="80">
        <v>-10</v>
      </c>
      <c r="E758" s="80">
        <v>-76</v>
      </c>
      <c r="F758" s="6">
        <v>-1.92</v>
      </c>
      <c r="G758" s="79">
        <v>4916</v>
      </c>
      <c r="H758" s="204" t="s">
        <v>1152</v>
      </c>
      <c r="I758" s="22" t="s">
        <v>469</v>
      </c>
      <c r="J758" s="323">
        <v>33.619999999999997</v>
      </c>
      <c r="K758" s="323">
        <v>1.58</v>
      </c>
      <c r="L758" s="73">
        <v>8.59</v>
      </c>
      <c r="N758" s="318">
        <f t="shared" si="153"/>
        <v>43.789999999999992</v>
      </c>
      <c r="O758" s="81">
        <f>IFERROR(VLOOKUP($G758,'321買'!A:E,3,0),"'沒有資料'")</f>
        <v>8</v>
      </c>
      <c r="P758" s="380">
        <f>IFERROR(VLOOKUP($G758,'321買'!$A:$G,7,0),"'沒有資料'")</f>
        <v>475</v>
      </c>
      <c r="R758" s="297">
        <f>IFERROR(RANK(VLOOKUP($G758,連買!$A:$D,4,0),連買!$D:$D,0),"'沒有資料'")</f>
        <v>847</v>
      </c>
      <c r="S758" s="34">
        <v>0.5</v>
      </c>
      <c r="T758" s="353">
        <f t="shared" si="155"/>
        <v>1.6778523489932886E-2</v>
      </c>
      <c r="U758" s="95">
        <v>-1.78</v>
      </c>
      <c r="V758" s="36">
        <f>RTD("money.excel",,"4916","Price")</f>
        <v>29.8</v>
      </c>
      <c r="W758" s="66"/>
      <c r="X758" s="15">
        <f t="shared" si="149"/>
        <v>29.8</v>
      </c>
      <c r="Y758" s="3" t="e">
        <f t="shared" si="150"/>
        <v>#DIV/0!</v>
      </c>
      <c r="Z758" s="413" t="s">
        <v>1801</v>
      </c>
      <c r="AA758" s="161">
        <v>0</v>
      </c>
      <c r="AB758" s="409">
        <v>0</v>
      </c>
      <c r="AC758" s="259">
        <f t="shared" si="154"/>
        <v>0</v>
      </c>
      <c r="AD758" s="22" t="s">
        <v>469</v>
      </c>
      <c r="AG758" s="33">
        <f t="shared" si="151"/>
        <v>0</v>
      </c>
      <c r="AH758" s="43" t="s">
        <v>3851</v>
      </c>
      <c r="AI758" s="63">
        <f t="shared" si="156"/>
        <v>6.3353293413173657E-3</v>
      </c>
      <c r="AJ758" s="307">
        <f>RTD("money.excel",,$G758,"PredictVolume")</f>
        <v>529</v>
      </c>
      <c r="AK758" s="339"/>
    </row>
    <row r="759" spans="1:37">
      <c r="A759" s="416">
        <v>3.72</v>
      </c>
      <c r="B759" s="140">
        <v>1396</v>
      </c>
      <c r="C759" s="140">
        <v>2742</v>
      </c>
      <c r="D759" s="91">
        <v>96</v>
      </c>
      <c r="E759" s="91">
        <v>4</v>
      </c>
      <c r="F759" s="6">
        <v>5.93</v>
      </c>
      <c r="G759" s="79">
        <v>4924</v>
      </c>
      <c r="H759" s="149" t="s">
        <v>1152</v>
      </c>
      <c r="I759" s="16" t="s">
        <v>2394</v>
      </c>
      <c r="J759" s="73">
        <v>59.46</v>
      </c>
      <c r="K759" s="73">
        <v>27.22</v>
      </c>
      <c r="N759" s="318">
        <f t="shared" si="153"/>
        <v>86.68</v>
      </c>
      <c r="O759" s="81" t="str">
        <f>IFERROR(VLOOKUP($G759,'321買'!A:E,3,0),"'沒有資料'")</f>
        <v>'沒有資料'</v>
      </c>
      <c r="P759" s="380" t="str">
        <f>IFERROR(VLOOKUP($G759,'321買'!$A:$G,7,0),"'沒有資料'")</f>
        <v>'沒有資料'</v>
      </c>
      <c r="R759" s="297">
        <f>IFERROR(RANK(VLOOKUP($G759,連買!$A:$D,4,0),連買!$D:$D,0),"'沒有資料'")</f>
        <v>1528</v>
      </c>
      <c r="S759" s="34">
        <v>0</v>
      </c>
      <c r="T759" s="353">
        <f t="shared" si="155"/>
        <v>0</v>
      </c>
      <c r="U759" s="95">
        <v>0.95</v>
      </c>
      <c r="V759" s="13">
        <f>RTD("money.excel",,"4924","Price")</f>
        <v>13</v>
      </c>
      <c r="W759" s="66"/>
      <c r="X759" s="15">
        <f t="shared" si="149"/>
        <v>13</v>
      </c>
      <c r="Y759" s="3" t="e">
        <f t="shared" si="150"/>
        <v>#DIV/0!</v>
      </c>
      <c r="AA759" s="161">
        <v>0</v>
      </c>
      <c r="AB759" s="409">
        <v>0</v>
      </c>
      <c r="AC759" s="259">
        <f t="shared" si="154"/>
        <v>0</v>
      </c>
      <c r="AD759" s="16" t="s">
        <v>2394</v>
      </c>
      <c r="AG759" s="33">
        <f t="shared" si="151"/>
        <v>0</v>
      </c>
      <c r="AH759" s="43" t="s">
        <v>2615</v>
      </c>
      <c r="AI759" s="63">
        <f t="shared" si="156"/>
        <v>1.3978494623655914E-3</v>
      </c>
      <c r="AJ759" s="307">
        <f>RTD("money.excel",,$G759,"PredictVolume")</f>
        <v>52</v>
      </c>
      <c r="AK759" s="339"/>
    </row>
    <row r="760" spans="1:37">
      <c r="A760" s="416">
        <v>6.34</v>
      </c>
      <c r="B760" s="91">
        <v>-52</v>
      </c>
      <c r="C760" s="91">
        <v>-38</v>
      </c>
      <c r="D760" s="91">
        <v>-4</v>
      </c>
      <c r="E760" s="91">
        <v>-19</v>
      </c>
      <c r="F760" s="6">
        <v>5.0199999999999996</v>
      </c>
      <c r="G760" s="79">
        <v>4931</v>
      </c>
      <c r="H760" s="149" t="s">
        <v>1152</v>
      </c>
      <c r="I760" s="16" t="s">
        <v>3169</v>
      </c>
      <c r="J760" s="73">
        <v>59.46</v>
      </c>
      <c r="K760" s="73">
        <v>27.22</v>
      </c>
      <c r="N760" s="318">
        <f t="shared" si="153"/>
        <v>86.68</v>
      </c>
      <c r="O760" s="81">
        <f>IFERROR(VLOOKUP($G760,'321買'!A:E,3,0),"'沒有資料'")</f>
        <v>12</v>
      </c>
      <c r="P760" s="380">
        <f>IFERROR(VLOOKUP($G760,'321買'!$A:$G,7,0),"'沒有資料'")</f>
        <v>336</v>
      </c>
      <c r="R760" s="297">
        <f>IFERROR(RANK(VLOOKUP($G760,連買!$A:$D,4,0),連買!$D:$D,0),"'沒有資料'")</f>
        <v>648</v>
      </c>
      <c r="S760" s="34">
        <v>1.7</v>
      </c>
      <c r="T760" s="353">
        <f t="shared" si="155"/>
        <v>4.8571428571428571E-2</v>
      </c>
      <c r="U760" s="95">
        <v>1.01</v>
      </c>
      <c r="V760" s="13">
        <f>RTD("money.excel",,"4931","Price")</f>
        <v>35</v>
      </c>
      <c r="W760" s="66"/>
      <c r="X760" s="15">
        <f t="shared" si="149"/>
        <v>35</v>
      </c>
      <c r="Y760" s="3" t="e">
        <f t="shared" si="150"/>
        <v>#DIV/0!</v>
      </c>
      <c r="AA760" s="161">
        <v>0</v>
      </c>
      <c r="AB760" s="409">
        <v>0</v>
      </c>
      <c r="AC760" s="259">
        <f t="shared" si="154"/>
        <v>0</v>
      </c>
      <c r="AD760" s="16" t="s">
        <v>3169</v>
      </c>
      <c r="AG760" s="33">
        <f t="shared" si="151"/>
        <v>0</v>
      </c>
      <c r="AH760" s="43" t="s">
        <v>3170</v>
      </c>
      <c r="AI760" s="63">
        <f t="shared" si="156"/>
        <v>0.18206624605678234</v>
      </c>
      <c r="AJ760" s="307">
        <f>RTD("money.excel",,$G760,"PredictVolume")</f>
        <v>11543</v>
      </c>
      <c r="AK760" s="339"/>
    </row>
    <row r="761" spans="1:37">
      <c r="A761" s="416">
        <v>266</v>
      </c>
      <c r="B761" s="80">
        <v>-6</v>
      </c>
      <c r="C761" s="80">
        <v>-26</v>
      </c>
      <c r="D761" s="80">
        <v>-7</v>
      </c>
      <c r="E761" s="80">
        <v>-1</v>
      </c>
      <c r="F761" s="6">
        <v>1.1200000000000001</v>
      </c>
      <c r="G761" s="79">
        <v>4938</v>
      </c>
      <c r="H761" s="204" t="s">
        <v>1152</v>
      </c>
      <c r="I761" s="22" t="s">
        <v>13</v>
      </c>
      <c r="J761" s="323">
        <v>64.900000000000006</v>
      </c>
      <c r="K761" s="73">
        <v>32.79</v>
      </c>
      <c r="L761" s="323">
        <v>2</v>
      </c>
      <c r="N761" s="318">
        <f t="shared" si="153"/>
        <v>99.69</v>
      </c>
      <c r="O761" s="81">
        <f>IFERROR(VLOOKUP($G761,'321買'!A:E,3,0),"'沒有資料'")</f>
        <v>1</v>
      </c>
      <c r="P761" s="380">
        <f>IFERROR(VLOOKUP($G761,'321買'!$A:$G,7,0),"'沒有資料'")</f>
        <v>783</v>
      </c>
      <c r="Q761" s="245" t="s">
        <v>3816</v>
      </c>
      <c r="R761" s="297">
        <f>IFERROR(RANK(VLOOKUP($G761,連買!$A:$D,4,0),連買!$D:$D,0),"'沒有資料'")</f>
        <v>92</v>
      </c>
      <c r="S761" s="66">
        <v>4.49</v>
      </c>
      <c r="T761" s="353">
        <f t="shared" si="155"/>
        <v>6.27972027972028E-2</v>
      </c>
      <c r="U761" s="57">
        <v>6.58</v>
      </c>
      <c r="V761" s="36">
        <f>RTD("money.excel",,"4938","Price")</f>
        <v>71.5</v>
      </c>
      <c r="W761" s="66"/>
      <c r="X761" s="15">
        <f t="shared" si="149"/>
        <v>71.5</v>
      </c>
      <c r="Y761" s="3" t="e">
        <f t="shared" si="150"/>
        <v>#DIV/0!</v>
      </c>
      <c r="Z761" s="413" t="s">
        <v>3822</v>
      </c>
      <c r="AA761" s="161">
        <v>0</v>
      </c>
      <c r="AB761" s="409">
        <v>0</v>
      </c>
      <c r="AC761" s="259">
        <f t="shared" si="154"/>
        <v>0</v>
      </c>
      <c r="AD761" s="22" t="s">
        <v>13</v>
      </c>
      <c r="AG761" s="33">
        <f t="shared" si="151"/>
        <v>0</v>
      </c>
      <c r="AH761" s="120" t="s">
        <v>2917</v>
      </c>
      <c r="AI761" s="63">
        <f t="shared" ref="AI761:AI792" si="157">AJ761/(A761*10000)</f>
        <v>1.0917293233082706E-3</v>
      </c>
      <c r="AJ761" s="307">
        <f>RTD("money.excel",,$G761,"PredictVolume")</f>
        <v>2904</v>
      </c>
      <c r="AK761" s="339"/>
    </row>
    <row r="762" spans="1:37">
      <c r="A762" s="415">
        <v>2.52</v>
      </c>
      <c r="B762" s="80">
        <v>-59</v>
      </c>
      <c r="C762" s="80">
        <v>-28</v>
      </c>
      <c r="D762" s="79">
        <v>12</v>
      </c>
      <c r="E762" s="80">
        <v>-19</v>
      </c>
      <c r="F762" s="57">
        <v>13.96</v>
      </c>
      <c r="G762" s="79">
        <v>4987</v>
      </c>
      <c r="H762" s="149" t="s">
        <v>1152</v>
      </c>
      <c r="I762" s="16" t="s">
        <v>2395</v>
      </c>
      <c r="J762" s="73">
        <v>35.04</v>
      </c>
      <c r="K762" s="323">
        <v>2.14</v>
      </c>
      <c r="N762" s="318">
        <f t="shared" ref="N762:N804" si="158">J762+K762+L762+M762</f>
        <v>37.18</v>
      </c>
      <c r="O762" s="81" t="str">
        <f>IFERROR(VLOOKUP($G762,'321買'!A:E,3,0),"'沒有資料'")</f>
        <v>'沒有資料'</v>
      </c>
      <c r="P762" s="380" t="str">
        <f>IFERROR(VLOOKUP($G762,'321買'!$A:$G,7,0),"'沒有資料'")</f>
        <v>'沒有資料'</v>
      </c>
      <c r="R762" s="297">
        <f>IFERROR(RANK(VLOOKUP($G762,連買!$A:$D,4,0),連買!$D:$D,0),"'沒有資料'")</f>
        <v>925</v>
      </c>
      <c r="S762" s="66">
        <v>3.5</v>
      </c>
      <c r="T762" s="353">
        <f t="shared" ref="T762:T794" si="159">S762/V762</f>
        <v>5.8528428093645488E-2</v>
      </c>
      <c r="U762" s="95">
        <v>3.76</v>
      </c>
      <c r="V762" s="36">
        <f>RTD("money.excel",,"4987","Price")</f>
        <v>59.8</v>
      </c>
      <c r="W762" s="66"/>
      <c r="X762" s="15">
        <f t="shared" ref="X762:X804" si="160">V762-W762</f>
        <v>59.8</v>
      </c>
      <c r="Y762" s="3" t="e">
        <f t="shared" ref="Y762:Y804" si="161">X762/W762</f>
        <v>#DIV/0!</v>
      </c>
      <c r="Z762" s="413" t="s">
        <v>1831</v>
      </c>
      <c r="AA762" s="161">
        <v>0</v>
      </c>
      <c r="AB762" s="409">
        <v>0</v>
      </c>
      <c r="AC762" s="259">
        <f t="shared" si="154"/>
        <v>0</v>
      </c>
      <c r="AD762" s="16" t="s">
        <v>2395</v>
      </c>
      <c r="AG762" s="33">
        <f t="shared" ref="AG762:AG804" si="162">AF762-AE762</f>
        <v>0</v>
      </c>
      <c r="AH762" s="43" t="s">
        <v>2625</v>
      </c>
      <c r="AI762" s="63">
        <f t="shared" si="157"/>
        <v>7.5396825396825402E-4</v>
      </c>
      <c r="AJ762" s="307">
        <f>RTD("money.excel",,$G762,"PredictVolume")</f>
        <v>19</v>
      </c>
      <c r="AK762" s="339"/>
    </row>
    <row r="763" spans="1:37">
      <c r="A763" s="415">
        <v>6.43</v>
      </c>
      <c r="B763" s="80">
        <v>-6</v>
      </c>
      <c r="C763" s="80">
        <v>-11</v>
      </c>
      <c r="D763" s="80">
        <v>-4</v>
      </c>
      <c r="E763" s="80">
        <v>-31</v>
      </c>
      <c r="F763" s="57">
        <v>22.93</v>
      </c>
      <c r="G763" s="79">
        <v>5215</v>
      </c>
      <c r="H763" s="204" t="s">
        <v>1152</v>
      </c>
      <c r="I763" s="22" t="s">
        <v>4414</v>
      </c>
      <c r="J763" s="323">
        <v>48.16</v>
      </c>
      <c r="K763" s="323">
        <v>24.76</v>
      </c>
      <c r="L763" s="323">
        <v>12.3</v>
      </c>
      <c r="N763" s="318">
        <f t="shared" si="158"/>
        <v>85.22</v>
      </c>
      <c r="O763" s="81">
        <f>IFERROR(VLOOKUP($G763,'321買'!A:E,3,0),"'沒有資料'")</f>
        <v>1</v>
      </c>
      <c r="P763" s="380">
        <f>IFERROR(VLOOKUP($G763,'321買'!$A:$G,7,0),"'沒有資料'")</f>
        <v>783</v>
      </c>
      <c r="Q763" s="245" t="s">
        <v>3817</v>
      </c>
      <c r="R763" s="297">
        <f>IFERROR(RANK(VLOOKUP($G763,連買!$A:$D,4,0),連買!$D:$D,0),"'沒有資料'")</f>
        <v>275</v>
      </c>
      <c r="S763" s="66">
        <v>8</v>
      </c>
      <c r="T763" s="353">
        <f t="shared" si="159"/>
        <v>0.13157894736842105</v>
      </c>
      <c r="U763" s="95">
        <v>11.64</v>
      </c>
      <c r="V763" s="36">
        <f>RTD("money.excel",,"5215","Price")</f>
        <v>60.8</v>
      </c>
      <c r="W763" s="66"/>
      <c r="X763" s="15">
        <f t="shared" si="160"/>
        <v>60.8</v>
      </c>
      <c r="Y763" s="3" t="e">
        <f t="shared" si="161"/>
        <v>#DIV/0!</v>
      </c>
      <c r="Z763" s="413" t="s">
        <v>3822</v>
      </c>
      <c r="AA763" s="161">
        <v>0</v>
      </c>
      <c r="AB763" s="409">
        <v>0</v>
      </c>
      <c r="AC763" s="259">
        <f t="shared" si="154"/>
        <v>0</v>
      </c>
      <c r="AD763" s="22" t="s">
        <v>4414</v>
      </c>
      <c r="AG763" s="33">
        <f t="shared" si="162"/>
        <v>0</v>
      </c>
      <c r="AH763" s="43" t="s">
        <v>2466</v>
      </c>
      <c r="AI763" s="63">
        <f t="shared" si="157"/>
        <v>3.1570762052877139E-3</v>
      </c>
      <c r="AJ763" s="307">
        <f>RTD("money.excel",,$G763,"PredictVolume")</f>
        <v>203</v>
      </c>
      <c r="AK763" s="339"/>
    </row>
    <row r="764" spans="1:37">
      <c r="A764" s="415">
        <v>4.45</v>
      </c>
      <c r="B764" s="80">
        <v>-17</v>
      </c>
      <c r="C764" s="80">
        <v>-28</v>
      </c>
      <c r="D764" s="79">
        <v>30</v>
      </c>
      <c r="E764" s="79">
        <v>15</v>
      </c>
      <c r="F764" s="57">
        <v>12.81</v>
      </c>
      <c r="G764" s="79">
        <v>5223</v>
      </c>
      <c r="H764" s="149" t="s">
        <v>1152</v>
      </c>
      <c r="I764" s="16" t="s">
        <v>2396</v>
      </c>
      <c r="J764" s="73">
        <v>53.28</v>
      </c>
      <c r="K764" s="73">
        <v>42.8</v>
      </c>
      <c r="L764" s="73">
        <v>19.329999999999998</v>
      </c>
      <c r="M764" s="73">
        <v>43.28</v>
      </c>
      <c r="N764" s="73">
        <f t="shared" si="158"/>
        <v>158.69</v>
      </c>
      <c r="O764" s="81">
        <f>IFERROR(VLOOKUP($G764,'321買'!A:E,3,0),"'沒有資料'")</f>
        <v>3</v>
      </c>
      <c r="P764" s="380">
        <f>IFERROR(VLOOKUP($G764,'321買'!$A:$G,7,0),"'沒有資料'")</f>
        <v>636</v>
      </c>
      <c r="Q764" s="245" t="s">
        <v>3816</v>
      </c>
      <c r="R764" s="297">
        <f>IFERROR(RANK(VLOOKUP($G764,連買!$A:$D,4,0),連買!$D:$D,0),"'沒有資料'")</f>
        <v>246</v>
      </c>
      <c r="S764" s="66">
        <v>3.41</v>
      </c>
      <c r="T764" s="353">
        <f t="shared" si="159"/>
        <v>6.5703275529865129E-2</v>
      </c>
      <c r="U764" s="57">
        <v>5.67</v>
      </c>
      <c r="V764" s="13">
        <f>RTD("money.excel",,"5223","Price")</f>
        <v>51.9</v>
      </c>
      <c r="W764" s="66"/>
      <c r="X764" s="15">
        <f t="shared" si="160"/>
        <v>51.9</v>
      </c>
      <c r="Y764" s="3" t="e">
        <f t="shared" si="161"/>
        <v>#DIV/0!</v>
      </c>
      <c r="Z764" s="413" t="s">
        <v>1997</v>
      </c>
      <c r="AA764" s="161">
        <v>0</v>
      </c>
      <c r="AB764" s="409">
        <v>0</v>
      </c>
      <c r="AC764" s="259">
        <f t="shared" si="154"/>
        <v>0</v>
      </c>
      <c r="AD764" s="16" t="s">
        <v>2396</v>
      </c>
      <c r="AG764" s="33">
        <f t="shared" si="162"/>
        <v>0</v>
      </c>
      <c r="AH764" s="43" t="s">
        <v>3072</v>
      </c>
      <c r="AI764" s="63">
        <f t="shared" si="157"/>
        <v>5.3932584269662917E-4</v>
      </c>
      <c r="AJ764" s="307">
        <f>RTD("money.excel",,$G764,"PredictVolume")</f>
        <v>24</v>
      </c>
      <c r="AK764" s="339"/>
    </row>
    <row r="765" spans="1:37">
      <c r="A765" s="416">
        <v>8.9499999999999993</v>
      </c>
      <c r="B765" s="80">
        <v>-16</v>
      </c>
      <c r="C765" s="79">
        <v>11</v>
      </c>
      <c r="D765" s="79">
        <v>3</v>
      </c>
      <c r="E765" s="79">
        <v>42</v>
      </c>
      <c r="F765" s="6">
        <v>5.54</v>
      </c>
      <c r="G765" s="79">
        <v>5258</v>
      </c>
      <c r="H765" s="204" t="s">
        <v>1152</v>
      </c>
      <c r="I765" s="22" t="s">
        <v>471</v>
      </c>
      <c r="J765" s="73">
        <v>37.31</v>
      </c>
      <c r="K765" s="73">
        <v>5.36</v>
      </c>
      <c r="L765" s="323">
        <v>30.15</v>
      </c>
      <c r="M765" s="323">
        <v>20.440000000000001</v>
      </c>
      <c r="N765" s="318">
        <f t="shared" si="158"/>
        <v>93.259999999999991</v>
      </c>
      <c r="O765" s="81">
        <f>IFERROR(VLOOKUP($G765,'321買'!A:E,3,0),"'沒有資料'")</f>
        <v>31</v>
      </c>
      <c r="P765" s="380">
        <f>IFERROR(VLOOKUP($G765,'321買'!$A:$G,7,0),"'沒有資料'")</f>
        <v>163</v>
      </c>
      <c r="Q765" s="245" t="s">
        <v>3816</v>
      </c>
      <c r="R765" s="297">
        <f>IFERROR(RANK(VLOOKUP($G765,連買!$A:$D,4,0),連買!$D:$D,0),"'沒有資料'")</f>
        <v>567</v>
      </c>
      <c r="S765" s="34">
        <v>0.6</v>
      </c>
      <c r="T765" s="353">
        <f t="shared" si="159"/>
        <v>1.5286624203821656E-2</v>
      </c>
      <c r="U765" s="95">
        <v>1.94</v>
      </c>
      <c r="V765" s="36">
        <f>RTD("money.excel",,"5258","Price")</f>
        <v>39.25</v>
      </c>
      <c r="W765" s="66"/>
      <c r="X765" s="15">
        <f t="shared" si="160"/>
        <v>39.25</v>
      </c>
      <c r="Y765" s="3" t="e">
        <f t="shared" si="161"/>
        <v>#DIV/0!</v>
      </c>
      <c r="Z765" s="413" t="s">
        <v>1801</v>
      </c>
      <c r="AA765" s="161">
        <v>0</v>
      </c>
      <c r="AB765" s="409">
        <v>0</v>
      </c>
      <c r="AC765" s="259">
        <f t="shared" si="154"/>
        <v>0</v>
      </c>
      <c r="AD765" s="22" t="s">
        <v>471</v>
      </c>
      <c r="AG765" s="33">
        <f t="shared" si="162"/>
        <v>0</v>
      </c>
      <c r="AH765" s="43" t="s">
        <v>3850</v>
      </c>
      <c r="AI765" s="63">
        <f t="shared" si="157"/>
        <v>2.4837988826815642E-2</v>
      </c>
      <c r="AJ765" s="307">
        <f>RTD("money.excel",,$G765,"PredictVolume")</f>
        <v>2223</v>
      </c>
      <c r="AK765" s="339"/>
    </row>
    <row r="766" spans="1:37">
      <c r="A766" s="415">
        <v>8.1999999999999993</v>
      </c>
      <c r="B766" s="80">
        <v>-4</v>
      </c>
      <c r="C766" s="80">
        <v>-7</v>
      </c>
      <c r="D766" s="80">
        <v>-10</v>
      </c>
      <c r="E766" s="80">
        <v>-1</v>
      </c>
      <c r="F766" s="57">
        <v>17.46</v>
      </c>
      <c r="G766" s="79">
        <v>5289</v>
      </c>
      <c r="H766" s="149" t="s">
        <v>1152</v>
      </c>
      <c r="I766" s="16" t="s">
        <v>4415</v>
      </c>
      <c r="J766" s="323">
        <v>36.520000000000003</v>
      </c>
      <c r="K766" s="73">
        <v>26.24</v>
      </c>
      <c r="L766" s="73">
        <v>7.32</v>
      </c>
      <c r="N766" s="318">
        <f t="shared" si="158"/>
        <v>70.080000000000013</v>
      </c>
      <c r="O766" s="81">
        <f>IFERROR(VLOOKUP($G766,'321買'!A:E,3,0),"'沒有資料'")</f>
        <v>13</v>
      </c>
      <c r="P766" s="380">
        <f>IFERROR(VLOOKUP($G766,'321買'!$A:$G,7,0),"'沒有資料'")</f>
        <v>368</v>
      </c>
      <c r="R766" s="297">
        <f>IFERROR(RANK(VLOOKUP($G766,連買!$A:$D,4,0),連買!$D:$D,0),"'沒有資料'")</f>
        <v>51</v>
      </c>
      <c r="S766" s="66">
        <v>6.8</v>
      </c>
      <c r="T766" s="353">
        <f t="shared" si="159"/>
        <v>3.1775700934579439E-2</v>
      </c>
      <c r="U766" s="95">
        <v>11.57</v>
      </c>
      <c r="V766" s="36">
        <f>RTD("money.excel",,"5289","Price")</f>
        <v>214</v>
      </c>
      <c r="W766" s="66"/>
      <c r="X766" s="15">
        <f t="shared" si="160"/>
        <v>214</v>
      </c>
      <c r="Y766" s="3" t="e">
        <f t="shared" si="161"/>
        <v>#DIV/0!</v>
      </c>
      <c r="Z766" s="413" t="s">
        <v>1997</v>
      </c>
      <c r="AA766" s="161">
        <v>0</v>
      </c>
      <c r="AB766" s="409">
        <v>0</v>
      </c>
      <c r="AC766" s="259">
        <f t="shared" si="154"/>
        <v>0</v>
      </c>
      <c r="AD766" s="16" t="s">
        <v>4415</v>
      </c>
      <c r="AG766" s="33">
        <f t="shared" si="162"/>
        <v>0</v>
      </c>
      <c r="AH766" s="120" t="s">
        <v>1420</v>
      </c>
      <c r="AI766" s="63">
        <f t="shared" si="157"/>
        <v>1E-3</v>
      </c>
      <c r="AJ766" s="307">
        <f>RTD("money.excel",,$G766,"PredictVolume")</f>
        <v>82</v>
      </c>
      <c r="AK766" s="339"/>
    </row>
    <row r="767" spans="1:37">
      <c r="A767" s="416">
        <v>10.3</v>
      </c>
      <c r="B767" s="80">
        <v>-103</v>
      </c>
      <c r="C767" s="80">
        <v>-226</v>
      </c>
      <c r="D767" s="79">
        <v>5</v>
      </c>
      <c r="E767" s="79">
        <v>19</v>
      </c>
      <c r="F767" s="6">
        <v>-2.89</v>
      </c>
      <c r="G767" s="79">
        <v>5356</v>
      </c>
      <c r="H767" s="149" t="s">
        <v>1152</v>
      </c>
      <c r="I767" s="16" t="s">
        <v>2397</v>
      </c>
      <c r="J767" s="323">
        <v>28.37</v>
      </c>
      <c r="K767" s="323">
        <v>2.85</v>
      </c>
      <c r="L767" s="323">
        <v>17.59</v>
      </c>
      <c r="M767" s="73">
        <v>8.23</v>
      </c>
      <c r="N767" s="318">
        <f t="shared" si="158"/>
        <v>57.040000000000006</v>
      </c>
      <c r="O767" s="81">
        <f>IFERROR(VLOOKUP($G767,'321買'!A:E,3,0),"'沒有資料'")</f>
        <v>3</v>
      </c>
      <c r="P767" s="380">
        <f>IFERROR(VLOOKUP($G767,'321買'!$A:$G,7,0),"'沒有資料'")</f>
        <v>636</v>
      </c>
      <c r="Q767" s="245" t="s">
        <v>3816</v>
      </c>
      <c r="R767" s="297">
        <f>IFERROR(RANK(VLOOKUP($G767,連買!$A:$D,4,0),連買!$D:$D,0),"'沒有資料'")</f>
        <v>1021</v>
      </c>
      <c r="S767" s="34">
        <v>2.2000000000000002</v>
      </c>
      <c r="T767" s="353">
        <f t="shared" si="159"/>
        <v>8.835341365461849E-2</v>
      </c>
      <c r="U767" s="95">
        <v>0.77</v>
      </c>
      <c r="V767" s="36">
        <f>RTD("money.excel",,"5356","Price")</f>
        <v>24.9</v>
      </c>
      <c r="W767" s="66"/>
      <c r="X767" s="15">
        <f t="shared" si="160"/>
        <v>24.9</v>
      </c>
      <c r="Y767" s="3" t="e">
        <f t="shared" si="161"/>
        <v>#DIV/0!</v>
      </c>
      <c r="AA767" s="161">
        <v>0</v>
      </c>
      <c r="AB767" s="409">
        <v>0</v>
      </c>
      <c r="AC767" s="259">
        <f t="shared" si="154"/>
        <v>0</v>
      </c>
      <c r="AD767" s="16" t="s">
        <v>2397</v>
      </c>
      <c r="AG767" s="33">
        <f t="shared" si="162"/>
        <v>0</v>
      </c>
      <c r="AH767" s="120" t="s">
        <v>2398</v>
      </c>
      <c r="AI767" s="63">
        <f t="shared" si="157"/>
        <v>8.5436893203883499E-4</v>
      </c>
      <c r="AJ767" s="307">
        <f>RTD("money.excel",,$G767,"PredictVolume")</f>
        <v>88</v>
      </c>
      <c r="AK767" s="339"/>
    </row>
    <row r="768" spans="1:37">
      <c r="A768" s="416">
        <v>2.48</v>
      </c>
      <c r="B768" s="79">
        <v>122</v>
      </c>
      <c r="C768" s="79">
        <v>81</v>
      </c>
      <c r="D768" s="79">
        <v>53</v>
      </c>
      <c r="E768" s="79">
        <v>124</v>
      </c>
      <c r="F768" s="6">
        <v>2.57</v>
      </c>
      <c r="G768" s="79">
        <v>5386</v>
      </c>
      <c r="H768" s="149" t="s">
        <v>1152</v>
      </c>
      <c r="I768" s="16" t="s">
        <v>2399</v>
      </c>
      <c r="J768" s="323">
        <v>27.48</v>
      </c>
      <c r="K768" s="323">
        <v>5.84</v>
      </c>
      <c r="L768" s="323">
        <v>25.51</v>
      </c>
      <c r="M768" s="323">
        <v>31.19</v>
      </c>
      <c r="N768" s="318">
        <f t="shared" si="158"/>
        <v>90.02</v>
      </c>
      <c r="O768" s="81">
        <f>IFERROR(VLOOKUP($G768,'321買'!A:E,3,0),"'沒有資料'")</f>
        <v>18</v>
      </c>
      <c r="P768" s="380">
        <f>IFERROR(VLOOKUP($G768,'321買'!$A:$G,7,0),"'沒有資料'")</f>
        <v>290</v>
      </c>
      <c r="Q768" s="245" t="s">
        <v>3815</v>
      </c>
      <c r="R768" s="297">
        <f>IFERROR(RANK(VLOOKUP($G768,連買!$A:$D,4,0),連買!$D:$D,0),"'沒有資料'")</f>
        <v>146</v>
      </c>
      <c r="S768" s="34">
        <v>0.8</v>
      </c>
      <c r="T768" s="353">
        <f t="shared" si="159"/>
        <v>1.8223234624145788E-2</v>
      </c>
      <c r="U768" s="95">
        <v>2.06</v>
      </c>
      <c r="V768" s="36">
        <f>RTD("money.excel",,"5386","Price")</f>
        <v>43.9</v>
      </c>
      <c r="W768" s="66"/>
      <c r="X768" s="15">
        <f t="shared" si="160"/>
        <v>43.9</v>
      </c>
      <c r="Y768" s="3" t="e">
        <f t="shared" si="161"/>
        <v>#DIV/0!</v>
      </c>
      <c r="Z768" s="413" t="s">
        <v>1801</v>
      </c>
      <c r="AA768" s="161">
        <v>0</v>
      </c>
      <c r="AB768" s="409">
        <v>0</v>
      </c>
      <c r="AC768" s="259">
        <f t="shared" si="154"/>
        <v>0</v>
      </c>
      <c r="AD768" s="16" t="s">
        <v>2399</v>
      </c>
      <c r="AG768" s="33">
        <f t="shared" si="162"/>
        <v>0</v>
      </c>
      <c r="AH768" s="43" t="s">
        <v>2903</v>
      </c>
      <c r="AI768" s="63">
        <f t="shared" si="157"/>
        <v>2.6209677419354841E-3</v>
      </c>
      <c r="AJ768" s="307">
        <f>RTD("money.excel",,$G768,"PredictVolume")</f>
        <v>65</v>
      </c>
      <c r="AK768" s="339"/>
    </row>
    <row r="769" spans="1:37">
      <c r="A769" s="416">
        <v>14.3</v>
      </c>
      <c r="B769" s="91">
        <v>436</v>
      </c>
      <c r="C769" s="91">
        <v>397</v>
      </c>
      <c r="D769" s="91">
        <v>-6</v>
      </c>
      <c r="E769" s="91">
        <v>13</v>
      </c>
      <c r="F769" s="6">
        <v>6.25</v>
      </c>
      <c r="G769" s="79">
        <v>5426</v>
      </c>
      <c r="H769" s="149" t="s">
        <v>1152</v>
      </c>
      <c r="I769" s="16" t="s">
        <v>2400</v>
      </c>
      <c r="J769" s="73">
        <v>55.79</v>
      </c>
      <c r="K769" s="73">
        <v>0.93</v>
      </c>
      <c r="L769" s="73">
        <v>12.17</v>
      </c>
      <c r="N769" s="318">
        <f t="shared" si="158"/>
        <v>68.89</v>
      </c>
      <c r="O769" s="81">
        <f>IFERROR(VLOOKUP($G769,'321買'!A:E,3,0),"'沒有資料'")</f>
        <v>1</v>
      </c>
      <c r="P769" s="380">
        <f>IFERROR(VLOOKUP($G769,'321買'!$A:$G,7,0),"'沒有資料'")</f>
        <v>783</v>
      </c>
      <c r="R769" s="297">
        <f>IFERROR(RANK(VLOOKUP($G769,連買!$A:$D,4,0),連買!$D:$D,0),"'沒有資料'")</f>
        <v>1261</v>
      </c>
      <c r="S769" s="34">
        <v>0</v>
      </c>
      <c r="T769" s="353">
        <f t="shared" si="159"/>
        <v>0</v>
      </c>
      <c r="U769" s="95">
        <v>-0.26</v>
      </c>
      <c r="V769" s="13">
        <f>RTD("money.excel",,"5426","Price")</f>
        <v>10.5</v>
      </c>
      <c r="W769" s="66"/>
      <c r="X769" s="15">
        <f t="shared" si="160"/>
        <v>10.5</v>
      </c>
      <c r="Y769" s="3" t="e">
        <f t="shared" si="161"/>
        <v>#DIV/0!</v>
      </c>
      <c r="AA769" s="161">
        <v>0</v>
      </c>
      <c r="AB769" s="409">
        <v>0</v>
      </c>
      <c r="AC769" s="259">
        <f t="shared" si="154"/>
        <v>0</v>
      </c>
      <c r="AD769" s="16" t="s">
        <v>2400</v>
      </c>
      <c r="AG769" s="33">
        <f t="shared" si="162"/>
        <v>0</v>
      </c>
      <c r="AH769" s="43" t="s">
        <v>2626</v>
      </c>
      <c r="AI769" s="63">
        <f t="shared" si="157"/>
        <v>2.2377622377622378E-4</v>
      </c>
      <c r="AJ769" s="307">
        <f>RTD("money.excel",,$G769,"PredictVolume")</f>
        <v>32</v>
      </c>
      <c r="AK769" s="339"/>
    </row>
    <row r="770" spans="1:37">
      <c r="A770" s="416">
        <v>11.2</v>
      </c>
      <c r="B770" s="93">
        <v>8447</v>
      </c>
      <c r="C770" s="79">
        <v>101</v>
      </c>
      <c r="D770" s="79">
        <v>33</v>
      </c>
      <c r="E770" s="79">
        <v>27</v>
      </c>
      <c r="F770" s="6">
        <v>7.0000000000000007E-2</v>
      </c>
      <c r="G770" s="79">
        <v>5438</v>
      </c>
      <c r="H770" s="149" t="s">
        <v>1152</v>
      </c>
      <c r="I770" s="16" t="s">
        <v>2401</v>
      </c>
      <c r="J770" s="73">
        <v>78.709999999999994</v>
      </c>
      <c r="K770" s="323">
        <v>2.06</v>
      </c>
      <c r="L770" s="73">
        <v>3.13</v>
      </c>
      <c r="M770" s="73">
        <v>48.93</v>
      </c>
      <c r="N770" s="73">
        <f t="shared" si="158"/>
        <v>132.82999999999998</v>
      </c>
      <c r="O770" s="81">
        <f>IFERROR(VLOOKUP($G770,'321買'!A:E,3,0),"'沒有資料'")</f>
        <v>6</v>
      </c>
      <c r="P770" s="380">
        <f>IFERROR(VLOOKUP($G770,'321買'!$A:$G,7,0),"'沒有資料'")</f>
        <v>521</v>
      </c>
      <c r="Q770" s="245" t="s">
        <v>3815</v>
      </c>
      <c r="R770" s="297">
        <f>IFERROR(RANK(VLOOKUP($G770,連買!$A:$D,4,0),連買!$D:$D,0),"'沒有資料'")</f>
        <v>1607</v>
      </c>
      <c r="S770" s="34">
        <v>0.1</v>
      </c>
      <c r="T770" s="353">
        <f t="shared" si="159"/>
        <v>6.8493150684931512E-3</v>
      </c>
      <c r="U770" s="57">
        <v>0.71</v>
      </c>
      <c r="V770" s="36">
        <f>RTD("money.excel",,"5438","Price")</f>
        <v>14.6</v>
      </c>
      <c r="W770" s="66"/>
      <c r="X770" s="15">
        <f t="shared" si="160"/>
        <v>14.6</v>
      </c>
      <c r="Y770" s="3" t="e">
        <f t="shared" si="161"/>
        <v>#DIV/0!</v>
      </c>
      <c r="AA770" s="161">
        <v>0</v>
      </c>
      <c r="AB770" s="409">
        <v>0</v>
      </c>
      <c r="AC770" s="259">
        <f t="shared" si="154"/>
        <v>0</v>
      </c>
      <c r="AD770" s="16" t="s">
        <v>2401</v>
      </c>
      <c r="AG770" s="33">
        <f t="shared" si="162"/>
        <v>0</v>
      </c>
      <c r="AH770" s="43" t="s">
        <v>2627</v>
      </c>
      <c r="AI770" s="63">
        <f t="shared" si="157"/>
        <v>9.732142857142857E-4</v>
      </c>
      <c r="AJ770" s="307">
        <f>RTD("money.excel",,$G770,"PredictVolume")</f>
        <v>109</v>
      </c>
      <c r="AK770" s="339"/>
    </row>
    <row r="771" spans="1:37">
      <c r="A771" s="416">
        <v>16.399999999999999</v>
      </c>
      <c r="B771" s="79">
        <v>103</v>
      </c>
      <c r="C771" s="79">
        <v>374</v>
      </c>
      <c r="D771" s="80">
        <v>-61</v>
      </c>
      <c r="E771" s="79">
        <v>32</v>
      </c>
      <c r="F771" s="6">
        <v>5.0599999999999996</v>
      </c>
      <c r="G771" s="79">
        <v>5465</v>
      </c>
      <c r="H771" s="149" t="s">
        <v>1152</v>
      </c>
      <c r="I771" s="16" t="s">
        <v>2402</v>
      </c>
      <c r="J771" s="73">
        <v>73.38</v>
      </c>
      <c r="K771" s="73">
        <v>1.32</v>
      </c>
      <c r="L771" s="73">
        <v>19.489999999999998</v>
      </c>
      <c r="N771" s="318">
        <f t="shared" si="158"/>
        <v>94.189999999999984</v>
      </c>
      <c r="O771" s="81" t="str">
        <f>IFERROR(VLOOKUP($G771,'321買'!A:E,3,0),"'沒有資料'")</f>
        <v>'沒有資料'</v>
      </c>
      <c r="P771" s="380" t="str">
        <f>IFERROR(VLOOKUP($G771,'321買'!$A:$G,7,0),"'沒有資料'")</f>
        <v>'沒有資料'</v>
      </c>
      <c r="R771" s="297">
        <f>IFERROR(RANK(VLOOKUP($G771,連買!$A:$D,4,0),連買!$D:$D,0),"'沒有資料'")</f>
        <v>1165</v>
      </c>
      <c r="S771" s="34">
        <v>1.1499999999999999</v>
      </c>
      <c r="T771" s="353">
        <f t="shared" si="159"/>
        <v>7.2327044025157231E-2</v>
      </c>
      <c r="U771" s="57">
        <v>1.1499999999999999</v>
      </c>
      <c r="V771" s="36">
        <f>RTD("money.excel",,"5465","Price")</f>
        <v>15.9</v>
      </c>
      <c r="W771" s="66"/>
      <c r="X771" s="15">
        <f t="shared" si="160"/>
        <v>15.9</v>
      </c>
      <c r="Y771" s="3" t="e">
        <f t="shared" si="161"/>
        <v>#DIV/0!</v>
      </c>
      <c r="AA771" s="161">
        <v>0</v>
      </c>
      <c r="AB771" s="409">
        <v>0</v>
      </c>
      <c r="AC771" s="259">
        <f t="shared" si="154"/>
        <v>0</v>
      </c>
      <c r="AD771" s="16" t="s">
        <v>2402</v>
      </c>
      <c r="AG771" s="33">
        <f t="shared" si="162"/>
        <v>0</v>
      </c>
      <c r="AH771" s="43" t="s">
        <v>2628</v>
      </c>
      <c r="AI771" s="63">
        <f t="shared" si="157"/>
        <v>1.0365853658536585E-4</v>
      </c>
      <c r="AJ771" s="307">
        <f>RTD("money.excel",,$G771,"PredictVolume")</f>
        <v>17</v>
      </c>
      <c r="AK771" s="339"/>
    </row>
    <row r="772" spans="1:37">
      <c r="A772" s="415">
        <v>3.37</v>
      </c>
      <c r="B772" s="79">
        <v>37</v>
      </c>
      <c r="C772" s="79">
        <v>52</v>
      </c>
      <c r="D772" s="80">
        <v>-11</v>
      </c>
      <c r="E772" s="80">
        <v>-21</v>
      </c>
      <c r="F772" s="57">
        <v>23.33</v>
      </c>
      <c r="G772" s="79">
        <v>5474</v>
      </c>
      <c r="H772" s="149" t="s">
        <v>1152</v>
      </c>
      <c r="I772" s="16" t="s">
        <v>2403</v>
      </c>
      <c r="J772" s="323">
        <v>52.83</v>
      </c>
      <c r="K772" s="73">
        <v>3.57</v>
      </c>
      <c r="L772" s="323">
        <v>18.170000000000002</v>
      </c>
      <c r="N772" s="318">
        <f t="shared" si="158"/>
        <v>74.569999999999993</v>
      </c>
      <c r="O772" s="81">
        <f>IFERROR(VLOOKUP($G772,'321買'!A:E,3,0),"'沒有資料'")</f>
        <v>2</v>
      </c>
      <c r="P772" s="380">
        <f>IFERROR(VLOOKUP($G772,'321買'!$A:$G,7,0),"'沒有資料'")</f>
        <v>706</v>
      </c>
      <c r="R772" s="297">
        <f>IFERROR(RANK(VLOOKUP($G772,連買!$A:$D,4,0),連買!$D:$D,0),"'沒有資料'")</f>
        <v>1745</v>
      </c>
      <c r="S772" s="66">
        <v>10</v>
      </c>
      <c r="T772" s="353">
        <f t="shared" si="159"/>
        <v>0.10204081632653061</v>
      </c>
      <c r="U772" s="57">
        <v>19.190000000000001</v>
      </c>
      <c r="V772" s="36">
        <f>RTD("money.excel",,"5474","Price")</f>
        <v>98</v>
      </c>
      <c r="W772" s="66"/>
      <c r="X772" s="15">
        <f t="shared" si="160"/>
        <v>98</v>
      </c>
      <c r="Y772" s="3" t="e">
        <f t="shared" si="161"/>
        <v>#DIV/0!</v>
      </c>
      <c r="Z772" s="413" t="s">
        <v>1997</v>
      </c>
      <c r="AA772" s="161">
        <v>0</v>
      </c>
      <c r="AB772" s="409">
        <v>0</v>
      </c>
      <c r="AC772" s="259">
        <f t="shared" si="154"/>
        <v>0</v>
      </c>
      <c r="AD772" s="16" t="s">
        <v>2403</v>
      </c>
      <c r="AG772" s="33">
        <f t="shared" si="162"/>
        <v>0</v>
      </c>
      <c r="AH772" s="43" t="s">
        <v>2618</v>
      </c>
      <c r="AI772" s="63">
        <f t="shared" si="157"/>
        <v>1.3857566765578635E-2</v>
      </c>
      <c r="AJ772" s="307">
        <f>RTD("money.excel",,$G772,"PredictVolume")</f>
        <v>467</v>
      </c>
      <c r="AK772" s="339"/>
    </row>
    <row r="773" spans="1:37">
      <c r="A773" s="415">
        <v>9.6300000000000008</v>
      </c>
      <c r="B773" s="91">
        <v>57</v>
      </c>
      <c r="C773" s="91">
        <v>59</v>
      </c>
      <c r="D773" s="91">
        <v>-83</v>
      </c>
      <c r="E773" s="91">
        <v>-50</v>
      </c>
      <c r="F773" s="57">
        <v>13.62</v>
      </c>
      <c r="G773" s="79">
        <v>5490</v>
      </c>
      <c r="H773" s="149" t="s">
        <v>1152</v>
      </c>
      <c r="I773" s="16" t="s">
        <v>2404</v>
      </c>
      <c r="J773" s="323">
        <v>36.86</v>
      </c>
      <c r="K773" s="323">
        <v>4.7300000000000004</v>
      </c>
      <c r="L773" s="73">
        <v>17.149999999999999</v>
      </c>
      <c r="N773" s="318">
        <f t="shared" si="158"/>
        <v>58.74</v>
      </c>
      <c r="O773" s="81">
        <f>IFERROR(VLOOKUP($G773,'321買'!A:E,3,0),"'沒有資料'")</f>
        <v>0</v>
      </c>
      <c r="P773" s="380">
        <f>IFERROR(VLOOKUP($G773,'321買'!$A:$G,7,0),"'沒有資料'")</f>
        <v>911</v>
      </c>
      <c r="R773" s="297">
        <f>IFERROR(RANK(VLOOKUP($G773,連買!$A:$D,4,0),連買!$D:$D,0),"'沒有資料'")</f>
        <v>929</v>
      </c>
      <c r="S773" s="34">
        <v>2</v>
      </c>
      <c r="T773" s="353">
        <f t="shared" si="159"/>
        <v>7.6481835564053538E-2</v>
      </c>
      <c r="U773" s="95">
        <v>2.19</v>
      </c>
      <c r="V773" s="36">
        <f>RTD("money.excel",,"5490","Price")</f>
        <v>26.15</v>
      </c>
      <c r="W773" s="66"/>
      <c r="X773" s="15">
        <f t="shared" si="160"/>
        <v>26.15</v>
      </c>
      <c r="Y773" s="3" t="e">
        <f t="shared" si="161"/>
        <v>#DIV/0!</v>
      </c>
      <c r="AA773" s="161">
        <v>0</v>
      </c>
      <c r="AB773" s="409">
        <v>0</v>
      </c>
      <c r="AC773" s="259">
        <f t="shared" ref="AC773:AC836" si="163">AA773-AB773</f>
        <v>0</v>
      </c>
      <c r="AD773" s="16" t="s">
        <v>2404</v>
      </c>
      <c r="AG773" s="33">
        <f t="shared" si="162"/>
        <v>0</v>
      </c>
      <c r="AH773" s="120" t="s">
        <v>3173</v>
      </c>
      <c r="AI773" s="63">
        <f t="shared" si="157"/>
        <v>4.049844236760124E-4</v>
      </c>
      <c r="AJ773" s="307">
        <f>RTD("money.excel",,$G773,"PredictVolume")</f>
        <v>39</v>
      </c>
      <c r="AK773" s="339"/>
    </row>
    <row r="774" spans="1:37">
      <c r="A774" s="416">
        <v>8.8699999999999992</v>
      </c>
      <c r="B774" s="91">
        <v>71</v>
      </c>
      <c r="C774" s="91">
        <v>76</v>
      </c>
      <c r="D774" s="91">
        <v>31</v>
      </c>
      <c r="E774" s="91">
        <v>16</v>
      </c>
      <c r="F774" s="6">
        <v>-1.81</v>
      </c>
      <c r="G774" s="79">
        <v>6117</v>
      </c>
      <c r="H774" s="204" t="s">
        <v>1152</v>
      </c>
      <c r="I774" s="22" t="s">
        <v>4416</v>
      </c>
      <c r="J774" s="73">
        <v>79.430000000000007</v>
      </c>
      <c r="K774" s="73">
        <v>2.84</v>
      </c>
      <c r="L774" s="73">
        <v>3.11</v>
      </c>
      <c r="N774" s="318">
        <f t="shared" si="158"/>
        <v>85.38000000000001</v>
      </c>
      <c r="O774" s="81">
        <f>IFERROR(VLOOKUP($G774,'321買'!A:E,3,0),"'沒有資料'")</f>
        <v>0</v>
      </c>
      <c r="P774" s="380">
        <f>IFERROR(VLOOKUP($G774,'321買'!$A:$G,7,0),"'沒有資料'")</f>
        <v>911</v>
      </c>
      <c r="R774" s="297">
        <f>IFERROR(RANK(VLOOKUP($G774,連買!$A:$D,4,0),連買!$D:$D,0),"'沒有資料'")</f>
        <v>1168</v>
      </c>
      <c r="S774" s="34">
        <v>0</v>
      </c>
      <c r="T774" s="353">
        <f t="shared" si="159"/>
        <v>0</v>
      </c>
      <c r="U774" s="95">
        <v>-0.86</v>
      </c>
      <c r="V774" s="13">
        <f>RTD("money.excel",,"6117","Price")</f>
        <v>15.7</v>
      </c>
      <c r="W774" s="66"/>
      <c r="X774" s="15">
        <f t="shared" si="160"/>
        <v>15.7</v>
      </c>
      <c r="Y774" s="3" t="e">
        <f t="shared" si="161"/>
        <v>#DIV/0!</v>
      </c>
      <c r="AA774" s="161">
        <v>0</v>
      </c>
      <c r="AB774" s="409">
        <v>0</v>
      </c>
      <c r="AC774" s="259">
        <f t="shared" si="163"/>
        <v>0</v>
      </c>
      <c r="AD774" s="22" t="s">
        <v>4416</v>
      </c>
      <c r="AG774" s="33">
        <f t="shared" si="162"/>
        <v>0</v>
      </c>
      <c r="AH774" s="43" t="s">
        <v>2577</v>
      </c>
      <c r="AI774" s="63">
        <f t="shared" si="157"/>
        <v>9.0191657271702387E-5</v>
      </c>
      <c r="AJ774" s="307">
        <f>RTD("money.excel",,$G774,"PredictVolume")</f>
        <v>8</v>
      </c>
      <c r="AK774" s="339"/>
    </row>
    <row r="775" spans="1:37">
      <c r="A775" s="416">
        <v>18.5</v>
      </c>
      <c r="B775" s="79">
        <v>39</v>
      </c>
      <c r="C775" s="79">
        <v>39</v>
      </c>
      <c r="D775" s="79">
        <v>2</v>
      </c>
      <c r="E775" s="79">
        <v>8</v>
      </c>
      <c r="F775" s="6">
        <v>9.7200000000000006</v>
      </c>
      <c r="G775" s="79">
        <v>6121</v>
      </c>
      <c r="H775" s="149" t="s">
        <v>1152</v>
      </c>
      <c r="I775" s="16" t="s">
        <v>4417</v>
      </c>
      <c r="J775" s="323">
        <v>53.66</v>
      </c>
      <c r="K775" s="323">
        <v>52.51</v>
      </c>
      <c r="L775" s="73">
        <v>3.31</v>
      </c>
      <c r="M775" s="73">
        <v>5.42</v>
      </c>
      <c r="N775" s="318">
        <f t="shared" si="158"/>
        <v>114.89999999999999</v>
      </c>
      <c r="O775" s="81">
        <f>IFERROR(VLOOKUP($G775,'321買'!A:E,3,0),"'沒有資料'")</f>
        <v>3</v>
      </c>
      <c r="P775" s="380">
        <f>IFERROR(VLOOKUP($G775,'321買'!$A:$G,7,0),"'沒有資料'")</f>
        <v>636</v>
      </c>
      <c r="Q775" s="245" t="s">
        <v>6631</v>
      </c>
      <c r="R775" s="297">
        <f>IFERROR(RANK(VLOOKUP($G775,連買!$A:$D,4,0),連買!$D:$D,0),"'沒有資料'")</f>
        <v>22</v>
      </c>
      <c r="S775" s="66">
        <v>26</v>
      </c>
      <c r="T775" s="353">
        <f t="shared" si="159"/>
        <v>8.5526315789473686E-2</v>
      </c>
      <c r="U775" s="57">
        <v>35.18</v>
      </c>
      <c r="V775" s="13">
        <f>RTD("money.excel",,"6121","Price")</f>
        <v>304</v>
      </c>
      <c r="W775" s="66"/>
      <c r="X775" s="15">
        <f t="shared" si="160"/>
        <v>304</v>
      </c>
      <c r="Y775" s="3" t="e">
        <f t="shared" si="161"/>
        <v>#DIV/0!</v>
      </c>
      <c r="Z775" s="413" t="s">
        <v>6629</v>
      </c>
      <c r="AA775" s="161">
        <v>0</v>
      </c>
      <c r="AB775" s="409">
        <v>0</v>
      </c>
      <c r="AC775" s="259">
        <f t="shared" si="163"/>
        <v>0</v>
      </c>
      <c r="AD775" s="16" t="s">
        <v>4417</v>
      </c>
      <c r="AG775" s="33">
        <f t="shared" si="162"/>
        <v>0</v>
      </c>
      <c r="AH775" s="120" t="s">
        <v>2739</v>
      </c>
      <c r="AI775" s="63">
        <f t="shared" si="157"/>
        <v>2.0270270270270271E-3</v>
      </c>
      <c r="AJ775" s="307">
        <f>RTD("money.excel",,$G775,"PredictVolume")</f>
        <v>375</v>
      </c>
      <c r="AK775" s="339">
        <v>2.2400000000000002</v>
      </c>
    </row>
    <row r="776" spans="1:37">
      <c r="A776" s="416">
        <v>5.9</v>
      </c>
      <c r="B776" s="79">
        <v>20</v>
      </c>
      <c r="C776" s="79">
        <v>9</v>
      </c>
      <c r="D776" s="80">
        <v>-29</v>
      </c>
      <c r="E776" s="79">
        <v>15</v>
      </c>
      <c r="F776" s="6">
        <v>6.12</v>
      </c>
      <c r="G776" s="79">
        <v>6123</v>
      </c>
      <c r="H776" s="149" t="s">
        <v>1152</v>
      </c>
      <c r="I776" s="16" t="s">
        <v>2405</v>
      </c>
      <c r="J776" s="323">
        <v>33.520000000000003</v>
      </c>
      <c r="K776" s="73">
        <v>2.99</v>
      </c>
      <c r="L776" s="73">
        <v>5.35</v>
      </c>
      <c r="N776" s="318">
        <f t="shared" si="158"/>
        <v>41.860000000000007</v>
      </c>
      <c r="O776" s="81">
        <f>IFERROR(VLOOKUP($G776,'321買'!A:E,3,0),"'沒有資料'")</f>
        <v>0</v>
      </c>
      <c r="P776" s="380">
        <f>IFERROR(VLOOKUP($G776,'321買'!$A:$G,7,0),"'沒有資料'")</f>
        <v>911</v>
      </c>
      <c r="R776" s="297">
        <f>IFERROR(RANK(VLOOKUP($G776,連買!$A:$D,4,0),連買!$D:$D,0),"'沒有資料'")</f>
        <v>436</v>
      </c>
      <c r="S776" s="34">
        <v>1</v>
      </c>
      <c r="T776" s="353">
        <f t="shared" si="159"/>
        <v>1.8083182640144666E-2</v>
      </c>
      <c r="U776" s="95">
        <v>4.25</v>
      </c>
      <c r="V776" s="36">
        <f>RTD("money.excel",,"6123","Price")</f>
        <v>55.3</v>
      </c>
      <c r="W776" s="66"/>
      <c r="X776" s="15">
        <f t="shared" si="160"/>
        <v>55.3</v>
      </c>
      <c r="Y776" s="3" t="e">
        <f t="shared" si="161"/>
        <v>#DIV/0!</v>
      </c>
      <c r="Z776" s="413" t="s">
        <v>1801</v>
      </c>
      <c r="AA776" s="161">
        <v>0</v>
      </c>
      <c r="AB776" s="409">
        <v>0</v>
      </c>
      <c r="AC776" s="259">
        <f t="shared" si="163"/>
        <v>0</v>
      </c>
      <c r="AD776" s="16" t="s">
        <v>2405</v>
      </c>
      <c r="AG776" s="33">
        <f t="shared" si="162"/>
        <v>0</v>
      </c>
      <c r="AH776" s="120" t="s">
        <v>2989</v>
      </c>
      <c r="AI776" s="63">
        <f t="shared" si="157"/>
        <v>1.3220338983050849E-3</v>
      </c>
      <c r="AJ776" s="307">
        <f>RTD("money.excel",,$G776,"PredictVolume")</f>
        <v>78</v>
      </c>
      <c r="AK776" s="339"/>
    </row>
    <row r="777" spans="1:37">
      <c r="A777" s="416">
        <v>12.7</v>
      </c>
      <c r="B777" s="80">
        <v>-57</v>
      </c>
      <c r="C777" s="80">
        <v>-86</v>
      </c>
      <c r="D777" s="79">
        <v>13</v>
      </c>
      <c r="E777" s="80">
        <v>-5</v>
      </c>
      <c r="F777" s="6">
        <v>1.46</v>
      </c>
      <c r="G777" s="79">
        <v>6128</v>
      </c>
      <c r="H777" s="46" t="s">
        <v>1152</v>
      </c>
      <c r="I777" s="22" t="s">
        <v>254</v>
      </c>
      <c r="J777" s="73">
        <v>53.3</v>
      </c>
      <c r="K777" s="73">
        <v>2.4500000000000002</v>
      </c>
      <c r="L777" s="73">
        <v>1.72</v>
      </c>
      <c r="N777" s="318">
        <f t="shared" si="158"/>
        <v>57.47</v>
      </c>
      <c r="O777" s="81">
        <f>IFERROR(VLOOKUP($G777,'321買'!A:E,3,0),"'沒有資料'")</f>
        <v>0</v>
      </c>
      <c r="P777" s="380">
        <f>IFERROR(VLOOKUP($G777,'321買'!$A:$G,7,0),"'沒有資料'")</f>
        <v>911</v>
      </c>
      <c r="R777" s="297">
        <f>IFERROR(RANK(VLOOKUP($G777,連買!$A:$D,4,0),連買!$D:$D,0),"'沒有資料'")</f>
        <v>716</v>
      </c>
      <c r="S777" s="34">
        <v>1</v>
      </c>
      <c r="T777" s="353">
        <f t="shared" si="159"/>
        <v>3.2573289902280131E-2</v>
      </c>
      <c r="U777" s="95">
        <v>1.17</v>
      </c>
      <c r="V777" s="13">
        <f>RTD("money.excel",,"6128","Price")</f>
        <v>30.7</v>
      </c>
      <c r="W777" s="66"/>
      <c r="X777" s="15">
        <f t="shared" si="160"/>
        <v>30.7</v>
      </c>
      <c r="Y777" s="3" t="e">
        <f t="shared" si="161"/>
        <v>#DIV/0!</v>
      </c>
      <c r="AA777" s="161">
        <v>0</v>
      </c>
      <c r="AB777" s="409">
        <v>0</v>
      </c>
      <c r="AC777" s="259">
        <f t="shared" si="163"/>
        <v>0</v>
      </c>
      <c r="AD777" s="22" t="s">
        <v>254</v>
      </c>
      <c r="AG777" s="33">
        <f t="shared" si="162"/>
        <v>0</v>
      </c>
      <c r="AH777" s="43" t="s">
        <v>2576</v>
      </c>
      <c r="AI777" s="63">
        <f t="shared" si="157"/>
        <v>9.4488188976377954E-4</v>
      </c>
      <c r="AJ777" s="307">
        <f>RTD("money.excel",,$G777,"PredictVolume")</f>
        <v>120</v>
      </c>
      <c r="AK777" s="339"/>
    </row>
    <row r="778" spans="1:37">
      <c r="A778" s="415">
        <v>4.5999999999999996</v>
      </c>
      <c r="B778" s="234">
        <v>58790</v>
      </c>
      <c r="C778" s="234">
        <v>95497</v>
      </c>
      <c r="D778" s="79">
        <v>77</v>
      </c>
      <c r="E778" s="79">
        <v>162</v>
      </c>
      <c r="F778" s="57">
        <v>14.94</v>
      </c>
      <c r="G778" s="79">
        <v>6150</v>
      </c>
      <c r="H778" s="8" t="s">
        <v>1152</v>
      </c>
      <c r="I778" s="16" t="s">
        <v>1877</v>
      </c>
      <c r="J778" s="73">
        <v>20.059999999999999</v>
      </c>
      <c r="K778" s="73">
        <v>14.62</v>
      </c>
      <c r="L778" s="323">
        <v>68.67</v>
      </c>
      <c r="M778" s="323">
        <v>8.59</v>
      </c>
      <c r="N778" s="318">
        <f t="shared" si="158"/>
        <v>111.94</v>
      </c>
      <c r="O778" s="81">
        <f>IFERROR(VLOOKUP($G778,'321買'!A:E,3,0),"'沒有資料'")</f>
        <v>61</v>
      </c>
      <c r="P778" s="380">
        <f>IFERROR(VLOOKUP($G778,'321買'!$A:$G,7,0),"'沒有資料'")</f>
        <v>45</v>
      </c>
      <c r="Q778" s="245" t="s">
        <v>3815</v>
      </c>
      <c r="R778" s="297">
        <f>IFERROR(RANK(VLOOKUP($G778,連買!$A:$D,4,0),連買!$D:$D,0),"'沒有資料'")</f>
        <v>253</v>
      </c>
      <c r="S778" s="34">
        <v>0.5</v>
      </c>
      <c r="T778" s="353">
        <f t="shared" si="159"/>
        <v>4.0000000000000001E-3</v>
      </c>
      <c r="U778" s="95">
        <v>15.41</v>
      </c>
      <c r="V778" s="36">
        <f>RTD("money.excel",,"6150","Price")</f>
        <v>125</v>
      </c>
      <c r="W778" s="66"/>
      <c r="X778" s="15">
        <f t="shared" si="160"/>
        <v>125</v>
      </c>
      <c r="Y778" s="3" t="e">
        <f t="shared" si="161"/>
        <v>#DIV/0!</v>
      </c>
      <c r="Z778" s="413" t="s">
        <v>1801</v>
      </c>
      <c r="AA778" s="161">
        <v>0</v>
      </c>
      <c r="AB778" s="409">
        <v>0</v>
      </c>
      <c r="AC778" s="259">
        <f t="shared" si="163"/>
        <v>0</v>
      </c>
      <c r="AD778" s="16" t="s">
        <v>1877</v>
      </c>
      <c r="AG778" s="33">
        <f t="shared" si="162"/>
        <v>0</v>
      </c>
      <c r="AH778" s="43" t="s">
        <v>2903</v>
      </c>
      <c r="AI778" s="63">
        <f t="shared" si="157"/>
        <v>3.3369565217391303E-2</v>
      </c>
      <c r="AJ778" s="307">
        <f>RTD("money.excel",,$G778,"PredictVolume")</f>
        <v>1535</v>
      </c>
      <c r="AK778" s="339"/>
    </row>
    <row r="779" spans="1:37">
      <c r="A779" s="416">
        <v>6.85</v>
      </c>
      <c r="B779" s="94">
        <v>-2709</v>
      </c>
      <c r="C779" s="94">
        <v>-1062</v>
      </c>
      <c r="D779" s="80">
        <v>-14</v>
      </c>
      <c r="E779" s="79">
        <v>48</v>
      </c>
      <c r="F779" s="6">
        <v>-14.43</v>
      </c>
      <c r="G779" s="79">
        <v>6160</v>
      </c>
      <c r="H779" s="149" t="s">
        <v>1152</v>
      </c>
      <c r="I779" s="16" t="s">
        <v>2406</v>
      </c>
      <c r="J779" s="73">
        <v>44.74</v>
      </c>
      <c r="K779" s="323">
        <v>0.67</v>
      </c>
      <c r="L779" s="73">
        <v>10.06</v>
      </c>
      <c r="N779" s="318">
        <f t="shared" si="158"/>
        <v>55.470000000000006</v>
      </c>
      <c r="O779" s="81">
        <f>IFERROR(VLOOKUP($G779,'321買'!A:E,3,0),"'沒有資料'")</f>
        <v>4</v>
      </c>
      <c r="P779" s="380">
        <f>IFERROR(VLOOKUP($G779,'321買'!$A:$G,7,0),"'沒有資料'")</f>
        <v>558</v>
      </c>
      <c r="R779" s="297">
        <f>IFERROR(RANK(VLOOKUP($G779,連買!$A:$D,4,0),連買!$D:$D,0),"'沒有資料'")</f>
        <v>1119</v>
      </c>
      <c r="S779" s="34">
        <v>0</v>
      </c>
      <c r="T779" s="353">
        <f t="shared" si="159"/>
        <v>0</v>
      </c>
      <c r="U779" s="95">
        <v>-0.91</v>
      </c>
      <c r="V779" s="36">
        <f>RTD("money.excel",,"6160","Price")</f>
        <v>15.7</v>
      </c>
      <c r="W779" s="66"/>
      <c r="X779" s="15">
        <f t="shared" si="160"/>
        <v>15.7</v>
      </c>
      <c r="Y779" s="3" t="e">
        <f t="shared" si="161"/>
        <v>#DIV/0!</v>
      </c>
      <c r="Z779" s="413" t="s">
        <v>1801</v>
      </c>
      <c r="AA779" s="161">
        <v>0</v>
      </c>
      <c r="AB779" s="409">
        <v>0</v>
      </c>
      <c r="AC779" s="259">
        <f t="shared" si="163"/>
        <v>0</v>
      </c>
      <c r="AD779" s="16" t="s">
        <v>2406</v>
      </c>
      <c r="AG779" s="33">
        <f t="shared" si="162"/>
        <v>0</v>
      </c>
      <c r="AH779" s="43" t="s">
        <v>2491</v>
      </c>
      <c r="AI779" s="63">
        <f t="shared" si="157"/>
        <v>2.5547445255474453E-3</v>
      </c>
      <c r="AJ779" s="307">
        <f>RTD("money.excel",,$G779,"PredictVolume")</f>
        <v>175</v>
      </c>
      <c r="AK779" s="339"/>
    </row>
    <row r="780" spans="1:37">
      <c r="A780" s="416">
        <v>7.9</v>
      </c>
      <c r="B780" s="91">
        <v>-22</v>
      </c>
      <c r="C780" s="91">
        <v>-36</v>
      </c>
      <c r="D780" s="91">
        <v>5</v>
      </c>
      <c r="E780" s="91">
        <v>-6</v>
      </c>
      <c r="F780" s="6">
        <v>8.9499999999999993</v>
      </c>
      <c r="G780" s="79">
        <v>6161</v>
      </c>
      <c r="H780" s="149" t="s">
        <v>1152</v>
      </c>
      <c r="I780" s="16" t="s">
        <v>2407</v>
      </c>
      <c r="J780" s="73">
        <v>45.95</v>
      </c>
      <c r="K780" s="73">
        <v>0.53</v>
      </c>
      <c r="L780" s="73">
        <v>20.38</v>
      </c>
      <c r="N780" s="318">
        <f t="shared" si="158"/>
        <v>66.86</v>
      </c>
      <c r="O780" s="81">
        <f>IFERROR(VLOOKUP($G780,'321買'!A:E,3,0),"'沒有資料'")</f>
        <v>18</v>
      </c>
      <c r="P780" s="380">
        <f>IFERROR(VLOOKUP($G780,'321買'!$A:$G,7,0),"'沒有資料'")</f>
        <v>265</v>
      </c>
      <c r="R780" s="297">
        <f>IFERROR(RANK(VLOOKUP($G780,連買!$A:$D,4,0),連買!$D:$D,0),"'沒有資料'")</f>
        <v>619</v>
      </c>
      <c r="S780" s="34">
        <v>1.6</v>
      </c>
      <c r="T780" s="353">
        <f t="shared" si="159"/>
        <v>4.5714285714285714E-2</v>
      </c>
      <c r="U780" s="95">
        <v>1.56</v>
      </c>
      <c r="V780" s="36">
        <f>RTD("money.excel",,"6161","Price")</f>
        <v>35</v>
      </c>
      <c r="W780" s="66"/>
      <c r="X780" s="15">
        <f t="shared" si="160"/>
        <v>35</v>
      </c>
      <c r="Y780" s="3" t="e">
        <f t="shared" si="161"/>
        <v>#DIV/0!</v>
      </c>
      <c r="AA780" s="161">
        <v>0</v>
      </c>
      <c r="AB780" s="409">
        <v>0</v>
      </c>
      <c r="AC780" s="259">
        <f t="shared" si="163"/>
        <v>0</v>
      </c>
      <c r="AD780" s="16" t="s">
        <v>2407</v>
      </c>
      <c r="AG780" s="33">
        <f t="shared" si="162"/>
        <v>0</v>
      </c>
      <c r="AH780" s="43" t="s">
        <v>2629</v>
      </c>
      <c r="AI780" s="63">
        <f t="shared" si="157"/>
        <v>5.6329113924050633E-3</v>
      </c>
      <c r="AJ780" s="307">
        <f>RTD("money.excel",,$G780,"PredictVolume")</f>
        <v>445</v>
      </c>
      <c r="AK780" s="339"/>
    </row>
    <row r="781" spans="1:37">
      <c r="A781" s="416">
        <v>21.7</v>
      </c>
      <c r="B781" s="80">
        <v>-47</v>
      </c>
      <c r="C781" s="80">
        <v>-32</v>
      </c>
      <c r="D781" s="79">
        <v>13</v>
      </c>
      <c r="E781" s="79">
        <v>12</v>
      </c>
      <c r="F781" s="6">
        <v>4.5</v>
      </c>
      <c r="G781" s="79">
        <v>6166</v>
      </c>
      <c r="H781" s="46" t="s">
        <v>1152</v>
      </c>
      <c r="I781" s="22" t="s">
        <v>62</v>
      </c>
      <c r="J781" s="73">
        <v>76.459999999999994</v>
      </c>
      <c r="K781" s="323">
        <v>12.81</v>
      </c>
      <c r="L781" s="323">
        <v>8.65</v>
      </c>
      <c r="N781" s="318">
        <f t="shared" si="158"/>
        <v>97.92</v>
      </c>
      <c r="O781" s="81">
        <f>IFERROR(VLOOKUP($G781,'321買'!A:E,3,0),"'沒有資料'")</f>
        <v>0</v>
      </c>
      <c r="P781" s="380">
        <f>IFERROR(VLOOKUP($G781,'321買'!$A:$G,7,0),"'沒有資料'")</f>
        <v>911</v>
      </c>
      <c r="R781" s="297">
        <f>IFERROR(RANK(VLOOKUP($G781,連買!$A:$D,4,0),連買!$D:$D,0),"'沒有資料'")</f>
        <v>457</v>
      </c>
      <c r="S781" s="34">
        <v>1</v>
      </c>
      <c r="T781" s="353">
        <f t="shared" si="159"/>
        <v>1.7301038062283738E-2</v>
      </c>
      <c r="U781" s="95">
        <v>1.1200000000000001</v>
      </c>
      <c r="V781" s="36">
        <f>RTD("money.excel",,"6166","Price")</f>
        <v>57.8</v>
      </c>
      <c r="W781" s="66"/>
      <c r="X781" s="15">
        <f t="shared" si="160"/>
        <v>57.8</v>
      </c>
      <c r="Y781" s="3" t="e">
        <f t="shared" si="161"/>
        <v>#DIV/0!</v>
      </c>
      <c r="Z781" s="413" t="s">
        <v>1801</v>
      </c>
      <c r="AA781" s="161">
        <v>0</v>
      </c>
      <c r="AB781" s="409">
        <v>0</v>
      </c>
      <c r="AC781" s="259">
        <f t="shared" si="163"/>
        <v>0</v>
      </c>
      <c r="AD781" s="22" t="s">
        <v>62</v>
      </c>
      <c r="AG781" s="33">
        <f t="shared" si="162"/>
        <v>0</v>
      </c>
      <c r="AH781" s="120" t="s">
        <v>2408</v>
      </c>
      <c r="AI781" s="63">
        <f t="shared" si="157"/>
        <v>1.3824884792626728E-4</v>
      </c>
      <c r="AJ781" s="307">
        <f>RTD("money.excel",,$G781,"PredictVolume")</f>
        <v>30</v>
      </c>
      <c r="AK781" s="339"/>
    </row>
    <row r="782" spans="1:37">
      <c r="A782" s="415">
        <v>27.8</v>
      </c>
      <c r="B782" s="80">
        <v>-116</v>
      </c>
      <c r="C782" s="79">
        <v>98</v>
      </c>
      <c r="D782" s="80">
        <v>-8</v>
      </c>
      <c r="E782" s="79">
        <v>10</v>
      </c>
      <c r="F782" s="57">
        <v>10.44</v>
      </c>
      <c r="G782" s="79">
        <v>6188</v>
      </c>
      <c r="H782" s="149" t="s">
        <v>1152</v>
      </c>
      <c r="I782" s="16" t="s">
        <v>4418</v>
      </c>
      <c r="J782" s="323">
        <v>39.86</v>
      </c>
      <c r="K782" s="73">
        <v>7.23</v>
      </c>
      <c r="L782" s="323">
        <v>12.46</v>
      </c>
      <c r="N782" s="318">
        <f t="shared" si="158"/>
        <v>59.550000000000004</v>
      </c>
      <c r="O782" s="81">
        <f>IFERROR(VLOOKUP($G782,'321買'!A:E,3,0),"'沒有資料'")</f>
        <v>8</v>
      </c>
      <c r="P782" s="380">
        <f>IFERROR(VLOOKUP($G782,'321買'!$A:$G,7,0),"'沒有資料'")</f>
        <v>448</v>
      </c>
      <c r="R782" s="297">
        <f>IFERROR(RANK(VLOOKUP($G782,連買!$A:$D,4,0),連買!$D:$D,0),"'沒有資料'")</f>
        <v>522</v>
      </c>
      <c r="S782" s="34">
        <v>1</v>
      </c>
      <c r="T782" s="353">
        <f t="shared" si="159"/>
        <v>2.4271844660194174E-2</v>
      </c>
      <c r="U782" s="95">
        <v>0.41</v>
      </c>
      <c r="V782" s="36">
        <f>RTD("money.excel",,"6188","Price")</f>
        <v>41.2</v>
      </c>
      <c r="W782" s="66"/>
      <c r="X782" s="15">
        <f t="shared" si="160"/>
        <v>41.2</v>
      </c>
      <c r="Y782" s="3" t="e">
        <f t="shared" si="161"/>
        <v>#DIV/0!</v>
      </c>
      <c r="Z782" s="413" t="s">
        <v>1801</v>
      </c>
      <c r="AA782" s="161">
        <v>0</v>
      </c>
      <c r="AB782" s="409">
        <v>0</v>
      </c>
      <c r="AC782" s="259">
        <f t="shared" si="163"/>
        <v>0</v>
      </c>
      <c r="AD782" s="16" t="s">
        <v>4418</v>
      </c>
      <c r="AG782" s="33">
        <f t="shared" si="162"/>
        <v>0</v>
      </c>
      <c r="AH782" s="120" t="s">
        <v>4419</v>
      </c>
      <c r="AI782" s="63">
        <f t="shared" si="157"/>
        <v>2.5395683453237408E-3</v>
      </c>
      <c r="AJ782" s="307">
        <f>RTD("money.excel",,$G782,"PredictVolume")</f>
        <v>706</v>
      </c>
      <c r="AK782" s="339"/>
    </row>
    <row r="783" spans="1:37">
      <c r="A783" s="415">
        <v>14.3</v>
      </c>
      <c r="B783" s="80">
        <v>-26</v>
      </c>
      <c r="C783" s="80">
        <v>-22</v>
      </c>
      <c r="D783" s="79">
        <v>8</v>
      </c>
      <c r="E783" s="80">
        <v>-28</v>
      </c>
      <c r="F783" s="57">
        <v>17.260000000000002</v>
      </c>
      <c r="G783" s="79">
        <v>6206</v>
      </c>
      <c r="H783" s="46" t="s">
        <v>1152</v>
      </c>
      <c r="I783" s="22" t="s">
        <v>4420</v>
      </c>
      <c r="J783" s="323">
        <v>58.1</v>
      </c>
      <c r="K783" s="323">
        <v>16.97</v>
      </c>
      <c r="L783" s="73">
        <v>1.56</v>
      </c>
      <c r="N783" s="318">
        <f t="shared" si="158"/>
        <v>76.63</v>
      </c>
      <c r="O783" s="81">
        <f>IFERROR(VLOOKUP($G783,'321買'!A:E,3,0),"'沒有資料'")</f>
        <v>1</v>
      </c>
      <c r="P783" s="380">
        <f>IFERROR(VLOOKUP($G783,'321買'!$A:$G,7,0),"'沒有資料'")</f>
        <v>783</v>
      </c>
      <c r="R783" s="297">
        <f>IFERROR(RANK(VLOOKUP($G783,連買!$A:$D,4,0),連買!$D:$D,0),"'沒有資料'")</f>
        <v>262</v>
      </c>
      <c r="S783" s="66">
        <v>4</v>
      </c>
      <c r="T783" s="353">
        <f t="shared" si="159"/>
        <v>5.0568900126422255E-2</v>
      </c>
      <c r="U783" s="95">
        <v>4.12</v>
      </c>
      <c r="V783" s="36">
        <f>RTD("money.excel",,"6206","Price")</f>
        <v>79.099999999999994</v>
      </c>
      <c r="W783" s="66"/>
      <c r="X783" s="15">
        <f t="shared" si="160"/>
        <v>79.099999999999994</v>
      </c>
      <c r="Y783" s="3" t="e">
        <f t="shared" si="161"/>
        <v>#DIV/0!</v>
      </c>
      <c r="Z783" s="413" t="s">
        <v>1997</v>
      </c>
      <c r="AA783" s="161">
        <v>0</v>
      </c>
      <c r="AB783" s="409">
        <v>0</v>
      </c>
      <c r="AC783" s="259">
        <f t="shared" si="163"/>
        <v>0</v>
      </c>
      <c r="AD783" s="22" t="s">
        <v>4420</v>
      </c>
      <c r="AG783" s="33">
        <f t="shared" si="162"/>
        <v>0</v>
      </c>
      <c r="AH783" s="43" t="s">
        <v>4421</v>
      </c>
      <c r="AI783" s="63">
        <f t="shared" si="157"/>
        <v>5.2727272727272727E-3</v>
      </c>
      <c r="AJ783" s="307">
        <f>RTD("money.excel",,$G783,"PredictVolume")</f>
        <v>754</v>
      </c>
      <c r="AK783" s="339"/>
    </row>
    <row r="784" spans="1:37">
      <c r="A784" s="416">
        <v>3.7</v>
      </c>
      <c r="B784" s="91">
        <v>-7</v>
      </c>
      <c r="C784" s="91">
        <v>-4</v>
      </c>
      <c r="D784" s="91">
        <v>-76</v>
      </c>
      <c r="E784" s="91">
        <v>113</v>
      </c>
      <c r="F784" s="6">
        <v>-32.32</v>
      </c>
      <c r="G784" s="79">
        <v>6228</v>
      </c>
      <c r="H784" s="149" t="s">
        <v>1152</v>
      </c>
      <c r="I784" s="16" t="s">
        <v>4422</v>
      </c>
      <c r="J784" s="73">
        <v>60.67</v>
      </c>
      <c r="K784" s="73">
        <v>0</v>
      </c>
      <c r="N784" s="318">
        <f t="shared" si="158"/>
        <v>60.67</v>
      </c>
      <c r="O784" s="81">
        <f>IFERROR(VLOOKUP($G784,'321買'!A:E,3,0),"'沒有資料'")</f>
        <v>0</v>
      </c>
      <c r="P784" s="380">
        <f>IFERROR(VLOOKUP($G784,'321買'!$A:$G,7,0),"'沒有資料'")</f>
        <v>911</v>
      </c>
      <c r="R784" s="297">
        <f>IFERROR(RANK(VLOOKUP($G784,連買!$A:$D,4,0),連買!$D:$D,0),"'沒有資料'")</f>
        <v>1242</v>
      </c>
      <c r="S784" s="34">
        <v>0</v>
      </c>
      <c r="T784" s="353">
        <f t="shared" si="159"/>
        <v>0</v>
      </c>
      <c r="U784" s="95">
        <v>-0.88</v>
      </c>
      <c r="V784" s="13">
        <f>RTD("money.excel",,"6228","Price")</f>
        <v>20.399999999999999</v>
      </c>
      <c r="W784" s="66"/>
      <c r="X784" s="15">
        <f t="shared" si="160"/>
        <v>20.399999999999999</v>
      </c>
      <c r="Y784" s="3" t="e">
        <f t="shared" si="161"/>
        <v>#DIV/0!</v>
      </c>
      <c r="AA784" s="161">
        <v>0</v>
      </c>
      <c r="AB784" s="409">
        <v>0</v>
      </c>
      <c r="AC784" s="259">
        <f t="shared" si="163"/>
        <v>0</v>
      </c>
      <c r="AD784" s="16" t="s">
        <v>4422</v>
      </c>
      <c r="AG784" s="33">
        <f t="shared" si="162"/>
        <v>0</v>
      </c>
      <c r="AH784" s="43" t="s">
        <v>4423</v>
      </c>
      <c r="AI784" s="63">
        <f t="shared" si="157"/>
        <v>5.7027027027027029E-3</v>
      </c>
      <c r="AJ784" s="307">
        <f>RTD("money.excel",,$G784,"PredictVolume")</f>
        <v>211</v>
      </c>
      <c r="AK784" s="339"/>
    </row>
    <row r="785" spans="1:37">
      <c r="A785" s="415">
        <v>8.6300000000000008</v>
      </c>
      <c r="B785" s="79">
        <v>11</v>
      </c>
      <c r="C785" s="79">
        <v>11</v>
      </c>
      <c r="D785" s="79">
        <v>41</v>
      </c>
      <c r="E785" s="79">
        <v>43</v>
      </c>
      <c r="F785" s="57">
        <v>11.87</v>
      </c>
      <c r="G785" s="79">
        <v>6230</v>
      </c>
      <c r="H785" s="46" t="s">
        <v>1152</v>
      </c>
      <c r="I785" s="22" t="s">
        <v>4424</v>
      </c>
      <c r="J785" s="73">
        <v>82.24</v>
      </c>
      <c r="K785" s="73">
        <v>85.71</v>
      </c>
      <c r="L785" s="323">
        <v>4.99</v>
      </c>
      <c r="N785" s="318">
        <f t="shared" si="158"/>
        <v>172.94</v>
      </c>
      <c r="O785" s="81">
        <f>IFERROR(VLOOKUP($G785,'321買'!A:E,3,0),"'沒有資料'")</f>
        <v>2</v>
      </c>
      <c r="P785" s="380">
        <f>IFERROR(VLOOKUP($G785,'321買'!$A:$G,7,0),"'沒有資料'")</f>
        <v>706</v>
      </c>
      <c r="R785" s="297">
        <f>IFERROR(RANK(VLOOKUP($G785,連買!$A:$D,4,0),連買!$D:$D,0),"'沒有資料'")</f>
        <v>1748</v>
      </c>
      <c r="S785" s="34">
        <v>1.36</v>
      </c>
      <c r="T785" s="353">
        <f t="shared" si="159"/>
        <v>1.3977389516957863E-2</v>
      </c>
      <c r="U785" s="57">
        <v>9.06</v>
      </c>
      <c r="V785" s="13">
        <f>RTD("money.excel",,"6230","Price")</f>
        <v>97.3</v>
      </c>
      <c r="W785" s="66"/>
      <c r="X785" s="15">
        <f t="shared" si="160"/>
        <v>97.3</v>
      </c>
      <c r="Y785" s="3" t="e">
        <f t="shared" si="161"/>
        <v>#DIV/0!</v>
      </c>
      <c r="Z785" s="413" t="s">
        <v>1801</v>
      </c>
      <c r="AA785" s="161">
        <v>0</v>
      </c>
      <c r="AB785" s="409">
        <v>0</v>
      </c>
      <c r="AC785" s="259">
        <f t="shared" si="163"/>
        <v>0</v>
      </c>
      <c r="AD785" s="22" t="s">
        <v>4424</v>
      </c>
      <c r="AG785" s="33">
        <f t="shared" si="162"/>
        <v>0</v>
      </c>
      <c r="AH785" s="122" t="s">
        <v>4425</v>
      </c>
      <c r="AI785" s="63">
        <f t="shared" si="157"/>
        <v>9.0382387022016209E-4</v>
      </c>
      <c r="AJ785" s="307">
        <f>RTD("money.excel",,$G785,"PredictVolume")</f>
        <v>78</v>
      </c>
      <c r="AK785" s="339"/>
    </row>
    <row r="786" spans="1:37">
      <c r="A786" s="416">
        <v>17.2</v>
      </c>
      <c r="B786" s="80">
        <v>-86</v>
      </c>
      <c r="C786" s="79">
        <v>197</v>
      </c>
      <c r="D786" s="79">
        <v>10</v>
      </c>
      <c r="E786" s="79">
        <v>34</v>
      </c>
      <c r="F786" s="6">
        <v>3.55</v>
      </c>
      <c r="G786" s="79">
        <v>6235</v>
      </c>
      <c r="H786" s="46" t="s">
        <v>1152</v>
      </c>
      <c r="I786" s="22" t="s">
        <v>4426</v>
      </c>
      <c r="J786" s="323">
        <v>40.54</v>
      </c>
      <c r="K786" s="73">
        <v>4.34</v>
      </c>
      <c r="L786" s="73">
        <v>37.909999999999997</v>
      </c>
      <c r="M786" s="73">
        <v>24.47</v>
      </c>
      <c r="N786" s="318">
        <f t="shared" si="158"/>
        <v>107.25999999999999</v>
      </c>
      <c r="O786" s="81">
        <f>IFERROR(VLOOKUP($G786,'321買'!A:E,3,0),"'沒有資料'")</f>
        <v>29</v>
      </c>
      <c r="P786" s="380">
        <f>IFERROR(VLOOKUP($G786,'321買'!$A:$G,7,0),"'沒有資料'")</f>
        <v>130</v>
      </c>
      <c r="Q786" s="245" t="s">
        <v>3816</v>
      </c>
      <c r="R786" s="297">
        <f>IFERROR(RANK(VLOOKUP($G786,連買!$A:$D,4,0),連買!$D:$D,0),"'沒有資料'")</f>
        <v>688</v>
      </c>
      <c r="S786" s="34">
        <v>0.6</v>
      </c>
      <c r="T786" s="353">
        <f t="shared" si="159"/>
        <v>1.4234875444839857E-2</v>
      </c>
      <c r="U786" s="95">
        <v>0.88</v>
      </c>
      <c r="V786" s="36">
        <f>RTD("money.excel",,"6235","Price")</f>
        <v>42.15</v>
      </c>
      <c r="W786" s="66"/>
      <c r="X786" s="15">
        <f t="shared" si="160"/>
        <v>42.15</v>
      </c>
      <c r="Y786" s="3" t="e">
        <f t="shared" si="161"/>
        <v>#DIV/0!</v>
      </c>
      <c r="Z786" s="413" t="s">
        <v>1801</v>
      </c>
      <c r="AA786" s="161">
        <v>0</v>
      </c>
      <c r="AB786" s="409">
        <v>0</v>
      </c>
      <c r="AC786" s="259">
        <f t="shared" si="163"/>
        <v>0</v>
      </c>
      <c r="AD786" s="22" t="s">
        <v>4426</v>
      </c>
      <c r="AG786" s="33">
        <f t="shared" si="162"/>
        <v>0</v>
      </c>
      <c r="AH786" s="60" t="s">
        <v>4427</v>
      </c>
      <c r="AI786" s="63">
        <f t="shared" si="157"/>
        <v>0.27077325581395351</v>
      </c>
      <c r="AJ786" s="307">
        <f>RTD("money.excel",,$G786,"PredictVolume")</f>
        <v>46573</v>
      </c>
      <c r="AK786" s="339"/>
    </row>
    <row r="787" spans="1:37">
      <c r="A787" s="416">
        <v>3.28</v>
      </c>
      <c r="B787" s="79">
        <v>30</v>
      </c>
      <c r="C787" s="79">
        <v>13</v>
      </c>
      <c r="D787" s="80">
        <v>-1</v>
      </c>
      <c r="E787" s="80">
        <v>-20</v>
      </c>
      <c r="F787" s="6">
        <v>6.53</v>
      </c>
      <c r="G787" s="79">
        <v>6276</v>
      </c>
      <c r="H787" s="149" t="s">
        <v>1152</v>
      </c>
      <c r="I787" s="16" t="s">
        <v>4428</v>
      </c>
      <c r="J787" s="73">
        <v>47.74</v>
      </c>
      <c r="K787" s="323">
        <v>3.45</v>
      </c>
      <c r="L787" s="73">
        <v>14</v>
      </c>
      <c r="N787" s="318">
        <f t="shared" si="158"/>
        <v>65.19</v>
      </c>
      <c r="O787" s="81">
        <f>IFERROR(VLOOKUP($G787,'321買'!A:E,3,0),"'沒有資料'")</f>
        <v>0</v>
      </c>
      <c r="P787" s="380">
        <f>IFERROR(VLOOKUP($G787,'321買'!$A:$G,7,0),"'沒有資料'")</f>
        <v>911</v>
      </c>
      <c r="R787" s="297">
        <f>IFERROR(RANK(VLOOKUP($G787,連買!$A:$D,4,0),連買!$D:$D,0),"'沒有資料'")</f>
        <v>1709</v>
      </c>
      <c r="S787" s="66">
        <v>3</v>
      </c>
      <c r="T787" s="353">
        <f t="shared" si="159"/>
        <v>0.16304347826086957</v>
      </c>
      <c r="U787" s="95">
        <v>3.88</v>
      </c>
      <c r="V787" s="36">
        <f>RTD("money.excel",,"6276","Price")</f>
        <v>18.399999999999999</v>
      </c>
      <c r="W787" s="66"/>
      <c r="X787" s="15">
        <f t="shared" si="160"/>
        <v>18.399999999999999</v>
      </c>
      <c r="Y787" s="3" t="e">
        <f t="shared" si="161"/>
        <v>#DIV/0!</v>
      </c>
      <c r="Z787" s="413" t="s">
        <v>1831</v>
      </c>
      <c r="AA787" s="161">
        <v>0</v>
      </c>
      <c r="AB787" s="409">
        <v>0</v>
      </c>
      <c r="AC787" s="259">
        <f t="shared" si="163"/>
        <v>0</v>
      </c>
      <c r="AD787" s="16" t="s">
        <v>4428</v>
      </c>
      <c r="AG787" s="33">
        <f t="shared" si="162"/>
        <v>0</v>
      </c>
      <c r="AH787" s="43" t="s">
        <v>2556</v>
      </c>
      <c r="AI787" s="63">
        <f t="shared" si="157"/>
        <v>2.5609756097560977E-3</v>
      </c>
      <c r="AJ787" s="307">
        <f>RTD("money.excel",,$G787,"PredictVolume")</f>
        <v>84</v>
      </c>
      <c r="AK787" s="339"/>
    </row>
    <row r="788" spans="1:37">
      <c r="A788" s="415">
        <v>11.9</v>
      </c>
      <c r="B788" s="79">
        <v>158</v>
      </c>
      <c r="C788" s="80">
        <v>-11</v>
      </c>
      <c r="D788" s="79">
        <v>3</v>
      </c>
      <c r="E788" s="80">
        <v>-13</v>
      </c>
      <c r="F788" s="57">
        <v>11.41</v>
      </c>
      <c r="G788" s="79">
        <v>6277</v>
      </c>
      <c r="H788" s="46" t="s">
        <v>1152</v>
      </c>
      <c r="I788" s="22" t="s">
        <v>4429</v>
      </c>
      <c r="J788" s="73">
        <v>59.53</v>
      </c>
      <c r="K788" s="323">
        <v>18.059999999999999</v>
      </c>
      <c r="L788" s="323">
        <v>2.1800000000000002</v>
      </c>
      <c r="N788" s="318">
        <f t="shared" si="158"/>
        <v>79.77000000000001</v>
      </c>
      <c r="O788" s="81">
        <f>IFERROR(VLOOKUP($G788,'321買'!A:E,3,0),"'沒有資料'")</f>
        <v>0</v>
      </c>
      <c r="P788" s="380">
        <f>IFERROR(VLOOKUP($G788,'321買'!$A:$G,7,0),"'沒有資料'")</f>
        <v>911</v>
      </c>
      <c r="R788" s="297">
        <f>IFERROR(RANK(VLOOKUP($G788,連買!$A:$D,4,0),連買!$D:$D,0),"'沒有資料'")</f>
        <v>949</v>
      </c>
      <c r="S788" s="34">
        <v>2.5</v>
      </c>
      <c r="T788" s="353">
        <f t="shared" si="159"/>
        <v>3.0599755201958383E-2</v>
      </c>
      <c r="U788" s="95">
        <v>12.55</v>
      </c>
      <c r="V788" s="36">
        <f>RTD("money.excel",,"6277","Price")</f>
        <v>81.7</v>
      </c>
      <c r="W788" s="66"/>
      <c r="X788" s="15">
        <f t="shared" si="160"/>
        <v>81.7</v>
      </c>
      <c r="Y788" s="3" t="e">
        <f t="shared" si="161"/>
        <v>#DIV/0!</v>
      </c>
      <c r="Z788" s="413" t="s">
        <v>1801</v>
      </c>
      <c r="AA788" s="161">
        <v>0</v>
      </c>
      <c r="AB788" s="409">
        <v>0</v>
      </c>
      <c r="AC788" s="259">
        <f t="shared" si="163"/>
        <v>0</v>
      </c>
      <c r="AD788" s="22" t="s">
        <v>4429</v>
      </c>
      <c r="AG788" s="33">
        <f t="shared" si="162"/>
        <v>0</v>
      </c>
      <c r="AH788" s="120" t="s">
        <v>4430</v>
      </c>
      <c r="AI788" s="63">
        <f t="shared" si="157"/>
        <v>4.7058823529411766E-4</v>
      </c>
      <c r="AJ788" s="307">
        <f>RTD("money.excel",,$G788,"PredictVolume")</f>
        <v>56</v>
      </c>
      <c r="AK788" s="339"/>
    </row>
    <row r="789" spans="1:37">
      <c r="A789" s="416">
        <v>10.6</v>
      </c>
      <c r="B789" s="79">
        <v>6</v>
      </c>
      <c r="C789" s="80">
        <v>-13</v>
      </c>
      <c r="D789" s="80">
        <v>-14</v>
      </c>
      <c r="E789" s="79">
        <v>15</v>
      </c>
      <c r="F789" s="6">
        <v>3.31</v>
      </c>
      <c r="G789" s="79">
        <v>6414</v>
      </c>
      <c r="H789" s="204" t="s">
        <v>1152</v>
      </c>
      <c r="I789" s="22" t="s">
        <v>213</v>
      </c>
      <c r="J789" s="323">
        <v>42.99</v>
      </c>
      <c r="K789" s="73">
        <v>10.74</v>
      </c>
      <c r="L789" s="323">
        <v>16.05</v>
      </c>
      <c r="M789" s="323">
        <v>32.32</v>
      </c>
      <c r="N789" s="318">
        <f t="shared" si="158"/>
        <v>102.1</v>
      </c>
      <c r="O789" s="81">
        <f>IFERROR(VLOOKUP($G789,'321買'!A:E,3,0),"'沒有資料'")</f>
        <v>15</v>
      </c>
      <c r="P789" s="380">
        <f>IFERROR(VLOOKUP($G789,'321買'!$A:$G,7,0),"'沒有資料'")</f>
        <v>321</v>
      </c>
      <c r="Q789" s="388" t="s">
        <v>3816</v>
      </c>
      <c r="R789" s="297">
        <f>IFERROR(RANK(VLOOKUP($G789,連買!$A:$D,4,0),連買!$D:$D,0),"'沒有資料'")</f>
        <v>273</v>
      </c>
      <c r="S789" s="45">
        <v>7</v>
      </c>
      <c r="T789" s="353">
        <f t="shared" si="159"/>
        <v>3.4567901234567898E-2</v>
      </c>
      <c r="U789" s="95">
        <v>13.92</v>
      </c>
      <c r="V789" s="36">
        <f>RTD("money.excel",,"6414","Price")</f>
        <v>202.5</v>
      </c>
      <c r="W789" s="66"/>
      <c r="X789" s="15">
        <f t="shared" si="160"/>
        <v>202.5</v>
      </c>
      <c r="Y789" s="3" t="e">
        <f t="shared" si="161"/>
        <v>#DIV/0!</v>
      </c>
      <c r="Z789" s="413" t="s">
        <v>6638</v>
      </c>
      <c r="AA789" s="161">
        <v>0</v>
      </c>
      <c r="AB789" s="409">
        <v>0</v>
      </c>
      <c r="AC789" s="259">
        <f t="shared" si="163"/>
        <v>0</v>
      </c>
      <c r="AD789" s="22" t="s">
        <v>213</v>
      </c>
      <c r="AG789" s="33">
        <f t="shared" si="162"/>
        <v>0</v>
      </c>
      <c r="AH789" s="120" t="s">
        <v>1518</v>
      </c>
      <c r="AI789" s="63">
        <f t="shared" si="157"/>
        <v>5.8396226415094342E-3</v>
      </c>
      <c r="AJ789" s="307">
        <f>RTD("money.excel",,$G789,"PredictVolume")</f>
        <v>619</v>
      </c>
      <c r="AK789" s="339">
        <v>16.79</v>
      </c>
    </row>
    <row r="790" spans="1:37">
      <c r="A790" s="416">
        <v>4.2699999999999996</v>
      </c>
      <c r="B790" s="80">
        <v>-764</v>
      </c>
      <c r="C790" s="80">
        <v>-597</v>
      </c>
      <c r="D790" s="80">
        <v>-53</v>
      </c>
      <c r="E790" s="80">
        <v>-51</v>
      </c>
      <c r="F790" s="6">
        <v>-11.68</v>
      </c>
      <c r="G790" s="79">
        <v>6441</v>
      </c>
      <c r="H790" s="149" t="s">
        <v>1152</v>
      </c>
      <c r="I790" s="16" t="s">
        <v>4431</v>
      </c>
      <c r="J790" s="73">
        <v>38.880000000000003</v>
      </c>
      <c r="K790" s="323">
        <v>1.0900000000000001</v>
      </c>
      <c r="L790" s="73">
        <v>27.88</v>
      </c>
      <c r="M790" s="73">
        <v>40.83</v>
      </c>
      <c r="N790" s="318">
        <f t="shared" si="158"/>
        <v>108.68</v>
      </c>
      <c r="O790" s="81">
        <f>IFERROR(VLOOKUP($G790,'321買'!A:E,3,0),"'沒有資料'")</f>
        <v>13</v>
      </c>
      <c r="P790" s="380">
        <f>IFERROR(VLOOKUP($G790,'321買'!$A:$G,7,0),"'沒有資料'")</f>
        <v>348</v>
      </c>
      <c r="Q790" s="245" t="s">
        <v>3817</v>
      </c>
      <c r="R790" s="297">
        <f>IFERROR(RANK(VLOOKUP($G790,連買!$A:$D,4,0),連買!$D:$D,0),"'沒有資料'")</f>
        <v>239</v>
      </c>
      <c r="S790" s="34">
        <v>1</v>
      </c>
      <c r="T790" s="353">
        <f t="shared" si="159"/>
        <v>2.0470829068577275E-2</v>
      </c>
      <c r="U790" s="95">
        <v>-4.5</v>
      </c>
      <c r="V790" s="36">
        <f>RTD("money.excel",,"6441","Price")</f>
        <v>48.85</v>
      </c>
      <c r="W790" s="66"/>
      <c r="X790" s="15">
        <f t="shared" si="160"/>
        <v>48.85</v>
      </c>
      <c r="Y790" s="3" t="e">
        <f t="shared" si="161"/>
        <v>#DIV/0!</v>
      </c>
      <c r="Z790" s="413" t="s">
        <v>1801</v>
      </c>
      <c r="AA790" s="161">
        <v>0</v>
      </c>
      <c r="AB790" s="409">
        <v>0</v>
      </c>
      <c r="AC790" s="259">
        <f t="shared" si="163"/>
        <v>0</v>
      </c>
      <c r="AD790" s="16" t="s">
        <v>4431</v>
      </c>
      <c r="AG790" s="33">
        <f t="shared" si="162"/>
        <v>0</v>
      </c>
      <c r="AH790" s="43" t="s">
        <v>4432</v>
      </c>
      <c r="AI790" s="63">
        <f t="shared" si="157"/>
        <v>1.4824355971896958E-2</v>
      </c>
      <c r="AJ790" s="307">
        <f>RTD("money.excel",,$G790,"PredictVolume")</f>
        <v>633</v>
      </c>
      <c r="AK790" s="339"/>
    </row>
    <row r="791" spans="1:37">
      <c r="A791" s="416">
        <v>3.01</v>
      </c>
      <c r="B791" s="91">
        <v>-45</v>
      </c>
      <c r="C791" s="91">
        <v>-54</v>
      </c>
      <c r="D791" s="91">
        <v>-16</v>
      </c>
      <c r="E791" s="91">
        <v>5</v>
      </c>
      <c r="F791" s="6">
        <v>7.58</v>
      </c>
      <c r="G791" s="79">
        <v>6570</v>
      </c>
      <c r="H791" s="149" t="s">
        <v>1152</v>
      </c>
      <c r="I791" s="16" t="s">
        <v>4433</v>
      </c>
      <c r="J791" s="73">
        <v>56.91</v>
      </c>
      <c r="K791" s="73">
        <v>0</v>
      </c>
      <c r="N791" s="318">
        <f t="shared" si="158"/>
        <v>56.91</v>
      </c>
      <c r="O791" s="81">
        <f>IFERROR(VLOOKUP($G791,'321買'!A:E,3,0),"'沒有資料'")</f>
        <v>0</v>
      </c>
      <c r="P791" s="380">
        <f>IFERROR(VLOOKUP($G791,'321買'!$A:$G,7,0),"'沒有資料'")</f>
        <v>911</v>
      </c>
      <c r="R791" s="297">
        <f>IFERROR(RANK(VLOOKUP($G791,連買!$A:$D,4,0),連買!$D:$D,0),"'沒有資料'")</f>
        <v>1003</v>
      </c>
      <c r="S791" s="34">
        <v>1</v>
      </c>
      <c r="T791" s="353">
        <f t="shared" si="159"/>
        <v>2.3809523809523808E-2</v>
      </c>
      <c r="U791" s="95">
        <v>1.17</v>
      </c>
      <c r="V791" s="13">
        <f>RTD("money.excel",,"6570","Price")</f>
        <v>42</v>
      </c>
      <c r="W791" s="66"/>
      <c r="X791" s="15">
        <f t="shared" si="160"/>
        <v>42</v>
      </c>
      <c r="Y791" s="3" t="e">
        <f t="shared" si="161"/>
        <v>#DIV/0!</v>
      </c>
      <c r="AA791" s="161">
        <v>0</v>
      </c>
      <c r="AB791" s="409">
        <v>0</v>
      </c>
      <c r="AC791" s="259">
        <f t="shared" si="163"/>
        <v>0</v>
      </c>
      <c r="AD791" s="16" t="s">
        <v>4433</v>
      </c>
      <c r="AG791" s="33">
        <f t="shared" si="162"/>
        <v>0</v>
      </c>
      <c r="AH791" s="43" t="s">
        <v>2408</v>
      </c>
      <c r="AI791" s="63">
        <f t="shared" si="157"/>
        <v>1.2956810631229237E-3</v>
      </c>
      <c r="AJ791" s="307">
        <f>RTD("money.excel",,$G791,"PredictVolume")</f>
        <v>39</v>
      </c>
      <c r="AK791" s="339"/>
    </row>
    <row r="792" spans="1:37">
      <c r="A792" s="415">
        <v>3.83</v>
      </c>
      <c r="B792" s="80">
        <v>-30</v>
      </c>
      <c r="C792" s="80">
        <v>-29</v>
      </c>
      <c r="D792" s="79">
        <v>41</v>
      </c>
      <c r="E792" s="79">
        <v>120</v>
      </c>
      <c r="F792" s="57">
        <v>13.31</v>
      </c>
      <c r="G792" s="79">
        <v>6577</v>
      </c>
      <c r="H792" s="149" t="s">
        <v>1152</v>
      </c>
      <c r="I792" s="16" t="s">
        <v>4434</v>
      </c>
      <c r="J792" s="73">
        <v>66.209999999999994</v>
      </c>
      <c r="K792" s="73">
        <v>1.35</v>
      </c>
      <c r="L792" s="73">
        <v>2.13</v>
      </c>
      <c r="M792" s="323">
        <v>69.09</v>
      </c>
      <c r="N792" s="73">
        <f t="shared" si="158"/>
        <v>138.77999999999997</v>
      </c>
      <c r="O792" s="81">
        <f>IFERROR(VLOOKUP($G792,'321買'!A:E,3,0),"'沒有資料'")</f>
        <v>0</v>
      </c>
      <c r="P792" s="380">
        <f>IFERROR(VLOOKUP($G792,'321買'!$A:$G,7,0),"'沒有資料'")</f>
        <v>911</v>
      </c>
      <c r="Q792" s="245" t="s">
        <v>3815</v>
      </c>
      <c r="R792" s="297">
        <f>IFERROR(RANK(VLOOKUP($G792,連買!$A:$D,4,0),連買!$D:$D,0),"'沒有資料'")</f>
        <v>269</v>
      </c>
      <c r="S792" s="66">
        <v>5</v>
      </c>
      <c r="T792" s="353" t="e">
        <f t="shared" si="159"/>
        <v>#VALUE!</v>
      </c>
      <c r="U792" s="95">
        <v>4</v>
      </c>
      <c r="V792" s="36" t="str">
        <f>RTD("money.excel",,"6577","Price")</f>
        <v>無資料</v>
      </c>
      <c r="W792" s="66"/>
      <c r="X792" s="15" t="e">
        <f t="shared" si="160"/>
        <v>#VALUE!</v>
      </c>
      <c r="Y792" s="3" t="e">
        <f t="shared" si="161"/>
        <v>#VALUE!</v>
      </c>
      <c r="Z792" s="413" t="s">
        <v>1831</v>
      </c>
      <c r="AA792" s="161">
        <v>0</v>
      </c>
      <c r="AB792" s="409">
        <v>0</v>
      </c>
      <c r="AC792" s="259">
        <f t="shared" si="163"/>
        <v>0</v>
      </c>
      <c r="AD792" s="16" t="s">
        <v>4434</v>
      </c>
      <c r="AG792" s="33">
        <f t="shared" si="162"/>
        <v>0</v>
      </c>
      <c r="AH792" s="43" t="s">
        <v>4435</v>
      </c>
      <c r="AI792" s="63">
        <f t="shared" si="157"/>
        <v>0</v>
      </c>
      <c r="AJ792" s="307">
        <f>RTD("money.excel",,$G792,"PredictVolume")</f>
        <v>0</v>
      </c>
      <c r="AK792" s="339"/>
    </row>
    <row r="793" spans="1:37">
      <c r="A793" s="416">
        <v>14.8</v>
      </c>
      <c r="B793" s="80">
        <v>-44</v>
      </c>
      <c r="C793" s="80">
        <v>-44</v>
      </c>
      <c r="D793" s="79">
        <v>38</v>
      </c>
      <c r="E793" s="80">
        <v>58</v>
      </c>
      <c r="F793" s="6">
        <v>6.03</v>
      </c>
      <c r="G793" s="79">
        <v>6579</v>
      </c>
      <c r="H793" s="46" t="s">
        <v>1152</v>
      </c>
      <c r="I793" s="22" t="s">
        <v>4436</v>
      </c>
      <c r="J793" s="323">
        <v>89.49</v>
      </c>
      <c r="K793" s="73">
        <v>3.16</v>
      </c>
      <c r="L793" s="73">
        <v>7.0000000000000007E-2</v>
      </c>
      <c r="M793" s="323">
        <v>75.47</v>
      </c>
      <c r="N793" s="73">
        <f t="shared" si="158"/>
        <v>168.19</v>
      </c>
      <c r="O793" s="81">
        <f>IFERROR(VLOOKUP($G793,'321買'!A:E,3,0),"'沒有資料'")</f>
        <v>0</v>
      </c>
      <c r="P793" s="380">
        <f>IFERROR(VLOOKUP($G793,'321買'!$A:$G,7,0),"'沒有資料'")</f>
        <v>911</v>
      </c>
      <c r="Q793" s="245" t="s">
        <v>3816</v>
      </c>
      <c r="R793" s="297">
        <f>IFERROR(RANK(VLOOKUP($G793,連買!$A:$D,4,0),連買!$D:$D,0),"'沒有資料'")</f>
        <v>191</v>
      </c>
      <c r="S793" s="66">
        <v>3</v>
      </c>
      <c r="T793" s="353">
        <f t="shared" si="159"/>
        <v>3.6855036855036855E-2</v>
      </c>
      <c r="U793" s="95">
        <v>2.48</v>
      </c>
      <c r="V793" s="36">
        <f>RTD("money.excel",,"6579","Price")</f>
        <v>81.400000000000006</v>
      </c>
      <c r="W793" s="66"/>
      <c r="X793" s="15">
        <f t="shared" si="160"/>
        <v>81.400000000000006</v>
      </c>
      <c r="Y793" s="3" t="e">
        <f t="shared" si="161"/>
        <v>#DIV/0!</v>
      </c>
      <c r="Z793" s="413" t="s">
        <v>1997</v>
      </c>
      <c r="AA793" s="161">
        <v>0</v>
      </c>
      <c r="AB793" s="409">
        <v>0</v>
      </c>
      <c r="AC793" s="259">
        <f t="shared" si="163"/>
        <v>0</v>
      </c>
      <c r="AD793" s="22" t="s">
        <v>4436</v>
      </c>
      <c r="AG793" s="33">
        <f t="shared" si="162"/>
        <v>0</v>
      </c>
      <c r="AH793" s="43" t="s">
        <v>2051</v>
      </c>
      <c r="AI793" s="63">
        <f t="shared" ref="AI793:AI804" si="164">AJ793/(A793*10000)</f>
        <v>6.3513513513513517E-4</v>
      </c>
      <c r="AJ793" s="307">
        <f>RTD("money.excel",,$G793,"PredictVolume")</f>
        <v>94</v>
      </c>
      <c r="AK793" s="339"/>
    </row>
    <row r="794" spans="1:37">
      <c r="A794" s="415">
        <v>3.41</v>
      </c>
      <c r="B794" s="79">
        <v>33</v>
      </c>
      <c r="C794" s="79">
        <v>11</v>
      </c>
      <c r="D794" s="79">
        <v>1</v>
      </c>
      <c r="E794" s="79">
        <v>85</v>
      </c>
      <c r="F794" s="57">
        <v>18.12</v>
      </c>
      <c r="G794" s="79">
        <v>6591</v>
      </c>
      <c r="H794" s="46" t="s">
        <v>1152</v>
      </c>
      <c r="I794" s="22" t="s">
        <v>472</v>
      </c>
      <c r="J794" s="73">
        <v>23.12</v>
      </c>
      <c r="K794" s="73">
        <v>25.8</v>
      </c>
      <c r="L794" s="323">
        <v>26.88</v>
      </c>
      <c r="M794" s="323">
        <v>25.07</v>
      </c>
      <c r="N794" s="318">
        <f t="shared" si="158"/>
        <v>100.87</v>
      </c>
      <c r="O794" s="81">
        <f>IFERROR(VLOOKUP($G794,'321買'!A:E,3,0),"'沒有資料'")</f>
        <v>8</v>
      </c>
      <c r="P794" s="380">
        <f>IFERROR(VLOOKUP($G794,'321買'!$A:$G,7,0),"'沒有資料'")</f>
        <v>475</v>
      </c>
      <c r="Q794" s="245" t="s">
        <v>3816</v>
      </c>
      <c r="R794" s="297">
        <f>IFERROR(RANK(VLOOKUP($G794,連買!$A:$D,4,0),連買!$D:$D,0),"'沒有資料'")</f>
        <v>322</v>
      </c>
      <c r="S794" s="66">
        <v>4</v>
      </c>
      <c r="T794" s="353">
        <f t="shared" si="159"/>
        <v>6.2794348508634218E-2</v>
      </c>
      <c r="U794" s="95">
        <v>6.84</v>
      </c>
      <c r="V794" s="36">
        <f>RTD("money.excel",,"6591","Price")</f>
        <v>63.7</v>
      </c>
      <c r="W794" s="66"/>
      <c r="X794" s="15">
        <f t="shared" si="160"/>
        <v>63.7</v>
      </c>
      <c r="Y794" s="3" t="e">
        <f t="shared" si="161"/>
        <v>#DIV/0!</v>
      </c>
      <c r="Z794" s="413" t="s">
        <v>1997</v>
      </c>
      <c r="AA794" s="161">
        <v>0</v>
      </c>
      <c r="AB794" s="409">
        <v>0</v>
      </c>
      <c r="AC794" s="259">
        <f t="shared" si="163"/>
        <v>0</v>
      </c>
      <c r="AD794" s="22" t="s">
        <v>472</v>
      </c>
      <c r="AG794" s="33">
        <f t="shared" si="162"/>
        <v>0</v>
      </c>
      <c r="AH794" s="43" t="s">
        <v>2499</v>
      </c>
      <c r="AI794" s="63">
        <f t="shared" si="164"/>
        <v>3.5689149560117303E-2</v>
      </c>
      <c r="AJ794" s="307">
        <f>RTD("money.excel",,$G794,"PredictVolume")</f>
        <v>1217</v>
      </c>
      <c r="AK794" s="339">
        <v>71.48</v>
      </c>
    </row>
    <row r="795" spans="1:37">
      <c r="A795" s="416">
        <v>17.399999999999999</v>
      </c>
      <c r="B795" s="79">
        <v>10</v>
      </c>
      <c r="C795" s="79">
        <v>11</v>
      </c>
      <c r="D795" s="79">
        <v>16</v>
      </c>
      <c r="E795" s="80">
        <v>-1</v>
      </c>
      <c r="F795" s="6">
        <v>6.01</v>
      </c>
      <c r="G795" s="79">
        <v>6669</v>
      </c>
      <c r="H795" s="46" t="s">
        <v>1152</v>
      </c>
      <c r="I795" s="22" t="s">
        <v>4437</v>
      </c>
      <c r="J795" s="323">
        <v>64.06</v>
      </c>
      <c r="K795" s="323">
        <v>30.72</v>
      </c>
      <c r="L795" s="73">
        <v>1.2</v>
      </c>
      <c r="N795" s="318">
        <f t="shared" si="158"/>
        <v>95.98</v>
      </c>
      <c r="O795" s="81">
        <f>IFERROR(VLOOKUP($G795,'321買'!A:E,3,0),"'沒有資料'")</f>
        <v>5</v>
      </c>
      <c r="P795" s="380">
        <f>IFERROR(VLOOKUP($G795,'321買'!$A:$G,7,0),"'沒有資料'")</f>
        <v>558</v>
      </c>
      <c r="R795" s="297">
        <f>IFERROR(RANK(VLOOKUP($G795,連買!$A:$D,4,0),連買!$D:$D,0),"'沒有資料'")</f>
        <v>9</v>
      </c>
      <c r="S795" s="66">
        <v>32</v>
      </c>
      <c r="T795" s="353">
        <f t="shared" ref="T795:T804" si="165">S795/V795</f>
        <v>3.2128514056224897E-2</v>
      </c>
      <c r="U795" s="57">
        <v>51.39</v>
      </c>
      <c r="V795" s="36">
        <f>RTD("money.excel",,"6669","Price")</f>
        <v>996</v>
      </c>
      <c r="W795" s="66"/>
      <c r="X795" s="15">
        <f t="shared" si="160"/>
        <v>996</v>
      </c>
      <c r="Y795" s="3" t="e">
        <f t="shared" si="161"/>
        <v>#DIV/0!</v>
      </c>
      <c r="Z795" s="413" t="s">
        <v>1997</v>
      </c>
      <c r="AA795" s="161">
        <v>0</v>
      </c>
      <c r="AB795" s="409">
        <v>0</v>
      </c>
      <c r="AC795" s="259">
        <f t="shared" si="163"/>
        <v>0</v>
      </c>
      <c r="AD795" s="22" t="s">
        <v>4437</v>
      </c>
      <c r="AG795" s="33">
        <f t="shared" si="162"/>
        <v>0</v>
      </c>
      <c r="AH795" s="43" t="s">
        <v>4438</v>
      </c>
      <c r="AI795" s="63">
        <f t="shared" si="164"/>
        <v>1.7298850574712643E-3</v>
      </c>
      <c r="AJ795" s="307">
        <f>RTD("money.excel",,$G795,"PredictVolume")</f>
        <v>301</v>
      </c>
      <c r="AK795" s="339"/>
    </row>
    <row r="796" spans="1:37">
      <c r="A796" s="415">
        <v>1.86</v>
      </c>
      <c r="B796" s="80">
        <v>-17</v>
      </c>
      <c r="C796" s="80">
        <v>-31</v>
      </c>
      <c r="D796" s="79">
        <v>103</v>
      </c>
      <c r="E796" s="79">
        <v>97</v>
      </c>
      <c r="F796" s="57">
        <v>14.82</v>
      </c>
      <c r="G796" s="79">
        <v>6680</v>
      </c>
      <c r="H796" s="149" t="s">
        <v>1152</v>
      </c>
      <c r="I796" s="16" t="s">
        <v>4439</v>
      </c>
      <c r="J796" s="73">
        <v>71.38</v>
      </c>
      <c r="K796" s="323">
        <v>0.02</v>
      </c>
      <c r="N796" s="318">
        <f t="shared" si="158"/>
        <v>71.399999999999991</v>
      </c>
      <c r="O796" s="81" t="str">
        <f>IFERROR(VLOOKUP($G796,'321買'!A:E,3,0),"'沒有資料'")</f>
        <v>'沒有資料'</v>
      </c>
      <c r="P796" s="380" t="str">
        <f>IFERROR(VLOOKUP($G796,'321買'!$A:$G,7,0),"'沒有資料'")</f>
        <v>'沒有資料'</v>
      </c>
      <c r="R796" s="297">
        <f>IFERROR(RANK(VLOOKUP($G796,連買!$A:$D,4,0),連買!$D:$D,0),"'沒有資料'")</f>
        <v>1472</v>
      </c>
      <c r="S796" s="34">
        <v>2</v>
      </c>
      <c r="T796" s="353">
        <f t="shared" si="165"/>
        <v>4.0404040404040407E-2</v>
      </c>
      <c r="U796" s="95">
        <v>2.2000000000000002</v>
      </c>
      <c r="V796" s="36">
        <f>RTD("money.excel",,"6680","Price")</f>
        <v>49.5</v>
      </c>
      <c r="W796" s="66"/>
      <c r="X796" s="15">
        <f t="shared" si="160"/>
        <v>49.5</v>
      </c>
      <c r="Y796" s="3" t="e">
        <f t="shared" si="161"/>
        <v>#DIV/0!</v>
      </c>
      <c r="Z796" s="413" t="s">
        <v>1801</v>
      </c>
      <c r="AA796" s="161">
        <v>0</v>
      </c>
      <c r="AB796" s="409">
        <v>0</v>
      </c>
      <c r="AC796" s="259">
        <f t="shared" si="163"/>
        <v>0</v>
      </c>
      <c r="AD796" s="16" t="s">
        <v>4439</v>
      </c>
      <c r="AG796" s="33">
        <f t="shared" si="162"/>
        <v>0</v>
      </c>
      <c r="AH796" s="43" t="s">
        <v>4440</v>
      </c>
      <c r="AI796" s="63">
        <f t="shared" si="164"/>
        <v>1.0752688172043011E-4</v>
      </c>
      <c r="AJ796" s="307">
        <f>RTD("money.excel",,$G796,"PredictVolume")</f>
        <v>2</v>
      </c>
      <c r="AK796" s="339"/>
    </row>
    <row r="797" spans="1:37">
      <c r="A797" s="416">
        <v>17.7</v>
      </c>
      <c r="B797" s="80">
        <v>-65</v>
      </c>
      <c r="C797" s="80">
        <v>-72</v>
      </c>
      <c r="D797" s="80">
        <v>-2</v>
      </c>
      <c r="E797" s="79">
        <v>33</v>
      </c>
      <c r="F797" s="6">
        <v>1.24</v>
      </c>
      <c r="G797" s="79">
        <v>8050</v>
      </c>
      <c r="H797" s="149" t="s">
        <v>1152</v>
      </c>
      <c r="I797" s="16" t="s">
        <v>4441</v>
      </c>
      <c r="J797" s="73">
        <v>50.65</v>
      </c>
      <c r="K797" s="73">
        <v>3.6</v>
      </c>
      <c r="L797" s="73">
        <v>3.09</v>
      </c>
      <c r="N797" s="318">
        <f t="shared" si="158"/>
        <v>57.34</v>
      </c>
      <c r="O797" s="81">
        <f>IFERROR(VLOOKUP($G797,'321買'!A:E,3,0),"'沒有資料'")</f>
        <v>1</v>
      </c>
      <c r="P797" s="380">
        <f>IFERROR(VLOOKUP($G797,'321買'!$A:$G,7,0),"'沒有資料'")</f>
        <v>783</v>
      </c>
      <c r="R797" s="297">
        <f>IFERROR(RANK(VLOOKUP($G797,連買!$A:$D,4,0),連買!$D:$D,0),"'沒有資料'")</f>
        <v>445</v>
      </c>
      <c r="S797" s="34">
        <v>1.8</v>
      </c>
      <c r="T797" s="353">
        <f t="shared" si="165"/>
        <v>3.7344398340248962E-2</v>
      </c>
      <c r="U797" s="95">
        <v>0.74</v>
      </c>
      <c r="V797" s="36">
        <f>RTD("money.excel",,"8050","Price")</f>
        <v>48.2</v>
      </c>
      <c r="W797" s="66"/>
      <c r="X797" s="15">
        <f t="shared" si="160"/>
        <v>48.2</v>
      </c>
      <c r="Y797" s="3" t="e">
        <f t="shared" si="161"/>
        <v>#DIV/0!</v>
      </c>
      <c r="Z797" s="413" t="s">
        <v>1801</v>
      </c>
      <c r="AA797" s="161">
        <v>0</v>
      </c>
      <c r="AB797" s="409">
        <v>0</v>
      </c>
      <c r="AC797" s="259">
        <f t="shared" si="163"/>
        <v>0</v>
      </c>
      <c r="AD797" s="16" t="s">
        <v>4441</v>
      </c>
      <c r="AG797" s="33">
        <f t="shared" si="162"/>
        <v>0</v>
      </c>
      <c r="AH797" s="120" t="s">
        <v>2408</v>
      </c>
      <c r="AI797" s="63">
        <f t="shared" si="164"/>
        <v>3.6836158192090395E-3</v>
      </c>
      <c r="AJ797" s="307">
        <f>RTD("money.excel",,$G797,"PredictVolume")</f>
        <v>652</v>
      </c>
      <c r="AK797" s="339"/>
    </row>
    <row r="798" spans="1:37">
      <c r="A798" s="416">
        <v>27.7</v>
      </c>
      <c r="B798" s="80">
        <v>-125</v>
      </c>
      <c r="C798" s="80">
        <v>-83</v>
      </c>
      <c r="D798" s="79">
        <v>22</v>
      </c>
      <c r="E798" s="80">
        <v>-27</v>
      </c>
      <c r="F798" s="6">
        <v>2.3199999999999998</v>
      </c>
      <c r="G798" s="79">
        <v>8076</v>
      </c>
      <c r="H798" s="149" t="s">
        <v>1152</v>
      </c>
      <c r="I798" s="16" t="s">
        <v>4442</v>
      </c>
      <c r="J798" s="323">
        <v>30.66</v>
      </c>
      <c r="K798" s="323">
        <v>6.09</v>
      </c>
      <c r="L798" s="73">
        <v>6.93</v>
      </c>
      <c r="N798" s="318">
        <f t="shared" si="158"/>
        <v>43.68</v>
      </c>
      <c r="O798" s="81">
        <f>IFERROR(VLOOKUP($G798,'321買'!A:E,3,0),"'沒有資料'")</f>
        <v>3</v>
      </c>
      <c r="P798" s="380">
        <f>IFERROR(VLOOKUP($G798,'321買'!$A:$G,7,0),"'沒有資料'")</f>
        <v>636</v>
      </c>
      <c r="R798" s="297">
        <f>IFERROR(RANK(VLOOKUP($G798,連買!$A:$D,4,0),連買!$D:$D,0),"'沒有資料'")</f>
        <v>643</v>
      </c>
      <c r="S798" s="34">
        <v>0</v>
      </c>
      <c r="T798" s="353">
        <f t="shared" si="165"/>
        <v>0</v>
      </c>
      <c r="U798" s="95">
        <v>-0.26</v>
      </c>
      <c r="V798" s="36">
        <f>RTD("money.excel",,"8076","Price")</f>
        <v>29.3</v>
      </c>
      <c r="W798" s="66"/>
      <c r="X798" s="15">
        <f t="shared" si="160"/>
        <v>29.3</v>
      </c>
      <c r="Y798" s="3" t="e">
        <f t="shared" si="161"/>
        <v>#DIV/0!</v>
      </c>
      <c r="AA798" s="161">
        <v>0</v>
      </c>
      <c r="AB798" s="409">
        <v>0</v>
      </c>
      <c r="AC798" s="259">
        <f t="shared" si="163"/>
        <v>0</v>
      </c>
      <c r="AD798" s="16" t="s">
        <v>4442</v>
      </c>
      <c r="AG798" s="33">
        <f t="shared" si="162"/>
        <v>0</v>
      </c>
      <c r="AH798" s="120" t="s">
        <v>4443</v>
      </c>
      <c r="AI798" s="63">
        <f t="shared" si="164"/>
        <v>1.5595667870036101E-3</v>
      </c>
      <c r="AJ798" s="307">
        <f>RTD("money.excel",,$G798,"PredictVolume")</f>
        <v>432</v>
      </c>
      <c r="AK798" s="339"/>
    </row>
    <row r="799" spans="1:37">
      <c r="A799" s="415">
        <v>7.49</v>
      </c>
      <c r="B799" s="79">
        <v>332</v>
      </c>
      <c r="C799" s="79">
        <v>128</v>
      </c>
      <c r="D799" s="79">
        <v>8</v>
      </c>
      <c r="E799" s="79">
        <v>41</v>
      </c>
      <c r="F799" s="57">
        <v>10.86</v>
      </c>
      <c r="G799" s="79">
        <v>8114</v>
      </c>
      <c r="H799" s="46" t="s">
        <v>1152</v>
      </c>
      <c r="I799" s="22" t="s">
        <v>4444</v>
      </c>
      <c r="J799" s="73">
        <v>44.73</v>
      </c>
      <c r="K799" s="73">
        <v>9.93</v>
      </c>
      <c r="L799" s="73">
        <v>6.5</v>
      </c>
      <c r="M799" s="73">
        <v>15.85</v>
      </c>
      <c r="N799" s="318">
        <f t="shared" si="158"/>
        <v>77.009999999999991</v>
      </c>
      <c r="O799" s="81">
        <f>IFERROR(VLOOKUP($G799,'321買'!A:E,3,0),"'沒有資料'")</f>
        <v>6</v>
      </c>
      <c r="P799" s="380">
        <f>IFERROR(VLOOKUP($G799,'321買'!$A:$G,7,0),"'沒有資料'")</f>
        <v>521</v>
      </c>
      <c r="Q799" s="245" t="s">
        <v>3816</v>
      </c>
      <c r="R799" s="297">
        <f>IFERROR(RANK(VLOOKUP($G799,連買!$A:$D,4,0),連買!$D:$D,0),"'沒有資料'")</f>
        <v>1539</v>
      </c>
      <c r="S799" s="34">
        <v>1.5</v>
      </c>
      <c r="T799" s="353">
        <f t="shared" si="165"/>
        <v>1.2145748987854251E-2</v>
      </c>
      <c r="U799" s="95">
        <v>4.38</v>
      </c>
      <c r="V799" s="36">
        <f>RTD("money.excel",,"8114","Price")</f>
        <v>123.5</v>
      </c>
      <c r="W799" s="66"/>
      <c r="X799" s="15">
        <f t="shared" si="160"/>
        <v>123.5</v>
      </c>
      <c r="Y799" s="3" t="e">
        <f t="shared" si="161"/>
        <v>#DIV/0!</v>
      </c>
      <c r="Z799" s="413" t="s">
        <v>1801</v>
      </c>
      <c r="AA799" s="161">
        <v>0</v>
      </c>
      <c r="AB799" s="409">
        <v>0</v>
      </c>
      <c r="AC799" s="259">
        <f t="shared" si="163"/>
        <v>0</v>
      </c>
      <c r="AD799" s="22" t="s">
        <v>4444</v>
      </c>
      <c r="AG799" s="33">
        <f t="shared" si="162"/>
        <v>0</v>
      </c>
      <c r="AH799" s="43" t="s">
        <v>4421</v>
      </c>
      <c r="AI799" s="63">
        <f t="shared" si="164"/>
        <v>4.0240320427236312E-2</v>
      </c>
      <c r="AJ799" s="307">
        <f>RTD("money.excel",,$G799,"PredictVolume")</f>
        <v>3014</v>
      </c>
      <c r="AK799" s="339"/>
    </row>
    <row r="800" spans="1:37">
      <c r="A800" s="416">
        <v>28</v>
      </c>
      <c r="B800" s="80">
        <v>-8</v>
      </c>
      <c r="C800" s="80">
        <v>-2</v>
      </c>
      <c r="D800" s="79">
        <v>3</v>
      </c>
      <c r="E800" s="79">
        <v>21</v>
      </c>
      <c r="F800" s="6">
        <v>4.8499999999999996</v>
      </c>
      <c r="G800" s="79">
        <v>8163</v>
      </c>
      <c r="H800" s="46" t="s">
        <v>1152</v>
      </c>
      <c r="I800" s="22" t="s">
        <v>4445</v>
      </c>
      <c r="J800" s="73">
        <v>39.78</v>
      </c>
      <c r="K800" s="73">
        <v>16.46</v>
      </c>
      <c r="L800" s="73">
        <v>7.51</v>
      </c>
      <c r="N800" s="318">
        <f t="shared" si="158"/>
        <v>63.75</v>
      </c>
      <c r="O800" s="81">
        <f>IFERROR(VLOOKUP($G800,'321買'!A:E,3,0),"'沒有資料'")</f>
        <v>6</v>
      </c>
      <c r="P800" s="380">
        <f>IFERROR(VLOOKUP($G800,'321買'!$A:$G,7,0),"'沒有資料'")</f>
        <v>521</v>
      </c>
      <c r="R800" s="297">
        <f>IFERROR(RANK(VLOOKUP($G800,連買!$A:$D,4,0),連買!$D:$D,0),"'沒有資料'")</f>
        <v>352</v>
      </c>
      <c r="S800" s="34">
        <v>2.5</v>
      </c>
      <c r="T800" s="353">
        <f t="shared" si="165"/>
        <v>5.112474437627812E-2</v>
      </c>
      <c r="U800" s="95">
        <v>3.23</v>
      </c>
      <c r="V800" s="36">
        <f>RTD("money.excel",,"8163","Price")</f>
        <v>48.9</v>
      </c>
      <c r="W800" s="66"/>
      <c r="X800" s="15">
        <f t="shared" si="160"/>
        <v>48.9</v>
      </c>
      <c r="Y800" s="3" t="e">
        <f t="shared" si="161"/>
        <v>#DIV/0!</v>
      </c>
      <c r="Z800" s="413" t="s">
        <v>1801</v>
      </c>
      <c r="AA800" s="161">
        <v>0</v>
      </c>
      <c r="AB800" s="409">
        <v>0</v>
      </c>
      <c r="AC800" s="259">
        <f t="shared" si="163"/>
        <v>0</v>
      </c>
      <c r="AD800" s="22" t="s">
        <v>4445</v>
      </c>
      <c r="AG800" s="33">
        <f t="shared" si="162"/>
        <v>0</v>
      </c>
      <c r="AH800" s="120" t="s">
        <v>4446</v>
      </c>
      <c r="AI800" s="63">
        <f t="shared" si="164"/>
        <v>5.2535714285714286E-3</v>
      </c>
      <c r="AJ800" s="307">
        <f>RTD("money.excel",,$G800,"PredictVolume")</f>
        <v>1471</v>
      </c>
      <c r="AK800" s="339"/>
    </row>
    <row r="801" spans="1:37">
      <c r="A801" s="416">
        <v>12</v>
      </c>
      <c r="B801" s="80">
        <v>-6</v>
      </c>
      <c r="C801" s="79">
        <v>31</v>
      </c>
      <c r="D801" s="80">
        <v>-5</v>
      </c>
      <c r="E801" s="80">
        <v>-1</v>
      </c>
      <c r="F801" s="6">
        <v>9.0500000000000007</v>
      </c>
      <c r="G801" s="79">
        <v>8210</v>
      </c>
      <c r="H801" s="204" t="s">
        <v>1152</v>
      </c>
      <c r="I801" s="22" t="s">
        <v>4447</v>
      </c>
      <c r="J801" s="73">
        <v>63.13</v>
      </c>
      <c r="K801" s="323">
        <v>5.2</v>
      </c>
      <c r="L801" s="323">
        <v>5.0999999999999996</v>
      </c>
      <c r="N801" s="318">
        <f t="shared" si="158"/>
        <v>73.429999999999993</v>
      </c>
      <c r="O801" s="81">
        <f>IFERROR(VLOOKUP($G801,'321買'!A:E,3,0),"'沒有資料'")</f>
        <v>4</v>
      </c>
      <c r="P801" s="380">
        <f>IFERROR(VLOOKUP($G801,'321買'!$A:$G,7,0),"'沒有資料'")</f>
        <v>592</v>
      </c>
      <c r="R801" s="297">
        <f>IFERROR(RANK(VLOOKUP($G801,連買!$A:$D,4,0),連買!$D:$D,0),"'沒有資料'")</f>
        <v>358</v>
      </c>
      <c r="S801" s="66">
        <v>4</v>
      </c>
      <c r="T801" s="353">
        <f t="shared" si="165"/>
        <v>5.6818181818181816E-2</v>
      </c>
      <c r="U801" s="57">
        <v>8.06</v>
      </c>
      <c r="V801" s="36">
        <f>RTD("money.excel",,"8210","Price")</f>
        <v>70.400000000000006</v>
      </c>
      <c r="W801" s="66"/>
      <c r="X801" s="15">
        <f t="shared" si="160"/>
        <v>70.400000000000006</v>
      </c>
      <c r="Y801" s="3" t="e">
        <f t="shared" si="161"/>
        <v>#DIV/0!</v>
      </c>
      <c r="Z801" s="413" t="s">
        <v>1997</v>
      </c>
      <c r="AA801" s="161">
        <v>0</v>
      </c>
      <c r="AB801" s="409">
        <v>0</v>
      </c>
      <c r="AC801" s="259">
        <f t="shared" si="163"/>
        <v>0</v>
      </c>
      <c r="AD801" s="22" t="s">
        <v>4447</v>
      </c>
      <c r="AG801" s="33">
        <f t="shared" si="162"/>
        <v>0</v>
      </c>
      <c r="AH801" s="43" t="s">
        <v>2392</v>
      </c>
      <c r="AI801" s="63">
        <f t="shared" si="164"/>
        <v>1.2333333333333332E-3</v>
      </c>
      <c r="AJ801" s="307">
        <f>RTD("money.excel",,$G801,"PredictVolume")</f>
        <v>148</v>
      </c>
      <c r="AK801" s="339"/>
    </row>
    <row r="802" spans="1:37">
      <c r="A802" s="416">
        <v>14.1</v>
      </c>
      <c r="B802" s="91">
        <v>-30</v>
      </c>
      <c r="C802" s="91">
        <v>-26</v>
      </c>
      <c r="D802" s="91">
        <v>-29</v>
      </c>
      <c r="E802" s="91">
        <v>-13</v>
      </c>
      <c r="F802" s="6">
        <v>2.73</v>
      </c>
      <c r="G802" s="79">
        <v>8234</v>
      </c>
      <c r="H802" s="149" t="s">
        <v>1152</v>
      </c>
      <c r="I802" s="16" t="s">
        <v>4448</v>
      </c>
      <c r="J802" s="73">
        <v>57.62</v>
      </c>
      <c r="K802" s="73">
        <v>3.39</v>
      </c>
      <c r="L802" s="73">
        <v>3.74</v>
      </c>
      <c r="N802" s="318">
        <f t="shared" si="158"/>
        <v>64.75</v>
      </c>
      <c r="O802" s="81">
        <f>IFERROR(VLOOKUP($G802,'321買'!A:E,3,0),"'沒有資料'")</f>
        <v>0</v>
      </c>
      <c r="P802" s="380">
        <f>IFERROR(VLOOKUP($G802,'321買'!$A:$G,7,0),"'沒有資料'")</f>
        <v>911</v>
      </c>
      <c r="R802" s="297">
        <f>IFERROR(RANK(VLOOKUP($G802,連買!$A:$D,4,0),連買!$D:$D,0),"'沒有資料'")</f>
        <v>774</v>
      </c>
      <c r="S802" s="34">
        <v>0.8</v>
      </c>
      <c r="T802" s="353">
        <f t="shared" si="165"/>
        <v>3.2989690721649485E-2</v>
      </c>
      <c r="U802" s="95">
        <v>1.06</v>
      </c>
      <c r="V802" s="13">
        <f>RTD("money.excel",,"8234","Price")</f>
        <v>24.25</v>
      </c>
      <c r="W802" s="66"/>
      <c r="X802" s="15">
        <f t="shared" si="160"/>
        <v>24.25</v>
      </c>
      <c r="Y802" s="3" t="e">
        <f t="shared" si="161"/>
        <v>#DIV/0!</v>
      </c>
      <c r="Z802" s="413" t="s">
        <v>1801</v>
      </c>
      <c r="AA802" s="161">
        <v>0</v>
      </c>
      <c r="AB802" s="409">
        <v>0</v>
      </c>
      <c r="AC802" s="259">
        <f t="shared" si="163"/>
        <v>0</v>
      </c>
      <c r="AD802" s="16" t="s">
        <v>4448</v>
      </c>
      <c r="AG802" s="33">
        <f t="shared" si="162"/>
        <v>0</v>
      </c>
      <c r="AH802" s="120" t="s">
        <v>2408</v>
      </c>
      <c r="AI802" s="63">
        <f t="shared" si="164"/>
        <v>5.3900709219858154E-4</v>
      </c>
      <c r="AJ802" s="307">
        <f>RTD("money.excel",,$G802,"PredictVolume")</f>
        <v>76</v>
      </c>
      <c r="AK802" s="339"/>
    </row>
    <row r="803" spans="1:37">
      <c r="A803" s="415">
        <v>3.66</v>
      </c>
      <c r="B803" s="79">
        <v>116</v>
      </c>
      <c r="C803" s="79">
        <v>193</v>
      </c>
      <c r="D803" s="80">
        <v>-3</v>
      </c>
      <c r="E803" s="79">
        <v>11</v>
      </c>
      <c r="F803" s="57">
        <v>19.47</v>
      </c>
      <c r="G803" s="79">
        <v>8410</v>
      </c>
      <c r="H803" s="149" t="s">
        <v>1152</v>
      </c>
      <c r="I803" s="16" t="s">
        <v>4449</v>
      </c>
      <c r="J803" s="323">
        <v>45.78</v>
      </c>
      <c r="K803" s="323">
        <v>1.42</v>
      </c>
      <c r="L803" s="323">
        <v>18.420000000000002</v>
      </c>
      <c r="N803" s="318">
        <f t="shared" si="158"/>
        <v>65.62</v>
      </c>
      <c r="O803" s="81">
        <f>IFERROR(VLOOKUP($G803,'321買'!A:E,3,0),"'沒有資料'")</f>
        <v>1</v>
      </c>
      <c r="P803" s="380">
        <f>IFERROR(VLOOKUP($G803,'321買'!$A:$G,7,0),"'沒有資料'")</f>
        <v>783</v>
      </c>
      <c r="R803" s="297">
        <f>IFERROR(RANK(VLOOKUP($G803,連買!$A:$D,4,0),連買!$D:$D,0),"'沒有資料'")</f>
        <v>1651</v>
      </c>
      <c r="S803" s="34">
        <v>1.5</v>
      </c>
      <c r="T803" s="353">
        <f t="shared" si="165"/>
        <v>4.7095761381475663E-2</v>
      </c>
      <c r="U803" s="95">
        <v>4.55</v>
      </c>
      <c r="V803" s="36">
        <f>RTD("money.excel",,"8410","Price")</f>
        <v>31.85</v>
      </c>
      <c r="W803" s="66"/>
      <c r="X803" s="15">
        <f t="shared" si="160"/>
        <v>31.85</v>
      </c>
      <c r="Y803" s="3" t="e">
        <f t="shared" si="161"/>
        <v>#DIV/0!</v>
      </c>
      <c r="AA803" s="161">
        <v>0</v>
      </c>
      <c r="AB803" s="409">
        <v>0</v>
      </c>
      <c r="AC803" s="259">
        <f t="shared" si="163"/>
        <v>0</v>
      </c>
      <c r="AD803" s="16" t="s">
        <v>4449</v>
      </c>
      <c r="AG803" s="33">
        <f t="shared" si="162"/>
        <v>0</v>
      </c>
      <c r="AH803" s="43" t="s">
        <v>4450</v>
      </c>
      <c r="AI803" s="63">
        <f t="shared" si="164"/>
        <v>2.7322404371584699E-4</v>
      </c>
      <c r="AJ803" s="307">
        <f>RTD("money.excel",,$G803,"PredictVolume")</f>
        <v>10</v>
      </c>
      <c r="AK803" s="339"/>
    </row>
    <row r="804" spans="1:37">
      <c r="A804" s="416">
        <v>5.5</v>
      </c>
      <c r="B804" s="91">
        <v>32</v>
      </c>
      <c r="C804" s="91">
        <v>4</v>
      </c>
      <c r="D804" s="91">
        <v>-26</v>
      </c>
      <c r="E804" s="91">
        <v>18</v>
      </c>
      <c r="F804" s="6">
        <v>-6.06</v>
      </c>
      <c r="G804" s="79">
        <v>9912</v>
      </c>
      <c r="H804" s="204" t="s">
        <v>1152</v>
      </c>
      <c r="I804" s="22" t="s">
        <v>4451</v>
      </c>
      <c r="J804" s="73">
        <v>38.39</v>
      </c>
      <c r="K804" s="73">
        <v>16.91</v>
      </c>
      <c r="L804" s="73">
        <v>19.579999999999998</v>
      </c>
      <c r="N804" s="318">
        <f t="shared" si="158"/>
        <v>74.88</v>
      </c>
      <c r="O804" s="81">
        <f>IFERROR(VLOOKUP($G804,'321買'!A:E,3,0),"'沒有資料'")</f>
        <v>0</v>
      </c>
      <c r="P804" s="380">
        <f>IFERROR(VLOOKUP($G804,'321買'!$A:$G,7,0),"'沒有資料'")</f>
        <v>911</v>
      </c>
      <c r="R804" s="297">
        <f>IFERROR(RANK(VLOOKUP($G804,連買!$A:$D,4,0),連買!$D:$D,0),"'沒有資料'")</f>
        <v>1318</v>
      </c>
      <c r="S804" s="34">
        <v>0</v>
      </c>
      <c r="T804" s="353">
        <f t="shared" si="165"/>
        <v>0</v>
      </c>
      <c r="U804" s="95">
        <v>-0.77</v>
      </c>
      <c r="V804" s="36">
        <f>RTD("money.excel",,"9912","Price")</f>
        <v>9.35</v>
      </c>
      <c r="W804" s="66"/>
      <c r="X804" s="15">
        <f t="shared" si="160"/>
        <v>9.35</v>
      </c>
      <c r="Y804" s="3" t="e">
        <f t="shared" si="161"/>
        <v>#DIV/0!</v>
      </c>
      <c r="AA804" s="161">
        <v>0</v>
      </c>
      <c r="AB804" s="409">
        <v>0</v>
      </c>
      <c r="AC804" s="259">
        <f t="shared" si="163"/>
        <v>0</v>
      </c>
      <c r="AD804" s="22" t="s">
        <v>4451</v>
      </c>
      <c r="AG804" s="33">
        <f t="shared" si="162"/>
        <v>0</v>
      </c>
      <c r="AH804" s="43" t="s">
        <v>4452</v>
      </c>
      <c r="AI804" s="63">
        <f t="shared" si="164"/>
        <v>1.6363636363636363E-4</v>
      </c>
      <c r="AJ804" s="307">
        <f>RTD("money.excel",,$G804,"PredictVolume")</f>
        <v>9</v>
      </c>
      <c r="AK804" s="339"/>
    </row>
    <row r="805" spans="1:37">
      <c r="A805" s="146"/>
      <c r="B805" s="91"/>
      <c r="C805" s="91"/>
      <c r="D805" s="91"/>
      <c r="E805" s="91"/>
      <c r="F805" s="6"/>
      <c r="G805" s="79"/>
      <c r="H805" s="204"/>
      <c r="I805" s="22"/>
      <c r="J805" s="73"/>
      <c r="K805" s="73"/>
      <c r="N805" s="318"/>
      <c r="O805" s="26"/>
      <c r="S805" s="34"/>
      <c r="T805" s="353"/>
      <c r="U805" s="95"/>
      <c r="V805" s="36"/>
      <c r="W805" s="66"/>
      <c r="X805" s="15"/>
      <c r="Y805" s="3"/>
      <c r="AA805" s="2"/>
      <c r="AD805" s="22"/>
      <c r="AG805" s="33"/>
      <c r="AH805" s="43"/>
      <c r="AI805" s="63"/>
      <c r="AJ805" s="307"/>
      <c r="AK805" s="339"/>
    </row>
    <row r="806" spans="1:37">
      <c r="A806" s="130" t="s">
        <v>4191</v>
      </c>
      <c r="B806" s="91" t="s">
        <v>4192</v>
      </c>
      <c r="C806" s="91" t="s">
        <v>4193</v>
      </c>
      <c r="D806" s="91" t="s">
        <v>4194</v>
      </c>
      <c r="E806" s="91" t="s">
        <v>4195</v>
      </c>
      <c r="F806" s="8" t="s">
        <v>4196</v>
      </c>
      <c r="G806" s="27" t="s">
        <v>430</v>
      </c>
      <c r="H806" s="55" t="s">
        <v>322</v>
      </c>
      <c r="I806" s="8" t="s">
        <v>4453</v>
      </c>
      <c r="J806" s="317" t="s">
        <v>4199</v>
      </c>
      <c r="K806" s="317" t="s">
        <v>4200</v>
      </c>
      <c r="L806" s="317" t="s">
        <v>4201</v>
      </c>
      <c r="M806" s="317" t="s">
        <v>4202</v>
      </c>
      <c r="N806" s="317" t="s">
        <v>5048</v>
      </c>
      <c r="O806" s="26" t="s">
        <v>5107</v>
      </c>
      <c r="P806" s="373" t="s">
        <v>5059</v>
      </c>
      <c r="Q806" s="245" t="s">
        <v>5087</v>
      </c>
      <c r="R806" s="345" t="s">
        <v>5059</v>
      </c>
      <c r="S806" s="10" t="s">
        <v>4203</v>
      </c>
      <c r="T806" s="351" t="s">
        <v>5076</v>
      </c>
      <c r="U806" s="68" t="s">
        <v>4204</v>
      </c>
      <c r="V806" s="28" t="s">
        <v>4205</v>
      </c>
      <c r="W806" s="17" t="s">
        <v>4206</v>
      </c>
      <c r="X806" s="14" t="s">
        <v>4207</v>
      </c>
      <c r="Y806" s="21" t="s">
        <v>4208</v>
      </c>
      <c r="Z806" s="97" t="s">
        <v>6627</v>
      </c>
      <c r="AA806" s="406" t="s">
        <v>8647</v>
      </c>
      <c r="AB806" s="407" t="s">
        <v>8648</v>
      </c>
      <c r="AC806" s="408" t="s">
        <v>8649</v>
      </c>
      <c r="AD806" s="8" t="s">
        <v>4453</v>
      </c>
      <c r="AE806" s="71" t="s">
        <v>4209</v>
      </c>
      <c r="AF806" s="72" t="s">
        <v>4210</v>
      </c>
      <c r="AG806" s="32" t="s">
        <v>4211</v>
      </c>
      <c r="AH806" s="25" t="s">
        <v>8650</v>
      </c>
      <c r="AI806" s="8" t="s">
        <v>4212</v>
      </c>
      <c r="AJ806" s="50" t="s">
        <v>4213</v>
      </c>
      <c r="AK806" s="339" t="s">
        <v>5038</v>
      </c>
    </row>
    <row r="807" spans="1:37">
      <c r="A807" s="416">
        <v>115</v>
      </c>
      <c r="B807" s="79">
        <v>96</v>
      </c>
      <c r="C807" s="79">
        <v>58</v>
      </c>
      <c r="D807" s="80">
        <v>-4</v>
      </c>
      <c r="E807" s="79">
        <v>10</v>
      </c>
      <c r="F807" s="6">
        <v>-2.2400000000000002</v>
      </c>
      <c r="G807" s="79">
        <v>2323</v>
      </c>
      <c r="H807" s="8" t="s">
        <v>1985</v>
      </c>
      <c r="I807" s="22" t="s">
        <v>4454</v>
      </c>
      <c r="J807" s="73">
        <v>35.119999999999997</v>
      </c>
      <c r="K807" s="323">
        <v>14.17</v>
      </c>
      <c r="L807" s="73">
        <v>11.87</v>
      </c>
      <c r="N807" s="318">
        <f>J807+K807+L807+M807</f>
        <v>61.16</v>
      </c>
      <c r="O807" s="81">
        <f>IFERROR(VLOOKUP($G807,'321買'!A:E,3,0),"'沒有資料'")</f>
        <v>11</v>
      </c>
      <c r="P807" s="380">
        <f>IFERROR(VLOOKUP($G807,'321買'!$A:$G,7,0),"'沒有資料'")</f>
        <v>387</v>
      </c>
      <c r="Q807" s="245" t="s">
        <v>3816</v>
      </c>
      <c r="R807" s="297">
        <f>IFERROR(RANK(VLOOKUP($G807,連買!$A:$D,4,0),連買!$D:$D,0),"'沒有資料'")</f>
        <v>1066</v>
      </c>
      <c r="S807" s="34">
        <v>0.7</v>
      </c>
      <c r="T807" s="353">
        <f t="shared" ref="T807:T838" si="166">S807/V807</f>
        <v>7.2916666666666671E-2</v>
      </c>
      <c r="U807" s="95">
        <v>0.55000000000000004</v>
      </c>
      <c r="V807" s="36">
        <f>RTD("money.excel",,"2323","Price")</f>
        <v>9.6</v>
      </c>
      <c r="W807" s="66"/>
      <c r="X807" s="15">
        <f t="shared" ref="X807:X870" si="167">V807-W807</f>
        <v>9.6</v>
      </c>
      <c r="Y807" s="3" t="e">
        <f t="shared" ref="Y807:Y870" si="168">X807/W807</f>
        <v>#DIV/0!</v>
      </c>
      <c r="Z807" s="413" t="s">
        <v>1801</v>
      </c>
      <c r="AA807" s="161">
        <v>0</v>
      </c>
      <c r="AB807" s="409">
        <v>0</v>
      </c>
      <c r="AC807" s="259">
        <f t="shared" si="163"/>
        <v>0</v>
      </c>
      <c r="AD807" s="22" t="s">
        <v>4454</v>
      </c>
      <c r="AG807" s="33">
        <f t="shared" ref="AG807:AG870" si="169">AF807-AE807</f>
        <v>0</v>
      </c>
      <c r="AH807" s="43" t="s">
        <v>4455</v>
      </c>
      <c r="AI807" s="63">
        <f t="shared" ref="AI807:AI838" si="170">AJ807/(A807*10000)</f>
        <v>5.6295652173913042E-3</v>
      </c>
      <c r="AJ807" s="307">
        <f>RTD("money.excel",,$G807,"PredictVolume")</f>
        <v>6474</v>
      </c>
      <c r="AK807" s="339"/>
    </row>
    <row r="808" spans="1:37">
      <c r="A808" s="415">
        <v>37.799999999999997</v>
      </c>
      <c r="B808" s="80">
        <v>-24</v>
      </c>
      <c r="C808" s="80">
        <v>-19</v>
      </c>
      <c r="D808" s="79">
        <v>16</v>
      </c>
      <c r="E808" s="79">
        <v>74</v>
      </c>
      <c r="F808" s="57">
        <v>11.57</v>
      </c>
      <c r="G808" s="79">
        <v>2340</v>
      </c>
      <c r="H808" s="208" t="s">
        <v>1985</v>
      </c>
      <c r="I808" s="22" t="s">
        <v>4456</v>
      </c>
      <c r="J808" s="73">
        <v>26.99</v>
      </c>
      <c r="K808" s="73">
        <v>15.44</v>
      </c>
      <c r="L808" s="73">
        <v>26.67</v>
      </c>
      <c r="N808" s="318">
        <f t="shared" ref="N808:N870" si="171">J808+K808+L808+M808</f>
        <v>69.099999999999994</v>
      </c>
      <c r="O808" s="81">
        <f>IFERROR(VLOOKUP($G808,'321買'!A:E,3,0),"'沒有資料'")</f>
        <v>56</v>
      </c>
      <c r="P808" s="380">
        <f>IFERROR(VLOOKUP($G808,'321買'!$A:$G,7,0),"'沒有資料'")</f>
        <v>53</v>
      </c>
      <c r="R808" s="297">
        <f>IFERROR(RANK(VLOOKUP($G808,連買!$A:$D,4,0),連買!$D:$D,0),"'沒有資料'")</f>
        <v>1616</v>
      </c>
      <c r="S808" s="34">
        <v>1.39</v>
      </c>
      <c r="T808" s="353">
        <f t="shared" si="166"/>
        <v>2.957446808510638E-2</v>
      </c>
      <c r="U808" s="95">
        <v>1.52</v>
      </c>
      <c r="V808" s="36">
        <f>RTD("money.excel",,"2340","Price")</f>
        <v>47</v>
      </c>
      <c r="W808" s="66"/>
      <c r="X808" s="15">
        <f t="shared" si="167"/>
        <v>47</v>
      </c>
      <c r="Y808" s="3" t="e">
        <f t="shared" si="168"/>
        <v>#DIV/0!</v>
      </c>
      <c r="Z808" s="413" t="s">
        <v>1801</v>
      </c>
      <c r="AA808" s="161">
        <v>0</v>
      </c>
      <c r="AB808" s="409">
        <v>0</v>
      </c>
      <c r="AC808" s="259">
        <f t="shared" si="163"/>
        <v>0</v>
      </c>
      <c r="AD808" s="22" t="s">
        <v>4456</v>
      </c>
      <c r="AG808" s="33">
        <f t="shared" si="169"/>
        <v>0</v>
      </c>
      <c r="AH808" s="122" t="s">
        <v>4457</v>
      </c>
      <c r="AI808" s="63">
        <f t="shared" si="170"/>
        <v>9.4973544973544974E-3</v>
      </c>
      <c r="AJ808" s="307">
        <f>RTD("money.excel",,$G808,"PredictVolume")</f>
        <v>3590</v>
      </c>
      <c r="AK808" s="339"/>
    </row>
    <row r="809" spans="1:37">
      <c r="A809" s="416">
        <v>69.3</v>
      </c>
      <c r="B809" s="79">
        <v>7</v>
      </c>
      <c r="C809" s="79">
        <v>45</v>
      </c>
      <c r="D809" s="80">
        <v>-2</v>
      </c>
      <c r="E809" s="80">
        <v>-13</v>
      </c>
      <c r="F809" s="6">
        <v>-6.41</v>
      </c>
      <c r="G809" s="79">
        <v>2349</v>
      </c>
      <c r="H809" s="8" t="s">
        <v>1985</v>
      </c>
      <c r="I809" s="22" t="s">
        <v>4458</v>
      </c>
      <c r="J809" s="73">
        <v>19.11</v>
      </c>
      <c r="K809" s="73">
        <v>11.99</v>
      </c>
      <c r="N809" s="318">
        <f t="shared" si="171"/>
        <v>31.1</v>
      </c>
      <c r="O809" s="81">
        <f>IFERROR(VLOOKUP($G809,'321買'!A:E,3,0),"'沒有資料'")</f>
        <v>0</v>
      </c>
      <c r="P809" s="380">
        <f>IFERROR(VLOOKUP($G809,'321買'!$A:$G,7,0),"'沒有資料'")</f>
        <v>911</v>
      </c>
      <c r="R809" s="297">
        <f>IFERROR(RANK(VLOOKUP($G809,連買!$A:$D,4,0),連買!$D:$D,0),"'沒有資料'")</f>
        <v>1243</v>
      </c>
      <c r="S809" s="34">
        <v>0</v>
      </c>
      <c r="T809" s="353">
        <f t="shared" si="166"/>
        <v>0</v>
      </c>
      <c r="U809" s="95">
        <v>-1.07</v>
      </c>
      <c r="V809" s="36">
        <f>RTD("money.excel",,"2349","Price")</f>
        <v>9.0500000000000007</v>
      </c>
      <c r="W809" s="66"/>
      <c r="X809" s="15">
        <f t="shared" si="167"/>
        <v>9.0500000000000007</v>
      </c>
      <c r="Y809" s="3" t="e">
        <f t="shared" si="168"/>
        <v>#DIV/0!</v>
      </c>
      <c r="Z809" s="413" t="s">
        <v>1801</v>
      </c>
      <c r="AA809" s="161">
        <v>0</v>
      </c>
      <c r="AB809" s="409">
        <v>0</v>
      </c>
      <c r="AC809" s="259">
        <f t="shared" si="163"/>
        <v>0</v>
      </c>
      <c r="AD809" s="22" t="s">
        <v>4458</v>
      </c>
      <c r="AG809" s="33">
        <f t="shared" si="169"/>
        <v>0</v>
      </c>
      <c r="AH809" s="43" t="s">
        <v>4455</v>
      </c>
      <c r="AI809" s="63">
        <f t="shared" si="170"/>
        <v>1.4862914862914863E-3</v>
      </c>
      <c r="AJ809" s="307">
        <f>RTD("money.excel",,$G809,"PredictVolume")</f>
        <v>1030</v>
      </c>
      <c r="AK809" s="339"/>
    </row>
    <row r="810" spans="1:37">
      <c r="A810" s="416">
        <v>28.2</v>
      </c>
      <c r="B810" s="80">
        <v>-123</v>
      </c>
      <c r="C810" s="80">
        <v>-78</v>
      </c>
      <c r="D810" s="80">
        <v>-16</v>
      </c>
      <c r="E810" s="80">
        <v>-19</v>
      </c>
      <c r="F810" s="6">
        <v>-20.57</v>
      </c>
      <c r="G810" s="79">
        <v>2374</v>
      </c>
      <c r="H810" s="8" t="s">
        <v>1985</v>
      </c>
      <c r="I810" s="22" t="s">
        <v>4459</v>
      </c>
      <c r="J810" s="73">
        <v>38.96</v>
      </c>
      <c r="K810" s="73">
        <v>9.1</v>
      </c>
      <c r="L810" s="73">
        <v>5.36</v>
      </c>
      <c r="N810" s="318">
        <f t="shared" si="171"/>
        <v>53.42</v>
      </c>
      <c r="O810" s="81">
        <f>IFERROR(VLOOKUP($G810,'321買'!A:E,3,0),"'沒有資料'")</f>
        <v>11</v>
      </c>
      <c r="P810" s="380">
        <f>IFERROR(VLOOKUP($G810,'321買'!$A:$G,7,0),"'沒有資料'")</f>
        <v>368</v>
      </c>
      <c r="R810" s="297">
        <f>IFERROR(RANK(VLOOKUP($G810,連買!$A:$D,4,0),連買!$D:$D,0),"'沒有資料'")</f>
        <v>822</v>
      </c>
      <c r="S810" s="34">
        <v>0.3</v>
      </c>
      <c r="T810" s="353">
        <f t="shared" si="166"/>
        <v>1.1952191235059759E-2</v>
      </c>
      <c r="U810" s="95">
        <v>-1.63</v>
      </c>
      <c r="V810" s="36">
        <f>RTD("money.excel",,"2374","Price")</f>
        <v>25.1</v>
      </c>
      <c r="W810" s="66"/>
      <c r="X810" s="15">
        <f t="shared" si="167"/>
        <v>25.1</v>
      </c>
      <c r="Y810" s="3" t="e">
        <f t="shared" si="168"/>
        <v>#DIV/0!</v>
      </c>
      <c r="Z810" s="413" t="s">
        <v>1801</v>
      </c>
      <c r="AA810" s="161">
        <v>0</v>
      </c>
      <c r="AB810" s="409">
        <v>0</v>
      </c>
      <c r="AC810" s="259">
        <f t="shared" si="163"/>
        <v>0</v>
      </c>
      <c r="AD810" s="22" t="s">
        <v>4459</v>
      </c>
      <c r="AG810" s="33">
        <f t="shared" si="169"/>
        <v>0</v>
      </c>
      <c r="AH810" s="120" t="s">
        <v>4460</v>
      </c>
      <c r="AI810" s="63">
        <f t="shared" si="170"/>
        <v>4.2872340425531919E-3</v>
      </c>
      <c r="AJ810" s="307">
        <f>RTD("money.excel",,$G810,"PredictVolume")</f>
        <v>1209</v>
      </c>
      <c r="AK810" s="339"/>
    </row>
    <row r="811" spans="1:37">
      <c r="A811" s="415">
        <v>44.3</v>
      </c>
      <c r="B811" s="79">
        <v>85</v>
      </c>
      <c r="C811" s="79">
        <v>100</v>
      </c>
      <c r="D811" s="80">
        <v>-6</v>
      </c>
      <c r="E811" s="80">
        <v>-6</v>
      </c>
      <c r="F811" s="57">
        <v>10.74</v>
      </c>
      <c r="G811" s="79">
        <v>2393</v>
      </c>
      <c r="H811" s="8" t="s">
        <v>308</v>
      </c>
      <c r="I811" s="22" t="s">
        <v>4461</v>
      </c>
      <c r="J811" s="73">
        <v>50.36</v>
      </c>
      <c r="K811" s="73">
        <v>39.75</v>
      </c>
      <c r="L811" s="323">
        <v>8.8800000000000008</v>
      </c>
      <c r="M811" s="73">
        <v>7.04</v>
      </c>
      <c r="N811" s="318">
        <f t="shared" si="171"/>
        <v>106.03</v>
      </c>
      <c r="O811" s="81">
        <f>IFERROR(VLOOKUP($G811,'321買'!A:E,3,0),"'沒有資料'")</f>
        <v>29</v>
      </c>
      <c r="P811" s="380">
        <f>IFERROR(VLOOKUP($G811,'321買'!$A:$G,7,0),"'沒有資料'")</f>
        <v>172</v>
      </c>
      <c r="Q811" s="245" t="s">
        <v>3818</v>
      </c>
      <c r="R811" s="297">
        <f>IFERROR(RANK(VLOOKUP($G811,連買!$A:$D,4,0),連買!$D:$D,0),"'沒有資料'")</f>
        <v>214</v>
      </c>
      <c r="S811" s="34">
        <v>2.25</v>
      </c>
      <c r="T811" s="353">
        <f t="shared" si="166"/>
        <v>4.8859934853420196E-2</v>
      </c>
      <c r="U811" s="57">
        <v>4.51</v>
      </c>
      <c r="V811" s="36">
        <f>RTD("money.excel",,"2393","Price")</f>
        <v>46.05</v>
      </c>
      <c r="W811" s="66"/>
      <c r="X811" s="15">
        <f t="shared" si="167"/>
        <v>46.05</v>
      </c>
      <c r="Y811" s="3" t="e">
        <f t="shared" si="168"/>
        <v>#DIV/0!</v>
      </c>
      <c r="Z811" s="413" t="s">
        <v>1801</v>
      </c>
      <c r="AA811" s="161">
        <v>0</v>
      </c>
      <c r="AB811" s="409">
        <v>0</v>
      </c>
      <c r="AC811" s="259">
        <f t="shared" si="163"/>
        <v>0</v>
      </c>
      <c r="AD811" s="22" t="s">
        <v>4461</v>
      </c>
      <c r="AG811" s="33">
        <f t="shared" si="169"/>
        <v>0</v>
      </c>
      <c r="AH811" s="120" t="s">
        <v>5061</v>
      </c>
      <c r="AI811" s="63">
        <f t="shared" si="170"/>
        <v>2.8261851015801355E-3</v>
      </c>
      <c r="AJ811" s="307">
        <f>RTD("money.excel",,$G811,"PredictVolume")</f>
        <v>1252</v>
      </c>
      <c r="AK811" s="339">
        <v>11</v>
      </c>
    </row>
    <row r="812" spans="1:37">
      <c r="A812" s="416">
        <v>35</v>
      </c>
      <c r="B812" s="79">
        <v>97</v>
      </c>
      <c r="C812" s="79">
        <v>155</v>
      </c>
      <c r="D812" s="80">
        <v>-4</v>
      </c>
      <c r="E812" s="80">
        <v>-8</v>
      </c>
      <c r="F812" s="6">
        <v>1.86</v>
      </c>
      <c r="G812" s="79">
        <v>2406</v>
      </c>
      <c r="H812" s="8" t="s">
        <v>308</v>
      </c>
      <c r="I812" s="22" t="s">
        <v>446</v>
      </c>
      <c r="J812" s="323">
        <v>24.38</v>
      </c>
      <c r="K812" s="73">
        <v>5.43</v>
      </c>
      <c r="L812" s="73">
        <v>24.8</v>
      </c>
      <c r="M812" s="73">
        <v>7.43</v>
      </c>
      <c r="N812" s="318">
        <f t="shared" si="171"/>
        <v>62.04</v>
      </c>
      <c r="O812" s="81">
        <f>IFERROR(VLOOKUP($G812,'321買'!A:E,3,0),"'沒有資料'")</f>
        <v>24</v>
      </c>
      <c r="P812" s="380">
        <f>IFERROR(VLOOKUP($G812,'321買'!$A:$G,7,0),"'沒有資料'")</f>
        <v>196</v>
      </c>
      <c r="R812" s="297">
        <f>IFERROR(RANK(VLOOKUP($G812,連買!$A:$D,4,0),連買!$D:$D,0),"'沒有資料'")</f>
        <v>931</v>
      </c>
      <c r="S812" s="34">
        <v>0</v>
      </c>
      <c r="T812" s="353">
        <f>S812/V812</f>
        <v>0</v>
      </c>
      <c r="U812" s="95">
        <v>0.41</v>
      </c>
      <c r="V812" s="36">
        <f>RTD("money.excel",,"2406","Price")</f>
        <v>24.75</v>
      </c>
      <c r="W812" s="66"/>
      <c r="X812" s="15">
        <f t="shared" si="167"/>
        <v>24.75</v>
      </c>
      <c r="Y812" s="3" t="e">
        <f t="shared" si="168"/>
        <v>#DIV/0!</v>
      </c>
      <c r="Z812" s="413" t="s">
        <v>1801</v>
      </c>
      <c r="AA812" s="161">
        <v>0</v>
      </c>
      <c r="AB812" s="409">
        <v>0</v>
      </c>
      <c r="AC812" s="259">
        <f t="shared" si="163"/>
        <v>0</v>
      </c>
      <c r="AD812" s="22" t="s">
        <v>446</v>
      </c>
      <c r="AG812" s="33">
        <f t="shared" si="169"/>
        <v>0</v>
      </c>
      <c r="AH812" s="43" t="s">
        <v>4462</v>
      </c>
      <c r="AI812" s="63">
        <f t="shared" si="170"/>
        <v>6.1114285714285715E-3</v>
      </c>
      <c r="AJ812" s="307">
        <f>RTD("money.excel",,$G812,"PredictVolume")</f>
        <v>2139</v>
      </c>
      <c r="AK812" s="339">
        <v>52.86</v>
      </c>
    </row>
    <row r="813" spans="1:37">
      <c r="A813" s="415">
        <v>962</v>
      </c>
      <c r="B813" s="79">
        <v>965</v>
      </c>
      <c r="C813" s="79">
        <v>950</v>
      </c>
      <c r="D813" s="79">
        <v>1</v>
      </c>
      <c r="E813" s="79">
        <v>19</v>
      </c>
      <c r="F813" s="57">
        <v>18.989999999999998</v>
      </c>
      <c r="G813" s="79">
        <v>2409</v>
      </c>
      <c r="H813" s="8" t="s">
        <v>1985</v>
      </c>
      <c r="I813" s="22" t="s">
        <v>210</v>
      </c>
      <c r="J813" s="323">
        <v>56.49</v>
      </c>
      <c r="K813" s="323">
        <v>32.479999999999997</v>
      </c>
      <c r="L813" s="323">
        <v>11.33</v>
      </c>
      <c r="M813" s="73">
        <v>0.36</v>
      </c>
      <c r="N813" s="318">
        <f t="shared" si="171"/>
        <v>100.66</v>
      </c>
      <c r="O813" s="81">
        <f>IFERROR(VLOOKUP($G813,'321買'!A:E,3,0),"'沒有資料'")</f>
        <v>16</v>
      </c>
      <c r="P813" s="380">
        <f>IFERROR(VLOOKUP($G813,'321買'!$A:$G,7,0),"'沒有資料'")</f>
        <v>307</v>
      </c>
      <c r="Q813" s="245" t="s">
        <v>3818</v>
      </c>
      <c r="R813" s="297">
        <f>IFERROR(RANK(VLOOKUP($G813,連買!$A:$D,4,0),連買!$D:$D,0),"'沒有資料'")</f>
        <v>797</v>
      </c>
      <c r="S813" s="34">
        <v>0.3</v>
      </c>
      <c r="T813" s="353">
        <f t="shared" si="166"/>
        <v>1.5424164524421594E-2</v>
      </c>
      <c r="U813" s="57">
        <v>6.22</v>
      </c>
      <c r="V813" s="36">
        <f>RTD("money.excel",,"2409","Price")</f>
        <v>19.45</v>
      </c>
      <c r="W813" s="66"/>
      <c r="X813" s="15">
        <f t="shared" si="167"/>
        <v>19.45</v>
      </c>
      <c r="Y813" s="3" t="e">
        <f t="shared" si="168"/>
        <v>#DIV/0!</v>
      </c>
      <c r="Z813" s="413" t="s">
        <v>1801</v>
      </c>
      <c r="AA813" s="161">
        <v>0</v>
      </c>
      <c r="AB813" s="409">
        <v>0</v>
      </c>
      <c r="AC813" s="259">
        <f t="shared" si="163"/>
        <v>0</v>
      </c>
      <c r="AD813" s="22" t="s">
        <v>210</v>
      </c>
      <c r="AG813" s="33">
        <f t="shared" si="169"/>
        <v>0</v>
      </c>
      <c r="AH813" s="120" t="s">
        <v>2767</v>
      </c>
      <c r="AI813" s="63">
        <f t="shared" si="170"/>
        <v>4.2028066528066524E-3</v>
      </c>
      <c r="AJ813" s="307">
        <f>RTD("money.excel",,$G813,"PredictVolume")</f>
        <v>40431</v>
      </c>
      <c r="AK813" s="339"/>
    </row>
    <row r="814" spans="1:37">
      <c r="A814" s="416">
        <v>30</v>
      </c>
      <c r="B814" s="80">
        <v>-84</v>
      </c>
      <c r="C814" s="80">
        <v>-105</v>
      </c>
      <c r="D814" s="79">
        <v>1</v>
      </c>
      <c r="E814" s="79">
        <v>8</v>
      </c>
      <c r="F814" s="6">
        <v>-0.46</v>
      </c>
      <c r="G814" s="79">
        <v>2426</v>
      </c>
      <c r="H814" s="208" t="s">
        <v>1985</v>
      </c>
      <c r="I814" s="22" t="s">
        <v>4463</v>
      </c>
      <c r="J814" s="73">
        <v>31.79</v>
      </c>
      <c r="K814" s="73">
        <v>7.96</v>
      </c>
      <c r="L814" s="73">
        <v>18.77</v>
      </c>
      <c r="N814" s="318">
        <f t="shared" si="171"/>
        <v>58.519999999999996</v>
      </c>
      <c r="O814" s="81">
        <f>IFERROR(VLOOKUP($G814,'321買'!A:E,3,0),"'沒有資料'")</f>
        <v>21</v>
      </c>
      <c r="P814" s="380">
        <f>IFERROR(VLOOKUP($G814,'321買'!$A:$G,7,0),"'沒有資料'")</f>
        <v>241</v>
      </c>
      <c r="R814" s="297">
        <f>IFERROR(RANK(VLOOKUP($G814,連買!$A:$D,4,0),連買!$D:$D,0),"'沒有資料'")</f>
        <v>820</v>
      </c>
      <c r="S814" s="34">
        <v>0.75</v>
      </c>
      <c r="T814" s="353">
        <f t="shared" si="166"/>
        <v>3.1847133757961783E-2</v>
      </c>
      <c r="U814" s="95">
        <v>1.02</v>
      </c>
      <c r="V814" s="36">
        <f>RTD("money.excel",,"2426","Price")</f>
        <v>23.55</v>
      </c>
      <c r="W814" s="66"/>
      <c r="X814" s="15">
        <f t="shared" si="167"/>
        <v>23.55</v>
      </c>
      <c r="Y814" s="3" t="e">
        <f t="shared" si="168"/>
        <v>#DIV/0!</v>
      </c>
      <c r="Z814" s="413" t="s">
        <v>1801</v>
      </c>
      <c r="AA814" s="161">
        <v>0</v>
      </c>
      <c r="AB814" s="409">
        <v>0</v>
      </c>
      <c r="AC814" s="259">
        <f t="shared" si="163"/>
        <v>0</v>
      </c>
      <c r="AD814" s="22" t="s">
        <v>4463</v>
      </c>
      <c r="AG814" s="33">
        <f t="shared" si="169"/>
        <v>0</v>
      </c>
      <c r="AH814" s="122" t="s">
        <v>4464</v>
      </c>
      <c r="AI814" s="63">
        <f t="shared" si="170"/>
        <v>3.4499999999999999E-3</v>
      </c>
      <c r="AJ814" s="307">
        <f>RTD("money.excel",,$G814,"PredictVolume")</f>
        <v>1035</v>
      </c>
      <c r="AK814" s="339"/>
    </row>
    <row r="815" spans="1:37">
      <c r="A815" s="416">
        <v>6.02</v>
      </c>
      <c r="B815" s="91">
        <v>116</v>
      </c>
      <c r="C815" s="91">
        <v>-78</v>
      </c>
      <c r="D815" s="91">
        <v>27</v>
      </c>
      <c r="E815" s="91">
        <v>47</v>
      </c>
      <c r="F815" s="6">
        <v>1.87</v>
      </c>
      <c r="G815" s="79">
        <v>2438</v>
      </c>
      <c r="H815" s="8" t="s">
        <v>1985</v>
      </c>
      <c r="I815" s="22" t="s">
        <v>4465</v>
      </c>
      <c r="J815" s="73">
        <v>70.260000000000005</v>
      </c>
      <c r="K815" s="73">
        <v>0.06</v>
      </c>
      <c r="N815" s="318">
        <f t="shared" si="171"/>
        <v>70.320000000000007</v>
      </c>
      <c r="O815" s="81">
        <f>IFERROR(VLOOKUP($G815,'321買'!A:E,3,0),"'沒有資料'")</f>
        <v>0</v>
      </c>
      <c r="P815" s="380">
        <f>IFERROR(VLOOKUP($G815,'321買'!$A:$G,7,0),"'沒有資料'")</f>
        <v>911</v>
      </c>
      <c r="R815" s="297">
        <f>IFERROR(RANK(VLOOKUP($G815,連買!$A:$D,4,0),連買!$D:$D,0),"'沒有資料'")</f>
        <v>1173</v>
      </c>
      <c r="S815" s="34">
        <v>0</v>
      </c>
      <c r="T815" s="353">
        <f t="shared" si="166"/>
        <v>0</v>
      </c>
      <c r="U815" s="95">
        <v>0.05</v>
      </c>
      <c r="V815" s="13">
        <f>RTD("money.excel",,"2438","Price")</f>
        <v>13.85</v>
      </c>
      <c r="W815" s="66"/>
      <c r="X815" s="15">
        <f t="shared" si="167"/>
        <v>13.85</v>
      </c>
      <c r="Y815" s="3" t="e">
        <f t="shared" si="168"/>
        <v>#DIV/0!</v>
      </c>
      <c r="AA815" s="161">
        <v>0</v>
      </c>
      <c r="AB815" s="409">
        <v>0</v>
      </c>
      <c r="AC815" s="259">
        <f t="shared" si="163"/>
        <v>0</v>
      </c>
      <c r="AD815" s="22" t="s">
        <v>4465</v>
      </c>
      <c r="AG815" s="33">
        <f t="shared" si="169"/>
        <v>0</v>
      </c>
      <c r="AH815" s="43" t="s">
        <v>4466</v>
      </c>
      <c r="AI815" s="63">
        <f t="shared" si="170"/>
        <v>1.9933554817275749E-4</v>
      </c>
      <c r="AJ815" s="307">
        <f>RTD("money.excel",,$G815,"PredictVolume")</f>
        <v>12</v>
      </c>
      <c r="AK815" s="339"/>
    </row>
    <row r="816" spans="1:37">
      <c r="A816" s="416">
        <v>15.6</v>
      </c>
      <c r="B816" s="91">
        <v>912</v>
      </c>
      <c r="C816" s="91">
        <v>-173</v>
      </c>
      <c r="D816" s="91">
        <v>-17</v>
      </c>
      <c r="E816" s="91">
        <v>53</v>
      </c>
      <c r="F816" s="6">
        <v>2.44</v>
      </c>
      <c r="G816" s="79">
        <v>2466</v>
      </c>
      <c r="H816" s="8" t="s">
        <v>1985</v>
      </c>
      <c r="I816" s="22" t="s">
        <v>4467</v>
      </c>
      <c r="J816" s="73">
        <v>96.04</v>
      </c>
      <c r="K816" s="73">
        <v>12.37</v>
      </c>
      <c r="L816" s="73">
        <v>8.59</v>
      </c>
      <c r="N816" s="318">
        <f t="shared" si="171"/>
        <v>117.00000000000001</v>
      </c>
      <c r="O816" s="81">
        <f>IFERROR(VLOOKUP($G816,'321買'!A:E,3,0),"'沒有資料'")</f>
        <v>0</v>
      </c>
      <c r="P816" s="380">
        <f>IFERROR(VLOOKUP($G816,'321買'!$A:$G,7,0),"'沒有資料'")</f>
        <v>911</v>
      </c>
      <c r="R816" s="297">
        <f>IFERROR(RANK(VLOOKUP($G816,連買!$A:$D,4,0),連買!$D:$D,0),"'沒有資料'")</f>
        <v>1589</v>
      </c>
      <c r="S816" s="34">
        <v>0</v>
      </c>
      <c r="T816" s="353">
        <f t="shared" si="166"/>
        <v>0</v>
      </c>
      <c r="U816" s="95">
        <v>0.04</v>
      </c>
      <c r="V816" s="13">
        <f>RTD("money.excel",,"2466","Price")</f>
        <v>33.75</v>
      </c>
      <c r="W816" s="66"/>
      <c r="X816" s="15">
        <f t="shared" si="167"/>
        <v>33.75</v>
      </c>
      <c r="Y816" s="3" t="e">
        <f t="shared" si="168"/>
        <v>#DIV/0!</v>
      </c>
      <c r="AA816" s="161">
        <v>0</v>
      </c>
      <c r="AB816" s="409">
        <v>0</v>
      </c>
      <c r="AC816" s="259">
        <f t="shared" si="163"/>
        <v>0</v>
      </c>
      <c r="AD816" s="22" t="s">
        <v>4467</v>
      </c>
      <c r="AG816" s="33">
        <f t="shared" si="169"/>
        <v>0</v>
      </c>
      <c r="AH816" s="43" t="s">
        <v>4468</v>
      </c>
      <c r="AI816" s="63">
        <f t="shared" si="170"/>
        <v>4.871794871794872E-4</v>
      </c>
      <c r="AJ816" s="307">
        <f>RTD("money.excel",,$G816,"PredictVolume")</f>
        <v>76</v>
      </c>
      <c r="AK816" s="339"/>
    </row>
    <row r="817" spans="1:37">
      <c r="A817" s="416">
        <v>20.2</v>
      </c>
      <c r="B817" s="79">
        <v>400</v>
      </c>
      <c r="C817" s="79">
        <v>905</v>
      </c>
      <c r="D817" s="79">
        <v>1</v>
      </c>
      <c r="E817" s="79">
        <v>46</v>
      </c>
      <c r="F817" s="6">
        <v>9.85</v>
      </c>
      <c r="G817" s="79">
        <v>2486</v>
      </c>
      <c r="H817" s="8" t="s">
        <v>1985</v>
      </c>
      <c r="I817" s="22" t="s">
        <v>4469</v>
      </c>
      <c r="J817" s="323">
        <v>33.33</v>
      </c>
      <c r="K817" s="323">
        <v>2.9</v>
      </c>
      <c r="L817" s="323">
        <v>41.72</v>
      </c>
      <c r="N817" s="318">
        <f t="shared" si="171"/>
        <v>77.949999999999989</v>
      </c>
      <c r="O817" s="81">
        <f>IFERROR(VLOOKUP($G817,'321買'!A:E,3,0),"'沒有資料'")</f>
        <v>50</v>
      </c>
      <c r="P817" s="380">
        <f>IFERROR(VLOOKUP($G817,'321買'!$A:$G,7,0),"'沒有資料'")</f>
        <v>66</v>
      </c>
      <c r="R817" s="297">
        <f>IFERROR(RANK(VLOOKUP($G817,連買!$A:$D,4,0),連買!$D:$D,0),"'沒有資料'")</f>
        <v>1625</v>
      </c>
      <c r="S817" s="34">
        <v>0</v>
      </c>
      <c r="T817" s="353">
        <f t="shared" si="166"/>
        <v>0</v>
      </c>
      <c r="U817" s="95">
        <v>0.67</v>
      </c>
      <c r="V817" s="36">
        <f>RTD("money.excel",,"2486","Price")</f>
        <v>43.1</v>
      </c>
      <c r="W817" s="66"/>
      <c r="X817" s="15">
        <f t="shared" si="167"/>
        <v>43.1</v>
      </c>
      <c r="Y817" s="3" t="e">
        <f t="shared" si="168"/>
        <v>#DIV/0!</v>
      </c>
      <c r="Z817" s="413" t="s">
        <v>1801</v>
      </c>
      <c r="AA817" s="161">
        <v>0</v>
      </c>
      <c r="AB817" s="409">
        <v>0</v>
      </c>
      <c r="AC817" s="259">
        <f t="shared" si="163"/>
        <v>0</v>
      </c>
      <c r="AD817" s="22" t="s">
        <v>4469</v>
      </c>
      <c r="AG817" s="33">
        <f t="shared" si="169"/>
        <v>0</v>
      </c>
      <c r="AH817" s="43" t="s">
        <v>2768</v>
      </c>
      <c r="AI817" s="63">
        <f t="shared" si="170"/>
        <v>5.9752475247524754E-3</v>
      </c>
      <c r="AJ817" s="307">
        <f>RTD("money.excel",,$G817,"PredictVolume")</f>
        <v>1207</v>
      </c>
      <c r="AK817" s="339"/>
    </row>
    <row r="818" spans="1:37">
      <c r="A818" s="146">
        <v>80.900000000000006</v>
      </c>
      <c r="B818" s="80">
        <v>-25</v>
      </c>
      <c r="C818" s="94">
        <v>-1159</v>
      </c>
      <c r="D818" s="80">
        <v>-1</v>
      </c>
      <c r="E818" s="79">
        <v>24</v>
      </c>
      <c r="F818" s="6">
        <v>-3.27</v>
      </c>
      <c r="G818" s="79">
        <v>2489</v>
      </c>
      <c r="H818" s="208" t="s">
        <v>1985</v>
      </c>
      <c r="I818" s="158" t="s">
        <v>4470</v>
      </c>
      <c r="J818" s="73">
        <v>26.79</v>
      </c>
      <c r="K818" s="323">
        <v>13.68</v>
      </c>
      <c r="L818" s="323">
        <v>3.51</v>
      </c>
      <c r="N818" s="318">
        <f t="shared" si="171"/>
        <v>43.98</v>
      </c>
      <c r="O818" s="81">
        <f>IFERROR(VLOOKUP($G818,'321買'!A:E,3,0),"'沒有資料'")</f>
        <v>12</v>
      </c>
      <c r="P818" s="380">
        <f>IFERROR(VLOOKUP($G818,'321買'!$A:$G,7,0),"'沒有資料'")</f>
        <v>387</v>
      </c>
      <c r="R818" s="297">
        <f>IFERROR(RANK(VLOOKUP($G818,連買!$A:$D,4,0),連買!$D:$D,0),"'沒有資料'")</f>
        <v>1467</v>
      </c>
      <c r="S818" s="197">
        <v>0</v>
      </c>
      <c r="T818" s="353">
        <f t="shared" si="166"/>
        <v>0</v>
      </c>
      <c r="U818" s="95">
        <v>0.68</v>
      </c>
      <c r="V818" s="36">
        <f>RTD("money.excel",,"2489","Price")</f>
        <v>16.25</v>
      </c>
      <c r="W818" s="66"/>
      <c r="X818" s="15">
        <f t="shared" si="167"/>
        <v>16.25</v>
      </c>
      <c r="Y818" s="3" t="e">
        <f t="shared" si="168"/>
        <v>#DIV/0!</v>
      </c>
      <c r="Z818" s="413" t="s">
        <v>1801</v>
      </c>
      <c r="AA818" s="161">
        <v>0</v>
      </c>
      <c r="AB818" s="409">
        <v>0</v>
      </c>
      <c r="AC818" s="259">
        <f t="shared" si="163"/>
        <v>0</v>
      </c>
      <c r="AD818" s="22" t="s">
        <v>4470</v>
      </c>
      <c r="AG818" s="33">
        <f t="shared" si="169"/>
        <v>0</v>
      </c>
      <c r="AH818" s="120" t="s">
        <v>4471</v>
      </c>
      <c r="AI818" s="63">
        <f t="shared" si="170"/>
        <v>8.1829419035846728E-4</v>
      </c>
      <c r="AJ818" s="307">
        <f>RTD("money.excel",,$G818,"PredictVolume")</f>
        <v>662</v>
      </c>
      <c r="AK818" s="339"/>
    </row>
    <row r="819" spans="1:37">
      <c r="A819" s="416">
        <v>8.1999999999999993</v>
      </c>
      <c r="B819" s="91">
        <v>-879</v>
      </c>
      <c r="C819" s="91">
        <v>-183</v>
      </c>
      <c r="D819" s="91">
        <v>-65</v>
      </c>
      <c r="E819" s="91">
        <v>58</v>
      </c>
      <c r="F819" s="6">
        <v>-24.42</v>
      </c>
      <c r="G819" s="79">
        <v>2491</v>
      </c>
      <c r="H819" s="8" t="s">
        <v>1985</v>
      </c>
      <c r="I819" s="22" t="s">
        <v>4472</v>
      </c>
      <c r="J819" s="73">
        <v>74.98</v>
      </c>
      <c r="K819" s="73">
        <v>8.06</v>
      </c>
      <c r="N819" s="318">
        <f t="shared" si="171"/>
        <v>83.04</v>
      </c>
      <c r="O819" s="81">
        <f>IFERROR(VLOOKUP($G819,'321買'!A:E,3,0),"'沒有資料'")</f>
        <v>8</v>
      </c>
      <c r="P819" s="380">
        <f>IFERROR(VLOOKUP($G819,'321買'!$A:$G,7,0),"'沒有資料'")</f>
        <v>448</v>
      </c>
      <c r="R819" s="297">
        <f>IFERROR(RANK(VLOOKUP($G819,連買!$A:$D,4,0),連買!$D:$D,0),"'沒有資料'")</f>
        <v>846</v>
      </c>
      <c r="S819" s="34">
        <v>0.4</v>
      </c>
      <c r="T819" s="353">
        <f t="shared" si="166"/>
        <v>2.2222222222222223E-2</v>
      </c>
      <c r="U819" s="95">
        <v>1.5</v>
      </c>
      <c r="V819" s="13">
        <f>RTD("money.excel",,"2491","Price")</f>
        <v>18</v>
      </c>
      <c r="W819" s="66"/>
      <c r="X819" s="15">
        <f t="shared" si="167"/>
        <v>18</v>
      </c>
      <c r="Y819" s="3" t="e">
        <f t="shared" si="168"/>
        <v>#DIV/0!</v>
      </c>
      <c r="AA819" s="161">
        <v>0</v>
      </c>
      <c r="AB819" s="409">
        <v>0</v>
      </c>
      <c r="AC819" s="259">
        <f t="shared" si="163"/>
        <v>0</v>
      </c>
      <c r="AD819" s="22" t="s">
        <v>4472</v>
      </c>
      <c r="AG819" s="33">
        <f t="shared" si="169"/>
        <v>0</v>
      </c>
      <c r="AH819" s="43" t="s">
        <v>4473</v>
      </c>
      <c r="AI819" s="63">
        <f t="shared" si="170"/>
        <v>1.3658536585365853E-3</v>
      </c>
      <c r="AJ819" s="307">
        <f>RTD("money.excel",,$G819,"PredictVolume")</f>
        <v>112</v>
      </c>
      <c r="AK819" s="339"/>
    </row>
    <row r="820" spans="1:37">
      <c r="A820" s="415">
        <v>13.4</v>
      </c>
      <c r="B820" s="80">
        <v>-22</v>
      </c>
      <c r="C820" s="80">
        <v>-27</v>
      </c>
      <c r="D820" s="79">
        <v>3</v>
      </c>
      <c r="E820" s="80">
        <v>-8</v>
      </c>
      <c r="F820" s="57">
        <v>50.63</v>
      </c>
      <c r="G820" s="79">
        <v>3008</v>
      </c>
      <c r="H820" s="17" t="s">
        <v>1985</v>
      </c>
      <c r="I820" s="22" t="s">
        <v>1940</v>
      </c>
      <c r="J820" s="326">
        <v>44.53</v>
      </c>
      <c r="K820" s="323">
        <v>41.76</v>
      </c>
      <c r="L820" s="73">
        <v>6.41</v>
      </c>
      <c r="M820" s="73">
        <v>28.5</v>
      </c>
      <c r="N820" s="318">
        <f t="shared" si="171"/>
        <v>121.19999999999999</v>
      </c>
      <c r="O820" s="81">
        <f>IFERROR(VLOOKUP($G820,'321買'!A:E,3,0),"'沒有資料'")</f>
        <v>1</v>
      </c>
      <c r="P820" s="380">
        <f>IFERROR(VLOOKUP($G820,'321買'!$A:$G,7,0),"'沒有資料'")</f>
        <v>783</v>
      </c>
      <c r="Q820" s="245" t="s">
        <v>3816</v>
      </c>
      <c r="R820" s="297">
        <f>IFERROR(RANK(VLOOKUP($G820,連買!$A:$D,4,0),連買!$D:$D,0),"'沒有資料'")</f>
        <v>2</v>
      </c>
      <c r="S820" s="220">
        <v>31</v>
      </c>
      <c r="T820" s="353">
        <f t="shared" si="166"/>
        <v>1.8844984802431609E-2</v>
      </c>
      <c r="U820" s="95">
        <v>152.77000000000001</v>
      </c>
      <c r="V820" s="64">
        <f>RTD("money.excel",,"3008","Price")</f>
        <v>1645</v>
      </c>
      <c r="W820" s="65"/>
      <c r="X820" s="141">
        <f t="shared" si="167"/>
        <v>1645</v>
      </c>
      <c r="Y820" s="3" t="e">
        <f t="shared" si="168"/>
        <v>#DIV/0!</v>
      </c>
      <c r="Z820" s="413" t="s">
        <v>1997</v>
      </c>
      <c r="AA820" s="161">
        <v>0</v>
      </c>
      <c r="AB820" s="409">
        <v>0</v>
      </c>
      <c r="AC820" s="259">
        <f t="shared" si="163"/>
        <v>0</v>
      </c>
      <c r="AD820" s="22" t="s">
        <v>1940</v>
      </c>
      <c r="AG820" s="33">
        <f t="shared" si="169"/>
        <v>0</v>
      </c>
      <c r="AH820" s="43" t="s">
        <v>4474</v>
      </c>
      <c r="AI820" s="63">
        <f t="shared" si="170"/>
        <v>3.2462686567164179E-3</v>
      </c>
      <c r="AJ820" s="307">
        <f>RTD("money.excel",,$G820,"PredictVolume")</f>
        <v>435</v>
      </c>
      <c r="AK820" s="339">
        <v>12.06</v>
      </c>
    </row>
    <row r="821" spans="1:37">
      <c r="A821" s="416">
        <v>28.1</v>
      </c>
      <c r="B821" s="80">
        <v>-73</v>
      </c>
      <c r="C821" s="80">
        <v>-71</v>
      </c>
      <c r="D821" s="80">
        <v>-1</v>
      </c>
      <c r="E821" s="80">
        <v>-13</v>
      </c>
      <c r="F821" s="6">
        <v>2.8</v>
      </c>
      <c r="G821" s="79">
        <v>3019</v>
      </c>
      <c r="H821" s="204" t="s">
        <v>1985</v>
      </c>
      <c r="I821" s="22" t="s">
        <v>4475</v>
      </c>
      <c r="J821" s="73">
        <v>41.24</v>
      </c>
      <c r="K821" s="73">
        <v>9.09</v>
      </c>
      <c r="L821" s="73">
        <v>19.05</v>
      </c>
      <c r="N821" s="318">
        <f t="shared" si="171"/>
        <v>69.38</v>
      </c>
      <c r="O821" s="81">
        <f>IFERROR(VLOOKUP($G821,'321買'!A:E,3,0),"'沒有資料'")</f>
        <v>18</v>
      </c>
      <c r="P821" s="380">
        <f>IFERROR(VLOOKUP($G821,'321買'!$A:$G,7,0),"'沒有資料'")</f>
        <v>222</v>
      </c>
      <c r="R821" s="297">
        <f>IFERROR(RANK(VLOOKUP($G821,連買!$A:$D,4,0),連買!$D:$D,0),"'沒有資料'")</f>
        <v>1635</v>
      </c>
      <c r="S821" s="34">
        <v>1</v>
      </c>
      <c r="T821" s="353">
        <f t="shared" si="166"/>
        <v>1.3089005235602092E-2</v>
      </c>
      <c r="U821" s="95">
        <v>1.41</v>
      </c>
      <c r="V821" s="36">
        <f>RTD("money.excel",,"3019","Price")</f>
        <v>76.400000000000006</v>
      </c>
      <c r="W821" s="66"/>
      <c r="X821" s="15">
        <f t="shared" si="167"/>
        <v>76.400000000000006</v>
      </c>
      <c r="Y821" s="3" t="e">
        <f t="shared" si="168"/>
        <v>#DIV/0!</v>
      </c>
      <c r="Z821" s="413" t="s">
        <v>1801</v>
      </c>
      <c r="AA821" s="161">
        <v>0</v>
      </c>
      <c r="AB821" s="409">
        <v>0</v>
      </c>
      <c r="AC821" s="259">
        <f t="shared" si="163"/>
        <v>0</v>
      </c>
      <c r="AD821" s="22" t="s">
        <v>4475</v>
      </c>
      <c r="AG821" s="33">
        <f t="shared" si="169"/>
        <v>0</v>
      </c>
      <c r="AH821" s="120" t="s">
        <v>2171</v>
      </c>
      <c r="AI821" s="63">
        <f t="shared" si="170"/>
        <v>1.2704626334519573E-3</v>
      </c>
      <c r="AJ821" s="307">
        <f>RTD("money.excel",,$G821,"PredictVolume")</f>
        <v>357</v>
      </c>
      <c r="AK821" s="339"/>
    </row>
    <row r="822" spans="1:37">
      <c r="A822" s="416">
        <v>27.7</v>
      </c>
      <c r="B822" s="91">
        <v>14</v>
      </c>
      <c r="C822" s="91">
        <v>31</v>
      </c>
      <c r="D822" s="91">
        <v>78</v>
      </c>
      <c r="E822" s="91">
        <v>59</v>
      </c>
      <c r="F822" s="6">
        <v>3.92</v>
      </c>
      <c r="G822" s="79">
        <v>3024</v>
      </c>
      <c r="H822" s="8" t="s">
        <v>1985</v>
      </c>
      <c r="I822" s="22" t="s">
        <v>4476</v>
      </c>
      <c r="J822" s="323">
        <v>51.78</v>
      </c>
      <c r="K822" s="323">
        <v>1.33</v>
      </c>
      <c r="L822" s="323">
        <v>0</v>
      </c>
      <c r="N822" s="318">
        <f t="shared" si="171"/>
        <v>53.11</v>
      </c>
      <c r="O822" s="81">
        <f>IFERROR(VLOOKUP($G822,'321買'!A:E,3,0),"'沒有資料'")</f>
        <v>0</v>
      </c>
      <c r="P822" s="380">
        <f>IFERROR(VLOOKUP($G822,'321買'!$A:$G,7,0),"'沒有資料'")</f>
        <v>911</v>
      </c>
      <c r="R822" s="297">
        <f>IFERROR(RANK(VLOOKUP($G822,連買!$A:$D,4,0),連買!$D:$D,0),"'沒有資料'")</f>
        <v>1193</v>
      </c>
      <c r="S822" s="34">
        <v>0.1</v>
      </c>
      <c r="T822" s="353">
        <f t="shared" si="166"/>
        <v>7.6045627376425855E-3</v>
      </c>
      <c r="U822" s="95">
        <v>0.17</v>
      </c>
      <c r="V822" s="13">
        <f>RTD("money.excel",,"3024","Price")</f>
        <v>13.15</v>
      </c>
      <c r="W822" s="66"/>
      <c r="X822" s="15">
        <f t="shared" si="167"/>
        <v>13.15</v>
      </c>
      <c r="Y822" s="3" t="e">
        <f t="shared" si="168"/>
        <v>#DIV/0!</v>
      </c>
      <c r="AA822" s="161">
        <v>0</v>
      </c>
      <c r="AB822" s="409">
        <v>0</v>
      </c>
      <c r="AC822" s="259">
        <f t="shared" si="163"/>
        <v>0</v>
      </c>
      <c r="AD822" s="22" t="s">
        <v>4476</v>
      </c>
      <c r="AG822" s="33">
        <f t="shared" si="169"/>
        <v>0</v>
      </c>
      <c r="AH822" s="43" t="s">
        <v>4477</v>
      </c>
      <c r="AI822" s="63">
        <f t="shared" si="170"/>
        <v>1.4223826714801443E-3</v>
      </c>
      <c r="AJ822" s="307">
        <f>RTD("money.excel",,$G822,"PredictVolume")</f>
        <v>394</v>
      </c>
      <c r="AK822" s="339"/>
    </row>
    <row r="823" spans="1:37">
      <c r="A823" s="416">
        <v>18.100000000000001</v>
      </c>
      <c r="B823" s="79">
        <v>218</v>
      </c>
      <c r="C823" s="79">
        <v>657</v>
      </c>
      <c r="D823" s="80">
        <v>-7</v>
      </c>
      <c r="E823" s="80">
        <v>-8</v>
      </c>
      <c r="F823" s="6">
        <v>8.02</v>
      </c>
      <c r="G823" s="79">
        <v>3031</v>
      </c>
      <c r="H823" s="8" t="s">
        <v>1985</v>
      </c>
      <c r="I823" s="22" t="s">
        <v>4478</v>
      </c>
      <c r="J823" s="73">
        <v>59.66</v>
      </c>
      <c r="K823" s="73">
        <v>3.12</v>
      </c>
      <c r="L823" s="323">
        <v>3.28</v>
      </c>
      <c r="N823" s="318">
        <f t="shared" si="171"/>
        <v>66.059999999999988</v>
      </c>
      <c r="O823" s="81">
        <f>IFERROR(VLOOKUP($G823,'321買'!A:E,3,0),"'沒有資料'")</f>
        <v>12</v>
      </c>
      <c r="P823" s="380">
        <f>IFERROR(VLOOKUP($G823,'321買'!$A:$G,7,0),"'沒有資料'")</f>
        <v>387</v>
      </c>
      <c r="R823" s="297">
        <f>IFERROR(RANK(VLOOKUP($G823,連買!$A:$D,4,0),連買!$D:$D,0),"'沒有資料'")</f>
        <v>1273</v>
      </c>
      <c r="S823" s="34">
        <v>0.8</v>
      </c>
      <c r="T823" s="353">
        <f t="shared" si="166"/>
        <v>3.921568627450981E-2</v>
      </c>
      <c r="U823" s="57">
        <v>0.74</v>
      </c>
      <c r="V823" s="36">
        <f>RTD("money.excel",,"3031","Price")</f>
        <v>20.399999999999999</v>
      </c>
      <c r="W823" s="66"/>
      <c r="X823" s="15">
        <f t="shared" si="167"/>
        <v>20.399999999999999</v>
      </c>
      <c r="Y823" s="3" t="e">
        <f t="shared" si="168"/>
        <v>#DIV/0!</v>
      </c>
      <c r="Z823" s="413" t="s">
        <v>1801</v>
      </c>
      <c r="AA823" s="161">
        <v>0</v>
      </c>
      <c r="AB823" s="409">
        <v>0</v>
      </c>
      <c r="AC823" s="259">
        <f t="shared" si="163"/>
        <v>0</v>
      </c>
      <c r="AD823" s="22" t="s">
        <v>4478</v>
      </c>
      <c r="AG823" s="33">
        <f t="shared" si="169"/>
        <v>0</v>
      </c>
      <c r="AH823" s="43" t="s">
        <v>4479</v>
      </c>
      <c r="AI823" s="63">
        <f t="shared" si="170"/>
        <v>5.8011049723756905E-4</v>
      </c>
      <c r="AJ823" s="307">
        <f>RTD("money.excel",,$G823,"PredictVolume")</f>
        <v>105</v>
      </c>
      <c r="AK823" s="339"/>
    </row>
    <row r="824" spans="1:37">
      <c r="A824" s="416">
        <v>16.2</v>
      </c>
      <c r="B824" s="79">
        <v>-8</v>
      </c>
      <c r="C824" s="79">
        <v>17</v>
      </c>
      <c r="D824" s="79">
        <v>9</v>
      </c>
      <c r="E824" s="80">
        <v>-15</v>
      </c>
      <c r="F824" s="6">
        <v>9.36</v>
      </c>
      <c r="G824" s="79">
        <v>3038</v>
      </c>
      <c r="H824" s="8" t="s">
        <v>1985</v>
      </c>
      <c r="I824" s="22" t="s">
        <v>4480</v>
      </c>
      <c r="J824" s="73">
        <v>26.62</v>
      </c>
      <c r="K824" s="73">
        <v>1.93</v>
      </c>
      <c r="L824" s="73">
        <v>22.17</v>
      </c>
      <c r="N824" s="318">
        <f t="shared" si="171"/>
        <v>50.72</v>
      </c>
      <c r="O824" s="81">
        <f>IFERROR(VLOOKUP($G824,'321買'!A:E,3,0),"'沒有資料'")</f>
        <v>5</v>
      </c>
      <c r="P824" s="380">
        <f>IFERROR(VLOOKUP($G824,'321買'!$A:$G,7,0),"'沒有資料'")</f>
        <v>558</v>
      </c>
      <c r="R824" s="297">
        <f>IFERROR(RANK(VLOOKUP($G824,連買!$A:$D,4,0),連買!$D:$D,0),"'沒有資料'")</f>
        <v>897</v>
      </c>
      <c r="S824" s="34">
        <v>1.2</v>
      </c>
      <c r="T824" s="353">
        <f t="shared" si="166"/>
        <v>6.3157894736842107E-2</v>
      </c>
      <c r="U824" s="95">
        <v>1.57</v>
      </c>
      <c r="V824" s="36">
        <f>RTD("money.excel",,"3038","Price")</f>
        <v>19</v>
      </c>
      <c r="W824" s="66"/>
      <c r="X824" s="15">
        <f t="shared" si="167"/>
        <v>19</v>
      </c>
      <c r="Y824" s="3" t="e">
        <f t="shared" si="168"/>
        <v>#DIV/0!</v>
      </c>
      <c r="Z824" s="413" t="s">
        <v>1801</v>
      </c>
      <c r="AA824" s="161">
        <v>0</v>
      </c>
      <c r="AB824" s="409">
        <v>0</v>
      </c>
      <c r="AC824" s="259">
        <f t="shared" si="163"/>
        <v>0</v>
      </c>
      <c r="AD824" s="22" t="s">
        <v>4480</v>
      </c>
      <c r="AG824" s="33">
        <f t="shared" si="169"/>
        <v>0</v>
      </c>
      <c r="AH824" s="43" t="s">
        <v>4481</v>
      </c>
      <c r="AI824" s="63">
        <f t="shared" si="170"/>
        <v>1.0617283950617284E-3</v>
      </c>
      <c r="AJ824" s="307">
        <f>RTD("money.excel",,$G824,"PredictVolume")</f>
        <v>172</v>
      </c>
      <c r="AK824" s="339"/>
    </row>
    <row r="825" spans="1:37">
      <c r="A825" s="416">
        <v>80.599999999999994</v>
      </c>
      <c r="B825" s="80">
        <v>-82</v>
      </c>
      <c r="C825" s="80">
        <v>-82</v>
      </c>
      <c r="D825" s="79">
        <v>54</v>
      </c>
      <c r="E825" s="79">
        <v>3</v>
      </c>
      <c r="F825" s="6">
        <v>7.97</v>
      </c>
      <c r="G825" s="79">
        <v>3049</v>
      </c>
      <c r="H825" s="8" t="s">
        <v>1985</v>
      </c>
      <c r="I825" s="22" t="s">
        <v>4482</v>
      </c>
      <c r="J825" s="73">
        <v>48.42</v>
      </c>
      <c r="K825" s="73">
        <v>9.7100000000000009</v>
      </c>
      <c r="L825" s="73">
        <v>13.92</v>
      </c>
      <c r="N825" s="318">
        <f t="shared" si="171"/>
        <v>72.05</v>
      </c>
      <c r="O825" s="81">
        <f>IFERROR(VLOOKUP($G825,'321買'!A:E,3,0),"'沒有資料'")</f>
        <v>9</v>
      </c>
      <c r="P825" s="380">
        <f>IFERROR(VLOOKUP($G825,'321買'!$A:$G,7,0),"'沒有資料'")</f>
        <v>408</v>
      </c>
      <c r="R825" s="297">
        <f>IFERROR(RANK(VLOOKUP($G825,連買!$A:$D,4,0),連買!$D:$D,0),"'沒有資料'")</f>
        <v>1292</v>
      </c>
      <c r="S825" s="34">
        <v>0.39</v>
      </c>
      <c r="T825" s="353">
        <f t="shared" si="166"/>
        <v>3.1325301204819279E-2</v>
      </c>
      <c r="U825" s="95">
        <v>0.43</v>
      </c>
      <c r="V825" s="36">
        <f>RTD("money.excel",,"3049","Price")</f>
        <v>12.45</v>
      </c>
      <c r="W825" s="66"/>
      <c r="X825" s="15">
        <f t="shared" si="167"/>
        <v>12.45</v>
      </c>
      <c r="Y825" s="3" t="e">
        <f t="shared" si="168"/>
        <v>#DIV/0!</v>
      </c>
      <c r="Z825" s="413" t="s">
        <v>1801</v>
      </c>
      <c r="AA825" s="161">
        <v>0</v>
      </c>
      <c r="AB825" s="409">
        <v>0</v>
      </c>
      <c r="AC825" s="259">
        <f t="shared" si="163"/>
        <v>0</v>
      </c>
      <c r="AD825" s="22" t="s">
        <v>4482</v>
      </c>
      <c r="AG825" s="33">
        <f t="shared" si="169"/>
        <v>0</v>
      </c>
      <c r="AH825" s="120" t="s">
        <v>4483</v>
      </c>
      <c r="AI825" s="63">
        <f t="shared" si="170"/>
        <v>2.7977667493796527E-3</v>
      </c>
      <c r="AJ825" s="307">
        <f>RTD("money.excel",,$G825,"PredictVolume")</f>
        <v>2255</v>
      </c>
      <c r="AK825" s="339"/>
    </row>
    <row r="826" spans="1:37">
      <c r="A826" s="415">
        <v>14.6</v>
      </c>
      <c r="B826" s="79">
        <v>13</v>
      </c>
      <c r="C826" s="80">
        <v>-19</v>
      </c>
      <c r="D826" s="79">
        <v>5</v>
      </c>
      <c r="E826" s="80">
        <v>-8</v>
      </c>
      <c r="F826" s="57">
        <v>14.32</v>
      </c>
      <c r="G826" s="79">
        <v>3050</v>
      </c>
      <c r="H826" s="8" t="s">
        <v>1985</v>
      </c>
      <c r="I826" s="22" t="s">
        <v>4484</v>
      </c>
      <c r="J826" s="73">
        <v>43.74</v>
      </c>
      <c r="K826" s="73">
        <v>7.01</v>
      </c>
      <c r="L826" s="323">
        <v>18.53</v>
      </c>
      <c r="N826" s="318">
        <f t="shared" si="171"/>
        <v>69.28</v>
      </c>
      <c r="O826" s="81">
        <f>IFERROR(VLOOKUP($G826,'321買'!A:E,3,0),"'沒有資料'")</f>
        <v>14</v>
      </c>
      <c r="P826" s="380">
        <f>IFERROR(VLOOKUP($G826,'321買'!$A:$G,7,0),"'沒有資料'")</f>
        <v>348</v>
      </c>
      <c r="R826" s="297">
        <f>IFERROR(RANK(VLOOKUP($G826,連買!$A:$D,4,0),連買!$D:$D,0),"'沒有資料'")</f>
        <v>902</v>
      </c>
      <c r="S826" s="34">
        <v>0.6</v>
      </c>
      <c r="T826" s="353">
        <f t="shared" si="166"/>
        <v>3.2608695652173912E-2</v>
      </c>
      <c r="U826" s="95">
        <v>0.84</v>
      </c>
      <c r="V826" s="36">
        <f>RTD("money.excel",,"3050","Price")</f>
        <v>18.399999999999999</v>
      </c>
      <c r="W826" s="66"/>
      <c r="X826" s="15">
        <f t="shared" si="167"/>
        <v>18.399999999999999</v>
      </c>
      <c r="Y826" s="3" t="e">
        <f t="shared" si="168"/>
        <v>#DIV/0!</v>
      </c>
      <c r="Z826" s="413" t="s">
        <v>1801</v>
      </c>
      <c r="AA826" s="161">
        <v>0</v>
      </c>
      <c r="AB826" s="409">
        <v>0</v>
      </c>
      <c r="AC826" s="259">
        <f t="shared" si="163"/>
        <v>0</v>
      </c>
      <c r="AD826" s="22" t="s">
        <v>4484</v>
      </c>
      <c r="AG826" s="33">
        <f t="shared" si="169"/>
        <v>0</v>
      </c>
      <c r="AH826" s="43" t="s">
        <v>4485</v>
      </c>
      <c r="AI826" s="63">
        <f t="shared" si="170"/>
        <v>4.0616438356164382E-3</v>
      </c>
      <c r="AJ826" s="307">
        <f>RTD("money.excel",,$G826,"PredictVolume")</f>
        <v>593</v>
      </c>
      <c r="AK826" s="339"/>
    </row>
    <row r="827" spans="1:37">
      <c r="A827" s="415">
        <v>32.5</v>
      </c>
      <c r="B827" s="93">
        <v>2049</v>
      </c>
      <c r="C827" s="79">
        <v>324</v>
      </c>
      <c r="D827" s="79">
        <v>6</v>
      </c>
      <c r="E827" s="79">
        <v>47</v>
      </c>
      <c r="F827" s="57">
        <v>10.54</v>
      </c>
      <c r="G827" s="79">
        <v>3051</v>
      </c>
      <c r="H827" s="8" t="s">
        <v>1985</v>
      </c>
      <c r="I827" s="22" t="s">
        <v>4486</v>
      </c>
      <c r="J827" s="323">
        <v>42.02</v>
      </c>
      <c r="K827" s="73">
        <v>1.34</v>
      </c>
      <c r="L827" s="323"/>
      <c r="N827" s="318">
        <f t="shared" si="171"/>
        <v>43.360000000000007</v>
      </c>
      <c r="O827" s="81">
        <f>IFERROR(VLOOKUP($G827,'321買'!A:E,3,0),"'沒有資料'")</f>
        <v>3</v>
      </c>
      <c r="P827" s="380">
        <f>IFERROR(VLOOKUP($G827,'321買'!$A:$G,7,0),"'沒有資料'")</f>
        <v>636</v>
      </c>
      <c r="R827" s="297">
        <f>IFERROR(RANK(VLOOKUP($G827,連買!$A:$D,4,0),連買!$D:$D,0),"'沒有資料'")</f>
        <v>1576</v>
      </c>
      <c r="S827" s="34">
        <v>0</v>
      </c>
      <c r="T827" s="353">
        <f t="shared" si="166"/>
        <v>0</v>
      </c>
      <c r="U827" s="95">
        <v>2.3199999999999998</v>
      </c>
      <c r="V827" s="36">
        <f>RTD("money.excel",,"3051","Price")</f>
        <v>24.55</v>
      </c>
      <c r="W827" s="66"/>
      <c r="X827" s="15">
        <f t="shared" si="167"/>
        <v>24.55</v>
      </c>
      <c r="Y827" s="3" t="e">
        <f t="shared" si="168"/>
        <v>#DIV/0!</v>
      </c>
      <c r="Z827" s="413" t="s">
        <v>1801</v>
      </c>
      <c r="AA827" s="161">
        <v>0</v>
      </c>
      <c r="AB827" s="409">
        <v>0</v>
      </c>
      <c r="AC827" s="259">
        <f t="shared" si="163"/>
        <v>0</v>
      </c>
      <c r="AD827" s="22" t="s">
        <v>4486</v>
      </c>
      <c r="AG827" s="33">
        <f t="shared" si="169"/>
        <v>0</v>
      </c>
      <c r="AH827" s="43" t="s">
        <v>4487</v>
      </c>
      <c r="AI827" s="63">
        <f t="shared" si="170"/>
        <v>2.1839999999999998E-2</v>
      </c>
      <c r="AJ827" s="307">
        <f>RTD("money.excel",,$G827,"PredictVolume")</f>
        <v>7098</v>
      </c>
      <c r="AK827" s="339"/>
    </row>
    <row r="828" spans="1:37">
      <c r="A828" s="416">
        <v>27.9</v>
      </c>
      <c r="B828" s="80">
        <v>-102</v>
      </c>
      <c r="C828" s="80">
        <v>-271</v>
      </c>
      <c r="D828" s="80">
        <v>-22</v>
      </c>
      <c r="E828" s="80">
        <v>-26</v>
      </c>
      <c r="F828" s="6">
        <v>-2.5299999999999998</v>
      </c>
      <c r="G828" s="79">
        <v>3059</v>
      </c>
      <c r="H828" s="208" t="s">
        <v>1985</v>
      </c>
      <c r="I828" s="22" t="s">
        <v>4488</v>
      </c>
      <c r="J828" s="73">
        <v>35.24</v>
      </c>
      <c r="K828" s="73">
        <v>13.2</v>
      </c>
      <c r="L828" s="73">
        <v>9.24</v>
      </c>
      <c r="N828" s="318">
        <f t="shared" si="171"/>
        <v>57.68</v>
      </c>
      <c r="O828" s="81">
        <f>IFERROR(VLOOKUP($G828,'321買'!A:E,3,0),"'沒有資料'")</f>
        <v>48</v>
      </c>
      <c r="P828" s="380">
        <f>IFERROR(VLOOKUP($G828,'321買'!$A:$G,7,0),"'沒有資料'")</f>
        <v>56</v>
      </c>
      <c r="R828" s="297">
        <f>IFERROR(RANK(VLOOKUP($G828,連買!$A:$D,4,0),連買!$D:$D,0),"'沒有資料'")</f>
        <v>612</v>
      </c>
      <c r="S828" s="34">
        <v>0.5</v>
      </c>
      <c r="T828" s="353">
        <f t="shared" si="166"/>
        <v>1.2150668286755772E-2</v>
      </c>
      <c r="U828" s="95">
        <v>0.6</v>
      </c>
      <c r="V828" s="36">
        <f>RTD("money.excel",,"3059","Price")</f>
        <v>41.15</v>
      </c>
      <c r="W828" s="66"/>
      <c r="X828" s="15">
        <f t="shared" si="167"/>
        <v>41.15</v>
      </c>
      <c r="Y828" s="3" t="e">
        <f t="shared" si="168"/>
        <v>#DIV/0!</v>
      </c>
      <c r="Z828" s="413" t="s">
        <v>1801</v>
      </c>
      <c r="AA828" s="161">
        <v>0</v>
      </c>
      <c r="AB828" s="409">
        <v>0</v>
      </c>
      <c r="AC828" s="259">
        <f t="shared" si="163"/>
        <v>0</v>
      </c>
      <c r="AD828" s="22" t="s">
        <v>4488</v>
      </c>
      <c r="AG828" s="33">
        <f t="shared" si="169"/>
        <v>0</v>
      </c>
      <c r="AH828" s="120" t="s">
        <v>4489</v>
      </c>
      <c r="AI828" s="63">
        <f t="shared" si="170"/>
        <v>8.3046594982078854E-3</v>
      </c>
      <c r="AJ828" s="307">
        <f>RTD("money.excel",,$G828,"PredictVolume")</f>
        <v>2317</v>
      </c>
      <c r="AK828" s="339"/>
    </row>
    <row r="829" spans="1:37">
      <c r="A829" s="416">
        <v>8.31</v>
      </c>
      <c r="B829" s="91">
        <v>-253</v>
      </c>
      <c r="C829" s="91">
        <v>-93</v>
      </c>
      <c r="D829" s="91">
        <v>-2</v>
      </c>
      <c r="E829" s="91">
        <v>53</v>
      </c>
      <c r="F829" s="6">
        <v>-8.3699999999999992</v>
      </c>
      <c r="G829" s="79">
        <v>3066</v>
      </c>
      <c r="H829" s="8" t="s">
        <v>1985</v>
      </c>
      <c r="I829" s="16" t="s">
        <v>4490</v>
      </c>
      <c r="J829" s="73">
        <v>70.61</v>
      </c>
      <c r="K829" s="73">
        <v>0</v>
      </c>
      <c r="N829" s="318">
        <f t="shared" si="171"/>
        <v>70.61</v>
      </c>
      <c r="O829" s="81">
        <f>IFERROR(VLOOKUP($G829,'321買'!A:E,3,0),"'沒有資料'")</f>
        <v>0</v>
      </c>
      <c r="P829" s="380">
        <f>IFERROR(VLOOKUP($G829,'321買'!$A:$G,7,0),"'沒有資料'")</f>
        <v>911</v>
      </c>
      <c r="R829" s="297">
        <f>IFERROR(RANK(VLOOKUP($G829,連買!$A:$D,4,0),連買!$D:$D,0),"'沒有資料'")</f>
        <v>989</v>
      </c>
      <c r="S829" s="34">
        <v>0</v>
      </c>
      <c r="T829" s="353">
        <f t="shared" si="166"/>
        <v>0</v>
      </c>
      <c r="U829" s="95">
        <v>0.54</v>
      </c>
      <c r="V829" s="13">
        <f>RTD("money.excel",,"3066","Price")</f>
        <v>39.85</v>
      </c>
      <c r="W829" s="66"/>
      <c r="X829" s="15">
        <f t="shared" si="167"/>
        <v>39.85</v>
      </c>
      <c r="Y829" s="3" t="e">
        <f t="shared" si="168"/>
        <v>#DIV/0!</v>
      </c>
      <c r="AA829" s="161">
        <v>0</v>
      </c>
      <c r="AB829" s="409">
        <v>0</v>
      </c>
      <c r="AC829" s="259">
        <f t="shared" si="163"/>
        <v>0</v>
      </c>
      <c r="AD829" s="16" t="s">
        <v>4490</v>
      </c>
      <c r="AG829" s="33">
        <f t="shared" si="169"/>
        <v>0</v>
      </c>
      <c r="AH829" s="43" t="s">
        <v>4479</v>
      </c>
      <c r="AI829" s="63">
        <f t="shared" si="170"/>
        <v>4.1756919374247893E-3</v>
      </c>
      <c r="AJ829" s="307">
        <f>RTD("money.excel",,$G829,"PredictVolume")</f>
        <v>347</v>
      </c>
      <c r="AK829" s="339"/>
    </row>
    <row r="830" spans="1:37">
      <c r="A830" s="416">
        <v>4.2</v>
      </c>
      <c r="B830" s="79">
        <v>5</v>
      </c>
      <c r="C830" s="79">
        <v>12</v>
      </c>
      <c r="D830" s="79">
        <v>30</v>
      </c>
      <c r="E830" s="79">
        <v>24</v>
      </c>
      <c r="F830" s="6">
        <v>3.84</v>
      </c>
      <c r="G830" s="79">
        <v>3128</v>
      </c>
      <c r="H830" s="8" t="s">
        <v>1985</v>
      </c>
      <c r="I830" s="16" t="s">
        <v>4491</v>
      </c>
      <c r="J830" s="73">
        <v>38.909999999999997</v>
      </c>
      <c r="K830" s="323">
        <v>8.34</v>
      </c>
      <c r="L830" s="323">
        <v>25.28</v>
      </c>
      <c r="M830" s="73">
        <v>20.64</v>
      </c>
      <c r="N830" s="318">
        <f t="shared" si="171"/>
        <v>93.17</v>
      </c>
      <c r="O830" s="81">
        <f>IFERROR(VLOOKUP($G830,'321買'!A:E,3,0),"'沒有資料'")</f>
        <v>22</v>
      </c>
      <c r="P830" s="380">
        <f>IFERROR(VLOOKUP($G830,'321買'!$A:$G,7,0),"'沒有資料'")</f>
        <v>250</v>
      </c>
      <c r="Q830" s="245" t="s">
        <v>3815</v>
      </c>
      <c r="R830" s="297">
        <f>IFERROR(RANK(VLOOKUP($G830,連買!$A:$D,4,0),連買!$D:$D,0),"'沒有資料'")</f>
        <v>1354</v>
      </c>
      <c r="S830" s="34">
        <v>0.55000000000000004</v>
      </c>
      <c r="T830" s="353">
        <f t="shared" si="166"/>
        <v>2.777777777777778E-2</v>
      </c>
      <c r="U830" s="95">
        <v>0.68</v>
      </c>
      <c r="V830" s="36">
        <f>RTD("money.excel",,"3128","Price")</f>
        <v>19.8</v>
      </c>
      <c r="W830" s="66"/>
      <c r="X830" s="15">
        <f t="shared" si="167"/>
        <v>19.8</v>
      </c>
      <c r="Y830" s="3" t="e">
        <f t="shared" si="168"/>
        <v>#DIV/0!</v>
      </c>
      <c r="Z830" s="413" t="s">
        <v>1801</v>
      </c>
      <c r="AA830" s="161">
        <v>0</v>
      </c>
      <c r="AB830" s="409">
        <v>0</v>
      </c>
      <c r="AC830" s="259">
        <f t="shared" si="163"/>
        <v>0</v>
      </c>
      <c r="AD830" s="16" t="s">
        <v>4491</v>
      </c>
      <c r="AG830" s="33">
        <f t="shared" si="169"/>
        <v>0</v>
      </c>
      <c r="AH830" s="43" t="s">
        <v>4492</v>
      </c>
      <c r="AI830" s="63">
        <f t="shared" si="170"/>
        <v>1.7619047619047618E-3</v>
      </c>
      <c r="AJ830" s="307">
        <f>RTD("money.excel",,$G830,"PredictVolume")</f>
        <v>74</v>
      </c>
      <c r="AK830" s="339"/>
    </row>
    <row r="831" spans="1:37">
      <c r="A831" s="416">
        <v>20.6</v>
      </c>
      <c r="B831" s="94">
        <v>-1113</v>
      </c>
      <c r="C831" s="80">
        <v>-110</v>
      </c>
      <c r="D831" s="80">
        <v>-1</v>
      </c>
      <c r="E831" s="80">
        <v>-5</v>
      </c>
      <c r="F831" s="6">
        <v>-26.62</v>
      </c>
      <c r="G831" s="79">
        <v>3149</v>
      </c>
      <c r="H831" s="8" t="s">
        <v>1985</v>
      </c>
      <c r="I831" s="22" t="s">
        <v>4493</v>
      </c>
      <c r="J831" s="73">
        <v>47.87</v>
      </c>
      <c r="K831" s="73">
        <v>1.34</v>
      </c>
      <c r="N831" s="318">
        <f t="shared" si="171"/>
        <v>49.21</v>
      </c>
      <c r="O831" s="81">
        <f>IFERROR(VLOOKUP($G831,'321買'!A:E,3,0),"'沒有資料'")</f>
        <v>4</v>
      </c>
      <c r="P831" s="380">
        <f>IFERROR(VLOOKUP($G831,'321買'!$A:$G,7,0),"'沒有資料'")</f>
        <v>592</v>
      </c>
      <c r="R831" s="297">
        <f>IFERROR(RANK(VLOOKUP($G831,連買!$A:$D,4,0),連買!$D:$D,0),"'沒有資料'")</f>
        <v>1673</v>
      </c>
      <c r="S831" s="34">
        <v>0</v>
      </c>
      <c r="T831" s="353">
        <f t="shared" si="166"/>
        <v>0</v>
      </c>
      <c r="U831" s="95">
        <v>-1.42</v>
      </c>
      <c r="V831" s="36">
        <f>RTD("money.excel",,"3149","Price")</f>
        <v>25.2</v>
      </c>
      <c r="W831" s="66"/>
      <c r="X831" s="15">
        <f t="shared" si="167"/>
        <v>25.2</v>
      </c>
      <c r="Y831" s="3" t="e">
        <f t="shared" si="168"/>
        <v>#DIV/0!</v>
      </c>
      <c r="Z831" s="413" t="s">
        <v>1801</v>
      </c>
      <c r="AA831" s="161">
        <v>0</v>
      </c>
      <c r="AB831" s="409">
        <v>0</v>
      </c>
      <c r="AC831" s="259">
        <f t="shared" si="163"/>
        <v>0</v>
      </c>
      <c r="AD831" s="22" t="s">
        <v>4493</v>
      </c>
      <c r="AG831" s="33">
        <f t="shared" si="169"/>
        <v>0</v>
      </c>
      <c r="AH831" s="120" t="s">
        <v>4494</v>
      </c>
      <c r="AI831" s="63">
        <f t="shared" si="170"/>
        <v>1.3058252427184465E-3</v>
      </c>
      <c r="AJ831" s="307">
        <f>RTD("money.excel",,$G831,"PredictVolume")</f>
        <v>269</v>
      </c>
      <c r="AK831" s="339"/>
    </row>
    <row r="832" spans="1:37">
      <c r="A832" s="416">
        <v>7.1</v>
      </c>
      <c r="B832" s="79">
        <v>86</v>
      </c>
      <c r="C832" s="79">
        <v>40</v>
      </c>
      <c r="D832" s="79">
        <v>17</v>
      </c>
      <c r="E832" s="79">
        <v>8</v>
      </c>
      <c r="F832" s="6">
        <v>3.85</v>
      </c>
      <c r="G832" s="79">
        <v>3230</v>
      </c>
      <c r="H832" s="8" t="s">
        <v>1985</v>
      </c>
      <c r="I832" s="16" t="s">
        <v>4495</v>
      </c>
      <c r="J832" s="323">
        <v>42.01</v>
      </c>
      <c r="K832" s="323">
        <v>0.2</v>
      </c>
      <c r="L832" s="73">
        <v>13.49</v>
      </c>
      <c r="N832" s="318">
        <f t="shared" si="171"/>
        <v>55.7</v>
      </c>
      <c r="O832" s="81">
        <f>IFERROR(VLOOKUP($G832,'321買'!A:E,3,0),"'沒有資料'")</f>
        <v>9</v>
      </c>
      <c r="P832" s="380">
        <f>IFERROR(VLOOKUP($G832,'321買'!$A:$G,7,0),"'沒有資料'")</f>
        <v>448</v>
      </c>
      <c r="R832" s="297">
        <f>IFERROR(RANK(VLOOKUP($G832,連買!$A:$D,4,0),連買!$D:$D,0),"'沒有資料'")</f>
        <v>1322</v>
      </c>
      <c r="S832" s="34">
        <v>0</v>
      </c>
      <c r="T832" s="353">
        <f t="shared" si="166"/>
        <v>0</v>
      </c>
      <c r="U832" s="95">
        <v>0.25</v>
      </c>
      <c r="V832" s="36">
        <f>RTD("money.excel",,"3230","Price")</f>
        <v>18.45</v>
      </c>
      <c r="W832" s="66"/>
      <c r="X832" s="15">
        <f t="shared" si="167"/>
        <v>18.45</v>
      </c>
      <c r="Y832" s="3" t="e">
        <f t="shared" si="168"/>
        <v>#DIV/0!</v>
      </c>
      <c r="AA832" s="161">
        <v>0</v>
      </c>
      <c r="AB832" s="409">
        <v>0</v>
      </c>
      <c r="AC832" s="259">
        <f t="shared" si="163"/>
        <v>0</v>
      </c>
      <c r="AD832" s="16" t="s">
        <v>4495</v>
      </c>
      <c r="AG832" s="33">
        <f t="shared" si="169"/>
        <v>0</v>
      </c>
      <c r="AH832" s="43" t="s">
        <v>2615</v>
      </c>
      <c r="AI832" s="63">
        <f t="shared" si="170"/>
        <v>3.8309859154929578E-3</v>
      </c>
      <c r="AJ832" s="307">
        <f>RTD("money.excel",,$G832,"PredictVolume")</f>
        <v>272</v>
      </c>
      <c r="AK832" s="339"/>
    </row>
    <row r="833" spans="1:37">
      <c r="A833" s="416">
        <v>3.68</v>
      </c>
      <c r="B833" s="80">
        <v>-125</v>
      </c>
      <c r="C833" s="79">
        <v>29</v>
      </c>
      <c r="D833" s="79">
        <v>28</v>
      </c>
      <c r="E833" s="80">
        <v>-20</v>
      </c>
      <c r="F833" s="6">
        <v>-21.2</v>
      </c>
      <c r="G833" s="79">
        <v>3297</v>
      </c>
      <c r="H833" s="8" t="s">
        <v>1985</v>
      </c>
      <c r="I833" s="16" t="s">
        <v>4496</v>
      </c>
      <c r="J833" s="73">
        <v>41.9</v>
      </c>
      <c r="K833" s="73">
        <v>0.57999999999999996</v>
      </c>
      <c r="L833" s="73">
        <v>7.1</v>
      </c>
      <c r="N833" s="318">
        <f t="shared" si="171"/>
        <v>49.58</v>
      </c>
      <c r="O833" s="81">
        <f>IFERROR(VLOOKUP($G833,'321買'!A:E,3,0),"'沒有資料'")</f>
        <v>8</v>
      </c>
      <c r="P833" s="380">
        <f>IFERROR(VLOOKUP($G833,'321買'!$A:$G,7,0),"'沒有資料'")</f>
        <v>475</v>
      </c>
      <c r="R833" s="297">
        <f>IFERROR(RANK(VLOOKUP($G833,連買!$A:$D,4,0),連買!$D:$D,0),"'沒有資料'")</f>
        <v>1097</v>
      </c>
      <c r="S833" s="34">
        <v>0</v>
      </c>
      <c r="T833" s="353">
        <f t="shared" si="166"/>
        <v>0</v>
      </c>
      <c r="U833" s="95">
        <v>-1.91</v>
      </c>
      <c r="V833" s="36">
        <f>RTD("money.excel",,"3297","Price")</f>
        <v>16.95</v>
      </c>
      <c r="W833" s="66"/>
      <c r="X833" s="15">
        <f t="shared" si="167"/>
        <v>16.95</v>
      </c>
      <c r="Y833" s="3" t="e">
        <f t="shared" si="168"/>
        <v>#DIV/0!</v>
      </c>
      <c r="AA833" s="161">
        <v>0</v>
      </c>
      <c r="AB833" s="409">
        <v>0</v>
      </c>
      <c r="AC833" s="259">
        <f t="shared" si="163"/>
        <v>0</v>
      </c>
      <c r="AD833" s="16" t="s">
        <v>4496</v>
      </c>
      <c r="AG833" s="33">
        <f t="shared" si="169"/>
        <v>0</v>
      </c>
      <c r="AH833" s="43" t="s">
        <v>4497</v>
      </c>
      <c r="AI833" s="63">
        <f t="shared" si="170"/>
        <v>1.3315217391304348E-3</v>
      </c>
      <c r="AJ833" s="307">
        <f>RTD("money.excel",,$G833,"PredictVolume")</f>
        <v>49</v>
      </c>
      <c r="AK833" s="339"/>
    </row>
    <row r="834" spans="1:37">
      <c r="A834" s="416">
        <v>5.09</v>
      </c>
      <c r="B834" s="79">
        <v>158</v>
      </c>
      <c r="C834" s="79">
        <v>148</v>
      </c>
      <c r="D834" s="79">
        <v>4</v>
      </c>
      <c r="E834" s="80">
        <v>-2</v>
      </c>
      <c r="F834" s="6">
        <v>5.78</v>
      </c>
      <c r="G834" s="79">
        <v>3339</v>
      </c>
      <c r="H834" s="8" t="s">
        <v>1985</v>
      </c>
      <c r="I834" s="16" t="s">
        <v>4498</v>
      </c>
      <c r="J834" s="323">
        <v>38.299999999999997</v>
      </c>
      <c r="K834" s="323">
        <v>2.57</v>
      </c>
      <c r="L834" s="323"/>
      <c r="N834" s="318">
        <f t="shared" si="171"/>
        <v>40.869999999999997</v>
      </c>
      <c r="O834" s="81">
        <f>IFERROR(VLOOKUP($G834,'321買'!A:E,3,0),"'沒有資料'")</f>
        <v>7</v>
      </c>
      <c r="P834" s="380">
        <f>IFERROR(VLOOKUP($G834,'321買'!$A:$G,7,0),"'沒有資料'")</f>
        <v>475</v>
      </c>
      <c r="R834" s="297">
        <f>IFERROR(RANK(VLOOKUP($G834,連買!$A:$D,4,0),連買!$D:$D,0),"'沒有資料'")</f>
        <v>903</v>
      </c>
      <c r="S834" s="34">
        <v>0</v>
      </c>
      <c r="T834" s="353">
        <f t="shared" si="166"/>
        <v>0</v>
      </c>
      <c r="U834" s="95">
        <v>0.85</v>
      </c>
      <c r="V834" s="36">
        <f>RTD("money.excel",,"3339","Price")</f>
        <v>17.45</v>
      </c>
      <c r="W834" s="66"/>
      <c r="X834" s="15">
        <f t="shared" si="167"/>
        <v>17.45</v>
      </c>
      <c r="Y834" s="3" t="e">
        <f t="shared" si="168"/>
        <v>#DIV/0!</v>
      </c>
      <c r="AA834" s="161">
        <v>0</v>
      </c>
      <c r="AB834" s="409">
        <v>0</v>
      </c>
      <c r="AC834" s="259">
        <f t="shared" si="163"/>
        <v>0</v>
      </c>
      <c r="AD834" s="16" t="s">
        <v>4498</v>
      </c>
      <c r="AG834" s="33">
        <f t="shared" si="169"/>
        <v>0</v>
      </c>
      <c r="AH834" s="43" t="s">
        <v>2616</v>
      </c>
      <c r="AI834" s="63">
        <f t="shared" si="170"/>
        <v>2.6915520628683692E-3</v>
      </c>
      <c r="AJ834" s="307">
        <f>RTD("money.excel",,$G834,"PredictVolume")</f>
        <v>137</v>
      </c>
      <c r="AK834" s="339"/>
    </row>
    <row r="835" spans="1:37">
      <c r="A835" s="416">
        <v>8.98</v>
      </c>
      <c r="B835" s="80">
        <v>-59</v>
      </c>
      <c r="C835" s="79">
        <v>140</v>
      </c>
      <c r="D835" s="80">
        <v>-14</v>
      </c>
      <c r="E835" s="80">
        <v>-15</v>
      </c>
      <c r="F835" s="6">
        <v>3.38</v>
      </c>
      <c r="G835" s="79">
        <v>3356</v>
      </c>
      <c r="H835" s="8" t="s">
        <v>1985</v>
      </c>
      <c r="I835" s="22" t="s">
        <v>4499</v>
      </c>
      <c r="J835" s="73">
        <v>26.03</v>
      </c>
      <c r="K835" s="73">
        <v>2</v>
      </c>
      <c r="L835" s="323">
        <v>6.11</v>
      </c>
      <c r="N835" s="318">
        <f t="shared" si="171"/>
        <v>34.14</v>
      </c>
      <c r="O835" s="81">
        <f>IFERROR(VLOOKUP($G835,'321買'!A:E,3,0),"'沒有資料'")</f>
        <v>7</v>
      </c>
      <c r="P835" s="380">
        <f>IFERROR(VLOOKUP($G835,'321買'!$A:$G,7,0),"'沒有資料'")</f>
        <v>499</v>
      </c>
      <c r="R835" s="297">
        <f>IFERROR(RANK(VLOOKUP($G835,連買!$A:$D,4,0),連買!$D:$D,0),"'沒有資料'")</f>
        <v>1617</v>
      </c>
      <c r="S835" s="34">
        <v>1</v>
      </c>
      <c r="T835" s="353">
        <f t="shared" si="166"/>
        <v>3.4782608695652174E-2</v>
      </c>
      <c r="U835" s="95">
        <v>1.78</v>
      </c>
      <c r="V835" s="36">
        <f>RTD("money.excel",,"3356","Price")</f>
        <v>28.75</v>
      </c>
      <c r="W835" s="66"/>
      <c r="X835" s="15">
        <f t="shared" si="167"/>
        <v>28.75</v>
      </c>
      <c r="Y835" s="3" t="e">
        <f t="shared" si="168"/>
        <v>#DIV/0!</v>
      </c>
      <c r="Z835" s="413" t="s">
        <v>1801</v>
      </c>
      <c r="AA835" s="161">
        <v>0</v>
      </c>
      <c r="AB835" s="409">
        <v>0</v>
      </c>
      <c r="AC835" s="259">
        <f t="shared" si="163"/>
        <v>0</v>
      </c>
      <c r="AD835" s="22" t="s">
        <v>4499</v>
      </c>
      <c r="AG835" s="33">
        <f t="shared" si="169"/>
        <v>0</v>
      </c>
      <c r="AH835" s="43" t="s">
        <v>4492</v>
      </c>
      <c r="AI835" s="63">
        <f t="shared" si="170"/>
        <v>1.0022271714922048E-3</v>
      </c>
      <c r="AJ835" s="307">
        <f>RTD("money.excel",,$G835,"PredictVolume")</f>
        <v>90</v>
      </c>
    </row>
    <row r="836" spans="1:37">
      <c r="A836" s="416">
        <v>11.1</v>
      </c>
      <c r="B836" s="80">
        <v>-721</v>
      </c>
      <c r="C836" s="79">
        <v>227</v>
      </c>
      <c r="D836" s="80">
        <v>-33</v>
      </c>
      <c r="E836" s="79">
        <v>70</v>
      </c>
      <c r="F836" s="6">
        <v>0.76</v>
      </c>
      <c r="G836" s="79">
        <v>3362</v>
      </c>
      <c r="H836" s="8" t="s">
        <v>1985</v>
      </c>
      <c r="I836" s="16" t="s">
        <v>4500</v>
      </c>
      <c r="J836" s="323">
        <v>49.75</v>
      </c>
      <c r="K836" s="73">
        <v>2.4900000000000002</v>
      </c>
      <c r="L836" s="73">
        <v>18</v>
      </c>
      <c r="N836" s="318">
        <f t="shared" si="171"/>
        <v>70.240000000000009</v>
      </c>
      <c r="O836" s="81">
        <f>IFERROR(VLOOKUP($G836,'321買'!A:E,3,0),"'沒有資料'")</f>
        <v>6</v>
      </c>
      <c r="P836" s="380">
        <f>IFERROR(VLOOKUP($G836,'321買'!$A:$G,7,0),"'沒有資料'")</f>
        <v>499</v>
      </c>
      <c r="R836" s="297">
        <f>IFERROR(RANK(VLOOKUP($G836,連買!$A:$D,4,0),連買!$D:$D,0),"'沒有資料'")</f>
        <v>556</v>
      </c>
      <c r="S836" s="34">
        <v>0</v>
      </c>
      <c r="T836" s="353">
        <f t="shared" si="166"/>
        <v>0</v>
      </c>
      <c r="U836" s="95">
        <v>-8.9</v>
      </c>
      <c r="V836" s="36">
        <f>RTD("money.excel",,"3362","Price")</f>
        <v>64.099999999999994</v>
      </c>
      <c r="W836" s="66"/>
      <c r="X836" s="15">
        <f t="shared" si="167"/>
        <v>64.099999999999994</v>
      </c>
      <c r="Y836" s="3" t="e">
        <f t="shared" si="168"/>
        <v>#DIV/0!</v>
      </c>
      <c r="Z836" s="413" t="s">
        <v>1801</v>
      </c>
      <c r="AA836" s="161">
        <v>0</v>
      </c>
      <c r="AB836" s="409">
        <v>0</v>
      </c>
      <c r="AC836" s="259">
        <f t="shared" si="163"/>
        <v>0</v>
      </c>
      <c r="AD836" s="16" t="s">
        <v>4500</v>
      </c>
      <c r="AG836" s="33">
        <f t="shared" si="169"/>
        <v>0</v>
      </c>
      <c r="AH836" s="122" t="s">
        <v>4501</v>
      </c>
      <c r="AI836" s="63">
        <f t="shared" si="170"/>
        <v>1.3963963963963964E-3</v>
      </c>
      <c r="AJ836" s="307">
        <f>RTD("money.excel",,$G836,"PredictVolume")</f>
        <v>155</v>
      </c>
      <c r="AK836" s="339"/>
    </row>
    <row r="837" spans="1:37">
      <c r="A837" s="416">
        <v>7</v>
      </c>
      <c r="B837" s="91">
        <v>-15</v>
      </c>
      <c r="C837" s="91">
        <v>-3</v>
      </c>
      <c r="D837" s="91">
        <v>7</v>
      </c>
      <c r="E837" s="91">
        <v>-11</v>
      </c>
      <c r="F837" s="6">
        <v>-47.79</v>
      </c>
      <c r="G837" s="79">
        <v>3383</v>
      </c>
      <c r="H837" s="8" t="s">
        <v>1985</v>
      </c>
      <c r="I837" s="22" t="s">
        <v>4502</v>
      </c>
      <c r="J837" s="73">
        <v>53.84</v>
      </c>
      <c r="K837" s="73">
        <v>17.82</v>
      </c>
      <c r="N837" s="318">
        <f t="shared" si="171"/>
        <v>71.66</v>
      </c>
      <c r="O837" s="81">
        <f>IFERROR(VLOOKUP($G837,'321買'!A:E,3,0),"'沒有資料'")</f>
        <v>0</v>
      </c>
      <c r="P837" s="380">
        <f>IFERROR(VLOOKUP($G837,'321買'!$A:$G,7,0),"'沒有資料'")</f>
        <v>911</v>
      </c>
      <c r="R837" s="297">
        <f>IFERROR(RANK(VLOOKUP($G837,連買!$A:$D,4,0),連買!$D:$D,0),"'沒有資料'")</f>
        <v>1353</v>
      </c>
      <c r="S837" s="34">
        <v>0</v>
      </c>
      <c r="T837" s="353">
        <f t="shared" si="166"/>
        <v>0</v>
      </c>
      <c r="U837" s="95">
        <v>-4.07</v>
      </c>
      <c r="V837" s="13">
        <f>RTD("money.excel",,"3383","Price")</f>
        <v>7</v>
      </c>
      <c r="W837" s="66"/>
      <c r="X837" s="15">
        <f t="shared" si="167"/>
        <v>7</v>
      </c>
      <c r="Y837" s="3" t="e">
        <f t="shared" si="168"/>
        <v>#DIV/0!</v>
      </c>
      <c r="AA837" s="161">
        <v>0</v>
      </c>
      <c r="AB837" s="409">
        <v>0</v>
      </c>
      <c r="AC837" s="259">
        <f t="shared" ref="AC837:AC900" si="172">AA837-AB837</f>
        <v>0</v>
      </c>
      <c r="AD837" s="22" t="s">
        <v>4502</v>
      </c>
      <c r="AG837" s="33">
        <f t="shared" si="169"/>
        <v>0</v>
      </c>
      <c r="AH837" s="43" t="s">
        <v>4503</v>
      </c>
      <c r="AI837" s="63">
        <f t="shared" si="170"/>
        <v>2.8142857142857145E-3</v>
      </c>
      <c r="AJ837" s="307">
        <f>RTD("money.excel",,$G837,"PredictVolume")</f>
        <v>197</v>
      </c>
      <c r="AK837" s="339"/>
    </row>
    <row r="838" spans="1:37">
      <c r="A838" s="415">
        <v>11.2</v>
      </c>
      <c r="B838" s="80">
        <v>-24</v>
      </c>
      <c r="C838" s="80">
        <v>-33</v>
      </c>
      <c r="D838" s="80">
        <v>-35</v>
      </c>
      <c r="E838" s="79">
        <v>36</v>
      </c>
      <c r="F838" s="57">
        <v>18.02</v>
      </c>
      <c r="G838" s="79">
        <v>3406</v>
      </c>
      <c r="H838" s="8" t="s">
        <v>1985</v>
      </c>
      <c r="I838" s="22" t="s">
        <v>4504</v>
      </c>
      <c r="J838" s="323">
        <v>40.729999999999997</v>
      </c>
      <c r="K838" s="73">
        <v>39.17</v>
      </c>
      <c r="L838" s="323">
        <v>17.46</v>
      </c>
      <c r="M838" s="73">
        <v>10.5</v>
      </c>
      <c r="N838" s="318">
        <f t="shared" si="171"/>
        <v>107.86000000000001</v>
      </c>
      <c r="O838" s="81">
        <f>IFERROR(VLOOKUP($G838,'321買'!A:E,3,0),"'沒有資料'")</f>
        <v>39</v>
      </c>
      <c r="P838" s="380">
        <f>IFERROR(VLOOKUP($G838,'321買'!$A:$G,7,0),"'沒有資料'")</f>
        <v>94</v>
      </c>
      <c r="Q838" s="245" t="s">
        <v>5088</v>
      </c>
      <c r="R838" s="297">
        <f>IFERROR(RANK(VLOOKUP($G838,連買!$A:$D,4,0),連買!$D:$D,0),"'沒有資料'")</f>
        <v>134</v>
      </c>
      <c r="S838" s="45">
        <v>8</v>
      </c>
      <c r="T838" s="353">
        <f t="shared" si="166"/>
        <v>1.7817371937639197E-2</v>
      </c>
      <c r="U838" s="95">
        <v>20.53</v>
      </c>
      <c r="V838" s="36">
        <f>RTD("money.excel",,"3406","Price")</f>
        <v>449</v>
      </c>
      <c r="W838" s="66"/>
      <c r="X838" s="15">
        <f t="shared" si="167"/>
        <v>449</v>
      </c>
      <c r="Y838" s="3" t="e">
        <f t="shared" si="168"/>
        <v>#DIV/0!</v>
      </c>
      <c r="Z838" s="413" t="s">
        <v>6639</v>
      </c>
      <c r="AA838" s="161">
        <v>0</v>
      </c>
      <c r="AB838" s="409">
        <v>0</v>
      </c>
      <c r="AC838" s="259">
        <f t="shared" si="172"/>
        <v>0</v>
      </c>
      <c r="AD838" s="22" t="s">
        <v>4504</v>
      </c>
      <c r="AG838" s="33">
        <f t="shared" si="169"/>
        <v>0</v>
      </c>
      <c r="AH838" s="120" t="s">
        <v>4505</v>
      </c>
      <c r="AI838" s="63">
        <f t="shared" si="170"/>
        <v>6.5446428571428574E-3</v>
      </c>
      <c r="AJ838" s="307">
        <f>RTD("money.excel",,$G838,"PredictVolume")</f>
        <v>733</v>
      </c>
      <c r="AK838" s="339">
        <v>12.3</v>
      </c>
    </row>
    <row r="839" spans="1:37">
      <c r="A839" s="416">
        <v>2.27</v>
      </c>
      <c r="B839" s="91">
        <v>-171</v>
      </c>
      <c r="C839" s="91">
        <v>-173</v>
      </c>
      <c r="D839" s="91">
        <v>76</v>
      </c>
      <c r="E839" s="91">
        <v>-6</v>
      </c>
      <c r="F839" s="6">
        <v>-3.81</v>
      </c>
      <c r="G839" s="79">
        <v>3434</v>
      </c>
      <c r="H839" s="8" t="s">
        <v>1985</v>
      </c>
      <c r="I839" s="16" t="s">
        <v>4506</v>
      </c>
      <c r="J839" s="73">
        <v>50.98</v>
      </c>
      <c r="K839" s="73">
        <v>0.02</v>
      </c>
      <c r="L839" s="73">
        <v>17.899999999999999</v>
      </c>
      <c r="N839" s="318">
        <f t="shared" si="171"/>
        <v>68.900000000000006</v>
      </c>
      <c r="O839" s="81">
        <f>IFERROR(VLOOKUP($G839,'321買'!A:E,3,0),"'沒有資料'")</f>
        <v>26</v>
      </c>
      <c r="P839" s="380">
        <f>IFERROR(VLOOKUP($G839,'321買'!$A:$G,7,0),"'沒有資料'")</f>
        <v>207</v>
      </c>
      <c r="R839" s="297">
        <f>IFERROR(RANK(VLOOKUP($G839,連買!$A:$D,4,0),連買!$D:$D,0),"'沒有資料'")</f>
        <v>1188</v>
      </c>
      <c r="S839" s="34">
        <v>0.3</v>
      </c>
      <c r="T839" s="353">
        <f t="shared" ref="T839:T870" si="173">S839/V839</f>
        <v>1.0909090909090908E-2</v>
      </c>
      <c r="U839" s="95">
        <v>-0.45</v>
      </c>
      <c r="V839" s="13">
        <f>RTD("money.excel",,"3434","Price")</f>
        <v>27.5</v>
      </c>
      <c r="W839" s="66"/>
      <c r="X839" s="15">
        <f t="shared" si="167"/>
        <v>27.5</v>
      </c>
      <c r="Y839" s="3" t="e">
        <f t="shared" si="168"/>
        <v>#DIV/0!</v>
      </c>
      <c r="AA839" s="161">
        <v>0</v>
      </c>
      <c r="AB839" s="409">
        <v>0</v>
      </c>
      <c r="AC839" s="259">
        <f t="shared" si="172"/>
        <v>0</v>
      </c>
      <c r="AD839" s="16" t="s">
        <v>4506</v>
      </c>
      <c r="AG839" s="33">
        <f t="shared" si="169"/>
        <v>0</v>
      </c>
      <c r="AH839" s="43" t="s">
        <v>4497</v>
      </c>
      <c r="AI839" s="63">
        <f t="shared" ref="AI839:AI870" si="174">AJ839/(A839*10000)</f>
        <v>0.11845814977973568</v>
      </c>
      <c r="AJ839" s="307">
        <f>RTD("money.excel",,$G839,"PredictVolume")</f>
        <v>2689</v>
      </c>
      <c r="AK839" s="339"/>
    </row>
    <row r="840" spans="1:37">
      <c r="A840" s="416">
        <v>14.4</v>
      </c>
      <c r="B840" s="79">
        <v>36</v>
      </c>
      <c r="C840" s="79">
        <v>41</v>
      </c>
      <c r="D840" s="80">
        <v>-3</v>
      </c>
      <c r="E840" s="79">
        <v>52</v>
      </c>
      <c r="F840" s="6">
        <v>-6.4</v>
      </c>
      <c r="G840" s="79">
        <v>3437</v>
      </c>
      <c r="H840" s="8" t="s">
        <v>1985</v>
      </c>
      <c r="I840" s="22" t="s">
        <v>4507</v>
      </c>
      <c r="J840" s="323">
        <v>35.869999999999997</v>
      </c>
      <c r="K840" s="73">
        <v>11.15</v>
      </c>
      <c r="L840" s="73">
        <v>12.44</v>
      </c>
      <c r="N840" s="318">
        <f t="shared" si="171"/>
        <v>59.459999999999994</v>
      </c>
      <c r="O840" s="81">
        <f>IFERROR(VLOOKUP($G840,'321買'!A:E,3,0),"'沒有資料'")</f>
        <v>13</v>
      </c>
      <c r="P840" s="380">
        <f>IFERROR(VLOOKUP($G840,'321買'!$A:$G,7,0),"'沒有資料'")</f>
        <v>348</v>
      </c>
      <c r="R840" s="297">
        <f>IFERROR(RANK(VLOOKUP($G840,連買!$A:$D,4,0),連買!$D:$D,0),"'沒有資料'")</f>
        <v>714</v>
      </c>
      <c r="S840" s="34">
        <v>0</v>
      </c>
      <c r="T840" s="353">
        <f t="shared" si="173"/>
        <v>0</v>
      </c>
      <c r="U840" s="95">
        <v>-0.77</v>
      </c>
      <c r="V840" s="36">
        <f>RTD("money.excel",,"3437","Price")</f>
        <v>22.45</v>
      </c>
      <c r="W840" s="66"/>
      <c r="X840" s="15">
        <f t="shared" si="167"/>
        <v>22.45</v>
      </c>
      <c r="Y840" s="3" t="e">
        <f t="shared" si="168"/>
        <v>#DIV/0!</v>
      </c>
      <c r="Z840" s="413" t="s">
        <v>1801</v>
      </c>
      <c r="AA840" s="161">
        <v>0</v>
      </c>
      <c r="AB840" s="409">
        <v>0</v>
      </c>
      <c r="AC840" s="259">
        <f t="shared" si="172"/>
        <v>0</v>
      </c>
      <c r="AD840" s="22" t="s">
        <v>4507</v>
      </c>
      <c r="AG840" s="33">
        <f t="shared" si="169"/>
        <v>0</v>
      </c>
      <c r="AH840" s="120" t="s">
        <v>4508</v>
      </c>
      <c r="AI840" s="63">
        <f t="shared" si="174"/>
        <v>1.8402777777777777E-3</v>
      </c>
      <c r="AJ840" s="307">
        <f>RTD("money.excel",,$G840,"PredictVolume")</f>
        <v>265</v>
      </c>
      <c r="AK840" s="339"/>
    </row>
    <row r="841" spans="1:37">
      <c r="A841" s="416">
        <v>4</v>
      </c>
      <c r="B841" s="79">
        <v>170</v>
      </c>
      <c r="C841" s="79">
        <v>234</v>
      </c>
      <c r="D841" s="79">
        <v>3</v>
      </c>
      <c r="E841" s="79">
        <v>34</v>
      </c>
      <c r="F841" s="6">
        <v>5.89</v>
      </c>
      <c r="G841" s="79">
        <v>3441</v>
      </c>
      <c r="H841" s="8" t="s">
        <v>1985</v>
      </c>
      <c r="I841" s="16" t="s">
        <v>4509</v>
      </c>
      <c r="J841" s="73">
        <v>17.72</v>
      </c>
      <c r="K841" s="323">
        <v>0.62</v>
      </c>
      <c r="L841" s="73">
        <v>26.47</v>
      </c>
      <c r="M841" s="73">
        <v>16.8</v>
      </c>
      <c r="N841" s="318">
        <f t="shared" si="171"/>
        <v>61.61</v>
      </c>
      <c r="O841" s="81">
        <f>IFERROR(VLOOKUP($G841,'321買'!A:E,3,0),"'沒有資料'")</f>
        <v>12</v>
      </c>
      <c r="P841" s="380">
        <f>IFERROR(VLOOKUP($G841,'321買'!$A:$G,7,0),"'沒有資料'")</f>
        <v>387</v>
      </c>
      <c r="Q841" s="245" t="s">
        <v>3815</v>
      </c>
      <c r="R841" s="297">
        <f>IFERROR(RANK(VLOOKUP($G841,連買!$A:$D,4,0),連買!$D:$D,0),"'沒有資料'")</f>
        <v>946</v>
      </c>
      <c r="S841" s="34">
        <v>0.5</v>
      </c>
      <c r="T841" s="353">
        <f t="shared" si="173"/>
        <v>1.5267175572519083E-2</v>
      </c>
      <c r="U841" s="95">
        <v>0.27</v>
      </c>
      <c r="V841" s="36">
        <f>RTD("money.excel",,"3441","Price")</f>
        <v>32.75</v>
      </c>
      <c r="W841" s="66"/>
      <c r="X841" s="15">
        <f t="shared" si="167"/>
        <v>32.75</v>
      </c>
      <c r="Y841" s="3" t="e">
        <f t="shared" si="168"/>
        <v>#DIV/0!</v>
      </c>
      <c r="Z841" s="413" t="s">
        <v>1801</v>
      </c>
      <c r="AA841" s="161">
        <v>0</v>
      </c>
      <c r="AB841" s="409">
        <v>0</v>
      </c>
      <c r="AC841" s="259">
        <f t="shared" si="172"/>
        <v>0</v>
      </c>
      <c r="AD841" s="16" t="s">
        <v>4509</v>
      </c>
      <c r="AG841" s="33">
        <f t="shared" si="169"/>
        <v>0</v>
      </c>
      <c r="AH841" s="43" t="s">
        <v>4510</v>
      </c>
      <c r="AI841" s="63">
        <f t="shared" si="174"/>
        <v>2.7750000000000001E-3</v>
      </c>
      <c r="AJ841" s="307">
        <f>RTD("money.excel",,$G841,"PredictVolume")</f>
        <v>111</v>
      </c>
      <c r="AK841" s="339">
        <v>42.11</v>
      </c>
    </row>
    <row r="842" spans="1:37">
      <c r="A842" s="416">
        <v>8.6999999999999993</v>
      </c>
      <c r="B842" s="80">
        <v>-9</v>
      </c>
      <c r="C842" s="79">
        <v>8</v>
      </c>
      <c r="D842" s="79">
        <v>14</v>
      </c>
      <c r="E842" s="80">
        <v>-23</v>
      </c>
      <c r="F842" s="6">
        <v>4.62</v>
      </c>
      <c r="G842" s="79">
        <v>3454</v>
      </c>
      <c r="H842" s="8" t="s">
        <v>1985</v>
      </c>
      <c r="I842" s="22" t="s">
        <v>4511</v>
      </c>
      <c r="J842" s="73">
        <v>66.36</v>
      </c>
      <c r="K842" s="323">
        <v>8.11</v>
      </c>
      <c r="L842" s="73">
        <v>8.43</v>
      </c>
      <c r="N842" s="318">
        <f t="shared" si="171"/>
        <v>82.9</v>
      </c>
      <c r="O842" s="81">
        <f>IFERROR(VLOOKUP($G842,'321買'!A:E,3,0),"'沒有資料'")</f>
        <v>0</v>
      </c>
      <c r="P842" s="380">
        <f>IFERROR(VLOOKUP($G842,'321買'!$A:$G,7,0),"'沒有資料'")</f>
        <v>911</v>
      </c>
      <c r="R842" s="297">
        <f>IFERROR(RANK(VLOOKUP($G842,連買!$A:$D,4,0),連買!$D:$D,0),"'沒有資料'")</f>
        <v>321</v>
      </c>
      <c r="S842" s="34">
        <v>2</v>
      </c>
      <c r="T842" s="353">
        <f t="shared" si="173"/>
        <v>2.4691358024691357E-2</v>
      </c>
      <c r="U842" s="57">
        <v>2.91</v>
      </c>
      <c r="V842" s="36">
        <f>RTD("money.excel",,"3454","Price")</f>
        <v>81</v>
      </c>
      <c r="W842" s="66"/>
      <c r="X842" s="15">
        <f t="shared" si="167"/>
        <v>81</v>
      </c>
      <c r="Y842" s="3" t="e">
        <f t="shared" si="168"/>
        <v>#DIV/0!</v>
      </c>
      <c r="Z842" s="413" t="s">
        <v>1801</v>
      </c>
      <c r="AA842" s="161">
        <v>0</v>
      </c>
      <c r="AB842" s="409">
        <v>0</v>
      </c>
      <c r="AC842" s="259">
        <f t="shared" si="172"/>
        <v>0</v>
      </c>
      <c r="AD842" s="22" t="s">
        <v>4511</v>
      </c>
      <c r="AG842" s="33">
        <f t="shared" si="169"/>
        <v>0</v>
      </c>
      <c r="AH842" s="120" t="s">
        <v>4512</v>
      </c>
      <c r="AI842" s="63">
        <f t="shared" si="174"/>
        <v>4.2183908045977008E-3</v>
      </c>
      <c r="AJ842" s="307">
        <f>RTD("money.excel",,$G842,"PredictVolume")</f>
        <v>367</v>
      </c>
      <c r="AK842" s="339"/>
    </row>
    <row r="843" spans="1:37">
      <c r="A843" s="415">
        <v>5.99</v>
      </c>
      <c r="B843" s="79">
        <v>86</v>
      </c>
      <c r="C843" s="79">
        <v>66</v>
      </c>
      <c r="D843" s="80">
        <v>-1</v>
      </c>
      <c r="E843" s="79">
        <v>3</v>
      </c>
      <c r="F843" s="57">
        <v>19.93</v>
      </c>
      <c r="G843" s="79">
        <v>3455</v>
      </c>
      <c r="H843" s="8" t="s">
        <v>308</v>
      </c>
      <c r="I843" s="16" t="s">
        <v>4513</v>
      </c>
      <c r="J843" s="73">
        <v>17.47</v>
      </c>
      <c r="K843" s="73">
        <v>8.4</v>
      </c>
      <c r="L843" s="73">
        <v>31.88</v>
      </c>
      <c r="M843" s="323">
        <v>9.02</v>
      </c>
      <c r="N843" s="318">
        <f>J843+K843+L843+M843</f>
        <v>66.77</v>
      </c>
      <c r="O843" s="81">
        <f>IFERROR(VLOOKUP($G843,'321買'!A:E,3,0),"'沒有資料'")</f>
        <v>39</v>
      </c>
      <c r="P843" s="380">
        <f>IFERROR(VLOOKUP($G843,'321買'!$A:$G,7,0),"'沒有資料'")</f>
        <v>77</v>
      </c>
      <c r="Q843" s="245" t="s">
        <v>5088</v>
      </c>
      <c r="R843" s="297">
        <f>IFERROR(RANK(VLOOKUP($G843,連買!$A:$D,4,0),連買!$D:$D,0),"'沒有資料'")</f>
        <v>301</v>
      </c>
      <c r="S843" s="45">
        <v>5.5</v>
      </c>
      <c r="T843" s="353">
        <f t="shared" si="173"/>
        <v>6.0043668122270744E-2</v>
      </c>
      <c r="U843" s="95">
        <v>7.5</v>
      </c>
      <c r="V843" s="36">
        <f>RTD("money.excel",,"3455","Price")</f>
        <v>91.6</v>
      </c>
      <c r="W843" s="66"/>
      <c r="X843" s="15">
        <f>V843-W843</f>
        <v>91.6</v>
      </c>
      <c r="Y843" s="3" t="e">
        <f>X843/W843</f>
        <v>#DIV/0!</v>
      </c>
      <c r="Z843" s="413" t="s">
        <v>6640</v>
      </c>
      <c r="AA843" s="161">
        <v>0</v>
      </c>
      <c r="AB843" s="409">
        <v>0</v>
      </c>
      <c r="AC843" s="259">
        <f t="shared" si="172"/>
        <v>0</v>
      </c>
      <c r="AD843" s="16" t="s">
        <v>4513</v>
      </c>
      <c r="AG843" s="33">
        <f>AF843-AE843</f>
        <v>0</v>
      </c>
      <c r="AH843" s="43" t="s">
        <v>2617</v>
      </c>
      <c r="AI843" s="63">
        <f t="shared" si="174"/>
        <v>1.2120200333889816E-2</v>
      </c>
      <c r="AJ843" s="307">
        <f>RTD("money.excel",,$G843,"PredictVolume")</f>
        <v>726</v>
      </c>
      <c r="AK843" s="22">
        <v>54.47</v>
      </c>
    </row>
    <row r="844" spans="1:37">
      <c r="A844" s="415">
        <v>1055</v>
      </c>
      <c r="B844" s="79">
        <v>706</v>
      </c>
      <c r="C844" s="79">
        <v>799</v>
      </c>
      <c r="D844" s="80">
        <v>-1</v>
      </c>
      <c r="E844" s="79">
        <v>1</v>
      </c>
      <c r="F844" s="57">
        <v>21.35</v>
      </c>
      <c r="G844" s="79">
        <v>3481</v>
      </c>
      <c r="H844" s="8" t="s">
        <v>1985</v>
      </c>
      <c r="I844" s="22" t="s">
        <v>212</v>
      </c>
      <c r="J844" s="73">
        <v>48.47</v>
      </c>
      <c r="K844" s="73">
        <v>31.86</v>
      </c>
      <c r="L844" s="73">
        <v>15.95</v>
      </c>
      <c r="M844" s="73">
        <v>1.76</v>
      </c>
      <c r="N844" s="318">
        <f t="shared" si="171"/>
        <v>98.04</v>
      </c>
      <c r="O844" s="81">
        <f>IFERROR(VLOOKUP($G844,'321買'!A:E,3,0),"'沒有資料'")</f>
        <v>16</v>
      </c>
      <c r="P844" s="380">
        <f>IFERROR(VLOOKUP($G844,'321買'!$A:$G,7,0),"'沒有資料'")</f>
        <v>321</v>
      </c>
      <c r="Q844" s="245" t="s">
        <v>3818</v>
      </c>
      <c r="R844" s="297">
        <f>IFERROR(RANK(VLOOKUP($G844,連買!$A:$D,4,0),連買!$D:$D,0),"'沒有資料'")</f>
        <v>905</v>
      </c>
      <c r="S844" s="34">
        <v>0.4</v>
      </c>
      <c r="T844" s="353">
        <f t="shared" si="173"/>
        <v>2.5157232704402517E-2</v>
      </c>
      <c r="U844" s="95">
        <v>6.07</v>
      </c>
      <c r="V844" s="36">
        <f>RTD("money.excel",,"3481","Price")</f>
        <v>15.9</v>
      </c>
      <c r="W844" s="66"/>
      <c r="X844" s="15">
        <f t="shared" si="167"/>
        <v>15.9</v>
      </c>
      <c r="Y844" s="3" t="e">
        <f t="shared" si="168"/>
        <v>#DIV/0!</v>
      </c>
      <c r="Z844" s="413" t="s">
        <v>1801</v>
      </c>
      <c r="AA844" s="161">
        <v>0</v>
      </c>
      <c r="AB844" s="409">
        <v>0</v>
      </c>
      <c r="AC844" s="259">
        <f t="shared" si="172"/>
        <v>0</v>
      </c>
      <c r="AD844" s="22" t="s">
        <v>212</v>
      </c>
      <c r="AG844" s="33">
        <f t="shared" si="169"/>
        <v>0</v>
      </c>
      <c r="AH844" s="120" t="s">
        <v>4514</v>
      </c>
      <c r="AI844" s="63">
        <f t="shared" si="174"/>
        <v>3.2798104265402842E-3</v>
      </c>
      <c r="AJ844" s="360">
        <f>RTD("money.excel",,$G844,"PredictVolume")</f>
        <v>34602</v>
      </c>
      <c r="AK844" s="339"/>
    </row>
    <row r="845" spans="1:37">
      <c r="A845" s="415">
        <v>5.7</v>
      </c>
      <c r="B845" s="79">
        <v>223</v>
      </c>
      <c r="C845" s="79">
        <v>207</v>
      </c>
      <c r="D845" s="80">
        <v>-11</v>
      </c>
      <c r="E845" s="79">
        <v>20</v>
      </c>
      <c r="F845" s="57">
        <v>10.83</v>
      </c>
      <c r="G845" s="79">
        <v>3490</v>
      </c>
      <c r="H845" s="8" t="s">
        <v>1985</v>
      </c>
      <c r="I845" s="16" t="s">
        <v>4515</v>
      </c>
      <c r="J845" s="323">
        <v>6.02</v>
      </c>
      <c r="K845" s="323">
        <v>5.47</v>
      </c>
      <c r="L845" s="73">
        <v>24.19</v>
      </c>
      <c r="N845" s="318">
        <f t="shared" si="171"/>
        <v>35.68</v>
      </c>
      <c r="O845" s="81">
        <f>IFERROR(VLOOKUP($G845,'321買'!A:E,3,0),"'沒有資料'")</f>
        <v>19</v>
      </c>
      <c r="P845" s="380">
        <f>IFERROR(VLOOKUP($G845,'321買'!$A:$G,7,0),"'沒有資料'")</f>
        <v>273</v>
      </c>
      <c r="R845" s="297">
        <f>IFERROR(RANK(VLOOKUP($G845,連買!$A:$D,4,0),連買!$D:$D,0),"'沒有資料'")</f>
        <v>654</v>
      </c>
      <c r="S845" s="34">
        <v>0.7</v>
      </c>
      <c r="T845" s="353">
        <f t="shared" si="173"/>
        <v>2.2950819672131147E-2</v>
      </c>
      <c r="U845" s="95">
        <v>1.36</v>
      </c>
      <c r="V845" s="36">
        <f>RTD("money.excel",,"3490","Price")</f>
        <v>30.5</v>
      </c>
      <c r="W845" s="66"/>
      <c r="X845" s="15">
        <f t="shared" si="167"/>
        <v>30.5</v>
      </c>
      <c r="Y845" s="3" t="e">
        <f t="shared" si="168"/>
        <v>#DIV/0!</v>
      </c>
      <c r="AA845" s="161">
        <v>0</v>
      </c>
      <c r="AB845" s="409">
        <v>0</v>
      </c>
      <c r="AC845" s="259">
        <f t="shared" si="172"/>
        <v>0</v>
      </c>
      <c r="AD845" s="16" t="s">
        <v>4515</v>
      </c>
      <c r="AG845" s="33">
        <f t="shared" si="169"/>
        <v>0</v>
      </c>
      <c r="AH845" s="43" t="s">
        <v>4516</v>
      </c>
      <c r="AI845" s="63">
        <f t="shared" si="174"/>
        <v>6.4561403508771927E-3</v>
      </c>
      <c r="AJ845" s="307">
        <f>RTD("money.excel",,$G845,"PredictVolume")</f>
        <v>368</v>
      </c>
      <c r="AK845" s="339"/>
    </row>
    <row r="846" spans="1:37">
      <c r="A846" s="416">
        <v>11.4</v>
      </c>
      <c r="B846" s="91">
        <v>-34</v>
      </c>
      <c r="C846" s="91">
        <v>-67</v>
      </c>
      <c r="D846" s="91">
        <v>9</v>
      </c>
      <c r="E846" s="91">
        <v>-41</v>
      </c>
      <c r="F846" s="6">
        <v>0.6</v>
      </c>
      <c r="G846" s="79">
        <v>3504</v>
      </c>
      <c r="H846" s="8" t="s">
        <v>1985</v>
      </c>
      <c r="I846" s="22" t="s">
        <v>4517</v>
      </c>
      <c r="J846" s="323">
        <v>64.83</v>
      </c>
      <c r="K846" s="73">
        <v>2.91</v>
      </c>
      <c r="L846" s="323">
        <v>2.21</v>
      </c>
      <c r="N846" s="318">
        <f t="shared" si="171"/>
        <v>69.949999999999989</v>
      </c>
      <c r="O846" s="81">
        <f>IFERROR(VLOOKUP($G846,'321買'!A:E,3,0),"'沒有資料'")</f>
        <v>31</v>
      </c>
      <c r="P846" s="380">
        <f>IFERROR(VLOOKUP($G846,'321買'!$A:$G,7,0),"'沒有資料'")</f>
        <v>151</v>
      </c>
      <c r="R846" s="297">
        <f>IFERROR(RANK(VLOOKUP($G846,連買!$A:$D,4,0),連買!$D:$D,0),"'沒有資料'")</f>
        <v>1687</v>
      </c>
      <c r="S846" s="34">
        <v>0</v>
      </c>
      <c r="T846" s="353">
        <f t="shared" si="173"/>
        <v>0</v>
      </c>
      <c r="U846" s="95">
        <v>-1.6</v>
      </c>
      <c r="V846" s="13">
        <f>RTD("money.excel",,"3504","Price")</f>
        <v>74</v>
      </c>
      <c r="W846" s="66"/>
      <c r="X846" s="15">
        <f t="shared" si="167"/>
        <v>74</v>
      </c>
      <c r="Y846" s="3" t="e">
        <f t="shared" si="168"/>
        <v>#DIV/0!</v>
      </c>
      <c r="Z846" s="413" t="s">
        <v>1801</v>
      </c>
      <c r="AA846" s="161">
        <v>0</v>
      </c>
      <c r="AB846" s="409">
        <v>0</v>
      </c>
      <c r="AC846" s="259">
        <f t="shared" si="172"/>
        <v>0</v>
      </c>
      <c r="AD846" s="22" t="s">
        <v>4517</v>
      </c>
      <c r="AG846" s="33">
        <f t="shared" si="169"/>
        <v>0</v>
      </c>
      <c r="AH846" s="43" t="s">
        <v>4518</v>
      </c>
      <c r="AI846" s="63">
        <f t="shared" si="174"/>
        <v>3.6666666666666666E-3</v>
      </c>
      <c r="AJ846" s="307">
        <f>RTD("money.excel",,$G846,"PredictVolume")</f>
        <v>418</v>
      </c>
      <c r="AK846" s="339"/>
    </row>
    <row r="847" spans="1:37">
      <c r="A847" s="416">
        <v>5.0599999999999996</v>
      </c>
      <c r="B847" s="79">
        <v>661</v>
      </c>
      <c r="C847" s="79">
        <v>72</v>
      </c>
      <c r="D847" s="79">
        <v>12</v>
      </c>
      <c r="E847" s="80">
        <v>-1</v>
      </c>
      <c r="F847" s="6">
        <v>-1.88</v>
      </c>
      <c r="G847" s="79">
        <v>3516</v>
      </c>
      <c r="H847" s="8" t="s">
        <v>1985</v>
      </c>
      <c r="I847" s="16" t="s">
        <v>4519</v>
      </c>
      <c r="J847" s="323">
        <v>56.94</v>
      </c>
      <c r="K847" s="73">
        <v>2.2599999999999998</v>
      </c>
      <c r="L847" s="73">
        <v>61.18</v>
      </c>
      <c r="N847" s="318">
        <f t="shared" si="171"/>
        <v>120.38</v>
      </c>
      <c r="O847" s="81" t="str">
        <f>IFERROR(VLOOKUP($G847,'321買'!A:E,3,0),"'沒有資料'")</f>
        <v>'沒有資料'</v>
      </c>
      <c r="P847" s="380" t="str">
        <f>IFERROR(VLOOKUP($G847,'321買'!$A:$G,7,0),"'沒有資料'")</f>
        <v>'沒有資料'</v>
      </c>
      <c r="R847" s="297">
        <f>IFERROR(RANK(VLOOKUP($G847,連買!$A:$D,4,0),連買!$D:$D,0),"'沒有資料'")</f>
        <v>883</v>
      </c>
      <c r="S847" s="34">
        <v>0.2</v>
      </c>
      <c r="T847" s="353">
        <f t="shared" si="173"/>
        <v>1.2539184952978058E-2</v>
      </c>
      <c r="U847" s="57">
        <v>0.35</v>
      </c>
      <c r="V847" s="36">
        <f>RTD("money.excel",,"3516","Price")</f>
        <v>15.95</v>
      </c>
      <c r="W847" s="66"/>
      <c r="X847" s="15">
        <f t="shared" si="167"/>
        <v>15.95</v>
      </c>
      <c r="Y847" s="3" t="e">
        <f t="shared" si="168"/>
        <v>#DIV/0!</v>
      </c>
      <c r="AA847" s="161">
        <v>0</v>
      </c>
      <c r="AB847" s="409">
        <v>0</v>
      </c>
      <c r="AC847" s="259">
        <f t="shared" si="172"/>
        <v>0</v>
      </c>
      <c r="AD847" s="16" t="s">
        <v>4519</v>
      </c>
      <c r="AG847" s="33">
        <f t="shared" si="169"/>
        <v>0</v>
      </c>
      <c r="AH847" s="43" t="s">
        <v>4473</v>
      </c>
      <c r="AI847" s="63">
        <f t="shared" si="174"/>
        <v>7.5098814229249025E-4</v>
      </c>
      <c r="AJ847" s="307">
        <f>RTD("money.excel",,$G847,"PredictVolume")</f>
        <v>38</v>
      </c>
      <c r="AK847" s="339"/>
    </row>
    <row r="848" spans="1:37">
      <c r="A848" s="416">
        <v>6.12</v>
      </c>
      <c r="B848" s="91">
        <v>-79</v>
      </c>
      <c r="C848" s="91">
        <v>-49</v>
      </c>
      <c r="D848" s="91">
        <v>27</v>
      </c>
      <c r="E848" s="91">
        <v>39</v>
      </c>
      <c r="F848" s="6">
        <v>3.12</v>
      </c>
      <c r="G848" s="79">
        <v>3531</v>
      </c>
      <c r="H848" s="8" t="s">
        <v>1985</v>
      </c>
      <c r="I848" s="16" t="s">
        <v>4520</v>
      </c>
      <c r="J848" s="73">
        <v>72.09</v>
      </c>
      <c r="K848" s="73">
        <v>20.010000000000002</v>
      </c>
      <c r="L848" s="73">
        <v>2.85</v>
      </c>
      <c r="N848" s="318">
        <f t="shared" si="171"/>
        <v>94.95</v>
      </c>
      <c r="O848" s="81" t="str">
        <f>IFERROR(VLOOKUP($G848,'321買'!A:E,3,0),"'沒有資料'")</f>
        <v>'沒有資料'</v>
      </c>
      <c r="P848" s="380" t="str">
        <f>IFERROR(VLOOKUP($G848,'321買'!$A:$G,7,0),"'沒有資料'")</f>
        <v>'沒有資料'</v>
      </c>
      <c r="R848" s="297">
        <f>IFERROR(RANK(VLOOKUP($G848,連買!$A:$D,4,0),連買!$D:$D,0),"'沒有資料'")</f>
        <v>1310</v>
      </c>
      <c r="S848" s="34">
        <v>1</v>
      </c>
      <c r="T848" s="353" t="e">
        <f t="shared" si="173"/>
        <v>#VALUE!</v>
      </c>
      <c r="U848" s="95">
        <v>0.84</v>
      </c>
      <c r="V848" s="13" t="str">
        <f>RTD("money.excel",,"3531","Price")</f>
        <v>無資料</v>
      </c>
      <c r="W848" s="66"/>
      <c r="X848" s="15" t="e">
        <f t="shared" si="167"/>
        <v>#VALUE!</v>
      </c>
      <c r="Y848" s="3" t="e">
        <f t="shared" si="168"/>
        <v>#VALUE!</v>
      </c>
      <c r="AA848" s="161">
        <v>0</v>
      </c>
      <c r="AB848" s="409">
        <v>0</v>
      </c>
      <c r="AC848" s="259">
        <f t="shared" si="172"/>
        <v>0</v>
      </c>
      <c r="AD848" s="16" t="s">
        <v>4520</v>
      </c>
      <c r="AG848" s="33">
        <f t="shared" si="169"/>
        <v>0</v>
      </c>
      <c r="AH848" s="43" t="s">
        <v>4521</v>
      </c>
      <c r="AI848" s="63">
        <f t="shared" si="174"/>
        <v>0</v>
      </c>
      <c r="AJ848" s="307">
        <f>RTD("money.excel",,$G848,"PredictVolume")</f>
        <v>0</v>
      </c>
      <c r="AK848" s="339"/>
    </row>
    <row r="849" spans="1:37">
      <c r="A849" s="416">
        <v>7.91</v>
      </c>
      <c r="B849" s="80">
        <v>-83</v>
      </c>
      <c r="C849" s="80">
        <v>-77</v>
      </c>
      <c r="D849" s="79">
        <v>108</v>
      </c>
      <c r="E849" s="79">
        <v>63</v>
      </c>
      <c r="F849" s="6">
        <v>7.11</v>
      </c>
      <c r="G849" s="79">
        <v>3535</v>
      </c>
      <c r="H849" s="8" t="s">
        <v>1985</v>
      </c>
      <c r="I849" s="22" t="s">
        <v>4522</v>
      </c>
      <c r="J849" s="73">
        <v>16.52</v>
      </c>
      <c r="K849" s="73">
        <v>2.39</v>
      </c>
      <c r="L849" s="73">
        <v>18.48</v>
      </c>
      <c r="N849" s="318">
        <f t="shared" si="171"/>
        <v>37.39</v>
      </c>
      <c r="O849" s="81">
        <f>IFERROR(VLOOKUP($G849,'321買'!A:E,3,0),"'沒有資料'")</f>
        <v>16</v>
      </c>
      <c r="P849" s="380">
        <f>IFERROR(VLOOKUP($G849,'321買'!$A:$G,7,0),"'沒有資料'")</f>
        <v>290</v>
      </c>
      <c r="R849" s="297">
        <f>IFERROR(RANK(VLOOKUP($G849,連買!$A:$D,4,0),連買!$D:$D,0),"'沒有資料'")</f>
        <v>886</v>
      </c>
      <c r="S849" s="34">
        <v>0</v>
      </c>
      <c r="T849" s="353">
        <f t="shared" si="173"/>
        <v>0</v>
      </c>
      <c r="U849" s="95">
        <v>-1.29</v>
      </c>
      <c r="V849" s="36">
        <f>RTD("money.excel",,"3535","Price")</f>
        <v>22.5</v>
      </c>
      <c r="W849" s="66"/>
      <c r="X849" s="15">
        <f t="shared" si="167"/>
        <v>22.5</v>
      </c>
      <c r="Y849" s="3" t="e">
        <f t="shared" si="168"/>
        <v>#DIV/0!</v>
      </c>
      <c r="Z849" s="413" t="s">
        <v>1801</v>
      </c>
      <c r="AA849" s="161">
        <v>0</v>
      </c>
      <c r="AB849" s="409">
        <v>0</v>
      </c>
      <c r="AC849" s="259">
        <f t="shared" si="172"/>
        <v>0</v>
      </c>
      <c r="AD849" s="22" t="s">
        <v>4522</v>
      </c>
      <c r="AG849" s="33">
        <f t="shared" si="169"/>
        <v>0</v>
      </c>
      <c r="AH849" s="43" t="s">
        <v>4523</v>
      </c>
      <c r="AI849" s="63">
        <f t="shared" si="174"/>
        <v>1.0505689001264222E-2</v>
      </c>
      <c r="AJ849" s="307">
        <f>RTD("money.excel",,$G849,"PredictVolume")</f>
        <v>831</v>
      </c>
      <c r="AK849" s="339"/>
    </row>
    <row r="850" spans="1:37">
      <c r="A850" s="416">
        <v>8.93</v>
      </c>
      <c r="B850" s="80">
        <v>-166</v>
      </c>
      <c r="C850" s="80">
        <v>-504</v>
      </c>
      <c r="D850" s="80">
        <v>-16</v>
      </c>
      <c r="E850" s="80">
        <v>-19</v>
      </c>
      <c r="F850" s="6">
        <v>-4.79</v>
      </c>
      <c r="G850" s="79">
        <v>3543</v>
      </c>
      <c r="H850" s="8" t="s">
        <v>1985</v>
      </c>
      <c r="I850" s="22" t="s">
        <v>4524</v>
      </c>
      <c r="J850" s="323">
        <v>55.41</v>
      </c>
      <c r="K850" s="323">
        <v>0.23</v>
      </c>
      <c r="L850" s="323"/>
      <c r="N850" s="318">
        <f t="shared" si="171"/>
        <v>55.639999999999993</v>
      </c>
      <c r="O850" s="81">
        <f>IFERROR(VLOOKUP($G850,'321買'!A:E,3,0),"'沒有資料'")</f>
        <v>0</v>
      </c>
      <c r="P850" s="380">
        <f>IFERROR(VLOOKUP($G850,'321買'!$A:$G,7,0),"'沒有資料'")</f>
        <v>911</v>
      </c>
      <c r="R850" s="297">
        <f>IFERROR(RANK(VLOOKUP($G850,連買!$A:$D,4,0),連買!$D:$D,0),"'沒有資料'")</f>
        <v>1583</v>
      </c>
      <c r="S850" s="34">
        <v>1.2</v>
      </c>
      <c r="T850" s="353">
        <f t="shared" si="173"/>
        <v>5.2173913043478258E-2</v>
      </c>
      <c r="U850" s="95">
        <v>-4.54</v>
      </c>
      <c r="V850" s="36">
        <f>RTD("money.excel",,"3543","Price")</f>
        <v>23</v>
      </c>
      <c r="W850" s="66"/>
      <c r="X850" s="15">
        <f t="shared" si="167"/>
        <v>23</v>
      </c>
      <c r="Y850" s="3" t="e">
        <f t="shared" si="168"/>
        <v>#DIV/0!</v>
      </c>
      <c r="Z850" s="413" t="s">
        <v>1801</v>
      </c>
      <c r="AA850" s="161">
        <v>0</v>
      </c>
      <c r="AB850" s="409">
        <v>0</v>
      </c>
      <c r="AC850" s="259">
        <f t="shared" si="172"/>
        <v>0</v>
      </c>
      <c r="AD850" s="22" t="s">
        <v>4524</v>
      </c>
      <c r="AG850" s="33">
        <f t="shared" si="169"/>
        <v>0</v>
      </c>
      <c r="AH850" s="43" t="s">
        <v>1986</v>
      </c>
      <c r="AI850" s="63">
        <f t="shared" si="174"/>
        <v>1.9036954087346024E-4</v>
      </c>
      <c r="AJ850" s="307">
        <f>RTD("money.excel",,$G850,"PredictVolume")</f>
        <v>17</v>
      </c>
      <c r="AK850" s="339"/>
    </row>
    <row r="851" spans="1:37">
      <c r="A851" s="415">
        <v>4.47</v>
      </c>
      <c r="B851" s="80">
        <v>-33</v>
      </c>
      <c r="C851" s="80">
        <v>-27</v>
      </c>
      <c r="D851" s="79">
        <v>1</v>
      </c>
      <c r="E851" s="79">
        <v>38</v>
      </c>
      <c r="F851" s="57">
        <v>37.630000000000003</v>
      </c>
      <c r="G851" s="79">
        <v>3563</v>
      </c>
      <c r="H851" s="8" t="s">
        <v>1985</v>
      </c>
      <c r="I851" s="22" t="s">
        <v>4525</v>
      </c>
      <c r="J851" s="323">
        <v>20.83</v>
      </c>
      <c r="K851" s="323">
        <v>11.27</v>
      </c>
      <c r="L851" s="323">
        <v>21.86</v>
      </c>
      <c r="N851" s="318">
        <f t="shared" si="171"/>
        <v>53.959999999999994</v>
      </c>
      <c r="O851" s="81">
        <f>IFERROR(VLOOKUP($G851,'321買'!A:E,3,0),"'沒有資料'")</f>
        <v>11</v>
      </c>
      <c r="P851" s="380">
        <f>IFERROR(VLOOKUP($G851,'321買'!$A:$G,7,0),"'沒有資料'")</f>
        <v>336</v>
      </c>
      <c r="R851" s="297">
        <f>IFERROR(RANK(VLOOKUP($G851,連買!$A:$D,4,0),連買!$D:$D,0),"'沒有資料'")</f>
        <v>187</v>
      </c>
      <c r="S851" s="66">
        <v>3</v>
      </c>
      <c r="T851" s="353">
        <f t="shared" si="173"/>
        <v>1.4814814814814815E-2</v>
      </c>
      <c r="U851" s="95">
        <v>15.09</v>
      </c>
      <c r="V851" s="36">
        <f>RTD("money.excel",,"3563","Price")</f>
        <v>202.5</v>
      </c>
      <c r="W851" s="66"/>
      <c r="X851" s="15">
        <f t="shared" si="167"/>
        <v>202.5</v>
      </c>
      <c r="Y851" s="3" t="e">
        <f t="shared" si="168"/>
        <v>#DIV/0!</v>
      </c>
      <c r="Z851" s="413" t="s">
        <v>1997</v>
      </c>
      <c r="AA851" s="161">
        <v>0</v>
      </c>
      <c r="AB851" s="409">
        <v>0</v>
      </c>
      <c r="AC851" s="259">
        <f t="shared" si="172"/>
        <v>0</v>
      </c>
      <c r="AD851" s="22" t="s">
        <v>4525</v>
      </c>
      <c r="AG851" s="33">
        <f t="shared" si="169"/>
        <v>0</v>
      </c>
      <c r="AH851" s="122" t="s">
        <v>4526</v>
      </c>
      <c r="AI851" s="63">
        <f t="shared" si="174"/>
        <v>7.1588366890380317E-4</v>
      </c>
      <c r="AJ851" s="307">
        <f>RTD("money.excel",,$G851,"PredictVolume")</f>
        <v>32</v>
      </c>
      <c r="AK851" s="339"/>
    </row>
    <row r="852" spans="1:37">
      <c r="A852" s="416">
        <v>162</v>
      </c>
      <c r="B852" s="79">
        <v>42</v>
      </c>
      <c r="C852" s="79">
        <v>55</v>
      </c>
      <c r="D852" s="80">
        <v>-1</v>
      </c>
      <c r="E852" s="79">
        <v>18</v>
      </c>
      <c r="F852" s="6">
        <v>-8.7799999999999994</v>
      </c>
      <c r="G852" s="79">
        <v>3576</v>
      </c>
      <c r="H852" s="8" t="s">
        <v>1985</v>
      </c>
      <c r="I852" s="22" t="s">
        <v>4527</v>
      </c>
      <c r="J852" s="323">
        <v>37.49</v>
      </c>
      <c r="K852" s="323">
        <v>13.93</v>
      </c>
      <c r="N852" s="318">
        <f t="shared" si="171"/>
        <v>51.42</v>
      </c>
      <c r="O852" s="81">
        <f>IFERROR(VLOOKUP($G852,'321買'!A:E,3,0),"'沒有資料'")</f>
        <v>3</v>
      </c>
      <c r="P852" s="380">
        <f>IFERROR(VLOOKUP($G852,'321買'!$A:$G,7,0),"'沒有資料'")</f>
        <v>636</v>
      </c>
      <c r="R852" s="297">
        <f>IFERROR(RANK(VLOOKUP($G852,連買!$A:$D,4,0),連買!$D:$D,0),"'沒有資料'")</f>
        <v>958</v>
      </c>
      <c r="S852" s="34">
        <v>0</v>
      </c>
      <c r="T852" s="353">
        <f t="shared" si="173"/>
        <v>0</v>
      </c>
      <c r="U852" s="95">
        <v>-2.34</v>
      </c>
      <c r="V852" s="36">
        <f>RTD("money.excel",,"3576","Price")</f>
        <v>23.65</v>
      </c>
      <c r="W852" s="66"/>
      <c r="X852" s="15">
        <f t="shared" si="167"/>
        <v>23.65</v>
      </c>
      <c r="Y852" s="3" t="e">
        <f t="shared" si="168"/>
        <v>#DIV/0!</v>
      </c>
      <c r="Z852" s="413" t="s">
        <v>1801</v>
      </c>
      <c r="AA852" s="161">
        <v>0</v>
      </c>
      <c r="AB852" s="409">
        <v>0</v>
      </c>
      <c r="AC852" s="259">
        <f t="shared" si="172"/>
        <v>0</v>
      </c>
      <c r="AD852" s="22" t="s">
        <v>4527</v>
      </c>
      <c r="AG852" s="33">
        <f t="shared" si="169"/>
        <v>0</v>
      </c>
      <c r="AH852" s="120" t="s">
        <v>4528</v>
      </c>
      <c r="AI852" s="63">
        <f t="shared" si="174"/>
        <v>9.5154320987654323E-3</v>
      </c>
      <c r="AJ852" s="307">
        <f>RTD("money.excel",,$G852,"PredictVolume")</f>
        <v>15415</v>
      </c>
      <c r="AK852" s="339"/>
    </row>
    <row r="853" spans="1:37">
      <c r="A853" s="416">
        <v>12.2</v>
      </c>
      <c r="B853" s="80">
        <v>-726</v>
      </c>
      <c r="C853" s="80">
        <v>-369</v>
      </c>
      <c r="D853" s="79">
        <v>147</v>
      </c>
      <c r="E853" s="79">
        <v>33</v>
      </c>
      <c r="F853" s="6">
        <v>-2.54</v>
      </c>
      <c r="G853" s="79">
        <v>3591</v>
      </c>
      <c r="H853" s="8" t="s">
        <v>1985</v>
      </c>
      <c r="I853" s="22" t="s">
        <v>4529</v>
      </c>
      <c r="J853" s="73">
        <v>56.8</v>
      </c>
      <c r="K853" s="323">
        <v>5.0999999999999996</v>
      </c>
      <c r="L853" s="323">
        <v>11.92</v>
      </c>
      <c r="N853" s="318">
        <f t="shared" si="171"/>
        <v>73.819999999999993</v>
      </c>
      <c r="O853" s="81">
        <f>IFERROR(VLOOKUP($G853,'321買'!A:E,3,0),"'沒有資料'")</f>
        <v>9</v>
      </c>
      <c r="P853" s="380">
        <f>IFERROR(VLOOKUP($G853,'321買'!$A:$G,7,0),"'沒有資料'")</f>
        <v>448</v>
      </c>
      <c r="R853" s="297">
        <f>IFERROR(RANK(VLOOKUP($G853,連買!$A:$D,4,0),連買!$D:$D,0),"'沒有資料'")</f>
        <v>1465</v>
      </c>
      <c r="S853" s="34">
        <v>0.33</v>
      </c>
      <c r="T853" s="353">
        <f t="shared" si="173"/>
        <v>1.7934782608695653E-2</v>
      </c>
      <c r="U853" s="95">
        <v>0.35</v>
      </c>
      <c r="V853" s="36">
        <f>RTD("money.excel",,"3591","Price")</f>
        <v>18.399999999999999</v>
      </c>
      <c r="W853" s="66"/>
      <c r="X853" s="15">
        <f t="shared" si="167"/>
        <v>18.399999999999999</v>
      </c>
      <c r="Y853" s="3" t="e">
        <f t="shared" si="168"/>
        <v>#DIV/0!</v>
      </c>
      <c r="Z853" s="413" t="s">
        <v>1801</v>
      </c>
      <c r="AA853" s="161">
        <v>0</v>
      </c>
      <c r="AB853" s="409">
        <v>0</v>
      </c>
      <c r="AC853" s="259">
        <f t="shared" si="172"/>
        <v>0</v>
      </c>
      <c r="AD853" s="22" t="s">
        <v>4529</v>
      </c>
      <c r="AG853" s="33">
        <f t="shared" si="169"/>
        <v>0</v>
      </c>
      <c r="AH853" s="43" t="s">
        <v>4530</v>
      </c>
      <c r="AI853" s="63">
        <f t="shared" si="174"/>
        <v>8.3606557377049182E-4</v>
      </c>
      <c r="AJ853" s="307">
        <f>RTD("money.excel",,$G853,"PredictVolume")</f>
        <v>102</v>
      </c>
      <c r="AK853" s="339"/>
    </row>
    <row r="854" spans="1:37">
      <c r="A854" s="416">
        <v>6.85</v>
      </c>
      <c r="B854" s="79">
        <v>210</v>
      </c>
      <c r="C854" s="79">
        <v>353</v>
      </c>
      <c r="D854" s="80">
        <v>-20</v>
      </c>
      <c r="E854" s="79">
        <v>12</v>
      </c>
      <c r="F854" s="6">
        <v>-4.6500000000000004</v>
      </c>
      <c r="G854" s="79">
        <v>3615</v>
      </c>
      <c r="H854" s="8" t="s">
        <v>308</v>
      </c>
      <c r="I854" s="16" t="s">
        <v>4531</v>
      </c>
      <c r="J854" s="73">
        <v>30.92</v>
      </c>
      <c r="K854" s="323">
        <v>2.4900000000000002</v>
      </c>
      <c r="L854" s="73">
        <v>30</v>
      </c>
      <c r="N854" s="318">
        <f t="shared" si="171"/>
        <v>63.410000000000004</v>
      </c>
      <c r="O854" s="81">
        <f>IFERROR(VLOOKUP($G854,'321買'!A:E,3,0),"'沒有資料'")</f>
        <v>6</v>
      </c>
      <c r="P854" s="380">
        <f>IFERROR(VLOOKUP($G854,'321買'!$A:$G,7,0),"'沒有資料'")</f>
        <v>521</v>
      </c>
      <c r="R854" s="297">
        <f>IFERROR(RANK(VLOOKUP($G854,連買!$A:$D,4,0),連買!$D:$D,0),"'沒有資料'")</f>
        <v>1283</v>
      </c>
      <c r="S854" s="34">
        <v>0</v>
      </c>
      <c r="T854" s="353">
        <f t="shared" si="173"/>
        <v>0</v>
      </c>
      <c r="U854" s="95">
        <v>0.28999999999999998</v>
      </c>
      <c r="V854" s="36">
        <f>RTD("money.excel",,"3615","Price")</f>
        <v>21</v>
      </c>
      <c r="W854" s="66"/>
      <c r="X854" s="15">
        <f t="shared" si="167"/>
        <v>21</v>
      </c>
      <c r="Y854" s="3" t="e">
        <f t="shared" si="168"/>
        <v>#DIV/0!</v>
      </c>
      <c r="AA854" s="161">
        <v>0</v>
      </c>
      <c r="AB854" s="409">
        <v>0</v>
      </c>
      <c r="AC854" s="259">
        <f t="shared" si="172"/>
        <v>0</v>
      </c>
      <c r="AD854" s="16" t="s">
        <v>4531</v>
      </c>
      <c r="AG854" s="33">
        <f t="shared" si="169"/>
        <v>0</v>
      </c>
      <c r="AH854" s="43" t="s">
        <v>4532</v>
      </c>
      <c r="AI854" s="63">
        <f t="shared" si="174"/>
        <v>4.4379562043795617E-3</v>
      </c>
      <c r="AJ854" s="307">
        <f>RTD("money.excel",,$G854,"PredictVolume")</f>
        <v>304</v>
      </c>
      <c r="AK854" s="339"/>
    </row>
    <row r="855" spans="1:37">
      <c r="A855" s="416">
        <v>15.1</v>
      </c>
      <c r="B855" s="79">
        <v>525</v>
      </c>
      <c r="C855" s="79">
        <v>169</v>
      </c>
      <c r="D855" s="80">
        <v>-15</v>
      </c>
      <c r="E855" s="79">
        <v>23</v>
      </c>
      <c r="F855" s="6">
        <v>6.78</v>
      </c>
      <c r="G855" s="79">
        <v>3622</v>
      </c>
      <c r="H855" s="8" t="s">
        <v>1985</v>
      </c>
      <c r="I855" s="22" t="s">
        <v>4533</v>
      </c>
      <c r="J855" s="323">
        <v>51.32</v>
      </c>
      <c r="K855" s="73">
        <v>4.87</v>
      </c>
      <c r="L855" s="323">
        <v>8.1199999999999992</v>
      </c>
      <c r="N855" s="318">
        <f t="shared" si="171"/>
        <v>64.31</v>
      </c>
      <c r="O855" s="81">
        <f>IFERROR(VLOOKUP($G855,'321買'!A:E,3,0),"'沒有資料'")</f>
        <v>0</v>
      </c>
      <c r="P855" s="380">
        <f>IFERROR(VLOOKUP($G855,'321買'!$A:$G,7,0),"'沒有資料'")</f>
        <v>911</v>
      </c>
      <c r="R855" s="297">
        <f>IFERROR(RANK(VLOOKUP($G855,連買!$A:$D,4,0),連買!$D:$D,0),"'沒有資料'")</f>
        <v>1046</v>
      </c>
      <c r="S855" s="34">
        <v>1</v>
      </c>
      <c r="T855" s="353">
        <f t="shared" si="173"/>
        <v>3.2414910858995137E-2</v>
      </c>
      <c r="U855" s="57">
        <v>1.48</v>
      </c>
      <c r="V855" s="36">
        <f>RTD("money.excel",,"3622","Price")</f>
        <v>30.85</v>
      </c>
      <c r="W855" s="66"/>
      <c r="X855" s="15">
        <f t="shared" si="167"/>
        <v>30.85</v>
      </c>
      <c r="Y855" s="3" t="e">
        <f t="shared" si="168"/>
        <v>#DIV/0!</v>
      </c>
      <c r="Z855" s="413" t="s">
        <v>1801</v>
      </c>
      <c r="AA855" s="161">
        <v>0</v>
      </c>
      <c r="AB855" s="409">
        <v>0</v>
      </c>
      <c r="AC855" s="259">
        <f t="shared" si="172"/>
        <v>0</v>
      </c>
      <c r="AD855" s="22" t="s">
        <v>4533</v>
      </c>
      <c r="AG855" s="33">
        <f t="shared" si="169"/>
        <v>0</v>
      </c>
      <c r="AH855" s="43" t="s">
        <v>4534</v>
      </c>
      <c r="AI855" s="63">
        <f t="shared" si="174"/>
        <v>2.9735099337748344E-3</v>
      </c>
      <c r="AJ855" s="307">
        <f>RTD("money.excel",,$G855,"PredictVolume")</f>
        <v>449</v>
      </c>
      <c r="AK855" s="339"/>
    </row>
    <row r="856" spans="1:37">
      <c r="A856" s="416">
        <v>2.92</v>
      </c>
      <c r="B856" s="80">
        <v>-52</v>
      </c>
      <c r="C856" s="80">
        <v>-22</v>
      </c>
      <c r="D856" s="80">
        <v>-6</v>
      </c>
      <c r="E856" s="79">
        <v>70</v>
      </c>
      <c r="F856" s="6">
        <v>-14.45</v>
      </c>
      <c r="G856" s="79">
        <v>3623</v>
      </c>
      <c r="H856" s="8" t="s">
        <v>1985</v>
      </c>
      <c r="I856" s="16" t="s">
        <v>4535</v>
      </c>
      <c r="J856" s="73">
        <v>52.6</v>
      </c>
      <c r="K856" s="323">
        <v>0.56999999999999995</v>
      </c>
      <c r="L856" s="73">
        <v>16.46</v>
      </c>
      <c r="M856" s="73">
        <v>53.84</v>
      </c>
      <c r="N856" s="318">
        <f t="shared" si="171"/>
        <v>123.47</v>
      </c>
      <c r="O856" s="81">
        <f>IFERROR(VLOOKUP($G856,'321買'!A:E,3,0),"'沒有資料'")</f>
        <v>2</v>
      </c>
      <c r="P856" s="380">
        <f>IFERROR(VLOOKUP($G856,'321買'!$A:$G,7,0),"'沒有資料'")</f>
        <v>706</v>
      </c>
      <c r="Q856" s="245" t="s">
        <v>3815</v>
      </c>
      <c r="R856" s="297">
        <f>IFERROR(RANK(VLOOKUP($G856,連買!$A:$D,4,0),連買!$D:$D,0),"'沒有資料'")</f>
        <v>788</v>
      </c>
      <c r="S856" s="34">
        <v>0</v>
      </c>
      <c r="T856" s="353">
        <f t="shared" si="173"/>
        <v>0</v>
      </c>
      <c r="U856" s="57">
        <v>-1.51</v>
      </c>
      <c r="V856" s="36">
        <f>RTD("money.excel",,"3623","Price")</f>
        <v>19.45</v>
      </c>
      <c r="W856" s="66"/>
      <c r="X856" s="15">
        <f t="shared" si="167"/>
        <v>19.45</v>
      </c>
      <c r="Y856" s="3" t="e">
        <f t="shared" si="168"/>
        <v>#DIV/0!</v>
      </c>
      <c r="Z856" s="413" t="s">
        <v>1801</v>
      </c>
      <c r="AA856" s="161">
        <v>0</v>
      </c>
      <c r="AB856" s="409">
        <v>0</v>
      </c>
      <c r="AC856" s="259">
        <f t="shared" si="172"/>
        <v>0</v>
      </c>
      <c r="AD856" s="16" t="s">
        <v>4535</v>
      </c>
      <c r="AG856" s="33">
        <f t="shared" si="169"/>
        <v>0</v>
      </c>
      <c r="AH856" s="43" t="s">
        <v>4536</v>
      </c>
      <c r="AI856" s="63">
        <f t="shared" si="174"/>
        <v>1.9178082191780822E-3</v>
      </c>
      <c r="AJ856" s="307">
        <f>RTD("money.excel",,$G856,"PredictVolume")</f>
        <v>56</v>
      </c>
      <c r="AK856" s="339"/>
    </row>
    <row r="857" spans="1:37">
      <c r="A857" s="416">
        <v>18.399999999999999</v>
      </c>
      <c r="B857" s="80">
        <v>-154</v>
      </c>
      <c r="C857" s="80">
        <v>-170</v>
      </c>
      <c r="D857" s="79">
        <v>22</v>
      </c>
      <c r="E857" s="79">
        <v>37</v>
      </c>
      <c r="F857" s="57">
        <v>-13.11</v>
      </c>
      <c r="G857" s="79">
        <v>3630</v>
      </c>
      <c r="H857" s="208" t="s">
        <v>1985</v>
      </c>
      <c r="I857" s="24" t="s">
        <v>4537</v>
      </c>
      <c r="J857" s="323">
        <v>50.8</v>
      </c>
      <c r="K857" s="73">
        <v>36.94</v>
      </c>
      <c r="L857" s="323">
        <v>31.14</v>
      </c>
      <c r="N857" s="318">
        <f t="shared" si="171"/>
        <v>118.88</v>
      </c>
      <c r="O857" s="81">
        <f>IFERROR(VLOOKUP($G857,'321買'!A:E,3,0),"'沒有資料'")</f>
        <v>0</v>
      </c>
      <c r="P857" s="380">
        <f>IFERROR(VLOOKUP($G857,'321買'!$A:$G,7,0),"'沒有資料'")</f>
        <v>911</v>
      </c>
      <c r="R857" s="297">
        <f>IFERROR(RANK(VLOOKUP($G857,連買!$A:$D,4,0),連買!$D:$D,0),"'沒有資料'")</f>
        <v>944</v>
      </c>
      <c r="S857" s="34">
        <v>0</v>
      </c>
      <c r="T857" s="353">
        <f t="shared" si="173"/>
        <v>0</v>
      </c>
      <c r="U857" s="57">
        <v>-1.51</v>
      </c>
      <c r="V857" s="36">
        <f>RTD("money.excel",,"3630","Price")</f>
        <v>35.549999999999997</v>
      </c>
      <c r="W857" s="66"/>
      <c r="X857" s="15">
        <f t="shared" si="167"/>
        <v>35.549999999999997</v>
      </c>
      <c r="Y857" s="3" t="e">
        <f t="shared" si="168"/>
        <v>#DIV/0!</v>
      </c>
      <c r="Z857" s="413" t="s">
        <v>1801</v>
      </c>
      <c r="AA857" s="161">
        <v>0</v>
      </c>
      <c r="AB857" s="409">
        <v>0</v>
      </c>
      <c r="AC857" s="259">
        <f t="shared" si="172"/>
        <v>0</v>
      </c>
      <c r="AD857" s="24" t="s">
        <v>4537</v>
      </c>
      <c r="AG857" s="33">
        <f t="shared" si="169"/>
        <v>0</v>
      </c>
      <c r="AH857" s="122" t="s">
        <v>4538</v>
      </c>
      <c r="AI857" s="63">
        <f t="shared" si="174"/>
        <v>2.4728260869565219E-3</v>
      </c>
      <c r="AJ857" s="307">
        <f>RTD("money.excel",,$G857,"PredictVolume")</f>
        <v>455</v>
      </c>
      <c r="AK857" s="339"/>
    </row>
    <row r="858" spans="1:37">
      <c r="A858" s="416">
        <v>5.87</v>
      </c>
      <c r="B858" s="80">
        <v>-97</v>
      </c>
      <c r="C858" s="80">
        <v>-101</v>
      </c>
      <c r="D858" s="79">
        <v>11</v>
      </c>
      <c r="E858" s="80">
        <v>-3</v>
      </c>
      <c r="F858" s="6">
        <v>-0.08</v>
      </c>
      <c r="G858" s="79">
        <v>3666</v>
      </c>
      <c r="H858" s="8" t="s">
        <v>1985</v>
      </c>
      <c r="I858" s="16" t="s">
        <v>456</v>
      </c>
      <c r="J858" s="73">
        <v>51.44</v>
      </c>
      <c r="K858" s="73">
        <v>5.26</v>
      </c>
      <c r="L858" s="73">
        <v>17.98</v>
      </c>
      <c r="M858" s="323">
        <v>41.39</v>
      </c>
      <c r="N858" s="318">
        <f t="shared" si="171"/>
        <v>116.07</v>
      </c>
      <c r="O858" s="81">
        <f>IFERROR(VLOOKUP($G858,'321買'!A:E,3,0),"'沒有資料'")</f>
        <v>12</v>
      </c>
      <c r="P858" s="380">
        <f>IFERROR(VLOOKUP($G858,'321買'!$A:$G,7,0),"'沒有資料'")</f>
        <v>387</v>
      </c>
      <c r="Q858" s="245" t="s">
        <v>3816</v>
      </c>
      <c r="R858" s="297">
        <f>IFERROR(RANK(VLOOKUP($G858,連買!$A:$D,4,0),連買!$D:$D,0),"'沒有資料'")</f>
        <v>373</v>
      </c>
      <c r="S858" s="34">
        <v>2</v>
      </c>
      <c r="T858" s="353">
        <f t="shared" si="173"/>
        <v>8.1632653061224483E-2</v>
      </c>
      <c r="U858" s="57">
        <v>1.24</v>
      </c>
      <c r="V858" s="36">
        <f>RTD("money.excel",,"3666","Price")</f>
        <v>24.5</v>
      </c>
      <c r="W858" s="66"/>
      <c r="X858" s="15">
        <f t="shared" si="167"/>
        <v>24.5</v>
      </c>
      <c r="Y858" s="3" t="e">
        <f t="shared" si="168"/>
        <v>#DIV/0!</v>
      </c>
      <c r="Z858" s="413" t="s">
        <v>1801</v>
      </c>
      <c r="AA858" s="161">
        <v>0</v>
      </c>
      <c r="AB858" s="409">
        <v>0</v>
      </c>
      <c r="AC858" s="259">
        <f t="shared" si="172"/>
        <v>0</v>
      </c>
      <c r="AD858" s="16" t="s">
        <v>456</v>
      </c>
      <c r="AG858" s="33">
        <f t="shared" si="169"/>
        <v>0</v>
      </c>
      <c r="AH858" s="43" t="s">
        <v>4539</v>
      </c>
      <c r="AI858" s="63">
        <f t="shared" si="174"/>
        <v>7.8364565587734237E-4</v>
      </c>
      <c r="AJ858" s="307">
        <f>RTD("money.excel",,$G858,"PredictVolume")</f>
        <v>46</v>
      </c>
      <c r="AK858" s="339">
        <v>11.88</v>
      </c>
    </row>
    <row r="859" spans="1:37">
      <c r="A859" s="415">
        <v>9.2899999999999991</v>
      </c>
      <c r="B859" s="79">
        <v>5</v>
      </c>
      <c r="C859" s="80">
        <v>-8</v>
      </c>
      <c r="D859" s="80">
        <v>-5</v>
      </c>
      <c r="E859" s="80">
        <v>-44</v>
      </c>
      <c r="F859" s="57">
        <v>20.440000000000001</v>
      </c>
      <c r="G859" s="79">
        <v>3669</v>
      </c>
      <c r="H859" s="8" t="s">
        <v>1985</v>
      </c>
      <c r="I859" s="22" t="s">
        <v>4540</v>
      </c>
      <c r="J859" s="323">
        <v>54.51</v>
      </c>
      <c r="K859" s="73">
        <v>1.63</v>
      </c>
      <c r="L859" s="323">
        <v>14.45</v>
      </c>
      <c r="M859" s="323">
        <v>36.6</v>
      </c>
      <c r="N859" s="318">
        <f t="shared" si="171"/>
        <v>107.19</v>
      </c>
      <c r="O859" s="81">
        <f>IFERROR(VLOOKUP($G859,'321買'!A:E,3,0),"'沒有資料'")</f>
        <v>6</v>
      </c>
      <c r="P859" s="380">
        <f>IFERROR(VLOOKUP($G859,'321買'!$A:$G,7,0),"'沒有資料'")</f>
        <v>521</v>
      </c>
      <c r="Q859" s="245" t="s">
        <v>3816</v>
      </c>
      <c r="R859" s="297">
        <f>IFERROR(RANK(VLOOKUP($G859,連買!$A:$D,4,0),連買!$D:$D,0),"'沒有資料'")</f>
        <v>432</v>
      </c>
      <c r="S859" s="66">
        <v>5</v>
      </c>
      <c r="T859" s="353">
        <f t="shared" si="173"/>
        <v>9.4876660341555966E-2</v>
      </c>
      <c r="U859" s="57">
        <v>8.8000000000000007</v>
      </c>
      <c r="V859" s="36">
        <f>RTD("money.excel",,"3669","Price")</f>
        <v>52.7</v>
      </c>
      <c r="W859" s="66"/>
      <c r="X859" s="15">
        <f t="shared" si="167"/>
        <v>52.7</v>
      </c>
      <c r="Y859" s="3" t="e">
        <f t="shared" si="168"/>
        <v>#DIV/0!</v>
      </c>
      <c r="Z859" s="413" t="s">
        <v>1997</v>
      </c>
      <c r="AA859" s="161">
        <v>0</v>
      </c>
      <c r="AB859" s="409">
        <v>0</v>
      </c>
      <c r="AC859" s="259">
        <f t="shared" si="172"/>
        <v>0</v>
      </c>
      <c r="AD859" s="22" t="s">
        <v>4540</v>
      </c>
      <c r="AG859" s="33">
        <f t="shared" si="169"/>
        <v>0</v>
      </c>
      <c r="AH859" s="120" t="s">
        <v>4541</v>
      </c>
      <c r="AI859" s="63">
        <f t="shared" si="174"/>
        <v>1.614639397201292E-3</v>
      </c>
      <c r="AJ859" s="307">
        <f>RTD("money.excel",,$G859,"PredictVolume")</f>
        <v>150</v>
      </c>
      <c r="AK859" s="339"/>
    </row>
    <row r="860" spans="1:37">
      <c r="A860" s="416">
        <v>40.6</v>
      </c>
      <c r="B860" s="79">
        <v>92</v>
      </c>
      <c r="C860" s="80">
        <v>-53</v>
      </c>
      <c r="D860" s="80">
        <v>-12</v>
      </c>
      <c r="E860" s="80">
        <v>-20</v>
      </c>
      <c r="F860" s="6">
        <v>0.46</v>
      </c>
      <c r="G860" s="79">
        <v>3673</v>
      </c>
      <c r="H860" s="8" t="s">
        <v>1985</v>
      </c>
      <c r="I860" s="22" t="s">
        <v>4542</v>
      </c>
      <c r="J860" s="73">
        <v>35.6</v>
      </c>
      <c r="K860" s="73">
        <v>38.659999999999997</v>
      </c>
      <c r="L860" s="323">
        <v>14.73</v>
      </c>
      <c r="N860" s="318">
        <f t="shared" si="171"/>
        <v>88.99</v>
      </c>
      <c r="O860" s="81">
        <f>IFERROR(VLOOKUP($G860,'321買'!A:E,3,0),"'沒有資料'")</f>
        <v>0</v>
      </c>
      <c r="P860" s="380">
        <f>IFERROR(VLOOKUP($G860,'321買'!$A:$G,7,0),"'沒有資料'")</f>
        <v>911</v>
      </c>
      <c r="R860" s="297">
        <f>IFERROR(RANK(VLOOKUP($G860,連買!$A:$D,4,0),連買!$D:$D,0),"'沒有資料'")</f>
        <v>685</v>
      </c>
      <c r="S860" s="34">
        <v>1</v>
      </c>
      <c r="T860" s="353">
        <f t="shared" si="173"/>
        <v>2.7777777777777776E-2</v>
      </c>
      <c r="U860" s="95">
        <v>3.33</v>
      </c>
      <c r="V860" s="36">
        <f>RTD("money.excel",,"3673","Price")</f>
        <v>36</v>
      </c>
      <c r="W860" s="66"/>
      <c r="X860" s="15">
        <f t="shared" si="167"/>
        <v>36</v>
      </c>
      <c r="Y860" s="3" t="e">
        <f t="shared" si="168"/>
        <v>#DIV/0!</v>
      </c>
      <c r="Z860" s="413" t="s">
        <v>1801</v>
      </c>
      <c r="AA860" s="161">
        <v>0</v>
      </c>
      <c r="AB860" s="409">
        <v>0</v>
      </c>
      <c r="AC860" s="259">
        <f t="shared" si="172"/>
        <v>0</v>
      </c>
      <c r="AD860" s="22" t="s">
        <v>4542</v>
      </c>
      <c r="AG860" s="33">
        <f t="shared" si="169"/>
        <v>0</v>
      </c>
      <c r="AH860" s="120" t="s">
        <v>4543</v>
      </c>
      <c r="AI860" s="63">
        <f t="shared" si="174"/>
        <v>1.458128078817734E-3</v>
      </c>
      <c r="AJ860" s="307">
        <f>RTD("money.excel",,$G860,"PredictVolume")</f>
        <v>592</v>
      </c>
      <c r="AK860" s="339"/>
    </row>
    <row r="861" spans="1:37">
      <c r="A861" s="416">
        <v>8</v>
      </c>
      <c r="B861" s="80">
        <v>-74</v>
      </c>
      <c r="C861" s="80">
        <v>-153</v>
      </c>
      <c r="D861" s="80">
        <v>-39</v>
      </c>
      <c r="E861" s="79">
        <v>234</v>
      </c>
      <c r="F861" s="6">
        <v>-1.56</v>
      </c>
      <c r="G861" s="79">
        <v>3685</v>
      </c>
      <c r="H861" s="8" t="s">
        <v>1985</v>
      </c>
      <c r="I861" s="16" t="s">
        <v>4544</v>
      </c>
      <c r="J861" s="73">
        <v>64.52</v>
      </c>
      <c r="K861" s="323">
        <v>2.57</v>
      </c>
      <c r="L861" s="323">
        <v>6</v>
      </c>
      <c r="N861" s="318">
        <f t="shared" si="171"/>
        <v>73.089999999999989</v>
      </c>
      <c r="O861" s="81">
        <f>IFERROR(VLOOKUP($G861,'321買'!A:E,3,0),"'沒有資料'")</f>
        <v>1</v>
      </c>
      <c r="P861" s="380">
        <f>IFERROR(VLOOKUP($G861,'321買'!$A:$G,7,0),"'沒有資料'")</f>
        <v>783</v>
      </c>
      <c r="R861" s="297">
        <f>IFERROR(RANK(VLOOKUP($G861,連買!$A:$D,4,0),連買!$D:$D,0),"'沒有資料'")</f>
        <v>1568</v>
      </c>
      <c r="S861" s="34">
        <v>0.2</v>
      </c>
      <c r="T861" s="353">
        <f t="shared" si="173"/>
        <v>6.6445182724252493E-3</v>
      </c>
      <c r="U861" s="57">
        <v>0.1</v>
      </c>
      <c r="V861" s="36">
        <f>RTD("money.excel",,"3685","Price")</f>
        <v>30.1</v>
      </c>
      <c r="W861" s="66"/>
      <c r="X861" s="15">
        <f t="shared" si="167"/>
        <v>30.1</v>
      </c>
      <c r="Y861" s="3" t="e">
        <f t="shared" si="168"/>
        <v>#DIV/0!</v>
      </c>
      <c r="Z861" s="413" t="s">
        <v>1801</v>
      </c>
      <c r="AA861" s="161">
        <v>0</v>
      </c>
      <c r="AB861" s="409">
        <v>0</v>
      </c>
      <c r="AC861" s="259">
        <f t="shared" si="172"/>
        <v>0</v>
      </c>
      <c r="AD861" s="16" t="s">
        <v>4544</v>
      </c>
      <c r="AG861" s="33">
        <f t="shared" si="169"/>
        <v>0</v>
      </c>
      <c r="AH861" s="43" t="s">
        <v>4545</v>
      </c>
      <c r="AI861" s="63">
        <f t="shared" si="174"/>
        <v>5.7499999999999999E-4</v>
      </c>
      <c r="AJ861" s="307">
        <f>RTD("money.excel",,$G861,"PredictVolume")</f>
        <v>46</v>
      </c>
      <c r="AK861" s="339"/>
    </row>
    <row r="862" spans="1:37">
      <c r="A862" s="416">
        <v>6.59</v>
      </c>
      <c r="B862" s="79">
        <v>125</v>
      </c>
      <c r="C862" s="79">
        <v>27</v>
      </c>
      <c r="D862" s="80">
        <v>-9</v>
      </c>
      <c r="E862" s="79">
        <v>10</v>
      </c>
      <c r="F862" s="6">
        <v>3.18</v>
      </c>
      <c r="G862" s="79">
        <v>3691</v>
      </c>
      <c r="H862" s="149" t="s">
        <v>1985</v>
      </c>
      <c r="I862" s="16" t="s">
        <v>4546</v>
      </c>
      <c r="J862" s="323">
        <v>54.18</v>
      </c>
      <c r="K862" s="323">
        <v>16.46</v>
      </c>
      <c r="L862" s="323">
        <v>12</v>
      </c>
      <c r="N862" s="318">
        <f t="shared" si="171"/>
        <v>82.64</v>
      </c>
      <c r="O862" s="81">
        <f>IFERROR(VLOOKUP($G862,'321買'!A:E,3,0),"'沒有資料'")</f>
        <v>17</v>
      </c>
      <c r="P862" s="380">
        <f>IFERROR(VLOOKUP($G862,'321買'!$A:$G,7,0),"'沒有資料'")</f>
        <v>290</v>
      </c>
      <c r="R862" s="297">
        <f>IFERROR(RANK(VLOOKUP($G862,連買!$A:$D,4,0),連買!$D:$D,0),"'沒有資料'")</f>
        <v>44</v>
      </c>
      <c r="S862" s="34">
        <v>2</v>
      </c>
      <c r="T862" s="353">
        <f t="shared" si="173"/>
        <v>1.1730205278592375E-2</v>
      </c>
      <c r="U862" s="57">
        <v>4.7300000000000004</v>
      </c>
      <c r="V862" s="36">
        <f>RTD("money.excel",,"3691","Price")</f>
        <v>170.5</v>
      </c>
      <c r="W862" s="66"/>
      <c r="X862" s="15">
        <f t="shared" si="167"/>
        <v>170.5</v>
      </c>
      <c r="Y862" s="3" t="e">
        <f t="shared" si="168"/>
        <v>#DIV/0!</v>
      </c>
      <c r="Z862" s="413" t="s">
        <v>1801</v>
      </c>
      <c r="AA862" s="161">
        <v>0</v>
      </c>
      <c r="AB862" s="409">
        <v>0</v>
      </c>
      <c r="AC862" s="259">
        <f t="shared" si="172"/>
        <v>0</v>
      </c>
      <c r="AD862" s="16" t="s">
        <v>4546</v>
      </c>
      <c r="AG862" s="33">
        <f t="shared" si="169"/>
        <v>0</v>
      </c>
      <c r="AH862" s="120" t="s">
        <v>4547</v>
      </c>
      <c r="AI862" s="63">
        <f t="shared" si="174"/>
        <v>2.0637329286798179E-3</v>
      </c>
      <c r="AJ862" s="307">
        <f>RTD("money.excel",,$G862,"PredictVolume")</f>
        <v>136</v>
      </c>
      <c r="AK862" s="339"/>
    </row>
    <row r="863" spans="1:37">
      <c r="A863" s="416">
        <v>7.81</v>
      </c>
      <c r="B863" s="93">
        <v>2639</v>
      </c>
      <c r="C863" s="93">
        <v>2126</v>
      </c>
      <c r="D863" s="79">
        <v>42</v>
      </c>
      <c r="E863" s="93">
        <v>1154</v>
      </c>
      <c r="F863" s="6">
        <v>9.25</v>
      </c>
      <c r="G863" s="79">
        <v>3713</v>
      </c>
      <c r="H863" s="8" t="s">
        <v>1985</v>
      </c>
      <c r="I863" s="16" t="s">
        <v>4548</v>
      </c>
      <c r="J863" s="323">
        <v>51.08</v>
      </c>
      <c r="K863" s="73">
        <v>0.34</v>
      </c>
      <c r="N863" s="318">
        <f t="shared" si="171"/>
        <v>51.42</v>
      </c>
      <c r="O863" s="81" t="str">
        <f>IFERROR(VLOOKUP($G863,'321買'!A:E,3,0),"'沒有資料'")</f>
        <v>'沒有資料'</v>
      </c>
      <c r="P863" s="380" t="str">
        <f>IFERROR(VLOOKUP($G863,'321買'!$A:$G,7,0),"'沒有資料'")</f>
        <v>'沒有資料'</v>
      </c>
      <c r="R863" s="297">
        <f>IFERROR(RANK(VLOOKUP($G863,連買!$A:$D,4,0),連買!$D:$D,0),"'沒有資料'")</f>
        <v>1655</v>
      </c>
      <c r="S863" s="34">
        <v>0</v>
      </c>
      <c r="T863" s="353">
        <f t="shared" si="173"/>
        <v>0</v>
      </c>
      <c r="U863" s="57">
        <v>0.32</v>
      </c>
      <c r="V863" s="36">
        <f>RTD("money.excel",,"3713","Price")</f>
        <v>34.6</v>
      </c>
      <c r="W863" s="66"/>
      <c r="X863" s="15">
        <f t="shared" si="167"/>
        <v>34.6</v>
      </c>
      <c r="Y863" s="3" t="e">
        <f t="shared" si="168"/>
        <v>#DIV/0!</v>
      </c>
      <c r="Z863" s="413" t="s">
        <v>1801</v>
      </c>
      <c r="AA863" s="161">
        <v>0</v>
      </c>
      <c r="AB863" s="409">
        <v>0</v>
      </c>
      <c r="AC863" s="259">
        <f t="shared" si="172"/>
        <v>0</v>
      </c>
      <c r="AD863" s="16" t="s">
        <v>4548</v>
      </c>
      <c r="AG863" s="33">
        <f t="shared" si="169"/>
        <v>0</v>
      </c>
      <c r="AH863" s="43" t="s">
        <v>4549</v>
      </c>
      <c r="AI863" s="63">
        <f t="shared" si="174"/>
        <v>3.0729833546734955E-4</v>
      </c>
      <c r="AJ863" s="307">
        <f>RTD("money.excel",,$G863,"PredictVolume")</f>
        <v>24</v>
      </c>
      <c r="AK863" s="339"/>
    </row>
    <row r="864" spans="1:37">
      <c r="A864" s="416">
        <v>68.5</v>
      </c>
      <c r="B864" s="79">
        <v>76</v>
      </c>
      <c r="C864" s="79">
        <v>86</v>
      </c>
      <c r="D864" s="79">
        <v>13</v>
      </c>
      <c r="E864" s="80"/>
      <c r="F864" s="6">
        <v>-4.79</v>
      </c>
      <c r="G864" s="79">
        <v>3714</v>
      </c>
      <c r="H864" s="8" t="s">
        <v>1985</v>
      </c>
      <c r="I864" s="22" t="s">
        <v>4550</v>
      </c>
      <c r="J864" s="323">
        <v>35.76</v>
      </c>
      <c r="K864" s="323">
        <v>18.11</v>
      </c>
      <c r="L864" s="323">
        <v>17.760000000000002</v>
      </c>
      <c r="N864" s="318">
        <f t="shared" si="171"/>
        <v>71.63</v>
      </c>
      <c r="O864" s="81">
        <f>IFERROR(VLOOKUP($G864,'321買'!A:E,3,0),"'沒有資料'")</f>
        <v>26</v>
      </c>
      <c r="P864" s="380">
        <f>IFERROR(VLOOKUP($G864,'321買'!$A:$G,7,0),"'沒有資料'")</f>
        <v>156</v>
      </c>
      <c r="R864" s="297">
        <f>IFERROR(RANK(VLOOKUP($G864,連買!$A:$D,4,0),連買!$D:$D,0),"'沒有資料'")</f>
        <v>676</v>
      </c>
      <c r="S864" s="34"/>
      <c r="T864" s="353">
        <f t="shared" si="173"/>
        <v>0</v>
      </c>
      <c r="U864" s="95"/>
      <c r="V864" s="36">
        <f>RTD("money.excel",,"3714","Price")</f>
        <v>65.5</v>
      </c>
      <c r="W864" s="66"/>
      <c r="X864" s="15">
        <f t="shared" si="167"/>
        <v>65.5</v>
      </c>
      <c r="Y864" s="3" t="e">
        <f t="shared" si="168"/>
        <v>#DIV/0!</v>
      </c>
      <c r="Z864" s="413" t="s">
        <v>1801</v>
      </c>
      <c r="AA864" s="161">
        <v>0</v>
      </c>
      <c r="AB864" s="409">
        <v>0</v>
      </c>
      <c r="AC864" s="259">
        <f t="shared" si="172"/>
        <v>0</v>
      </c>
      <c r="AD864" s="22" t="s">
        <v>4550</v>
      </c>
      <c r="AG864" s="33">
        <f t="shared" si="169"/>
        <v>0</v>
      </c>
      <c r="AH864" s="120" t="s">
        <v>5061</v>
      </c>
      <c r="AI864" s="63">
        <f t="shared" si="174"/>
        <v>6.9664233576642335E-3</v>
      </c>
      <c r="AJ864" s="307">
        <f>RTD("money.excel",,$G864,"PredictVolume")</f>
        <v>4772</v>
      </c>
      <c r="AK864" s="339"/>
    </row>
    <row r="865" spans="1:37">
      <c r="A865" s="416">
        <v>10.199999999999999</v>
      </c>
      <c r="B865" s="91">
        <v>56</v>
      </c>
      <c r="C865" s="91">
        <v>-14</v>
      </c>
      <c r="D865" s="91">
        <v>14</v>
      </c>
      <c r="E865" s="91">
        <v>-29</v>
      </c>
      <c r="F865" s="6">
        <v>-9.1</v>
      </c>
      <c r="G865" s="79">
        <v>4729</v>
      </c>
      <c r="H865" s="8" t="s">
        <v>1985</v>
      </c>
      <c r="I865" s="16" t="s">
        <v>4551</v>
      </c>
      <c r="J865" s="73">
        <v>56.73</v>
      </c>
      <c r="K865" s="73">
        <v>0</v>
      </c>
      <c r="N865" s="318">
        <f t="shared" si="171"/>
        <v>56.73</v>
      </c>
      <c r="O865" s="81" t="str">
        <f>IFERROR(VLOOKUP($G865,'321買'!A:E,3,0),"'沒有資料'")</f>
        <v>'沒有資料'</v>
      </c>
      <c r="P865" s="380" t="str">
        <f>IFERROR(VLOOKUP($G865,'321買'!$A:$G,7,0),"'沒有資料'")</f>
        <v>'沒有資料'</v>
      </c>
      <c r="R865" s="297">
        <f>IFERROR(RANK(VLOOKUP($G865,連買!$A:$D,4,0),連買!$D:$D,0),"'沒有資料'")</f>
        <v>1180</v>
      </c>
      <c r="S865" s="34">
        <v>0</v>
      </c>
      <c r="T865" s="353">
        <f t="shared" si="173"/>
        <v>0</v>
      </c>
      <c r="U865" s="95">
        <v>-1.1000000000000001</v>
      </c>
      <c r="V865" s="13">
        <f>RTD("money.excel",,"4729","Price")</f>
        <v>11.85</v>
      </c>
      <c r="W865" s="66"/>
      <c r="X865" s="15">
        <f t="shared" si="167"/>
        <v>11.85</v>
      </c>
      <c r="Y865" s="3" t="e">
        <f t="shared" si="168"/>
        <v>#DIV/0!</v>
      </c>
      <c r="Z865" s="413" t="s">
        <v>1801</v>
      </c>
      <c r="AA865" s="161">
        <v>0</v>
      </c>
      <c r="AB865" s="409">
        <v>0</v>
      </c>
      <c r="AC865" s="259">
        <f t="shared" si="172"/>
        <v>0</v>
      </c>
      <c r="AD865" s="16" t="s">
        <v>4551</v>
      </c>
      <c r="AG865" s="33">
        <f t="shared" si="169"/>
        <v>0</v>
      </c>
      <c r="AH865" s="43" t="s">
        <v>4552</v>
      </c>
      <c r="AI865" s="63">
        <f t="shared" si="174"/>
        <v>3.9215686274509805E-5</v>
      </c>
      <c r="AJ865" s="307">
        <f>RTD("money.excel",,$G865,"PredictVolume")</f>
        <v>4</v>
      </c>
      <c r="AK865" s="339"/>
    </row>
    <row r="866" spans="1:37">
      <c r="A866" s="415">
        <v>7.99</v>
      </c>
      <c r="B866" s="79">
        <v>81</v>
      </c>
      <c r="C866" s="79">
        <v>95</v>
      </c>
      <c r="D866" s="79">
        <v>16</v>
      </c>
      <c r="E866" s="79">
        <v>9</v>
      </c>
      <c r="F866" s="57">
        <v>12.85</v>
      </c>
      <c r="G866" s="79">
        <v>4933</v>
      </c>
      <c r="H866" s="8" t="s">
        <v>308</v>
      </c>
      <c r="I866" s="16" t="s">
        <v>4553</v>
      </c>
      <c r="J866" s="73">
        <v>60.41</v>
      </c>
      <c r="K866" s="73">
        <v>3.68</v>
      </c>
      <c r="L866" s="323">
        <v>7.14</v>
      </c>
      <c r="M866" s="73">
        <v>57.18</v>
      </c>
      <c r="N866" s="318">
        <f t="shared" si="171"/>
        <v>128.41</v>
      </c>
      <c r="O866" s="81">
        <f>IFERROR(VLOOKUP($G866,'321買'!A:E,3,0),"'沒有資料'")</f>
        <v>0</v>
      </c>
      <c r="P866" s="380">
        <f>IFERROR(VLOOKUP($G866,'321買'!$A:$G,7,0),"'沒有資料'")</f>
        <v>911</v>
      </c>
      <c r="Q866" s="245" t="s">
        <v>5077</v>
      </c>
      <c r="R866" s="297">
        <f>IFERROR(RANK(VLOOKUP($G866,連買!$A:$D,4,0),連買!$D:$D,0),"'沒有資料'")</f>
        <v>572</v>
      </c>
      <c r="S866" s="34">
        <v>2.19</v>
      </c>
      <c r="T866" s="353">
        <f t="shared" si="173"/>
        <v>5.6957087126137833E-2</v>
      </c>
      <c r="U866" s="57">
        <v>3.76</v>
      </c>
      <c r="V866" s="36">
        <f>RTD("money.excel",,"4933","Price")</f>
        <v>38.450000000000003</v>
      </c>
      <c r="W866" s="66"/>
      <c r="X866" s="15">
        <f t="shared" si="167"/>
        <v>38.450000000000003</v>
      </c>
      <c r="Y866" s="3" t="e">
        <f t="shared" si="168"/>
        <v>#DIV/0!</v>
      </c>
      <c r="AA866" s="161">
        <v>0</v>
      </c>
      <c r="AB866" s="409">
        <v>0</v>
      </c>
      <c r="AC866" s="259">
        <f t="shared" si="172"/>
        <v>0</v>
      </c>
      <c r="AD866" s="16" t="s">
        <v>4553</v>
      </c>
      <c r="AG866" s="33">
        <f t="shared" si="169"/>
        <v>0</v>
      </c>
      <c r="AH866" s="120" t="s">
        <v>4554</v>
      </c>
      <c r="AI866" s="63">
        <f t="shared" si="174"/>
        <v>3.1289111389236547E-4</v>
      </c>
      <c r="AJ866" s="307">
        <f>RTD("money.excel",,$G866,"PredictVolume")</f>
        <v>25</v>
      </c>
      <c r="AK866" s="339">
        <v>12.7</v>
      </c>
    </row>
    <row r="867" spans="1:37">
      <c r="A867" s="416">
        <v>22.5</v>
      </c>
      <c r="B867" s="80">
        <v>-675</v>
      </c>
      <c r="C867" s="80">
        <v>-449</v>
      </c>
      <c r="D867" s="80">
        <v>-37</v>
      </c>
      <c r="E867" s="80">
        <v>-59</v>
      </c>
      <c r="F867" s="6">
        <v>-29.73</v>
      </c>
      <c r="G867" s="79">
        <v>4934</v>
      </c>
      <c r="H867" s="8" t="s">
        <v>1985</v>
      </c>
      <c r="I867" s="22" t="s">
        <v>4555</v>
      </c>
      <c r="J867" s="323">
        <v>28.95</v>
      </c>
      <c r="K867" s="73">
        <v>1.2</v>
      </c>
      <c r="N867" s="318">
        <f t="shared" si="171"/>
        <v>30.15</v>
      </c>
      <c r="O867" s="81">
        <f>IFERROR(VLOOKUP($G867,'321買'!A:E,3,0),"'沒有資料'")</f>
        <v>4</v>
      </c>
      <c r="P867" s="380">
        <f>IFERROR(VLOOKUP($G867,'321買'!$A:$G,7,0),"'沒有資料'")</f>
        <v>592</v>
      </c>
      <c r="R867" s="297">
        <f>IFERROR(RANK(VLOOKUP($G867,連買!$A:$D,4,0),連買!$D:$D,0),"'沒有資料'")</f>
        <v>1166</v>
      </c>
      <c r="S867" s="34">
        <v>0</v>
      </c>
      <c r="T867" s="353">
        <f t="shared" si="173"/>
        <v>0</v>
      </c>
      <c r="U867" s="95">
        <v>-1.59</v>
      </c>
      <c r="V867" s="36">
        <f>RTD("money.excel",,"4934","Price")</f>
        <v>26.15</v>
      </c>
      <c r="W867" s="66"/>
      <c r="X867" s="15">
        <f t="shared" si="167"/>
        <v>26.15</v>
      </c>
      <c r="Y867" s="3" t="e">
        <f t="shared" si="168"/>
        <v>#DIV/0!</v>
      </c>
      <c r="Z867" s="413" t="s">
        <v>1801</v>
      </c>
      <c r="AA867" s="161">
        <v>0</v>
      </c>
      <c r="AB867" s="409">
        <v>0</v>
      </c>
      <c r="AC867" s="259">
        <f t="shared" si="172"/>
        <v>0</v>
      </c>
      <c r="AD867" s="22" t="s">
        <v>4555</v>
      </c>
      <c r="AG867" s="33">
        <f t="shared" si="169"/>
        <v>0</v>
      </c>
      <c r="AH867" s="43" t="s">
        <v>2159</v>
      </c>
      <c r="AI867" s="63">
        <f t="shared" si="174"/>
        <v>3.48E-3</v>
      </c>
      <c r="AJ867" s="307">
        <f>RTD("money.excel",,$G867,"PredictVolume")</f>
        <v>783</v>
      </c>
      <c r="AK867" s="339"/>
    </row>
    <row r="868" spans="1:37">
      <c r="A868" s="415">
        <v>13</v>
      </c>
      <c r="B868" s="79">
        <v>4</v>
      </c>
      <c r="C868" s="80">
        <v>-9</v>
      </c>
      <c r="D868" s="80">
        <v>-16</v>
      </c>
      <c r="E868" s="80">
        <v>-22</v>
      </c>
      <c r="F868" s="57">
        <v>11.96</v>
      </c>
      <c r="G868" s="79">
        <v>4935</v>
      </c>
      <c r="H868" s="8" t="s">
        <v>1985</v>
      </c>
      <c r="I868" s="22" t="s">
        <v>4556</v>
      </c>
      <c r="J868" s="73">
        <v>45.98</v>
      </c>
      <c r="K868" s="323">
        <v>26.66</v>
      </c>
      <c r="L868" s="73">
        <v>12.64</v>
      </c>
      <c r="N868" s="318">
        <f t="shared" si="171"/>
        <v>85.28</v>
      </c>
      <c r="O868" s="81">
        <f>IFERROR(VLOOKUP($G868,'321買'!A:E,3,0),"'沒有資料'")</f>
        <v>3</v>
      </c>
      <c r="P868" s="380">
        <f>IFERROR(VLOOKUP($G868,'321買'!$A:$G,7,0),"'沒有資料'")</f>
        <v>636</v>
      </c>
      <c r="Q868" s="245" t="s">
        <v>3817</v>
      </c>
      <c r="R868" s="297">
        <f>IFERROR(RANK(VLOOKUP($G868,連買!$A:$D,4,0),連買!$D:$D,0),"'沒有資料'")</f>
        <v>135</v>
      </c>
      <c r="S868" s="66">
        <v>5.5</v>
      </c>
      <c r="T868" s="353">
        <f t="shared" si="173"/>
        <v>7.9825834542815666E-2</v>
      </c>
      <c r="U868" s="95">
        <v>10.64</v>
      </c>
      <c r="V868" s="36">
        <f>RTD("money.excel",,"4935","Price")</f>
        <v>68.900000000000006</v>
      </c>
      <c r="W868" s="66"/>
      <c r="X868" s="15">
        <f t="shared" si="167"/>
        <v>68.900000000000006</v>
      </c>
      <c r="Y868" s="3" t="e">
        <f t="shared" si="168"/>
        <v>#DIV/0!</v>
      </c>
      <c r="Z868" s="413" t="s">
        <v>1997</v>
      </c>
      <c r="AA868" s="161">
        <v>0</v>
      </c>
      <c r="AB868" s="409">
        <v>0</v>
      </c>
      <c r="AC868" s="259">
        <f t="shared" si="172"/>
        <v>0</v>
      </c>
      <c r="AD868" s="22" t="s">
        <v>4556</v>
      </c>
      <c r="AG868" s="33">
        <f t="shared" si="169"/>
        <v>0</v>
      </c>
      <c r="AH868" s="43" t="s">
        <v>2466</v>
      </c>
      <c r="AI868" s="63">
        <f t="shared" si="174"/>
        <v>6.0000000000000001E-3</v>
      </c>
      <c r="AJ868" s="307">
        <f>RTD("money.excel",,$G868,"PredictVolume")</f>
        <v>780</v>
      </c>
      <c r="AK868" s="339"/>
    </row>
    <row r="869" spans="1:37">
      <c r="A869" s="415">
        <v>14.2</v>
      </c>
      <c r="B869" s="80">
        <v>-1</v>
      </c>
      <c r="C869" s="79">
        <v>24</v>
      </c>
      <c r="D869" s="80">
        <v>-35</v>
      </c>
      <c r="E869" s="80">
        <v>-46</v>
      </c>
      <c r="F869" s="57">
        <v>11.91</v>
      </c>
      <c r="G869" s="79">
        <v>4942</v>
      </c>
      <c r="H869" s="8" t="s">
        <v>1985</v>
      </c>
      <c r="I869" s="22" t="s">
        <v>4557</v>
      </c>
      <c r="J869" s="323">
        <v>68.39</v>
      </c>
      <c r="K869" s="323">
        <v>19.07</v>
      </c>
      <c r="L869" s="73">
        <v>5.12</v>
      </c>
      <c r="N869" s="318">
        <f t="shared" si="171"/>
        <v>92.580000000000013</v>
      </c>
      <c r="O869" s="81">
        <f>IFERROR(VLOOKUP($G869,'321買'!A:E,3,0),"'沒有資料'")</f>
        <v>3</v>
      </c>
      <c r="P869" s="380">
        <f>IFERROR(VLOOKUP($G869,'321買'!$A:$G,7,0),"'沒有資料'")</f>
        <v>636</v>
      </c>
      <c r="R869" s="297">
        <f>IFERROR(RANK(VLOOKUP($G869,連買!$A:$D,4,0),連買!$D:$D,0),"'沒有資料'")</f>
        <v>479</v>
      </c>
      <c r="S869" s="34">
        <v>2.5</v>
      </c>
      <c r="T869" s="353">
        <f t="shared" si="173"/>
        <v>5.3590568060021437E-2</v>
      </c>
      <c r="U869" s="95">
        <v>4.76</v>
      </c>
      <c r="V869" s="36">
        <f>RTD("money.excel",,"4942","Price")</f>
        <v>46.65</v>
      </c>
      <c r="W869" s="66"/>
      <c r="X869" s="15">
        <f t="shared" si="167"/>
        <v>46.65</v>
      </c>
      <c r="Y869" s="3" t="e">
        <f t="shared" si="168"/>
        <v>#DIV/0!</v>
      </c>
      <c r="Z869" s="413" t="s">
        <v>1801</v>
      </c>
      <c r="AA869" s="161">
        <v>0</v>
      </c>
      <c r="AB869" s="409">
        <v>0</v>
      </c>
      <c r="AC869" s="259">
        <f t="shared" si="172"/>
        <v>0</v>
      </c>
      <c r="AD869" s="22" t="s">
        <v>4557</v>
      </c>
      <c r="AG869" s="33">
        <f t="shared" si="169"/>
        <v>0</v>
      </c>
      <c r="AH869" s="43" t="s">
        <v>2769</v>
      </c>
      <c r="AI869" s="63">
        <f t="shared" si="174"/>
        <v>9.8591549295774642E-4</v>
      </c>
      <c r="AJ869" s="307">
        <f>RTD("money.excel",,$G869,"PredictVolume")</f>
        <v>140</v>
      </c>
      <c r="AK869" s="339"/>
    </row>
    <row r="870" spans="1:37">
      <c r="A870" s="416">
        <v>8.7100000000000009</v>
      </c>
      <c r="B870" s="79">
        <v>1</v>
      </c>
      <c r="C870" s="79">
        <v>23</v>
      </c>
      <c r="D870" s="80">
        <v>-7</v>
      </c>
      <c r="E870" s="80">
        <v>-61</v>
      </c>
      <c r="F870" s="6">
        <v>-58.09</v>
      </c>
      <c r="G870" s="79">
        <v>4944</v>
      </c>
      <c r="H870" s="8" t="s">
        <v>1985</v>
      </c>
      <c r="I870" s="16" t="s">
        <v>4558</v>
      </c>
      <c r="J870" s="73">
        <v>61</v>
      </c>
      <c r="K870" s="323">
        <v>0.26</v>
      </c>
      <c r="L870" s="323"/>
      <c r="N870" s="318">
        <f t="shared" si="171"/>
        <v>61.26</v>
      </c>
      <c r="O870" s="81">
        <f>IFERROR(VLOOKUP($G870,'321買'!A:E,3,0),"'沒有資料'")</f>
        <v>0</v>
      </c>
      <c r="P870" s="380">
        <f>IFERROR(VLOOKUP($G870,'321買'!$A:$G,7,0),"'沒有資料'")</f>
        <v>911</v>
      </c>
      <c r="R870" s="297">
        <f>IFERROR(RANK(VLOOKUP($G870,連買!$A:$D,4,0),連買!$D:$D,0),"'沒有資料'")</f>
        <v>1546</v>
      </c>
      <c r="S870" s="34">
        <v>0</v>
      </c>
      <c r="T870" s="353">
        <f t="shared" si="173"/>
        <v>0</v>
      </c>
      <c r="U870" s="57">
        <v>-0.87</v>
      </c>
      <c r="V870" s="36">
        <f>RTD("money.excel",,"4944","Price")</f>
        <v>15</v>
      </c>
      <c r="W870" s="66"/>
      <c r="X870" s="15">
        <f t="shared" si="167"/>
        <v>15</v>
      </c>
      <c r="Y870" s="3" t="e">
        <f t="shared" si="168"/>
        <v>#DIV/0!</v>
      </c>
      <c r="Z870" s="413" t="s">
        <v>1801</v>
      </c>
      <c r="AA870" s="161">
        <v>0</v>
      </c>
      <c r="AB870" s="409">
        <v>0</v>
      </c>
      <c r="AC870" s="259">
        <f t="shared" si="172"/>
        <v>0</v>
      </c>
      <c r="AD870" s="16" t="s">
        <v>4558</v>
      </c>
      <c r="AG870" s="33">
        <f t="shared" si="169"/>
        <v>0</v>
      </c>
      <c r="AH870" s="43" t="s">
        <v>4559</v>
      </c>
      <c r="AI870" s="63">
        <f t="shared" si="174"/>
        <v>2.8473019517795631E-3</v>
      </c>
      <c r="AJ870" s="307">
        <f>RTD("money.excel",,$G870,"PredictVolume")</f>
        <v>248</v>
      </c>
      <c r="AK870" s="339"/>
    </row>
    <row r="871" spans="1:37">
      <c r="A871" s="416">
        <v>10</v>
      </c>
      <c r="B871" s="80">
        <v>-656</v>
      </c>
      <c r="C871" s="80">
        <v>-762</v>
      </c>
      <c r="D871" s="79">
        <v>2</v>
      </c>
      <c r="E871" s="79">
        <v>23</v>
      </c>
      <c r="F871" s="6">
        <v>-8.68</v>
      </c>
      <c r="G871" s="79">
        <v>4956</v>
      </c>
      <c r="H871" s="8" t="s">
        <v>1985</v>
      </c>
      <c r="I871" s="22" t="s">
        <v>4560</v>
      </c>
      <c r="J871" s="323">
        <v>36.979999999999997</v>
      </c>
      <c r="K871" s="323">
        <v>8.06</v>
      </c>
      <c r="L871" s="323">
        <v>19.690000000000001</v>
      </c>
      <c r="N871" s="318">
        <f t="shared" ref="N871:N925" si="175">J871+K871+L871+M871</f>
        <v>64.73</v>
      </c>
      <c r="O871" s="81">
        <f>IFERROR(VLOOKUP($G871,'321買'!A:E,3,0),"'沒有資料'")</f>
        <v>23</v>
      </c>
      <c r="P871" s="380">
        <f>IFERROR(VLOOKUP($G871,'321買'!$A:$G,7,0),"'沒有資料'")</f>
        <v>222</v>
      </c>
      <c r="R871" s="297">
        <f>IFERROR(RANK(VLOOKUP($G871,連買!$A:$D,4,0),連買!$D:$D,0),"'沒有資料'")</f>
        <v>852</v>
      </c>
      <c r="S871" s="34">
        <v>0</v>
      </c>
      <c r="T871" s="353">
        <f t="shared" ref="T871:T902" si="176">S871/V871</f>
        <v>0</v>
      </c>
      <c r="U871" s="95">
        <v>0.16</v>
      </c>
      <c r="V871" s="36">
        <f>RTD("money.excel",,"4956","Price")</f>
        <v>21.95</v>
      </c>
      <c r="W871" s="66"/>
      <c r="X871" s="15">
        <f t="shared" ref="X871:X925" si="177">V871-W871</f>
        <v>21.95</v>
      </c>
      <c r="Y871" s="3" t="e">
        <f t="shared" ref="Y871:Y925" si="178">X871/W871</f>
        <v>#DIV/0!</v>
      </c>
      <c r="Z871" s="413" t="s">
        <v>1801</v>
      </c>
      <c r="AA871" s="161">
        <v>0</v>
      </c>
      <c r="AB871" s="409">
        <v>0</v>
      </c>
      <c r="AC871" s="259">
        <f t="shared" si="172"/>
        <v>0</v>
      </c>
      <c r="AD871" s="22" t="s">
        <v>4560</v>
      </c>
      <c r="AG871" s="33">
        <f t="shared" ref="AG871:AG925" si="179">AF871-AE871</f>
        <v>0</v>
      </c>
      <c r="AH871" s="43" t="s">
        <v>4561</v>
      </c>
      <c r="AI871" s="63">
        <f t="shared" ref="AI871:AI902" si="180">AJ871/(A871*10000)</f>
        <v>2.8800000000000002E-3</v>
      </c>
      <c r="AJ871" s="307">
        <f>RTD("money.excel",,$G871,"PredictVolume")</f>
        <v>288</v>
      </c>
      <c r="AK871" s="339"/>
    </row>
    <row r="872" spans="1:37">
      <c r="A872" s="416">
        <v>66.5</v>
      </c>
      <c r="B872" s="79">
        <v>27</v>
      </c>
      <c r="C872" s="79">
        <v>25</v>
      </c>
      <c r="D872" s="79">
        <v>57</v>
      </c>
      <c r="E872" s="80">
        <v>-43</v>
      </c>
      <c r="F872" s="6">
        <v>-3.2</v>
      </c>
      <c r="G872" s="79">
        <v>4960</v>
      </c>
      <c r="H872" s="8" t="s">
        <v>1985</v>
      </c>
      <c r="I872" s="22" t="s">
        <v>4562</v>
      </c>
      <c r="J872" s="323">
        <v>54.44</v>
      </c>
      <c r="K872" s="323">
        <v>12.29</v>
      </c>
      <c r="L872" s="73">
        <v>2.71</v>
      </c>
      <c r="N872" s="318">
        <f t="shared" si="175"/>
        <v>69.439999999999984</v>
      </c>
      <c r="O872" s="81">
        <f>IFERROR(VLOOKUP($G872,'321買'!A:E,3,0),"'沒有資料'")</f>
        <v>13</v>
      </c>
      <c r="P872" s="380">
        <f>IFERROR(VLOOKUP($G872,'321買'!$A:$G,7,0),"'沒有資料'")</f>
        <v>348</v>
      </c>
      <c r="R872" s="297">
        <f>IFERROR(RANK(VLOOKUP($G872,連買!$A:$D,4,0),連買!$D:$D,0),"'沒有資料'")</f>
        <v>1117</v>
      </c>
      <c r="S872" s="34">
        <v>0</v>
      </c>
      <c r="T872" s="353">
        <f t="shared" si="176"/>
        <v>0</v>
      </c>
      <c r="U872" s="95">
        <v>-0.13</v>
      </c>
      <c r="V872" s="36">
        <f>RTD("money.excel",,"4960","Price")</f>
        <v>12.25</v>
      </c>
      <c r="W872" s="66"/>
      <c r="X872" s="15">
        <f t="shared" si="177"/>
        <v>12.25</v>
      </c>
      <c r="Y872" s="3" t="e">
        <f t="shared" si="178"/>
        <v>#DIV/0!</v>
      </c>
      <c r="Z872" s="413" t="s">
        <v>1801</v>
      </c>
      <c r="AA872" s="161">
        <v>0</v>
      </c>
      <c r="AB872" s="409">
        <v>0</v>
      </c>
      <c r="AC872" s="259">
        <f t="shared" si="172"/>
        <v>0</v>
      </c>
      <c r="AD872" s="22" t="s">
        <v>4562</v>
      </c>
      <c r="AG872" s="33">
        <f t="shared" si="179"/>
        <v>0</v>
      </c>
      <c r="AH872" s="43" t="s">
        <v>4487</v>
      </c>
      <c r="AI872" s="63">
        <f t="shared" si="180"/>
        <v>2.1914285714285716E-2</v>
      </c>
      <c r="AJ872" s="307">
        <f>RTD("money.excel",,$G872,"PredictVolume")</f>
        <v>14573</v>
      </c>
      <c r="AK872" s="339"/>
    </row>
    <row r="873" spans="1:37">
      <c r="A873" s="415">
        <v>4</v>
      </c>
      <c r="B873" s="80">
        <v>-25</v>
      </c>
      <c r="C873" s="80">
        <v>-47</v>
      </c>
      <c r="D873" s="80">
        <v>-45</v>
      </c>
      <c r="E873" s="79">
        <v>941</v>
      </c>
      <c r="F873" s="57">
        <v>10.72</v>
      </c>
      <c r="G873" s="79">
        <v>4972</v>
      </c>
      <c r="H873" s="8" t="s">
        <v>1985</v>
      </c>
      <c r="I873" s="16" t="s">
        <v>4563</v>
      </c>
      <c r="J873" s="73">
        <v>35.840000000000003</v>
      </c>
      <c r="K873" s="73">
        <v>0.44</v>
      </c>
      <c r="L873" s="73">
        <v>2.4</v>
      </c>
      <c r="N873" s="318">
        <f t="shared" si="175"/>
        <v>38.68</v>
      </c>
      <c r="O873" s="81" t="str">
        <f>IFERROR(VLOOKUP($G873,'321買'!A:E,3,0),"'沒有資料'")</f>
        <v>'沒有資料'</v>
      </c>
      <c r="P873" s="380" t="str">
        <f>IFERROR(VLOOKUP($G873,'321買'!$A:$G,7,0),"'沒有資料'")</f>
        <v>'沒有資料'</v>
      </c>
      <c r="R873" s="297">
        <f>IFERROR(RANK(VLOOKUP($G873,連買!$A:$D,4,0),連買!$D:$D,0),"'沒有資料'")</f>
        <v>741</v>
      </c>
      <c r="S873" s="34">
        <v>2.4</v>
      </c>
      <c r="T873" s="353">
        <f t="shared" si="176"/>
        <v>7.395993836671802E-2</v>
      </c>
      <c r="U873" s="95">
        <v>2.0699999999999998</v>
      </c>
      <c r="V873" s="36">
        <f>RTD("money.excel",,"4972","Price")</f>
        <v>32.450000000000003</v>
      </c>
      <c r="W873" s="66"/>
      <c r="X873" s="15">
        <f t="shared" si="177"/>
        <v>32.450000000000003</v>
      </c>
      <c r="Y873" s="3" t="e">
        <f t="shared" si="178"/>
        <v>#DIV/0!</v>
      </c>
      <c r="Z873" s="413" t="s">
        <v>1801</v>
      </c>
      <c r="AA873" s="161">
        <v>0</v>
      </c>
      <c r="AB873" s="409">
        <v>0</v>
      </c>
      <c r="AC873" s="259">
        <f t="shared" si="172"/>
        <v>0</v>
      </c>
      <c r="AD873" s="16" t="s">
        <v>4563</v>
      </c>
      <c r="AG873" s="33">
        <f t="shared" si="179"/>
        <v>0</v>
      </c>
      <c r="AH873" s="120" t="s">
        <v>4564</v>
      </c>
      <c r="AI873" s="63">
        <f t="shared" si="180"/>
        <v>6.2500000000000001E-4</v>
      </c>
      <c r="AJ873" s="307">
        <f>RTD("money.excel",,$G873,"PredictVolume")</f>
        <v>25</v>
      </c>
      <c r="AK873" s="339"/>
    </row>
    <row r="874" spans="1:37">
      <c r="A874" s="416">
        <v>13.8</v>
      </c>
      <c r="B874" s="79">
        <v>169</v>
      </c>
      <c r="C874" s="79">
        <v>165</v>
      </c>
      <c r="D874" s="79">
        <v>0</v>
      </c>
      <c r="E874" s="79">
        <v>54</v>
      </c>
      <c r="F874" s="6">
        <v>6.14</v>
      </c>
      <c r="G874" s="79">
        <v>4976</v>
      </c>
      <c r="H874" s="8" t="s">
        <v>1985</v>
      </c>
      <c r="I874" s="22" t="s">
        <v>4565</v>
      </c>
      <c r="J874" s="323">
        <v>30.53</v>
      </c>
      <c r="K874" s="323">
        <v>6.07</v>
      </c>
      <c r="L874" s="73">
        <v>31.94</v>
      </c>
      <c r="N874" s="318">
        <f t="shared" si="175"/>
        <v>68.540000000000006</v>
      </c>
      <c r="O874" s="81">
        <f>IFERROR(VLOOKUP($G874,'321買'!A:E,3,0),"'沒有資料'")</f>
        <v>31</v>
      </c>
      <c r="P874" s="380">
        <f>IFERROR(VLOOKUP($G874,'321買'!$A:$G,7,0),"'沒有資料'")</f>
        <v>156</v>
      </c>
      <c r="R874" s="297">
        <f>IFERROR(RANK(VLOOKUP($G874,連買!$A:$D,4,0),連買!$D:$D,0),"'沒有資料'")</f>
        <v>1593</v>
      </c>
      <c r="S874" s="34">
        <v>0</v>
      </c>
      <c r="T874" s="353">
        <f t="shared" si="176"/>
        <v>0</v>
      </c>
      <c r="U874" s="95">
        <v>0.1</v>
      </c>
      <c r="V874" s="36">
        <f>RTD("money.excel",,"4976","Price")</f>
        <v>55.8</v>
      </c>
      <c r="W874" s="66"/>
      <c r="X874" s="15">
        <f t="shared" si="177"/>
        <v>55.8</v>
      </c>
      <c r="Y874" s="3" t="e">
        <f t="shared" si="178"/>
        <v>#DIV/0!</v>
      </c>
      <c r="Z874" s="413" t="s">
        <v>1801</v>
      </c>
      <c r="AA874" s="161">
        <v>0</v>
      </c>
      <c r="AB874" s="409">
        <v>0</v>
      </c>
      <c r="AC874" s="259">
        <f t="shared" si="172"/>
        <v>0</v>
      </c>
      <c r="AD874" s="22" t="s">
        <v>4565</v>
      </c>
      <c r="AG874" s="33">
        <f t="shared" si="179"/>
        <v>0</v>
      </c>
      <c r="AH874" s="43" t="s">
        <v>2282</v>
      </c>
      <c r="AI874" s="63">
        <f t="shared" si="180"/>
        <v>4.9782608695652176E-3</v>
      </c>
      <c r="AJ874" s="307">
        <f>RTD("money.excel",,$G874,"PredictVolume")</f>
        <v>687</v>
      </c>
      <c r="AK874" s="339"/>
    </row>
    <row r="875" spans="1:37">
      <c r="A875" s="415">
        <v>4.18</v>
      </c>
      <c r="B875" s="80">
        <v>-39</v>
      </c>
      <c r="C875" s="80">
        <v>-38</v>
      </c>
      <c r="D875" s="80">
        <v>-29</v>
      </c>
      <c r="E875" s="80">
        <v>-46</v>
      </c>
      <c r="F875" s="57">
        <v>11.27</v>
      </c>
      <c r="G875" s="79">
        <v>4995</v>
      </c>
      <c r="H875" s="8" t="s">
        <v>1985</v>
      </c>
      <c r="I875" s="16" t="s">
        <v>4567</v>
      </c>
      <c r="J875" s="73">
        <v>68.989999999999995</v>
      </c>
      <c r="K875" s="323">
        <v>5.09</v>
      </c>
      <c r="L875" s="323">
        <v>10.27</v>
      </c>
      <c r="N875" s="318">
        <f t="shared" si="175"/>
        <v>84.35</v>
      </c>
      <c r="O875" s="81">
        <f>IFERROR(VLOOKUP($G875,'321買'!A:E,3,0),"'沒有資料'")</f>
        <v>1</v>
      </c>
      <c r="P875" s="380">
        <f>IFERROR(VLOOKUP($G875,'321買'!$A:$G,7,0),"'沒有資料'")</f>
        <v>783</v>
      </c>
      <c r="R875" s="297">
        <f>IFERROR(RANK(VLOOKUP($G875,連買!$A:$D,4,0),連買!$D:$D,0),"'沒有資料'")</f>
        <v>985</v>
      </c>
      <c r="S875" s="34">
        <v>1.8</v>
      </c>
      <c r="T875" s="353">
        <f t="shared" si="176"/>
        <v>4.2154566744730677E-2</v>
      </c>
      <c r="U875" s="95">
        <v>1.66</v>
      </c>
      <c r="V875" s="36">
        <f>RTD("money.excel",,"4995","Price")</f>
        <v>42.7</v>
      </c>
      <c r="W875" s="66"/>
      <c r="X875" s="15">
        <f t="shared" si="177"/>
        <v>42.7</v>
      </c>
      <c r="Y875" s="3" t="e">
        <f t="shared" si="178"/>
        <v>#DIV/0!</v>
      </c>
      <c r="Z875" s="413" t="s">
        <v>1801</v>
      </c>
      <c r="AA875" s="161">
        <v>0</v>
      </c>
      <c r="AB875" s="409">
        <v>0</v>
      </c>
      <c r="AC875" s="259">
        <f t="shared" si="172"/>
        <v>0</v>
      </c>
      <c r="AD875" s="16" t="s">
        <v>4567</v>
      </c>
      <c r="AG875" s="33">
        <f t="shared" si="179"/>
        <v>0</v>
      </c>
      <c r="AH875" s="43" t="s">
        <v>4568</v>
      </c>
      <c r="AI875" s="63">
        <f t="shared" si="180"/>
        <v>1.4114832535885168E-3</v>
      </c>
      <c r="AJ875" s="307">
        <f>RTD("money.excel",,$G875,"PredictVolume")</f>
        <v>59</v>
      </c>
      <c r="AK875" s="339"/>
    </row>
    <row r="876" spans="1:37">
      <c r="A876" s="415">
        <v>3.97</v>
      </c>
      <c r="B876" s="79">
        <v>136</v>
      </c>
      <c r="C876" s="79">
        <v>115</v>
      </c>
      <c r="D876" s="80">
        <v>-20</v>
      </c>
      <c r="E876" s="80">
        <v>-14</v>
      </c>
      <c r="F876" s="57">
        <v>21.3</v>
      </c>
      <c r="G876" s="79">
        <v>5220</v>
      </c>
      <c r="H876" s="8" t="s">
        <v>1985</v>
      </c>
      <c r="I876" s="16" t="s">
        <v>4569</v>
      </c>
      <c r="J876" s="323">
        <v>24.24</v>
      </c>
      <c r="K876" s="73">
        <v>2.4700000000000002</v>
      </c>
      <c r="L876" s="73">
        <v>20.13</v>
      </c>
      <c r="N876" s="318">
        <f t="shared" si="175"/>
        <v>46.839999999999996</v>
      </c>
      <c r="O876" s="81">
        <f>IFERROR(VLOOKUP($G876,'321買'!A:E,3,0),"'沒有資料'")</f>
        <v>0</v>
      </c>
      <c r="P876" s="380">
        <f>IFERROR(VLOOKUP($G876,'321買'!$A:$G,7,0),"'沒有資料'")</f>
        <v>911</v>
      </c>
      <c r="R876" s="297">
        <f>IFERROR(RANK(VLOOKUP($G876,連買!$A:$D,4,0),連買!$D:$D,0),"'沒有資料'")</f>
        <v>624</v>
      </c>
      <c r="S876" s="66">
        <v>3</v>
      </c>
      <c r="T876" s="353">
        <f t="shared" si="176"/>
        <v>8.3333333333333329E-2</v>
      </c>
      <c r="U876" s="95">
        <v>4.71</v>
      </c>
      <c r="V876" s="36">
        <f>RTD("money.excel",,"5220","Price")</f>
        <v>36</v>
      </c>
      <c r="W876" s="66"/>
      <c r="X876" s="15">
        <f t="shared" si="177"/>
        <v>36</v>
      </c>
      <c r="Y876" s="3" t="e">
        <f t="shared" si="178"/>
        <v>#DIV/0!</v>
      </c>
      <c r="Z876" s="413" t="s">
        <v>1831</v>
      </c>
      <c r="AA876" s="161">
        <v>0</v>
      </c>
      <c r="AB876" s="409">
        <v>0</v>
      </c>
      <c r="AC876" s="259">
        <f t="shared" si="172"/>
        <v>0</v>
      </c>
      <c r="AD876" s="16" t="s">
        <v>4570</v>
      </c>
      <c r="AG876" s="33">
        <f t="shared" si="179"/>
        <v>0</v>
      </c>
      <c r="AH876" s="43" t="s">
        <v>4571</v>
      </c>
      <c r="AI876" s="63">
        <f t="shared" si="180"/>
        <v>9.5717884130982372E-4</v>
      </c>
      <c r="AJ876" s="307">
        <f>RTD("money.excel",,$G876,"PredictVolume")</f>
        <v>38</v>
      </c>
    </row>
    <row r="877" spans="1:37">
      <c r="A877" s="416">
        <v>4.7</v>
      </c>
      <c r="B877" s="80">
        <v>-59</v>
      </c>
      <c r="C877" s="80">
        <v>-76</v>
      </c>
      <c r="D877" s="80">
        <v>-35</v>
      </c>
      <c r="E877" s="80">
        <v>-7</v>
      </c>
      <c r="F877" s="6">
        <v>3.09</v>
      </c>
      <c r="G877" s="79">
        <v>5230</v>
      </c>
      <c r="H877" s="8" t="s">
        <v>1985</v>
      </c>
      <c r="I877" s="16" t="s">
        <v>4572</v>
      </c>
      <c r="J877" s="323">
        <v>37.39</v>
      </c>
      <c r="K877" s="323">
        <v>3.85</v>
      </c>
      <c r="L877" s="73">
        <v>5.52</v>
      </c>
      <c r="N877" s="318">
        <f t="shared" si="175"/>
        <v>46.760000000000005</v>
      </c>
      <c r="O877" s="81">
        <f>IFERROR(VLOOKUP($G877,'321買'!A:E,3,0),"'沒有資料'")</f>
        <v>2</v>
      </c>
      <c r="P877" s="380">
        <f>IFERROR(VLOOKUP($G877,'321買'!$A:$G,7,0),"'沒有資料'")</f>
        <v>706</v>
      </c>
      <c r="R877" s="297">
        <f>IFERROR(RANK(VLOOKUP($G877,連買!$A:$D,4,0),連買!$D:$D,0),"'沒有資料'")</f>
        <v>791</v>
      </c>
      <c r="S877" s="34">
        <v>0.6</v>
      </c>
      <c r="T877" s="353">
        <f t="shared" si="176"/>
        <v>2.1543985637342906E-2</v>
      </c>
      <c r="U877" s="95">
        <v>-0.06</v>
      </c>
      <c r="V877" s="36">
        <f>RTD("money.excel",,"5230","Price")</f>
        <v>27.85</v>
      </c>
      <c r="W877" s="66"/>
      <c r="X877" s="15">
        <f t="shared" si="177"/>
        <v>27.85</v>
      </c>
      <c r="Y877" s="3" t="e">
        <f t="shared" si="178"/>
        <v>#DIV/0!</v>
      </c>
      <c r="Z877" s="413" t="s">
        <v>1801</v>
      </c>
      <c r="AA877" s="161">
        <v>0</v>
      </c>
      <c r="AB877" s="409">
        <v>0</v>
      </c>
      <c r="AC877" s="259">
        <f t="shared" si="172"/>
        <v>0</v>
      </c>
      <c r="AD877" s="16" t="s">
        <v>4572</v>
      </c>
      <c r="AG877" s="33">
        <f t="shared" si="179"/>
        <v>0</v>
      </c>
      <c r="AH877" s="43" t="s">
        <v>4573</v>
      </c>
      <c r="AI877" s="63">
        <f t="shared" si="180"/>
        <v>1.7446808510638298E-3</v>
      </c>
      <c r="AJ877" s="307">
        <f>RTD("money.excel",,$G877,"PredictVolume")</f>
        <v>82</v>
      </c>
      <c r="AK877" s="339"/>
    </row>
    <row r="878" spans="1:37">
      <c r="A878" s="415">
        <v>10.199999999999999</v>
      </c>
      <c r="B878" s="79">
        <v>7</v>
      </c>
      <c r="C878" s="79">
        <v>4</v>
      </c>
      <c r="D878" s="79">
        <v>9</v>
      </c>
      <c r="E878" s="79">
        <v>13</v>
      </c>
      <c r="F878" s="57">
        <v>17.010000000000002</v>
      </c>
      <c r="G878" s="79">
        <v>5234</v>
      </c>
      <c r="H878" s="8" t="s">
        <v>1985</v>
      </c>
      <c r="I878" s="22" t="s">
        <v>4574</v>
      </c>
      <c r="J878" s="323">
        <v>68.92</v>
      </c>
      <c r="K878" s="323">
        <v>12.02</v>
      </c>
      <c r="L878" s="73">
        <v>8</v>
      </c>
      <c r="M878" s="73">
        <v>44.1</v>
      </c>
      <c r="N878" s="73">
        <f t="shared" si="175"/>
        <v>133.04</v>
      </c>
      <c r="O878" s="81">
        <f>IFERROR(VLOOKUP($G878,'321買'!A:E,3,0),"'沒有資料'")</f>
        <v>13</v>
      </c>
      <c r="P878" s="380">
        <f>IFERROR(VLOOKUP($G878,'321買'!$A:$G,7,0),"'沒有資料'")</f>
        <v>368</v>
      </c>
      <c r="Q878" s="388" t="s">
        <v>5063</v>
      </c>
      <c r="R878" s="297">
        <f>IFERROR(RANK(VLOOKUP($G878,連買!$A:$D,4,0),連買!$D:$D,0),"'沒有資料'")</f>
        <v>1560</v>
      </c>
      <c r="S878" s="45">
        <v>5.3</v>
      </c>
      <c r="T878" s="353">
        <f t="shared" si="176"/>
        <v>4.7747747747747746E-2</v>
      </c>
      <c r="U878" s="57">
        <v>6.43</v>
      </c>
      <c r="V878" s="36">
        <f>RTD("money.excel",,"5234","Price")</f>
        <v>111</v>
      </c>
      <c r="W878" s="66"/>
      <c r="X878" s="15">
        <f t="shared" si="177"/>
        <v>111</v>
      </c>
      <c r="Y878" s="3" t="e">
        <f t="shared" si="178"/>
        <v>#DIV/0!</v>
      </c>
      <c r="Z878" s="413" t="s">
        <v>8643</v>
      </c>
      <c r="AA878" s="161">
        <v>0</v>
      </c>
      <c r="AB878" s="409">
        <v>0</v>
      </c>
      <c r="AC878" s="259">
        <f t="shared" si="172"/>
        <v>0</v>
      </c>
      <c r="AD878" s="22" t="s">
        <v>4574</v>
      </c>
      <c r="AG878" s="33">
        <f t="shared" si="179"/>
        <v>0</v>
      </c>
      <c r="AH878" s="43" t="s">
        <v>4575</v>
      </c>
      <c r="AI878" s="63">
        <f t="shared" si="180"/>
        <v>1.8627450980392157E-3</v>
      </c>
      <c r="AJ878" s="307">
        <f>RTD("money.excel",,$G878,"PredictVolume")</f>
        <v>190</v>
      </c>
      <c r="AK878" s="339">
        <v>9.93</v>
      </c>
    </row>
    <row r="879" spans="1:37">
      <c r="A879" s="416">
        <v>16.8</v>
      </c>
      <c r="B879" s="79">
        <v>30</v>
      </c>
      <c r="C879" s="79">
        <v>67</v>
      </c>
      <c r="D879" s="79">
        <v>2</v>
      </c>
      <c r="E879" s="79">
        <v>10</v>
      </c>
      <c r="F879" s="6">
        <v>6.11</v>
      </c>
      <c r="G879" s="79">
        <v>5243</v>
      </c>
      <c r="H879" s="208" t="s">
        <v>1985</v>
      </c>
      <c r="I879" s="22" t="s">
        <v>4576</v>
      </c>
      <c r="J879" s="323">
        <v>51.29</v>
      </c>
      <c r="K879" s="323">
        <v>52.52</v>
      </c>
      <c r="L879" s="323">
        <v>17.059999999999999</v>
      </c>
      <c r="N879" s="318">
        <f t="shared" si="175"/>
        <v>120.87</v>
      </c>
      <c r="O879" s="81">
        <f>IFERROR(VLOOKUP($G879,'321買'!A:E,3,0),"'沒有資料'")</f>
        <v>16</v>
      </c>
      <c r="P879" s="380">
        <f>IFERROR(VLOOKUP($G879,'321買'!$A:$G,7,0),"'沒有資料'")</f>
        <v>250</v>
      </c>
      <c r="R879" s="297">
        <f>IFERROR(RANK(VLOOKUP($G879,連買!$A:$D,4,0),連買!$D:$D,0),"'沒有資料'")</f>
        <v>418</v>
      </c>
      <c r="S879" s="34">
        <v>1.7</v>
      </c>
      <c r="T879" s="353">
        <f t="shared" si="176"/>
        <v>2.8428093645484952E-2</v>
      </c>
      <c r="U879" s="57">
        <v>3.07</v>
      </c>
      <c r="V879" s="13">
        <f>RTD("money.excel",,"5243","Price")</f>
        <v>59.8</v>
      </c>
      <c r="W879" s="66"/>
      <c r="X879" s="15">
        <f t="shared" si="177"/>
        <v>59.8</v>
      </c>
      <c r="Y879" s="3" t="e">
        <f t="shared" si="178"/>
        <v>#DIV/0!</v>
      </c>
      <c r="Z879" s="413" t="s">
        <v>1801</v>
      </c>
      <c r="AA879" s="161">
        <v>0</v>
      </c>
      <c r="AB879" s="409">
        <v>0</v>
      </c>
      <c r="AC879" s="259">
        <f t="shared" si="172"/>
        <v>0</v>
      </c>
      <c r="AD879" s="22" t="s">
        <v>4576</v>
      </c>
      <c r="AG879" s="33">
        <f t="shared" si="179"/>
        <v>0</v>
      </c>
      <c r="AH879" s="120" t="s">
        <v>4577</v>
      </c>
      <c r="AI879" s="63">
        <f t="shared" si="180"/>
        <v>3.1488095238095238E-3</v>
      </c>
      <c r="AJ879" s="307">
        <f>RTD("money.excel",,$G879,"PredictVolume")</f>
        <v>529</v>
      </c>
      <c r="AK879" s="339"/>
    </row>
    <row r="880" spans="1:37">
      <c r="A880" s="415">
        <v>6.79</v>
      </c>
      <c r="B880" s="79">
        <v>69</v>
      </c>
      <c r="C880" s="79">
        <v>74</v>
      </c>
      <c r="D880" s="79">
        <v>13</v>
      </c>
      <c r="E880" s="80">
        <v>-4</v>
      </c>
      <c r="F880" s="57">
        <v>27.49</v>
      </c>
      <c r="G880" s="79">
        <v>5244</v>
      </c>
      <c r="H880" s="8" t="s">
        <v>308</v>
      </c>
      <c r="I880" s="22" t="s">
        <v>5049</v>
      </c>
      <c r="J880" s="73">
        <v>36.9</v>
      </c>
      <c r="K880" s="73">
        <v>1.01</v>
      </c>
      <c r="L880" s="323"/>
      <c r="M880" s="73">
        <v>18.7</v>
      </c>
      <c r="N880" s="318">
        <f t="shared" si="175"/>
        <v>56.61</v>
      </c>
      <c r="O880" s="81" t="str">
        <f>IFERROR(VLOOKUP($G880,'321買'!A:E,3,0),"'沒有資料'")</f>
        <v>'沒有資料'</v>
      </c>
      <c r="P880" s="380" t="str">
        <f>IFERROR(VLOOKUP($G880,'321買'!$A:$G,7,0),"'沒有資料'")</f>
        <v>'沒有資料'</v>
      </c>
      <c r="R880" s="297">
        <f>IFERROR(RANK(VLOOKUP($G880,連買!$A:$D,4,0),連買!$D:$D,0),"'沒有資料'")</f>
        <v>1491</v>
      </c>
      <c r="S880" s="34">
        <v>2</v>
      </c>
      <c r="T880" s="353">
        <f t="shared" si="176"/>
        <v>5.1948051948051951E-2</v>
      </c>
      <c r="U880" s="95" t="s">
        <v>3500</v>
      </c>
      <c r="V880" s="36">
        <f>RTD("money.excel",,"5244","Price")</f>
        <v>38.5</v>
      </c>
      <c r="W880" s="66"/>
      <c r="X880" s="15">
        <f>V880-W880</f>
        <v>38.5</v>
      </c>
      <c r="Y880" s="3" t="e">
        <f>X880/W880</f>
        <v>#DIV/0!</v>
      </c>
      <c r="AA880" s="161">
        <v>0</v>
      </c>
      <c r="AB880" s="409">
        <v>0</v>
      </c>
      <c r="AC880" s="259">
        <f t="shared" si="172"/>
        <v>0</v>
      </c>
      <c r="AD880" s="22" t="s">
        <v>5049</v>
      </c>
      <c r="AG880" s="33">
        <f>AF880-AE880</f>
        <v>0</v>
      </c>
      <c r="AH880" s="43" t="s">
        <v>2693</v>
      </c>
      <c r="AI880" s="63">
        <f t="shared" si="180"/>
        <v>1.5758468335787923E-3</v>
      </c>
      <c r="AJ880" s="307">
        <f>RTD("money.excel",,$G880,"PredictVolume")</f>
        <v>107</v>
      </c>
      <c r="AK880" s="339"/>
    </row>
    <row r="881" spans="1:37">
      <c r="A881" s="415">
        <v>4.5</v>
      </c>
      <c r="B881" s="79">
        <v>149</v>
      </c>
      <c r="C881" s="79">
        <v>168</v>
      </c>
      <c r="D881" s="80">
        <v>-12</v>
      </c>
      <c r="E881" s="79">
        <v>1</v>
      </c>
      <c r="F881" s="57">
        <v>14.99</v>
      </c>
      <c r="G881" s="79">
        <v>5245</v>
      </c>
      <c r="H881" s="8" t="s">
        <v>308</v>
      </c>
      <c r="I881" s="16" t="s">
        <v>4578</v>
      </c>
      <c r="J881" s="73">
        <v>46.4</v>
      </c>
      <c r="K881" s="73">
        <v>15.71</v>
      </c>
      <c r="L881" s="323">
        <v>29.23</v>
      </c>
      <c r="M881" s="323">
        <v>14.09</v>
      </c>
      <c r="N881" s="318">
        <f>J881+K881+L881+M881</f>
        <v>105.43</v>
      </c>
      <c r="O881" s="81">
        <f>IFERROR(VLOOKUP($G881,'321買'!A:E,3,0),"'沒有資料'")</f>
        <v>13</v>
      </c>
      <c r="P881" s="380">
        <f>IFERROR(VLOOKUP($G881,'321買'!$A:$G,7,0),"'沒有資料'")</f>
        <v>368</v>
      </c>
      <c r="Q881" s="245" t="s">
        <v>3816</v>
      </c>
      <c r="R881" s="297">
        <f>IFERROR(RANK(VLOOKUP($G881,連買!$A:$D,4,0),連買!$D:$D,0),"'沒有資料'")</f>
        <v>653</v>
      </c>
      <c r="S881" s="34">
        <v>1</v>
      </c>
      <c r="T881" s="353">
        <f t="shared" si="176"/>
        <v>1.4367816091954025E-2</v>
      </c>
      <c r="U881" s="95">
        <v>3.83</v>
      </c>
      <c r="V881" s="36">
        <f>RTD("money.excel",,"5245","Price")</f>
        <v>69.599999999999994</v>
      </c>
      <c r="W881" s="66"/>
      <c r="X881" s="15">
        <f>V881-W881</f>
        <v>69.599999999999994</v>
      </c>
      <c r="Y881" s="3" t="e">
        <f>X881/W881</f>
        <v>#DIV/0!</v>
      </c>
      <c r="Z881" s="413" t="s">
        <v>1801</v>
      </c>
      <c r="AA881" s="161">
        <v>0</v>
      </c>
      <c r="AB881" s="409">
        <v>0</v>
      </c>
      <c r="AC881" s="259">
        <f t="shared" si="172"/>
        <v>0</v>
      </c>
      <c r="AD881" s="16" t="s">
        <v>4578</v>
      </c>
      <c r="AG881" s="33">
        <f>AF881-AE881</f>
        <v>0</v>
      </c>
      <c r="AH881" s="165" t="s">
        <v>4579</v>
      </c>
      <c r="AI881" s="63">
        <f t="shared" si="180"/>
        <v>3.2444444444444443E-3</v>
      </c>
      <c r="AJ881" s="307">
        <f>RTD("money.excel",,$G881,"PredictVolume")</f>
        <v>146</v>
      </c>
      <c r="AK881" s="339">
        <v>26.52</v>
      </c>
    </row>
    <row r="882" spans="1:37">
      <c r="A882" s="416">
        <v>3.54</v>
      </c>
      <c r="B882" s="91">
        <v>5</v>
      </c>
      <c r="C882" s="91">
        <v>6</v>
      </c>
      <c r="D882" s="91">
        <v>98</v>
      </c>
      <c r="E882" s="91">
        <v>-23</v>
      </c>
      <c r="F882" s="6">
        <v>-43.42</v>
      </c>
      <c r="G882" s="79">
        <v>5251</v>
      </c>
      <c r="H882" s="8" t="s">
        <v>1985</v>
      </c>
      <c r="I882" s="16" t="s">
        <v>4580</v>
      </c>
      <c r="J882" s="73">
        <v>49.47</v>
      </c>
      <c r="K882" s="73">
        <v>21.48</v>
      </c>
      <c r="L882" s="73">
        <v>23.29</v>
      </c>
      <c r="N882" s="318">
        <f t="shared" si="175"/>
        <v>94.240000000000009</v>
      </c>
      <c r="O882" s="81">
        <f>IFERROR(VLOOKUP($G882,'321買'!A:E,3,0),"'沒有資料'")</f>
        <v>0</v>
      </c>
      <c r="P882" s="380">
        <f>IFERROR(VLOOKUP($G882,'321買'!$A:$G,7,0),"'沒有資料'")</f>
        <v>911</v>
      </c>
      <c r="R882" s="297">
        <f>IFERROR(RANK(VLOOKUP($G882,連買!$A:$D,4,0),連買!$D:$D,0),"'沒有資料'")</f>
        <v>1037</v>
      </c>
      <c r="S882" s="34">
        <v>0</v>
      </c>
      <c r="T882" s="353">
        <f t="shared" si="176"/>
        <v>0</v>
      </c>
      <c r="U882" s="95">
        <v>-1.59</v>
      </c>
      <c r="V882" s="36">
        <f>RTD("money.excel",,"5251","Price")</f>
        <v>19.25</v>
      </c>
      <c r="W882" s="66"/>
      <c r="X882" s="15">
        <f t="shared" si="177"/>
        <v>19.25</v>
      </c>
      <c r="Y882" s="3" t="e">
        <f t="shared" si="178"/>
        <v>#DIV/0!</v>
      </c>
      <c r="AA882" s="161">
        <v>0</v>
      </c>
      <c r="AB882" s="409">
        <v>0</v>
      </c>
      <c r="AC882" s="259">
        <f t="shared" si="172"/>
        <v>0</v>
      </c>
      <c r="AD882" s="16" t="s">
        <v>4580</v>
      </c>
      <c r="AG882" s="33">
        <f t="shared" si="179"/>
        <v>0</v>
      </c>
      <c r="AH882" s="43" t="s">
        <v>4492</v>
      </c>
      <c r="AI882" s="63">
        <f t="shared" si="180"/>
        <v>3.9237288135593219E-2</v>
      </c>
      <c r="AJ882" s="307">
        <f>RTD("money.excel",,$G882,"PredictVolume")</f>
        <v>1389</v>
      </c>
      <c r="AK882" s="339"/>
    </row>
    <row r="883" spans="1:37">
      <c r="A883" s="416">
        <v>3.7</v>
      </c>
      <c r="B883" s="91">
        <v>267</v>
      </c>
      <c r="C883" s="91">
        <v>171</v>
      </c>
      <c r="D883" s="91">
        <v>21</v>
      </c>
      <c r="E883" s="91">
        <v>68</v>
      </c>
      <c r="F883" s="6">
        <v>4.25</v>
      </c>
      <c r="G883" s="79">
        <v>5281</v>
      </c>
      <c r="H883" s="8" t="s">
        <v>1985</v>
      </c>
      <c r="I883" s="16" t="s">
        <v>4581</v>
      </c>
      <c r="J883" s="73">
        <v>67.22</v>
      </c>
      <c r="K883" s="73">
        <v>47.39</v>
      </c>
      <c r="L883" s="73">
        <v>19.91</v>
      </c>
      <c r="N883" s="318">
        <f t="shared" si="175"/>
        <v>134.52000000000001</v>
      </c>
      <c r="O883" s="81" t="str">
        <f>IFERROR(VLOOKUP($G883,'321買'!A:E,3,0),"'沒有資料'")</f>
        <v>'沒有資料'</v>
      </c>
      <c r="P883" s="380" t="str">
        <f>IFERROR(VLOOKUP($G883,'321買'!$A:$G,7,0),"'沒有資料'")</f>
        <v>'沒有資料'</v>
      </c>
      <c r="R883" s="297">
        <f>IFERROR(RANK(VLOOKUP($G883,連買!$A:$D,4,0),連買!$D:$D,0),"'沒有資料'")</f>
        <v>954</v>
      </c>
      <c r="S883" s="34">
        <v>0.8</v>
      </c>
      <c r="T883" s="353">
        <f t="shared" si="176"/>
        <v>3.9702233250620354E-2</v>
      </c>
      <c r="U883" s="95">
        <v>1.41</v>
      </c>
      <c r="V883" s="13">
        <f>RTD("money.excel",,"5281","Price")</f>
        <v>20.149999999999999</v>
      </c>
      <c r="W883" s="66"/>
      <c r="X883" s="15">
        <f t="shared" si="177"/>
        <v>20.149999999999999</v>
      </c>
      <c r="Y883" s="3" t="e">
        <f t="shared" si="178"/>
        <v>#DIV/0!</v>
      </c>
      <c r="AA883" s="161">
        <v>0</v>
      </c>
      <c r="AB883" s="409">
        <v>0</v>
      </c>
      <c r="AC883" s="259">
        <f t="shared" si="172"/>
        <v>0</v>
      </c>
      <c r="AD883" s="16" t="s">
        <v>4581</v>
      </c>
      <c r="AG883" s="33">
        <f t="shared" si="179"/>
        <v>0</v>
      </c>
      <c r="AH883" s="43" t="s">
        <v>4473</v>
      </c>
      <c r="AI883" s="63">
        <f t="shared" si="180"/>
        <v>1.0810810810810811E-4</v>
      </c>
      <c r="AJ883" s="307">
        <f>RTD("money.excel",,$G883,"PredictVolume")</f>
        <v>4</v>
      </c>
      <c r="AK883" s="339"/>
    </row>
    <row r="884" spans="1:37">
      <c r="A884" s="416">
        <v>10.6</v>
      </c>
      <c r="B884" s="80">
        <v>-21</v>
      </c>
      <c r="C884" s="80">
        <v>-10</v>
      </c>
      <c r="D884" s="79">
        <v>1</v>
      </c>
      <c r="E884" s="79">
        <v>22</v>
      </c>
      <c r="F884" s="6">
        <v>4.1900000000000004</v>
      </c>
      <c r="G884" s="79">
        <v>5315</v>
      </c>
      <c r="H884" s="8" t="s">
        <v>1985</v>
      </c>
      <c r="I884" s="16" t="s">
        <v>4582</v>
      </c>
      <c r="J884" s="323">
        <v>20.97</v>
      </c>
      <c r="K884" s="323">
        <v>5.64</v>
      </c>
      <c r="L884" s="323">
        <v>8.99</v>
      </c>
      <c r="N884" s="318">
        <f t="shared" si="175"/>
        <v>35.6</v>
      </c>
      <c r="O884" s="81">
        <f>IFERROR(VLOOKUP($G884,'321買'!A:E,3,0),"'沒有資料'")</f>
        <v>2</v>
      </c>
      <c r="P884" s="380">
        <f>IFERROR(VLOOKUP($G884,'321買'!$A:$G,7,0),"'沒有資料'")</f>
        <v>706</v>
      </c>
      <c r="R884" s="297">
        <f>IFERROR(RANK(VLOOKUP($G884,連買!$A:$D,4,0),連買!$D:$D,0),"'沒有資料'")</f>
        <v>941</v>
      </c>
      <c r="S884" s="34">
        <v>0.85</v>
      </c>
      <c r="T884" s="353">
        <f t="shared" si="176"/>
        <v>4.8295454545454537E-2</v>
      </c>
      <c r="U884" s="95">
        <v>0.89</v>
      </c>
      <c r="V884" s="36">
        <f>RTD("money.excel",,"5315","Price")</f>
        <v>17.600000000000001</v>
      </c>
      <c r="W884" s="66"/>
      <c r="X884" s="15">
        <f t="shared" si="177"/>
        <v>17.600000000000001</v>
      </c>
      <c r="Y884" s="3" t="e">
        <f t="shared" si="178"/>
        <v>#DIV/0!</v>
      </c>
      <c r="Z884" s="413" t="s">
        <v>1801</v>
      </c>
      <c r="AA884" s="161">
        <v>0</v>
      </c>
      <c r="AB884" s="409">
        <v>0</v>
      </c>
      <c r="AC884" s="259">
        <f t="shared" si="172"/>
        <v>0</v>
      </c>
      <c r="AD884" s="16" t="s">
        <v>4582</v>
      </c>
      <c r="AG884" s="33">
        <f t="shared" si="179"/>
        <v>0</v>
      </c>
      <c r="AH884" s="120" t="s">
        <v>2460</v>
      </c>
      <c r="AI884" s="63">
        <f t="shared" si="180"/>
        <v>2.660377358490566E-3</v>
      </c>
      <c r="AJ884" s="307">
        <f>RTD("money.excel",,$G884,"PredictVolume")</f>
        <v>282</v>
      </c>
      <c r="AK884" s="339"/>
    </row>
    <row r="885" spans="1:37">
      <c r="A885" s="416">
        <v>39.1</v>
      </c>
      <c r="B885" s="79">
        <v>20</v>
      </c>
      <c r="C885" s="80">
        <v>-42</v>
      </c>
      <c r="D885" s="80">
        <v>-12</v>
      </c>
      <c r="E885" s="79">
        <v>56</v>
      </c>
      <c r="F885" s="6">
        <v>1.63</v>
      </c>
      <c r="G885" s="79">
        <v>5371</v>
      </c>
      <c r="H885" s="8" t="s">
        <v>1985</v>
      </c>
      <c r="I885" s="16" t="s">
        <v>4583</v>
      </c>
      <c r="J885" s="323">
        <v>55.89</v>
      </c>
      <c r="K885" s="73">
        <v>32.36</v>
      </c>
      <c r="L885" s="73">
        <v>4.63</v>
      </c>
      <c r="N885" s="318">
        <f t="shared" si="175"/>
        <v>92.88</v>
      </c>
      <c r="O885" s="81">
        <f>IFERROR(VLOOKUP($G885,'321買'!A:E,3,0),"'沒有資料'")</f>
        <v>5</v>
      </c>
      <c r="P885" s="380">
        <f>IFERROR(VLOOKUP($G885,'321買'!$A:$G,7,0),"'沒有資料'")</f>
        <v>558</v>
      </c>
      <c r="R885" s="297">
        <f>IFERROR(RANK(VLOOKUP($G885,連買!$A:$D,4,0),連買!$D:$D,0),"'沒有資料'")</f>
        <v>603</v>
      </c>
      <c r="S885" s="66">
        <v>4</v>
      </c>
      <c r="T885" s="353">
        <f t="shared" si="176"/>
        <v>6.1538461538461542E-2</v>
      </c>
      <c r="U885" s="57">
        <v>3.59</v>
      </c>
      <c r="V885" s="36">
        <f>RTD("money.excel",,"5371","Price")</f>
        <v>65</v>
      </c>
      <c r="W885" s="66"/>
      <c r="X885" s="15">
        <f t="shared" si="177"/>
        <v>65</v>
      </c>
      <c r="Y885" s="3" t="e">
        <f t="shared" si="178"/>
        <v>#DIV/0!</v>
      </c>
      <c r="Z885" s="413" t="s">
        <v>1997</v>
      </c>
      <c r="AA885" s="161">
        <v>0</v>
      </c>
      <c r="AB885" s="409">
        <v>0</v>
      </c>
      <c r="AC885" s="259">
        <f t="shared" si="172"/>
        <v>0</v>
      </c>
      <c r="AD885" s="16" t="s">
        <v>4583</v>
      </c>
      <c r="AG885" s="33">
        <f t="shared" si="179"/>
        <v>0</v>
      </c>
      <c r="AH885" s="120" t="s">
        <v>4521</v>
      </c>
      <c r="AI885" s="63">
        <f t="shared" si="180"/>
        <v>1.59846547314578E-3</v>
      </c>
      <c r="AJ885" s="307">
        <f>RTD("money.excel",,$G885,"PredictVolume")</f>
        <v>625</v>
      </c>
      <c r="AK885" s="106"/>
    </row>
    <row r="886" spans="1:37">
      <c r="A886" s="416">
        <v>17</v>
      </c>
      <c r="B886" s="80">
        <v>-128</v>
      </c>
      <c r="C886" s="80">
        <v>-74</v>
      </c>
      <c r="D886" s="80">
        <v>-9</v>
      </c>
      <c r="E886" s="79">
        <v>21</v>
      </c>
      <c r="F886" s="6">
        <v>0.57999999999999996</v>
      </c>
      <c r="G886" s="79">
        <v>5392</v>
      </c>
      <c r="H886" s="8" t="s">
        <v>1985</v>
      </c>
      <c r="I886" s="16" t="s">
        <v>4584</v>
      </c>
      <c r="J886" s="73">
        <v>34.33</v>
      </c>
      <c r="K886" s="323">
        <v>4.32</v>
      </c>
      <c r="L886" s="323">
        <v>10.55</v>
      </c>
      <c r="N886" s="318">
        <f t="shared" si="175"/>
        <v>49.2</v>
      </c>
      <c r="O886" s="81">
        <f>IFERROR(VLOOKUP($G886,'321買'!A:E,3,0),"'沒有資料'")</f>
        <v>3</v>
      </c>
      <c r="P886" s="380">
        <f>IFERROR(VLOOKUP($G886,'321買'!$A:$G,7,0),"'沒有資料'")</f>
        <v>636</v>
      </c>
      <c r="R886" s="297">
        <f>IFERROR(RANK(VLOOKUP($G886,連買!$A:$D,4,0),連買!$D:$D,0),"'沒有資料'")</f>
        <v>861</v>
      </c>
      <c r="S886" s="34">
        <v>0.3</v>
      </c>
      <c r="T886" s="353">
        <f t="shared" si="176"/>
        <v>1.2931034482758621E-2</v>
      </c>
      <c r="U886" s="95">
        <v>-0.74</v>
      </c>
      <c r="V886" s="36">
        <f>RTD("money.excel",,"5392","Price")</f>
        <v>23.2</v>
      </c>
      <c r="W886" s="66"/>
      <c r="X886" s="15">
        <f t="shared" si="177"/>
        <v>23.2</v>
      </c>
      <c r="Y886" s="3" t="e">
        <f t="shared" si="178"/>
        <v>#DIV/0!</v>
      </c>
      <c r="AA886" s="161">
        <v>0</v>
      </c>
      <c r="AB886" s="409">
        <v>0</v>
      </c>
      <c r="AC886" s="259">
        <f t="shared" si="172"/>
        <v>0</v>
      </c>
      <c r="AD886" s="16" t="s">
        <v>4584</v>
      </c>
      <c r="AG886" s="33">
        <f t="shared" si="179"/>
        <v>0</v>
      </c>
      <c r="AH886" s="122" t="s">
        <v>4585</v>
      </c>
      <c r="AI886" s="63">
        <f t="shared" si="180"/>
        <v>1.811764705882353E-3</v>
      </c>
      <c r="AJ886" s="307">
        <f>RTD("money.excel",,$G886,"PredictVolume")</f>
        <v>308</v>
      </c>
      <c r="AK886" s="339"/>
    </row>
    <row r="887" spans="1:37">
      <c r="A887" s="416">
        <v>2.0699999999999998</v>
      </c>
      <c r="B887" s="91">
        <v>-164</v>
      </c>
      <c r="C887" s="91">
        <v>-122</v>
      </c>
      <c r="D887" s="91">
        <v>6</v>
      </c>
      <c r="E887" s="91">
        <v>-12</v>
      </c>
      <c r="F887" s="6">
        <v>-1.36</v>
      </c>
      <c r="G887" s="79">
        <v>5432</v>
      </c>
      <c r="H887" s="8" t="s">
        <v>1985</v>
      </c>
      <c r="I887" s="16" t="s">
        <v>4586</v>
      </c>
      <c r="J887" s="73">
        <v>73.53</v>
      </c>
      <c r="K887" s="73">
        <v>0</v>
      </c>
      <c r="L887" s="73">
        <v>44.54</v>
      </c>
      <c r="N887" s="318">
        <f t="shared" si="175"/>
        <v>118.07</v>
      </c>
      <c r="O887" s="81">
        <f>IFERROR(VLOOKUP($G887,'321買'!A:E,3,0),"'沒有資料'")</f>
        <v>0</v>
      </c>
      <c r="P887" s="380">
        <f>IFERROR(VLOOKUP($G887,'321買'!$A:$G,7,0),"'沒有資料'")</f>
        <v>911</v>
      </c>
      <c r="R887" s="297">
        <f>IFERROR(RANK(VLOOKUP($G887,連買!$A:$D,4,0),連買!$D:$D,0),"'沒有資料'")</f>
        <v>841</v>
      </c>
      <c r="S887" s="34">
        <v>0</v>
      </c>
      <c r="T887" s="353">
        <f t="shared" si="176"/>
        <v>0</v>
      </c>
      <c r="U887" s="95">
        <v>-0.28000000000000003</v>
      </c>
      <c r="V887" s="13">
        <f>RTD("money.excel",,"5432","Price")</f>
        <v>40.200000000000003</v>
      </c>
      <c r="W887" s="66"/>
      <c r="X887" s="15">
        <f t="shared" si="177"/>
        <v>40.200000000000003</v>
      </c>
      <c r="Y887" s="3" t="e">
        <f t="shared" si="178"/>
        <v>#DIV/0!</v>
      </c>
      <c r="AA887" s="161">
        <v>0</v>
      </c>
      <c r="AB887" s="409">
        <v>0</v>
      </c>
      <c r="AC887" s="259">
        <f t="shared" si="172"/>
        <v>0</v>
      </c>
      <c r="AD887" s="16" t="s">
        <v>4586</v>
      </c>
      <c r="AG887" s="33">
        <f t="shared" si="179"/>
        <v>0</v>
      </c>
      <c r="AH887" s="43" t="s">
        <v>2460</v>
      </c>
      <c r="AI887" s="63">
        <f t="shared" si="180"/>
        <v>9.6618357487922703E-5</v>
      </c>
      <c r="AJ887" s="307">
        <f>RTD("money.excel",,$G887,"PredictVolume")</f>
        <v>2</v>
      </c>
      <c r="AK887" s="339"/>
    </row>
    <row r="888" spans="1:37">
      <c r="A888" s="416">
        <v>16.5</v>
      </c>
      <c r="B888" s="80">
        <v>-44</v>
      </c>
      <c r="C888" s="80">
        <v>-78</v>
      </c>
      <c r="D888" s="79">
        <v>3</v>
      </c>
      <c r="E888" s="79">
        <v>51</v>
      </c>
      <c r="F888" s="6">
        <v>2.2400000000000002</v>
      </c>
      <c r="G888" s="79">
        <v>5443</v>
      </c>
      <c r="H888" s="8" t="s">
        <v>1985</v>
      </c>
      <c r="I888" s="16" t="s">
        <v>4587</v>
      </c>
      <c r="J888" s="323">
        <v>38.64</v>
      </c>
      <c r="K888" s="323">
        <v>5.39</v>
      </c>
      <c r="L888" s="73">
        <v>31.86</v>
      </c>
      <c r="N888" s="318">
        <f t="shared" si="175"/>
        <v>75.89</v>
      </c>
      <c r="O888" s="81">
        <f>IFERROR(VLOOKUP($G888,'321買'!A:E,3,0),"'沒有資料'")</f>
        <v>4</v>
      </c>
      <c r="P888" s="380">
        <f>IFERROR(VLOOKUP($G888,'321買'!$A:$G,7,0),"'沒有資料'")</f>
        <v>499</v>
      </c>
      <c r="R888" s="297">
        <f>IFERROR(RANK(VLOOKUP($G888,連買!$A:$D,4,0),連買!$D:$D,0),"'沒有資料'")</f>
        <v>651</v>
      </c>
      <c r="S888" s="34">
        <v>1</v>
      </c>
      <c r="T888" s="353">
        <f t="shared" si="176"/>
        <v>3.1496062992125984E-2</v>
      </c>
      <c r="U888" s="95">
        <v>0.93</v>
      </c>
      <c r="V888" s="36">
        <f>RTD("money.excel",,"5443","Price")</f>
        <v>31.75</v>
      </c>
      <c r="W888" s="66"/>
      <c r="X888" s="15">
        <f t="shared" si="177"/>
        <v>31.75</v>
      </c>
      <c r="Y888" s="3" t="e">
        <f t="shared" si="178"/>
        <v>#DIV/0!</v>
      </c>
      <c r="Z888" s="413" t="s">
        <v>1801</v>
      </c>
      <c r="AA888" s="161">
        <v>0</v>
      </c>
      <c r="AB888" s="409">
        <v>0</v>
      </c>
      <c r="AC888" s="259">
        <f t="shared" si="172"/>
        <v>0</v>
      </c>
      <c r="AD888" s="16" t="s">
        <v>4587</v>
      </c>
      <c r="AG888" s="33">
        <f t="shared" si="179"/>
        <v>0</v>
      </c>
      <c r="AH888" s="43" t="s">
        <v>2492</v>
      </c>
      <c r="AI888" s="63">
        <f t="shared" si="180"/>
        <v>1.4363636363636364E-3</v>
      </c>
      <c r="AJ888" s="307">
        <f>RTD("money.excel",,$G888,"PredictVolume")</f>
        <v>237</v>
      </c>
      <c r="AK888" s="339"/>
    </row>
    <row r="889" spans="1:37">
      <c r="A889" s="416">
        <v>6.68</v>
      </c>
      <c r="B889" s="80">
        <v>-87</v>
      </c>
      <c r="C889" s="79">
        <v>76</v>
      </c>
      <c r="D889" s="80">
        <v>-29</v>
      </c>
      <c r="E889" s="80">
        <v>-21</v>
      </c>
      <c r="F889" s="6">
        <v>-4.7699999999999996</v>
      </c>
      <c r="G889" s="79">
        <v>5484</v>
      </c>
      <c r="H889" s="8" t="s">
        <v>308</v>
      </c>
      <c r="I889" s="22" t="s">
        <v>4589</v>
      </c>
      <c r="J889" s="323">
        <v>38.200000000000003</v>
      </c>
      <c r="K889" s="323">
        <v>0.59</v>
      </c>
      <c r="M889" s="73">
        <v>15.3</v>
      </c>
      <c r="N889" s="318">
        <f t="shared" si="175"/>
        <v>54.09</v>
      </c>
      <c r="O889" s="81">
        <f>IFERROR(VLOOKUP($G889,'321買'!A:E,3,0),"'沒有資料'")</f>
        <v>0</v>
      </c>
      <c r="P889" s="380">
        <f>IFERROR(VLOOKUP($G889,'321買'!$A:$G,7,0),"'沒有資料'")</f>
        <v>911</v>
      </c>
      <c r="R889" s="297">
        <f>IFERROR(RANK(VLOOKUP($G889,連買!$A:$D,4,0),連買!$D:$D,0),"'沒有資料'")</f>
        <v>1319</v>
      </c>
      <c r="S889" s="34">
        <v>0</v>
      </c>
      <c r="T889" s="353">
        <f t="shared" si="176"/>
        <v>0</v>
      </c>
      <c r="U889" s="95">
        <v>-0.98</v>
      </c>
      <c r="V889" s="36">
        <f>RTD("money.excel",,"5484","Price")</f>
        <v>14.25</v>
      </c>
      <c r="W889" s="66"/>
      <c r="X889" s="15">
        <f t="shared" si="177"/>
        <v>14.25</v>
      </c>
      <c r="Y889" s="3" t="e">
        <f t="shared" si="178"/>
        <v>#DIV/0!</v>
      </c>
      <c r="AA889" s="161">
        <v>0</v>
      </c>
      <c r="AB889" s="409">
        <v>0</v>
      </c>
      <c r="AC889" s="259">
        <f t="shared" si="172"/>
        <v>0</v>
      </c>
      <c r="AD889" s="22" t="s">
        <v>4589</v>
      </c>
      <c r="AG889" s="33">
        <f t="shared" si="179"/>
        <v>0</v>
      </c>
      <c r="AH889" s="43" t="s">
        <v>4590</v>
      </c>
      <c r="AI889" s="63">
        <f t="shared" si="180"/>
        <v>2.7694610778443113E-3</v>
      </c>
      <c r="AJ889" s="307">
        <f>RTD("money.excel",,$G889,"PredictVolume")</f>
        <v>185</v>
      </c>
      <c r="AK889" s="339">
        <v>4.88</v>
      </c>
    </row>
    <row r="890" spans="1:37">
      <c r="A890" s="415">
        <v>317</v>
      </c>
      <c r="B890" s="79">
        <v>573</v>
      </c>
      <c r="C890" s="79">
        <v>774</v>
      </c>
      <c r="D890" s="80">
        <v>30</v>
      </c>
      <c r="E890" s="79">
        <v>-20</v>
      </c>
      <c r="F890" s="57">
        <v>33.81</v>
      </c>
      <c r="G890" s="79">
        <v>6116</v>
      </c>
      <c r="H890" s="204" t="s">
        <v>1985</v>
      </c>
      <c r="I890" s="22" t="s">
        <v>4591</v>
      </c>
      <c r="J890" s="73">
        <v>44.17</v>
      </c>
      <c r="K890" s="323">
        <v>11.07</v>
      </c>
      <c r="L890" s="73">
        <v>13.2</v>
      </c>
      <c r="M890" s="73">
        <v>11.63</v>
      </c>
      <c r="N890" s="318">
        <f t="shared" si="175"/>
        <v>80.069999999999993</v>
      </c>
      <c r="O890" s="81">
        <f>IFERROR(VLOOKUP($G890,'321買'!A:E,3,0),"'沒有資料'")</f>
        <v>14</v>
      </c>
      <c r="P890" s="380">
        <f>IFERROR(VLOOKUP($G890,'321買'!$A:$G,7,0),"'沒有資料'")</f>
        <v>321</v>
      </c>
      <c r="Q890" s="245" t="s">
        <v>3817</v>
      </c>
      <c r="R890" s="297">
        <f>IFERROR(RANK(VLOOKUP($G890,連買!$A:$D,4,0),連買!$D:$D,0),"'沒有資料'")</f>
        <v>908</v>
      </c>
      <c r="S890" s="34">
        <v>0.5</v>
      </c>
      <c r="T890" s="353">
        <f t="shared" si="176"/>
        <v>3.5087719298245612E-2</v>
      </c>
      <c r="U890" s="95">
        <v>3.34</v>
      </c>
      <c r="V890" s="36">
        <f>RTD("money.excel",,"6116","Price")</f>
        <v>14.25</v>
      </c>
      <c r="W890" s="66"/>
      <c r="X890" s="15">
        <f t="shared" si="177"/>
        <v>14.25</v>
      </c>
      <c r="Y890" s="3" t="e">
        <f t="shared" si="178"/>
        <v>#DIV/0!</v>
      </c>
      <c r="Z890" s="413" t="s">
        <v>1801</v>
      </c>
      <c r="AA890" s="161">
        <v>0</v>
      </c>
      <c r="AB890" s="409">
        <v>0</v>
      </c>
      <c r="AC890" s="259">
        <f t="shared" si="172"/>
        <v>0</v>
      </c>
      <c r="AD890" s="22" t="s">
        <v>4591</v>
      </c>
      <c r="AG890" s="33">
        <f t="shared" si="179"/>
        <v>0</v>
      </c>
      <c r="AH890" s="120" t="s">
        <v>4592</v>
      </c>
      <c r="AI890" s="63">
        <f t="shared" si="180"/>
        <v>2.1037854889589904E-3</v>
      </c>
      <c r="AJ890" s="307">
        <f>RTD("money.excel",,$G890,"PredictVolume")</f>
        <v>6669</v>
      </c>
      <c r="AK890" s="339"/>
    </row>
    <row r="891" spans="1:37">
      <c r="A891" s="416">
        <v>66.5</v>
      </c>
      <c r="B891" s="94">
        <v>-5079</v>
      </c>
      <c r="C891" s="80">
        <v>-370</v>
      </c>
      <c r="D891" s="79">
        <v>5</v>
      </c>
      <c r="E891" s="79">
        <v>33</v>
      </c>
      <c r="F891" s="6">
        <v>-13.02</v>
      </c>
      <c r="G891" s="79">
        <v>6120</v>
      </c>
      <c r="H891" s="8" t="s">
        <v>1985</v>
      </c>
      <c r="I891" s="22" t="s">
        <v>4593</v>
      </c>
      <c r="J891" s="73">
        <v>63.09</v>
      </c>
      <c r="K891" s="73">
        <v>9.17</v>
      </c>
      <c r="L891" s="73">
        <v>6.65</v>
      </c>
      <c r="N891" s="318">
        <f t="shared" si="175"/>
        <v>78.910000000000011</v>
      </c>
      <c r="O891" s="81">
        <f>IFERROR(VLOOKUP($G891,'321買'!A:E,3,0),"'沒有資料'")</f>
        <v>0</v>
      </c>
      <c r="P891" s="380">
        <f>IFERROR(VLOOKUP($G891,'321買'!$A:$G,7,0),"'沒有資料'")</f>
        <v>911</v>
      </c>
      <c r="R891" s="297">
        <f>IFERROR(RANK(VLOOKUP($G891,連買!$A:$D,4,0),連買!$D:$D,0),"'沒有資料'")</f>
        <v>1017</v>
      </c>
      <c r="S891" s="34">
        <v>0</v>
      </c>
      <c r="T891" s="353">
        <f t="shared" si="176"/>
        <v>0</v>
      </c>
      <c r="U891" s="95">
        <v>-1.86</v>
      </c>
      <c r="V891" s="36">
        <f>RTD("money.excel",,"6120","Price")</f>
        <v>11.15</v>
      </c>
      <c r="W891" s="66"/>
      <c r="X891" s="15">
        <f t="shared" si="177"/>
        <v>11.15</v>
      </c>
      <c r="Y891" s="3" t="e">
        <f t="shared" si="178"/>
        <v>#DIV/0!</v>
      </c>
      <c r="Z891" s="413" t="s">
        <v>1801</v>
      </c>
      <c r="AA891" s="161">
        <v>0</v>
      </c>
      <c r="AB891" s="409">
        <v>0</v>
      </c>
      <c r="AC891" s="259">
        <f t="shared" si="172"/>
        <v>0</v>
      </c>
      <c r="AD891" s="22" t="s">
        <v>4593</v>
      </c>
      <c r="AG891" s="33">
        <f t="shared" si="179"/>
        <v>0</v>
      </c>
      <c r="AH891" s="43" t="s">
        <v>4594</v>
      </c>
      <c r="AI891" s="63">
        <f t="shared" si="180"/>
        <v>1.8466165413533835E-3</v>
      </c>
      <c r="AJ891" s="307">
        <f>RTD("money.excel",,$G891,"PredictVolume")</f>
        <v>1228</v>
      </c>
      <c r="AK891" s="339"/>
    </row>
    <row r="892" spans="1:37">
      <c r="A892" s="416">
        <v>24.9</v>
      </c>
      <c r="B892" s="80">
        <v>-107</v>
      </c>
      <c r="C892" s="79">
        <v>73</v>
      </c>
      <c r="D892" s="80">
        <v>-10</v>
      </c>
      <c r="E892" s="79">
        <v>9</v>
      </c>
      <c r="F892" s="6">
        <v>-3.63</v>
      </c>
      <c r="G892" s="79">
        <v>6125</v>
      </c>
      <c r="H892" s="8" t="s">
        <v>1985</v>
      </c>
      <c r="I892" s="16" t="s">
        <v>4595</v>
      </c>
      <c r="J892" s="73">
        <v>46.91</v>
      </c>
      <c r="K892" s="323">
        <v>3.64</v>
      </c>
      <c r="L892" s="73">
        <v>38.22</v>
      </c>
      <c r="N892" s="318">
        <f t="shared" si="175"/>
        <v>88.77</v>
      </c>
      <c r="O892" s="81">
        <f>IFERROR(VLOOKUP($G892,'321買'!A:E,3,0),"'沒有資料'")</f>
        <v>16</v>
      </c>
      <c r="P892" s="380">
        <f>IFERROR(VLOOKUP($G892,'321買'!$A:$G,7,0),"'沒有資料'")</f>
        <v>307</v>
      </c>
      <c r="R892" s="297">
        <f>IFERROR(RANK(VLOOKUP($G892,連買!$A:$D,4,0),連買!$D:$D,0),"'沒有資料'")</f>
        <v>838</v>
      </c>
      <c r="S892" s="34">
        <v>1.5</v>
      </c>
      <c r="T892" s="353">
        <f t="shared" si="176"/>
        <v>6.0606060606060608E-2</v>
      </c>
      <c r="U892" s="95">
        <v>-0.39</v>
      </c>
      <c r="V892" s="36">
        <f>RTD("money.excel",,"6125","Price")</f>
        <v>24.75</v>
      </c>
      <c r="W892" s="66"/>
      <c r="X892" s="15">
        <f t="shared" si="177"/>
        <v>24.75</v>
      </c>
      <c r="Y892" s="3" t="e">
        <f t="shared" si="178"/>
        <v>#DIV/0!</v>
      </c>
      <c r="Z892" s="413" t="s">
        <v>1801</v>
      </c>
      <c r="AA892" s="161">
        <v>0</v>
      </c>
      <c r="AB892" s="409">
        <v>0</v>
      </c>
      <c r="AC892" s="259">
        <f t="shared" si="172"/>
        <v>0</v>
      </c>
      <c r="AD892" s="16" t="s">
        <v>4595</v>
      </c>
      <c r="AG892" s="33">
        <f t="shared" si="179"/>
        <v>0</v>
      </c>
      <c r="AH892" s="43" t="s">
        <v>1443</v>
      </c>
      <c r="AI892" s="63">
        <f t="shared" si="180"/>
        <v>2.4738955823293174E-3</v>
      </c>
      <c r="AJ892" s="307">
        <f>RTD("money.excel",,$G892,"PredictVolume")</f>
        <v>616</v>
      </c>
      <c r="AK892" s="339"/>
    </row>
    <row r="893" spans="1:37">
      <c r="A893" s="416">
        <v>10</v>
      </c>
      <c r="B893" s="79">
        <v>151</v>
      </c>
      <c r="C893" s="79">
        <v>111</v>
      </c>
      <c r="D893" s="79">
        <v>37</v>
      </c>
      <c r="E893" s="79">
        <v>41</v>
      </c>
      <c r="F893" s="6">
        <v>0.68</v>
      </c>
      <c r="G893" s="79">
        <v>6164</v>
      </c>
      <c r="H893" s="8" t="s">
        <v>1985</v>
      </c>
      <c r="I893" s="22" t="s">
        <v>4596</v>
      </c>
      <c r="J893" s="323">
        <v>18.5</v>
      </c>
      <c r="K893" s="323">
        <v>1.1100000000000001</v>
      </c>
      <c r="L893" s="323">
        <v>27.86</v>
      </c>
      <c r="M893" s="323">
        <v>11.67</v>
      </c>
      <c r="N893" s="318">
        <f t="shared" si="175"/>
        <v>59.14</v>
      </c>
      <c r="O893" s="81">
        <f>IFERROR(VLOOKUP($G893,'321買'!A:E,3,0),"'沒有資料'")</f>
        <v>36</v>
      </c>
      <c r="P893" s="380">
        <f>IFERROR(VLOOKUP($G893,'321買'!$A:$G,7,0),"'沒有資料'")</f>
        <v>122</v>
      </c>
      <c r="Q893" s="245" t="s">
        <v>3815</v>
      </c>
      <c r="R893" s="297">
        <f>IFERROR(RANK(VLOOKUP($G893,連買!$A:$D,4,0),連買!$D:$D,0),"'沒有資料'")</f>
        <v>1350</v>
      </c>
      <c r="S893" s="34">
        <v>0</v>
      </c>
      <c r="T893" s="353">
        <f t="shared" si="176"/>
        <v>0</v>
      </c>
      <c r="U893" s="95">
        <v>0.32</v>
      </c>
      <c r="V893" s="36">
        <f>RTD("money.excel",,"6164","Price")</f>
        <v>12.7</v>
      </c>
      <c r="W893" s="66"/>
      <c r="X893" s="15">
        <f t="shared" si="177"/>
        <v>12.7</v>
      </c>
      <c r="Y893" s="3" t="e">
        <f t="shared" si="178"/>
        <v>#DIV/0!</v>
      </c>
      <c r="Z893" s="413" t="s">
        <v>1801</v>
      </c>
      <c r="AA893" s="161">
        <v>0</v>
      </c>
      <c r="AB893" s="409">
        <v>0</v>
      </c>
      <c r="AC893" s="259">
        <f t="shared" si="172"/>
        <v>0</v>
      </c>
      <c r="AD893" s="22" t="s">
        <v>4596</v>
      </c>
      <c r="AG893" s="33">
        <f t="shared" si="179"/>
        <v>0</v>
      </c>
      <c r="AH893" s="43" t="s">
        <v>4597</v>
      </c>
      <c r="AI893" s="63">
        <f t="shared" si="180"/>
        <v>1.5499999999999999E-3</v>
      </c>
      <c r="AJ893" s="307">
        <f>RTD("money.excel",,$G893,"PredictVolume")</f>
        <v>155</v>
      </c>
      <c r="AK893" s="339"/>
    </row>
    <row r="894" spans="1:37">
      <c r="A894" s="416">
        <v>16.2</v>
      </c>
      <c r="B894" s="79">
        <v>18</v>
      </c>
      <c r="C894" s="80">
        <v>-24</v>
      </c>
      <c r="D894" s="79">
        <v>5</v>
      </c>
      <c r="E894" s="79">
        <v>62</v>
      </c>
      <c r="F894" s="6">
        <v>1.59</v>
      </c>
      <c r="G894" s="79">
        <v>6167</v>
      </c>
      <c r="H894" s="8" t="s">
        <v>1985</v>
      </c>
      <c r="I894" s="16" t="s">
        <v>4598</v>
      </c>
      <c r="J894" s="73">
        <v>36.57</v>
      </c>
      <c r="K894" s="323">
        <v>6.53</v>
      </c>
      <c r="M894" s="73">
        <v>20.14</v>
      </c>
      <c r="N894" s="318">
        <f t="shared" si="175"/>
        <v>63.24</v>
      </c>
      <c r="O894" s="81">
        <f>IFERROR(VLOOKUP($G894,'321買'!A:E,3,0),"'沒有資料'")</f>
        <v>3</v>
      </c>
      <c r="P894" s="380">
        <f>IFERROR(VLOOKUP($G894,'321買'!$A:$G,7,0),"'沒有資料'")</f>
        <v>636</v>
      </c>
      <c r="R894" s="297">
        <f>IFERROR(RANK(VLOOKUP($G894,連買!$A:$D,4,0),連買!$D:$D,0),"'沒有資料'")</f>
        <v>1232</v>
      </c>
      <c r="S894" s="34">
        <v>0</v>
      </c>
      <c r="T894" s="353">
        <f t="shared" si="176"/>
        <v>0</v>
      </c>
      <c r="U894" s="95">
        <v>0.25</v>
      </c>
      <c r="V894" s="36">
        <f>RTD("money.excel",,"6167","Price")</f>
        <v>12.2</v>
      </c>
      <c r="W894" s="66"/>
      <c r="X894" s="15">
        <f t="shared" si="177"/>
        <v>12.2</v>
      </c>
      <c r="Y894" s="3" t="e">
        <f t="shared" si="178"/>
        <v>#DIV/0!</v>
      </c>
      <c r="AA894" s="161">
        <v>0</v>
      </c>
      <c r="AB894" s="409">
        <v>0</v>
      </c>
      <c r="AC894" s="259">
        <f t="shared" si="172"/>
        <v>0</v>
      </c>
      <c r="AD894" s="16" t="s">
        <v>4598</v>
      </c>
      <c r="AG894" s="33">
        <f t="shared" si="179"/>
        <v>0</v>
      </c>
      <c r="AH894" s="43" t="s">
        <v>4481</v>
      </c>
      <c r="AI894" s="63">
        <f t="shared" si="180"/>
        <v>3.5370370370370369E-3</v>
      </c>
      <c r="AJ894" s="307">
        <f>RTD("money.excel",,$G894,"PredictVolume")</f>
        <v>573</v>
      </c>
      <c r="AK894" s="339"/>
    </row>
    <row r="895" spans="1:37">
      <c r="A895" s="416">
        <v>20.6</v>
      </c>
      <c r="B895" s="80">
        <v>-76</v>
      </c>
      <c r="C895" s="80">
        <v>-92</v>
      </c>
      <c r="D895" s="79">
        <v>0</v>
      </c>
      <c r="E895" s="79">
        <v>1</v>
      </c>
      <c r="F895" s="6">
        <v>0.57999999999999996</v>
      </c>
      <c r="G895" s="79">
        <v>6168</v>
      </c>
      <c r="H895" s="8" t="s">
        <v>1985</v>
      </c>
      <c r="I895" s="22" t="s">
        <v>4599</v>
      </c>
      <c r="J895" s="73">
        <v>49.21</v>
      </c>
      <c r="K895" s="323">
        <v>4.2300000000000004</v>
      </c>
      <c r="L895" s="323">
        <v>7.1</v>
      </c>
      <c r="N895" s="318">
        <f t="shared" si="175"/>
        <v>60.54</v>
      </c>
      <c r="O895" s="81">
        <f>IFERROR(VLOOKUP($G895,'321買'!A:E,3,0),"'沒有資料'")</f>
        <v>27</v>
      </c>
      <c r="P895" s="380">
        <f>IFERROR(VLOOKUP($G895,'321買'!$A:$G,7,0),"'沒有資料'")</f>
        <v>180</v>
      </c>
      <c r="R895" s="297">
        <f>IFERROR(RANK(VLOOKUP($G895,連買!$A:$D,4,0),連買!$D:$D,0),"'沒有資料'")</f>
        <v>1307</v>
      </c>
      <c r="S895" s="34">
        <v>0.7</v>
      </c>
      <c r="T895" s="353">
        <f t="shared" si="176"/>
        <v>3.0701754385964911E-2</v>
      </c>
      <c r="U895" s="95">
        <v>0.7</v>
      </c>
      <c r="V895" s="36">
        <f>RTD("money.excel",,"6168","Price")</f>
        <v>22.8</v>
      </c>
      <c r="W895" s="66"/>
      <c r="X895" s="15">
        <f t="shared" si="177"/>
        <v>22.8</v>
      </c>
      <c r="Y895" s="3" t="e">
        <f t="shared" si="178"/>
        <v>#DIV/0!</v>
      </c>
      <c r="Z895" s="413" t="s">
        <v>1801</v>
      </c>
      <c r="AA895" s="161">
        <v>0</v>
      </c>
      <c r="AB895" s="409">
        <v>0</v>
      </c>
      <c r="AC895" s="259">
        <f t="shared" si="172"/>
        <v>0</v>
      </c>
      <c r="AD895" s="22" t="s">
        <v>4599</v>
      </c>
      <c r="AG895" s="33">
        <f t="shared" si="179"/>
        <v>0</v>
      </c>
      <c r="AH895" s="120" t="s">
        <v>4479</v>
      </c>
      <c r="AI895" s="63">
        <f t="shared" si="180"/>
        <v>2.2233009708737864E-3</v>
      </c>
      <c r="AJ895" s="307">
        <f>RTD("money.excel",,$G895,"PredictVolume")</f>
        <v>458</v>
      </c>
      <c r="AK895" s="339"/>
    </row>
    <row r="896" spans="1:37">
      <c r="A896" s="415">
        <v>46.5</v>
      </c>
      <c r="B896" s="79">
        <v>6</v>
      </c>
      <c r="C896" s="80">
        <v>-2</v>
      </c>
      <c r="D896" s="79">
        <v>10</v>
      </c>
      <c r="E896" s="80">
        <v>-6</v>
      </c>
      <c r="F896" s="57">
        <v>13.03</v>
      </c>
      <c r="G896" s="79">
        <v>6176</v>
      </c>
      <c r="H896" s="204" t="s">
        <v>1985</v>
      </c>
      <c r="I896" s="22" t="s">
        <v>4600</v>
      </c>
      <c r="J896" s="323">
        <v>48.09</v>
      </c>
      <c r="K896" s="323">
        <v>45.32</v>
      </c>
      <c r="L896" s="73">
        <v>3.66</v>
      </c>
      <c r="N896" s="318">
        <f t="shared" si="175"/>
        <v>97.07</v>
      </c>
      <c r="O896" s="81">
        <f>IFERROR(VLOOKUP($G896,'321買'!A:E,3,0),"'沒有資料'")</f>
        <v>2</v>
      </c>
      <c r="P896" s="380">
        <f>IFERROR(VLOOKUP($G896,'321買'!$A:$G,7,0),"'沒有資料'")</f>
        <v>706</v>
      </c>
      <c r="Q896" s="245" t="s">
        <v>3816</v>
      </c>
      <c r="R896" s="297">
        <f>IFERROR(RANK(VLOOKUP($G896,連買!$A:$D,4,0),連買!$D:$D,0),"'沒有資料'")</f>
        <v>163</v>
      </c>
      <c r="S896" s="66">
        <v>8</v>
      </c>
      <c r="T896" s="353">
        <f t="shared" si="176"/>
        <v>7.6555023923444973E-2</v>
      </c>
      <c r="U896" s="95">
        <v>11.79</v>
      </c>
      <c r="V896" s="13">
        <f>RTD("money.excel",,"6176","Price")</f>
        <v>104.5</v>
      </c>
      <c r="W896" s="66"/>
      <c r="X896" s="15">
        <f t="shared" si="177"/>
        <v>104.5</v>
      </c>
      <c r="Y896" s="3" t="e">
        <f t="shared" si="178"/>
        <v>#DIV/0!</v>
      </c>
      <c r="Z896" s="413" t="s">
        <v>1997</v>
      </c>
      <c r="AA896" s="161">
        <v>0</v>
      </c>
      <c r="AB896" s="409">
        <v>0</v>
      </c>
      <c r="AC896" s="259">
        <f t="shared" si="172"/>
        <v>0</v>
      </c>
      <c r="AD896" s="22" t="s">
        <v>4600</v>
      </c>
      <c r="AG896" s="33">
        <f t="shared" si="179"/>
        <v>0</v>
      </c>
      <c r="AH896" s="120" t="s">
        <v>4521</v>
      </c>
      <c r="AI896" s="63">
        <f t="shared" si="180"/>
        <v>3.933333333333333E-3</v>
      </c>
      <c r="AJ896" s="307">
        <f>RTD("money.excel",,$G896,"PredictVolume")</f>
        <v>1829</v>
      </c>
      <c r="AK896" s="339"/>
    </row>
    <row r="897" spans="1:37">
      <c r="A897" s="416">
        <v>17.399999999999999</v>
      </c>
      <c r="B897" s="80">
        <v>-20</v>
      </c>
      <c r="C897" s="80">
        <v>-24</v>
      </c>
      <c r="D897" s="79">
        <v>10</v>
      </c>
      <c r="E897" s="79">
        <v>3</v>
      </c>
      <c r="F897" s="6">
        <v>-9.25</v>
      </c>
      <c r="G897" s="79">
        <v>6209</v>
      </c>
      <c r="H897" s="208" t="s">
        <v>1985</v>
      </c>
      <c r="I897" s="22" t="s">
        <v>4601</v>
      </c>
      <c r="J897" s="73">
        <v>30.67</v>
      </c>
      <c r="K897" s="73">
        <v>1.1399999999999999</v>
      </c>
      <c r="L897" s="323">
        <v>15.5</v>
      </c>
      <c r="N897" s="318">
        <f t="shared" si="175"/>
        <v>47.31</v>
      </c>
      <c r="O897" s="81">
        <f>IFERROR(VLOOKUP($G897,'321買'!A:E,3,0),"'沒有資料'")</f>
        <v>5</v>
      </c>
      <c r="P897" s="380">
        <f>IFERROR(VLOOKUP($G897,'321買'!$A:$G,7,0),"'沒有資料'")</f>
        <v>558</v>
      </c>
      <c r="R897" s="297">
        <f>IFERROR(RANK(VLOOKUP($G897,連買!$A:$D,4,0),連買!$D:$D,0),"'沒有資料'")</f>
        <v>1153</v>
      </c>
      <c r="S897" s="34">
        <v>0</v>
      </c>
      <c r="T897" s="353">
        <f t="shared" si="176"/>
        <v>0</v>
      </c>
      <c r="U897" s="95">
        <v>-1.44</v>
      </c>
      <c r="V897" s="36">
        <f>RTD("money.excel",,"6209","Price")</f>
        <v>31.8</v>
      </c>
      <c r="W897" s="66"/>
      <c r="X897" s="15">
        <f t="shared" si="177"/>
        <v>31.8</v>
      </c>
      <c r="Y897" s="3" t="e">
        <f t="shared" si="178"/>
        <v>#DIV/0!</v>
      </c>
      <c r="Z897" s="413" t="s">
        <v>1801</v>
      </c>
      <c r="AA897" s="161">
        <v>0</v>
      </c>
      <c r="AB897" s="409">
        <v>0</v>
      </c>
      <c r="AC897" s="259">
        <f t="shared" si="172"/>
        <v>0</v>
      </c>
      <c r="AD897" s="22" t="s">
        <v>4601</v>
      </c>
      <c r="AG897" s="33">
        <f t="shared" si="179"/>
        <v>0</v>
      </c>
      <c r="AH897" s="122" t="s">
        <v>2171</v>
      </c>
      <c r="AI897" s="63">
        <f t="shared" si="180"/>
        <v>4.1264367816091956E-3</v>
      </c>
      <c r="AJ897" s="307">
        <f>RTD("money.excel",,$G897,"PredictVolume")</f>
        <v>718</v>
      </c>
      <c r="AK897" s="339"/>
    </row>
    <row r="898" spans="1:37">
      <c r="A898" s="416">
        <v>4.0599999999999996</v>
      </c>
      <c r="B898" s="91">
        <v>-49</v>
      </c>
      <c r="C898" s="91">
        <v>-18</v>
      </c>
      <c r="D898" s="91">
        <v>-19</v>
      </c>
      <c r="E898" s="91">
        <v>8</v>
      </c>
      <c r="F898" s="6">
        <v>2.2799999999999998</v>
      </c>
      <c r="G898" s="79">
        <v>6222</v>
      </c>
      <c r="H898" s="8" t="s">
        <v>1985</v>
      </c>
      <c r="I898" s="16" t="s">
        <v>4602</v>
      </c>
      <c r="J898" s="73">
        <v>51.39</v>
      </c>
      <c r="K898" s="73">
        <v>0.02</v>
      </c>
      <c r="L898" s="73">
        <v>14.18</v>
      </c>
      <c r="N898" s="318">
        <f t="shared" si="175"/>
        <v>65.59</v>
      </c>
      <c r="O898" s="81" t="str">
        <f>IFERROR(VLOOKUP($G898,'321買'!A:E,3,0),"'沒有資料'")</f>
        <v>'沒有資料'</v>
      </c>
      <c r="P898" s="380" t="str">
        <f>IFERROR(VLOOKUP($G898,'321買'!$A:$G,7,0),"'沒有資料'")</f>
        <v>'沒有資料'</v>
      </c>
      <c r="R898" s="297">
        <f>IFERROR(RANK(VLOOKUP($G898,連買!$A:$D,4,0),連買!$D:$D,0),"'沒有資料'")</f>
        <v>1373</v>
      </c>
      <c r="S898" s="34">
        <v>0</v>
      </c>
      <c r="T898" s="353">
        <f t="shared" si="176"/>
        <v>0</v>
      </c>
      <c r="U898" s="95">
        <v>0.19</v>
      </c>
      <c r="V898" s="13">
        <f>RTD("money.excel",,"6246","Price")</f>
        <v>15.6</v>
      </c>
      <c r="W898" s="66"/>
      <c r="X898" s="15">
        <f t="shared" si="177"/>
        <v>15.6</v>
      </c>
      <c r="Y898" s="3" t="e">
        <f t="shared" si="178"/>
        <v>#DIV/0!</v>
      </c>
      <c r="AA898" s="161">
        <v>0</v>
      </c>
      <c r="AB898" s="409">
        <v>0</v>
      </c>
      <c r="AC898" s="259">
        <f t="shared" si="172"/>
        <v>0</v>
      </c>
      <c r="AD898" s="16" t="s">
        <v>4602</v>
      </c>
      <c r="AG898" s="33">
        <f t="shared" si="179"/>
        <v>0</v>
      </c>
      <c r="AH898" s="43" t="s">
        <v>4473</v>
      </c>
      <c r="AI898" s="63">
        <f t="shared" si="180"/>
        <v>8.3743842364532035E-4</v>
      </c>
      <c r="AJ898" s="307">
        <f>RTD("money.excel",,$G898,"PredictVolume")</f>
        <v>34</v>
      </c>
      <c r="AK898" s="339"/>
    </row>
    <row r="899" spans="1:37">
      <c r="A899" s="416">
        <v>12.7</v>
      </c>
      <c r="B899" s="91">
        <v>-17</v>
      </c>
      <c r="C899" s="91">
        <v>45</v>
      </c>
      <c r="D899" s="91">
        <v>-78</v>
      </c>
      <c r="E899" s="91">
        <v>24</v>
      </c>
      <c r="F899" s="6">
        <v>-34.64</v>
      </c>
      <c r="G899" s="79">
        <v>6225</v>
      </c>
      <c r="H899" s="8" t="s">
        <v>1985</v>
      </c>
      <c r="I899" s="22" t="s">
        <v>4603</v>
      </c>
      <c r="J899" s="73">
        <v>73.84</v>
      </c>
      <c r="K899" s="73">
        <v>5.83</v>
      </c>
      <c r="N899" s="318">
        <f t="shared" si="175"/>
        <v>79.67</v>
      </c>
      <c r="O899" s="81">
        <f>IFERROR(VLOOKUP($G899,'321買'!A:E,3,0),"'沒有資料'")</f>
        <v>0</v>
      </c>
      <c r="P899" s="380">
        <f>IFERROR(VLOOKUP($G899,'321買'!$A:$G,7,0),"'沒有資料'")</f>
        <v>911</v>
      </c>
      <c r="R899" s="297">
        <f>IFERROR(RANK(VLOOKUP($G899,連買!$A:$D,4,0),連買!$D:$D,0),"'沒有資料'")</f>
        <v>1389</v>
      </c>
      <c r="S899" s="34">
        <v>0</v>
      </c>
      <c r="T899" s="353">
        <f t="shared" si="176"/>
        <v>0</v>
      </c>
      <c r="U899" s="95">
        <v>-0.06</v>
      </c>
      <c r="V899" s="13">
        <f>RTD("money.excel",,"6225","Price")</f>
        <v>12.4</v>
      </c>
      <c r="W899" s="66"/>
      <c r="X899" s="15">
        <f t="shared" si="177"/>
        <v>12.4</v>
      </c>
      <c r="Y899" s="3" t="e">
        <f t="shared" si="178"/>
        <v>#DIV/0!</v>
      </c>
      <c r="AA899" s="161">
        <v>0</v>
      </c>
      <c r="AB899" s="409">
        <v>0</v>
      </c>
      <c r="AC899" s="259">
        <f t="shared" si="172"/>
        <v>0</v>
      </c>
      <c r="AD899" s="22" t="s">
        <v>4603</v>
      </c>
      <c r="AG899" s="33">
        <f t="shared" si="179"/>
        <v>0</v>
      </c>
      <c r="AH899" s="43" t="s">
        <v>4604</v>
      </c>
      <c r="AI899" s="63">
        <f t="shared" si="180"/>
        <v>9.2913385826771651E-4</v>
      </c>
      <c r="AJ899" s="307">
        <f>RTD("money.excel",,$G899,"PredictVolume")</f>
        <v>118</v>
      </c>
      <c r="AK899" s="339"/>
    </row>
    <row r="900" spans="1:37">
      <c r="A900" s="416">
        <v>11.5</v>
      </c>
      <c r="B900" s="91">
        <v>-253</v>
      </c>
      <c r="C900" s="91">
        <v>-151</v>
      </c>
      <c r="D900" s="91">
        <v>-24</v>
      </c>
      <c r="E900" s="91">
        <v>35</v>
      </c>
      <c r="F900" s="6">
        <v>-2.4300000000000002</v>
      </c>
      <c r="G900" s="79">
        <v>6226</v>
      </c>
      <c r="H900" s="8" t="s">
        <v>1985</v>
      </c>
      <c r="I900" s="22" t="s">
        <v>4605</v>
      </c>
      <c r="J900" s="73">
        <v>41.5</v>
      </c>
      <c r="K900" s="73">
        <v>4.66</v>
      </c>
      <c r="L900" s="73">
        <v>39.57</v>
      </c>
      <c r="N900" s="318">
        <f t="shared" si="175"/>
        <v>85.72999999999999</v>
      </c>
      <c r="O900" s="81">
        <f>IFERROR(VLOOKUP($G900,'321買'!A:E,3,0),"'沒有資料'")</f>
        <v>38</v>
      </c>
      <c r="P900" s="380">
        <f>IFERROR(VLOOKUP($G900,'321買'!$A:$G,7,0),"'沒有資料'")</f>
        <v>117</v>
      </c>
      <c r="R900" s="297">
        <f>IFERROR(RANK(VLOOKUP($G900,連買!$A:$D,4,0),連買!$D:$D,0),"'沒有資料'")</f>
        <v>1351</v>
      </c>
      <c r="S900" s="34">
        <v>0</v>
      </c>
      <c r="T900" s="353">
        <f t="shared" si="176"/>
        <v>0</v>
      </c>
      <c r="U900" s="95">
        <v>-0.39</v>
      </c>
      <c r="V900" s="36">
        <f>RTD("money.excel",,"6226","Price")</f>
        <v>13.2</v>
      </c>
      <c r="W900" s="66"/>
      <c r="X900" s="15">
        <f t="shared" si="177"/>
        <v>13.2</v>
      </c>
      <c r="Y900" s="3" t="e">
        <f t="shared" si="178"/>
        <v>#DIV/0!</v>
      </c>
      <c r="AA900" s="161">
        <v>0</v>
      </c>
      <c r="AB900" s="409">
        <v>0</v>
      </c>
      <c r="AC900" s="259">
        <f t="shared" si="172"/>
        <v>0</v>
      </c>
      <c r="AD900" s="22" t="s">
        <v>4605</v>
      </c>
      <c r="AG900" s="33">
        <f t="shared" si="179"/>
        <v>0</v>
      </c>
      <c r="AH900" s="43" t="s">
        <v>4479</v>
      </c>
      <c r="AI900" s="63">
        <f t="shared" si="180"/>
        <v>4.4086956521739128E-3</v>
      </c>
      <c r="AJ900" s="307">
        <f>RTD("money.excel",,$G900,"PredictVolume")</f>
        <v>507</v>
      </c>
      <c r="AK900" s="339"/>
    </row>
    <row r="901" spans="1:37">
      <c r="A901" s="415">
        <v>10</v>
      </c>
      <c r="B901" s="91">
        <v>-36</v>
      </c>
      <c r="C901" s="91">
        <v>-27</v>
      </c>
      <c r="D901" s="91">
        <v>1</v>
      </c>
      <c r="E901" s="91">
        <v>-17</v>
      </c>
      <c r="F901" s="57">
        <v>12.19</v>
      </c>
      <c r="G901" s="79">
        <v>6234</v>
      </c>
      <c r="H901" s="8" t="s">
        <v>1985</v>
      </c>
      <c r="I901" s="16" t="s">
        <v>4606</v>
      </c>
      <c r="J901" s="73">
        <v>55.4</v>
      </c>
      <c r="K901" s="73">
        <v>11.3</v>
      </c>
      <c r="L901" s="73">
        <v>30.55</v>
      </c>
      <c r="N901" s="318">
        <f t="shared" si="175"/>
        <v>97.25</v>
      </c>
      <c r="O901" s="81">
        <f>IFERROR(VLOOKUP($G901,'321買'!A:E,3,0),"'沒有資料'")</f>
        <v>1</v>
      </c>
      <c r="P901" s="380">
        <f>IFERROR(VLOOKUP($G901,'321買'!$A:$G,7,0),"'沒有資料'")</f>
        <v>783</v>
      </c>
      <c r="R901" s="297">
        <f>IFERROR(RANK(VLOOKUP($G901,連買!$A:$D,4,0),連買!$D:$D,0),"'沒有資料'")</f>
        <v>745</v>
      </c>
      <c r="S901" s="34">
        <v>0.6</v>
      </c>
      <c r="T901" s="353">
        <f t="shared" si="176"/>
        <v>2.9126213592233007E-2</v>
      </c>
      <c r="U901" s="95">
        <v>1.1499999999999999</v>
      </c>
      <c r="V901" s="36">
        <f>RTD("money.excel",,"6234","Price")</f>
        <v>20.6</v>
      </c>
      <c r="W901" s="66"/>
      <c r="X901" s="15">
        <f t="shared" si="177"/>
        <v>20.6</v>
      </c>
      <c r="Y901" s="3" t="e">
        <f t="shared" si="178"/>
        <v>#DIV/0!</v>
      </c>
      <c r="Z901" s="413" t="s">
        <v>1801</v>
      </c>
      <c r="AA901" s="161">
        <v>0</v>
      </c>
      <c r="AB901" s="409">
        <v>0</v>
      </c>
      <c r="AC901" s="259">
        <f t="shared" ref="AC901:AC964" si="181">AA901-AB901</f>
        <v>0</v>
      </c>
      <c r="AD901" s="16" t="s">
        <v>4606</v>
      </c>
      <c r="AG901" s="33">
        <f t="shared" si="179"/>
        <v>0</v>
      </c>
      <c r="AH901" s="43" t="s">
        <v>425</v>
      </c>
      <c r="AI901" s="63">
        <f t="shared" si="180"/>
        <v>5.6999999999999998E-4</v>
      </c>
      <c r="AJ901" s="307">
        <f>RTD("money.excel",,$G901,"PredictVolume")</f>
        <v>57</v>
      </c>
      <c r="AK901" s="339"/>
    </row>
    <row r="902" spans="1:37">
      <c r="A902" s="416">
        <v>35.5</v>
      </c>
      <c r="B902" s="79">
        <v>132</v>
      </c>
      <c r="C902" s="79">
        <v>107</v>
      </c>
      <c r="D902" s="79">
        <v>12</v>
      </c>
      <c r="E902" s="79">
        <v>30</v>
      </c>
      <c r="F902" s="6">
        <v>2.0499999999999998</v>
      </c>
      <c r="G902" s="79">
        <v>6244</v>
      </c>
      <c r="H902" s="8" t="s">
        <v>1985</v>
      </c>
      <c r="I902" s="16" t="s">
        <v>4607</v>
      </c>
      <c r="J902" s="73">
        <v>20.69</v>
      </c>
      <c r="K902" s="73">
        <v>9.64</v>
      </c>
      <c r="N902" s="318">
        <f t="shared" si="175"/>
        <v>30.330000000000002</v>
      </c>
      <c r="O902" s="81">
        <f>IFERROR(VLOOKUP($G902,'321買'!A:E,3,0),"'沒有資料'")</f>
        <v>12</v>
      </c>
      <c r="P902" s="380">
        <f>IFERROR(VLOOKUP($G902,'321買'!$A:$G,7,0),"'沒有資料'")</f>
        <v>336</v>
      </c>
      <c r="R902" s="297">
        <f>IFERROR(RANK(VLOOKUP($G902,連買!$A:$D,4,0),連買!$D:$D,0),"'沒有資料'")</f>
        <v>696</v>
      </c>
      <c r="S902" s="34">
        <v>0.2</v>
      </c>
      <c r="T902" s="353">
        <f t="shared" si="176"/>
        <v>6.1255742725880554E-3</v>
      </c>
      <c r="U902" s="95">
        <v>0.27</v>
      </c>
      <c r="V902" s="36">
        <f>RTD("money.excel",,"6244","Price")</f>
        <v>32.65</v>
      </c>
      <c r="W902" s="66"/>
      <c r="X902" s="15">
        <f t="shared" si="177"/>
        <v>32.65</v>
      </c>
      <c r="Y902" s="3" t="e">
        <f t="shared" si="178"/>
        <v>#DIV/0!</v>
      </c>
      <c r="Z902" s="413" t="s">
        <v>1801</v>
      </c>
      <c r="AA902" s="161">
        <v>0</v>
      </c>
      <c r="AB902" s="409">
        <v>0</v>
      </c>
      <c r="AC902" s="259">
        <f t="shared" si="181"/>
        <v>0</v>
      </c>
      <c r="AD902" s="16" t="s">
        <v>4607</v>
      </c>
      <c r="AG902" s="33">
        <f t="shared" si="179"/>
        <v>0</v>
      </c>
      <c r="AH902" s="43" t="s">
        <v>3772</v>
      </c>
      <c r="AI902" s="63">
        <f t="shared" si="180"/>
        <v>4.6985915492957749E-3</v>
      </c>
      <c r="AJ902" s="307">
        <f>RTD("money.excel",,$G902,"PredictVolume")</f>
        <v>1668</v>
      </c>
      <c r="AK902" s="339"/>
    </row>
    <row r="903" spans="1:37">
      <c r="A903" s="416">
        <v>3.08</v>
      </c>
      <c r="B903" s="91">
        <v>103</v>
      </c>
      <c r="C903" s="91">
        <v>134</v>
      </c>
      <c r="D903" s="91">
        <v>-11</v>
      </c>
      <c r="E903" s="91">
        <v>163</v>
      </c>
      <c r="F903" s="6">
        <v>1.43</v>
      </c>
      <c r="G903" s="79">
        <v>6246</v>
      </c>
      <c r="H903" s="8" t="s">
        <v>1985</v>
      </c>
      <c r="I903" s="16" t="s">
        <v>4608</v>
      </c>
      <c r="J903" s="73">
        <v>51.39</v>
      </c>
      <c r="K903" s="73">
        <v>0.02</v>
      </c>
      <c r="L903" s="73">
        <v>14.18</v>
      </c>
      <c r="N903" s="318">
        <f t="shared" si="175"/>
        <v>65.59</v>
      </c>
      <c r="O903" s="81">
        <f>IFERROR(VLOOKUP($G903,'321買'!A:E,3,0),"'沒有資料'")</f>
        <v>3</v>
      </c>
      <c r="P903" s="380">
        <f>IFERROR(VLOOKUP($G903,'321買'!$A:$G,7,0),"'沒有資料'")</f>
        <v>636</v>
      </c>
      <c r="R903" s="297">
        <f>IFERROR(RANK(VLOOKUP($G903,連買!$A:$D,4,0),連買!$D:$D,0),"'沒有資料'")</f>
        <v>987</v>
      </c>
      <c r="S903" s="34">
        <v>0</v>
      </c>
      <c r="T903" s="353">
        <f t="shared" ref="T903:T925" si="182">S903/V903</f>
        <v>0</v>
      </c>
      <c r="U903" s="95">
        <v>0.43</v>
      </c>
      <c r="V903" s="13">
        <f>RTD("money.excel",,"6246","Price")</f>
        <v>15.6</v>
      </c>
      <c r="W903" s="66"/>
      <c r="X903" s="15">
        <f t="shared" si="177"/>
        <v>15.6</v>
      </c>
      <c r="Y903" s="3" t="e">
        <f t="shared" si="178"/>
        <v>#DIV/0!</v>
      </c>
      <c r="AA903" s="161">
        <v>0</v>
      </c>
      <c r="AB903" s="409">
        <v>0</v>
      </c>
      <c r="AC903" s="259">
        <f t="shared" si="181"/>
        <v>0</v>
      </c>
      <c r="AD903" s="16" t="s">
        <v>4608</v>
      </c>
      <c r="AG903" s="33">
        <f t="shared" si="179"/>
        <v>0</v>
      </c>
      <c r="AH903" s="43" t="s">
        <v>4543</v>
      </c>
      <c r="AI903" s="63">
        <f t="shared" ref="AI903:AI925" si="183">AJ903/(A903*10000)</f>
        <v>3.5714285714285714E-4</v>
      </c>
      <c r="AJ903" s="307">
        <f>RTD("money.excel",,$G903,"PredictVolume")</f>
        <v>11</v>
      </c>
      <c r="AK903" s="339"/>
    </row>
    <row r="904" spans="1:37">
      <c r="A904" s="416">
        <v>29.2</v>
      </c>
      <c r="B904" s="79">
        <v>69</v>
      </c>
      <c r="C904" s="79">
        <v>88</v>
      </c>
      <c r="D904" s="80">
        <v>-7</v>
      </c>
      <c r="E904" s="79">
        <v>73</v>
      </c>
      <c r="F904" s="6">
        <v>7.15</v>
      </c>
      <c r="G904" s="79">
        <v>6278</v>
      </c>
      <c r="H904" s="8" t="s">
        <v>308</v>
      </c>
      <c r="I904" s="22" t="s">
        <v>4610</v>
      </c>
      <c r="J904" s="323">
        <v>54.03</v>
      </c>
      <c r="K904" s="73">
        <v>18.78</v>
      </c>
      <c r="L904" s="323">
        <v>15.12</v>
      </c>
      <c r="M904" s="73">
        <v>8.68</v>
      </c>
      <c r="N904" s="318">
        <f t="shared" si="175"/>
        <v>96.610000000000014</v>
      </c>
      <c r="O904" s="81">
        <f>IFERROR(VLOOKUP($G904,'321買'!A:E,3,0),"'沒有資料'")</f>
        <v>41</v>
      </c>
      <c r="P904" s="380">
        <f>IFERROR(VLOOKUP($G904,'321買'!$A:$G,7,0),"'沒有資料'")</f>
        <v>83</v>
      </c>
      <c r="Q904" s="388" t="s">
        <v>6633</v>
      </c>
      <c r="R904" s="297">
        <f>IFERROR(RANK(VLOOKUP($G904,連買!$A:$D,4,0),連買!$D:$D,0),"'沒有資料'")</f>
        <v>188</v>
      </c>
      <c r="S904" s="45">
        <v>6</v>
      </c>
      <c r="T904" s="353">
        <f t="shared" si="182"/>
        <v>5.3097345132743362E-2</v>
      </c>
      <c r="U904" s="57">
        <v>12.7</v>
      </c>
      <c r="V904" s="36">
        <f>RTD("money.excel",,"6278","Price")</f>
        <v>113</v>
      </c>
      <c r="W904" s="66"/>
      <c r="X904" s="15">
        <f t="shared" si="177"/>
        <v>113</v>
      </c>
      <c r="Y904" s="3" t="e">
        <f t="shared" si="178"/>
        <v>#DIV/0!</v>
      </c>
      <c r="Z904" s="413" t="s">
        <v>5094</v>
      </c>
      <c r="AA904" s="161">
        <v>0</v>
      </c>
      <c r="AB904" s="409">
        <v>0</v>
      </c>
      <c r="AC904" s="259">
        <f t="shared" si="181"/>
        <v>0</v>
      </c>
      <c r="AD904" s="22" t="s">
        <v>4610</v>
      </c>
      <c r="AG904" s="33">
        <f t="shared" si="179"/>
        <v>0</v>
      </c>
      <c r="AH904" s="43" t="s">
        <v>4611</v>
      </c>
      <c r="AI904" s="63">
        <f t="shared" si="183"/>
        <v>7.1986301369863018E-3</v>
      </c>
      <c r="AJ904" s="307">
        <f>RTD("money.excel",,$G904,"PredictVolume")</f>
        <v>2102</v>
      </c>
      <c r="AK904" s="339">
        <v>11.08</v>
      </c>
    </row>
    <row r="905" spans="1:37">
      <c r="A905" s="416">
        <v>10.4</v>
      </c>
      <c r="B905" s="91">
        <v>26</v>
      </c>
      <c r="C905" s="91">
        <v>22</v>
      </c>
      <c r="D905" s="91">
        <v>-13</v>
      </c>
      <c r="E905" s="91">
        <v>95</v>
      </c>
      <c r="F905" s="73">
        <v>-188.35</v>
      </c>
      <c r="G905" s="79">
        <v>6289</v>
      </c>
      <c r="H905" s="8" t="s">
        <v>1985</v>
      </c>
      <c r="I905" s="22" t="s">
        <v>4612</v>
      </c>
      <c r="J905" s="73">
        <v>42.75</v>
      </c>
      <c r="K905" s="73">
        <v>0.06</v>
      </c>
      <c r="N905" s="318">
        <f t="shared" si="175"/>
        <v>42.81</v>
      </c>
      <c r="O905" s="81">
        <f>IFERROR(VLOOKUP($G905,'321買'!A:E,3,0),"'沒有資料'")</f>
        <v>0</v>
      </c>
      <c r="P905" s="380">
        <f>IFERROR(VLOOKUP($G905,'321買'!$A:$G,7,0),"'沒有資料'")</f>
        <v>911</v>
      </c>
      <c r="R905" s="297">
        <f>IFERROR(RANK(VLOOKUP($G905,連買!$A:$D,4,0),連買!$D:$D,0),"'沒有資料'")</f>
        <v>1382</v>
      </c>
      <c r="S905" s="34">
        <v>0</v>
      </c>
      <c r="T905" s="353">
        <f t="shared" si="182"/>
        <v>0</v>
      </c>
      <c r="U905" s="95">
        <v>-0.81</v>
      </c>
      <c r="V905" s="36">
        <f>RTD("money.excel",,"6289","Price")</f>
        <v>3.02</v>
      </c>
      <c r="W905" s="66"/>
      <c r="X905" s="15">
        <f t="shared" si="177"/>
        <v>3.02</v>
      </c>
      <c r="Y905" s="3" t="e">
        <f t="shared" si="178"/>
        <v>#DIV/0!</v>
      </c>
      <c r="AA905" s="161">
        <v>0</v>
      </c>
      <c r="AB905" s="409">
        <v>0</v>
      </c>
      <c r="AC905" s="259">
        <f t="shared" si="181"/>
        <v>0</v>
      </c>
      <c r="AD905" s="22" t="s">
        <v>4612</v>
      </c>
      <c r="AG905" s="33">
        <f t="shared" si="179"/>
        <v>0</v>
      </c>
      <c r="AH905" s="43" t="s">
        <v>4613</v>
      </c>
      <c r="AI905" s="63">
        <f t="shared" si="183"/>
        <v>1.3461538461538461E-4</v>
      </c>
      <c r="AJ905" s="307">
        <f>RTD("money.excel",,$G905,"PredictVolume")</f>
        <v>14</v>
      </c>
      <c r="AK905" s="339"/>
    </row>
    <row r="906" spans="1:37">
      <c r="A906" s="416">
        <v>6.58</v>
      </c>
      <c r="B906" s="79">
        <v>344</v>
      </c>
      <c r="C906" s="79">
        <v>36</v>
      </c>
      <c r="D906" s="79">
        <v>4</v>
      </c>
      <c r="E906" s="79">
        <v>4</v>
      </c>
      <c r="F906" s="6">
        <v>-19.78</v>
      </c>
      <c r="G906" s="79">
        <v>6405</v>
      </c>
      <c r="H906" s="8" t="s">
        <v>1985</v>
      </c>
      <c r="I906" s="22" t="s">
        <v>4614</v>
      </c>
      <c r="J906" s="73">
        <v>35.92</v>
      </c>
      <c r="K906" s="323">
        <v>3.56</v>
      </c>
      <c r="L906" s="73">
        <v>17.72</v>
      </c>
      <c r="N906" s="318">
        <f t="shared" si="175"/>
        <v>57.2</v>
      </c>
      <c r="O906" s="81">
        <f>IFERROR(VLOOKUP($G906,'321買'!A:E,3,0),"'沒有資料'")</f>
        <v>6</v>
      </c>
      <c r="P906" s="380">
        <f>IFERROR(VLOOKUP($G906,'321買'!$A:$G,7,0),"'沒有資料'")</f>
        <v>475</v>
      </c>
      <c r="R906" s="297">
        <f>IFERROR(RANK(VLOOKUP($G906,連買!$A:$D,4,0),連買!$D:$D,0),"'沒有資料'")</f>
        <v>1612</v>
      </c>
      <c r="S906" s="34">
        <v>0.6</v>
      </c>
      <c r="T906" s="353">
        <f t="shared" si="182"/>
        <v>2.2222222222222223E-2</v>
      </c>
      <c r="U906" s="95">
        <v>2.56</v>
      </c>
      <c r="V906" s="36">
        <f>RTD("money.excel",,"6405","Price")</f>
        <v>27</v>
      </c>
      <c r="W906" s="66"/>
      <c r="X906" s="15">
        <f t="shared" si="177"/>
        <v>27</v>
      </c>
      <c r="Y906" s="3" t="e">
        <f t="shared" si="178"/>
        <v>#DIV/0!</v>
      </c>
      <c r="AA906" s="161">
        <v>0</v>
      </c>
      <c r="AB906" s="409">
        <v>0</v>
      </c>
      <c r="AC906" s="259">
        <f t="shared" si="181"/>
        <v>0</v>
      </c>
      <c r="AD906" s="22" t="s">
        <v>4614</v>
      </c>
      <c r="AG906" s="33">
        <f t="shared" si="179"/>
        <v>0</v>
      </c>
      <c r="AH906" s="43" t="s">
        <v>2171</v>
      </c>
      <c r="AI906" s="63">
        <f t="shared" si="183"/>
        <v>2.1276595744680851E-3</v>
      </c>
      <c r="AJ906" s="307">
        <f>RTD("money.excel",,$G906,"PredictVolume")</f>
        <v>140</v>
      </c>
      <c r="AK906" s="339"/>
    </row>
    <row r="907" spans="1:37">
      <c r="A907" s="416">
        <v>1.32</v>
      </c>
      <c r="B907" s="91">
        <v>-45</v>
      </c>
      <c r="C907" s="91">
        <v>16</v>
      </c>
      <c r="D907" s="91">
        <v>-16</v>
      </c>
      <c r="E907" s="91">
        <v>-12</v>
      </c>
      <c r="F907" s="6">
        <v>-20.399999999999999</v>
      </c>
      <c r="G907" s="79">
        <v>6419</v>
      </c>
      <c r="H907" s="8" t="s">
        <v>1985</v>
      </c>
      <c r="I907" s="16" t="s">
        <v>4615</v>
      </c>
      <c r="J907" s="73">
        <v>46.29</v>
      </c>
      <c r="K907" s="73">
        <v>11.79</v>
      </c>
      <c r="N907" s="318">
        <f t="shared" si="175"/>
        <v>58.08</v>
      </c>
      <c r="O907" s="81" t="str">
        <f>IFERROR(VLOOKUP($G907,'321買'!A:E,3,0),"'沒有資料'")</f>
        <v>'沒有資料'</v>
      </c>
      <c r="P907" s="380" t="str">
        <f>IFERROR(VLOOKUP($G907,'321買'!$A:$G,7,0),"'沒有資料'")</f>
        <v>'沒有資料'</v>
      </c>
      <c r="R907" s="297">
        <f>IFERROR(RANK(VLOOKUP($G907,連買!$A:$D,4,0),連買!$D:$D,0),"'沒有資料'")</f>
        <v>1506</v>
      </c>
      <c r="S907" s="34">
        <v>0</v>
      </c>
      <c r="T907" s="353">
        <f t="shared" si="182"/>
        <v>0</v>
      </c>
      <c r="U907" s="95">
        <v>-5.64</v>
      </c>
      <c r="V907" s="36">
        <f>RTD("money.excel",,"6419","Price")</f>
        <v>30.85</v>
      </c>
      <c r="W907" s="66"/>
      <c r="X907" s="15">
        <f t="shared" si="177"/>
        <v>30.85</v>
      </c>
      <c r="Y907" s="3" t="e">
        <f t="shared" si="178"/>
        <v>#DIV/0!</v>
      </c>
      <c r="AA907" s="161">
        <v>0</v>
      </c>
      <c r="AB907" s="409">
        <v>0</v>
      </c>
      <c r="AC907" s="259">
        <f t="shared" si="181"/>
        <v>0</v>
      </c>
      <c r="AD907" s="16" t="s">
        <v>4615</v>
      </c>
      <c r="AG907" s="33">
        <f t="shared" si="179"/>
        <v>0</v>
      </c>
      <c r="AH907" s="43" t="s">
        <v>2618</v>
      </c>
      <c r="AI907" s="63">
        <f t="shared" si="183"/>
        <v>4.3181818181818182E-3</v>
      </c>
      <c r="AJ907" s="307">
        <f>RTD("money.excel",,$G907,"PredictVolume")</f>
        <v>57</v>
      </c>
      <c r="AK907" s="339"/>
    </row>
    <row r="908" spans="1:37">
      <c r="A908" s="416">
        <v>5.04</v>
      </c>
      <c r="B908" s="80">
        <v>-594</v>
      </c>
      <c r="C908" s="80">
        <v>-94</v>
      </c>
      <c r="D908" s="79">
        <v>28</v>
      </c>
      <c r="E908" s="80">
        <v>-56</v>
      </c>
      <c r="F908" s="6">
        <v>-48.15</v>
      </c>
      <c r="G908" s="79">
        <v>6431</v>
      </c>
      <c r="H908" s="8" t="s">
        <v>1985</v>
      </c>
      <c r="I908" s="22" t="s">
        <v>4616</v>
      </c>
      <c r="J908" s="73">
        <v>46.03</v>
      </c>
      <c r="K908" s="323">
        <v>17.649999999999999</v>
      </c>
      <c r="N908" s="318">
        <f t="shared" si="175"/>
        <v>63.68</v>
      </c>
      <c r="O908" s="81">
        <f>IFERROR(VLOOKUP($G908,'321買'!A:E,3,0),"'沒有資料'")</f>
        <v>0</v>
      </c>
      <c r="P908" s="380">
        <f>IFERROR(VLOOKUP($G908,'321買'!$A:$G,7,0),"'沒有資料'")</f>
        <v>911</v>
      </c>
      <c r="R908" s="297">
        <f>IFERROR(RANK(VLOOKUP($G908,連買!$A:$D,4,0),連買!$D:$D,0),"'沒有資料'")</f>
        <v>990</v>
      </c>
      <c r="S908" s="34">
        <v>0</v>
      </c>
      <c r="T908" s="353">
        <f t="shared" si="182"/>
        <v>0</v>
      </c>
      <c r="U908" s="95">
        <v>-1.38</v>
      </c>
      <c r="V908" s="36">
        <f>RTD("money.excel",,"6431","Price")</f>
        <v>30</v>
      </c>
      <c r="W908" s="66"/>
      <c r="X908" s="15">
        <f t="shared" si="177"/>
        <v>30</v>
      </c>
      <c r="Y908" s="3" t="e">
        <f t="shared" si="178"/>
        <v>#DIV/0!</v>
      </c>
      <c r="AA908" s="161">
        <v>0</v>
      </c>
      <c r="AB908" s="409">
        <v>0</v>
      </c>
      <c r="AC908" s="259">
        <f t="shared" si="181"/>
        <v>0</v>
      </c>
      <c r="AD908" s="22" t="s">
        <v>4616</v>
      </c>
      <c r="AG908" s="33">
        <f t="shared" si="179"/>
        <v>0</v>
      </c>
      <c r="AH908" s="43" t="s">
        <v>2361</v>
      </c>
      <c r="AI908" s="63">
        <f t="shared" si="183"/>
        <v>6.3492063492063492E-4</v>
      </c>
      <c r="AJ908" s="307">
        <f>RTD("money.excel",,$G908,"PredictVolume")</f>
        <v>32</v>
      </c>
      <c r="AK908" s="339"/>
    </row>
    <row r="909" spans="1:37">
      <c r="A909" s="416">
        <v>44.5</v>
      </c>
      <c r="B909" s="94">
        <v>-236</v>
      </c>
      <c r="C909" s="94">
        <v>-2493</v>
      </c>
      <c r="D909" s="79">
        <v>3</v>
      </c>
      <c r="E909" s="79">
        <v>23</v>
      </c>
      <c r="F909" s="6">
        <v>-6.71</v>
      </c>
      <c r="G909" s="79">
        <v>6443</v>
      </c>
      <c r="H909" s="8" t="s">
        <v>1985</v>
      </c>
      <c r="I909" s="22" t="s">
        <v>4617</v>
      </c>
      <c r="J909" s="323">
        <v>23.24</v>
      </c>
      <c r="K909" s="73">
        <v>10.52</v>
      </c>
      <c r="N909" s="318">
        <f t="shared" si="175"/>
        <v>33.76</v>
      </c>
      <c r="O909" s="81">
        <f>IFERROR(VLOOKUP($G909,'321買'!A:E,3,0),"'沒有資料'")</f>
        <v>40</v>
      </c>
      <c r="P909" s="380">
        <f>IFERROR(VLOOKUP($G909,'321買'!$A:$G,7,0),"'沒有資料'")</f>
        <v>68</v>
      </c>
      <c r="R909" s="297">
        <f>IFERROR(RANK(VLOOKUP($G909,連買!$A:$D,4,0),連買!$D:$D,0),"'沒有資料'")</f>
        <v>467</v>
      </c>
      <c r="S909" s="34">
        <v>0</v>
      </c>
      <c r="T909" s="353">
        <f t="shared" si="182"/>
        <v>0</v>
      </c>
      <c r="U909" s="95">
        <v>-0.75</v>
      </c>
      <c r="V909" s="36">
        <f>RTD("money.excel",,"6443","Price")</f>
        <v>44.2</v>
      </c>
      <c r="W909" s="66"/>
      <c r="X909" s="15">
        <f t="shared" si="177"/>
        <v>44.2</v>
      </c>
      <c r="Y909" s="3" t="e">
        <f t="shared" si="178"/>
        <v>#DIV/0!</v>
      </c>
      <c r="Z909" s="413" t="s">
        <v>1801</v>
      </c>
      <c r="AA909" s="161">
        <v>0</v>
      </c>
      <c r="AB909" s="409">
        <v>0</v>
      </c>
      <c r="AC909" s="259">
        <f t="shared" si="181"/>
        <v>0</v>
      </c>
      <c r="AD909" s="22" t="s">
        <v>4617</v>
      </c>
      <c r="AG909" s="33">
        <f t="shared" si="179"/>
        <v>0</v>
      </c>
      <c r="AH909" s="43" t="s">
        <v>4618</v>
      </c>
      <c r="AI909" s="63">
        <f t="shared" si="183"/>
        <v>0.12801348314606742</v>
      </c>
      <c r="AJ909" s="360">
        <f>RTD("money.excel",,$G909,"PredictVolume")</f>
        <v>56966</v>
      </c>
      <c r="AK909" s="339"/>
    </row>
    <row r="910" spans="1:37">
      <c r="A910" s="416">
        <v>33.700000000000003</v>
      </c>
      <c r="B910" s="80">
        <v>-20</v>
      </c>
      <c r="C910" s="80">
        <v>-11</v>
      </c>
      <c r="D910" s="80">
        <v>-1</v>
      </c>
      <c r="E910" s="80">
        <v>-3</v>
      </c>
      <c r="F910" s="6">
        <v>1.77</v>
      </c>
      <c r="G910" s="79">
        <v>6456</v>
      </c>
      <c r="H910" s="204" t="s">
        <v>1985</v>
      </c>
      <c r="I910" s="22" t="s">
        <v>4619</v>
      </c>
      <c r="J910" s="323">
        <v>53</v>
      </c>
      <c r="K910" s="73">
        <v>55.73</v>
      </c>
      <c r="L910" s="73">
        <v>10.15</v>
      </c>
      <c r="N910" s="318">
        <f t="shared" si="175"/>
        <v>118.88</v>
      </c>
      <c r="O910" s="81">
        <f>IFERROR(VLOOKUP($G910,'321買'!A:E,3,0),"'沒有資料'")</f>
        <v>3</v>
      </c>
      <c r="P910" s="380">
        <f>IFERROR(VLOOKUP($G910,'321買'!$A:$G,7,0),"'沒有資料'")</f>
        <v>636</v>
      </c>
      <c r="R910" s="297">
        <f>IFERROR(RANK(VLOOKUP($G910,連買!$A:$D,4,0),連買!$D:$D,0),"'沒有資料'")</f>
        <v>179</v>
      </c>
      <c r="S910" s="66">
        <v>4</v>
      </c>
      <c r="T910" s="353">
        <f t="shared" si="182"/>
        <v>4.2462845010615709E-2</v>
      </c>
      <c r="U910" s="57">
        <v>9.85</v>
      </c>
      <c r="V910" s="13">
        <f>RTD("money.excel",,"6456","Price")</f>
        <v>94.2</v>
      </c>
      <c r="W910" s="66"/>
      <c r="X910" s="15">
        <f t="shared" si="177"/>
        <v>94.2</v>
      </c>
      <c r="Y910" s="3" t="e">
        <f t="shared" si="178"/>
        <v>#DIV/0!</v>
      </c>
      <c r="Z910" s="413" t="s">
        <v>1997</v>
      </c>
      <c r="AA910" s="161">
        <v>0</v>
      </c>
      <c r="AB910" s="409">
        <v>0</v>
      </c>
      <c r="AC910" s="259">
        <f t="shared" si="181"/>
        <v>0</v>
      </c>
      <c r="AD910" s="22" t="s">
        <v>4619</v>
      </c>
      <c r="AG910" s="33">
        <f t="shared" si="179"/>
        <v>0</v>
      </c>
      <c r="AH910" s="120" t="s">
        <v>4620</v>
      </c>
      <c r="AI910" s="63">
        <f t="shared" si="183"/>
        <v>1.7982195845697329E-3</v>
      </c>
      <c r="AJ910" s="307">
        <f>RTD("money.excel",,$G910,"PredictVolume")</f>
        <v>606</v>
      </c>
      <c r="AK910" s="339"/>
    </row>
    <row r="911" spans="1:37">
      <c r="A911" s="415">
        <v>11.4</v>
      </c>
      <c r="B911" s="80">
        <v>-56</v>
      </c>
      <c r="C911" s="80">
        <v>-46</v>
      </c>
      <c r="D911" s="80">
        <v>-3</v>
      </c>
      <c r="E911" s="79">
        <v>376</v>
      </c>
      <c r="F911" s="57">
        <v>17.64</v>
      </c>
      <c r="G911" s="79">
        <v>6477</v>
      </c>
      <c r="H911" s="8" t="s">
        <v>1985</v>
      </c>
      <c r="I911" s="22" t="s">
        <v>453</v>
      </c>
      <c r="J911" s="73">
        <v>40.35</v>
      </c>
      <c r="K911" s="323">
        <v>6.08</v>
      </c>
      <c r="L911" s="73">
        <v>37.14</v>
      </c>
      <c r="M911" s="73">
        <v>19.07</v>
      </c>
      <c r="N911" s="318">
        <f t="shared" si="175"/>
        <v>102.63999999999999</v>
      </c>
      <c r="O911" s="81">
        <f>IFERROR(VLOOKUP($G911,'321買'!A:E,3,0),"'沒有資料'")</f>
        <v>44</v>
      </c>
      <c r="P911" s="380">
        <f>IFERROR(VLOOKUP($G911,'321買'!$A:$G,7,0),"'沒有資料'")</f>
        <v>71</v>
      </c>
      <c r="Q911" s="245" t="s">
        <v>5063</v>
      </c>
      <c r="R911" s="297">
        <f>IFERROR(RANK(VLOOKUP($G911,連買!$A:$D,4,0),連買!$D:$D,0),"'沒有資料'")</f>
        <v>310</v>
      </c>
      <c r="S911" s="34">
        <v>1.1399999999999999</v>
      </c>
      <c r="T911" s="353">
        <f t="shared" si="182"/>
        <v>1.7840375586854459E-2</v>
      </c>
      <c r="U911" s="95">
        <v>1.23</v>
      </c>
      <c r="V911" s="36">
        <f>RTD("money.excel",,"6477","Price")</f>
        <v>63.9</v>
      </c>
      <c r="W911" s="66"/>
      <c r="X911" s="15">
        <f t="shared" si="177"/>
        <v>63.9</v>
      </c>
      <c r="Y911" s="3" t="e">
        <f t="shared" si="178"/>
        <v>#DIV/0!</v>
      </c>
      <c r="Z911" s="413" t="s">
        <v>1801</v>
      </c>
      <c r="AA911" s="161">
        <v>0</v>
      </c>
      <c r="AB911" s="409">
        <v>0</v>
      </c>
      <c r="AC911" s="259">
        <f t="shared" si="181"/>
        <v>0</v>
      </c>
      <c r="AD911" s="22" t="s">
        <v>453</v>
      </c>
      <c r="AG911" s="33">
        <f t="shared" si="179"/>
        <v>0</v>
      </c>
      <c r="AH911" s="43" t="s">
        <v>3772</v>
      </c>
      <c r="AI911" s="63">
        <f t="shared" si="183"/>
        <v>0.13557894736842105</v>
      </c>
      <c r="AJ911" s="307">
        <f>RTD("money.excel",,$G911,"PredictVolume")</f>
        <v>15456</v>
      </c>
      <c r="AK911" s="339">
        <v>96.9</v>
      </c>
    </row>
    <row r="912" spans="1:37">
      <c r="A912" s="416">
        <v>2.88</v>
      </c>
      <c r="B912" s="79">
        <v>5</v>
      </c>
      <c r="C912" s="79">
        <v>30</v>
      </c>
      <c r="D912" s="80">
        <v>-3</v>
      </c>
      <c r="E912" s="79">
        <v>10</v>
      </c>
      <c r="F912" s="6">
        <v>6.25</v>
      </c>
      <c r="G912" s="79">
        <v>6556</v>
      </c>
      <c r="H912" s="8" t="s">
        <v>1985</v>
      </c>
      <c r="I912" s="16" t="s">
        <v>4621</v>
      </c>
      <c r="J912" s="73">
        <v>72.25</v>
      </c>
      <c r="K912" s="323">
        <v>0.05</v>
      </c>
      <c r="L912" s="323"/>
      <c r="N912" s="318">
        <f t="shared" si="175"/>
        <v>72.3</v>
      </c>
      <c r="O912" s="81" t="str">
        <f>IFERROR(VLOOKUP($G912,'321買'!A:E,3,0),"'沒有資料'")</f>
        <v>'沒有資料'</v>
      </c>
      <c r="P912" s="380" t="str">
        <f>IFERROR(VLOOKUP($G912,'321買'!$A:$G,7,0),"'沒有資料'")</f>
        <v>'沒有資料'</v>
      </c>
      <c r="R912" s="297">
        <f>IFERROR(RANK(VLOOKUP($G912,連買!$A:$D,4,0),連買!$D:$D,0),"'沒有資料'")</f>
        <v>1513</v>
      </c>
      <c r="S912" s="34">
        <v>2</v>
      </c>
      <c r="T912" s="353">
        <f t="shared" si="182"/>
        <v>3.2051282051282055E-2</v>
      </c>
      <c r="U912" s="95">
        <v>2.2400000000000002</v>
      </c>
      <c r="V912" s="36">
        <f>RTD("money.excel",,"6556","Price")</f>
        <v>62.4</v>
      </c>
      <c r="W912" s="66"/>
      <c r="X912" s="15">
        <f t="shared" si="177"/>
        <v>62.4</v>
      </c>
      <c r="Y912" s="3" t="e">
        <f t="shared" si="178"/>
        <v>#DIV/0!</v>
      </c>
      <c r="Z912" s="413" t="s">
        <v>1801</v>
      </c>
      <c r="AA912" s="161">
        <v>0</v>
      </c>
      <c r="AB912" s="409">
        <v>0</v>
      </c>
      <c r="AC912" s="259">
        <f t="shared" si="181"/>
        <v>0</v>
      </c>
      <c r="AD912" s="16" t="s">
        <v>4621</v>
      </c>
      <c r="AG912" s="33">
        <f t="shared" si="179"/>
        <v>0</v>
      </c>
      <c r="AH912" s="43" t="s">
        <v>4622</v>
      </c>
      <c r="AI912" s="63">
        <f t="shared" si="183"/>
        <v>6.9444444444444444E-5</v>
      </c>
      <c r="AJ912" s="307">
        <f>RTD("money.excel",,$G912,"PredictVolume")</f>
        <v>2</v>
      </c>
      <c r="AK912" s="339"/>
    </row>
    <row r="913" spans="1:37">
      <c r="A913" s="415">
        <v>1.75</v>
      </c>
      <c r="B913" s="80">
        <v>-40</v>
      </c>
      <c r="C913" s="80">
        <v>-18</v>
      </c>
      <c r="D913" s="79">
        <v>28</v>
      </c>
      <c r="E913" s="79">
        <v>402</v>
      </c>
      <c r="F913" s="57">
        <v>16.89</v>
      </c>
      <c r="G913" s="79">
        <v>6560</v>
      </c>
      <c r="H913" s="8" t="s">
        <v>1985</v>
      </c>
      <c r="I913" s="16" t="s">
        <v>4623</v>
      </c>
      <c r="J913" s="73">
        <v>22.2</v>
      </c>
      <c r="K913" s="73">
        <v>6.05</v>
      </c>
      <c r="N913" s="318">
        <f t="shared" si="175"/>
        <v>28.25</v>
      </c>
      <c r="O913" s="81" t="str">
        <f>IFERROR(VLOOKUP($G913,'321買'!A:E,3,0),"'沒有資料'")</f>
        <v>'沒有資料'</v>
      </c>
      <c r="P913" s="380" t="str">
        <f>IFERROR(VLOOKUP($G913,'321買'!$A:$G,7,0),"'沒有資料'")</f>
        <v>'沒有資料'</v>
      </c>
      <c r="R913" s="297">
        <f>IFERROR(RANK(VLOOKUP($G913,連買!$A:$D,4,0),連買!$D:$D,0),"'沒有資料'")</f>
        <v>1497</v>
      </c>
      <c r="S913" s="66">
        <v>4.5</v>
      </c>
      <c r="T913" s="353">
        <f t="shared" si="182"/>
        <v>6.2937062937062943E-2</v>
      </c>
      <c r="U913" s="95">
        <v>6.22</v>
      </c>
      <c r="V913" s="36">
        <f>RTD("money.excel",,"6560","Price")</f>
        <v>71.5</v>
      </c>
      <c r="W913" s="66"/>
      <c r="X913" s="15">
        <f t="shared" si="177"/>
        <v>71.5</v>
      </c>
      <c r="Y913" s="3" t="e">
        <f t="shared" si="178"/>
        <v>#DIV/0!</v>
      </c>
      <c r="Z913" s="413" t="s">
        <v>1997</v>
      </c>
      <c r="AA913" s="161">
        <v>0</v>
      </c>
      <c r="AB913" s="409">
        <v>0</v>
      </c>
      <c r="AC913" s="259">
        <f t="shared" si="181"/>
        <v>0</v>
      </c>
      <c r="AD913" s="16" t="s">
        <v>4623</v>
      </c>
      <c r="AG913" s="33">
        <f t="shared" si="179"/>
        <v>0</v>
      </c>
      <c r="AH913" s="43" t="s">
        <v>2192</v>
      </c>
      <c r="AI913" s="63">
        <f t="shared" si="183"/>
        <v>1.2114285714285715E-2</v>
      </c>
      <c r="AJ913" s="307">
        <f>RTD("money.excel",,$G913,"PredictVolume")</f>
        <v>212</v>
      </c>
      <c r="AK913" s="339"/>
    </row>
    <row r="914" spans="1:37">
      <c r="A914" s="416">
        <v>7.83</v>
      </c>
      <c r="B914" s="80">
        <v>-253</v>
      </c>
      <c r="C914" s="80">
        <v>-141</v>
      </c>
      <c r="D914" s="79">
        <v>8</v>
      </c>
      <c r="E914" s="80">
        <v>-15</v>
      </c>
      <c r="F914" s="6">
        <v>-3.42</v>
      </c>
      <c r="G914" s="79">
        <v>6668</v>
      </c>
      <c r="H914" s="204" t="s">
        <v>1985</v>
      </c>
      <c r="I914" s="22" t="s">
        <v>4624</v>
      </c>
      <c r="J914" s="323">
        <v>55.9</v>
      </c>
      <c r="K914" s="73">
        <v>23.32</v>
      </c>
      <c r="L914" s="323">
        <v>14.11</v>
      </c>
      <c r="N914" s="318">
        <f t="shared" si="175"/>
        <v>93.33</v>
      </c>
      <c r="O914" s="81">
        <f>IFERROR(VLOOKUP($G914,'321買'!A:E,3,0),"'沒有資料'")</f>
        <v>5</v>
      </c>
      <c r="P914" s="380">
        <f>IFERROR(VLOOKUP($G914,'321買'!$A:$G,7,0),"'沒有資料'")</f>
        <v>558</v>
      </c>
      <c r="R914" s="297">
        <f>IFERROR(RANK(VLOOKUP($G914,連買!$A:$D,4,0),連買!$D:$D,0),"'沒有資料'")</f>
        <v>110</v>
      </c>
      <c r="S914" s="34">
        <v>1.1499999999999999</v>
      </c>
      <c r="T914" s="353">
        <f t="shared" si="182"/>
        <v>2.3908523908523906E-2</v>
      </c>
      <c r="U914" s="57">
        <v>0.59</v>
      </c>
      <c r="V914" s="36">
        <f>RTD("money.excel",,"6668","Price")</f>
        <v>48.1</v>
      </c>
      <c r="W914" s="66"/>
      <c r="X914" s="15">
        <f t="shared" si="177"/>
        <v>48.1</v>
      </c>
      <c r="Y914" s="3" t="e">
        <f t="shared" si="178"/>
        <v>#DIV/0!</v>
      </c>
      <c r="Z914" s="413" t="s">
        <v>1801</v>
      </c>
      <c r="AA914" s="161">
        <v>0</v>
      </c>
      <c r="AB914" s="409">
        <v>0</v>
      </c>
      <c r="AC914" s="259">
        <f t="shared" si="181"/>
        <v>0</v>
      </c>
      <c r="AD914" s="22" t="s">
        <v>4624</v>
      </c>
      <c r="AG914" s="33">
        <f t="shared" si="179"/>
        <v>0</v>
      </c>
      <c r="AH914" s="120" t="s">
        <v>2892</v>
      </c>
      <c r="AI914" s="63">
        <f t="shared" si="183"/>
        <v>3.4865900383141764E-3</v>
      </c>
      <c r="AJ914" s="307">
        <f>RTD("money.excel",,$G914,"PredictVolume")</f>
        <v>273</v>
      </c>
      <c r="AK914" s="339"/>
    </row>
    <row r="915" spans="1:37">
      <c r="A915" s="415">
        <v>7.35</v>
      </c>
      <c r="B915" s="79">
        <v>191</v>
      </c>
      <c r="C915" s="79">
        <v>178</v>
      </c>
      <c r="D915" s="79">
        <v>0</v>
      </c>
      <c r="E915" s="79">
        <v>51</v>
      </c>
      <c r="F915" s="57">
        <v>21.45</v>
      </c>
      <c r="G915" s="79">
        <v>6706</v>
      </c>
      <c r="H915" s="8" t="s">
        <v>308</v>
      </c>
      <c r="I915" s="22" t="s">
        <v>1826</v>
      </c>
      <c r="J915" s="73">
        <v>23.95</v>
      </c>
      <c r="K915" s="73">
        <v>12.12</v>
      </c>
      <c r="L915" s="323">
        <v>31.89</v>
      </c>
      <c r="M915" s="323">
        <v>11.22</v>
      </c>
      <c r="N915" s="318">
        <f t="shared" si="175"/>
        <v>79.180000000000007</v>
      </c>
      <c r="O915" s="81">
        <f>IFERROR(VLOOKUP($G915,'321買'!A:E,3,0),"'沒有資料'")</f>
        <v>67</v>
      </c>
      <c r="P915" s="380">
        <f>IFERROR(VLOOKUP($G915,'321買'!$A:$G,7,0),"'沒有資料'")</f>
        <v>19</v>
      </c>
      <c r="Q915" s="388" t="s">
        <v>3817</v>
      </c>
      <c r="R915" s="297">
        <f>IFERROR(RANK(VLOOKUP($G915,連買!$A:$D,4,0),連買!$D:$D,0),"'沒有資料'")</f>
        <v>264</v>
      </c>
      <c r="S915" s="45">
        <v>10</v>
      </c>
      <c r="T915" s="353">
        <f t="shared" si="182"/>
        <v>5.5555555555555552E-2</v>
      </c>
      <c r="U915" s="95">
        <v>14.04</v>
      </c>
      <c r="V915" s="36">
        <f>RTD("money.excel",,"6706","Price")</f>
        <v>180</v>
      </c>
      <c r="W915" s="66"/>
      <c r="X915" s="15">
        <f t="shared" si="177"/>
        <v>180</v>
      </c>
      <c r="Y915" s="35" t="e">
        <f t="shared" si="178"/>
        <v>#DIV/0!</v>
      </c>
      <c r="Z915" s="413" t="s">
        <v>8442</v>
      </c>
      <c r="AA915" s="161">
        <v>0</v>
      </c>
      <c r="AB915" s="409">
        <v>0</v>
      </c>
      <c r="AC915" s="259">
        <f t="shared" si="181"/>
        <v>0</v>
      </c>
      <c r="AD915" s="22" t="s">
        <v>1826</v>
      </c>
      <c r="AG915" s="33">
        <f t="shared" si="179"/>
        <v>0</v>
      </c>
      <c r="AH915" s="122" t="s">
        <v>1970</v>
      </c>
      <c r="AI915" s="63">
        <f t="shared" si="183"/>
        <v>6.7891156462585034E-3</v>
      </c>
      <c r="AJ915" s="307">
        <f>RTD("money.excel",,$G915,"PredictVolume")</f>
        <v>499</v>
      </c>
      <c r="AK915" s="339">
        <v>35.24</v>
      </c>
    </row>
    <row r="916" spans="1:37">
      <c r="A916" s="416">
        <v>2.37</v>
      </c>
      <c r="B916" s="80">
        <v>-45</v>
      </c>
      <c r="C916" s="80">
        <v>-54</v>
      </c>
      <c r="D916" s="79">
        <v>19</v>
      </c>
      <c r="E916" s="79">
        <v>43</v>
      </c>
      <c r="F916" s="6">
        <v>5.33</v>
      </c>
      <c r="G916" s="79">
        <v>7402</v>
      </c>
      <c r="H916" s="8" t="s">
        <v>1985</v>
      </c>
      <c r="I916" s="16" t="s">
        <v>4625</v>
      </c>
      <c r="J916" s="73">
        <v>33.729999999999997</v>
      </c>
      <c r="K916" s="323">
        <v>14.21</v>
      </c>
      <c r="N916" s="318">
        <f t="shared" si="175"/>
        <v>47.94</v>
      </c>
      <c r="O916" s="81" t="str">
        <f>IFERROR(VLOOKUP($G916,'321買'!A:E,3,0),"'沒有資料'")</f>
        <v>'沒有資料'</v>
      </c>
      <c r="P916" s="380" t="str">
        <f>IFERROR(VLOOKUP($G916,'321買'!$A:$G,7,0),"'沒有資料'")</f>
        <v>'沒有資料'</v>
      </c>
      <c r="R916" s="297">
        <f>IFERROR(RANK(VLOOKUP($G916,連買!$A:$D,4,0),連買!$D:$D,0),"'沒有資料'")</f>
        <v>1346</v>
      </c>
      <c r="S916" s="34">
        <v>1.2</v>
      </c>
      <c r="T916" s="353">
        <f t="shared" si="182"/>
        <v>2.5974025974025972E-2</v>
      </c>
      <c r="U916" s="95">
        <v>1.08</v>
      </c>
      <c r="V916" s="36">
        <f>RTD("money.excel",,"7402","Price")</f>
        <v>46.2</v>
      </c>
      <c r="W916" s="66"/>
      <c r="X916" s="15">
        <f t="shared" si="177"/>
        <v>46.2</v>
      </c>
      <c r="Y916" s="3" t="e">
        <f t="shared" si="178"/>
        <v>#DIV/0!</v>
      </c>
      <c r="Z916" s="413" t="s">
        <v>1801</v>
      </c>
      <c r="AA916" s="161">
        <v>0</v>
      </c>
      <c r="AB916" s="409">
        <v>0</v>
      </c>
      <c r="AC916" s="259">
        <f t="shared" si="181"/>
        <v>0</v>
      </c>
      <c r="AD916" s="16" t="s">
        <v>4625</v>
      </c>
      <c r="AG916" s="33">
        <f t="shared" si="179"/>
        <v>0</v>
      </c>
      <c r="AH916" s="43" t="s">
        <v>4626</v>
      </c>
      <c r="AI916" s="63">
        <f t="shared" si="183"/>
        <v>2.5316455696202533E-4</v>
      </c>
      <c r="AJ916" s="307">
        <f>RTD("money.excel",,$G916,"PredictVolume")</f>
        <v>6</v>
      </c>
      <c r="AK916" s="339"/>
    </row>
    <row r="917" spans="1:37">
      <c r="A917" s="415">
        <v>11.8</v>
      </c>
      <c r="B917" s="80">
        <v>-9</v>
      </c>
      <c r="C917" s="80">
        <v>-3</v>
      </c>
      <c r="D917" s="79">
        <v>13</v>
      </c>
      <c r="E917" s="79">
        <v>8</v>
      </c>
      <c r="F917" s="57">
        <v>17.579999999999998</v>
      </c>
      <c r="G917" s="79">
        <v>8049</v>
      </c>
      <c r="H917" s="8" t="s">
        <v>1985</v>
      </c>
      <c r="I917" s="16" t="s">
        <v>4627</v>
      </c>
      <c r="J917" s="73">
        <v>22.93</v>
      </c>
      <c r="K917" s="323">
        <v>1.84</v>
      </c>
      <c r="L917" s="73">
        <v>5.13</v>
      </c>
      <c r="N917" s="318">
        <f t="shared" si="175"/>
        <v>29.9</v>
      </c>
      <c r="O917" s="81">
        <f>IFERROR(VLOOKUP($G917,'321買'!A:E,3,0),"'沒有資料'")</f>
        <v>0</v>
      </c>
      <c r="P917" s="380">
        <f>IFERROR(VLOOKUP($G917,'321買'!$A:$G,7,0),"'沒有資料'")</f>
        <v>911</v>
      </c>
      <c r="R917" s="297">
        <f>IFERROR(RANK(VLOOKUP($G917,連買!$A:$D,4,0),連買!$D:$D,0),"'沒有資料'")</f>
        <v>697</v>
      </c>
      <c r="S917" s="34">
        <v>1.65</v>
      </c>
      <c r="T917" s="353">
        <f t="shared" si="182"/>
        <v>6.2737642585551326E-2</v>
      </c>
      <c r="U917" s="95">
        <v>2.06</v>
      </c>
      <c r="V917" s="36">
        <f>RTD("money.excel",,"8049","Price")</f>
        <v>26.3</v>
      </c>
      <c r="W917" s="66"/>
      <c r="X917" s="15">
        <f t="shared" si="177"/>
        <v>26.3</v>
      </c>
      <c r="Y917" s="3" t="e">
        <f t="shared" si="178"/>
        <v>#DIV/0!</v>
      </c>
      <c r="AA917" s="161">
        <v>0</v>
      </c>
      <c r="AB917" s="409">
        <v>0</v>
      </c>
      <c r="AC917" s="259">
        <f t="shared" si="181"/>
        <v>0</v>
      </c>
      <c r="AD917" s="16" t="s">
        <v>4627</v>
      </c>
      <c r="AG917" s="33">
        <f t="shared" si="179"/>
        <v>0</v>
      </c>
      <c r="AH917" s="43" t="s">
        <v>4628</v>
      </c>
      <c r="AI917" s="63">
        <f t="shared" si="183"/>
        <v>2.1271186440677968E-3</v>
      </c>
      <c r="AJ917" s="307">
        <f>RTD("money.excel",,$G917,"PredictVolume")</f>
        <v>251</v>
      </c>
      <c r="AK917" s="339"/>
    </row>
    <row r="918" spans="1:37">
      <c r="A918" s="416">
        <v>16.399999999999999</v>
      </c>
      <c r="B918" s="80">
        <v>-120</v>
      </c>
      <c r="C918" s="80">
        <v>-120</v>
      </c>
      <c r="D918" s="79">
        <v>13</v>
      </c>
      <c r="E918" s="79">
        <v>13</v>
      </c>
      <c r="F918" s="6">
        <v>-2.34</v>
      </c>
      <c r="G918" s="79">
        <v>8064</v>
      </c>
      <c r="H918" s="8" t="s">
        <v>1985</v>
      </c>
      <c r="I918" s="16" t="s">
        <v>4629</v>
      </c>
      <c r="J918" s="73">
        <v>28.62</v>
      </c>
      <c r="K918" s="73">
        <v>2.42</v>
      </c>
      <c r="L918" s="323">
        <v>7</v>
      </c>
      <c r="N918" s="318">
        <f t="shared" si="175"/>
        <v>38.04</v>
      </c>
      <c r="O918" s="81">
        <f>IFERROR(VLOOKUP($G918,'321買'!A:E,3,0),"'沒有資料'")</f>
        <v>24</v>
      </c>
      <c r="P918" s="380">
        <f>IFERROR(VLOOKUP($G918,'321買'!$A:$G,7,0),"'沒有資料'")</f>
        <v>196</v>
      </c>
      <c r="R918" s="297">
        <f>IFERROR(RANK(VLOOKUP($G918,連買!$A:$D,4,0),連買!$D:$D,0),"'沒有資料'")</f>
        <v>1246</v>
      </c>
      <c r="S918" s="34">
        <v>0.2</v>
      </c>
      <c r="T918" s="353">
        <f t="shared" si="182"/>
        <v>1.0309278350515465E-2</v>
      </c>
      <c r="U918" s="95">
        <v>0.22</v>
      </c>
      <c r="V918" s="36">
        <f>RTD("money.excel",,"8064","Price")</f>
        <v>19.399999999999999</v>
      </c>
      <c r="W918" s="66"/>
      <c r="X918" s="15">
        <f t="shared" si="177"/>
        <v>19.399999999999999</v>
      </c>
      <c r="Y918" s="3" t="e">
        <f t="shared" si="178"/>
        <v>#DIV/0!</v>
      </c>
      <c r="Z918" s="413" t="s">
        <v>1801</v>
      </c>
      <c r="AA918" s="161">
        <v>0</v>
      </c>
      <c r="AB918" s="409">
        <v>0</v>
      </c>
      <c r="AC918" s="259">
        <f t="shared" si="181"/>
        <v>0</v>
      </c>
      <c r="AD918" s="16" t="s">
        <v>4629</v>
      </c>
      <c r="AG918" s="33">
        <f t="shared" si="179"/>
        <v>0</v>
      </c>
      <c r="AH918" s="120" t="s">
        <v>4630</v>
      </c>
      <c r="AI918" s="63">
        <f t="shared" si="183"/>
        <v>2.4024390243902439E-3</v>
      </c>
      <c r="AJ918" s="307">
        <f>RTD("money.excel",,$G918,"PredictVolume")</f>
        <v>394</v>
      </c>
      <c r="AK918" s="339"/>
    </row>
    <row r="919" spans="1:37">
      <c r="A919" s="415">
        <v>114</v>
      </c>
      <c r="B919" s="79">
        <v>41</v>
      </c>
      <c r="C919" s="79">
        <v>63</v>
      </c>
      <c r="D919" s="79">
        <v>81</v>
      </c>
      <c r="E919" s="79">
        <v>53</v>
      </c>
      <c r="F919" s="57">
        <v>15.39</v>
      </c>
      <c r="G919" s="79">
        <v>8069</v>
      </c>
      <c r="H919" s="149" t="s">
        <v>1985</v>
      </c>
      <c r="I919" s="16" t="s">
        <v>4632</v>
      </c>
      <c r="J919" s="323">
        <v>80.260000000000005</v>
      </c>
      <c r="K919" s="323">
        <v>41.39</v>
      </c>
      <c r="L919" s="73">
        <v>5.46</v>
      </c>
      <c r="M919" s="323">
        <v>11.19</v>
      </c>
      <c r="N919" s="73">
        <f t="shared" si="175"/>
        <v>138.30000000000001</v>
      </c>
      <c r="O919" s="81">
        <f>IFERROR(VLOOKUP($G919,'321買'!A:E,3,0),"'沒有資料'")</f>
        <v>14</v>
      </c>
      <c r="P919" s="380">
        <f>IFERROR(VLOOKUP($G919,'321買'!$A:$G,7,0),"'沒有資料'")</f>
        <v>348</v>
      </c>
      <c r="Q919" s="245" t="s">
        <v>3816</v>
      </c>
      <c r="R919" s="297">
        <f>IFERROR(RANK(VLOOKUP($G919,連買!$A:$D,4,0),連買!$D:$D,0),"'沒有資料'")</f>
        <v>217</v>
      </c>
      <c r="S919" s="45">
        <v>3.2</v>
      </c>
      <c r="T919" s="353">
        <f t="shared" si="182"/>
        <v>1.7827298050139277E-2</v>
      </c>
      <c r="U919" s="57">
        <v>4.53</v>
      </c>
      <c r="V919" s="13">
        <f>RTD("money.excel",,"8069","Price")</f>
        <v>179.5</v>
      </c>
      <c r="W919" s="66"/>
      <c r="X919" s="15">
        <f t="shared" si="177"/>
        <v>179.5</v>
      </c>
      <c r="Y919" s="3" t="e">
        <f t="shared" si="178"/>
        <v>#DIV/0!</v>
      </c>
      <c r="Z919" s="413" t="s">
        <v>5138</v>
      </c>
      <c r="AA919" s="161">
        <v>0</v>
      </c>
      <c r="AB919" s="409">
        <v>0</v>
      </c>
      <c r="AC919" s="259">
        <f t="shared" si="181"/>
        <v>0</v>
      </c>
      <c r="AD919" s="16" t="s">
        <v>4632</v>
      </c>
      <c r="AG919" s="33">
        <f t="shared" si="179"/>
        <v>0</v>
      </c>
      <c r="AH919" s="120" t="s">
        <v>4633</v>
      </c>
      <c r="AI919" s="63">
        <f t="shared" si="183"/>
        <v>2.3542105263157895E-2</v>
      </c>
      <c r="AJ919" s="307">
        <f>RTD("money.excel",,$G919,"PredictVolume")</f>
        <v>26838</v>
      </c>
      <c r="AK919" s="339">
        <v>9.06</v>
      </c>
    </row>
    <row r="920" spans="1:37">
      <c r="A920" s="416">
        <v>2.91</v>
      </c>
      <c r="B920" s="91">
        <v>-419</v>
      </c>
      <c r="C920" s="91">
        <v>-19</v>
      </c>
      <c r="D920" s="91">
        <v>24</v>
      </c>
      <c r="E920" s="91">
        <v>-4</v>
      </c>
      <c r="F920" s="6">
        <v>-20</v>
      </c>
      <c r="G920" s="79">
        <v>8087</v>
      </c>
      <c r="H920" s="8" t="s">
        <v>1985</v>
      </c>
      <c r="I920" s="16" t="s">
        <v>4634</v>
      </c>
      <c r="J920" s="73">
        <v>61.27</v>
      </c>
      <c r="K920" s="73">
        <v>0</v>
      </c>
      <c r="N920" s="318">
        <f t="shared" si="175"/>
        <v>61.27</v>
      </c>
      <c r="O920" s="81" t="str">
        <f>IFERROR(VLOOKUP($G920,'321買'!A:E,3,0),"'沒有資料'")</f>
        <v>'沒有資料'</v>
      </c>
      <c r="P920" s="380" t="str">
        <f>IFERROR(VLOOKUP($G920,'321買'!$A:$G,7,0),"'沒有資料'")</f>
        <v>'沒有資料'</v>
      </c>
      <c r="R920" s="297">
        <f>IFERROR(RANK(VLOOKUP($G920,連買!$A:$D,4,0),連買!$D:$D,0),"'沒有資料'")</f>
        <v>1101</v>
      </c>
      <c r="S920" s="34">
        <v>0</v>
      </c>
      <c r="T920" s="353">
        <f t="shared" si="182"/>
        <v>0</v>
      </c>
      <c r="U920" s="95">
        <v>-0.2</v>
      </c>
      <c r="V920" s="13">
        <f>RTD("money.excel",,"8087","Price")</f>
        <v>30</v>
      </c>
      <c r="W920" s="66"/>
      <c r="X920" s="15">
        <f t="shared" si="177"/>
        <v>30</v>
      </c>
      <c r="Y920" s="3" t="e">
        <f t="shared" si="178"/>
        <v>#DIV/0!</v>
      </c>
      <c r="AA920" s="161">
        <v>0</v>
      </c>
      <c r="AB920" s="409">
        <v>0</v>
      </c>
      <c r="AC920" s="259">
        <f t="shared" si="181"/>
        <v>0</v>
      </c>
      <c r="AD920" s="16" t="s">
        <v>4634</v>
      </c>
      <c r="AG920" s="33">
        <f t="shared" si="179"/>
        <v>0</v>
      </c>
      <c r="AH920" s="43" t="s">
        <v>4635</v>
      </c>
      <c r="AI920" s="63">
        <f t="shared" si="183"/>
        <v>1.4432989690721649E-3</v>
      </c>
      <c r="AJ920" s="307">
        <f>RTD("money.excel",,$G920,"PredictVolume")</f>
        <v>42</v>
      </c>
      <c r="AK920" s="339"/>
    </row>
    <row r="921" spans="1:37">
      <c r="A921" s="416">
        <v>6.8</v>
      </c>
      <c r="B921" s="79">
        <v>13</v>
      </c>
      <c r="C921" s="79">
        <v>13</v>
      </c>
      <c r="D921" s="80">
        <v>-3</v>
      </c>
      <c r="E921" s="79">
        <v>10</v>
      </c>
      <c r="F921" s="6">
        <v>8.7200000000000006</v>
      </c>
      <c r="G921" s="79">
        <v>8104</v>
      </c>
      <c r="H921" s="8" t="s">
        <v>1985</v>
      </c>
      <c r="I921" s="22" t="s">
        <v>4636</v>
      </c>
      <c r="J921" s="323">
        <v>52.93</v>
      </c>
      <c r="K921" s="323">
        <v>1.22</v>
      </c>
      <c r="L921" s="73">
        <v>12.87</v>
      </c>
      <c r="N921" s="318">
        <f t="shared" si="175"/>
        <v>67.02</v>
      </c>
      <c r="O921" s="81">
        <f>IFERROR(VLOOKUP($G921,'321買'!A:E,3,0),"'沒有資料'")</f>
        <v>25</v>
      </c>
      <c r="P921" s="380">
        <f>IFERROR(VLOOKUP($G921,'321買'!$A:$G,7,0),"'沒有資料'")</f>
        <v>196</v>
      </c>
      <c r="Q921" s="245" t="s">
        <v>3816</v>
      </c>
      <c r="R921" s="297">
        <f>IFERROR(RANK(VLOOKUP($G921,連買!$A:$D,4,0),連買!$D:$D,0),"'沒有資料'")</f>
        <v>577</v>
      </c>
      <c r="S921" s="66">
        <v>2.99</v>
      </c>
      <c r="T921" s="353">
        <f t="shared" si="182"/>
        <v>5.3014184397163128E-2</v>
      </c>
      <c r="U921" s="57">
        <v>3.26</v>
      </c>
      <c r="V921" s="36">
        <f>RTD("money.excel",,"8104","Price")</f>
        <v>56.4</v>
      </c>
      <c r="W921" s="66"/>
      <c r="X921" s="15">
        <f t="shared" si="177"/>
        <v>56.4</v>
      </c>
      <c r="Y921" s="3" t="e">
        <f t="shared" si="178"/>
        <v>#DIV/0!</v>
      </c>
      <c r="Z921" s="413" t="s">
        <v>1997</v>
      </c>
      <c r="AA921" s="161">
        <v>0</v>
      </c>
      <c r="AB921" s="409">
        <v>0</v>
      </c>
      <c r="AC921" s="259">
        <f t="shared" si="181"/>
        <v>0</v>
      </c>
      <c r="AD921" s="22" t="s">
        <v>4636</v>
      </c>
      <c r="AG921" s="33">
        <f t="shared" si="179"/>
        <v>0</v>
      </c>
      <c r="AH921" s="120" t="s">
        <v>4637</v>
      </c>
      <c r="AI921" s="63">
        <f t="shared" si="183"/>
        <v>5.0294117647058821E-3</v>
      </c>
      <c r="AJ921" s="307">
        <f>RTD("money.excel",,$G921,"PredictVolume")</f>
        <v>342</v>
      </c>
      <c r="AK921" s="339"/>
    </row>
    <row r="922" spans="1:37">
      <c r="A922" s="416">
        <v>44.1</v>
      </c>
      <c r="B922" s="80">
        <v>-189</v>
      </c>
      <c r="C922" s="80">
        <v>-337</v>
      </c>
      <c r="D922" s="79">
        <v>0</v>
      </c>
      <c r="E922" s="80">
        <v>-11</v>
      </c>
      <c r="F922" s="6">
        <v>-11.72</v>
      </c>
      <c r="G922" s="79">
        <v>8105</v>
      </c>
      <c r="H922" s="8" t="s">
        <v>1985</v>
      </c>
      <c r="I922" s="22" t="s">
        <v>4638</v>
      </c>
      <c r="J922" s="73">
        <v>58.85</v>
      </c>
      <c r="K922" s="73">
        <v>58.56</v>
      </c>
      <c r="L922" s="73">
        <v>10.82</v>
      </c>
      <c r="N922" s="318">
        <f t="shared" si="175"/>
        <v>128.22999999999999</v>
      </c>
      <c r="O922" s="81">
        <f>IFERROR(VLOOKUP($G922,'321買'!A:E,3,0),"'沒有資料'")</f>
        <v>0</v>
      </c>
      <c r="P922" s="380">
        <f>IFERROR(VLOOKUP($G922,'321買'!$A:$G,7,0),"'沒有資料'")</f>
        <v>911</v>
      </c>
      <c r="R922" s="297">
        <f>IFERROR(RANK(VLOOKUP($G922,連買!$A:$D,4,0),連買!$D:$D,0),"'沒有資料'")</f>
        <v>1192</v>
      </c>
      <c r="S922" s="34">
        <v>0</v>
      </c>
      <c r="T922" s="353">
        <f t="shared" si="182"/>
        <v>0</v>
      </c>
      <c r="U922" s="95">
        <v>-2.4700000000000002</v>
      </c>
      <c r="V922" s="13">
        <f>RTD("money.excel",,"8105","Price")</f>
        <v>11.3</v>
      </c>
      <c r="W922" s="66"/>
      <c r="X922" s="15">
        <f t="shared" si="177"/>
        <v>11.3</v>
      </c>
      <c r="Y922" s="3" t="e">
        <f t="shared" si="178"/>
        <v>#DIV/0!</v>
      </c>
      <c r="Z922" s="413" t="s">
        <v>1801</v>
      </c>
      <c r="AA922" s="161">
        <v>0</v>
      </c>
      <c r="AB922" s="409">
        <v>0</v>
      </c>
      <c r="AC922" s="259">
        <f t="shared" si="181"/>
        <v>0</v>
      </c>
      <c r="AD922" s="22" t="s">
        <v>4638</v>
      </c>
      <c r="AG922" s="33">
        <f t="shared" si="179"/>
        <v>0</v>
      </c>
      <c r="AH922" s="120" t="s">
        <v>4639</v>
      </c>
      <c r="AI922" s="63">
        <f t="shared" si="183"/>
        <v>1.2789115646258504E-3</v>
      </c>
      <c r="AJ922" s="307">
        <f>RTD("money.excel",,$G922,"PredictVolume")</f>
        <v>564</v>
      </c>
      <c r="AK922" s="339"/>
    </row>
    <row r="923" spans="1:37">
      <c r="A923" s="415">
        <v>10.9</v>
      </c>
      <c r="B923" s="79">
        <v>31</v>
      </c>
      <c r="C923" s="79">
        <v>46</v>
      </c>
      <c r="D923" s="79">
        <v>3</v>
      </c>
      <c r="E923" s="79">
        <v>4</v>
      </c>
      <c r="F923" s="57">
        <v>17.760000000000002</v>
      </c>
      <c r="G923" s="79">
        <v>8111</v>
      </c>
      <c r="H923" s="8" t="s">
        <v>1985</v>
      </c>
      <c r="I923" s="16" t="s">
        <v>4640</v>
      </c>
      <c r="J923" s="73">
        <v>28.72</v>
      </c>
      <c r="K923" s="73">
        <v>3.39</v>
      </c>
      <c r="L923" s="73">
        <v>26.92</v>
      </c>
      <c r="M923" s="73">
        <v>16.41</v>
      </c>
      <c r="N923" s="318">
        <f t="shared" si="175"/>
        <v>75.44</v>
      </c>
      <c r="O923" s="81">
        <f>IFERROR(VLOOKUP($G923,'321買'!A:E,3,0),"'沒有資料'")</f>
        <v>18</v>
      </c>
      <c r="P923" s="380">
        <f>IFERROR(VLOOKUP($G923,'321買'!$A:$G,7,0),"'沒有資料'")</f>
        <v>273</v>
      </c>
      <c r="Q923" s="245" t="s">
        <v>3815</v>
      </c>
      <c r="R923" s="297">
        <f>IFERROR(RANK(VLOOKUP($G923,連買!$A:$D,4,0),連買!$D:$D,0),"'沒有資料'")</f>
        <v>951</v>
      </c>
      <c r="S923" s="34">
        <v>0.9</v>
      </c>
      <c r="T923" s="353">
        <f t="shared" si="182"/>
        <v>3.5856573705179279E-2</v>
      </c>
      <c r="U923" s="95">
        <v>1.55</v>
      </c>
      <c r="V923" s="36">
        <f>RTD("money.excel",,"8111","Price")</f>
        <v>25.1</v>
      </c>
      <c r="W923" s="66"/>
      <c r="X923" s="15">
        <f t="shared" si="177"/>
        <v>25.1</v>
      </c>
      <c r="Y923" s="3" t="e">
        <f t="shared" si="178"/>
        <v>#DIV/0!</v>
      </c>
      <c r="Z923" s="413" t="s">
        <v>1801</v>
      </c>
      <c r="AA923" s="161">
        <v>0</v>
      </c>
      <c r="AB923" s="409">
        <v>0</v>
      </c>
      <c r="AC923" s="259">
        <f t="shared" si="181"/>
        <v>0</v>
      </c>
      <c r="AD923" s="16" t="s">
        <v>4640</v>
      </c>
      <c r="AG923" s="33">
        <f t="shared" si="179"/>
        <v>0</v>
      </c>
      <c r="AH923" s="43" t="s">
        <v>4641</v>
      </c>
      <c r="AI923" s="63">
        <f t="shared" si="183"/>
        <v>5.3761467889908258E-3</v>
      </c>
      <c r="AJ923" s="307">
        <f>RTD("money.excel",,$G923,"PredictVolume")</f>
        <v>586</v>
      </c>
      <c r="AK923" s="339"/>
    </row>
    <row r="924" spans="1:37">
      <c r="A924" s="416">
        <v>32</v>
      </c>
      <c r="B924" s="79">
        <v>0</v>
      </c>
      <c r="C924" s="80">
        <v>-15</v>
      </c>
      <c r="D924" s="79">
        <v>4</v>
      </c>
      <c r="E924" s="79">
        <v>17</v>
      </c>
      <c r="F924" s="6">
        <v>3.04</v>
      </c>
      <c r="G924" s="79">
        <v>8215</v>
      </c>
      <c r="H924" s="8" t="s">
        <v>1985</v>
      </c>
      <c r="I924" s="22" t="s">
        <v>4642</v>
      </c>
      <c r="J924" s="73">
        <v>55.75</v>
      </c>
      <c r="K924" s="73">
        <v>11.31</v>
      </c>
      <c r="L924" s="73">
        <v>6.89</v>
      </c>
      <c r="N924" s="318">
        <f t="shared" si="175"/>
        <v>73.95</v>
      </c>
      <c r="O924" s="81">
        <f>IFERROR(VLOOKUP($G924,'321買'!A:E,3,0),"'沒有資料'")</f>
        <v>26</v>
      </c>
      <c r="P924" s="380">
        <f>IFERROR(VLOOKUP($G924,'321買'!$A:$G,7,0),"'沒有資料'")</f>
        <v>163</v>
      </c>
      <c r="R924" s="297">
        <f>IFERROR(RANK(VLOOKUP($G924,連買!$A:$D,4,0),連買!$D:$D,0),"'沒有資料'")</f>
        <v>1115</v>
      </c>
      <c r="S924" s="34">
        <v>0.5</v>
      </c>
      <c r="T924" s="353">
        <f t="shared" si="182"/>
        <v>1.4684287812041117E-2</v>
      </c>
      <c r="U924" s="95">
        <v>1.24</v>
      </c>
      <c r="V924" s="36">
        <f>RTD("money.excel",,"8215","Price")</f>
        <v>34.049999999999997</v>
      </c>
      <c r="W924" s="66"/>
      <c r="X924" s="15">
        <f t="shared" si="177"/>
        <v>34.049999999999997</v>
      </c>
      <c r="Y924" s="3" t="e">
        <f t="shared" si="178"/>
        <v>#DIV/0!</v>
      </c>
      <c r="Z924" s="413" t="s">
        <v>1801</v>
      </c>
      <c r="AA924" s="161">
        <v>0</v>
      </c>
      <c r="AB924" s="409">
        <v>0</v>
      </c>
      <c r="AC924" s="259">
        <f t="shared" si="181"/>
        <v>0</v>
      </c>
      <c r="AD924" s="22" t="s">
        <v>4642</v>
      </c>
      <c r="AG924" s="33">
        <f t="shared" si="179"/>
        <v>0</v>
      </c>
      <c r="AH924" s="43" t="s">
        <v>4487</v>
      </c>
      <c r="AI924" s="63">
        <f t="shared" si="183"/>
        <v>2.4187499999999999E-3</v>
      </c>
      <c r="AJ924" s="307">
        <f>RTD("money.excel",,$G924,"PredictVolume")</f>
        <v>774</v>
      </c>
      <c r="AK924" s="339"/>
    </row>
    <row r="925" spans="1:37">
      <c r="A925" s="416">
        <v>10</v>
      </c>
      <c r="B925" s="80">
        <v>-3</v>
      </c>
      <c r="C925" s="80">
        <v>-10</v>
      </c>
      <c r="D925" s="79">
        <v>25</v>
      </c>
      <c r="E925" s="79">
        <v>18</v>
      </c>
      <c r="F925" s="6">
        <v>2.59</v>
      </c>
      <c r="G925" s="79">
        <v>8240</v>
      </c>
      <c r="H925" s="8" t="s">
        <v>1985</v>
      </c>
      <c r="I925" s="16" t="s">
        <v>4643</v>
      </c>
      <c r="J925" s="73">
        <v>50.1</v>
      </c>
      <c r="K925" s="73">
        <v>6.5</v>
      </c>
      <c r="L925" s="323">
        <v>8.81</v>
      </c>
      <c r="N925" s="318">
        <f t="shared" si="175"/>
        <v>65.41</v>
      </c>
      <c r="O925" s="81">
        <f>IFERROR(VLOOKUP($G925,'321買'!A:E,3,0),"'沒有資料'")</f>
        <v>0</v>
      </c>
      <c r="P925" s="380">
        <f>IFERROR(VLOOKUP($G925,'321買'!$A:$G,7,0),"'沒有資料'")</f>
        <v>911</v>
      </c>
      <c r="R925" s="297">
        <f>IFERROR(RANK(VLOOKUP($G925,連買!$A:$D,4,0),連買!$D:$D,0),"'沒有資料'")</f>
        <v>642</v>
      </c>
      <c r="S925" s="34">
        <v>1.6</v>
      </c>
      <c r="T925" s="353">
        <f t="shared" si="182"/>
        <v>4.7832585949177879E-2</v>
      </c>
      <c r="U925" s="57">
        <v>2.21</v>
      </c>
      <c r="V925" s="36">
        <f>RTD("money.excel",,"8240","Price")</f>
        <v>33.450000000000003</v>
      </c>
      <c r="W925" s="66"/>
      <c r="X925" s="15">
        <f t="shared" si="177"/>
        <v>33.450000000000003</v>
      </c>
      <c r="Y925" s="3" t="e">
        <f t="shared" si="178"/>
        <v>#DIV/0!</v>
      </c>
      <c r="Z925" s="413" t="s">
        <v>1801</v>
      </c>
      <c r="AA925" s="161">
        <v>0</v>
      </c>
      <c r="AB925" s="409">
        <v>0</v>
      </c>
      <c r="AC925" s="259">
        <f t="shared" si="181"/>
        <v>0</v>
      </c>
      <c r="AD925" s="16" t="s">
        <v>4643</v>
      </c>
      <c r="AG925" s="33">
        <f t="shared" si="179"/>
        <v>0</v>
      </c>
      <c r="AH925" s="43" t="s">
        <v>4644</v>
      </c>
      <c r="AI925" s="63">
        <f t="shared" si="183"/>
        <v>4.6999999999999999E-4</v>
      </c>
      <c r="AJ925" s="307">
        <f>RTD("money.excel",,$G925,"PredictVolume")</f>
        <v>47</v>
      </c>
      <c r="AK925" s="339"/>
    </row>
    <row r="926" spans="1:37">
      <c r="A926" s="146"/>
      <c r="B926" s="80"/>
      <c r="C926" s="80"/>
      <c r="D926" s="79"/>
      <c r="E926" s="79"/>
      <c r="F926" s="6"/>
      <c r="G926" s="79"/>
      <c r="H926" s="8"/>
      <c r="I926" s="16"/>
      <c r="J926" s="73"/>
      <c r="K926" s="73"/>
      <c r="L926" s="323"/>
      <c r="N926" s="318"/>
      <c r="O926" s="26"/>
      <c r="S926" s="34"/>
      <c r="U926" s="57"/>
      <c r="V926" s="36"/>
      <c r="W926" s="66"/>
      <c r="X926" s="15"/>
      <c r="Y926" s="3"/>
      <c r="AA926" s="2"/>
      <c r="AD926" s="16"/>
      <c r="AG926" s="33"/>
      <c r="AH926" s="43"/>
      <c r="AI926" s="63"/>
      <c r="AJ926" s="307"/>
      <c r="AK926" s="339"/>
    </row>
    <row r="927" spans="1:37">
      <c r="A927" s="130" t="s">
        <v>4191</v>
      </c>
      <c r="B927" s="91" t="s">
        <v>4192</v>
      </c>
      <c r="C927" s="91" t="s">
        <v>4193</v>
      </c>
      <c r="D927" s="91" t="s">
        <v>4194</v>
      </c>
      <c r="E927" s="91" t="s">
        <v>4195</v>
      </c>
      <c r="F927" s="8" t="s">
        <v>4196</v>
      </c>
      <c r="G927" s="27" t="s">
        <v>516</v>
      </c>
      <c r="H927" s="55" t="s">
        <v>322</v>
      </c>
      <c r="I927" s="8" t="s">
        <v>4645</v>
      </c>
      <c r="J927" s="317" t="s">
        <v>4199</v>
      </c>
      <c r="K927" s="317" t="s">
        <v>4200</v>
      </c>
      <c r="L927" s="317" t="s">
        <v>4201</v>
      </c>
      <c r="M927" s="317" t="s">
        <v>4202</v>
      </c>
      <c r="N927" s="317" t="s">
        <v>5048</v>
      </c>
      <c r="O927" s="26" t="s">
        <v>5107</v>
      </c>
      <c r="P927" s="373" t="s">
        <v>5059</v>
      </c>
      <c r="Q927" s="245" t="s">
        <v>5087</v>
      </c>
      <c r="R927" s="345" t="s">
        <v>5059</v>
      </c>
      <c r="S927" s="10" t="s">
        <v>4203</v>
      </c>
      <c r="T927" s="351" t="s">
        <v>5076</v>
      </c>
      <c r="U927" s="68" t="s">
        <v>4204</v>
      </c>
      <c r="V927" s="28" t="s">
        <v>4205</v>
      </c>
      <c r="W927" s="17" t="s">
        <v>4206</v>
      </c>
      <c r="X927" s="14" t="s">
        <v>4207</v>
      </c>
      <c r="Y927" s="21" t="s">
        <v>4208</v>
      </c>
      <c r="Z927" s="97" t="s">
        <v>6627</v>
      </c>
      <c r="AA927" s="406" t="s">
        <v>8647</v>
      </c>
      <c r="AB927" s="407" t="s">
        <v>8648</v>
      </c>
      <c r="AC927" s="408" t="s">
        <v>8649</v>
      </c>
      <c r="AD927" s="8" t="s">
        <v>4645</v>
      </c>
      <c r="AE927" s="71" t="s">
        <v>4209</v>
      </c>
      <c r="AF927" s="72" t="s">
        <v>4210</v>
      </c>
      <c r="AG927" s="32" t="s">
        <v>4211</v>
      </c>
      <c r="AH927" s="25" t="s">
        <v>8650</v>
      </c>
      <c r="AI927" s="8" t="s">
        <v>4212</v>
      </c>
      <c r="AJ927" s="50" t="s">
        <v>4213</v>
      </c>
      <c r="AK927" s="339" t="s">
        <v>5038</v>
      </c>
    </row>
    <row r="928" spans="1:37">
      <c r="A928" s="416">
        <v>23.8</v>
      </c>
      <c r="B928" s="80">
        <v>-371</v>
      </c>
      <c r="C928" s="80">
        <v>-246</v>
      </c>
      <c r="D928" s="79">
        <v>5</v>
      </c>
      <c r="E928" s="79">
        <v>1</v>
      </c>
      <c r="F928" s="6">
        <v>-12.09</v>
      </c>
      <c r="G928" s="79">
        <v>2314</v>
      </c>
      <c r="H928" s="8" t="s">
        <v>313</v>
      </c>
      <c r="I928" s="22" t="s">
        <v>4646</v>
      </c>
      <c r="J928" s="323">
        <v>32.799999999999997</v>
      </c>
      <c r="K928" s="323">
        <v>6.4</v>
      </c>
      <c r="L928" s="323">
        <v>0</v>
      </c>
      <c r="M928" s="323">
        <v>24.5</v>
      </c>
      <c r="N928" s="318">
        <f t="shared" ref="N928" si="184">J928+K928+L928+M928</f>
        <v>63.699999999999996</v>
      </c>
      <c r="O928" s="81">
        <f>IFERROR(VLOOKUP($G928,'321買'!A:E,3,0),"'沒有資料'")</f>
        <v>46</v>
      </c>
      <c r="P928" s="380">
        <f>IFERROR(VLOOKUP($G928,'321買'!$A:$G,7,0),"'沒有資料'")</f>
        <v>79</v>
      </c>
      <c r="R928" s="297">
        <f>IFERROR(RANK(VLOOKUP($G928,連買!$A:$D,4,0),連買!$D:$D,0),"'沒有資料'")</f>
        <v>1671</v>
      </c>
      <c r="S928" s="34">
        <v>0</v>
      </c>
      <c r="T928" s="353">
        <f t="shared" ref="T928" si="185">S928/V928</f>
        <v>0</v>
      </c>
      <c r="U928" s="95">
        <v>-1.97</v>
      </c>
      <c r="V928" s="36">
        <f>RTD("money.excel",,"2314","Price")</f>
        <v>59.9</v>
      </c>
      <c r="W928" s="66"/>
      <c r="X928" s="15">
        <f>V928-W928</f>
        <v>59.9</v>
      </c>
      <c r="Y928" s="3" t="e">
        <f>X928/W928</f>
        <v>#DIV/0!</v>
      </c>
      <c r="Z928" s="413" t="s">
        <v>1801</v>
      </c>
      <c r="AA928" s="161">
        <v>0</v>
      </c>
      <c r="AB928" s="409">
        <v>0</v>
      </c>
      <c r="AC928" s="259">
        <f t="shared" si="181"/>
        <v>0</v>
      </c>
      <c r="AD928" s="22" t="s">
        <v>4646</v>
      </c>
      <c r="AG928" s="33">
        <f>AF928-AE928</f>
        <v>0</v>
      </c>
      <c r="AH928" s="122" t="s">
        <v>4647</v>
      </c>
      <c r="AI928" s="63">
        <f t="shared" ref="AI928:AI959" si="186">AJ928/(A928*10000)</f>
        <v>4.9831932773109246E-3</v>
      </c>
      <c r="AJ928" s="307">
        <f>RTD("money.excel",,$G928,"PredictVolume")</f>
        <v>1186</v>
      </c>
      <c r="AK928" s="339">
        <v>28.35</v>
      </c>
    </row>
    <row r="929" spans="1:37">
      <c r="A929" s="416">
        <v>4.46</v>
      </c>
      <c r="B929" s="91">
        <v>58</v>
      </c>
      <c r="C929" s="91">
        <v>51</v>
      </c>
      <c r="D929" s="91">
        <v>1</v>
      </c>
      <c r="E929" s="91">
        <v>-4</v>
      </c>
      <c r="F929" s="6">
        <v>-6.75</v>
      </c>
      <c r="G929" s="79">
        <v>2321</v>
      </c>
      <c r="H929" s="8" t="s">
        <v>313</v>
      </c>
      <c r="I929" s="22" t="s">
        <v>4648</v>
      </c>
      <c r="J929" s="73">
        <v>45.49</v>
      </c>
      <c r="K929" s="73">
        <v>7.0000000000000007E-2</v>
      </c>
      <c r="N929" s="318">
        <f t="shared" ref="N929:N991" si="187">J929+K929+L929+M929</f>
        <v>45.56</v>
      </c>
      <c r="O929" s="81">
        <f>IFERROR(VLOOKUP($G929,'321買'!A:E,3,0),"'沒有資料'")</f>
        <v>0</v>
      </c>
      <c r="P929" s="380">
        <f>IFERROR(VLOOKUP($G929,'321買'!$A:$G,7,0),"'沒有資料'")</f>
        <v>911</v>
      </c>
      <c r="R929" s="297">
        <f>IFERROR(RANK(VLOOKUP($G929,連買!$A:$D,4,0),連買!$D:$D,0),"'沒有資料'")</f>
        <v>1452</v>
      </c>
      <c r="S929" s="34">
        <v>0</v>
      </c>
      <c r="T929" s="353">
        <f t="shared" ref="T929:T959" si="188">S929/V929</f>
        <v>0</v>
      </c>
      <c r="U929" s="95">
        <v>-0.42</v>
      </c>
      <c r="V929" s="36">
        <f>RTD("money.excel",,"2321","Price")</f>
        <v>6.11</v>
      </c>
      <c r="W929" s="66"/>
      <c r="X929" s="15">
        <f t="shared" ref="X929:X991" si="189">V929-W929</f>
        <v>6.11</v>
      </c>
      <c r="Y929" s="3" t="e">
        <f t="shared" ref="Y929:Y991" si="190">X929/W929</f>
        <v>#DIV/0!</v>
      </c>
      <c r="AA929" s="161">
        <v>0</v>
      </c>
      <c r="AB929" s="409">
        <v>0</v>
      </c>
      <c r="AC929" s="259">
        <f t="shared" si="181"/>
        <v>0</v>
      </c>
      <c r="AD929" s="22" t="s">
        <v>4648</v>
      </c>
      <c r="AG929" s="33">
        <f t="shared" ref="AG929:AG991" si="191">AF929-AE929</f>
        <v>0</v>
      </c>
      <c r="AH929" s="43" t="s">
        <v>4649</v>
      </c>
      <c r="AI929" s="63">
        <f t="shared" si="186"/>
        <v>4.4843049327354258E-5</v>
      </c>
      <c r="AJ929" s="307">
        <f>RTD("money.excel",,$G929,"PredictVolume")</f>
        <v>2</v>
      </c>
      <c r="AK929" s="339"/>
    </row>
    <row r="930" spans="1:37">
      <c r="A930" s="416">
        <v>65.2</v>
      </c>
      <c r="B930" s="80">
        <v>-647</v>
      </c>
      <c r="C930" s="79">
        <v>121</v>
      </c>
      <c r="D930" s="79">
        <v>0</v>
      </c>
      <c r="E930" s="80">
        <v>-5</v>
      </c>
      <c r="F930" s="6">
        <v>0.44</v>
      </c>
      <c r="G930" s="79">
        <v>2332</v>
      </c>
      <c r="H930" s="208" t="s">
        <v>313</v>
      </c>
      <c r="I930" s="22" t="s">
        <v>4650</v>
      </c>
      <c r="J930" s="73">
        <v>39.22</v>
      </c>
      <c r="K930" s="73">
        <v>6.49</v>
      </c>
      <c r="L930" s="73">
        <v>10.86</v>
      </c>
      <c r="N930" s="318">
        <f t="shared" si="187"/>
        <v>56.57</v>
      </c>
      <c r="O930" s="81">
        <f>IFERROR(VLOOKUP($G930,'321買'!A:E,3,0),"'沒有資料'")</f>
        <v>3</v>
      </c>
      <c r="P930" s="380">
        <f>IFERROR(VLOOKUP($G930,'321買'!$A:$G,7,0),"'沒有資料'")</f>
        <v>636</v>
      </c>
      <c r="R930" s="297">
        <f>IFERROR(RANK(VLOOKUP($G930,連買!$A:$D,4,0),連買!$D:$D,0),"'沒有資料'")</f>
        <v>1163</v>
      </c>
      <c r="S930" s="34">
        <v>0.3</v>
      </c>
      <c r="T930" s="353">
        <f t="shared" si="188"/>
        <v>1.8072289156626505E-2</v>
      </c>
      <c r="U930" s="95">
        <v>1.74</v>
      </c>
      <c r="V930" s="36">
        <f>RTD("money.excel",,"2332","Price")</f>
        <v>16.600000000000001</v>
      </c>
      <c r="W930" s="66"/>
      <c r="X930" s="15">
        <f t="shared" si="189"/>
        <v>16.600000000000001</v>
      </c>
      <c r="Y930" s="3" t="e">
        <f t="shared" si="190"/>
        <v>#DIV/0!</v>
      </c>
      <c r="Z930" s="413" t="s">
        <v>1801</v>
      </c>
      <c r="AA930" s="161">
        <v>0</v>
      </c>
      <c r="AB930" s="409">
        <v>0</v>
      </c>
      <c r="AC930" s="259">
        <f t="shared" si="181"/>
        <v>0</v>
      </c>
      <c r="AD930" s="22" t="s">
        <v>4650</v>
      </c>
      <c r="AG930" s="33">
        <f t="shared" si="191"/>
        <v>0</v>
      </c>
      <c r="AH930" s="122" t="s">
        <v>4651</v>
      </c>
      <c r="AI930" s="63">
        <f t="shared" si="186"/>
        <v>1.4739263803680981E-3</v>
      </c>
      <c r="AJ930" s="307">
        <f>RTD("money.excel",,$G930,"PredictVolume")</f>
        <v>961</v>
      </c>
      <c r="AK930" s="339"/>
    </row>
    <row r="931" spans="1:37">
      <c r="A931" s="416">
        <v>55.9</v>
      </c>
      <c r="B931" s="80">
        <v>-4</v>
      </c>
      <c r="C931" s="80">
        <v>-7</v>
      </c>
      <c r="D931" s="79">
        <v>21</v>
      </c>
      <c r="E931" s="79">
        <v>13</v>
      </c>
      <c r="F931" s="6">
        <v>8.5</v>
      </c>
      <c r="G931" s="79">
        <v>2345</v>
      </c>
      <c r="H931" s="208" t="s">
        <v>313</v>
      </c>
      <c r="I931" s="22" t="s">
        <v>4652</v>
      </c>
      <c r="J931" s="73">
        <v>67.260000000000005</v>
      </c>
      <c r="K931" s="73">
        <v>73.06</v>
      </c>
      <c r="L931" s="323">
        <v>0.62</v>
      </c>
      <c r="N931" s="318">
        <f t="shared" si="187"/>
        <v>140.94</v>
      </c>
      <c r="O931" s="81">
        <f>IFERROR(VLOOKUP($G931,'321買'!A:E,3,0),"'沒有資料'")</f>
        <v>2</v>
      </c>
      <c r="P931" s="380">
        <f>IFERROR(VLOOKUP($G931,'321買'!$A:$G,7,0),"'沒有資料'")</f>
        <v>706</v>
      </c>
      <c r="R931" s="297">
        <f>IFERROR(RANK(VLOOKUP($G931,連買!$A:$D,4,0),連買!$D:$D,0),"'沒有資料'")</f>
        <v>39</v>
      </c>
      <c r="S931" s="66">
        <v>6.5</v>
      </c>
      <c r="T931" s="353">
        <f t="shared" si="188"/>
        <v>2.8761061946902654E-2</v>
      </c>
      <c r="U931" s="57">
        <v>8.8800000000000008</v>
      </c>
      <c r="V931" s="13">
        <f>RTD("money.excel",,"2345","Price")</f>
        <v>226</v>
      </c>
      <c r="W931" s="66"/>
      <c r="X931" s="15">
        <f t="shared" si="189"/>
        <v>226</v>
      </c>
      <c r="Y931" s="3" t="e">
        <f t="shared" si="190"/>
        <v>#DIV/0!</v>
      </c>
      <c r="Z931" s="413" t="s">
        <v>1997</v>
      </c>
      <c r="AA931" s="161">
        <v>0</v>
      </c>
      <c r="AB931" s="409">
        <v>0</v>
      </c>
      <c r="AC931" s="259">
        <f t="shared" si="181"/>
        <v>0</v>
      </c>
      <c r="AD931" s="22" t="s">
        <v>4652</v>
      </c>
      <c r="AG931" s="33">
        <f t="shared" si="191"/>
        <v>0</v>
      </c>
      <c r="AH931" s="120" t="s">
        <v>4653</v>
      </c>
      <c r="AI931" s="63">
        <f t="shared" si="186"/>
        <v>2.8568872987477637E-3</v>
      </c>
      <c r="AJ931" s="307">
        <f>RTD("money.excel",,$G931,"PredictVolume")</f>
        <v>1597</v>
      </c>
      <c r="AK931" s="339"/>
    </row>
    <row r="932" spans="1:37">
      <c r="A932" s="415">
        <v>775</v>
      </c>
      <c r="B932" s="79">
        <v>7</v>
      </c>
      <c r="C932" s="79">
        <v>6</v>
      </c>
      <c r="D932" s="80">
        <v>-4</v>
      </c>
      <c r="E932" s="80">
        <v>-1</v>
      </c>
      <c r="F932" s="57">
        <v>21.35</v>
      </c>
      <c r="G932" s="79">
        <v>2412</v>
      </c>
      <c r="H932" s="17" t="s">
        <v>313</v>
      </c>
      <c r="I932" s="22" t="s">
        <v>4655</v>
      </c>
      <c r="J932" s="201">
        <v>81.290000000000006</v>
      </c>
      <c r="K932" s="73">
        <v>18.27</v>
      </c>
      <c r="L932" s="323">
        <v>0.01</v>
      </c>
      <c r="M932" s="73">
        <v>35.29</v>
      </c>
      <c r="N932" s="73">
        <f t="shared" si="187"/>
        <v>134.86000000000001</v>
      </c>
      <c r="O932" s="81">
        <f>IFERROR(VLOOKUP($G932,'321買'!A:E,3,0),"'沒有資料'")</f>
        <v>0</v>
      </c>
      <c r="P932" s="380">
        <f>IFERROR(VLOOKUP($G932,'321買'!$A:$G,7,0),"'沒有資料'")</f>
        <v>911</v>
      </c>
      <c r="Q932" s="245" t="s">
        <v>3818</v>
      </c>
      <c r="R932" s="297">
        <f>IFERROR(RANK(VLOOKUP($G932,連買!$A:$D,4,0),連買!$D:$D,0),"'沒有資料'")</f>
        <v>125</v>
      </c>
      <c r="S932" s="6">
        <v>4.6100000000000003</v>
      </c>
      <c r="T932" s="353">
        <f t="shared" si="188"/>
        <v>3.5461538461538461E-2</v>
      </c>
      <c r="U932" s="57">
        <v>4.6100000000000003</v>
      </c>
      <c r="V932" s="36">
        <f>RTD("money.excel",,"2412","Price")</f>
        <v>130</v>
      </c>
      <c r="W932" s="65"/>
      <c r="X932" s="15">
        <f t="shared" si="189"/>
        <v>130</v>
      </c>
      <c r="Y932" s="3" t="e">
        <f t="shared" si="190"/>
        <v>#DIV/0!</v>
      </c>
      <c r="Z932" s="413" t="s">
        <v>1512</v>
      </c>
      <c r="AA932" s="161">
        <v>0</v>
      </c>
      <c r="AB932" s="409">
        <v>0</v>
      </c>
      <c r="AC932" s="259">
        <f t="shared" si="181"/>
        <v>0</v>
      </c>
      <c r="AD932" s="22" t="s">
        <v>4655</v>
      </c>
      <c r="AG932" s="33">
        <f t="shared" si="191"/>
        <v>0</v>
      </c>
      <c r="AH932" s="120" t="s">
        <v>4656</v>
      </c>
      <c r="AI932" s="63">
        <f t="shared" si="186"/>
        <v>9.7122580645161289E-4</v>
      </c>
      <c r="AJ932" s="307">
        <f>RTD("money.excel",,$G932,"PredictVolume")</f>
        <v>7527</v>
      </c>
      <c r="AK932" s="339">
        <v>0.49</v>
      </c>
    </row>
    <row r="933" spans="1:37">
      <c r="A933" s="416">
        <v>32.9</v>
      </c>
      <c r="B933" s="80">
        <v>-7</v>
      </c>
      <c r="C933" s="80">
        <v>-16</v>
      </c>
      <c r="D933" s="80">
        <v>-30</v>
      </c>
      <c r="E933" s="80">
        <v>-15</v>
      </c>
      <c r="F933" s="6">
        <v>4.18</v>
      </c>
      <c r="G933" s="79">
        <v>2419</v>
      </c>
      <c r="H933" s="208" t="s">
        <v>313</v>
      </c>
      <c r="I933" s="22" t="s">
        <v>4657</v>
      </c>
      <c r="J933" s="73">
        <v>72</v>
      </c>
      <c r="K933" s="73">
        <v>4.7</v>
      </c>
      <c r="L933" s="73">
        <v>11.66</v>
      </c>
      <c r="N933" s="318">
        <f t="shared" si="187"/>
        <v>88.36</v>
      </c>
      <c r="O933" s="81">
        <f>IFERROR(VLOOKUP($G933,'321買'!A:E,3,0),"'沒有資料'")</f>
        <v>0</v>
      </c>
      <c r="P933" s="380">
        <f>IFERROR(VLOOKUP($G933,'321買'!$A:$G,7,0),"'沒有資料'")</f>
        <v>911</v>
      </c>
      <c r="R933" s="297">
        <f>IFERROR(RANK(VLOOKUP($G933,連買!$A:$D,4,0),連買!$D:$D,0),"'沒有資料'")</f>
        <v>1223</v>
      </c>
      <c r="S933" s="34">
        <v>1</v>
      </c>
      <c r="T933" s="353">
        <f t="shared" si="188"/>
        <v>5.235602094240837E-2</v>
      </c>
      <c r="U933" s="95">
        <v>0.87</v>
      </c>
      <c r="V933" s="36">
        <f>RTD("money.excel",,"2419","Price")</f>
        <v>19.100000000000001</v>
      </c>
      <c r="W933" s="66"/>
      <c r="X933" s="15">
        <f t="shared" si="189"/>
        <v>19.100000000000001</v>
      </c>
      <c r="Y933" s="3" t="e">
        <f t="shared" si="190"/>
        <v>#DIV/0!</v>
      </c>
      <c r="Z933" s="413" t="s">
        <v>1801</v>
      </c>
      <c r="AA933" s="161">
        <v>0</v>
      </c>
      <c r="AB933" s="409">
        <v>0</v>
      </c>
      <c r="AC933" s="259">
        <f t="shared" si="181"/>
        <v>0</v>
      </c>
      <c r="AD933" s="22" t="s">
        <v>4657</v>
      </c>
      <c r="AG933" s="33">
        <f t="shared" si="191"/>
        <v>0</v>
      </c>
      <c r="AH933" s="43" t="s">
        <v>4658</v>
      </c>
      <c r="AI933" s="63">
        <f t="shared" si="186"/>
        <v>6.4437689969604867E-4</v>
      </c>
      <c r="AJ933" s="307">
        <f>RTD("money.excel",,$G933,"PredictVolume")</f>
        <v>212</v>
      </c>
      <c r="AK933" s="339"/>
    </row>
    <row r="934" spans="1:37">
      <c r="A934" s="416">
        <v>21.7</v>
      </c>
      <c r="B934" s="80">
        <v>-4</v>
      </c>
      <c r="C934" s="80">
        <v>-41</v>
      </c>
      <c r="D934" s="79">
        <v>22</v>
      </c>
      <c r="E934" s="80">
        <v>-2</v>
      </c>
      <c r="F934" s="6">
        <v>1.5</v>
      </c>
      <c r="G934" s="79">
        <v>2439</v>
      </c>
      <c r="H934" s="208" t="s">
        <v>313</v>
      </c>
      <c r="I934" s="22" t="s">
        <v>4659</v>
      </c>
      <c r="J934" s="323">
        <v>25.76</v>
      </c>
      <c r="K934" s="73">
        <v>17.54</v>
      </c>
      <c r="L934" s="323">
        <v>13.06</v>
      </c>
      <c r="M934" s="73">
        <v>8.48</v>
      </c>
      <c r="N934" s="318">
        <f t="shared" si="187"/>
        <v>64.84</v>
      </c>
      <c r="O934" s="81">
        <f>IFERROR(VLOOKUP($G934,'321買'!A:E,3,0),"'沒有資料'")</f>
        <v>5</v>
      </c>
      <c r="P934" s="380">
        <f>IFERROR(VLOOKUP($G934,'321買'!$A:$G,7,0),"'沒有資料'")</f>
        <v>521</v>
      </c>
      <c r="Q934" s="245" t="s">
        <v>3815</v>
      </c>
      <c r="R934" s="297">
        <f>IFERROR(RANK(VLOOKUP($G934,連買!$A:$D,4,0),連買!$D:$D,0),"'沒有資料'")</f>
        <v>1749</v>
      </c>
      <c r="S934" s="66">
        <v>5.07</v>
      </c>
      <c r="T934" s="353">
        <f t="shared" si="188"/>
        <v>6.2669962917181701E-2</v>
      </c>
      <c r="U934" s="95">
        <v>5.63</v>
      </c>
      <c r="V934" s="36">
        <f>RTD("money.excel",,"2439","Price")</f>
        <v>80.900000000000006</v>
      </c>
      <c r="W934" s="66"/>
      <c r="X934" s="15">
        <f t="shared" si="189"/>
        <v>80.900000000000006</v>
      </c>
      <c r="Y934" s="3" t="e">
        <f t="shared" si="190"/>
        <v>#DIV/0!</v>
      </c>
      <c r="Z934" s="413" t="s">
        <v>1997</v>
      </c>
      <c r="AA934" s="161">
        <v>0</v>
      </c>
      <c r="AB934" s="409">
        <v>0</v>
      </c>
      <c r="AC934" s="259">
        <f t="shared" si="181"/>
        <v>0</v>
      </c>
      <c r="AD934" s="22" t="s">
        <v>4659</v>
      </c>
      <c r="AG934" s="33">
        <f t="shared" si="191"/>
        <v>0</v>
      </c>
      <c r="AH934" s="120" t="s">
        <v>2558</v>
      </c>
      <c r="AI934" s="63">
        <f t="shared" si="186"/>
        <v>1.1566820276497696E-3</v>
      </c>
      <c r="AJ934" s="307">
        <f>RTD("money.excel",,$G934,"PredictVolume")</f>
        <v>251</v>
      </c>
      <c r="AK934" s="339"/>
    </row>
    <row r="935" spans="1:37">
      <c r="A935" s="416">
        <v>10.5</v>
      </c>
      <c r="B935" s="91">
        <v>-152</v>
      </c>
      <c r="C935" s="91">
        <v>-141</v>
      </c>
      <c r="D935" s="91">
        <v>-31</v>
      </c>
      <c r="E935" s="91">
        <v>9</v>
      </c>
      <c r="F935" s="6">
        <v>-7.76</v>
      </c>
      <c r="G935" s="79">
        <v>2444</v>
      </c>
      <c r="H935" s="208" t="s">
        <v>313</v>
      </c>
      <c r="I935" s="22" t="s">
        <v>4660</v>
      </c>
      <c r="J935" s="73">
        <v>30.05</v>
      </c>
      <c r="K935" s="73">
        <v>13.38</v>
      </c>
      <c r="L935" s="73">
        <v>4.0999999999999996</v>
      </c>
      <c r="N935" s="318">
        <f t="shared" si="187"/>
        <v>47.53</v>
      </c>
      <c r="O935" s="81">
        <f>IFERROR(VLOOKUP($G935,'321買'!A:E,3,0),"'沒有資料'")</f>
        <v>0</v>
      </c>
      <c r="P935" s="380">
        <f>IFERROR(VLOOKUP($G935,'321買'!$A:$G,7,0),"'沒有資料'")</f>
        <v>911</v>
      </c>
      <c r="R935" s="297">
        <f>IFERROR(RANK(VLOOKUP($G935,連買!$A:$D,4,0),連買!$D:$D,0),"'沒有資料'")</f>
        <v>1365</v>
      </c>
      <c r="S935" s="34">
        <v>0</v>
      </c>
      <c r="T935" s="353">
        <f t="shared" si="188"/>
        <v>0</v>
      </c>
      <c r="U935" s="95">
        <v>-0.93</v>
      </c>
      <c r="V935" s="36">
        <f>RTD("money.excel",,"2444","Price")</f>
        <v>11.8</v>
      </c>
      <c r="W935" s="66"/>
      <c r="X935" s="15">
        <f t="shared" si="189"/>
        <v>11.8</v>
      </c>
      <c r="Y935" s="3" t="e">
        <f t="shared" si="190"/>
        <v>#DIV/0!</v>
      </c>
      <c r="AA935" s="161">
        <v>0</v>
      </c>
      <c r="AB935" s="409">
        <v>0</v>
      </c>
      <c r="AC935" s="259">
        <f t="shared" si="181"/>
        <v>0</v>
      </c>
      <c r="AD935" s="22" t="s">
        <v>4660</v>
      </c>
      <c r="AG935" s="33">
        <f t="shared" si="191"/>
        <v>0</v>
      </c>
      <c r="AH935" s="43" t="s">
        <v>4661</v>
      </c>
      <c r="AI935" s="63">
        <f t="shared" si="186"/>
        <v>1.1142857142857144E-3</v>
      </c>
      <c r="AJ935" s="307">
        <f>RTD("money.excel",,$G935,"PredictVolume")</f>
        <v>117</v>
      </c>
      <c r="AK935" s="339"/>
    </row>
    <row r="936" spans="1:37">
      <c r="A936" s="416">
        <v>25.8</v>
      </c>
      <c r="B936" s="91">
        <v>-6</v>
      </c>
      <c r="C936" s="91">
        <v>0</v>
      </c>
      <c r="D936" s="91">
        <v>8</v>
      </c>
      <c r="E936" s="91">
        <v>11</v>
      </c>
      <c r="F936" s="6">
        <v>0.14000000000000001</v>
      </c>
      <c r="G936" s="79">
        <v>2450</v>
      </c>
      <c r="H936" s="208" t="s">
        <v>313</v>
      </c>
      <c r="I936" s="22" t="s">
        <v>4662</v>
      </c>
      <c r="J936" s="73">
        <v>81.47</v>
      </c>
      <c r="K936" s="73">
        <v>7.27</v>
      </c>
      <c r="L936" s="73">
        <v>0.2</v>
      </c>
      <c r="N936" s="318">
        <f t="shared" si="187"/>
        <v>88.94</v>
      </c>
      <c r="O936" s="81">
        <f>IFERROR(VLOOKUP($G936,'321買'!A:E,3,0),"'沒有資料'")</f>
        <v>0</v>
      </c>
      <c r="P936" s="380">
        <f>IFERROR(VLOOKUP($G936,'321買'!$A:$G,7,0),"'沒有資料'")</f>
        <v>911</v>
      </c>
      <c r="R936" s="297">
        <f>IFERROR(RANK(VLOOKUP($G936,連買!$A:$D,4,0),連買!$D:$D,0),"'沒有資料'")</f>
        <v>796</v>
      </c>
      <c r="S936" s="34">
        <v>1.5</v>
      </c>
      <c r="T936" s="353">
        <f t="shared" si="188"/>
        <v>4.3415340086830685E-2</v>
      </c>
      <c r="U936" s="95">
        <v>1.69</v>
      </c>
      <c r="V936" s="13">
        <f>RTD("money.excel",,"2450","Price")</f>
        <v>34.549999999999997</v>
      </c>
      <c r="W936" s="66"/>
      <c r="X936" s="15">
        <f t="shared" si="189"/>
        <v>34.549999999999997</v>
      </c>
      <c r="Y936" s="3" t="e">
        <f t="shared" si="190"/>
        <v>#DIV/0!</v>
      </c>
      <c r="AA936" s="161">
        <v>0</v>
      </c>
      <c r="AB936" s="409">
        <v>0</v>
      </c>
      <c r="AC936" s="259">
        <f t="shared" si="181"/>
        <v>0</v>
      </c>
      <c r="AD936" s="22" t="s">
        <v>4662</v>
      </c>
      <c r="AG936" s="33">
        <f t="shared" si="191"/>
        <v>0</v>
      </c>
      <c r="AH936" s="120" t="s">
        <v>4663</v>
      </c>
      <c r="AI936" s="63">
        <f t="shared" si="186"/>
        <v>7.7519379844961239E-4</v>
      </c>
      <c r="AJ936" s="307">
        <f>RTD("money.excel",,$G936,"PredictVolume")</f>
        <v>200</v>
      </c>
      <c r="AK936" s="339"/>
    </row>
    <row r="937" spans="1:37">
      <c r="A937" s="415">
        <v>18.399999999999999</v>
      </c>
      <c r="B937" s="80">
        <v>-1</v>
      </c>
      <c r="C937" s="79">
        <v>4</v>
      </c>
      <c r="D937" s="79">
        <v>21</v>
      </c>
      <c r="E937" s="79">
        <v>28</v>
      </c>
      <c r="F937" s="57">
        <v>25.71</v>
      </c>
      <c r="G937" s="79">
        <v>2455</v>
      </c>
      <c r="H937" s="208" t="s">
        <v>313</v>
      </c>
      <c r="I937" s="22" t="s">
        <v>4664</v>
      </c>
      <c r="J937" s="73">
        <v>44.18</v>
      </c>
      <c r="K937" s="73">
        <v>32.68</v>
      </c>
      <c r="L937" s="73">
        <v>19.23</v>
      </c>
      <c r="N937" s="318">
        <f t="shared" si="187"/>
        <v>96.09</v>
      </c>
      <c r="O937" s="81">
        <f>IFERROR(VLOOKUP($G937,'321買'!A:E,3,0),"'沒有資料'")</f>
        <v>52</v>
      </c>
      <c r="P937" s="380">
        <f>IFERROR(VLOOKUP($G937,'321買'!$A:$G,7,0),"'沒有資料'")</f>
        <v>63</v>
      </c>
      <c r="R937" s="297">
        <f>IFERROR(RANK(VLOOKUP($G937,連買!$A:$D,4,0),連買!$D:$D,0),"'沒有資料'")</f>
        <v>258</v>
      </c>
      <c r="S937" s="34">
        <v>2.59</v>
      </c>
      <c r="T937" s="353">
        <f t="shared" si="188"/>
        <v>2.700729927007299E-2</v>
      </c>
      <c r="U937" s="95">
        <v>2.88</v>
      </c>
      <c r="V937" s="36">
        <f>RTD("money.excel",,"2455","Price")</f>
        <v>95.9</v>
      </c>
      <c r="W937" s="66"/>
      <c r="X937" s="15">
        <f t="shared" si="189"/>
        <v>95.9</v>
      </c>
      <c r="Y937" s="3" t="e">
        <f t="shared" si="190"/>
        <v>#DIV/0!</v>
      </c>
      <c r="Z937" s="413" t="s">
        <v>1801</v>
      </c>
      <c r="AA937" s="161">
        <v>0</v>
      </c>
      <c r="AB937" s="409">
        <v>0</v>
      </c>
      <c r="AC937" s="259">
        <f t="shared" si="181"/>
        <v>0</v>
      </c>
      <c r="AD937" s="22" t="s">
        <v>4664</v>
      </c>
      <c r="AG937" s="33">
        <f t="shared" si="191"/>
        <v>0</v>
      </c>
      <c r="AH937" s="120" t="s">
        <v>2508</v>
      </c>
      <c r="AI937" s="63">
        <f t="shared" si="186"/>
        <v>8.5434782608695657E-3</v>
      </c>
      <c r="AJ937" s="307">
        <f>RTD("money.excel",,$G937,"PredictVolume")</f>
        <v>1572</v>
      </c>
      <c r="AK937" s="339"/>
    </row>
    <row r="938" spans="1:37">
      <c r="A938" s="416">
        <v>31.7</v>
      </c>
      <c r="B938" s="80">
        <v>-125</v>
      </c>
      <c r="C938" s="80">
        <v>-136</v>
      </c>
      <c r="D938" s="80">
        <v>-8</v>
      </c>
      <c r="E938" s="79">
        <v>73</v>
      </c>
      <c r="F938" s="6">
        <v>-2.17</v>
      </c>
      <c r="G938" s="79">
        <v>2485</v>
      </c>
      <c r="H938" s="8" t="s">
        <v>313</v>
      </c>
      <c r="I938" s="22" t="s">
        <v>4665</v>
      </c>
      <c r="J938" s="73">
        <v>21.47</v>
      </c>
      <c r="K938" s="73">
        <v>6.41</v>
      </c>
      <c r="L938" s="73">
        <v>8.9600000000000009</v>
      </c>
      <c r="N938" s="318">
        <f t="shared" si="187"/>
        <v>36.840000000000003</v>
      </c>
      <c r="O938" s="81">
        <f>IFERROR(VLOOKUP($G938,'321買'!A:E,3,0),"'沒有資料'")</f>
        <v>6</v>
      </c>
      <c r="P938" s="380">
        <f>IFERROR(VLOOKUP($G938,'321買'!$A:$G,7,0),"'沒有資料'")</f>
        <v>521</v>
      </c>
      <c r="R938" s="297">
        <f>IFERROR(RANK(VLOOKUP($G938,連買!$A:$D,4,0),連買!$D:$D,0),"'沒有資料'")</f>
        <v>1144</v>
      </c>
      <c r="S938" s="34">
        <v>0</v>
      </c>
      <c r="T938" s="353">
        <f t="shared" si="188"/>
        <v>0</v>
      </c>
      <c r="U938" s="95">
        <v>-0.48</v>
      </c>
      <c r="V938" s="36">
        <f>RTD("money.excel",,"2485","Price")</f>
        <v>17.850000000000001</v>
      </c>
      <c r="W938" s="66"/>
      <c r="X938" s="15">
        <f t="shared" si="189"/>
        <v>17.850000000000001</v>
      </c>
      <c r="Y938" s="3" t="e">
        <f t="shared" si="190"/>
        <v>#DIV/0!</v>
      </c>
      <c r="AA938" s="161">
        <v>0</v>
      </c>
      <c r="AB938" s="409">
        <v>0</v>
      </c>
      <c r="AC938" s="259">
        <f t="shared" si="181"/>
        <v>0</v>
      </c>
      <c r="AD938" s="22" t="s">
        <v>4665</v>
      </c>
      <c r="AG938" s="33">
        <f t="shared" si="191"/>
        <v>0</v>
      </c>
      <c r="AH938" s="43" t="s">
        <v>4666</v>
      </c>
      <c r="AI938" s="63">
        <f t="shared" si="186"/>
        <v>1.4479495268138801E-3</v>
      </c>
      <c r="AJ938" s="307">
        <f>RTD("money.excel",,$G938,"PredictVolume")</f>
        <v>459</v>
      </c>
      <c r="AK938" s="339"/>
    </row>
    <row r="939" spans="1:37">
      <c r="A939" s="416">
        <v>82.4</v>
      </c>
      <c r="B939" s="79">
        <v>52</v>
      </c>
      <c r="C939" s="79">
        <v>37</v>
      </c>
      <c r="D939" s="79">
        <v>32</v>
      </c>
      <c r="E939" s="80">
        <v>-16</v>
      </c>
      <c r="F939" s="73">
        <v>-131.6</v>
      </c>
      <c r="G939" s="79">
        <v>2498</v>
      </c>
      <c r="H939" s="8" t="s">
        <v>313</v>
      </c>
      <c r="I939" s="22" t="s">
        <v>1941</v>
      </c>
      <c r="J939" s="323">
        <v>41.56</v>
      </c>
      <c r="K939" s="73">
        <v>22.42</v>
      </c>
      <c r="L939" s="323">
        <v>29.45</v>
      </c>
      <c r="M939" s="323">
        <v>6.79</v>
      </c>
      <c r="N939" s="318">
        <f t="shared" si="187"/>
        <v>100.22000000000001</v>
      </c>
      <c r="O939" s="81">
        <f>IFERROR(VLOOKUP($G939,'321買'!A:E,3,0),"'沒有資料'")</f>
        <v>34</v>
      </c>
      <c r="P939" s="380">
        <f>IFERROR(VLOOKUP($G939,'321買'!$A:$G,7,0),"'沒有資料'")</f>
        <v>147</v>
      </c>
      <c r="Q939" s="245" t="s">
        <v>3816</v>
      </c>
      <c r="R939" s="297">
        <f>IFERROR(RANK(VLOOKUP($G939,連買!$A:$D,4,0),連買!$D:$D,0),"'沒有資料'")</f>
        <v>390</v>
      </c>
      <c r="S939" s="34">
        <v>0</v>
      </c>
      <c r="T939" s="353">
        <f t="shared" si="188"/>
        <v>0</v>
      </c>
      <c r="U939" s="95">
        <v>-4.1399999999999997</v>
      </c>
      <c r="V939" s="36">
        <f>RTD("money.excel",,"2498","Price")</f>
        <v>56.1</v>
      </c>
      <c r="W939" s="66"/>
      <c r="X939" s="15">
        <f t="shared" si="189"/>
        <v>56.1</v>
      </c>
      <c r="Y939" s="3" t="e">
        <f t="shared" si="190"/>
        <v>#DIV/0!</v>
      </c>
      <c r="Z939" s="413" t="s">
        <v>1801</v>
      </c>
      <c r="AA939" s="161">
        <v>0</v>
      </c>
      <c r="AB939" s="409">
        <v>0</v>
      </c>
      <c r="AC939" s="259">
        <f t="shared" si="181"/>
        <v>0</v>
      </c>
      <c r="AD939" s="22" t="s">
        <v>1941</v>
      </c>
      <c r="AG939" s="33">
        <f t="shared" si="191"/>
        <v>0</v>
      </c>
      <c r="AH939" s="120" t="s">
        <v>4667</v>
      </c>
      <c r="AI939" s="63">
        <f t="shared" si="186"/>
        <v>9.967233009708738E-3</v>
      </c>
      <c r="AJ939" s="307">
        <f>RTD("money.excel",,$G939,"PredictVolume")</f>
        <v>8213</v>
      </c>
      <c r="AK939" s="339"/>
    </row>
    <row r="940" spans="1:37">
      <c r="A940" s="416">
        <v>7.09</v>
      </c>
      <c r="B940" s="80">
        <v>-113</v>
      </c>
      <c r="C940" s="80">
        <v>-110</v>
      </c>
      <c r="D940" s="80">
        <v>-16</v>
      </c>
      <c r="E940" s="80">
        <v>-26</v>
      </c>
      <c r="F940" s="6">
        <v>-1.9</v>
      </c>
      <c r="G940" s="79">
        <v>3025</v>
      </c>
      <c r="H940" s="8" t="s">
        <v>313</v>
      </c>
      <c r="I940" s="22" t="s">
        <v>4668</v>
      </c>
      <c r="J940" s="73">
        <v>18.989999999999998</v>
      </c>
      <c r="K940" s="323">
        <v>1.94</v>
      </c>
      <c r="L940" s="73">
        <v>28.76</v>
      </c>
      <c r="M940" s="323">
        <v>13.57</v>
      </c>
      <c r="N940" s="318">
        <f t="shared" si="187"/>
        <v>63.26</v>
      </c>
      <c r="O940" s="81">
        <f>IFERROR(VLOOKUP($G940,'321買'!A:E,3,0),"'沒有資料'")</f>
        <v>11</v>
      </c>
      <c r="P940" s="380">
        <f>IFERROR(VLOOKUP($G940,'321買'!$A:$G,7,0),"'沒有資料'")</f>
        <v>408</v>
      </c>
      <c r="Q940" s="245" t="s">
        <v>3815</v>
      </c>
      <c r="R940" s="297">
        <f>IFERROR(RANK(VLOOKUP($G940,連買!$A:$D,4,0),連買!$D:$D,0),"'沒有資料'")</f>
        <v>999</v>
      </c>
      <c r="S940" s="34">
        <v>1</v>
      </c>
      <c r="T940" s="353">
        <f t="shared" si="188"/>
        <v>4.6403712296983757E-2</v>
      </c>
      <c r="U940" s="95">
        <v>1.1100000000000001</v>
      </c>
      <c r="V940" s="36">
        <f>RTD("money.excel",,"3025","Price")</f>
        <v>21.55</v>
      </c>
      <c r="W940" s="66"/>
      <c r="X940" s="15">
        <f t="shared" si="189"/>
        <v>21.55</v>
      </c>
      <c r="Y940" s="3" t="e">
        <f t="shared" si="190"/>
        <v>#DIV/0!</v>
      </c>
      <c r="Z940" s="413" t="s">
        <v>1801</v>
      </c>
      <c r="AA940" s="161">
        <v>0</v>
      </c>
      <c r="AB940" s="409">
        <v>0</v>
      </c>
      <c r="AC940" s="259">
        <f t="shared" si="181"/>
        <v>0</v>
      </c>
      <c r="AD940" s="22" t="s">
        <v>4668</v>
      </c>
      <c r="AG940" s="33">
        <f t="shared" si="191"/>
        <v>0</v>
      </c>
      <c r="AH940" s="43" t="s">
        <v>4669</v>
      </c>
      <c r="AI940" s="63">
        <f t="shared" si="186"/>
        <v>6.2482369534555713E-3</v>
      </c>
      <c r="AJ940" s="307">
        <f>RTD("money.excel",,$G940,"PredictVolume")</f>
        <v>443</v>
      </c>
    </row>
    <row r="941" spans="1:37">
      <c r="A941" s="416">
        <v>9.89</v>
      </c>
      <c r="B941" s="79">
        <v>67</v>
      </c>
      <c r="C941" s="80">
        <v>-2191</v>
      </c>
      <c r="D941" s="79">
        <v>2</v>
      </c>
      <c r="E941" s="80">
        <v>-28</v>
      </c>
      <c r="F941" s="6">
        <v>-3.1</v>
      </c>
      <c r="G941" s="79">
        <v>3027</v>
      </c>
      <c r="H941" s="8" t="s">
        <v>313</v>
      </c>
      <c r="I941" s="22" t="s">
        <v>4670</v>
      </c>
      <c r="J941" s="73">
        <v>34.700000000000003</v>
      </c>
      <c r="K941" s="323">
        <v>0.22</v>
      </c>
      <c r="L941" s="73">
        <v>12.63</v>
      </c>
      <c r="N941" s="318">
        <f t="shared" si="187"/>
        <v>47.550000000000004</v>
      </c>
      <c r="O941" s="81">
        <f>IFERROR(VLOOKUP($G941,'321買'!A:E,3,0),"'沒有資料'")</f>
        <v>9</v>
      </c>
      <c r="P941" s="380">
        <f>IFERROR(VLOOKUP($G941,'321買'!$A:$G,7,0),"'沒有資料'")</f>
        <v>448</v>
      </c>
      <c r="R941" s="297">
        <f>IFERROR(RANK(VLOOKUP($G941,連買!$A:$D,4,0),連買!$D:$D,0),"'沒有資料'")</f>
        <v>768</v>
      </c>
      <c r="S941" s="34">
        <v>0</v>
      </c>
      <c r="T941" s="353">
        <f t="shared" si="188"/>
        <v>0</v>
      </c>
      <c r="U941" s="95">
        <v>0.32</v>
      </c>
      <c r="V941" s="36">
        <f>RTD("money.excel",,"3027","Price")</f>
        <v>20.9</v>
      </c>
      <c r="W941" s="66"/>
      <c r="X941" s="15">
        <f t="shared" si="189"/>
        <v>20.9</v>
      </c>
      <c r="Y941" s="3" t="e">
        <f t="shared" si="190"/>
        <v>#DIV/0!</v>
      </c>
      <c r="Z941" s="413" t="s">
        <v>1801</v>
      </c>
      <c r="AA941" s="161">
        <v>0</v>
      </c>
      <c r="AB941" s="409">
        <v>0</v>
      </c>
      <c r="AC941" s="259">
        <f t="shared" si="181"/>
        <v>0</v>
      </c>
      <c r="AD941" s="22" t="s">
        <v>4670</v>
      </c>
      <c r="AG941" s="33">
        <f t="shared" si="191"/>
        <v>0</v>
      </c>
      <c r="AH941" s="43" t="s">
        <v>4671</v>
      </c>
      <c r="AI941" s="63">
        <f t="shared" si="186"/>
        <v>2.0020222446916077E-3</v>
      </c>
      <c r="AJ941" s="307">
        <f>RTD("money.excel",,$G941,"PredictVolume")</f>
        <v>198</v>
      </c>
      <c r="AK941" s="339"/>
    </row>
    <row r="942" spans="1:37">
      <c r="A942" s="415">
        <v>351</v>
      </c>
      <c r="B942" s="79">
        <v>3</v>
      </c>
      <c r="C942" s="80">
        <v>-1</v>
      </c>
      <c r="D942" s="80">
        <v>-13</v>
      </c>
      <c r="E942" s="79">
        <v>10</v>
      </c>
      <c r="F942" s="57">
        <v>10.28</v>
      </c>
      <c r="G942" s="79">
        <v>3045</v>
      </c>
      <c r="H942" s="8" t="s">
        <v>313</v>
      </c>
      <c r="I942" s="22" t="s">
        <v>4673</v>
      </c>
      <c r="J942" s="323">
        <v>91.01</v>
      </c>
      <c r="K942" s="73">
        <v>17.510000000000002</v>
      </c>
      <c r="L942" s="323">
        <v>0.04</v>
      </c>
      <c r="M942" s="323">
        <v>11.3</v>
      </c>
      <c r="N942" s="318">
        <f t="shared" si="187"/>
        <v>119.86000000000001</v>
      </c>
      <c r="O942" s="81">
        <f>IFERROR(VLOOKUP($G942,'321買'!A:E,3,0),"'沒有資料'")</f>
        <v>0</v>
      </c>
      <c r="P942" s="380">
        <f>IFERROR(VLOOKUP($G942,'321買'!$A:$G,7,0),"'沒有資料'")</f>
        <v>911</v>
      </c>
      <c r="Q942" s="245" t="s">
        <v>3818</v>
      </c>
      <c r="R942" s="297">
        <f>IFERROR(RANK(VLOOKUP($G942,連買!$A:$D,4,0),連買!$D:$D,0),"'沒有資料'")</f>
        <v>164</v>
      </c>
      <c r="S942" s="66"/>
      <c r="T942" s="353">
        <f t="shared" si="188"/>
        <v>0</v>
      </c>
      <c r="U942" s="57">
        <v>3.91</v>
      </c>
      <c r="V942" s="36">
        <f>RTD("money.excel",,"3045","Price")</f>
        <v>106</v>
      </c>
      <c r="W942" s="66"/>
      <c r="X942" s="15">
        <f t="shared" si="189"/>
        <v>106</v>
      </c>
      <c r="Y942" s="3" t="e">
        <f t="shared" si="190"/>
        <v>#DIV/0!</v>
      </c>
      <c r="Z942" s="413" t="s">
        <v>8634</v>
      </c>
      <c r="AA942" s="161">
        <v>0</v>
      </c>
      <c r="AB942" s="409">
        <v>0</v>
      </c>
      <c r="AC942" s="259">
        <f t="shared" si="181"/>
        <v>0</v>
      </c>
      <c r="AD942" s="22" t="s">
        <v>4673</v>
      </c>
      <c r="AG942" s="33">
        <f t="shared" si="191"/>
        <v>0</v>
      </c>
      <c r="AH942" s="120" t="s">
        <v>4674</v>
      </c>
      <c r="AI942" s="63">
        <f t="shared" si="186"/>
        <v>3.772079772079772E-4</v>
      </c>
      <c r="AJ942" s="307">
        <f>RTD("money.excel",,$G942,"PredictVolume")</f>
        <v>1324</v>
      </c>
      <c r="AK942" s="339">
        <v>0.52</v>
      </c>
    </row>
    <row r="943" spans="1:37">
      <c r="A943" s="416">
        <v>19</v>
      </c>
      <c r="B943" s="80">
        <v>-126</v>
      </c>
      <c r="C943" s="80">
        <v>-105</v>
      </c>
      <c r="D943" s="79">
        <v>12</v>
      </c>
      <c r="E943" s="80">
        <v>-1</v>
      </c>
      <c r="F943" s="6">
        <v>-0.5</v>
      </c>
      <c r="G943" s="79">
        <v>3047</v>
      </c>
      <c r="H943" s="8" t="s">
        <v>313</v>
      </c>
      <c r="I943" s="22" t="s">
        <v>4675</v>
      </c>
      <c r="J943" s="73">
        <v>19.77</v>
      </c>
      <c r="K943" s="73">
        <v>4.47</v>
      </c>
      <c r="L943" s="73">
        <v>17.37</v>
      </c>
      <c r="M943" s="323">
        <v>7.1</v>
      </c>
      <c r="N943" s="318">
        <f t="shared" si="187"/>
        <v>48.71</v>
      </c>
      <c r="O943" s="81">
        <f>IFERROR(VLOOKUP($G943,'321買'!A:E,3,0),"'沒有資料'")</f>
        <v>9</v>
      </c>
      <c r="P943" s="380">
        <f>IFERROR(VLOOKUP($G943,'321買'!$A:$G,7,0),"'沒有資料'")</f>
        <v>448</v>
      </c>
      <c r="Q943" s="245" t="s">
        <v>3816</v>
      </c>
      <c r="R943" s="297">
        <f>IFERROR(RANK(VLOOKUP($G943,連買!$A:$D,4,0),連買!$D:$D,0),"'沒有資料'")</f>
        <v>1158</v>
      </c>
      <c r="S943" s="34">
        <v>0.28999999999999998</v>
      </c>
      <c r="T943" s="353">
        <f t="shared" si="188"/>
        <v>2.5327510917030567E-2</v>
      </c>
      <c r="U943" s="95">
        <v>-0.27</v>
      </c>
      <c r="V943" s="36">
        <f>RTD("money.excel",,"3047","Price")</f>
        <v>11.45</v>
      </c>
      <c r="W943" s="66"/>
      <c r="X943" s="15">
        <f t="shared" si="189"/>
        <v>11.45</v>
      </c>
      <c r="Y943" s="3" t="e">
        <f t="shared" si="190"/>
        <v>#DIV/0!</v>
      </c>
      <c r="Z943" s="413" t="s">
        <v>1801</v>
      </c>
      <c r="AA943" s="161">
        <v>0</v>
      </c>
      <c r="AB943" s="409">
        <v>0</v>
      </c>
      <c r="AC943" s="259">
        <f t="shared" si="181"/>
        <v>0</v>
      </c>
      <c r="AD943" s="22" t="s">
        <v>4675</v>
      </c>
      <c r="AG943" s="33">
        <f t="shared" si="191"/>
        <v>0</v>
      </c>
      <c r="AH943" s="43" t="s">
        <v>4651</v>
      </c>
      <c r="AI943" s="63">
        <f t="shared" si="186"/>
        <v>3.0368421052631581E-3</v>
      </c>
      <c r="AJ943" s="307">
        <f>RTD("money.excel",,$G943,"PredictVolume")</f>
        <v>577</v>
      </c>
      <c r="AK943" s="339">
        <v>27.3</v>
      </c>
    </row>
    <row r="944" spans="1:37">
      <c r="A944" s="416">
        <v>32.799999999999997</v>
      </c>
      <c r="B944" s="80">
        <v>-102</v>
      </c>
      <c r="C944" s="80">
        <v>-928</v>
      </c>
      <c r="D944" s="80">
        <v>-1</v>
      </c>
      <c r="E944" s="80">
        <v>-13</v>
      </c>
      <c r="F944" s="6">
        <v>-2.83</v>
      </c>
      <c r="G944" s="79">
        <v>3062</v>
      </c>
      <c r="H944" s="8" t="s">
        <v>313</v>
      </c>
      <c r="I944" s="22" t="s">
        <v>4676</v>
      </c>
      <c r="J944" s="73">
        <v>37.200000000000003</v>
      </c>
      <c r="K944" s="323">
        <v>11.26</v>
      </c>
      <c r="L944" s="73">
        <v>10.050000000000001</v>
      </c>
      <c r="N944" s="318">
        <f t="shared" si="187"/>
        <v>58.510000000000005</v>
      </c>
      <c r="O944" s="81">
        <f>IFERROR(VLOOKUP($G944,'321買'!A:E,3,0),"'沒有資料'")</f>
        <v>32</v>
      </c>
      <c r="P944" s="380">
        <f>IFERROR(VLOOKUP($G944,'321買'!$A:$G,7,0),"'沒有資料'")</f>
        <v>141</v>
      </c>
      <c r="R944" s="297">
        <f>IFERROR(RANK(VLOOKUP($G944,連買!$A:$D,4,0),連買!$D:$D,0),"'沒有資料'")</f>
        <v>1174</v>
      </c>
      <c r="S944" s="34">
        <v>0.15</v>
      </c>
      <c r="T944" s="353">
        <f t="shared" si="188"/>
        <v>6.0975609756097554E-3</v>
      </c>
      <c r="U944" s="95">
        <v>7.0000000000000007E-2</v>
      </c>
      <c r="V944" s="36">
        <f>RTD("money.excel",,"3062","Price")</f>
        <v>24.6</v>
      </c>
      <c r="W944" s="66"/>
      <c r="X944" s="15">
        <f t="shared" si="189"/>
        <v>24.6</v>
      </c>
      <c r="Y944" s="3" t="e">
        <f t="shared" si="190"/>
        <v>#DIV/0!</v>
      </c>
      <c r="Z944" s="413" t="s">
        <v>1801</v>
      </c>
      <c r="AA944" s="161">
        <v>0</v>
      </c>
      <c r="AB944" s="409">
        <v>0</v>
      </c>
      <c r="AC944" s="259">
        <f t="shared" si="181"/>
        <v>0</v>
      </c>
      <c r="AD944" s="22" t="s">
        <v>4676</v>
      </c>
      <c r="AG944" s="33">
        <f t="shared" si="191"/>
        <v>0</v>
      </c>
      <c r="AH944" s="120" t="s">
        <v>4677</v>
      </c>
      <c r="AI944" s="63">
        <f t="shared" si="186"/>
        <v>6.0152439024390245E-3</v>
      </c>
      <c r="AJ944" s="307">
        <f>RTD("money.excel",,$G944,"PredictVolume")</f>
        <v>1973</v>
      </c>
      <c r="AK944" s="339"/>
    </row>
    <row r="945" spans="1:37">
      <c r="A945" s="415">
        <v>9.14</v>
      </c>
      <c r="B945" s="79">
        <v>60</v>
      </c>
      <c r="C945" s="79">
        <v>63</v>
      </c>
      <c r="D945" s="79">
        <v>14</v>
      </c>
      <c r="E945" s="80">
        <v>-21</v>
      </c>
      <c r="F945" s="57">
        <v>32.92</v>
      </c>
      <c r="G945" s="79">
        <v>3081</v>
      </c>
      <c r="H945" s="149" t="s">
        <v>313</v>
      </c>
      <c r="I945" s="16" t="s">
        <v>4678</v>
      </c>
      <c r="J945" s="73">
        <v>47.36</v>
      </c>
      <c r="K945" s="323">
        <v>50.43</v>
      </c>
      <c r="L945" s="323">
        <v>11.65</v>
      </c>
      <c r="N945" s="318">
        <f t="shared" si="187"/>
        <v>109.44</v>
      </c>
      <c r="O945" s="81">
        <f>IFERROR(VLOOKUP($G945,'321買'!A:E,3,0),"'沒有資料'")</f>
        <v>2</v>
      </c>
      <c r="P945" s="380">
        <f>IFERROR(VLOOKUP($G945,'321買'!$A:$G,7,0),"'沒有資料'")</f>
        <v>706</v>
      </c>
      <c r="R945" s="297">
        <f>IFERROR(RANK(VLOOKUP($G945,連買!$A:$D,4,0),連買!$D:$D,0),"'沒有資料'")</f>
        <v>31</v>
      </c>
      <c r="S945" s="66">
        <v>5</v>
      </c>
      <c r="T945" s="353">
        <f t="shared" si="188"/>
        <v>3.0211480362537766E-2</v>
      </c>
      <c r="U945" s="95">
        <v>7.74</v>
      </c>
      <c r="V945" s="13">
        <f>RTD("money.excel",,"3081","Price")</f>
        <v>165.5</v>
      </c>
      <c r="W945" s="66"/>
      <c r="X945" s="15">
        <f t="shared" si="189"/>
        <v>165.5</v>
      </c>
      <c r="Y945" s="3" t="e">
        <f t="shared" si="190"/>
        <v>#DIV/0!</v>
      </c>
      <c r="Z945" s="413" t="s">
        <v>1997</v>
      </c>
      <c r="AA945" s="161">
        <v>0</v>
      </c>
      <c r="AB945" s="409">
        <v>0</v>
      </c>
      <c r="AC945" s="259">
        <f t="shared" si="181"/>
        <v>0</v>
      </c>
      <c r="AD945" s="16" t="s">
        <v>4678</v>
      </c>
      <c r="AG945" s="33">
        <f t="shared" si="191"/>
        <v>0</v>
      </c>
      <c r="AH945" s="120" t="s">
        <v>4679</v>
      </c>
      <c r="AI945" s="63">
        <f t="shared" si="186"/>
        <v>8.5667396061269146E-3</v>
      </c>
      <c r="AJ945" s="307">
        <f>RTD("money.excel",,$G945,"PredictVolume")</f>
        <v>783</v>
      </c>
      <c r="AK945" s="339"/>
    </row>
    <row r="946" spans="1:37">
      <c r="A946" s="416">
        <v>10.9</v>
      </c>
      <c r="B946" s="91">
        <v>-281</v>
      </c>
      <c r="C946" s="91">
        <v>-269</v>
      </c>
      <c r="D946" s="91">
        <v>7</v>
      </c>
      <c r="E946" s="91">
        <v>4</v>
      </c>
      <c r="F946" s="6">
        <v>-11.85</v>
      </c>
      <c r="G946" s="79">
        <v>3095</v>
      </c>
      <c r="H946" s="8" t="s">
        <v>313</v>
      </c>
      <c r="I946" s="16" t="s">
        <v>4680</v>
      </c>
      <c r="J946" s="73">
        <v>45.56</v>
      </c>
      <c r="K946" s="73">
        <v>4.49</v>
      </c>
      <c r="N946" s="318">
        <f t="shared" si="187"/>
        <v>50.050000000000004</v>
      </c>
      <c r="O946" s="81" t="str">
        <f>IFERROR(VLOOKUP($G946,'321買'!A:E,3,0),"'沒有資料'")</f>
        <v>'沒有資料'</v>
      </c>
      <c r="P946" s="380" t="str">
        <f>IFERROR(VLOOKUP($G946,'321買'!$A:$G,7,0),"'沒有資料'")</f>
        <v>'沒有資料'</v>
      </c>
      <c r="R946" s="297">
        <f>IFERROR(RANK(VLOOKUP($G946,連買!$A:$D,4,0),連買!$D:$D,0),"'沒有資料'")</f>
        <v>1406</v>
      </c>
      <c r="S946" s="34">
        <v>0</v>
      </c>
      <c r="T946" s="353">
        <f t="shared" si="188"/>
        <v>0</v>
      </c>
      <c r="U946" s="95">
        <v>-0.6</v>
      </c>
      <c r="V946" s="36">
        <f>RTD("money.excel",,"3095","Price")</f>
        <v>2.94</v>
      </c>
      <c r="W946" s="66"/>
      <c r="X946" s="15">
        <f t="shared" si="189"/>
        <v>2.94</v>
      </c>
      <c r="Y946" s="3" t="e">
        <f t="shared" si="190"/>
        <v>#DIV/0!</v>
      </c>
      <c r="AA946" s="161">
        <v>0</v>
      </c>
      <c r="AB946" s="409">
        <v>0</v>
      </c>
      <c r="AC946" s="259">
        <f t="shared" si="181"/>
        <v>0</v>
      </c>
      <c r="AD946" s="16" t="s">
        <v>4680</v>
      </c>
      <c r="AG946" s="33">
        <f t="shared" si="191"/>
        <v>0</v>
      </c>
      <c r="AH946" s="43" t="s">
        <v>2769</v>
      </c>
      <c r="AI946" s="63">
        <f t="shared" si="186"/>
        <v>2.3853211009174311E-4</v>
      </c>
      <c r="AJ946" s="307">
        <f>RTD("money.excel",,$G946,"PredictVolume")</f>
        <v>26</v>
      </c>
      <c r="AK946" s="339"/>
    </row>
    <row r="947" spans="1:37">
      <c r="A947" s="415">
        <v>4.67</v>
      </c>
      <c r="B947" s="79">
        <v>155</v>
      </c>
      <c r="C947" s="79">
        <v>55</v>
      </c>
      <c r="D947" s="80">
        <v>-16</v>
      </c>
      <c r="E947" s="79">
        <v>44</v>
      </c>
      <c r="F947" s="57">
        <v>10.83</v>
      </c>
      <c r="G947" s="79">
        <v>3138</v>
      </c>
      <c r="H947" s="8" t="s">
        <v>313</v>
      </c>
      <c r="I947" s="22" t="s">
        <v>2267</v>
      </c>
      <c r="J947" s="323">
        <v>21.09</v>
      </c>
      <c r="K947" s="73">
        <v>0.95</v>
      </c>
      <c r="L947" s="323">
        <v>14.67</v>
      </c>
      <c r="M947" s="73">
        <v>22.41</v>
      </c>
      <c r="N947" s="318">
        <f>J947+K947+L947+M947</f>
        <v>59.120000000000005</v>
      </c>
      <c r="O947" s="81">
        <f>IFERROR(VLOOKUP($G947,'321買'!A:E,3,0),"'沒有資料'")</f>
        <v>13</v>
      </c>
      <c r="P947" s="380">
        <f>IFERROR(VLOOKUP($G947,'321買'!$A:$G,7,0),"'沒有資料'")</f>
        <v>348</v>
      </c>
      <c r="Q947" s="388" t="s">
        <v>3817</v>
      </c>
      <c r="R947" s="297">
        <f>IFERROR(RANK(VLOOKUP($G947,連買!$A:$D,4,0),連買!$D:$D,0),"'沒有資料'")</f>
        <v>230</v>
      </c>
      <c r="S947" s="45">
        <v>3</v>
      </c>
      <c r="T947" s="353">
        <f>S947/V947</f>
        <v>1.7647058823529412E-2</v>
      </c>
      <c r="U947" s="95">
        <v>5.96</v>
      </c>
      <c r="V947" s="36">
        <f>RTD("money.excel",,"3138","Price")</f>
        <v>170</v>
      </c>
      <c r="W947" s="66"/>
      <c r="X947" s="15">
        <f>V947-W947</f>
        <v>170</v>
      </c>
      <c r="Y947" s="3" t="e">
        <f>X947/W947</f>
        <v>#DIV/0!</v>
      </c>
      <c r="Z947" s="413" t="s">
        <v>6644</v>
      </c>
      <c r="AA947" s="161">
        <v>0</v>
      </c>
      <c r="AB947" s="409">
        <v>0</v>
      </c>
      <c r="AC947" s="259">
        <f t="shared" si="181"/>
        <v>0</v>
      </c>
      <c r="AD947" s="22" t="s">
        <v>2267</v>
      </c>
      <c r="AG947" s="33">
        <f>AF947-AE947</f>
        <v>0</v>
      </c>
      <c r="AH947" s="120" t="s">
        <v>4681</v>
      </c>
      <c r="AI947" s="63">
        <f t="shared" si="186"/>
        <v>6.7665952890792296E-3</v>
      </c>
      <c r="AJ947" s="307">
        <f>RTD("money.excel",,$G947,"PredictVolume")</f>
        <v>316</v>
      </c>
      <c r="AK947" s="339">
        <v>14.6</v>
      </c>
    </row>
    <row r="948" spans="1:37">
      <c r="A948" s="415">
        <v>6.9</v>
      </c>
      <c r="B948" s="79">
        <v>57</v>
      </c>
      <c r="C948" s="79">
        <v>59</v>
      </c>
      <c r="D948" s="80">
        <v>-13</v>
      </c>
      <c r="E948" s="80">
        <v>-18</v>
      </c>
      <c r="F948" s="57">
        <v>50.9</v>
      </c>
      <c r="G948" s="79">
        <v>3152</v>
      </c>
      <c r="H948" s="149" t="s">
        <v>313</v>
      </c>
      <c r="I948" s="16" t="s">
        <v>4682</v>
      </c>
      <c r="J948" s="73">
        <v>67.930000000000007</v>
      </c>
      <c r="K948" s="323">
        <v>10.39</v>
      </c>
      <c r="L948" s="73">
        <v>2.52</v>
      </c>
      <c r="M948" s="73">
        <v>47.18</v>
      </c>
      <c r="N948" s="318">
        <f t="shared" si="187"/>
        <v>128.02000000000001</v>
      </c>
      <c r="O948" s="81">
        <f>IFERROR(VLOOKUP($G948,'321買'!A:E,3,0),"'沒有資料'")</f>
        <v>9</v>
      </c>
      <c r="P948" s="380">
        <f>IFERROR(VLOOKUP($G948,'321買'!$A:$G,7,0),"'沒有資料'")</f>
        <v>448</v>
      </c>
      <c r="Q948" s="245" t="s">
        <v>3817</v>
      </c>
      <c r="R948" s="297">
        <f>IFERROR(RANK(VLOOKUP($G948,連買!$A:$D,4,0),連買!$D:$D,0),"'沒有資料'")</f>
        <v>1693</v>
      </c>
      <c r="S948" s="66">
        <v>10.8</v>
      </c>
      <c r="T948" s="353">
        <f t="shared" si="188"/>
        <v>4.2105263157894743E-2</v>
      </c>
      <c r="U948" s="57">
        <v>16.89</v>
      </c>
      <c r="V948" s="36">
        <f>RTD("money.excel",,"3152","Price")</f>
        <v>256.5</v>
      </c>
      <c r="W948" s="66"/>
      <c r="X948" s="15">
        <f t="shared" si="189"/>
        <v>256.5</v>
      </c>
      <c r="Y948" s="3" t="e">
        <f t="shared" si="190"/>
        <v>#DIV/0!</v>
      </c>
      <c r="Z948" s="413" t="s">
        <v>1997</v>
      </c>
      <c r="AA948" s="161">
        <v>0</v>
      </c>
      <c r="AB948" s="409">
        <v>0</v>
      </c>
      <c r="AC948" s="259">
        <f t="shared" si="181"/>
        <v>0</v>
      </c>
      <c r="AD948" s="16" t="s">
        <v>4682</v>
      </c>
      <c r="AG948" s="33">
        <f t="shared" si="191"/>
        <v>0</v>
      </c>
      <c r="AH948" s="120" t="s">
        <v>4683</v>
      </c>
      <c r="AI948" s="63">
        <f t="shared" si="186"/>
        <v>3.6231884057971015E-4</v>
      </c>
      <c r="AJ948" s="307">
        <f>RTD("money.excel",,$G948,"PredictVolume")</f>
        <v>25</v>
      </c>
      <c r="AK948" s="339"/>
    </row>
    <row r="949" spans="1:37">
      <c r="A949" s="416">
        <v>7.53</v>
      </c>
      <c r="B949" s="80">
        <v>-88</v>
      </c>
      <c r="C949" s="80">
        <v>-86</v>
      </c>
      <c r="D949" s="80">
        <v>-4</v>
      </c>
      <c r="E949" s="80">
        <v>-17</v>
      </c>
      <c r="F949" s="6">
        <v>3.08</v>
      </c>
      <c r="G949" s="79">
        <v>3163</v>
      </c>
      <c r="H949" s="8" t="s">
        <v>313</v>
      </c>
      <c r="I949" s="16" t="s">
        <v>4684</v>
      </c>
      <c r="J949" s="73">
        <v>15.24</v>
      </c>
      <c r="K949" s="73">
        <v>4.93</v>
      </c>
      <c r="L949" s="73">
        <v>24.64</v>
      </c>
      <c r="M949" s="323">
        <v>11.42</v>
      </c>
      <c r="N949" s="318">
        <f t="shared" si="187"/>
        <v>56.230000000000004</v>
      </c>
      <c r="O949" s="81">
        <f>IFERROR(VLOOKUP($G949,'321買'!A:E,3,0),"'沒有資料'")</f>
        <v>2</v>
      </c>
      <c r="P949" s="380">
        <f>IFERROR(VLOOKUP($G949,'321買'!$A:$G,7,0),"'沒有資料'")</f>
        <v>706</v>
      </c>
      <c r="Q949" s="245" t="s">
        <v>3817</v>
      </c>
      <c r="R949" s="297">
        <f>IFERROR(RANK(VLOOKUP($G949,連買!$A:$D,4,0),連買!$D:$D,0),"'沒有資料'")</f>
        <v>463</v>
      </c>
      <c r="S949" s="34">
        <v>2.5</v>
      </c>
      <c r="T949" s="353">
        <f t="shared" si="188"/>
        <v>5.2029136316337155E-2</v>
      </c>
      <c r="U949" s="95">
        <v>0.67</v>
      </c>
      <c r="V949" s="36">
        <f>RTD("money.excel",,"3163","Price")</f>
        <v>48.05</v>
      </c>
      <c r="W949" s="66"/>
      <c r="X949" s="15">
        <f t="shared" si="189"/>
        <v>48.05</v>
      </c>
      <c r="Y949" s="3" t="e">
        <f t="shared" si="190"/>
        <v>#DIV/0!</v>
      </c>
      <c r="Z949" s="413" t="s">
        <v>1801</v>
      </c>
      <c r="AA949" s="161">
        <v>0</v>
      </c>
      <c r="AB949" s="409">
        <v>0</v>
      </c>
      <c r="AC949" s="259">
        <f t="shared" si="181"/>
        <v>0</v>
      </c>
      <c r="AD949" s="16" t="s">
        <v>4684</v>
      </c>
      <c r="AG949" s="33">
        <f t="shared" si="191"/>
        <v>0</v>
      </c>
      <c r="AH949" s="43" t="s">
        <v>4685</v>
      </c>
      <c r="AI949" s="63">
        <f t="shared" si="186"/>
        <v>9.3891102257636118E-3</v>
      </c>
      <c r="AJ949" s="307">
        <f>RTD("money.excel",,$G949,"PredictVolume")</f>
        <v>707</v>
      </c>
      <c r="AK949" s="339"/>
    </row>
    <row r="950" spans="1:37">
      <c r="A950" s="416">
        <v>10.3</v>
      </c>
      <c r="B950" s="91">
        <v>-112</v>
      </c>
      <c r="C950" s="91">
        <v>-50</v>
      </c>
      <c r="D950" s="91">
        <v>24</v>
      </c>
      <c r="E950" s="91">
        <v>26</v>
      </c>
      <c r="F950" s="6">
        <v>2.57</v>
      </c>
      <c r="G950" s="79">
        <v>3221</v>
      </c>
      <c r="H950" s="8" t="s">
        <v>313</v>
      </c>
      <c r="I950" s="16" t="s">
        <v>4686</v>
      </c>
      <c r="J950" s="323">
        <v>45.79</v>
      </c>
      <c r="K950" s="323">
        <v>4.37</v>
      </c>
      <c r="L950" s="73">
        <v>32.880000000000003</v>
      </c>
      <c r="N950" s="318">
        <f t="shared" si="187"/>
        <v>83.039999999999992</v>
      </c>
      <c r="O950" s="81">
        <f>IFERROR(VLOOKUP($G950,'321買'!A:E,3,0),"'沒有資料'")</f>
        <v>40</v>
      </c>
      <c r="P950" s="380">
        <f>IFERROR(VLOOKUP($G950,'321買'!$A:$G,7,0),"'沒有資料'")</f>
        <v>113</v>
      </c>
      <c r="R950" s="297">
        <f>IFERROR(RANK(VLOOKUP($G950,連買!$A:$D,4,0),連買!$D:$D,0),"'沒有資料'")</f>
        <v>1331</v>
      </c>
      <c r="S950" s="34">
        <v>0.2</v>
      </c>
      <c r="T950" s="353">
        <f t="shared" si="188"/>
        <v>5.9435364041604761E-3</v>
      </c>
      <c r="U950" s="95">
        <v>-0.69</v>
      </c>
      <c r="V950" s="36">
        <f>RTD("money.excel",,"3221","Price")</f>
        <v>33.65</v>
      </c>
      <c r="W950" s="66"/>
      <c r="X950" s="15">
        <f t="shared" si="189"/>
        <v>33.65</v>
      </c>
      <c r="Y950" s="3" t="e">
        <f t="shared" si="190"/>
        <v>#DIV/0!</v>
      </c>
      <c r="Z950" s="413" t="s">
        <v>1801</v>
      </c>
      <c r="AA950" s="161">
        <v>0</v>
      </c>
      <c r="AB950" s="409">
        <v>0</v>
      </c>
      <c r="AC950" s="259">
        <f t="shared" si="181"/>
        <v>0</v>
      </c>
      <c r="AD950" s="16" t="s">
        <v>4686</v>
      </c>
      <c r="AG950" s="33">
        <f t="shared" si="191"/>
        <v>0</v>
      </c>
      <c r="AH950" s="43" t="s">
        <v>4687</v>
      </c>
      <c r="AI950" s="63">
        <f t="shared" si="186"/>
        <v>5.0582524271844658E-3</v>
      </c>
      <c r="AJ950" s="307">
        <f>RTD("money.excel",,$G950,"PredictVolume")</f>
        <v>521</v>
      </c>
      <c r="AK950" s="339"/>
    </row>
    <row r="951" spans="1:37">
      <c r="A951" s="416">
        <v>7.65</v>
      </c>
      <c r="B951" s="79">
        <v>100</v>
      </c>
      <c r="C951" s="79">
        <v>113</v>
      </c>
      <c r="D951" s="79">
        <v>1</v>
      </c>
      <c r="E951" s="80">
        <v>-6</v>
      </c>
      <c r="F951" s="6">
        <v>2.77</v>
      </c>
      <c r="G951" s="79">
        <v>3234</v>
      </c>
      <c r="H951" s="8" t="s">
        <v>313</v>
      </c>
      <c r="I951" s="16" t="s">
        <v>4688</v>
      </c>
      <c r="J951" s="73">
        <v>10.16</v>
      </c>
      <c r="K951" s="73">
        <v>4.5</v>
      </c>
      <c r="L951" s="73">
        <v>35.31</v>
      </c>
      <c r="N951" s="318">
        <f t="shared" si="187"/>
        <v>49.97</v>
      </c>
      <c r="O951" s="81">
        <f>IFERROR(VLOOKUP($G951,'321買'!A:E,3,0),"'沒有資料'")</f>
        <v>5</v>
      </c>
      <c r="P951" s="380">
        <f>IFERROR(VLOOKUP($G951,'321買'!$A:$G,7,0),"'沒有資料'")</f>
        <v>558</v>
      </c>
      <c r="R951" s="297">
        <f>IFERROR(RANK(VLOOKUP($G951,連買!$A:$D,4,0),連買!$D:$D,0),"'沒有資料'")</f>
        <v>876</v>
      </c>
      <c r="S951" s="34">
        <v>0</v>
      </c>
      <c r="T951" s="353">
        <f t="shared" si="188"/>
        <v>0</v>
      </c>
      <c r="U951" s="95">
        <v>0.1</v>
      </c>
      <c r="V951" s="36">
        <f>RTD("money.excel",,"3234","Price")</f>
        <v>22.8</v>
      </c>
      <c r="W951" s="66"/>
      <c r="X951" s="15">
        <f t="shared" si="189"/>
        <v>22.8</v>
      </c>
      <c r="Y951" s="3" t="e">
        <f t="shared" si="190"/>
        <v>#DIV/0!</v>
      </c>
      <c r="Z951" s="413" t="s">
        <v>1801</v>
      </c>
      <c r="AA951" s="161">
        <v>0</v>
      </c>
      <c r="AB951" s="409">
        <v>0</v>
      </c>
      <c r="AC951" s="259">
        <f t="shared" si="181"/>
        <v>0</v>
      </c>
      <c r="AD951" s="16" t="s">
        <v>4688</v>
      </c>
      <c r="AG951" s="33">
        <f t="shared" si="191"/>
        <v>0</v>
      </c>
      <c r="AH951" s="120" t="s">
        <v>4689</v>
      </c>
      <c r="AI951" s="63">
        <f t="shared" si="186"/>
        <v>1.4509803921568627E-3</v>
      </c>
      <c r="AJ951" s="307">
        <f>RTD("money.excel",,$G951,"PredictVolume")</f>
        <v>111</v>
      </c>
      <c r="AK951" s="339"/>
    </row>
    <row r="952" spans="1:37">
      <c r="A952" s="416">
        <v>5.0599999999999996</v>
      </c>
      <c r="B952" s="91">
        <v>-59</v>
      </c>
      <c r="C952" s="91">
        <v>-232</v>
      </c>
      <c r="D952" s="91">
        <v>-5</v>
      </c>
      <c r="E952" s="91">
        <v>-35</v>
      </c>
      <c r="F952" s="6">
        <v>-1.93</v>
      </c>
      <c r="G952" s="79">
        <v>3306</v>
      </c>
      <c r="H952" s="8" t="s">
        <v>313</v>
      </c>
      <c r="I952" s="16" t="s">
        <v>4690</v>
      </c>
      <c r="J952" s="73">
        <v>58.3</v>
      </c>
      <c r="K952" s="73">
        <v>0.15</v>
      </c>
      <c r="L952" s="73">
        <v>4.16</v>
      </c>
      <c r="N952" s="318">
        <f t="shared" si="187"/>
        <v>62.61</v>
      </c>
      <c r="O952" s="81">
        <f>IFERROR(VLOOKUP($G952,'321買'!A:E,3,0),"'沒有資料'")</f>
        <v>15</v>
      </c>
      <c r="P952" s="380">
        <f>IFERROR(VLOOKUP($G952,'321買'!$A:$G,7,0),"'沒有資料'")</f>
        <v>321</v>
      </c>
      <c r="R952" s="297">
        <f>IFERROR(RANK(VLOOKUP($G952,連買!$A:$D,4,0),連買!$D:$D,0),"'沒有資料'")</f>
        <v>694</v>
      </c>
      <c r="S952" s="34">
        <v>0.5</v>
      </c>
      <c r="T952" s="353">
        <f t="shared" si="188"/>
        <v>1.9646365422396856E-2</v>
      </c>
      <c r="U952" s="95">
        <v>0.35</v>
      </c>
      <c r="V952" s="13">
        <f>RTD("money.excel",,"3306","Price")</f>
        <v>25.45</v>
      </c>
      <c r="W952" s="66"/>
      <c r="X952" s="15">
        <f t="shared" si="189"/>
        <v>25.45</v>
      </c>
      <c r="Y952" s="3" t="e">
        <f t="shared" si="190"/>
        <v>#DIV/0!</v>
      </c>
      <c r="AA952" s="161">
        <v>0</v>
      </c>
      <c r="AB952" s="409">
        <v>0</v>
      </c>
      <c r="AC952" s="259">
        <f t="shared" si="181"/>
        <v>0</v>
      </c>
      <c r="AD952" s="16" t="s">
        <v>4690</v>
      </c>
      <c r="AG952" s="33">
        <f t="shared" si="191"/>
        <v>0</v>
      </c>
      <c r="AH952" s="43" t="s">
        <v>4691</v>
      </c>
      <c r="AI952" s="63">
        <f t="shared" si="186"/>
        <v>1.5415019762845851E-3</v>
      </c>
      <c r="AJ952" s="307">
        <f>RTD("money.excel",,$G952,"PredictVolume")</f>
        <v>78</v>
      </c>
      <c r="AK952" s="339"/>
    </row>
    <row r="953" spans="1:37">
      <c r="A953" s="416">
        <v>6</v>
      </c>
      <c r="B953" s="80">
        <v>-877</v>
      </c>
      <c r="C953" s="80">
        <v>-121</v>
      </c>
      <c r="D953" s="80">
        <v>-4</v>
      </c>
      <c r="E953" s="80">
        <v>-26</v>
      </c>
      <c r="F953" s="6">
        <v>-17.37</v>
      </c>
      <c r="G953" s="79">
        <v>3311</v>
      </c>
      <c r="H953" s="8" t="s">
        <v>313</v>
      </c>
      <c r="I953" s="22" t="s">
        <v>4692</v>
      </c>
      <c r="J953" s="73">
        <v>40.24</v>
      </c>
      <c r="K953" s="73">
        <v>2.27</v>
      </c>
      <c r="L953" s="73">
        <v>11.46</v>
      </c>
      <c r="N953" s="318">
        <f t="shared" si="187"/>
        <v>53.970000000000006</v>
      </c>
      <c r="O953" s="81">
        <f>IFERROR(VLOOKUP($G953,'321買'!A:E,3,0),"'沒有資料'")</f>
        <v>0</v>
      </c>
      <c r="P953" s="380">
        <f>IFERROR(VLOOKUP($G953,'321買'!$A:$G,7,0),"'沒有資料'")</f>
        <v>911</v>
      </c>
      <c r="R953" s="297">
        <f>IFERROR(RANK(VLOOKUP($G953,連買!$A:$D,4,0),連買!$D:$D,0),"'沒有資料'")</f>
        <v>735</v>
      </c>
      <c r="S953" s="34">
        <v>0</v>
      </c>
      <c r="T953" s="353">
        <f t="shared" si="188"/>
        <v>0</v>
      </c>
      <c r="U953" s="95">
        <v>-6.1</v>
      </c>
      <c r="V953" s="36">
        <f>RTD("money.excel",,"3311","Price")</f>
        <v>33.15</v>
      </c>
      <c r="W953" s="66"/>
      <c r="X953" s="15">
        <f t="shared" si="189"/>
        <v>33.15</v>
      </c>
      <c r="Y953" s="3" t="e">
        <f t="shared" si="190"/>
        <v>#DIV/0!</v>
      </c>
      <c r="Z953" s="413" t="s">
        <v>1801</v>
      </c>
      <c r="AA953" s="161">
        <v>0</v>
      </c>
      <c r="AB953" s="409">
        <v>0</v>
      </c>
      <c r="AC953" s="259">
        <f t="shared" si="181"/>
        <v>0</v>
      </c>
      <c r="AD953" s="22" t="s">
        <v>4692</v>
      </c>
      <c r="AG953" s="33">
        <f t="shared" si="191"/>
        <v>0</v>
      </c>
      <c r="AH953" s="43" t="s">
        <v>4693</v>
      </c>
      <c r="AI953" s="63">
        <f t="shared" si="186"/>
        <v>8.9999999999999998E-4</v>
      </c>
      <c r="AJ953" s="307">
        <f>RTD("money.excel",,$G953,"PredictVolume")</f>
        <v>54</v>
      </c>
      <c r="AK953" s="339"/>
    </row>
    <row r="954" spans="1:37">
      <c r="A954" s="416">
        <v>8.7100000000000009</v>
      </c>
      <c r="B954" s="79">
        <v>38</v>
      </c>
      <c r="C954" s="79">
        <v>70</v>
      </c>
      <c r="D954" s="80">
        <v>-4</v>
      </c>
      <c r="E954" s="80">
        <v>-29</v>
      </c>
      <c r="F954" s="6">
        <v>7.83</v>
      </c>
      <c r="G954" s="79">
        <v>3363</v>
      </c>
      <c r="H954" s="8" t="s">
        <v>313</v>
      </c>
      <c r="I954" s="16" t="s">
        <v>4694</v>
      </c>
      <c r="J954" s="73">
        <v>39.21</v>
      </c>
      <c r="K954" s="73">
        <v>3.82</v>
      </c>
      <c r="L954" s="73">
        <v>37.03</v>
      </c>
      <c r="N954" s="318">
        <f t="shared" si="187"/>
        <v>80.06</v>
      </c>
      <c r="O954" s="81">
        <f>IFERROR(VLOOKUP($G954,'321買'!A:E,3,0),"'沒有資料'")</f>
        <v>21</v>
      </c>
      <c r="P954" s="380">
        <f>IFERROR(VLOOKUP($G954,'321買'!$A:$G,7,0),"'沒有資料'")</f>
        <v>258</v>
      </c>
      <c r="R954" s="297">
        <f>IFERROR(RANK(VLOOKUP($G954,連買!$A:$D,4,0),連買!$D:$D,0),"'沒有資料'")</f>
        <v>1457</v>
      </c>
      <c r="S954" s="34">
        <v>1</v>
      </c>
      <c r="T954" s="353">
        <f t="shared" si="188"/>
        <v>3.5398230088495575E-2</v>
      </c>
      <c r="U954" s="95">
        <v>1.1000000000000001</v>
      </c>
      <c r="V954" s="36">
        <f>RTD("money.excel",,"3363","Price")</f>
        <v>28.25</v>
      </c>
      <c r="W954" s="66"/>
      <c r="X954" s="15">
        <f t="shared" si="189"/>
        <v>28.25</v>
      </c>
      <c r="Y954" s="3" t="e">
        <f t="shared" si="190"/>
        <v>#DIV/0!</v>
      </c>
      <c r="AA954" s="161">
        <v>0</v>
      </c>
      <c r="AB954" s="409">
        <v>0</v>
      </c>
      <c r="AC954" s="259">
        <f t="shared" si="181"/>
        <v>0</v>
      </c>
      <c r="AD954" s="16" t="s">
        <v>4694</v>
      </c>
      <c r="AG954" s="33">
        <f t="shared" si="191"/>
        <v>0</v>
      </c>
      <c r="AH954" s="43" t="s">
        <v>4695</v>
      </c>
      <c r="AI954" s="63">
        <f t="shared" si="186"/>
        <v>2.6061997703788744E-3</v>
      </c>
      <c r="AJ954" s="307">
        <f>RTD("money.excel",,$G954,"PredictVolume")</f>
        <v>227</v>
      </c>
      <c r="AK954" s="339"/>
    </row>
    <row r="955" spans="1:37">
      <c r="A955" s="416">
        <v>54.1</v>
      </c>
      <c r="B955" s="79">
        <v>82</v>
      </c>
      <c r="C955" s="79">
        <v>99</v>
      </c>
      <c r="D955" s="80">
        <v>-24</v>
      </c>
      <c r="E955" s="80">
        <v>-31</v>
      </c>
      <c r="F955" s="6">
        <v>2.23</v>
      </c>
      <c r="G955" s="79">
        <v>3380</v>
      </c>
      <c r="H955" s="8" t="s">
        <v>313</v>
      </c>
      <c r="I955" s="22" t="s">
        <v>4696</v>
      </c>
      <c r="J955" s="323">
        <v>68.34</v>
      </c>
      <c r="K955" s="323">
        <v>4.0199999999999996</v>
      </c>
      <c r="L955" s="323">
        <v>4.62</v>
      </c>
      <c r="N955" s="318">
        <f t="shared" si="187"/>
        <v>76.98</v>
      </c>
      <c r="O955" s="81">
        <f>IFERROR(VLOOKUP($G955,'321買'!A:E,3,0),"'沒有資料'")</f>
        <v>0</v>
      </c>
      <c r="P955" s="380">
        <f>IFERROR(VLOOKUP($G955,'321買'!$A:$G,7,0),"'沒有資料'")</f>
        <v>911</v>
      </c>
      <c r="R955" s="297">
        <f>IFERROR(RANK(VLOOKUP($G955,連買!$A:$D,4,0),連買!$D:$D,0),"'沒有資料'")</f>
        <v>599</v>
      </c>
      <c r="S955" s="34">
        <v>1</v>
      </c>
      <c r="T955" s="353">
        <f t="shared" si="188"/>
        <v>3.3613445378151259E-2</v>
      </c>
      <c r="U955" s="57">
        <v>1.3</v>
      </c>
      <c r="V955" s="36">
        <f>RTD("money.excel",,"3380","Price")</f>
        <v>29.75</v>
      </c>
      <c r="W955" s="66"/>
      <c r="X955" s="15">
        <f t="shared" si="189"/>
        <v>29.75</v>
      </c>
      <c r="Y955" s="3" t="e">
        <f t="shared" si="190"/>
        <v>#DIV/0!</v>
      </c>
      <c r="Z955" s="413" t="s">
        <v>1801</v>
      </c>
      <c r="AA955" s="161">
        <v>0</v>
      </c>
      <c r="AB955" s="409">
        <v>0</v>
      </c>
      <c r="AC955" s="259">
        <f t="shared" si="181"/>
        <v>0</v>
      </c>
      <c r="AD955" s="22" t="s">
        <v>4696</v>
      </c>
      <c r="AG955" s="33">
        <f t="shared" si="191"/>
        <v>0</v>
      </c>
      <c r="AH955" s="120" t="s">
        <v>4651</v>
      </c>
      <c r="AI955" s="63">
        <f t="shared" si="186"/>
        <v>1.8484288354898336E-3</v>
      </c>
      <c r="AJ955" s="307">
        <f>RTD("money.excel",,$G955,"PredictVolume")</f>
        <v>1000</v>
      </c>
      <c r="AK955" s="339"/>
    </row>
    <row r="956" spans="1:37">
      <c r="A956" s="416">
        <v>12</v>
      </c>
      <c r="B956" s="91">
        <v>317</v>
      </c>
      <c r="C956" s="91">
        <v>101</v>
      </c>
      <c r="D956" s="91">
        <v>1</v>
      </c>
      <c r="E956" s="91">
        <v>34</v>
      </c>
      <c r="F956" s="6">
        <v>0.14000000000000001</v>
      </c>
      <c r="G956" s="79">
        <v>3419</v>
      </c>
      <c r="H956" s="8" t="s">
        <v>313</v>
      </c>
      <c r="I956" s="22" t="s">
        <v>4697</v>
      </c>
      <c r="J956" s="73">
        <v>45.81</v>
      </c>
      <c r="K956" s="73">
        <v>7.04</v>
      </c>
      <c r="L956" s="73">
        <v>37.729999999999997</v>
      </c>
      <c r="N956" s="318">
        <f t="shared" si="187"/>
        <v>90.58</v>
      </c>
      <c r="O956" s="81">
        <f>IFERROR(VLOOKUP($G956,'321買'!A:E,3,0),"'沒有資料'")</f>
        <v>18</v>
      </c>
      <c r="P956" s="380">
        <f>IFERROR(VLOOKUP($G956,'321買'!$A:$G,7,0),"'沒有資料'")</f>
        <v>290</v>
      </c>
      <c r="R956" s="297">
        <f>IFERROR(RANK(VLOOKUP($G956,連買!$A:$D,4,0),連買!$D:$D,0),"'沒有資料'")</f>
        <v>1503</v>
      </c>
      <c r="S956" s="34">
        <v>0.5</v>
      </c>
      <c r="T956" s="353">
        <f t="shared" si="188"/>
        <v>2.652519893899204E-2</v>
      </c>
      <c r="U956" s="95">
        <v>0.61</v>
      </c>
      <c r="V956" s="36">
        <f>RTD("money.excel",,"3419","Price")</f>
        <v>18.850000000000001</v>
      </c>
      <c r="W956" s="66"/>
      <c r="X956" s="15">
        <f t="shared" si="189"/>
        <v>18.850000000000001</v>
      </c>
      <c r="Y956" s="3" t="e">
        <f t="shared" si="190"/>
        <v>#DIV/0!</v>
      </c>
      <c r="Z956" s="413" t="s">
        <v>1801</v>
      </c>
      <c r="AA956" s="161">
        <v>0</v>
      </c>
      <c r="AB956" s="409">
        <v>0</v>
      </c>
      <c r="AC956" s="259">
        <f t="shared" si="181"/>
        <v>0</v>
      </c>
      <c r="AD956" s="22" t="s">
        <v>4697</v>
      </c>
      <c r="AG956" s="33">
        <f t="shared" si="191"/>
        <v>0</v>
      </c>
      <c r="AH956" s="122" t="s">
        <v>4681</v>
      </c>
      <c r="AI956" s="63">
        <f t="shared" si="186"/>
        <v>4.9583333333333337E-3</v>
      </c>
      <c r="AJ956" s="307">
        <f>RTD("money.excel",,$G956,"PredictVolume")</f>
        <v>595</v>
      </c>
      <c r="AK956" s="339"/>
    </row>
    <row r="957" spans="1:37">
      <c r="A957" s="416">
        <v>6.09</v>
      </c>
      <c r="B957" s="79">
        <v>55</v>
      </c>
      <c r="C957" s="79">
        <v>8</v>
      </c>
      <c r="D957" s="79">
        <v>45</v>
      </c>
      <c r="E957" s="79">
        <v>31</v>
      </c>
      <c r="F957" s="6">
        <v>-7.07</v>
      </c>
      <c r="G957" s="79">
        <v>3466</v>
      </c>
      <c r="H957" s="8" t="s">
        <v>313</v>
      </c>
      <c r="I957" s="16" t="s">
        <v>4698</v>
      </c>
      <c r="J957" s="323">
        <v>37.659999999999997</v>
      </c>
      <c r="K957" s="323">
        <v>8.7799999999999994</v>
      </c>
      <c r="L957" s="323">
        <v>12.76</v>
      </c>
      <c r="M957" s="323">
        <v>17.7</v>
      </c>
      <c r="N957" s="318">
        <f t="shared" si="187"/>
        <v>76.899999999999991</v>
      </c>
      <c r="O957" s="81">
        <f>IFERROR(VLOOKUP($G957,'321買'!A:E,3,0),"'沒有資料'")</f>
        <v>9</v>
      </c>
      <c r="P957" s="380">
        <f>IFERROR(VLOOKUP($G957,'321買'!$A:$G,7,0),"'沒有資料'")</f>
        <v>448</v>
      </c>
      <c r="Q957" s="245" t="s">
        <v>3815</v>
      </c>
      <c r="R957" s="297">
        <f>IFERROR(RANK(VLOOKUP($G957,連買!$A:$D,4,0),連買!$D:$D,0),"'沒有資料'")</f>
        <v>961</v>
      </c>
      <c r="S957" s="34">
        <v>0</v>
      </c>
      <c r="T957" s="353">
        <f t="shared" si="188"/>
        <v>0</v>
      </c>
      <c r="U957" s="95">
        <v>-1.37</v>
      </c>
      <c r="V957" s="36">
        <f>RTD("money.excel",,"3466","Price")</f>
        <v>17.55</v>
      </c>
      <c r="W957" s="66"/>
      <c r="X957" s="15">
        <f t="shared" si="189"/>
        <v>17.55</v>
      </c>
      <c r="Y957" s="3" t="e">
        <f t="shared" si="190"/>
        <v>#DIV/0!</v>
      </c>
      <c r="Z957" s="413" t="s">
        <v>1801</v>
      </c>
      <c r="AA957" s="161">
        <v>0</v>
      </c>
      <c r="AB957" s="409">
        <v>0</v>
      </c>
      <c r="AC957" s="259">
        <f t="shared" si="181"/>
        <v>0</v>
      </c>
      <c r="AD957" s="16" t="s">
        <v>4698</v>
      </c>
      <c r="AG957" s="33">
        <f t="shared" si="191"/>
        <v>0</v>
      </c>
      <c r="AH957" s="43" t="s">
        <v>4699</v>
      </c>
      <c r="AI957" s="63">
        <f t="shared" si="186"/>
        <v>5.6650246305418716E-3</v>
      </c>
      <c r="AJ957" s="307">
        <f>RTD("money.excel",,$G957,"PredictVolume")</f>
        <v>345</v>
      </c>
      <c r="AK957" s="339"/>
    </row>
    <row r="958" spans="1:37">
      <c r="A958" s="415">
        <v>6.22</v>
      </c>
      <c r="B958" s="79">
        <v>80</v>
      </c>
      <c r="C958" s="79">
        <v>24</v>
      </c>
      <c r="D958" s="79">
        <v>60</v>
      </c>
      <c r="E958" s="79">
        <v>29</v>
      </c>
      <c r="F958" s="57">
        <v>12.59</v>
      </c>
      <c r="G958" s="79">
        <v>3491</v>
      </c>
      <c r="H958" s="8" t="s">
        <v>313</v>
      </c>
      <c r="I958" s="16" t="s">
        <v>4700</v>
      </c>
      <c r="J958" s="73">
        <v>37.549999999999997</v>
      </c>
      <c r="K958" s="323">
        <v>16.63</v>
      </c>
      <c r="L958" s="73">
        <v>38.07</v>
      </c>
      <c r="M958" s="323">
        <v>10.39</v>
      </c>
      <c r="N958" s="318">
        <f t="shared" si="187"/>
        <v>102.64</v>
      </c>
      <c r="O958" s="81">
        <f>IFERROR(VLOOKUP($G958,'321買'!A:E,3,0),"'沒有資料'")</f>
        <v>60</v>
      </c>
      <c r="P958" s="380">
        <f>IFERROR(VLOOKUP($G958,'321買'!$A:$G,7,0),"'沒有資料'")</f>
        <v>38</v>
      </c>
      <c r="Q958" s="245" t="s">
        <v>5063</v>
      </c>
      <c r="R958" s="297">
        <f>IFERROR(RANK(VLOOKUP($G958,連買!$A:$D,4,0),連買!$D:$D,0),"'沒有資料'")</f>
        <v>77</v>
      </c>
      <c r="S958" s="45">
        <v>4</v>
      </c>
      <c r="T958" s="353">
        <f t="shared" si="188"/>
        <v>2.197802197802198E-2</v>
      </c>
      <c r="U958" s="95">
        <v>3.81</v>
      </c>
      <c r="V958" s="36">
        <f>RTD("money.excel",,"3491","Price")</f>
        <v>182</v>
      </c>
      <c r="W958" s="66"/>
      <c r="X958" s="15">
        <f t="shared" si="189"/>
        <v>182</v>
      </c>
      <c r="Y958" s="3" t="e">
        <f t="shared" si="190"/>
        <v>#DIV/0!</v>
      </c>
      <c r="Z958" s="413" t="s">
        <v>8644</v>
      </c>
      <c r="AA958" s="161">
        <v>0</v>
      </c>
      <c r="AB958" s="409">
        <v>0</v>
      </c>
      <c r="AC958" s="259">
        <f t="shared" si="181"/>
        <v>0</v>
      </c>
      <c r="AD958" s="16" t="s">
        <v>4700</v>
      </c>
      <c r="AG958" s="33">
        <f t="shared" si="191"/>
        <v>0</v>
      </c>
      <c r="AH958" s="120" t="s">
        <v>4701</v>
      </c>
      <c r="AI958" s="63">
        <f t="shared" si="186"/>
        <v>4.0739549839228298E-2</v>
      </c>
      <c r="AJ958" s="307">
        <f>RTD("money.excel",,$G958,"PredictVolume")</f>
        <v>2534</v>
      </c>
      <c r="AK958" s="339">
        <v>37.909999999999997</v>
      </c>
    </row>
    <row r="959" spans="1:37">
      <c r="A959" s="416">
        <v>5.5</v>
      </c>
      <c r="B959" s="79">
        <v>63</v>
      </c>
      <c r="C959" s="80">
        <v>-8</v>
      </c>
      <c r="D959" s="79">
        <v>20</v>
      </c>
      <c r="E959" s="79">
        <v>5</v>
      </c>
      <c r="F959" s="6">
        <v>-13.68</v>
      </c>
      <c r="G959" s="79">
        <v>3499</v>
      </c>
      <c r="H959" s="8" t="s">
        <v>313</v>
      </c>
      <c r="I959" s="16" t="s">
        <v>4702</v>
      </c>
      <c r="J959" s="323">
        <v>41.45</v>
      </c>
      <c r="K959" s="73">
        <v>1.72</v>
      </c>
      <c r="L959" s="73">
        <v>23.37</v>
      </c>
      <c r="M959" s="323">
        <v>27.63</v>
      </c>
      <c r="N959" s="318">
        <f t="shared" si="187"/>
        <v>94.17</v>
      </c>
      <c r="O959" s="81">
        <f>IFERROR(VLOOKUP($G959,'321買'!A:E,3,0),"'沒有資料'")</f>
        <v>16</v>
      </c>
      <c r="P959" s="380">
        <f>IFERROR(VLOOKUP($G959,'321買'!$A:$G,7,0),"'沒有資料'")</f>
        <v>290</v>
      </c>
      <c r="Q959" s="245" t="s">
        <v>5088</v>
      </c>
      <c r="R959" s="297">
        <f>IFERROR(RANK(VLOOKUP($G959,連買!$A:$D,4,0),連買!$D:$D,0),"'沒有資料'")</f>
        <v>1236</v>
      </c>
      <c r="S959" s="34">
        <v>0</v>
      </c>
      <c r="T959" s="353">
        <f t="shared" si="188"/>
        <v>0</v>
      </c>
      <c r="U959" s="95">
        <v>-0.06</v>
      </c>
      <c r="V959" s="36">
        <f>RTD("money.excel",,"3499","Price")</f>
        <v>20.7</v>
      </c>
      <c r="W959" s="66"/>
      <c r="X959" s="15">
        <f t="shared" si="189"/>
        <v>20.7</v>
      </c>
      <c r="Y959" s="3" t="e">
        <f t="shared" si="190"/>
        <v>#DIV/0!</v>
      </c>
      <c r="AA959" s="161">
        <v>0</v>
      </c>
      <c r="AB959" s="409">
        <v>0</v>
      </c>
      <c r="AC959" s="259">
        <f t="shared" si="181"/>
        <v>0</v>
      </c>
      <c r="AD959" s="16" t="s">
        <v>4702</v>
      </c>
      <c r="AG959" s="33">
        <f t="shared" si="191"/>
        <v>0</v>
      </c>
      <c r="AH959" s="43" t="s">
        <v>4703</v>
      </c>
      <c r="AI959" s="63">
        <f t="shared" si="186"/>
        <v>6.1272727272727269E-3</v>
      </c>
      <c r="AJ959" s="307">
        <f>RTD("money.excel",,$G959,"PredictVolume")</f>
        <v>337</v>
      </c>
      <c r="AK959" s="339">
        <v>69.86</v>
      </c>
    </row>
    <row r="960" spans="1:37">
      <c r="A960" s="416">
        <v>4.91</v>
      </c>
      <c r="B960" s="79">
        <v>16</v>
      </c>
      <c r="C960" s="79">
        <v>0</v>
      </c>
      <c r="D960" s="79">
        <v>25</v>
      </c>
      <c r="E960" s="79">
        <v>10</v>
      </c>
      <c r="F960" s="6">
        <v>5.41</v>
      </c>
      <c r="G960" s="79">
        <v>3558</v>
      </c>
      <c r="H960" s="8" t="s">
        <v>313</v>
      </c>
      <c r="I960" s="16" t="s">
        <v>4705</v>
      </c>
      <c r="J960" s="73">
        <v>45.85</v>
      </c>
      <c r="K960" s="73">
        <v>6.87</v>
      </c>
      <c r="L960" s="73">
        <v>10.85</v>
      </c>
      <c r="M960" s="323">
        <v>40.380000000000003</v>
      </c>
      <c r="N960" s="318">
        <f t="shared" si="187"/>
        <v>103.95</v>
      </c>
      <c r="O960" s="81">
        <f>IFERROR(VLOOKUP($G960,'321買'!A:E,3,0),"'沒有資料'")</f>
        <v>11</v>
      </c>
      <c r="P960" s="380">
        <f>IFERROR(VLOOKUP($G960,'321買'!$A:$G,7,0),"'沒有資料'")</f>
        <v>290</v>
      </c>
      <c r="Q960" s="245" t="s">
        <v>5088</v>
      </c>
      <c r="R960" s="297">
        <f>IFERROR(RANK(VLOOKUP($G960,連買!$A:$D,4,0),連買!$D:$D,0),"'沒有資料'")</f>
        <v>131</v>
      </c>
      <c r="S960" s="66">
        <v>4</v>
      </c>
      <c r="T960" s="353">
        <f t="shared" ref="T960:T991" si="192">S960/V960</f>
        <v>2.0997375328083989E-2</v>
      </c>
      <c r="U960" s="95">
        <v>8.49</v>
      </c>
      <c r="V960" s="36">
        <f>RTD("money.excel",,"3558","Price")</f>
        <v>190.5</v>
      </c>
      <c r="W960" s="66"/>
      <c r="X960" s="15">
        <f t="shared" si="189"/>
        <v>190.5</v>
      </c>
      <c r="Y960" s="3" t="e">
        <f t="shared" si="190"/>
        <v>#DIV/0!</v>
      </c>
      <c r="Z960" s="413" t="s">
        <v>1997</v>
      </c>
      <c r="AA960" s="161">
        <v>0</v>
      </c>
      <c r="AB960" s="409">
        <v>0</v>
      </c>
      <c r="AC960" s="259">
        <f t="shared" si="181"/>
        <v>0</v>
      </c>
      <c r="AD960" s="16" t="s">
        <v>4705</v>
      </c>
      <c r="AG960" s="33">
        <f t="shared" si="191"/>
        <v>0</v>
      </c>
      <c r="AH960" s="120" t="s">
        <v>4706</v>
      </c>
      <c r="AI960" s="63">
        <f t="shared" ref="AI960:AI991" si="193">AJ960/(A960*10000)</f>
        <v>0.1224439918533605</v>
      </c>
      <c r="AJ960" s="307">
        <f>RTD("money.excel",,$G960,"PredictVolume")</f>
        <v>6012</v>
      </c>
      <c r="AK960" s="339"/>
    </row>
    <row r="961" spans="1:37">
      <c r="A961" s="416">
        <v>5.91</v>
      </c>
      <c r="B961" s="91">
        <v>41</v>
      </c>
      <c r="C961" s="91">
        <v>27</v>
      </c>
      <c r="D961" s="91">
        <v>-46</v>
      </c>
      <c r="E961" s="91">
        <v>-30</v>
      </c>
      <c r="F961" s="6">
        <v>2.84</v>
      </c>
      <c r="G961" s="79">
        <v>3564</v>
      </c>
      <c r="H961" s="8" t="s">
        <v>313</v>
      </c>
      <c r="I961" s="16" t="s">
        <v>4707</v>
      </c>
      <c r="J961" s="73">
        <v>51.72</v>
      </c>
      <c r="K961" s="73">
        <v>4.84</v>
      </c>
      <c r="N961" s="318">
        <f t="shared" si="187"/>
        <v>56.56</v>
      </c>
      <c r="O961" s="81" t="str">
        <f>IFERROR(VLOOKUP($G961,'321買'!A:E,3,0),"'沒有資料'")</f>
        <v>'沒有資料'</v>
      </c>
      <c r="P961" s="380" t="str">
        <f>IFERROR(VLOOKUP($G961,'321買'!$A:$G,7,0),"'沒有資料'")</f>
        <v>'沒有資料'</v>
      </c>
      <c r="R961" s="297">
        <f>IFERROR(RANK(VLOOKUP($G961,連買!$A:$D,4,0),連買!$D:$D,0),"'沒有資料'")</f>
        <v>1355</v>
      </c>
      <c r="S961" s="34">
        <v>0.6</v>
      </c>
      <c r="T961" s="353">
        <f t="shared" si="192"/>
        <v>2.3529411764705882E-2</v>
      </c>
      <c r="U961" s="95">
        <v>0.9</v>
      </c>
      <c r="V961" s="13">
        <f>RTD("money.excel",,"3564","Price")</f>
        <v>25.5</v>
      </c>
      <c r="W961" s="66"/>
      <c r="X961" s="15">
        <f t="shared" si="189"/>
        <v>25.5</v>
      </c>
      <c r="Y961" s="3" t="e">
        <f t="shared" si="190"/>
        <v>#DIV/0!</v>
      </c>
      <c r="AA961" s="161">
        <v>0</v>
      </c>
      <c r="AB961" s="409">
        <v>0</v>
      </c>
      <c r="AC961" s="259">
        <f t="shared" si="181"/>
        <v>0</v>
      </c>
      <c r="AD961" s="16" t="s">
        <v>4707</v>
      </c>
      <c r="AG961" s="33">
        <f t="shared" si="191"/>
        <v>0</v>
      </c>
      <c r="AH961" s="43" t="s">
        <v>2408</v>
      </c>
      <c r="AI961" s="63">
        <f t="shared" si="193"/>
        <v>4.5685279187817257E-4</v>
      </c>
      <c r="AJ961" s="307">
        <f>RTD("money.excel",,$G961,"PredictVolume")</f>
        <v>27</v>
      </c>
      <c r="AK961" s="339"/>
    </row>
    <row r="962" spans="1:37">
      <c r="A962" s="416">
        <v>21.4</v>
      </c>
      <c r="B962" s="79">
        <v>10</v>
      </c>
      <c r="C962" s="80">
        <v>-1</v>
      </c>
      <c r="D962" s="80">
        <v>-2</v>
      </c>
      <c r="E962" s="79">
        <v>13</v>
      </c>
      <c r="F962" s="6">
        <v>5.69</v>
      </c>
      <c r="G962" s="79">
        <v>3596</v>
      </c>
      <c r="H962" s="208" t="s">
        <v>313</v>
      </c>
      <c r="I962" s="22" t="s">
        <v>4708</v>
      </c>
      <c r="J962" s="73">
        <v>55.04</v>
      </c>
      <c r="K962" s="73">
        <v>18.100000000000001</v>
      </c>
      <c r="L962" s="73">
        <v>15.6</v>
      </c>
      <c r="M962" s="318">
        <v>21.04</v>
      </c>
      <c r="N962" s="318">
        <f t="shared" si="187"/>
        <v>109.78</v>
      </c>
      <c r="O962" s="81">
        <f>IFERROR(VLOOKUP($G962,'321買'!A:E,3,0),"'沒有資料'")</f>
        <v>30</v>
      </c>
      <c r="P962" s="380">
        <f>IFERROR(VLOOKUP($G962,'321買'!$A:$G,7,0),"'沒有資料'")</f>
        <v>122</v>
      </c>
      <c r="Q962" s="245" t="s">
        <v>3817</v>
      </c>
      <c r="R962" s="297">
        <f>IFERROR(RANK(VLOOKUP($G962,連買!$A:$D,4,0),連買!$D:$D,0),"'沒有資料'")</f>
        <v>176</v>
      </c>
      <c r="S962" s="66">
        <v>6.5</v>
      </c>
      <c r="T962" s="353">
        <f t="shared" si="192"/>
        <v>5.3278688524590161E-2</v>
      </c>
      <c r="U962" s="57">
        <v>8.98</v>
      </c>
      <c r="V962" s="36">
        <f>RTD("money.excel",,"3596","Price")</f>
        <v>122</v>
      </c>
      <c r="W962" s="66"/>
      <c r="X962" s="15">
        <f t="shared" si="189"/>
        <v>122</v>
      </c>
      <c r="Y962" s="3" t="e">
        <f t="shared" si="190"/>
        <v>#DIV/0!</v>
      </c>
      <c r="Z962" s="413" t="s">
        <v>1997</v>
      </c>
      <c r="AA962" s="161">
        <v>0</v>
      </c>
      <c r="AB962" s="409">
        <v>0</v>
      </c>
      <c r="AC962" s="259">
        <f t="shared" si="181"/>
        <v>0</v>
      </c>
      <c r="AD962" s="22" t="s">
        <v>4708</v>
      </c>
      <c r="AG962" s="33">
        <f t="shared" si="191"/>
        <v>0</v>
      </c>
      <c r="AH962" s="120" t="s">
        <v>4709</v>
      </c>
      <c r="AI962" s="63">
        <f t="shared" si="193"/>
        <v>1.1925233644859813E-2</v>
      </c>
      <c r="AJ962" s="307">
        <f>RTD("money.excel",,$G962,"PredictVolume")</f>
        <v>2552</v>
      </c>
      <c r="AK962" s="339">
        <v>19.68</v>
      </c>
    </row>
    <row r="963" spans="1:37">
      <c r="A963" s="416">
        <v>4.09</v>
      </c>
      <c r="B963" s="91">
        <v>-30</v>
      </c>
      <c r="C963" s="91">
        <v>2</v>
      </c>
      <c r="D963" s="91">
        <v>6</v>
      </c>
      <c r="E963" s="91">
        <v>110</v>
      </c>
      <c r="F963" s="6">
        <v>-46.81</v>
      </c>
      <c r="G963" s="79">
        <v>3632</v>
      </c>
      <c r="H963" s="8" t="s">
        <v>313</v>
      </c>
      <c r="I963" s="16" t="s">
        <v>4710</v>
      </c>
      <c r="J963" s="73">
        <v>22.95</v>
      </c>
      <c r="K963" s="73">
        <v>0.27</v>
      </c>
      <c r="L963" s="73">
        <v>8.48</v>
      </c>
      <c r="N963" s="318">
        <f t="shared" si="187"/>
        <v>31.7</v>
      </c>
      <c r="O963" s="81" t="str">
        <f>IFERROR(VLOOKUP($G963,'321買'!A:E,3,0),"'沒有資料'")</f>
        <v>'沒有資料'</v>
      </c>
      <c r="P963" s="380" t="str">
        <f>IFERROR(VLOOKUP($G963,'321買'!$A:$G,7,0),"'沒有資料'")</f>
        <v>'沒有資料'</v>
      </c>
      <c r="R963" s="297">
        <f>IFERROR(RANK(VLOOKUP($G963,連買!$A:$D,4,0),連買!$D:$D,0),"'沒有資料'")</f>
        <v>1395</v>
      </c>
      <c r="S963" s="34">
        <v>0</v>
      </c>
      <c r="T963" s="353">
        <f t="shared" si="192"/>
        <v>0</v>
      </c>
      <c r="U963" s="95">
        <v>-4.13</v>
      </c>
      <c r="V963" s="36">
        <f>RTD("money.excel",,"3632","Price")</f>
        <v>9.06</v>
      </c>
      <c r="W963" s="66"/>
      <c r="X963" s="15">
        <f t="shared" si="189"/>
        <v>9.06</v>
      </c>
      <c r="Y963" s="3" t="e">
        <f t="shared" si="190"/>
        <v>#DIV/0!</v>
      </c>
      <c r="AA963" s="161">
        <v>0</v>
      </c>
      <c r="AB963" s="409">
        <v>0</v>
      </c>
      <c r="AC963" s="259">
        <f t="shared" si="181"/>
        <v>0</v>
      </c>
      <c r="AD963" s="16" t="s">
        <v>4710</v>
      </c>
      <c r="AG963" s="33">
        <f t="shared" si="191"/>
        <v>0</v>
      </c>
      <c r="AH963" s="43" t="s">
        <v>4711</v>
      </c>
      <c r="AI963" s="63">
        <f t="shared" si="193"/>
        <v>8.5574572127139362E-4</v>
      </c>
      <c r="AJ963" s="307">
        <f>RTD("money.excel",,$G963,"PredictVolume")</f>
        <v>35</v>
      </c>
      <c r="AK963" s="339"/>
    </row>
    <row r="964" spans="1:37">
      <c r="A964" s="416">
        <v>5.1100000000000003</v>
      </c>
      <c r="B964" s="91">
        <v>20</v>
      </c>
      <c r="C964" s="91">
        <v>28</v>
      </c>
      <c r="D964" s="91">
        <v>63</v>
      </c>
      <c r="E964" s="91">
        <v>-27</v>
      </c>
      <c r="F964" s="6">
        <v>-25.95</v>
      </c>
      <c r="G964" s="79">
        <v>3664</v>
      </c>
      <c r="H964" s="8" t="s">
        <v>313</v>
      </c>
      <c r="I964" s="16" t="s">
        <v>4712</v>
      </c>
      <c r="J964" s="73">
        <v>66.489999999999995</v>
      </c>
      <c r="K964" s="73">
        <v>50.84</v>
      </c>
      <c r="L964" s="73">
        <v>10.97</v>
      </c>
      <c r="N964" s="318">
        <f t="shared" si="187"/>
        <v>128.30000000000001</v>
      </c>
      <c r="O964" s="81">
        <f>IFERROR(VLOOKUP($G964,'321買'!A:E,3,0),"'沒有資料'")</f>
        <v>0</v>
      </c>
      <c r="P964" s="380">
        <f>IFERROR(VLOOKUP($G964,'321買'!$A:$G,7,0),"'沒有資料'")</f>
        <v>911</v>
      </c>
      <c r="R964" s="297">
        <f>IFERROR(RANK(VLOOKUP($G964,連買!$A:$D,4,0),連買!$D:$D,0),"'沒有資料'")</f>
        <v>1301</v>
      </c>
      <c r="S964" s="34">
        <v>0</v>
      </c>
      <c r="T964" s="353">
        <f t="shared" si="192"/>
        <v>0</v>
      </c>
      <c r="U964" s="57">
        <v>-2.1</v>
      </c>
      <c r="V964" s="13">
        <f>RTD("money.excel",,"3664","Price")</f>
        <v>9.14</v>
      </c>
      <c r="W964" s="66"/>
      <c r="X964" s="15">
        <f t="shared" si="189"/>
        <v>9.14</v>
      </c>
      <c r="Y964" s="3" t="e">
        <f t="shared" si="190"/>
        <v>#DIV/0!</v>
      </c>
      <c r="AA964" s="161">
        <v>0</v>
      </c>
      <c r="AB964" s="409">
        <v>0</v>
      </c>
      <c r="AC964" s="259">
        <f t="shared" si="181"/>
        <v>0</v>
      </c>
      <c r="AD964" s="16" t="s">
        <v>4712</v>
      </c>
      <c r="AG964" s="33">
        <f t="shared" si="191"/>
        <v>0</v>
      </c>
      <c r="AH964" s="43" t="s">
        <v>4713</v>
      </c>
      <c r="AI964" s="63">
        <f t="shared" si="193"/>
        <v>2.2896281800391391E-3</v>
      </c>
      <c r="AJ964" s="307">
        <f>RTD("money.excel",,$G964,"PredictVolume")</f>
        <v>117</v>
      </c>
      <c r="AK964" s="339"/>
    </row>
    <row r="965" spans="1:37">
      <c r="A965" s="416">
        <v>3.23</v>
      </c>
      <c r="B965" s="79">
        <v>24</v>
      </c>
      <c r="C965" s="79">
        <v>168</v>
      </c>
      <c r="D965" s="79">
        <v>21</v>
      </c>
      <c r="E965" s="80">
        <v>-10</v>
      </c>
      <c r="F965" s="6">
        <v>4.88</v>
      </c>
      <c r="G965" s="79">
        <v>3672</v>
      </c>
      <c r="H965" s="8" t="s">
        <v>313</v>
      </c>
      <c r="I965" s="16" t="s">
        <v>4714</v>
      </c>
      <c r="J965" s="73">
        <v>39.86</v>
      </c>
      <c r="K965" s="73">
        <v>1.61</v>
      </c>
      <c r="L965" s="73">
        <v>73.37</v>
      </c>
      <c r="M965" s="323">
        <v>34.75</v>
      </c>
      <c r="N965" s="73">
        <f t="shared" si="187"/>
        <v>149.59</v>
      </c>
      <c r="O965" s="81">
        <f>IFERROR(VLOOKUP($G965,'321買'!A:E,3,0),"'沒有資料'")</f>
        <v>18</v>
      </c>
      <c r="P965" s="380">
        <f>IFERROR(VLOOKUP($G965,'321買'!$A:$G,7,0),"'沒有資料'")</f>
        <v>265</v>
      </c>
      <c r="Q965" s="245" t="s">
        <v>3815</v>
      </c>
      <c r="R965" s="297">
        <f>IFERROR(RANK(VLOOKUP($G965,連買!$A:$D,4,0),連買!$D:$D,0),"'沒有資料'")</f>
        <v>772</v>
      </c>
      <c r="S965" s="34">
        <v>0.25</v>
      </c>
      <c r="T965" s="353">
        <f t="shared" si="192"/>
        <v>7.1326676176890159E-3</v>
      </c>
      <c r="U965" s="95">
        <v>0.64</v>
      </c>
      <c r="V965" s="36">
        <f>RTD("money.excel",,"3672","Price")</f>
        <v>35.049999999999997</v>
      </c>
      <c r="W965" s="66"/>
      <c r="X965" s="15">
        <f t="shared" si="189"/>
        <v>35.049999999999997</v>
      </c>
      <c r="Y965" s="3" t="e">
        <f t="shared" si="190"/>
        <v>#DIV/0!</v>
      </c>
      <c r="AA965" s="161">
        <v>0</v>
      </c>
      <c r="AB965" s="409">
        <v>0</v>
      </c>
      <c r="AC965" s="259">
        <f t="shared" ref="AC965:AC1028" si="194">AA965-AB965</f>
        <v>0</v>
      </c>
      <c r="AD965" s="16" t="s">
        <v>4714</v>
      </c>
      <c r="AG965" s="33">
        <f t="shared" si="191"/>
        <v>0</v>
      </c>
      <c r="AH965" s="43" t="s">
        <v>4715</v>
      </c>
      <c r="AI965" s="63">
        <f t="shared" si="193"/>
        <v>3.7770897832817337E-3</v>
      </c>
      <c r="AJ965" s="307">
        <f>RTD("money.excel",,$G965,"PredictVolume")</f>
        <v>122</v>
      </c>
      <c r="AK965" s="339"/>
    </row>
    <row r="966" spans="1:37">
      <c r="A966" s="416">
        <v>381</v>
      </c>
      <c r="B966" s="80">
        <v>-77</v>
      </c>
      <c r="C966" s="80">
        <v>-9</v>
      </c>
      <c r="D966" s="79">
        <v>1</v>
      </c>
      <c r="E966" s="80">
        <v>-5</v>
      </c>
      <c r="F966" s="6">
        <v>-37.35</v>
      </c>
      <c r="G966" s="79">
        <v>3682</v>
      </c>
      <c r="H966" s="8" t="s">
        <v>313</v>
      </c>
      <c r="I966" s="22" t="s">
        <v>4716</v>
      </c>
      <c r="J966" s="323">
        <v>71</v>
      </c>
      <c r="K966" s="73">
        <v>4</v>
      </c>
      <c r="N966" s="318">
        <f t="shared" si="187"/>
        <v>75</v>
      </c>
      <c r="O966" s="81">
        <f>IFERROR(VLOOKUP($G966,'321買'!A:E,3,0),"'沒有資料'")</f>
        <v>0</v>
      </c>
      <c r="P966" s="380">
        <f>IFERROR(VLOOKUP($G966,'321買'!$A:$G,7,0),"'沒有資料'")</f>
        <v>911</v>
      </c>
      <c r="R966" s="297">
        <f>IFERROR(RANK(VLOOKUP($G966,連買!$A:$D,4,0),連買!$D:$D,0),"'沒有資料'")</f>
        <v>1429</v>
      </c>
      <c r="S966" s="34">
        <v>0</v>
      </c>
      <c r="T966" s="353">
        <f t="shared" si="192"/>
        <v>0</v>
      </c>
      <c r="U966" s="95">
        <v>-1.53</v>
      </c>
      <c r="V966" s="36">
        <f>RTD("money.excel",,"3682","Price")</f>
        <v>6.82</v>
      </c>
      <c r="W966" s="66"/>
      <c r="X966" s="15">
        <f t="shared" si="189"/>
        <v>6.82</v>
      </c>
      <c r="Y966" s="3" t="e">
        <f t="shared" si="190"/>
        <v>#DIV/0!</v>
      </c>
      <c r="Z966" s="413" t="s">
        <v>1801</v>
      </c>
      <c r="AA966" s="161">
        <v>0</v>
      </c>
      <c r="AB966" s="409">
        <v>0</v>
      </c>
      <c r="AC966" s="259">
        <f t="shared" si="194"/>
        <v>0</v>
      </c>
      <c r="AD966" s="22" t="s">
        <v>4716</v>
      </c>
      <c r="AG966" s="33">
        <f t="shared" si="191"/>
        <v>0</v>
      </c>
      <c r="AH966" s="120" t="s">
        <v>4717</v>
      </c>
      <c r="AI966" s="63">
        <f t="shared" si="193"/>
        <v>1.00498687664042E-3</v>
      </c>
      <c r="AJ966" s="307">
        <f>RTD("money.excel",,$G966,"PredictVolume")</f>
        <v>3829</v>
      </c>
      <c r="AK966" s="339"/>
    </row>
    <row r="967" spans="1:37">
      <c r="A967" s="415">
        <v>2.46</v>
      </c>
      <c r="B967" s="91">
        <v>-62</v>
      </c>
      <c r="C967" s="91">
        <v>-3</v>
      </c>
      <c r="D967" s="91">
        <v>12</v>
      </c>
      <c r="E967" s="91">
        <v>32</v>
      </c>
      <c r="F967" s="57">
        <v>14.67</v>
      </c>
      <c r="G967" s="79">
        <v>3684</v>
      </c>
      <c r="H967" s="8" t="s">
        <v>313</v>
      </c>
      <c r="I967" s="16" t="s">
        <v>4718</v>
      </c>
      <c r="J967" s="73">
        <v>59.32</v>
      </c>
      <c r="K967" s="73">
        <v>0.01</v>
      </c>
      <c r="N967" s="318">
        <f t="shared" si="187"/>
        <v>59.33</v>
      </c>
      <c r="O967" s="81" t="str">
        <f>IFERROR(VLOOKUP($G967,'321買'!A:E,3,0),"'沒有資料'")</f>
        <v>'沒有資料'</v>
      </c>
      <c r="P967" s="380" t="str">
        <f>IFERROR(VLOOKUP($G967,'321買'!$A:$G,7,0),"'沒有資料'")</f>
        <v>'沒有資料'</v>
      </c>
      <c r="R967" s="297">
        <f>IFERROR(RANK(VLOOKUP($G967,連買!$A:$D,4,0),連買!$D:$D,0),"'沒有資料'")</f>
        <v>808</v>
      </c>
      <c r="S967" s="34">
        <v>1.5</v>
      </c>
      <c r="T967" s="353">
        <f t="shared" si="192"/>
        <v>2.9126213592233011E-2</v>
      </c>
      <c r="U967" s="95">
        <v>2.0299999999999998</v>
      </c>
      <c r="V967" s="13">
        <f>RTD("money.excel",,"3684","Price")</f>
        <v>51.5</v>
      </c>
      <c r="W967" s="66"/>
      <c r="X967" s="15">
        <f t="shared" si="189"/>
        <v>51.5</v>
      </c>
      <c r="Y967" s="3" t="e">
        <f t="shared" si="190"/>
        <v>#DIV/0!</v>
      </c>
      <c r="AA967" s="161">
        <v>0</v>
      </c>
      <c r="AB967" s="409">
        <v>0</v>
      </c>
      <c r="AC967" s="259">
        <f t="shared" si="194"/>
        <v>0</v>
      </c>
      <c r="AD967" s="16" t="s">
        <v>4718</v>
      </c>
      <c r="AG967" s="33">
        <f t="shared" si="191"/>
        <v>0</v>
      </c>
      <c r="AH967" s="43" t="s">
        <v>4715</v>
      </c>
      <c r="AI967" s="63">
        <f t="shared" si="193"/>
        <v>2.4390243902439024E-4</v>
      </c>
      <c r="AJ967" s="307">
        <f>RTD("money.excel",,$G967,"PredictVolume")</f>
        <v>6</v>
      </c>
      <c r="AK967" s="339"/>
    </row>
    <row r="968" spans="1:37">
      <c r="A968" s="416">
        <v>15</v>
      </c>
      <c r="B968" s="80">
        <v>-40</v>
      </c>
      <c r="C968" s="80">
        <v>-33</v>
      </c>
      <c r="D968" s="80">
        <v>-3</v>
      </c>
      <c r="E968" s="79">
        <v>3</v>
      </c>
      <c r="F968" s="6">
        <v>1.38</v>
      </c>
      <c r="G968" s="79">
        <v>3694</v>
      </c>
      <c r="H968" s="8" t="s">
        <v>313</v>
      </c>
      <c r="I968" s="22" t="s">
        <v>4719</v>
      </c>
      <c r="J968" s="323">
        <v>61.43</v>
      </c>
      <c r="K968" s="73">
        <v>0.68</v>
      </c>
      <c r="L968" s="73">
        <v>12.63</v>
      </c>
      <c r="N968" s="318">
        <f t="shared" si="187"/>
        <v>74.739999999999995</v>
      </c>
      <c r="O968" s="81">
        <f>IFERROR(VLOOKUP($G968,'321買'!A:E,3,0),"'沒有資料'")</f>
        <v>0</v>
      </c>
      <c r="P968" s="380">
        <f>IFERROR(VLOOKUP($G968,'321買'!$A:$G,7,0),"'沒有資料'")</f>
        <v>911</v>
      </c>
      <c r="R968" s="297">
        <f>IFERROR(RANK(VLOOKUP($G968,連買!$A:$D,4,0),連買!$D:$D,0),"'沒有資料'")</f>
        <v>1443</v>
      </c>
      <c r="S968" s="34">
        <v>0</v>
      </c>
      <c r="T968" s="353">
        <f t="shared" si="192"/>
        <v>0</v>
      </c>
      <c r="U968" s="57">
        <v>1.74</v>
      </c>
      <c r="V968" s="36">
        <f>RTD("money.excel",,"3694","Price")</f>
        <v>20.399999999999999</v>
      </c>
      <c r="W968" s="66"/>
      <c r="X968" s="15">
        <f t="shared" si="189"/>
        <v>20.399999999999999</v>
      </c>
      <c r="Y968" s="3" t="e">
        <f t="shared" si="190"/>
        <v>#DIV/0!</v>
      </c>
      <c r="Z968" s="413" t="s">
        <v>1801</v>
      </c>
      <c r="AA968" s="161">
        <v>0</v>
      </c>
      <c r="AB968" s="409">
        <v>0</v>
      </c>
      <c r="AC968" s="259">
        <f t="shared" si="194"/>
        <v>0</v>
      </c>
      <c r="AD968" s="22" t="s">
        <v>4719</v>
      </c>
      <c r="AG968" s="33">
        <f t="shared" si="191"/>
        <v>0</v>
      </c>
      <c r="AH968" s="43" t="s">
        <v>4720</v>
      </c>
      <c r="AI968" s="63">
        <f t="shared" si="193"/>
        <v>6.6666666666666664E-4</v>
      </c>
      <c r="AJ968" s="307">
        <f>RTD("money.excel",,$G968,"PredictVolume")</f>
        <v>100</v>
      </c>
      <c r="AK968" s="339"/>
    </row>
    <row r="969" spans="1:37">
      <c r="A969" s="416">
        <v>44.8</v>
      </c>
      <c r="B969" s="93">
        <v>1966</v>
      </c>
      <c r="C969" s="79">
        <v>161</v>
      </c>
      <c r="D969" s="80">
        <v>-17</v>
      </c>
      <c r="E969" s="79">
        <v>8</v>
      </c>
      <c r="F969" s="6">
        <v>4.3499999999999996</v>
      </c>
      <c r="G969" s="79">
        <v>3704</v>
      </c>
      <c r="H969" s="8" t="s">
        <v>313</v>
      </c>
      <c r="I969" s="22" t="s">
        <v>4721</v>
      </c>
      <c r="J969" s="73">
        <v>51.17</v>
      </c>
      <c r="K969" s="73">
        <v>8.6300000000000008</v>
      </c>
      <c r="L969" s="323">
        <v>15.27</v>
      </c>
      <c r="N969" s="318">
        <f t="shared" si="187"/>
        <v>75.070000000000007</v>
      </c>
      <c r="O969" s="81">
        <f>IFERROR(VLOOKUP($G969,'321買'!A:E,3,0),"'沒有資料'")</f>
        <v>9</v>
      </c>
      <c r="P969" s="380">
        <f>IFERROR(VLOOKUP($G969,'321買'!$A:$G,7,0),"'沒有資料'")</f>
        <v>433</v>
      </c>
      <c r="R969" s="297">
        <f>IFERROR(RANK(VLOOKUP($G969,連買!$A:$D,4,0),連買!$D:$D,0),"'沒有資料'")</f>
        <v>511</v>
      </c>
      <c r="S969" s="34">
        <v>0.5</v>
      </c>
      <c r="T969" s="353">
        <f t="shared" si="192"/>
        <v>1.6778523489932886E-2</v>
      </c>
      <c r="U969" s="57">
        <v>2.98</v>
      </c>
      <c r="V969" s="36">
        <f>RTD("money.excel",,"3704","Price")</f>
        <v>29.8</v>
      </c>
      <c r="W969" s="66"/>
      <c r="X969" s="15">
        <f t="shared" si="189"/>
        <v>29.8</v>
      </c>
      <c r="Y969" s="3" t="e">
        <f t="shared" si="190"/>
        <v>#DIV/0!</v>
      </c>
      <c r="Z969" s="413" t="s">
        <v>1801</v>
      </c>
      <c r="AA969" s="161">
        <v>0</v>
      </c>
      <c r="AB969" s="409">
        <v>0</v>
      </c>
      <c r="AC969" s="259">
        <f t="shared" si="194"/>
        <v>0</v>
      </c>
      <c r="AD969" s="22" t="s">
        <v>4721</v>
      </c>
      <c r="AG969" s="33">
        <f t="shared" si="191"/>
        <v>0</v>
      </c>
      <c r="AH969" s="120" t="s">
        <v>4651</v>
      </c>
      <c r="AI969" s="63">
        <f t="shared" si="193"/>
        <v>2.4375E-3</v>
      </c>
      <c r="AJ969" s="307">
        <f>RTD("money.excel",,$G969,"PredictVolume")</f>
        <v>1092</v>
      </c>
      <c r="AK969" s="339"/>
    </row>
    <row r="970" spans="1:37">
      <c r="A970" s="416">
        <v>9.0299999999999994</v>
      </c>
      <c r="B970" s="206">
        <v>-1809</v>
      </c>
      <c r="C970" s="206">
        <v>-3494</v>
      </c>
      <c r="D970" s="91">
        <v>39</v>
      </c>
      <c r="E970" s="91">
        <v>-1</v>
      </c>
      <c r="F970" s="6">
        <v>-22.61</v>
      </c>
      <c r="G970" s="79">
        <v>4903</v>
      </c>
      <c r="H970" s="8" t="s">
        <v>313</v>
      </c>
      <c r="I970" s="16" t="s">
        <v>4722</v>
      </c>
      <c r="J970" s="73">
        <v>27.69</v>
      </c>
      <c r="K970" s="73">
        <v>1.1599999999999999</v>
      </c>
      <c r="L970" s="73">
        <v>0</v>
      </c>
      <c r="N970" s="318">
        <f t="shared" si="187"/>
        <v>28.85</v>
      </c>
      <c r="O970" s="81">
        <f>IFERROR(VLOOKUP($G970,'321買'!A:E,3,0),"'沒有資料'")</f>
        <v>0</v>
      </c>
      <c r="P970" s="380">
        <f>IFERROR(VLOOKUP($G970,'321買'!$A:$G,7,0),"'沒有資料'")</f>
        <v>911</v>
      </c>
      <c r="R970" s="297">
        <f>IFERROR(RANK(VLOOKUP($G970,連買!$A:$D,4,0),連買!$D:$D,0),"'沒有資料'")</f>
        <v>1499</v>
      </c>
      <c r="S970" s="34">
        <v>0</v>
      </c>
      <c r="T970" s="353">
        <f t="shared" si="192"/>
        <v>0</v>
      </c>
      <c r="U970" s="95">
        <v>-1.82</v>
      </c>
      <c r="V970" s="36">
        <f>RTD("money.excel",,"4903","Price")</f>
        <v>10.5</v>
      </c>
      <c r="W970" s="66"/>
      <c r="X970" s="15">
        <f t="shared" si="189"/>
        <v>10.5</v>
      </c>
      <c r="Y970" s="3" t="e">
        <f t="shared" si="190"/>
        <v>#DIV/0!</v>
      </c>
      <c r="AA970" s="161">
        <v>0</v>
      </c>
      <c r="AB970" s="409">
        <v>0</v>
      </c>
      <c r="AC970" s="259">
        <f t="shared" si="194"/>
        <v>0</v>
      </c>
      <c r="AD970" s="16" t="s">
        <v>4722</v>
      </c>
      <c r="AG970" s="33">
        <f t="shared" si="191"/>
        <v>0</v>
      </c>
      <c r="AH970" s="43" t="s">
        <v>4723</v>
      </c>
      <c r="AI970" s="63">
        <f t="shared" si="193"/>
        <v>8.9700996677740861E-4</v>
      </c>
      <c r="AJ970" s="307">
        <f>RTD("money.excel",,$G970,"PredictVolume")</f>
        <v>81</v>
      </c>
      <c r="AK970" s="339"/>
    </row>
    <row r="971" spans="1:37">
      <c r="A971" s="415">
        <v>325</v>
      </c>
      <c r="B971" s="80">
        <v>-2</v>
      </c>
      <c r="C971" s="80">
        <v>-5</v>
      </c>
      <c r="D971" s="79">
        <v>1</v>
      </c>
      <c r="E971" s="79">
        <v>14</v>
      </c>
      <c r="F971" s="57">
        <v>15.07</v>
      </c>
      <c r="G971" s="79">
        <v>4904</v>
      </c>
      <c r="H971" s="8" t="s">
        <v>313</v>
      </c>
      <c r="I971" s="22" t="s">
        <v>4724</v>
      </c>
      <c r="J971" s="323">
        <v>88.31</v>
      </c>
      <c r="K971" s="73">
        <v>20.399999999999999</v>
      </c>
      <c r="L971" s="73">
        <v>0.1</v>
      </c>
      <c r="N971" s="318">
        <f t="shared" si="187"/>
        <v>108.81</v>
      </c>
      <c r="O971" s="81">
        <f>IFERROR(VLOOKUP($G971,'321買'!A:E,3,0),"'沒有資料'")</f>
        <v>0</v>
      </c>
      <c r="P971" s="380">
        <f>IFERROR(VLOOKUP($G971,'321買'!$A:$G,7,0),"'沒有資料'")</f>
        <v>911</v>
      </c>
      <c r="R971" s="297">
        <f>IFERROR(RANK(VLOOKUP($G971,連買!$A:$D,4,0),連買!$D:$D,0),"'沒有資料'")</f>
        <v>159</v>
      </c>
      <c r="S971" s="66">
        <v>3.25</v>
      </c>
      <c r="T971" s="353">
        <f t="shared" si="192"/>
        <v>4.3859649122807022E-2</v>
      </c>
      <c r="U971" s="57">
        <v>2.56</v>
      </c>
      <c r="V971" s="36">
        <f>RTD("money.excel",,"4904","Price")</f>
        <v>74.099999999999994</v>
      </c>
      <c r="W971" s="66"/>
      <c r="X971" s="15">
        <f t="shared" si="189"/>
        <v>74.099999999999994</v>
      </c>
      <c r="Y971" s="3" t="e">
        <f t="shared" si="190"/>
        <v>#DIV/0!</v>
      </c>
      <c r="Z971" s="413" t="s">
        <v>1997</v>
      </c>
      <c r="AA971" s="161">
        <v>0</v>
      </c>
      <c r="AB971" s="409">
        <v>0</v>
      </c>
      <c r="AC971" s="259">
        <f t="shared" si="194"/>
        <v>0</v>
      </c>
      <c r="AD971" s="22" t="s">
        <v>4724</v>
      </c>
      <c r="AG971" s="33">
        <f t="shared" si="191"/>
        <v>0</v>
      </c>
      <c r="AH971" s="120" t="s">
        <v>4725</v>
      </c>
      <c r="AI971" s="63">
        <f t="shared" si="193"/>
        <v>1.0581538461538463E-3</v>
      </c>
      <c r="AJ971" s="307">
        <f>RTD("money.excel",,$G971,"PredictVolume")</f>
        <v>3439</v>
      </c>
      <c r="AK971" s="339"/>
    </row>
    <row r="972" spans="1:37">
      <c r="A972" s="416">
        <v>36.6</v>
      </c>
      <c r="B972" s="80">
        <v>-68</v>
      </c>
      <c r="C972" s="80">
        <v>-4</v>
      </c>
      <c r="D972" s="79">
        <v>5</v>
      </c>
      <c r="E972" s="79">
        <v>12</v>
      </c>
      <c r="F972" s="6">
        <v>2.09</v>
      </c>
      <c r="G972" s="79">
        <v>4906</v>
      </c>
      <c r="H972" s="8" t="s">
        <v>313</v>
      </c>
      <c r="I972" s="22" t="s">
        <v>4726</v>
      </c>
      <c r="J972" s="323">
        <v>15.62</v>
      </c>
      <c r="K972" s="73">
        <v>6.13</v>
      </c>
      <c r="L972" s="73">
        <v>17.45</v>
      </c>
      <c r="N972" s="318">
        <f t="shared" si="187"/>
        <v>39.200000000000003</v>
      </c>
      <c r="O972" s="81">
        <f>IFERROR(VLOOKUP($G972,'321買'!A:E,3,0),"'沒有資料'")</f>
        <v>23</v>
      </c>
      <c r="P972" s="380">
        <f>IFERROR(VLOOKUP($G972,'321買'!$A:$G,7,0),"'沒有資料'")</f>
        <v>233</v>
      </c>
      <c r="Q972" s="245" t="s">
        <v>3817</v>
      </c>
      <c r="R972" s="297">
        <f>IFERROR(RANK(VLOOKUP($G972,連買!$A:$D,4,0),連買!$D:$D,0),"'沒有資料'")</f>
        <v>681</v>
      </c>
      <c r="S972" s="34">
        <v>1.96</v>
      </c>
      <c r="T972" s="353">
        <f t="shared" si="192"/>
        <v>6.4579901153212521E-2</v>
      </c>
      <c r="U972" s="95">
        <v>1.45</v>
      </c>
      <c r="V972" s="36">
        <f>RTD("money.excel",,"4906","Price")</f>
        <v>30.35</v>
      </c>
      <c r="W972" s="66"/>
      <c r="X972" s="15">
        <f t="shared" si="189"/>
        <v>30.35</v>
      </c>
      <c r="Y972" s="3" t="e">
        <f t="shared" si="190"/>
        <v>#DIV/0!</v>
      </c>
      <c r="Z972" s="413" t="s">
        <v>1801</v>
      </c>
      <c r="AA972" s="161">
        <v>0</v>
      </c>
      <c r="AB972" s="409">
        <v>0</v>
      </c>
      <c r="AC972" s="259">
        <f t="shared" si="194"/>
        <v>0</v>
      </c>
      <c r="AD972" s="22" t="s">
        <v>4726</v>
      </c>
      <c r="AG972" s="33">
        <f t="shared" si="191"/>
        <v>0</v>
      </c>
      <c r="AH972" s="122" t="s">
        <v>4727</v>
      </c>
      <c r="AI972" s="63">
        <f t="shared" si="193"/>
        <v>1.3726775956284153E-2</v>
      </c>
      <c r="AJ972" s="307">
        <f>RTD("money.excel",,$G972,"PredictVolume")</f>
        <v>5024</v>
      </c>
      <c r="AK972" s="339"/>
    </row>
    <row r="973" spans="1:37">
      <c r="A973" s="416">
        <v>7.82</v>
      </c>
      <c r="B973" s="80">
        <v>-80</v>
      </c>
      <c r="C973" s="80">
        <v>-79</v>
      </c>
      <c r="D973" s="79">
        <v>1</v>
      </c>
      <c r="E973" s="80">
        <v>-16</v>
      </c>
      <c r="F973" s="6">
        <v>5.86</v>
      </c>
      <c r="G973" s="79">
        <v>4908</v>
      </c>
      <c r="H973" s="8" t="s">
        <v>313</v>
      </c>
      <c r="I973" s="16" t="s">
        <v>4728</v>
      </c>
      <c r="J973" s="73">
        <v>37.74</v>
      </c>
      <c r="K973" s="73">
        <v>2.41</v>
      </c>
      <c r="L973" s="323">
        <v>18.45</v>
      </c>
      <c r="N973" s="318">
        <f t="shared" si="187"/>
        <v>58.600000000000009</v>
      </c>
      <c r="O973" s="81">
        <f>IFERROR(VLOOKUP($G973,'321買'!A:E,3,0),"'沒有資料'")</f>
        <v>3</v>
      </c>
      <c r="P973" s="380">
        <f>IFERROR(VLOOKUP($G973,'321買'!$A:$G,7,0),"'沒有資料'")</f>
        <v>636</v>
      </c>
      <c r="R973" s="297">
        <f>IFERROR(RANK(VLOOKUP($G973,連買!$A:$D,4,0),連買!$D:$D,0),"'沒有資料'")</f>
        <v>620</v>
      </c>
      <c r="S973" s="34">
        <v>1.1000000000000001</v>
      </c>
      <c r="T973" s="353">
        <f t="shared" si="192"/>
        <v>3.0769230769230771E-2</v>
      </c>
      <c r="U973" s="95">
        <v>1.1299999999999999</v>
      </c>
      <c r="V973" s="36">
        <f>RTD("money.excel",,"4908","Price")</f>
        <v>35.75</v>
      </c>
      <c r="W973" s="66"/>
      <c r="X973" s="15">
        <f t="shared" si="189"/>
        <v>35.75</v>
      </c>
      <c r="Y973" s="3" t="e">
        <f t="shared" si="190"/>
        <v>#DIV/0!</v>
      </c>
      <c r="AA973" s="161">
        <v>0</v>
      </c>
      <c r="AB973" s="409">
        <v>0</v>
      </c>
      <c r="AC973" s="259">
        <f t="shared" si="194"/>
        <v>0</v>
      </c>
      <c r="AD973" s="16" t="s">
        <v>4728</v>
      </c>
      <c r="AG973" s="33">
        <f t="shared" si="191"/>
        <v>0</v>
      </c>
      <c r="AH973" s="43" t="s">
        <v>4689</v>
      </c>
      <c r="AI973" s="63">
        <f t="shared" si="193"/>
        <v>4.2199488491048596E-3</v>
      </c>
      <c r="AJ973" s="307">
        <f>RTD("money.excel",,$G973,"PredictVolume")</f>
        <v>330</v>
      </c>
      <c r="AK973" s="339"/>
    </row>
    <row r="974" spans="1:37">
      <c r="A974" s="416">
        <v>9.34</v>
      </c>
      <c r="B974" s="79">
        <v>38</v>
      </c>
      <c r="C974" s="80">
        <v>-18</v>
      </c>
      <c r="D974" s="80">
        <v>-1</v>
      </c>
      <c r="E974" s="79">
        <v>5</v>
      </c>
      <c r="F974" s="6">
        <v>-6.24</v>
      </c>
      <c r="G974" s="79">
        <v>4909</v>
      </c>
      <c r="H974" s="8" t="s">
        <v>313</v>
      </c>
      <c r="I974" s="16" t="s">
        <v>4729</v>
      </c>
      <c r="J974" s="323">
        <v>34.450000000000003</v>
      </c>
      <c r="K974" s="73">
        <v>2.77</v>
      </c>
      <c r="L974" s="73">
        <v>13.1</v>
      </c>
      <c r="N974" s="318">
        <f t="shared" si="187"/>
        <v>50.320000000000007</v>
      </c>
      <c r="O974" s="81">
        <f>IFERROR(VLOOKUP($G974,'321買'!A:E,3,0),"'沒有資料'")</f>
        <v>6</v>
      </c>
      <c r="P974" s="380">
        <f>IFERROR(VLOOKUP($G974,'321買'!$A:$G,7,0),"'沒有資料'")</f>
        <v>521</v>
      </c>
      <c r="R974" s="297">
        <f>IFERROR(RANK(VLOOKUP($G974,連買!$A:$D,4,0),連買!$D:$D,0),"'沒有資料'")</f>
        <v>1294</v>
      </c>
      <c r="S974" s="34">
        <v>0.3</v>
      </c>
      <c r="T974" s="353">
        <f t="shared" si="192"/>
        <v>1.5831134564643801E-2</v>
      </c>
      <c r="U974" s="95">
        <v>0.16</v>
      </c>
      <c r="V974" s="36">
        <f>RTD("money.excel",,"4909","Price")</f>
        <v>18.95</v>
      </c>
      <c r="W974" s="66"/>
      <c r="X974" s="15">
        <f t="shared" si="189"/>
        <v>18.95</v>
      </c>
      <c r="Y974" s="3" t="e">
        <f t="shared" si="190"/>
        <v>#DIV/0!</v>
      </c>
      <c r="AA974" s="161">
        <v>0</v>
      </c>
      <c r="AB974" s="409">
        <v>0</v>
      </c>
      <c r="AC974" s="259">
        <f t="shared" si="194"/>
        <v>0</v>
      </c>
      <c r="AD974" s="16" t="s">
        <v>4729</v>
      </c>
      <c r="AG974" s="33">
        <f t="shared" si="191"/>
        <v>0</v>
      </c>
      <c r="AH974" s="43" t="s">
        <v>4730</v>
      </c>
      <c r="AI974" s="63">
        <f t="shared" si="193"/>
        <v>8.1370449678800857E-4</v>
      </c>
      <c r="AJ974" s="307">
        <f>RTD("money.excel",,$G974,"PredictVolume")</f>
        <v>76</v>
      </c>
      <c r="AK974" s="339"/>
    </row>
    <row r="975" spans="1:37">
      <c r="A975" s="416">
        <v>6.87</v>
      </c>
      <c r="B975" s="80">
        <v>-51</v>
      </c>
      <c r="C975" s="80">
        <v>-54</v>
      </c>
      <c r="D975" s="79">
        <v>25</v>
      </c>
      <c r="E975" s="80">
        <v>-20</v>
      </c>
      <c r="F975" s="6">
        <v>8.2100000000000009</v>
      </c>
      <c r="G975" s="79">
        <v>4977</v>
      </c>
      <c r="H975" s="8" t="s">
        <v>313</v>
      </c>
      <c r="I975" s="22" t="s">
        <v>4731</v>
      </c>
      <c r="J975" s="73">
        <v>44.97</v>
      </c>
      <c r="K975" s="73">
        <v>39.25</v>
      </c>
      <c r="L975" s="323">
        <v>10.28</v>
      </c>
      <c r="M975" s="73">
        <v>21.95</v>
      </c>
      <c r="N975" s="318">
        <f t="shared" si="187"/>
        <v>116.45</v>
      </c>
      <c r="O975" s="81">
        <f>IFERROR(VLOOKUP($G975,'321買'!A:E,3,0),"'沒有資料'")</f>
        <v>0</v>
      </c>
      <c r="P975" s="380">
        <f>IFERROR(VLOOKUP($G975,'321買'!$A:$G,7,0),"'沒有資料'")</f>
        <v>911</v>
      </c>
      <c r="Q975" s="388" t="s">
        <v>3816</v>
      </c>
      <c r="R975" s="297">
        <f>IFERROR(RANK(VLOOKUP($G975,連買!$A:$D,4,0),連買!$D:$D,0),"'沒有資料'")</f>
        <v>1707</v>
      </c>
      <c r="S975" s="45">
        <v>3.2</v>
      </c>
      <c r="T975" s="353">
        <f t="shared" si="192"/>
        <v>4.0150564617314935E-2</v>
      </c>
      <c r="U975" s="95">
        <v>3.88</v>
      </c>
      <c r="V975" s="36">
        <f>RTD("money.excel",,"4977","Price")</f>
        <v>79.7</v>
      </c>
      <c r="W975" s="66"/>
      <c r="X975" s="15">
        <f t="shared" si="189"/>
        <v>79.7</v>
      </c>
      <c r="Y975" s="3" t="e">
        <f t="shared" si="190"/>
        <v>#DIV/0!</v>
      </c>
      <c r="Z975" s="413" t="s">
        <v>8579</v>
      </c>
      <c r="AA975" s="161">
        <v>0</v>
      </c>
      <c r="AB975" s="409">
        <v>0</v>
      </c>
      <c r="AC975" s="259">
        <f t="shared" si="194"/>
        <v>0</v>
      </c>
      <c r="AD975" s="22" t="s">
        <v>4731</v>
      </c>
      <c r="AG975" s="33">
        <f t="shared" si="191"/>
        <v>0</v>
      </c>
      <c r="AH975" s="122" t="s">
        <v>4689</v>
      </c>
      <c r="AI975" s="63">
        <f t="shared" si="193"/>
        <v>6.5502183406113536E-4</v>
      </c>
      <c r="AJ975" s="307">
        <f>RTD("money.excel",,$G975,"PredictVolume")</f>
        <v>45</v>
      </c>
      <c r="AK975" s="339">
        <v>16.47</v>
      </c>
    </row>
    <row r="976" spans="1:37">
      <c r="A976" s="416">
        <v>12</v>
      </c>
      <c r="B976" s="79">
        <v>59</v>
      </c>
      <c r="C976" s="79">
        <v>55</v>
      </c>
      <c r="D976" s="80">
        <v>-18</v>
      </c>
      <c r="E976" s="80">
        <v>-17</v>
      </c>
      <c r="F976" s="6">
        <v>-18.21</v>
      </c>
      <c r="G976" s="79">
        <v>4979</v>
      </c>
      <c r="H976" s="8" t="s">
        <v>313</v>
      </c>
      <c r="I976" s="16" t="s">
        <v>4732</v>
      </c>
      <c r="J976" s="73">
        <v>39.409999999999997</v>
      </c>
      <c r="K976" s="323">
        <v>3.87</v>
      </c>
      <c r="L976" s="323">
        <v>39.049999999999997</v>
      </c>
      <c r="N976" s="318">
        <f t="shared" si="187"/>
        <v>82.329999999999984</v>
      </c>
      <c r="O976" s="81">
        <f>IFERROR(VLOOKUP($G976,'321買'!A:E,3,0),"'沒有資料'")</f>
        <v>1</v>
      </c>
      <c r="P976" s="380">
        <f>IFERROR(VLOOKUP($G976,'321買'!$A:$G,7,0),"'沒有資料'")</f>
        <v>783</v>
      </c>
      <c r="R976" s="297">
        <f>IFERROR(RANK(VLOOKUP($G976,連買!$A:$D,4,0),連買!$D:$D,0),"'沒有資料'")</f>
        <v>867</v>
      </c>
      <c r="S976" s="34">
        <v>0</v>
      </c>
      <c r="T976" s="353">
        <f t="shared" si="192"/>
        <v>0</v>
      </c>
      <c r="U976" s="95">
        <v>-0.75</v>
      </c>
      <c r="V976" s="36">
        <f>RTD("money.excel",,"4979","Price")</f>
        <v>18.100000000000001</v>
      </c>
      <c r="W976" s="66"/>
      <c r="X976" s="15">
        <f t="shared" si="189"/>
        <v>18.100000000000001</v>
      </c>
      <c r="Y976" s="3" t="e">
        <f t="shared" si="190"/>
        <v>#DIV/0!</v>
      </c>
      <c r="Z976" s="413" t="s">
        <v>1801</v>
      </c>
      <c r="AA976" s="161">
        <v>0</v>
      </c>
      <c r="AB976" s="409">
        <v>0</v>
      </c>
      <c r="AC976" s="259">
        <f t="shared" si="194"/>
        <v>0</v>
      </c>
      <c r="AD976" s="16" t="s">
        <v>4732</v>
      </c>
      <c r="AG976" s="33">
        <f t="shared" si="191"/>
        <v>0</v>
      </c>
      <c r="AH976" s="120" t="s">
        <v>4723</v>
      </c>
      <c r="AI976" s="63">
        <f t="shared" si="193"/>
        <v>1.3083333333333334E-3</v>
      </c>
      <c r="AJ976" s="307">
        <f>RTD("money.excel",,$G976,"PredictVolume")</f>
        <v>157</v>
      </c>
      <c r="AK976" s="339"/>
    </row>
    <row r="977" spans="1:37">
      <c r="A977" s="416">
        <v>2.6</v>
      </c>
      <c r="B977" s="91">
        <v>20</v>
      </c>
      <c r="C977" s="91">
        <v>25</v>
      </c>
      <c r="D977" s="91">
        <v>-22</v>
      </c>
      <c r="E977" s="91">
        <v>-11</v>
      </c>
      <c r="F977" s="6">
        <v>-23.99</v>
      </c>
      <c r="G977" s="79">
        <v>5348</v>
      </c>
      <c r="H977" s="8" t="s">
        <v>313</v>
      </c>
      <c r="I977" s="16" t="s">
        <v>4733</v>
      </c>
      <c r="J977" s="73">
        <v>60.23</v>
      </c>
      <c r="K977" s="73">
        <v>0</v>
      </c>
      <c r="N977" s="318">
        <f t="shared" si="187"/>
        <v>60.23</v>
      </c>
      <c r="O977" s="81" t="str">
        <f>IFERROR(VLOOKUP($G977,'321買'!A:E,3,0),"'沒有資料'")</f>
        <v>'沒有資料'</v>
      </c>
      <c r="P977" s="380" t="str">
        <f>IFERROR(VLOOKUP($G977,'321買'!$A:$G,7,0),"'沒有資料'")</f>
        <v>'沒有資料'</v>
      </c>
      <c r="R977" s="297">
        <f>IFERROR(RANK(VLOOKUP($G977,連買!$A:$D,4,0),連買!$D:$D,0),"'沒有資料'")</f>
        <v>1376</v>
      </c>
      <c r="S977" s="34">
        <v>0</v>
      </c>
      <c r="T977" s="353">
        <f t="shared" si="192"/>
        <v>0</v>
      </c>
      <c r="U977" s="95">
        <v>-0.71</v>
      </c>
      <c r="V977" s="13">
        <f>RTD("money.excel",,"5348","Price")</f>
        <v>8.06</v>
      </c>
      <c r="W977" s="66"/>
      <c r="X977" s="15">
        <f t="shared" si="189"/>
        <v>8.06</v>
      </c>
      <c r="Y977" s="3" t="e">
        <f t="shared" si="190"/>
        <v>#DIV/0!</v>
      </c>
      <c r="AA977" s="161">
        <v>0</v>
      </c>
      <c r="AB977" s="409">
        <v>0</v>
      </c>
      <c r="AC977" s="259">
        <f t="shared" si="194"/>
        <v>0</v>
      </c>
      <c r="AD977" s="16" t="s">
        <v>4733</v>
      </c>
      <c r="AG977" s="33">
        <f t="shared" si="191"/>
        <v>0</v>
      </c>
      <c r="AH977" s="43" t="s">
        <v>4703</v>
      </c>
      <c r="AI977" s="63">
        <f t="shared" si="193"/>
        <v>2.9615384615384616E-3</v>
      </c>
      <c r="AJ977" s="307">
        <f>RTD("money.excel",,$G977,"PredictVolume")</f>
        <v>77</v>
      </c>
      <c r="AK977" s="339"/>
    </row>
    <row r="978" spans="1:37">
      <c r="A978" s="416">
        <v>7.5</v>
      </c>
      <c r="B978" s="91">
        <v>-31</v>
      </c>
      <c r="C978" s="91">
        <v>-35</v>
      </c>
      <c r="D978" s="91">
        <v>17</v>
      </c>
      <c r="E978" s="91">
        <v>-18</v>
      </c>
      <c r="F978" s="6">
        <v>4.21</v>
      </c>
      <c r="G978" s="79">
        <v>5353</v>
      </c>
      <c r="H978" s="8" t="s">
        <v>313</v>
      </c>
      <c r="I978" s="16" t="s">
        <v>4734</v>
      </c>
      <c r="J978" s="73">
        <v>57.39</v>
      </c>
      <c r="K978" s="73">
        <v>0.01</v>
      </c>
      <c r="L978" s="73">
        <v>5.84</v>
      </c>
      <c r="N978" s="318">
        <f t="shared" si="187"/>
        <v>63.239999999999995</v>
      </c>
      <c r="O978" s="81" t="str">
        <f>IFERROR(VLOOKUP($G978,'321買'!A:E,3,0),"'沒有資料'")</f>
        <v>'沒有資料'</v>
      </c>
      <c r="P978" s="380" t="str">
        <f>IFERROR(VLOOKUP($G978,'321買'!$A:$G,7,0),"'沒有資料'")</f>
        <v>'沒有資料'</v>
      </c>
      <c r="R978" s="297">
        <f>IFERROR(RANK(VLOOKUP($G978,連買!$A:$D,4,0),連買!$D:$D,0),"'沒有資料'")</f>
        <v>984</v>
      </c>
      <c r="S978" s="34">
        <v>0.85</v>
      </c>
      <c r="T978" s="353">
        <f t="shared" si="192"/>
        <v>4.3814432989690726E-2</v>
      </c>
      <c r="U978" s="95">
        <v>0.88</v>
      </c>
      <c r="V978" s="13">
        <f>RTD("money.excel",,"5353","Price")</f>
        <v>19.399999999999999</v>
      </c>
      <c r="W978" s="66"/>
      <c r="X978" s="15">
        <f t="shared" si="189"/>
        <v>19.399999999999999</v>
      </c>
      <c r="Y978" s="3" t="e">
        <f t="shared" si="190"/>
        <v>#DIV/0!</v>
      </c>
      <c r="AA978" s="161">
        <v>0</v>
      </c>
      <c r="AB978" s="409">
        <v>0</v>
      </c>
      <c r="AC978" s="259">
        <f t="shared" si="194"/>
        <v>0</v>
      </c>
      <c r="AD978" s="16" t="s">
        <v>4734</v>
      </c>
      <c r="AG978" s="33">
        <f t="shared" si="191"/>
        <v>0</v>
      </c>
      <c r="AH978" s="43" t="s">
        <v>2408</v>
      </c>
      <c r="AI978" s="63">
        <f t="shared" si="193"/>
        <v>8.0000000000000004E-4</v>
      </c>
      <c r="AJ978" s="307">
        <f>RTD("money.excel",,$G978,"PredictVolume")</f>
        <v>60</v>
      </c>
      <c r="AK978" s="339"/>
    </row>
    <row r="979" spans="1:37">
      <c r="A979" s="416">
        <v>25.1</v>
      </c>
      <c r="B979" s="79">
        <v>60</v>
      </c>
      <c r="C979" s="79">
        <v>61</v>
      </c>
      <c r="D979" s="80">
        <v>-3</v>
      </c>
      <c r="E979" s="79">
        <v>27</v>
      </c>
      <c r="F979" s="6">
        <v>1.82</v>
      </c>
      <c r="G979" s="79">
        <v>5388</v>
      </c>
      <c r="H979" s="8" t="s">
        <v>313</v>
      </c>
      <c r="I979" s="22" t="s">
        <v>4735</v>
      </c>
      <c r="J979" s="73">
        <v>45.97</v>
      </c>
      <c r="K979" s="73">
        <v>21.87</v>
      </c>
      <c r="L979" s="323">
        <v>7.6</v>
      </c>
      <c r="N979" s="318">
        <f t="shared" si="187"/>
        <v>75.44</v>
      </c>
      <c r="O979" s="81">
        <f>IFERROR(VLOOKUP($G979,'321買'!A:E,3,0),"'沒有資料'")</f>
        <v>17</v>
      </c>
      <c r="P979" s="380">
        <f>IFERROR(VLOOKUP($G979,'321買'!$A:$G,7,0),"'沒有資料'")</f>
        <v>290</v>
      </c>
      <c r="R979" s="297">
        <f>IFERROR(RANK(VLOOKUP($G979,連買!$A:$D,4,0),連買!$D:$D,0),"'沒有資料'")</f>
        <v>295</v>
      </c>
      <c r="S979" s="34">
        <v>2.6</v>
      </c>
      <c r="T979" s="353">
        <f t="shared" si="192"/>
        <v>3.3333333333333333E-2</v>
      </c>
      <c r="U979" s="95">
        <v>3.87</v>
      </c>
      <c r="V979" s="36">
        <f>RTD("money.excel",,"5388","Price")</f>
        <v>78</v>
      </c>
      <c r="W979" s="66"/>
      <c r="X979" s="15">
        <f t="shared" si="189"/>
        <v>78</v>
      </c>
      <c r="Y979" s="3" t="e">
        <f t="shared" si="190"/>
        <v>#DIV/0!</v>
      </c>
      <c r="Z979" s="413" t="s">
        <v>1801</v>
      </c>
      <c r="AA979" s="161">
        <v>0</v>
      </c>
      <c r="AB979" s="409">
        <v>0</v>
      </c>
      <c r="AC979" s="259">
        <f t="shared" si="194"/>
        <v>0</v>
      </c>
      <c r="AD979" s="22" t="s">
        <v>4735</v>
      </c>
      <c r="AG979" s="33">
        <f t="shared" si="191"/>
        <v>0</v>
      </c>
      <c r="AH979" s="120" t="s">
        <v>4651</v>
      </c>
      <c r="AI979" s="63">
        <f t="shared" si="193"/>
        <v>4.9322709163346617E-3</v>
      </c>
      <c r="AJ979" s="307">
        <f>RTD("money.excel",,$G979,"PredictVolume")</f>
        <v>1238</v>
      </c>
      <c r="AK979" s="339"/>
    </row>
    <row r="980" spans="1:37">
      <c r="A980" s="416">
        <v>5.94</v>
      </c>
      <c r="B980" s="91">
        <v>-180</v>
      </c>
      <c r="C980" s="91">
        <v>-151</v>
      </c>
      <c r="D980" s="91">
        <v>-10</v>
      </c>
      <c r="E980" s="91">
        <v>20</v>
      </c>
      <c r="F980" s="6">
        <v>-2.0499999999999998</v>
      </c>
      <c r="G980" s="79">
        <v>6109</v>
      </c>
      <c r="H980" s="8" t="s">
        <v>313</v>
      </c>
      <c r="I980" s="16" t="s">
        <v>4736</v>
      </c>
      <c r="J980" s="73">
        <v>60.92</v>
      </c>
      <c r="K980" s="73">
        <v>2.4700000000000002</v>
      </c>
      <c r="L980" s="73">
        <v>2.2200000000000002</v>
      </c>
      <c r="N980" s="318">
        <f t="shared" si="187"/>
        <v>65.61</v>
      </c>
      <c r="O980" s="81">
        <f>IFERROR(VLOOKUP($G980,'321買'!A:E,3,0),"'沒有資料'")</f>
        <v>0</v>
      </c>
      <c r="P980" s="380">
        <f>IFERROR(VLOOKUP($G980,'321買'!$A:$G,7,0),"'沒有資料'")</f>
        <v>911</v>
      </c>
      <c r="R980" s="297">
        <f>IFERROR(RANK(VLOOKUP($G980,連買!$A:$D,4,0),連買!$D:$D,0),"'沒有資料'")</f>
        <v>1342</v>
      </c>
      <c r="S980" s="34">
        <v>0</v>
      </c>
      <c r="T980" s="353">
        <f t="shared" si="192"/>
        <v>0</v>
      </c>
      <c r="U980" s="95">
        <v>-0.16</v>
      </c>
      <c r="V980" s="13">
        <f>RTD("money.excel",,"6109","Price")</f>
        <v>9.5</v>
      </c>
      <c r="W980" s="66"/>
      <c r="X980" s="15">
        <f t="shared" si="189"/>
        <v>9.5</v>
      </c>
      <c r="Y980" s="3" t="e">
        <f t="shared" si="190"/>
        <v>#DIV/0!</v>
      </c>
      <c r="AA980" s="161">
        <v>0</v>
      </c>
      <c r="AB980" s="409">
        <v>0</v>
      </c>
      <c r="AC980" s="259">
        <f t="shared" si="194"/>
        <v>0</v>
      </c>
      <c r="AD980" s="16" t="s">
        <v>4736</v>
      </c>
      <c r="AG980" s="33">
        <f t="shared" si="191"/>
        <v>0</v>
      </c>
      <c r="AH980" s="43" t="s">
        <v>2556</v>
      </c>
      <c r="AI980" s="63">
        <f t="shared" si="193"/>
        <v>7.5757575757575747E-4</v>
      </c>
      <c r="AJ980" s="307">
        <f>RTD("money.excel",,$G980,"PredictVolume")</f>
        <v>45</v>
      </c>
      <c r="AK980" s="339"/>
    </row>
    <row r="981" spans="1:37">
      <c r="A981" s="416">
        <v>11.5</v>
      </c>
      <c r="B981" s="79">
        <v>22</v>
      </c>
      <c r="C981" s="80">
        <v>-17</v>
      </c>
      <c r="D981" s="79">
        <v>0</v>
      </c>
      <c r="E981" s="79">
        <v>15</v>
      </c>
      <c r="F981" s="6">
        <v>-7.15</v>
      </c>
      <c r="G981" s="79">
        <v>6136</v>
      </c>
      <c r="H981" s="8" t="s">
        <v>313</v>
      </c>
      <c r="I981" s="22" t="s">
        <v>4737</v>
      </c>
      <c r="J981" s="323">
        <v>19.329999999999998</v>
      </c>
      <c r="K981" s="323">
        <v>4.1399999999999997</v>
      </c>
      <c r="L981" s="323">
        <v>16.760000000000002</v>
      </c>
      <c r="N981" s="318">
        <f t="shared" si="187"/>
        <v>40.230000000000004</v>
      </c>
      <c r="O981" s="81">
        <f>IFERROR(VLOOKUP($G981,'321買'!A:E,3,0),"'沒有資料'")</f>
        <v>2</v>
      </c>
      <c r="P981" s="380">
        <f>IFERROR(VLOOKUP($G981,'321買'!$A:$G,7,0),"'沒有資料'")</f>
        <v>706</v>
      </c>
      <c r="R981" s="297">
        <f>IFERROR(RANK(VLOOKUP($G981,連買!$A:$D,4,0),連買!$D:$D,0),"'沒有資料'")</f>
        <v>932</v>
      </c>
      <c r="S981" s="34">
        <v>1.1000000000000001</v>
      </c>
      <c r="T981" s="353">
        <f t="shared" si="192"/>
        <v>5.7591623036649213E-2</v>
      </c>
      <c r="U981" s="95">
        <v>0.61</v>
      </c>
      <c r="V981" s="36">
        <f>RTD("money.excel",,"6136","Price")</f>
        <v>19.100000000000001</v>
      </c>
      <c r="W981" s="66"/>
      <c r="X981" s="15">
        <f t="shared" si="189"/>
        <v>19.100000000000001</v>
      </c>
      <c r="Y981" s="3" t="e">
        <f t="shared" si="190"/>
        <v>#DIV/0!</v>
      </c>
      <c r="AA981" s="161">
        <v>0</v>
      </c>
      <c r="AB981" s="409">
        <v>0</v>
      </c>
      <c r="AC981" s="259">
        <f t="shared" si="194"/>
        <v>0</v>
      </c>
      <c r="AD981" s="22" t="s">
        <v>4737</v>
      </c>
      <c r="AG981" s="33">
        <f t="shared" si="191"/>
        <v>0</v>
      </c>
      <c r="AH981" s="43" t="s">
        <v>4738</v>
      </c>
      <c r="AI981" s="63">
        <f t="shared" si="193"/>
        <v>6.3478260869565223E-4</v>
      </c>
      <c r="AJ981" s="307">
        <f>RTD("money.excel",,$G981,"PredictVolume")</f>
        <v>73</v>
      </c>
      <c r="AK981" s="339"/>
    </row>
    <row r="982" spans="1:37">
      <c r="A982" s="416">
        <v>39</v>
      </c>
      <c r="B982" s="91">
        <v>-26</v>
      </c>
      <c r="C982" s="91">
        <v>-35</v>
      </c>
      <c r="D982" s="91">
        <v>-58</v>
      </c>
      <c r="E982" s="91">
        <v>-22</v>
      </c>
      <c r="F982" s="6">
        <v>-16.7</v>
      </c>
      <c r="G982" s="79">
        <v>6142</v>
      </c>
      <c r="H982" s="8" t="s">
        <v>313</v>
      </c>
      <c r="I982" s="22" t="s">
        <v>4739</v>
      </c>
      <c r="J982" s="73">
        <v>44.66</v>
      </c>
      <c r="K982" s="73">
        <v>3.29</v>
      </c>
      <c r="L982" s="73">
        <v>17.05</v>
      </c>
      <c r="N982" s="318">
        <f t="shared" si="187"/>
        <v>65</v>
      </c>
      <c r="O982" s="81">
        <f>IFERROR(VLOOKUP($G982,'321買'!A:E,3,0),"'沒有資料'")</f>
        <v>0</v>
      </c>
      <c r="P982" s="380">
        <f>IFERROR(VLOOKUP($G982,'321買'!$A:$G,7,0),"'沒有資料'")</f>
        <v>911</v>
      </c>
      <c r="R982" s="297">
        <f>IFERROR(RANK(VLOOKUP($G982,連買!$A:$D,4,0),連買!$D:$D,0),"'沒有資料'")</f>
        <v>1508</v>
      </c>
      <c r="S982" s="34">
        <v>0</v>
      </c>
      <c r="T982" s="353">
        <f t="shared" si="192"/>
        <v>0</v>
      </c>
      <c r="U982" s="95">
        <v>-1.68</v>
      </c>
      <c r="V982" s="36">
        <f>RTD("money.excel",,"6142","Price")</f>
        <v>9.89</v>
      </c>
      <c r="W982" s="66"/>
      <c r="X982" s="15">
        <f t="shared" si="189"/>
        <v>9.89</v>
      </c>
      <c r="Y982" s="3" t="e">
        <f t="shared" si="190"/>
        <v>#DIV/0!</v>
      </c>
      <c r="AA982" s="161">
        <v>0</v>
      </c>
      <c r="AB982" s="409">
        <v>0</v>
      </c>
      <c r="AC982" s="259">
        <f t="shared" si="194"/>
        <v>0</v>
      </c>
      <c r="AD982" s="22" t="s">
        <v>4739</v>
      </c>
      <c r="AG982" s="33">
        <f t="shared" si="191"/>
        <v>0</v>
      </c>
      <c r="AH982" s="43" t="s">
        <v>4740</v>
      </c>
      <c r="AI982" s="63">
        <f t="shared" si="193"/>
        <v>4.230769230769231E-4</v>
      </c>
      <c r="AJ982" s="307">
        <f>RTD("money.excel",,$G982,"PredictVolume")</f>
        <v>165</v>
      </c>
    </row>
    <row r="983" spans="1:37">
      <c r="A983" s="416">
        <v>8.3000000000000007</v>
      </c>
      <c r="B983" s="80">
        <v>-1</v>
      </c>
      <c r="C983" s="79">
        <v>55</v>
      </c>
      <c r="D983" s="80">
        <v>-18</v>
      </c>
      <c r="E983" s="79">
        <v>15</v>
      </c>
      <c r="F983" s="6">
        <v>5.52</v>
      </c>
      <c r="G983" s="79">
        <v>6143</v>
      </c>
      <c r="H983" s="8" t="s">
        <v>313</v>
      </c>
      <c r="I983" s="16" t="s">
        <v>4741</v>
      </c>
      <c r="J983" s="73">
        <v>25.25</v>
      </c>
      <c r="K983" s="323">
        <v>5.71</v>
      </c>
      <c r="L983" s="73">
        <v>25.58</v>
      </c>
      <c r="N983" s="318">
        <f t="shared" si="187"/>
        <v>56.54</v>
      </c>
      <c r="O983" s="81">
        <f>IFERROR(VLOOKUP($G983,'321買'!A:E,3,0),"'沒有資料'")</f>
        <v>24</v>
      </c>
      <c r="P983" s="380">
        <f>IFERROR(VLOOKUP($G983,'321買'!$A:$G,7,0),"'沒有資料'")</f>
        <v>189</v>
      </c>
      <c r="R983" s="297">
        <f>IFERROR(RANK(VLOOKUP($G983,連買!$A:$D,4,0),連買!$D:$D,0),"'沒有資料'")</f>
        <v>507</v>
      </c>
      <c r="S983" s="34">
        <v>2.85</v>
      </c>
      <c r="T983" s="353">
        <f t="shared" si="192"/>
        <v>5.6435643564356437E-2</v>
      </c>
      <c r="U983" s="95">
        <v>2.95</v>
      </c>
      <c r="V983" s="36">
        <f>RTD("money.excel",,"6143","Price")</f>
        <v>50.5</v>
      </c>
      <c r="W983" s="66"/>
      <c r="X983" s="15">
        <f t="shared" si="189"/>
        <v>50.5</v>
      </c>
      <c r="Y983" s="3" t="e">
        <f t="shared" si="190"/>
        <v>#DIV/0!</v>
      </c>
      <c r="Z983" s="413" t="s">
        <v>1801</v>
      </c>
      <c r="AA983" s="161">
        <v>0</v>
      </c>
      <c r="AB983" s="409">
        <v>0</v>
      </c>
      <c r="AC983" s="259">
        <f t="shared" si="194"/>
        <v>0</v>
      </c>
      <c r="AD983" s="16" t="s">
        <v>4741</v>
      </c>
      <c r="AG983" s="33">
        <f t="shared" si="191"/>
        <v>0</v>
      </c>
      <c r="AH983" s="120" t="s">
        <v>4742</v>
      </c>
      <c r="AI983" s="63">
        <f t="shared" si="193"/>
        <v>1.7710843373493976E-3</v>
      </c>
      <c r="AJ983" s="307">
        <f>RTD("money.excel",,$G983,"PredictVolume")</f>
        <v>147</v>
      </c>
      <c r="AK983" s="339"/>
    </row>
    <row r="984" spans="1:37">
      <c r="A984" s="416">
        <v>16.7</v>
      </c>
      <c r="B984" s="91">
        <v>111</v>
      </c>
      <c r="C984" s="91">
        <v>0</v>
      </c>
      <c r="D984" s="91">
        <v>-39</v>
      </c>
      <c r="E984" s="91">
        <v>57</v>
      </c>
      <c r="F984" s="6">
        <v>-6.3</v>
      </c>
      <c r="G984" s="79">
        <v>6152</v>
      </c>
      <c r="H984" s="8" t="s">
        <v>313</v>
      </c>
      <c r="I984" s="22" t="s">
        <v>4743</v>
      </c>
      <c r="J984" s="73">
        <v>40.68</v>
      </c>
      <c r="K984" s="73">
        <v>1.23</v>
      </c>
      <c r="L984" s="73">
        <v>0</v>
      </c>
      <c r="N984" s="318">
        <f t="shared" si="187"/>
        <v>41.91</v>
      </c>
      <c r="O984" s="81">
        <f>IFERROR(VLOOKUP($G984,'321買'!A:E,3,0),"'沒有資料'")</f>
        <v>0</v>
      </c>
      <c r="P984" s="380">
        <f>IFERROR(VLOOKUP($G984,'321買'!$A:$G,7,0),"'沒有資料'")</f>
        <v>911</v>
      </c>
      <c r="R984" s="297">
        <f>IFERROR(RANK(VLOOKUP($G984,連買!$A:$D,4,0),連買!$D:$D,0),"'沒有資料'")</f>
        <v>1358</v>
      </c>
      <c r="S984" s="34">
        <v>0</v>
      </c>
      <c r="T984" s="353">
        <f t="shared" si="192"/>
        <v>0</v>
      </c>
      <c r="U984" s="95">
        <v>0.13</v>
      </c>
      <c r="V984" s="36">
        <f>RTD("money.excel",,"6152","Price")</f>
        <v>9.24</v>
      </c>
      <c r="W984" s="66"/>
      <c r="X984" s="15">
        <f t="shared" si="189"/>
        <v>9.24</v>
      </c>
      <c r="Y984" s="3" t="e">
        <f t="shared" si="190"/>
        <v>#DIV/0!</v>
      </c>
      <c r="AA984" s="161">
        <v>0</v>
      </c>
      <c r="AB984" s="409">
        <v>0</v>
      </c>
      <c r="AC984" s="259">
        <f t="shared" si="194"/>
        <v>0</v>
      </c>
      <c r="AD984" s="22" t="s">
        <v>4743</v>
      </c>
      <c r="AG984" s="33">
        <f t="shared" si="191"/>
        <v>0</v>
      </c>
      <c r="AH984" s="43" t="s">
        <v>4744</v>
      </c>
      <c r="AI984" s="63">
        <f t="shared" si="193"/>
        <v>1.4491017964071856E-3</v>
      </c>
      <c r="AJ984" s="307">
        <f>RTD("money.excel",,$G984,"PredictVolume")</f>
        <v>242</v>
      </c>
      <c r="AK984" s="339"/>
    </row>
    <row r="985" spans="1:37">
      <c r="A985" s="416">
        <v>12.2</v>
      </c>
      <c r="B985" s="91">
        <v>-209</v>
      </c>
      <c r="C985" s="91">
        <v>-245</v>
      </c>
      <c r="D985" s="91">
        <v>203</v>
      </c>
      <c r="E985" s="91">
        <v>-5</v>
      </c>
      <c r="F985" s="6">
        <v>3.19</v>
      </c>
      <c r="G985" s="79">
        <v>6163</v>
      </c>
      <c r="H985" s="8" t="s">
        <v>313</v>
      </c>
      <c r="I985" s="16" t="s">
        <v>4745</v>
      </c>
      <c r="J985" s="73">
        <v>22.97</v>
      </c>
      <c r="K985" s="73">
        <v>1.5</v>
      </c>
      <c r="L985" s="73">
        <v>14.27</v>
      </c>
      <c r="N985" s="318">
        <f t="shared" si="187"/>
        <v>38.739999999999995</v>
      </c>
      <c r="O985" s="81">
        <f>IFERROR(VLOOKUP($G985,'321買'!A:E,3,0),"'沒有資料'")</f>
        <v>13</v>
      </c>
      <c r="P985" s="380">
        <f>IFERROR(VLOOKUP($G985,'321買'!$A:$G,7,0),"'沒有資料'")</f>
        <v>368</v>
      </c>
      <c r="R985" s="297">
        <f>IFERROR(RANK(VLOOKUP($G985,連買!$A:$D,4,0),連買!$D:$D,0),"'沒有資料'")</f>
        <v>1227</v>
      </c>
      <c r="S985" s="34">
        <v>0</v>
      </c>
      <c r="T985" s="353">
        <f t="shared" si="192"/>
        <v>0</v>
      </c>
      <c r="U985" s="95">
        <v>0.02</v>
      </c>
      <c r="V985" s="36">
        <f>RTD("money.excel",,"6163","Price")</f>
        <v>18.05</v>
      </c>
      <c r="W985" s="66"/>
      <c r="X985" s="15">
        <f t="shared" si="189"/>
        <v>18.05</v>
      </c>
      <c r="Y985" s="3" t="e">
        <f t="shared" si="190"/>
        <v>#DIV/0!</v>
      </c>
      <c r="AA985" s="161">
        <v>0</v>
      </c>
      <c r="AB985" s="409">
        <v>0</v>
      </c>
      <c r="AC985" s="259">
        <f t="shared" si="194"/>
        <v>0</v>
      </c>
      <c r="AD985" s="16" t="s">
        <v>4745</v>
      </c>
      <c r="AG985" s="33">
        <f t="shared" si="191"/>
        <v>0</v>
      </c>
      <c r="AH985" s="43" t="s">
        <v>4746</v>
      </c>
      <c r="AI985" s="63">
        <f t="shared" si="193"/>
        <v>3.6967213114754097E-3</v>
      </c>
      <c r="AJ985" s="307">
        <f>RTD("money.excel",,$G985,"PredictVolume")</f>
        <v>451</v>
      </c>
      <c r="AK985" s="339"/>
    </row>
    <row r="986" spans="1:37">
      <c r="A986" s="416">
        <v>8.9700000000000006</v>
      </c>
      <c r="B986" s="91">
        <v>71</v>
      </c>
      <c r="C986" s="91">
        <v>60</v>
      </c>
      <c r="D986" s="91">
        <v>6</v>
      </c>
      <c r="E986" s="91">
        <v>-13</v>
      </c>
      <c r="F986" s="6">
        <v>-1.83</v>
      </c>
      <c r="G986" s="79">
        <v>6170</v>
      </c>
      <c r="H986" s="8" t="s">
        <v>313</v>
      </c>
      <c r="I986" s="16" t="s">
        <v>4747</v>
      </c>
      <c r="J986" s="73">
        <v>38.07</v>
      </c>
      <c r="K986" s="73">
        <v>3.67</v>
      </c>
      <c r="L986" s="73">
        <v>10.5</v>
      </c>
      <c r="N986" s="318">
        <f t="shared" si="187"/>
        <v>52.24</v>
      </c>
      <c r="O986" s="81">
        <f>IFERROR(VLOOKUP($G986,'321買'!A:E,3,0),"'沒有資料'")</f>
        <v>30</v>
      </c>
      <c r="P986" s="380">
        <f>IFERROR(VLOOKUP($G986,'321買'!$A:$G,7,0),"'沒有資料'")</f>
        <v>180</v>
      </c>
      <c r="R986" s="297">
        <f>IFERROR(RANK(VLOOKUP($G986,連買!$A:$D,4,0),連買!$D:$D,0),"'沒有資料'")</f>
        <v>1566</v>
      </c>
      <c r="S986" s="34">
        <v>1.4</v>
      </c>
      <c r="T986" s="353">
        <f t="shared" si="192"/>
        <v>4.5161290322580643E-2</v>
      </c>
      <c r="U986" s="95">
        <v>1.63</v>
      </c>
      <c r="V986" s="36">
        <f>RTD("money.excel",,"6170","Price")</f>
        <v>31</v>
      </c>
      <c r="W986" s="66"/>
      <c r="X986" s="15">
        <f t="shared" si="189"/>
        <v>31</v>
      </c>
      <c r="Y986" s="3" t="e">
        <f t="shared" si="190"/>
        <v>#DIV/0!</v>
      </c>
      <c r="AA986" s="161">
        <v>0</v>
      </c>
      <c r="AB986" s="409">
        <v>0</v>
      </c>
      <c r="AC986" s="259">
        <f t="shared" si="194"/>
        <v>0</v>
      </c>
      <c r="AD986" s="16" t="s">
        <v>4747</v>
      </c>
      <c r="AG986" s="33">
        <f t="shared" si="191"/>
        <v>0</v>
      </c>
      <c r="AH986" s="43" t="s">
        <v>4748</v>
      </c>
      <c r="AI986" s="63">
        <f t="shared" si="193"/>
        <v>2.8205128205128207E-3</v>
      </c>
      <c r="AJ986" s="307">
        <f>RTD("money.excel",,$G986,"PredictVolume")</f>
        <v>253</v>
      </c>
      <c r="AK986" s="339"/>
    </row>
    <row r="987" spans="1:37">
      <c r="A987" s="416">
        <v>14.9</v>
      </c>
      <c r="B987" s="79">
        <v>62</v>
      </c>
      <c r="C987" s="79">
        <v>55</v>
      </c>
      <c r="D987" s="79">
        <v>8</v>
      </c>
      <c r="E987" s="79">
        <v>53</v>
      </c>
      <c r="F987" s="6">
        <v>5.15</v>
      </c>
      <c r="G987" s="79">
        <v>6190</v>
      </c>
      <c r="H987" s="8" t="s">
        <v>313</v>
      </c>
      <c r="I987" s="16" t="s">
        <v>4749</v>
      </c>
      <c r="J987" s="73">
        <v>40.119999999999997</v>
      </c>
      <c r="K987" s="73">
        <v>1.52</v>
      </c>
      <c r="L987" s="323">
        <v>28.93</v>
      </c>
      <c r="M987" s="73">
        <v>10.85</v>
      </c>
      <c r="N987" s="318">
        <f t="shared" si="187"/>
        <v>81.419999999999987</v>
      </c>
      <c r="O987" s="81">
        <f>IFERROR(VLOOKUP($G987,'321買'!A:E,3,0),"'沒有資料'")</f>
        <v>24</v>
      </c>
      <c r="P987" s="380">
        <f>IFERROR(VLOOKUP($G987,'321買'!$A:$G,7,0),"'沒有資料'")</f>
        <v>215</v>
      </c>
      <c r="Q987" s="245" t="s">
        <v>3815</v>
      </c>
      <c r="R987" s="297">
        <f>IFERROR(RANK(VLOOKUP($G987,連買!$A:$D,4,0),連買!$D:$D,0),"'沒有資料'")</f>
        <v>666</v>
      </c>
      <c r="S987" s="34">
        <v>1.01</v>
      </c>
      <c r="T987" s="353">
        <f t="shared" si="192"/>
        <v>2.5093167701863355E-2</v>
      </c>
      <c r="U987" s="95">
        <v>1.58</v>
      </c>
      <c r="V987" s="36">
        <f>RTD("money.excel",,"6190","Price")</f>
        <v>40.25</v>
      </c>
      <c r="W987" s="66"/>
      <c r="X987" s="15">
        <f t="shared" si="189"/>
        <v>40.25</v>
      </c>
      <c r="Y987" s="3" t="e">
        <f t="shared" si="190"/>
        <v>#DIV/0!</v>
      </c>
      <c r="Z987" s="413" t="s">
        <v>1801</v>
      </c>
      <c r="AA987" s="161">
        <v>0</v>
      </c>
      <c r="AB987" s="409">
        <v>0</v>
      </c>
      <c r="AC987" s="259">
        <f t="shared" si="194"/>
        <v>0</v>
      </c>
      <c r="AD987" s="16" t="s">
        <v>4749</v>
      </c>
      <c r="AG987" s="33">
        <f t="shared" si="191"/>
        <v>0</v>
      </c>
      <c r="AH987" s="43" t="s">
        <v>3128</v>
      </c>
      <c r="AI987" s="63">
        <f t="shared" si="193"/>
        <v>0.13018120805369127</v>
      </c>
      <c r="AJ987" s="307">
        <f>RTD("money.excel",,$G987,"PredictVolume")</f>
        <v>19397</v>
      </c>
      <c r="AK987" s="339"/>
    </row>
    <row r="988" spans="1:37">
      <c r="A988" s="415">
        <v>8.65</v>
      </c>
      <c r="B988" s="91">
        <v>-34</v>
      </c>
      <c r="C988" s="91">
        <v>-22</v>
      </c>
      <c r="D988" s="91">
        <v>-3</v>
      </c>
      <c r="E988" s="91">
        <v>92</v>
      </c>
      <c r="F988" s="57">
        <v>16.149999999999999</v>
      </c>
      <c r="G988" s="79">
        <v>6216</v>
      </c>
      <c r="H988" s="8" t="s">
        <v>313</v>
      </c>
      <c r="I988" s="22" t="s">
        <v>4750</v>
      </c>
      <c r="J988" s="73">
        <v>38.04</v>
      </c>
      <c r="K988" s="323">
        <v>0.78</v>
      </c>
      <c r="L988" s="73">
        <v>2.17</v>
      </c>
      <c r="N988" s="318">
        <f t="shared" si="187"/>
        <v>40.99</v>
      </c>
      <c r="O988" s="81">
        <f>IFERROR(VLOOKUP($G988,'321買'!A:E,3,0),"'沒有資料'")</f>
        <v>2</v>
      </c>
      <c r="P988" s="380">
        <f>IFERROR(VLOOKUP($G988,'321買'!$A:$G,7,0),"'沒有資料'")</f>
        <v>706</v>
      </c>
      <c r="R988" s="297">
        <f>IFERROR(RANK(VLOOKUP($G988,連買!$A:$D,4,0),連買!$D:$D,0),"'沒有資料'")</f>
        <v>769</v>
      </c>
      <c r="S988" s="34">
        <v>1.5</v>
      </c>
      <c r="T988" s="353">
        <f t="shared" si="192"/>
        <v>0.05</v>
      </c>
      <c r="U988" s="95">
        <v>1.27</v>
      </c>
      <c r="V988" s="36">
        <f>RTD("money.excel",,"6216","Price")</f>
        <v>30</v>
      </c>
      <c r="W988" s="66"/>
      <c r="X988" s="15">
        <f t="shared" si="189"/>
        <v>30</v>
      </c>
      <c r="Y988" s="3" t="e">
        <f t="shared" si="190"/>
        <v>#DIV/0!</v>
      </c>
      <c r="AA988" s="161">
        <v>0</v>
      </c>
      <c r="AB988" s="409">
        <v>0</v>
      </c>
      <c r="AC988" s="259">
        <f t="shared" si="194"/>
        <v>0</v>
      </c>
      <c r="AD988" s="22" t="s">
        <v>4750</v>
      </c>
      <c r="AG988" s="33">
        <f t="shared" si="191"/>
        <v>0</v>
      </c>
      <c r="AH988" s="43" t="s">
        <v>4651</v>
      </c>
      <c r="AI988" s="63">
        <f t="shared" si="193"/>
        <v>1.3537572254335261E-2</v>
      </c>
      <c r="AJ988" s="307">
        <f>RTD("money.excel",,$G988,"PredictVolume")</f>
        <v>1171</v>
      </c>
      <c r="AK988" s="339"/>
    </row>
    <row r="989" spans="1:37">
      <c r="A989" s="416">
        <v>6.43</v>
      </c>
      <c r="B989" s="91">
        <v>-48</v>
      </c>
      <c r="C989" s="91">
        <v>-66</v>
      </c>
      <c r="D989" s="91">
        <v>-23</v>
      </c>
      <c r="E989" s="91">
        <v>56</v>
      </c>
      <c r="F989" s="6">
        <v>3.69</v>
      </c>
      <c r="G989" s="79">
        <v>6218</v>
      </c>
      <c r="H989" s="8" t="s">
        <v>313</v>
      </c>
      <c r="I989" s="16" t="s">
        <v>4751</v>
      </c>
      <c r="J989" s="73">
        <v>58.78</v>
      </c>
      <c r="K989" s="73">
        <v>0.09</v>
      </c>
      <c r="L989" s="73">
        <v>37.26</v>
      </c>
      <c r="N989" s="318">
        <f t="shared" si="187"/>
        <v>96.13</v>
      </c>
      <c r="O989" s="81">
        <f>IFERROR(VLOOKUP($G989,'321買'!A:E,3,0),"'沒有資料'")</f>
        <v>1</v>
      </c>
      <c r="P989" s="380">
        <f>IFERROR(VLOOKUP($G989,'321買'!$A:$G,7,0),"'沒有資料'")</f>
        <v>783</v>
      </c>
      <c r="R989" s="297">
        <f>IFERROR(RANK(VLOOKUP($G989,連買!$A:$D,4,0),連買!$D:$D,0),"'沒有資料'")</f>
        <v>1088</v>
      </c>
      <c r="S989" s="34">
        <v>1</v>
      </c>
      <c r="T989" s="353">
        <f t="shared" si="192"/>
        <v>4.8076923076923073E-2</v>
      </c>
      <c r="U989" s="95">
        <v>0.79</v>
      </c>
      <c r="V989" s="13">
        <f>RTD("money.excel",,"6218","Price")</f>
        <v>20.8</v>
      </c>
      <c r="W989" s="66"/>
      <c r="X989" s="15">
        <f t="shared" si="189"/>
        <v>20.8</v>
      </c>
      <c r="Y989" s="3" t="e">
        <f t="shared" si="190"/>
        <v>#DIV/0!</v>
      </c>
      <c r="AA989" s="161">
        <v>0</v>
      </c>
      <c r="AB989" s="409">
        <v>0</v>
      </c>
      <c r="AC989" s="259">
        <f t="shared" si="194"/>
        <v>0</v>
      </c>
      <c r="AD989" s="16" t="s">
        <v>4751</v>
      </c>
      <c r="AG989" s="33">
        <f t="shared" si="191"/>
        <v>0</v>
      </c>
      <c r="AH989" s="43" t="s">
        <v>4752</v>
      </c>
      <c r="AI989" s="63">
        <f t="shared" si="193"/>
        <v>1.04199066874028E-3</v>
      </c>
      <c r="AJ989" s="307">
        <f>RTD("money.excel",,$G989,"PredictVolume")</f>
        <v>67</v>
      </c>
      <c r="AK989" s="339"/>
    </row>
    <row r="990" spans="1:37">
      <c r="A990" s="416">
        <v>3.37</v>
      </c>
      <c r="B990" s="80">
        <v>-680</v>
      </c>
      <c r="C990" s="94">
        <v>-1103</v>
      </c>
      <c r="D990" s="79">
        <v>91</v>
      </c>
      <c r="E990" s="79">
        <v>91</v>
      </c>
      <c r="F990" s="6">
        <v>-76.709999999999994</v>
      </c>
      <c r="G990" s="79">
        <v>6241</v>
      </c>
      <c r="H990" s="8" t="s">
        <v>313</v>
      </c>
      <c r="I990" s="16" t="s">
        <v>4753</v>
      </c>
      <c r="J990" s="323">
        <v>42.31</v>
      </c>
      <c r="K990" s="323">
        <v>0.03</v>
      </c>
      <c r="N990" s="318">
        <f t="shared" si="187"/>
        <v>42.34</v>
      </c>
      <c r="O990" s="81">
        <f>IFERROR(VLOOKUP($G990,'321買'!A:E,3,0),"'沒有資料'")</f>
        <v>0</v>
      </c>
      <c r="P990" s="380">
        <f>IFERROR(VLOOKUP($G990,'321買'!$A:$G,7,0),"'沒有資料'")</f>
        <v>911</v>
      </c>
      <c r="R990" s="297">
        <f>IFERROR(RANK(VLOOKUP($G990,連買!$A:$D,4,0),連買!$D:$D,0),"'沒有資料'")</f>
        <v>1110</v>
      </c>
      <c r="S990" s="34">
        <v>0</v>
      </c>
      <c r="T990" s="353">
        <f t="shared" si="192"/>
        <v>0</v>
      </c>
      <c r="U990" s="95">
        <v>-1.35</v>
      </c>
      <c r="V990" s="36">
        <f>RTD("money.excel",,"6241","Price")</f>
        <v>37.700000000000003</v>
      </c>
      <c r="W990" s="66"/>
      <c r="X990" s="15">
        <f t="shared" si="189"/>
        <v>37.700000000000003</v>
      </c>
      <c r="Y990" s="3" t="e">
        <f t="shared" si="190"/>
        <v>#DIV/0!</v>
      </c>
      <c r="AA990" s="161">
        <v>0</v>
      </c>
      <c r="AB990" s="409">
        <v>0</v>
      </c>
      <c r="AC990" s="259">
        <f t="shared" si="194"/>
        <v>0</v>
      </c>
      <c r="AD990" s="16" t="s">
        <v>4753</v>
      </c>
      <c r="AG990" s="33">
        <f t="shared" si="191"/>
        <v>0</v>
      </c>
      <c r="AH990" s="43" t="s">
        <v>2808</v>
      </c>
      <c r="AI990" s="63">
        <f t="shared" si="193"/>
        <v>6.8011869436201786E-2</v>
      </c>
      <c r="AJ990" s="307">
        <f>RTD("money.excel",,$G990,"PredictVolume")</f>
        <v>2292</v>
      </c>
      <c r="AK990" s="339"/>
    </row>
    <row r="991" spans="1:37">
      <c r="A991" s="416">
        <v>11.72</v>
      </c>
      <c r="B991" s="80">
        <v>-34</v>
      </c>
      <c r="C991" s="80">
        <v>-26</v>
      </c>
      <c r="D991" s="79">
        <v>3</v>
      </c>
      <c r="E991" s="79">
        <v>3</v>
      </c>
      <c r="F991" s="6">
        <v>6.69</v>
      </c>
      <c r="G991" s="79">
        <v>6245</v>
      </c>
      <c r="H991" s="8" t="s">
        <v>313</v>
      </c>
      <c r="I991" s="16" t="s">
        <v>4754</v>
      </c>
      <c r="J991" s="73">
        <v>45.53</v>
      </c>
      <c r="K991" s="73">
        <v>10.29</v>
      </c>
      <c r="L991" s="323">
        <v>6.27</v>
      </c>
      <c r="M991" s="73">
        <v>14.86</v>
      </c>
      <c r="N991" s="318">
        <f t="shared" si="187"/>
        <v>76.95</v>
      </c>
      <c r="O991" s="81">
        <f>IFERROR(VLOOKUP($G991,'321買'!A:E,3,0),"'沒有資料'")</f>
        <v>0</v>
      </c>
      <c r="P991" s="380">
        <f>IFERROR(VLOOKUP($G991,'321買'!$A:$G,7,0),"'沒有資料'")</f>
        <v>911</v>
      </c>
      <c r="Q991" s="245" t="s">
        <v>5077</v>
      </c>
      <c r="R991" s="297">
        <f>IFERROR(RANK(VLOOKUP($G991,連買!$A:$D,4,0),連買!$D:$D,0),"'沒有資料'")</f>
        <v>165</v>
      </c>
      <c r="S991" s="34">
        <v>2.8</v>
      </c>
      <c r="T991" s="353">
        <f t="shared" si="192"/>
        <v>4.6979865771812075E-2</v>
      </c>
      <c r="U991" s="95">
        <v>5.05</v>
      </c>
      <c r="V991" s="36">
        <f>RTD("money.excel",,"6245","Price")</f>
        <v>59.6</v>
      </c>
      <c r="W991" s="66"/>
      <c r="X991" s="15">
        <f t="shared" si="189"/>
        <v>59.6</v>
      </c>
      <c r="Y991" s="3" t="e">
        <f t="shared" si="190"/>
        <v>#DIV/0!</v>
      </c>
      <c r="Z991" s="413" t="s">
        <v>1801</v>
      </c>
      <c r="AA991" s="161">
        <v>0</v>
      </c>
      <c r="AB991" s="409">
        <v>0</v>
      </c>
      <c r="AC991" s="259">
        <f t="shared" si="194"/>
        <v>0</v>
      </c>
      <c r="AD991" s="16" t="s">
        <v>4754</v>
      </c>
      <c r="AG991" s="33">
        <f t="shared" si="191"/>
        <v>0</v>
      </c>
      <c r="AH991" s="120" t="s">
        <v>4755</v>
      </c>
      <c r="AI991" s="63">
        <f t="shared" si="193"/>
        <v>2.2849829351535837E-2</v>
      </c>
      <c r="AJ991" s="307">
        <f>RTD("money.excel",,$G991,"PredictVolume")</f>
        <v>2678</v>
      </c>
      <c r="AK991" s="339">
        <v>8.39</v>
      </c>
    </row>
    <row r="992" spans="1:37">
      <c r="A992" s="415">
        <v>6.25</v>
      </c>
      <c r="B992" s="80">
        <v>3</v>
      </c>
      <c r="C992" s="79">
        <v>3</v>
      </c>
      <c r="D992" s="80">
        <v>42</v>
      </c>
      <c r="E992" s="79">
        <v>15</v>
      </c>
      <c r="F992" s="57">
        <v>26.49</v>
      </c>
      <c r="G992" s="79">
        <v>6263</v>
      </c>
      <c r="H992" s="8" t="s">
        <v>313</v>
      </c>
      <c r="I992" s="16" t="s">
        <v>4756</v>
      </c>
      <c r="J992" s="73">
        <v>44.15</v>
      </c>
      <c r="K992" s="323">
        <v>2.35</v>
      </c>
      <c r="L992" s="323">
        <v>0.66</v>
      </c>
      <c r="N992" s="318">
        <f t="shared" ref="N992:N1004" si="195">J992+K992+L992+M992</f>
        <v>47.16</v>
      </c>
      <c r="O992" s="81">
        <f>IFERROR(VLOOKUP($G992,'321買'!A:E,3,0),"'沒有資料'")</f>
        <v>0</v>
      </c>
      <c r="P992" s="380">
        <f>IFERROR(VLOOKUP($G992,'321買'!$A:$G,7,0),"'沒有資料'")</f>
        <v>911</v>
      </c>
      <c r="R992" s="297">
        <f>IFERROR(RANK(VLOOKUP($G992,連買!$A:$D,4,0),連買!$D:$D,0),"'沒有資料'")</f>
        <v>284</v>
      </c>
      <c r="S992" s="66">
        <v>4.5</v>
      </c>
      <c r="T992" s="353">
        <f t="shared" ref="T992:T1014" si="196">S992/V992</f>
        <v>6.1224489795918366E-2</v>
      </c>
      <c r="U992" s="57">
        <v>4.33</v>
      </c>
      <c r="V992" s="36">
        <f>RTD("money.excel",,"6263","Price")</f>
        <v>73.5</v>
      </c>
      <c r="W992" s="66"/>
      <c r="X992" s="15">
        <f t="shared" ref="X992:X1014" si="197">V992-W992</f>
        <v>73.5</v>
      </c>
      <c r="Y992" s="3" t="e">
        <f t="shared" ref="Y992:Y1014" si="198">X992/W992</f>
        <v>#DIV/0!</v>
      </c>
      <c r="Z992" s="413" t="s">
        <v>1831</v>
      </c>
      <c r="AA992" s="161">
        <v>0</v>
      </c>
      <c r="AB992" s="409">
        <v>0</v>
      </c>
      <c r="AC992" s="259">
        <f t="shared" si="194"/>
        <v>0</v>
      </c>
      <c r="AD992" s="16" t="s">
        <v>4756</v>
      </c>
      <c r="AG992" s="33">
        <f t="shared" ref="AG992:AG1014" si="199">AF992-AE992</f>
        <v>0</v>
      </c>
      <c r="AH992" s="120" t="s">
        <v>4651</v>
      </c>
      <c r="AI992" s="63">
        <f t="shared" ref="AI992:AI1014" si="200">AJ992/(A992*10000)</f>
        <v>8.0000000000000007E-5</v>
      </c>
      <c r="AJ992" s="307">
        <f>RTD("money.excel",,$G992,"PredictVolume")</f>
        <v>5</v>
      </c>
      <c r="AK992" s="339"/>
    </row>
    <row r="993" spans="1:37">
      <c r="A993" s="416">
        <v>39.700000000000003</v>
      </c>
      <c r="B993" s="79">
        <v>8</v>
      </c>
      <c r="C993" s="79">
        <v>13</v>
      </c>
      <c r="D993" s="80">
        <v>-10</v>
      </c>
      <c r="E993" s="79">
        <v>4</v>
      </c>
      <c r="F993" s="6">
        <v>1.75</v>
      </c>
      <c r="G993" s="79">
        <v>6285</v>
      </c>
      <c r="H993" s="8" t="s">
        <v>313</v>
      </c>
      <c r="I993" s="22" t="s">
        <v>4757</v>
      </c>
      <c r="J993" s="323">
        <v>51.22</v>
      </c>
      <c r="K993" s="323">
        <v>8.99</v>
      </c>
      <c r="L993" s="323">
        <v>6.23</v>
      </c>
      <c r="N993" s="318">
        <f t="shared" si="195"/>
        <v>66.44</v>
      </c>
      <c r="O993" s="81">
        <f>IFERROR(VLOOKUP($G993,'321買'!A:E,3,0),"'沒有資料'")</f>
        <v>4</v>
      </c>
      <c r="P993" s="380">
        <f>IFERROR(VLOOKUP($G993,'321買'!$A:$G,7,0),"'沒有資料'")</f>
        <v>592</v>
      </c>
      <c r="R993" s="297">
        <f>IFERROR(RANK(VLOOKUP($G993,連買!$A:$D,4,0),連買!$D:$D,0),"'沒有資料'")</f>
        <v>496</v>
      </c>
      <c r="S993" s="34">
        <v>2.5</v>
      </c>
      <c r="T993" s="353">
        <f t="shared" si="196"/>
        <v>3.4387895460797797E-2</v>
      </c>
      <c r="U993" s="57">
        <v>3.81</v>
      </c>
      <c r="V993" s="36">
        <f>RTD("money.excel",,"6285","Price")</f>
        <v>72.7</v>
      </c>
      <c r="W993" s="66"/>
      <c r="X993" s="15">
        <f t="shared" si="197"/>
        <v>72.7</v>
      </c>
      <c r="Y993" s="3" t="e">
        <f t="shared" si="198"/>
        <v>#DIV/0!</v>
      </c>
      <c r="Z993" s="413" t="s">
        <v>1801</v>
      </c>
      <c r="AA993" s="161">
        <v>0</v>
      </c>
      <c r="AB993" s="409">
        <v>0</v>
      </c>
      <c r="AC993" s="259">
        <f t="shared" si="194"/>
        <v>0</v>
      </c>
      <c r="AD993" s="22" t="s">
        <v>4757</v>
      </c>
      <c r="AG993" s="33">
        <f t="shared" si="199"/>
        <v>0</v>
      </c>
      <c r="AH993" s="120" t="s">
        <v>4758</v>
      </c>
      <c r="AI993" s="63">
        <f t="shared" si="200"/>
        <v>2.8866498740554155E-3</v>
      </c>
      <c r="AJ993" s="307">
        <f>RTD("money.excel",,$G993,"PredictVolume")</f>
        <v>1146</v>
      </c>
      <c r="AK993" s="339"/>
    </row>
    <row r="994" spans="1:37">
      <c r="A994" s="416">
        <v>7.32</v>
      </c>
      <c r="B994" s="80">
        <v>-49</v>
      </c>
      <c r="C994" s="80">
        <v>-48</v>
      </c>
      <c r="D994" s="79">
        <v>1</v>
      </c>
      <c r="E994" s="80">
        <v>-11</v>
      </c>
      <c r="F994" s="6">
        <v>6.35</v>
      </c>
      <c r="G994" s="79">
        <v>6416</v>
      </c>
      <c r="H994" s="8" t="s">
        <v>313</v>
      </c>
      <c r="I994" s="22" t="s">
        <v>4759</v>
      </c>
      <c r="J994" s="323">
        <v>37.92</v>
      </c>
      <c r="K994" s="73">
        <v>0.79</v>
      </c>
      <c r="L994" s="73">
        <v>24.69</v>
      </c>
      <c r="M994" s="323">
        <v>28.65</v>
      </c>
      <c r="N994" s="318">
        <f t="shared" si="195"/>
        <v>92.050000000000011</v>
      </c>
      <c r="O994" s="81">
        <f>IFERROR(VLOOKUP($G994,'321買'!A:E,3,0),"'沒有資料'")</f>
        <v>4</v>
      </c>
      <c r="P994" s="380">
        <f>IFERROR(VLOOKUP($G994,'321買'!$A:$G,7,0),"'沒有資料'")</f>
        <v>592</v>
      </c>
      <c r="Q994" s="245" t="s">
        <v>3817</v>
      </c>
      <c r="R994" s="297">
        <f>IFERROR(RANK(VLOOKUP($G994,連買!$A:$D,4,0),連買!$D:$D,0),"'沒有資料'")</f>
        <v>72</v>
      </c>
      <c r="S994" s="66">
        <v>3.65</v>
      </c>
      <c r="T994" s="353">
        <f t="shared" si="196"/>
        <v>4.015401540154015E-2</v>
      </c>
      <c r="U994" s="95">
        <v>3.31</v>
      </c>
      <c r="V994" s="36">
        <f>RTD("money.excel",,"6416","Price")</f>
        <v>90.9</v>
      </c>
      <c r="W994" s="66"/>
      <c r="X994" s="15">
        <f t="shared" si="197"/>
        <v>90.9</v>
      </c>
      <c r="Y994" s="3" t="e">
        <f t="shared" si="198"/>
        <v>#DIV/0!</v>
      </c>
      <c r="Z994" s="413" t="s">
        <v>1997</v>
      </c>
      <c r="AA994" s="161">
        <v>0</v>
      </c>
      <c r="AB994" s="409">
        <v>0</v>
      </c>
      <c r="AC994" s="259">
        <f t="shared" si="194"/>
        <v>0</v>
      </c>
      <c r="AD994" s="22" t="s">
        <v>4759</v>
      </c>
      <c r="AG994" s="33">
        <f t="shared" si="199"/>
        <v>0</v>
      </c>
      <c r="AH994" s="43" t="s">
        <v>4760</v>
      </c>
      <c r="AI994" s="63">
        <f t="shared" si="200"/>
        <v>1.0519125683060109E-3</v>
      </c>
      <c r="AJ994" s="307">
        <f>RTD("money.excel",,$G994,"PredictVolume")</f>
        <v>77</v>
      </c>
      <c r="AK994" s="339">
        <v>32.47</v>
      </c>
    </row>
    <row r="995" spans="1:37">
      <c r="A995" s="415">
        <v>4.2300000000000004</v>
      </c>
      <c r="B995" s="80">
        <v>-9</v>
      </c>
      <c r="C995" s="80">
        <v>-1</v>
      </c>
      <c r="D995" s="79">
        <v>10</v>
      </c>
      <c r="E995" s="79">
        <v>25</v>
      </c>
      <c r="F995" s="57">
        <v>12.27</v>
      </c>
      <c r="G995" s="79">
        <v>6417</v>
      </c>
      <c r="H995" s="8" t="s">
        <v>313</v>
      </c>
      <c r="I995" s="16" t="s">
        <v>4761</v>
      </c>
      <c r="J995" s="323">
        <v>60.58</v>
      </c>
      <c r="K995" s="323">
        <v>11.57</v>
      </c>
      <c r="L995" s="73">
        <v>30.12</v>
      </c>
      <c r="N995" s="318">
        <f t="shared" si="195"/>
        <v>102.27000000000001</v>
      </c>
      <c r="O995" s="81" t="str">
        <f>IFERROR(VLOOKUP($G995,'321買'!A:E,3,0),"'沒有資料'")</f>
        <v>'沒有資料'</v>
      </c>
      <c r="P995" s="380" t="str">
        <f>IFERROR(VLOOKUP($G995,'321買'!$A:$G,7,0),"'沒有資料'")</f>
        <v>'沒有資料'</v>
      </c>
      <c r="R995" s="297">
        <f>IFERROR(RANK(VLOOKUP($G995,連買!$A:$D,4,0),連買!$D:$D,0),"'沒有資料'")</f>
        <v>386</v>
      </c>
      <c r="S995" s="34">
        <v>1.3</v>
      </c>
      <c r="T995" s="353">
        <f t="shared" si="196"/>
        <v>1.6993464052287584E-2</v>
      </c>
      <c r="U995" s="57">
        <v>2.5499999999999998</v>
      </c>
      <c r="V995" s="36">
        <f>RTD("money.excel",,"6417","Price")</f>
        <v>76.5</v>
      </c>
      <c r="W995" s="66"/>
      <c r="X995" s="15">
        <f t="shared" si="197"/>
        <v>76.5</v>
      </c>
      <c r="Y995" s="3" t="e">
        <f t="shared" si="198"/>
        <v>#DIV/0!</v>
      </c>
      <c r="AA995" s="161">
        <v>0</v>
      </c>
      <c r="AB995" s="409">
        <v>0</v>
      </c>
      <c r="AC995" s="259">
        <f t="shared" si="194"/>
        <v>0</v>
      </c>
      <c r="AD995" s="16" t="s">
        <v>4761</v>
      </c>
      <c r="AG995" s="33">
        <f t="shared" si="199"/>
        <v>0</v>
      </c>
      <c r="AH995" s="43" t="s">
        <v>2809</v>
      </c>
      <c r="AI995" s="63">
        <f t="shared" si="200"/>
        <v>3.0732860520094556E-4</v>
      </c>
      <c r="AJ995" s="307">
        <f>RTD("money.excel",,$G995,"PredictVolume")</f>
        <v>13</v>
      </c>
      <c r="AK995" s="339"/>
    </row>
    <row r="996" spans="1:37">
      <c r="A996" s="415">
        <v>3.85</v>
      </c>
      <c r="B996" s="79">
        <v>54</v>
      </c>
      <c r="C996" s="79">
        <v>64</v>
      </c>
      <c r="D996" s="80">
        <v>-26</v>
      </c>
      <c r="E996" s="80">
        <v>-29</v>
      </c>
      <c r="F996" s="57">
        <v>28.75</v>
      </c>
      <c r="G996" s="79">
        <v>6426</v>
      </c>
      <c r="H996" s="208" t="s">
        <v>313</v>
      </c>
      <c r="I996" s="22" t="s">
        <v>4762</v>
      </c>
      <c r="J996" s="73">
        <v>34.94</v>
      </c>
      <c r="K996" s="323">
        <v>6.57</v>
      </c>
      <c r="L996" s="323">
        <v>38.15</v>
      </c>
      <c r="N996" s="318">
        <f t="shared" si="195"/>
        <v>79.66</v>
      </c>
      <c r="O996" s="81">
        <f>IFERROR(VLOOKUP($G996,'321買'!A:E,3,0),"'沒有資料'")</f>
        <v>1</v>
      </c>
      <c r="P996" s="380">
        <f>IFERROR(VLOOKUP($G996,'321買'!$A:$G,7,0),"'沒有資料'")</f>
        <v>783</v>
      </c>
      <c r="R996" s="297">
        <f>IFERROR(RANK(VLOOKUP($G996,連買!$A:$D,4,0),連買!$D:$D,0),"'沒有資料'")</f>
        <v>152</v>
      </c>
      <c r="S996" s="34">
        <v>2.5</v>
      </c>
      <c r="T996" s="353">
        <f t="shared" si="196"/>
        <v>3.4578146611341634E-2</v>
      </c>
      <c r="U996" s="95">
        <v>3.58</v>
      </c>
      <c r="V996" s="36">
        <f>RTD("money.excel",,"6426","Price")</f>
        <v>72.3</v>
      </c>
      <c r="W996" s="66"/>
      <c r="X996" s="15">
        <f t="shared" si="197"/>
        <v>72.3</v>
      </c>
      <c r="Y996" s="3" t="e">
        <f t="shared" si="198"/>
        <v>#DIV/0!</v>
      </c>
      <c r="Z996" s="413" t="s">
        <v>1801</v>
      </c>
      <c r="AA996" s="161">
        <v>0</v>
      </c>
      <c r="AB996" s="409">
        <v>0</v>
      </c>
      <c r="AC996" s="259">
        <f t="shared" si="194"/>
        <v>0</v>
      </c>
      <c r="AD996" s="22" t="s">
        <v>4762</v>
      </c>
      <c r="AG996" s="33">
        <f t="shared" si="199"/>
        <v>0</v>
      </c>
      <c r="AH996" s="122" t="s">
        <v>4763</v>
      </c>
      <c r="AI996" s="63">
        <f t="shared" si="200"/>
        <v>2.1558441558441558E-3</v>
      </c>
      <c r="AJ996" s="307">
        <f>RTD("money.excel",,$G996,"PredictVolume")</f>
        <v>83</v>
      </c>
      <c r="AK996" s="339"/>
    </row>
    <row r="997" spans="1:37">
      <c r="A997" s="416">
        <v>6.93</v>
      </c>
      <c r="B997" s="91">
        <v>-62</v>
      </c>
      <c r="C997" s="91">
        <v>-63</v>
      </c>
      <c r="D997" s="91">
        <v>-27</v>
      </c>
      <c r="E997" s="91">
        <v>-39</v>
      </c>
      <c r="F997" s="6">
        <v>1.34</v>
      </c>
      <c r="G997" s="79">
        <v>6442</v>
      </c>
      <c r="H997" s="8" t="s">
        <v>313</v>
      </c>
      <c r="I997" s="22" t="s">
        <v>4764</v>
      </c>
      <c r="J997" s="73">
        <v>70.88</v>
      </c>
      <c r="K997" s="73">
        <v>33.64</v>
      </c>
      <c r="L997" s="73">
        <v>8.42</v>
      </c>
      <c r="N997" s="318">
        <f t="shared" si="195"/>
        <v>112.94</v>
      </c>
      <c r="O997" s="81">
        <f>IFERROR(VLOOKUP($G997,'321買'!A:E,3,0),"'沒有資料'")</f>
        <v>0</v>
      </c>
      <c r="P997" s="380">
        <f>IFERROR(VLOOKUP($G997,'321買'!$A:$G,7,0),"'沒有資料'")</f>
        <v>911</v>
      </c>
      <c r="R997" s="297">
        <f>IFERROR(RANK(VLOOKUP($G997,連買!$A:$D,4,0),連買!$D:$D,0),"'沒有資料'")</f>
        <v>747</v>
      </c>
      <c r="S997" s="34">
        <v>1</v>
      </c>
      <c r="T997" s="353">
        <f t="shared" si="196"/>
        <v>2.4242424242424242E-2</v>
      </c>
      <c r="U997" s="95">
        <v>-0.56999999999999995</v>
      </c>
      <c r="V997" s="36">
        <f>RTD("money.excel",,"6442","Price")</f>
        <v>41.25</v>
      </c>
      <c r="W997" s="66"/>
      <c r="X997" s="15">
        <f t="shared" si="197"/>
        <v>41.25</v>
      </c>
      <c r="Y997" s="3" t="e">
        <f t="shared" si="198"/>
        <v>#DIV/0!</v>
      </c>
      <c r="Z997" s="413" t="s">
        <v>1801</v>
      </c>
      <c r="AA997" s="161">
        <v>0</v>
      </c>
      <c r="AB997" s="409">
        <v>0</v>
      </c>
      <c r="AC997" s="259">
        <f t="shared" si="194"/>
        <v>0</v>
      </c>
      <c r="AD997" s="22" t="s">
        <v>4764</v>
      </c>
      <c r="AG997" s="33">
        <f t="shared" si="199"/>
        <v>0</v>
      </c>
      <c r="AH997" s="43" t="s">
        <v>2016</v>
      </c>
      <c r="AI997" s="63">
        <f t="shared" si="200"/>
        <v>1.163059163059163E-2</v>
      </c>
      <c r="AJ997" s="307">
        <f>RTD("money.excel",,$G997,"PredictVolume")</f>
        <v>806</v>
      </c>
      <c r="AK997" s="339"/>
    </row>
    <row r="998" spans="1:37">
      <c r="A998" s="415">
        <v>3.27</v>
      </c>
      <c r="B998" s="91">
        <v>64</v>
      </c>
      <c r="C998" s="91">
        <v>103</v>
      </c>
      <c r="D998" s="91">
        <v>-4</v>
      </c>
      <c r="E998" s="91">
        <v>15</v>
      </c>
      <c r="F998" s="57">
        <v>11.01</v>
      </c>
      <c r="G998" s="79">
        <v>6470</v>
      </c>
      <c r="H998" s="8" t="s">
        <v>313</v>
      </c>
      <c r="I998" s="16" t="s">
        <v>4765</v>
      </c>
      <c r="J998" s="73">
        <v>45.01</v>
      </c>
      <c r="K998" s="73">
        <v>6.13</v>
      </c>
      <c r="L998" s="73">
        <v>24.2</v>
      </c>
      <c r="N998" s="318">
        <f t="shared" si="195"/>
        <v>75.34</v>
      </c>
      <c r="O998" s="81">
        <f>IFERROR(VLOOKUP($G998,'321買'!A:E,3,0),"'沒有資料'")</f>
        <v>0</v>
      </c>
      <c r="P998" s="380">
        <f>IFERROR(VLOOKUP($G998,'321買'!$A:$G,7,0),"'沒有資料'")</f>
        <v>911</v>
      </c>
      <c r="R998" s="297">
        <f>IFERROR(RANK(VLOOKUP($G998,連買!$A:$D,4,0),連買!$D:$D,0),"'沒有資料'")</f>
        <v>1630</v>
      </c>
      <c r="S998" s="66">
        <v>3.5</v>
      </c>
      <c r="T998" s="353">
        <f t="shared" si="196"/>
        <v>7.2016460905349786E-2</v>
      </c>
      <c r="U998" s="95">
        <v>4.8</v>
      </c>
      <c r="V998" s="36">
        <f>RTD("money.excel",,"6470","Price")</f>
        <v>48.6</v>
      </c>
      <c r="W998" s="66"/>
      <c r="X998" s="15">
        <f t="shared" si="197"/>
        <v>48.6</v>
      </c>
      <c r="Y998" s="3" t="e">
        <f t="shared" si="198"/>
        <v>#DIV/0!</v>
      </c>
      <c r="Z998" s="413" t="s">
        <v>1831</v>
      </c>
      <c r="AA998" s="161">
        <v>0</v>
      </c>
      <c r="AB998" s="409">
        <v>0</v>
      </c>
      <c r="AC998" s="259">
        <f t="shared" si="194"/>
        <v>0</v>
      </c>
      <c r="AD998" s="16" t="s">
        <v>4765</v>
      </c>
      <c r="AG998" s="33">
        <f t="shared" si="199"/>
        <v>0</v>
      </c>
      <c r="AH998" s="43" t="s">
        <v>4766</v>
      </c>
      <c r="AI998" s="63">
        <f t="shared" si="200"/>
        <v>1.308868501529052E-2</v>
      </c>
      <c r="AJ998" s="307">
        <f>RTD("money.excel",,$G998,"PredictVolume")</f>
        <v>428</v>
      </c>
    </row>
    <row r="999" spans="1:37">
      <c r="A999" s="415">
        <v>3.88</v>
      </c>
      <c r="B999" s="79">
        <v>28</v>
      </c>
      <c r="C999" s="79">
        <v>27</v>
      </c>
      <c r="D999" s="79">
        <v>108</v>
      </c>
      <c r="E999" s="79">
        <v>51</v>
      </c>
      <c r="F999" s="57">
        <v>13.82</v>
      </c>
      <c r="G999" s="79">
        <v>6486</v>
      </c>
      <c r="H999" s="8" t="s">
        <v>313</v>
      </c>
      <c r="I999" s="16" t="s">
        <v>4768</v>
      </c>
      <c r="J999" s="323">
        <v>49.74</v>
      </c>
      <c r="K999" s="323">
        <v>0.64</v>
      </c>
      <c r="L999" s="323">
        <v>6.18</v>
      </c>
      <c r="M999" s="73">
        <v>46.51</v>
      </c>
      <c r="N999" s="318">
        <f t="shared" si="195"/>
        <v>103.07</v>
      </c>
      <c r="O999" s="81">
        <f>IFERROR(VLOOKUP($G999,'321買'!A:E,3,0),"'沒有資料'")</f>
        <v>0</v>
      </c>
      <c r="P999" s="380">
        <f>IFERROR(VLOOKUP($G999,'321買'!$A:$G,7,0),"'沒有資料'")</f>
        <v>911</v>
      </c>
      <c r="Q999" s="245" t="s">
        <v>3816</v>
      </c>
      <c r="R999" s="297">
        <f>IFERROR(RANK(VLOOKUP($G999,連買!$A:$D,4,0),連買!$D:$D,0),"'沒有資料'")</f>
        <v>207</v>
      </c>
      <c r="S999" s="66">
        <v>6</v>
      </c>
      <c r="T999" s="353">
        <f t="shared" si="196"/>
        <v>7.7720207253886009E-2</v>
      </c>
      <c r="U999" s="95">
        <v>6.95</v>
      </c>
      <c r="V999" s="36">
        <f>RTD("money.excel",,"6486","Price")</f>
        <v>77.2</v>
      </c>
      <c r="W999" s="66"/>
      <c r="X999" s="15">
        <f t="shared" si="197"/>
        <v>77.2</v>
      </c>
      <c r="Y999" s="3" t="e">
        <f t="shared" si="198"/>
        <v>#DIV/0!</v>
      </c>
      <c r="Z999" s="413" t="s">
        <v>1997</v>
      </c>
      <c r="AA999" s="161">
        <v>0</v>
      </c>
      <c r="AB999" s="409">
        <v>0</v>
      </c>
      <c r="AC999" s="259">
        <f t="shared" si="194"/>
        <v>0</v>
      </c>
      <c r="AD999" s="16" t="s">
        <v>4768</v>
      </c>
      <c r="AG999" s="33">
        <f t="shared" si="199"/>
        <v>0</v>
      </c>
      <c r="AH999" s="43" t="s">
        <v>4769</v>
      </c>
      <c r="AI999" s="63">
        <f t="shared" si="200"/>
        <v>4.3814432989690722E-4</v>
      </c>
      <c r="AJ999" s="307">
        <f>RTD("money.excel",,$G999,"PredictVolume")</f>
        <v>17</v>
      </c>
      <c r="AK999" s="339">
        <v>5.51</v>
      </c>
    </row>
    <row r="1000" spans="1:37">
      <c r="A1000" s="415">
        <v>3</v>
      </c>
      <c r="B1000" s="79">
        <v>40</v>
      </c>
      <c r="C1000" s="79">
        <v>10</v>
      </c>
      <c r="D1000" s="79">
        <v>47</v>
      </c>
      <c r="E1000" s="79">
        <v>23</v>
      </c>
      <c r="F1000" s="57">
        <v>13</v>
      </c>
      <c r="G1000" s="79">
        <v>6514</v>
      </c>
      <c r="H1000" s="8" t="s">
        <v>313</v>
      </c>
      <c r="I1000" s="16" t="s">
        <v>4770</v>
      </c>
      <c r="J1000" s="323">
        <v>54.08</v>
      </c>
      <c r="K1000" s="323">
        <v>55</v>
      </c>
      <c r="L1000" s="73">
        <v>28.75</v>
      </c>
      <c r="M1000" s="73">
        <v>57.71</v>
      </c>
      <c r="N1000" s="73">
        <f t="shared" si="195"/>
        <v>195.54</v>
      </c>
      <c r="O1000" s="81">
        <f>IFERROR(VLOOKUP($G1000,'321買'!A:E,3,0),"'沒有資料'")</f>
        <v>11</v>
      </c>
      <c r="P1000" s="380">
        <f>IFERROR(VLOOKUP($G1000,'321買'!$A:$G,7,0),"'沒有資料'")</f>
        <v>408</v>
      </c>
      <c r="Q1000" s="245" t="s">
        <v>3815</v>
      </c>
      <c r="R1000" s="297">
        <f>IFERROR(RANK(VLOOKUP($G1000,連買!$A:$D,4,0),連買!$D:$D,0),"'沒有資料'")</f>
        <v>1535</v>
      </c>
      <c r="S1000" s="66">
        <v>3.5</v>
      </c>
      <c r="T1000" s="353">
        <f t="shared" si="196"/>
        <v>4.8882681564245814E-2</v>
      </c>
      <c r="U1000" s="57">
        <v>2.75</v>
      </c>
      <c r="V1000" s="13">
        <f>RTD("money.excel",,"6514","Price")</f>
        <v>71.599999999999994</v>
      </c>
      <c r="W1000" s="66"/>
      <c r="X1000" s="15">
        <f t="shared" si="197"/>
        <v>71.599999999999994</v>
      </c>
      <c r="Y1000" s="3" t="e">
        <f t="shared" si="198"/>
        <v>#DIV/0!</v>
      </c>
      <c r="Z1000" s="413" t="s">
        <v>1997</v>
      </c>
      <c r="AA1000" s="161">
        <v>0</v>
      </c>
      <c r="AB1000" s="409">
        <v>0</v>
      </c>
      <c r="AC1000" s="259">
        <f t="shared" si="194"/>
        <v>0</v>
      </c>
      <c r="AD1000" s="16" t="s">
        <v>4770</v>
      </c>
      <c r="AG1000" s="33">
        <f t="shared" si="199"/>
        <v>0</v>
      </c>
      <c r="AH1000" s="43" t="s">
        <v>4771</v>
      </c>
      <c r="AI1000" s="63">
        <f t="shared" si="200"/>
        <v>1.6566666666666667E-2</v>
      </c>
      <c r="AJ1000" s="307">
        <f>RTD("money.excel",,$G1000,"PredictVolume")</f>
        <v>497</v>
      </c>
      <c r="AK1000" s="339"/>
    </row>
    <row r="1001" spans="1:37">
      <c r="A1001" s="415">
        <v>3.38</v>
      </c>
      <c r="B1001" s="91">
        <v>3</v>
      </c>
      <c r="C1001" s="91">
        <v>35</v>
      </c>
      <c r="D1001" s="91">
        <v>-2</v>
      </c>
      <c r="E1001" s="91">
        <v>10</v>
      </c>
      <c r="F1001" s="57">
        <v>12.66</v>
      </c>
      <c r="G1001" s="79">
        <v>6530</v>
      </c>
      <c r="H1001" s="8" t="s">
        <v>313</v>
      </c>
      <c r="I1001" s="16" t="s">
        <v>4772</v>
      </c>
      <c r="J1001" s="73">
        <v>66.63</v>
      </c>
      <c r="K1001" s="73">
        <v>0.01</v>
      </c>
      <c r="L1001" s="73">
        <v>2.31</v>
      </c>
      <c r="N1001" s="318">
        <f t="shared" si="195"/>
        <v>68.95</v>
      </c>
      <c r="O1001" s="81">
        <f>IFERROR(VLOOKUP($G1001,'321買'!A:E,3,0),"'沒有資料'")</f>
        <v>6</v>
      </c>
      <c r="P1001" s="380">
        <f>IFERROR(VLOOKUP($G1001,'321買'!$A:$G,7,0),"'沒有資料'")</f>
        <v>521</v>
      </c>
      <c r="R1001" s="297">
        <f>IFERROR(RANK(VLOOKUP($G1001,連買!$A:$D,4,0),連買!$D:$D,0),"'沒有資料'")</f>
        <v>1256</v>
      </c>
      <c r="S1001" s="34">
        <v>1</v>
      </c>
      <c r="T1001" s="353">
        <f t="shared" si="196"/>
        <v>4.7393364928909949E-2</v>
      </c>
      <c r="U1001" s="95">
        <v>0.77</v>
      </c>
      <c r="V1001" s="13">
        <f>RTD("money.excel",,"6530","Price")</f>
        <v>21.1</v>
      </c>
      <c r="W1001" s="66"/>
      <c r="X1001" s="15">
        <f t="shared" si="197"/>
        <v>21.1</v>
      </c>
      <c r="Y1001" s="3" t="e">
        <f t="shared" si="198"/>
        <v>#DIV/0!</v>
      </c>
      <c r="AA1001" s="161">
        <v>0</v>
      </c>
      <c r="AB1001" s="409">
        <v>0</v>
      </c>
      <c r="AC1001" s="259">
        <f t="shared" si="194"/>
        <v>0</v>
      </c>
      <c r="AD1001" s="16" t="s">
        <v>4772</v>
      </c>
      <c r="AG1001" s="33">
        <f t="shared" si="199"/>
        <v>0</v>
      </c>
      <c r="AH1001" s="43" t="s">
        <v>4689</v>
      </c>
      <c r="AI1001" s="63">
        <f t="shared" si="200"/>
        <v>6.5088757396449708E-4</v>
      </c>
      <c r="AJ1001" s="307">
        <f>RTD("money.excel",,$G1001,"PredictVolume")</f>
        <v>22</v>
      </c>
      <c r="AK1001" s="339"/>
    </row>
    <row r="1002" spans="1:37">
      <c r="A1002" s="415">
        <v>7.05</v>
      </c>
      <c r="B1002" s="79">
        <v>9</v>
      </c>
      <c r="C1002" s="79">
        <v>9</v>
      </c>
      <c r="D1002" s="79">
        <v>0</v>
      </c>
      <c r="E1002" s="79">
        <v>9</v>
      </c>
      <c r="F1002" s="57">
        <v>30.18</v>
      </c>
      <c r="G1002" s="79">
        <v>6561</v>
      </c>
      <c r="H1002" s="8" t="s">
        <v>313</v>
      </c>
      <c r="I1002" s="16" t="s">
        <v>4773</v>
      </c>
      <c r="J1002" s="323">
        <v>76.03</v>
      </c>
      <c r="K1002" s="323">
        <v>14.08</v>
      </c>
      <c r="L1002" s="73">
        <v>1.03</v>
      </c>
      <c r="N1002" s="318">
        <f t="shared" si="195"/>
        <v>91.14</v>
      </c>
      <c r="O1002" s="81">
        <f>IFERROR(VLOOKUP($G1002,'321買'!A:E,3,0),"'沒有資料'")</f>
        <v>0</v>
      </c>
      <c r="P1002" s="380">
        <f>IFERROR(VLOOKUP($G1002,'321買'!$A:$G,7,0),"'沒有資料'")</f>
        <v>911</v>
      </c>
      <c r="R1002" s="297">
        <f>IFERROR(RANK(VLOOKUP($G1002,連買!$A:$D,4,0),連買!$D:$D,0),"'沒有資料'")</f>
        <v>46</v>
      </c>
      <c r="S1002" s="66">
        <v>8.8000000000000007</v>
      </c>
      <c r="T1002" s="353">
        <f t="shared" si="196"/>
        <v>3.2472324723247237E-2</v>
      </c>
      <c r="U1002" s="95">
        <v>9.08</v>
      </c>
      <c r="V1002" s="36">
        <f>RTD("money.excel",,"6561","Price")</f>
        <v>271</v>
      </c>
      <c r="W1002" s="66"/>
      <c r="X1002" s="15">
        <f t="shared" si="197"/>
        <v>271</v>
      </c>
      <c r="Y1002" s="3" t="e">
        <f t="shared" si="198"/>
        <v>#DIV/0!</v>
      </c>
      <c r="Z1002" s="413" t="s">
        <v>1997</v>
      </c>
      <c r="AA1002" s="161">
        <v>0</v>
      </c>
      <c r="AB1002" s="409">
        <v>0</v>
      </c>
      <c r="AC1002" s="259">
        <f t="shared" si="194"/>
        <v>0</v>
      </c>
      <c r="AD1002" s="16" t="s">
        <v>4773</v>
      </c>
      <c r="AG1002" s="33">
        <f t="shared" si="199"/>
        <v>0</v>
      </c>
      <c r="AH1002" s="43" t="s">
        <v>4774</v>
      </c>
      <c r="AI1002" s="63">
        <f t="shared" si="200"/>
        <v>4.6808510638297874E-4</v>
      </c>
      <c r="AJ1002" s="307">
        <f>RTD("money.excel",,$G1002,"PredictVolume")</f>
        <v>33</v>
      </c>
      <c r="AK1002" s="339"/>
    </row>
    <row r="1003" spans="1:37">
      <c r="A1003" s="415">
        <v>2.67</v>
      </c>
      <c r="B1003" s="79">
        <v>13</v>
      </c>
      <c r="C1003" s="80">
        <v>-28</v>
      </c>
      <c r="D1003" s="79">
        <v>-24</v>
      </c>
      <c r="E1003" s="79">
        <v>-2</v>
      </c>
      <c r="F1003" s="57">
        <v>22.64</v>
      </c>
      <c r="G1003" s="79">
        <v>6588</v>
      </c>
      <c r="H1003" s="8" t="s">
        <v>313</v>
      </c>
      <c r="I1003" s="16" t="s">
        <v>4775</v>
      </c>
      <c r="J1003" s="323">
        <v>50.29</v>
      </c>
      <c r="K1003" s="73">
        <v>0.56000000000000005</v>
      </c>
      <c r="N1003" s="318">
        <f t="shared" si="195"/>
        <v>50.85</v>
      </c>
      <c r="O1003" s="81" t="str">
        <f>IFERROR(VLOOKUP($G1003,'321買'!A:E,3,0),"'沒有資料'")</f>
        <v>'沒有資料'</v>
      </c>
      <c r="P1003" s="380" t="str">
        <f>IFERROR(VLOOKUP($G1003,'321買'!$A:$G,7,0),"'沒有資料'")</f>
        <v>'沒有資料'</v>
      </c>
      <c r="R1003" s="297">
        <f>IFERROR(RANK(VLOOKUP($G1003,連買!$A:$D,4,0),連買!$D:$D,0),"'沒有資料'")</f>
        <v>1627</v>
      </c>
      <c r="S1003" s="34">
        <v>1.5</v>
      </c>
      <c r="T1003" s="353">
        <f t="shared" si="196"/>
        <v>3.6057692307692304E-2</v>
      </c>
      <c r="U1003" s="95">
        <v>2.27</v>
      </c>
      <c r="V1003" s="36">
        <f>RTD("money.excel",,"6588","Price")</f>
        <v>41.6</v>
      </c>
      <c r="W1003" s="66"/>
      <c r="X1003" s="15">
        <f t="shared" si="197"/>
        <v>41.6</v>
      </c>
      <c r="Y1003" s="3" t="e">
        <f t="shared" si="198"/>
        <v>#DIV/0!</v>
      </c>
      <c r="AA1003" s="161">
        <v>0</v>
      </c>
      <c r="AB1003" s="409">
        <v>0</v>
      </c>
      <c r="AC1003" s="259">
        <f t="shared" si="194"/>
        <v>0</v>
      </c>
      <c r="AD1003" s="16" t="s">
        <v>4776</v>
      </c>
      <c r="AG1003" s="33">
        <f t="shared" si="199"/>
        <v>0</v>
      </c>
      <c r="AH1003" s="43" t="s">
        <v>2054</v>
      </c>
      <c r="AI1003" s="63">
        <f t="shared" si="200"/>
        <v>5.6179775280898881E-4</v>
      </c>
      <c r="AJ1003" s="307">
        <f>RTD("money.excel",,$G1003,"PredictVolume")</f>
        <v>15</v>
      </c>
      <c r="AK1003" s="339"/>
    </row>
    <row r="1004" spans="1:37">
      <c r="A1004" s="416">
        <v>6.7</v>
      </c>
      <c r="B1004" s="91">
        <v>60</v>
      </c>
      <c r="C1004" s="91">
        <v>-16</v>
      </c>
      <c r="D1004" s="91">
        <v>-8</v>
      </c>
      <c r="E1004" s="91">
        <v>33</v>
      </c>
      <c r="F1004" s="6">
        <v>3.9</v>
      </c>
      <c r="G1004" s="79">
        <v>6674</v>
      </c>
      <c r="H1004" s="8" t="s">
        <v>313</v>
      </c>
      <c r="I1004" s="22" t="s">
        <v>4777</v>
      </c>
      <c r="J1004" s="73">
        <v>87</v>
      </c>
      <c r="K1004" s="73">
        <v>0.03</v>
      </c>
      <c r="N1004" s="318">
        <f t="shared" si="195"/>
        <v>87.03</v>
      </c>
      <c r="O1004" s="81">
        <f>IFERROR(VLOOKUP($G1004,'321買'!A:E,3,0),"'沒有資料'")</f>
        <v>0</v>
      </c>
      <c r="P1004" s="380">
        <f>IFERROR(VLOOKUP($G1004,'321買'!$A:$G,7,0),"'沒有資料'")</f>
        <v>911</v>
      </c>
      <c r="R1004" s="297">
        <f>IFERROR(RANK(VLOOKUP($G1004,連買!$A:$D,4,0),連買!$D:$D,0),"'沒有資料'")</f>
        <v>952</v>
      </c>
      <c r="S1004" s="34">
        <v>1.4</v>
      </c>
      <c r="T1004" s="353">
        <f t="shared" si="196"/>
        <v>5.0179211469534052E-2</v>
      </c>
      <c r="U1004" s="95">
        <v>0.7</v>
      </c>
      <c r="V1004" s="13">
        <f>RTD("money.excel",,"6674","Price")</f>
        <v>27.9</v>
      </c>
      <c r="W1004" s="66"/>
      <c r="X1004" s="15">
        <f t="shared" si="197"/>
        <v>27.9</v>
      </c>
      <c r="Y1004" s="3" t="e">
        <f t="shared" si="198"/>
        <v>#DIV/0!</v>
      </c>
      <c r="Z1004" s="413" t="s">
        <v>1801</v>
      </c>
      <c r="AA1004" s="161">
        <v>0</v>
      </c>
      <c r="AB1004" s="409">
        <v>0</v>
      </c>
      <c r="AC1004" s="259">
        <f t="shared" si="194"/>
        <v>0</v>
      </c>
      <c r="AD1004" s="22" t="s">
        <v>4777</v>
      </c>
      <c r="AG1004" s="33">
        <f t="shared" si="199"/>
        <v>0</v>
      </c>
      <c r="AH1004" s="43" t="s">
        <v>4778</v>
      </c>
      <c r="AI1004" s="63">
        <f t="shared" si="200"/>
        <v>1.3432835820895522E-4</v>
      </c>
      <c r="AJ1004" s="307">
        <f>RTD("money.excel",,$G1004,"PredictVolume")</f>
        <v>9</v>
      </c>
      <c r="AK1004" s="339"/>
    </row>
    <row r="1005" spans="1:37">
      <c r="A1005" s="415">
        <v>4.79</v>
      </c>
      <c r="B1005" s="79">
        <v>81</v>
      </c>
      <c r="C1005" s="79">
        <v>134</v>
      </c>
      <c r="D1005" s="80">
        <v>-2</v>
      </c>
      <c r="E1005" s="79">
        <v>14</v>
      </c>
      <c r="F1005" s="57">
        <v>20.65</v>
      </c>
      <c r="G1005" s="79">
        <v>6792</v>
      </c>
      <c r="H1005" s="8" t="s">
        <v>313</v>
      </c>
      <c r="I1005" s="22" t="s">
        <v>4779</v>
      </c>
      <c r="J1005" s="323">
        <v>45.77</v>
      </c>
      <c r="K1005" s="323">
        <v>0.64</v>
      </c>
      <c r="L1005" s="323"/>
      <c r="M1005" s="323">
        <v>42.12</v>
      </c>
      <c r="N1005" s="318">
        <f>K1005+J1005+L1005+M1005</f>
        <v>88.53</v>
      </c>
      <c r="O1005" s="81" t="str">
        <f>IFERROR(VLOOKUP($G1005,'321買'!A:E,3,0),"'沒有資料'")</f>
        <v>'沒有資料'</v>
      </c>
      <c r="P1005" s="380" t="str">
        <f>IFERROR(VLOOKUP($G1005,'321買'!$A:$G,7,0),"'沒有資料'")</f>
        <v>'沒有資料'</v>
      </c>
      <c r="R1005" s="297">
        <f>IFERROR(RANK(VLOOKUP($G1005,連買!$A:$D,4,0),連買!$D:$D,0),"'沒有資料'")</f>
        <v>1688</v>
      </c>
      <c r="S1005" s="66">
        <v>3.5</v>
      </c>
      <c r="T1005" s="353">
        <f t="shared" si="196"/>
        <v>2.9787234042553193E-2</v>
      </c>
      <c r="U1005" s="95">
        <v>6.28</v>
      </c>
      <c r="V1005" s="36">
        <f>RTD("money.excel",,"6792","Price")</f>
        <v>117.5</v>
      </c>
      <c r="W1005" s="66"/>
      <c r="X1005" s="15">
        <f t="shared" si="197"/>
        <v>117.5</v>
      </c>
      <c r="Y1005" s="3" t="e">
        <f t="shared" si="198"/>
        <v>#DIV/0!</v>
      </c>
      <c r="Z1005" s="413" t="s">
        <v>1831</v>
      </c>
      <c r="AA1005" s="161">
        <v>0</v>
      </c>
      <c r="AB1005" s="409">
        <v>0</v>
      </c>
      <c r="AC1005" s="259">
        <f t="shared" si="194"/>
        <v>0</v>
      </c>
      <c r="AD1005" s="22" t="s">
        <v>4779</v>
      </c>
      <c r="AG1005" s="33">
        <f t="shared" si="199"/>
        <v>0</v>
      </c>
      <c r="AH1005" s="43" t="s">
        <v>3799</v>
      </c>
      <c r="AI1005" s="63">
        <f t="shared" si="200"/>
        <v>1.7745302713987473E-3</v>
      </c>
      <c r="AJ1005" s="307">
        <f>RTD("money.excel",,$G1005,"PredictVolume")</f>
        <v>85</v>
      </c>
      <c r="AK1005" s="339"/>
    </row>
    <row r="1006" spans="1:37">
      <c r="A1006" s="416">
        <v>14.7</v>
      </c>
      <c r="B1006" s="79">
        <v>46</v>
      </c>
      <c r="C1006" s="79">
        <v>58</v>
      </c>
      <c r="D1006" s="79">
        <v>20</v>
      </c>
      <c r="E1006" s="80">
        <v>-4</v>
      </c>
      <c r="F1006" s="6">
        <v>-2.2200000000000002</v>
      </c>
      <c r="G1006" s="79">
        <v>8011</v>
      </c>
      <c r="H1006" s="8" t="s">
        <v>313</v>
      </c>
      <c r="I1006" s="22" t="s">
        <v>4780</v>
      </c>
      <c r="J1006" s="73">
        <v>24.82</v>
      </c>
      <c r="K1006" s="73">
        <v>2.34</v>
      </c>
      <c r="L1006" s="73">
        <v>23.79</v>
      </c>
      <c r="N1006" s="318">
        <f t="shared" ref="N1006:N1014" si="201">J1006+K1006+L1006+M1006</f>
        <v>50.95</v>
      </c>
      <c r="O1006" s="81">
        <f>IFERROR(VLOOKUP($G1006,'321買'!A:E,3,0),"'沒有資料'")</f>
        <v>5</v>
      </c>
      <c r="P1006" s="380">
        <f>IFERROR(VLOOKUP($G1006,'321買'!$A:$G,7,0),"'沒有資料'")</f>
        <v>558</v>
      </c>
      <c r="R1006" s="297">
        <f>IFERROR(RANK(VLOOKUP($G1006,連買!$A:$D,4,0),連買!$D:$D,0),"'沒有資料'")</f>
        <v>939</v>
      </c>
      <c r="S1006" s="34">
        <v>0</v>
      </c>
      <c r="T1006" s="353">
        <f t="shared" si="196"/>
        <v>0</v>
      </c>
      <c r="U1006" s="95">
        <v>-0.19</v>
      </c>
      <c r="V1006" s="36">
        <f>RTD("money.excel",,"8011","Price")</f>
        <v>16.5</v>
      </c>
      <c r="W1006" s="66"/>
      <c r="X1006" s="15">
        <f t="shared" si="197"/>
        <v>16.5</v>
      </c>
      <c r="Y1006" s="3" t="e">
        <f t="shared" si="198"/>
        <v>#DIV/0!</v>
      </c>
      <c r="Z1006" s="413" t="s">
        <v>1801</v>
      </c>
      <c r="AA1006" s="161">
        <v>0</v>
      </c>
      <c r="AB1006" s="409">
        <v>0</v>
      </c>
      <c r="AC1006" s="259">
        <f t="shared" si="194"/>
        <v>0</v>
      </c>
      <c r="AD1006" s="22" t="s">
        <v>4780</v>
      </c>
      <c r="AG1006" s="33">
        <f t="shared" si="199"/>
        <v>0</v>
      </c>
      <c r="AH1006" s="120" t="s">
        <v>4781</v>
      </c>
      <c r="AI1006" s="63">
        <f t="shared" si="200"/>
        <v>1.3945578231292517E-3</v>
      </c>
      <c r="AJ1006" s="307">
        <f>RTD("money.excel",,$G1006,"PredictVolume")</f>
        <v>205</v>
      </c>
      <c r="AK1006" s="339"/>
    </row>
    <row r="1007" spans="1:37">
      <c r="A1007" s="416">
        <v>6.29</v>
      </c>
      <c r="B1007" s="91">
        <v>117</v>
      </c>
      <c r="C1007" s="91">
        <v>95</v>
      </c>
      <c r="D1007" s="91">
        <v>57</v>
      </c>
      <c r="E1007" s="91">
        <v>-68</v>
      </c>
      <c r="F1007" s="6">
        <v>-0.47</v>
      </c>
      <c r="G1007" s="79">
        <v>8034</v>
      </c>
      <c r="H1007" s="8" t="s">
        <v>313</v>
      </c>
      <c r="I1007" s="16" t="s">
        <v>4782</v>
      </c>
      <c r="J1007" s="323">
        <v>30.91</v>
      </c>
      <c r="K1007" s="73">
        <v>0.73</v>
      </c>
      <c r="N1007" s="318">
        <f t="shared" si="201"/>
        <v>31.64</v>
      </c>
      <c r="O1007" s="81">
        <f>IFERROR(VLOOKUP($G1007,'321買'!A:E,3,0),"'沒有資料'")</f>
        <v>12</v>
      </c>
      <c r="P1007" s="380">
        <f>IFERROR(VLOOKUP($G1007,'321買'!$A:$G,7,0),"'沒有資料'")</f>
        <v>368</v>
      </c>
      <c r="R1007" s="297">
        <f>IFERROR(RANK(VLOOKUP($G1007,連買!$A:$D,4,0),連買!$D:$D,0),"'沒有資料'")</f>
        <v>986</v>
      </c>
      <c r="S1007" s="34">
        <v>0</v>
      </c>
      <c r="T1007" s="353">
        <f t="shared" si="196"/>
        <v>0</v>
      </c>
      <c r="U1007" s="95">
        <v>0.19</v>
      </c>
      <c r="V1007" s="36">
        <f>RTD("money.excel",,"8034","Price")</f>
        <v>17.600000000000001</v>
      </c>
      <c r="W1007" s="66"/>
      <c r="X1007" s="15">
        <f t="shared" si="197"/>
        <v>17.600000000000001</v>
      </c>
      <c r="Y1007" s="3" t="e">
        <f t="shared" si="198"/>
        <v>#DIV/0!</v>
      </c>
      <c r="AA1007" s="161">
        <v>0</v>
      </c>
      <c r="AB1007" s="409">
        <v>0</v>
      </c>
      <c r="AC1007" s="259">
        <f t="shared" si="194"/>
        <v>0</v>
      </c>
      <c r="AD1007" s="16" t="s">
        <v>4782</v>
      </c>
      <c r="AG1007" s="33">
        <f t="shared" si="199"/>
        <v>0</v>
      </c>
      <c r="AH1007" s="43" t="s">
        <v>4783</v>
      </c>
      <c r="AI1007" s="63">
        <f t="shared" si="200"/>
        <v>4.92845786963434E-3</v>
      </c>
      <c r="AJ1007" s="307">
        <f>RTD("money.excel",,$G1007,"PredictVolume")</f>
        <v>310</v>
      </c>
      <c r="AK1007" s="339"/>
    </row>
    <row r="1008" spans="1:37">
      <c r="A1008" s="415">
        <v>5.29</v>
      </c>
      <c r="B1008" s="91">
        <v>-60</v>
      </c>
      <c r="C1008" s="91">
        <v>-52</v>
      </c>
      <c r="D1008" s="91">
        <v>6</v>
      </c>
      <c r="E1008" s="91">
        <v>-12</v>
      </c>
      <c r="F1008" s="57">
        <v>10.97</v>
      </c>
      <c r="G1008" s="79">
        <v>8048</v>
      </c>
      <c r="H1008" s="8" t="s">
        <v>313</v>
      </c>
      <c r="I1008" s="16" t="s">
        <v>4784</v>
      </c>
      <c r="J1008" s="73">
        <v>55.74</v>
      </c>
      <c r="K1008" s="73">
        <v>0.25</v>
      </c>
      <c r="L1008" s="73">
        <v>13.16</v>
      </c>
      <c r="N1008" s="318">
        <f t="shared" si="201"/>
        <v>69.150000000000006</v>
      </c>
      <c r="O1008" s="81">
        <f>IFERROR(VLOOKUP($G1008,'321買'!A:E,3,0),"'沒有資料'")</f>
        <v>0</v>
      </c>
      <c r="P1008" s="380">
        <f>IFERROR(VLOOKUP($G1008,'321買'!$A:$G,7,0),"'沒有資料'")</f>
        <v>911</v>
      </c>
      <c r="R1008" s="297">
        <f>IFERROR(RANK(VLOOKUP($G1008,連買!$A:$D,4,0),連買!$D:$D,0),"'沒有資料'")</f>
        <v>449</v>
      </c>
      <c r="S1008" s="34">
        <v>2.2999999999999998</v>
      </c>
      <c r="T1008" s="353">
        <f t="shared" si="196"/>
        <v>6.6860465116279064E-2</v>
      </c>
      <c r="U1008" s="95">
        <v>2.69</v>
      </c>
      <c r="V1008" s="13">
        <f>RTD("money.excel",,"8048","Price")</f>
        <v>34.4</v>
      </c>
      <c r="W1008" s="66"/>
      <c r="X1008" s="15">
        <f t="shared" si="197"/>
        <v>34.4</v>
      </c>
      <c r="Y1008" s="3" t="e">
        <f t="shared" si="198"/>
        <v>#DIV/0!</v>
      </c>
      <c r="AA1008" s="161">
        <v>0</v>
      </c>
      <c r="AB1008" s="409">
        <v>0</v>
      </c>
      <c r="AC1008" s="259">
        <f t="shared" si="194"/>
        <v>0</v>
      </c>
      <c r="AD1008" s="16" t="s">
        <v>4784</v>
      </c>
      <c r="AG1008" s="33">
        <f t="shared" si="199"/>
        <v>0</v>
      </c>
      <c r="AH1008" s="120" t="s">
        <v>4785</v>
      </c>
      <c r="AI1008" s="63">
        <f t="shared" si="200"/>
        <v>8.6956521739130438E-4</v>
      </c>
      <c r="AJ1008" s="307">
        <f>RTD("money.excel",,$G1008,"PredictVolume")</f>
        <v>46</v>
      </c>
      <c r="AK1008" s="339"/>
    </row>
    <row r="1009" spans="1:37">
      <c r="A1009" s="416">
        <v>18.8</v>
      </c>
      <c r="B1009" s="91">
        <v>-92</v>
      </c>
      <c r="C1009" s="91">
        <v>-210</v>
      </c>
      <c r="D1009" s="91">
        <v>-40</v>
      </c>
      <c r="E1009" s="91">
        <v>-28</v>
      </c>
      <c r="F1009" s="6">
        <v>-3.46</v>
      </c>
      <c r="G1009" s="79">
        <v>8059</v>
      </c>
      <c r="H1009" s="8" t="s">
        <v>313</v>
      </c>
      <c r="I1009" s="16" t="s">
        <v>4786</v>
      </c>
      <c r="J1009" s="73">
        <v>45.54</v>
      </c>
      <c r="K1009" s="73">
        <v>2.34</v>
      </c>
      <c r="N1009" s="318">
        <f t="shared" si="201"/>
        <v>47.879999999999995</v>
      </c>
      <c r="O1009" s="81">
        <f>IFERROR(VLOOKUP($G1009,'321買'!A:E,3,0),"'沒有資料'")</f>
        <v>0</v>
      </c>
      <c r="P1009" s="380">
        <f>IFERROR(VLOOKUP($G1009,'321買'!$A:$G,7,0),"'沒有資料'")</f>
        <v>911</v>
      </c>
      <c r="R1009" s="297">
        <f>IFERROR(RANK(VLOOKUP($G1009,連買!$A:$D,4,0),連買!$D:$D,0),"'沒有資料'")</f>
        <v>1218</v>
      </c>
      <c r="S1009" s="34">
        <v>0</v>
      </c>
      <c r="T1009" s="353">
        <f t="shared" si="196"/>
        <v>0</v>
      </c>
      <c r="U1009" s="95">
        <v>-0.04</v>
      </c>
      <c r="V1009" s="36">
        <f>RTD("money.excel",,"8059","Price")</f>
        <v>9.82</v>
      </c>
      <c r="W1009" s="66"/>
      <c r="X1009" s="15">
        <f t="shared" si="197"/>
        <v>9.82</v>
      </c>
      <c r="Y1009" s="3" t="e">
        <f t="shared" si="198"/>
        <v>#DIV/0!</v>
      </c>
      <c r="AA1009" s="161">
        <v>0</v>
      </c>
      <c r="AB1009" s="409">
        <v>0</v>
      </c>
      <c r="AC1009" s="259">
        <f t="shared" si="194"/>
        <v>0</v>
      </c>
      <c r="AD1009" s="16" t="s">
        <v>4786</v>
      </c>
      <c r="AG1009" s="33">
        <f t="shared" si="199"/>
        <v>0</v>
      </c>
      <c r="AH1009" s="43" t="s">
        <v>4787</v>
      </c>
      <c r="AI1009" s="63">
        <f t="shared" si="200"/>
        <v>2.8191489361702128E-4</v>
      </c>
      <c r="AJ1009" s="307">
        <f>RTD("money.excel",,$G1009,"PredictVolume")</f>
        <v>53</v>
      </c>
      <c r="AK1009" s="339"/>
    </row>
    <row r="1010" spans="1:37">
      <c r="A1010" s="416">
        <v>5.73</v>
      </c>
      <c r="B1010" s="80">
        <v>-103</v>
      </c>
      <c r="C1010" s="80">
        <v>-101</v>
      </c>
      <c r="D1010" s="79">
        <v>56</v>
      </c>
      <c r="E1010" s="79">
        <v>37</v>
      </c>
      <c r="F1010" s="6">
        <v>-0.3</v>
      </c>
      <c r="G1010" s="79">
        <v>8089</v>
      </c>
      <c r="H1010" s="8" t="s">
        <v>313</v>
      </c>
      <c r="I1010" s="16" t="s">
        <v>4788</v>
      </c>
      <c r="J1010" s="323">
        <v>45.47</v>
      </c>
      <c r="K1010" s="323">
        <v>5.09</v>
      </c>
      <c r="L1010" s="73">
        <v>8.0399999999999991</v>
      </c>
      <c r="M1010" s="73">
        <v>40.840000000000003</v>
      </c>
      <c r="N1010" s="318">
        <f t="shared" si="201"/>
        <v>99.44</v>
      </c>
      <c r="O1010" s="81">
        <f>IFERROR(VLOOKUP($G1010,'321買'!A:E,3,0),"'沒有資料'")</f>
        <v>3</v>
      </c>
      <c r="P1010" s="380">
        <f>IFERROR(VLOOKUP($G1010,'321買'!$A:$G,7,0),"'沒有資料'")</f>
        <v>636</v>
      </c>
      <c r="Q1010" s="245" t="s">
        <v>3815</v>
      </c>
      <c r="R1010" s="297">
        <f>IFERROR(RANK(VLOOKUP($G1010,連買!$A:$D,4,0),連買!$D:$D,0),"'沒有資料'")</f>
        <v>405</v>
      </c>
      <c r="S1010" s="34">
        <v>1.99</v>
      </c>
      <c r="T1010" s="353">
        <f t="shared" si="196"/>
        <v>7.6391554702495201E-2</v>
      </c>
      <c r="U1010" s="95">
        <v>0.32</v>
      </c>
      <c r="V1010" s="36">
        <f>RTD("money.excel",,"8089","Price")</f>
        <v>26.05</v>
      </c>
      <c r="W1010" s="66"/>
      <c r="X1010" s="15">
        <f t="shared" si="197"/>
        <v>26.05</v>
      </c>
      <c r="Y1010" s="164" t="e">
        <f t="shared" si="198"/>
        <v>#DIV/0!</v>
      </c>
      <c r="Z1010" s="413" t="s">
        <v>1801</v>
      </c>
      <c r="AA1010" s="161">
        <v>0</v>
      </c>
      <c r="AB1010" s="409">
        <v>0</v>
      </c>
      <c r="AC1010" s="259">
        <f t="shared" si="194"/>
        <v>0</v>
      </c>
      <c r="AD1010" s="16" t="s">
        <v>4788</v>
      </c>
      <c r="AG1010" s="33">
        <f t="shared" si="199"/>
        <v>0</v>
      </c>
      <c r="AH1010" s="43" t="s">
        <v>2142</v>
      </c>
      <c r="AI1010" s="63">
        <f t="shared" si="200"/>
        <v>8.0279232111692838E-4</v>
      </c>
      <c r="AJ1010" s="307">
        <f>RTD("money.excel",,$G1010,"PredictVolume")</f>
        <v>46</v>
      </c>
      <c r="AK1010" s="339"/>
    </row>
    <row r="1011" spans="1:37">
      <c r="A1011" s="416">
        <v>3.87</v>
      </c>
      <c r="B1011" s="79">
        <v>185</v>
      </c>
      <c r="C1011" s="79">
        <v>163</v>
      </c>
      <c r="D1011" s="79">
        <v>252</v>
      </c>
      <c r="E1011" s="79">
        <v>349</v>
      </c>
      <c r="F1011" s="6">
        <v>4.4000000000000004</v>
      </c>
      <c r="G1011" s="79">
        <v>8097</v>
      </c>
      <c r="H1011" s="8" t="s">
        <v>313</v>
      </c>
      <c r="I1011" s="16" t="s">
        <v>4789</v>
      </c>
      <c r="J1011" s="323">
        <v>45.02</v>
      </c>
      <c r="K1011" s="323">
        <v>1.1100000000000001</v>
      </c>
      <c r="L1011" s="73">
        <v>28.86</v>
      </c>
      <c r="N1011" s="318">
        <f t="shared" si="201"/>
        <v>74.990000000000009</v>
      </c>
      <c r="O1011" s="81">
        <f>IFERROR(VLOOKUP($G1011,'321買'!A:E,3,0),"'沒有資料'")</f>
        <v>23</v>
      </c>
      <c r="P1011" s="380">
        <f>IFERROR(VLOOKUP($G1011,'321買'!$A:$G,7,0),"'沒有資料'")</f>
        <v>241</v>
      </c>
      <c r="R1011" s="297">
        <f>IFERROR(RANK(VLOOKUP($G1011,連買!$A:$D,4,0),連買!$D:$D,0),"'沒有資料'")</f>
        <v>644</v>
      </c>
      <c r="S1011" s="34">
        <v>0</v>
      </c>
      <c r="T1011" s="353">
        <f t="shared" si="196"/>
        <v>0</v>
      </c>
      <c r="U1011" s="95">
        <v>-0.14000000000000001</v>
      </c>
      <c r="V1011" s="36">
        <f>RTD("money.excel",,"8097","Price")</f>
        <v>45.2</v>
      </c>
      <c r="W1011" s="66"/>
      <c r="X1011" s="15">
        <f t="shared" si="197"/>
        <v>45.2</v>
      </c>
      <c r="Y1011" s="3" t="e">
        <f t="shared" si="198"/>
        <v>#DIV/0!</v>
      </c>
      <c r="AA1011" s="161">
        <v>0</v>
      </c>
      <c r="AB1011" s="409">
        <v>0</v>
      </c>
      <c r="AC1011" s="259">
        <f t="shared" si="194"/>
        <v>0</v>
      </c>
      <c r="AD1011" s="16" t="s">
        <v>4789</v>
      </c>
      <c r="AG1011" s="33">
        <f t="shared" si="199"/>
        <v>0</v>
      </c>
      <c r="AH1011" s="43" t="s">
        <v>2810</v>
      </c>
      <c r="AI1011" s="63">
        <f t="shared" si="200"/>
        <v>3.4496124031007755E-2</v>
      </c>
      <c r="AJ1011" s="307">
        <f>RTD("money.excel",,$G1011,"PredictVolume")</f>
        <v>1335</v>
      </c>
      <c r="AK1011" s="339"/>
    </row>
    <row r="1012" spans="1:37">
      <c r="A1012" s="416">
        <v>20.8</v>
      </c>
      <c r="B1012" s="79">
        <v>92</v>
      </c>
      <c r="C1012" s="79">
        <v>45</v>
      </c>
      <c r="D1012" s="80">
        <v>-54</v>
      </c>
      <c r="E1012" s="79">
        <v>102</v>
      </c>
      <c r="F1012" s="6">
        <v>-23.36</v>
      </c>
      <c r="G1012" s="79">
        <v>8101</v>
      </c>
      <c r="H1012" s="8" t="s">
        <v>313</v>
      </c>
      <c r="I1012" s="22" t="s">
        <v>4790</v>
      </c>
      <c r="J1012" s="73">
        <v>58.64</v>
      </c>
      <c r="K1012" s="73">
        <v>0.48</v>
      </c>
      <c r="L1012" s="323"/>
      <c r="N1012" s="318">
        <f t="shared" si="201"/>
        <v>59.12</v>
      </c>
      <c r="O1012" s="81">
        <f>IFERROR(VLOOKUP($G1012,'321買'!A:E,3,0),"'沒有資料'")</f>
        <v>0</v>
      </c>
      <c r="P1012" s="380">
        <f>IFERROR(VLOOKUP($G1012,'321買'!$A:$G,7,0),"'沒有資料'")</f>
        <v>911</v>
      </c>
      <c r="R1012" s="297">
        <f>IFERROR(RANK(VLOOKUP($G1012,連買!$A:$D,4,0),連買!$D:$D,0),"'沒有資料'")</f>
        <v>1366</v>
      </c>
      <c r="S1012" s="34">
        <v>0</v>
      </c>
      <c r="T1012" s="353">
        <f t="shared" si="196"/>
        <v>0</v>
      </c>
      <c r="U1012" s="57">
        <v>-3.06</v>
      </c>
      <c r="V1012" s="36">
        <f>RTD("money.excel",,"8101","Price")</f>
        <v>2.56</v>
      </c>
      <c r="W1012" s="66"/>
      <c r="X1012" s="15">
        <f t="shared" si="197"/>
        <v>2.56</v>
      </c>
      <c r="Y1012" s="3" t="e">
        <f t="shared" si="198"/>
        <v>#DIV/0!</v>
      </c>
      <c r="Z1012" s="413" t="s">
        <v>1801</v>
      </c>
      <c r="AA1012" s="161">
        <v>0</v>
      </c>
      <c r="AB1012" s="409">
        <v>0</v>
      </c>
      <c r="AC1012" s="259">
        <f t="shared" si="194"/>
        <v>0</v>
      </c>
      <c r="AD1012" s="22" t="s">
        <v>4790</v>
      </c>
      <c r="AG1012" s="33">
        <f t="shared" si="199"/>
        <v>0</v>
      </c>
      <c r="AH1012" s="43" t="s">
        <v>4791</v>
      </c>
      <c r="AI1012" s="63">
        <f t="shared" si="200"/>
        <v>2.0192307692307691E-4</v>
      </c>
      <c r="AJ1012" s="307">
        <f>RTD("money.excel",,$G1012,"PredictVolume")</f>
        <v>42</v>
      </c>
      <c r="AK1012" s="339"/>
    </row>
    <row r="1013" spans="1:37">
      <c r="A1013" s="416">
        <v>5.87</v>
      </c>
      <c r="B1013" s="80">
        <v>-22</v>
      </c>
      <c r="C1013" s="79">
        <v>41</v>
      </c>
      <c r="D1013" s="79">
        <v>379</v>
      </c>
      <c r="E1013" s="79">
        <v>155</v>
      </c>
      <c r="F1013" s="6">
        <v>-15.62</v>
      </c>
      <c r="G1013" s="79">
        <v>8171</v>
      </c>
      <c r="H1013" s="8" t="s">
        <v>313</v>
      </c>
      <c r="I1013" s="16" t="s">
        <v>4792</v>
      </c>
      <c r="J1013" s="73">
        <v>27.51</v>
      </c>
      <c r="K1013" s="73">
        <v>1.63</v>
      </c>
      <c r="L1013" s="73">
        <v>72.73</v>
      </c>
      <c r="N1013" s="318">
        <f t="shared" si="201"/>
        <v>101.87</v>
      </c>
      <c r="O1013" s="81">
        <f>IFERROR(VLOOKUP($G1013,'321買'!A:E,3,0),"'沒有資料'")</f>
        <v>5</v>
      </c>
      <c r="P1013" s="380">
        <f>IFERROR(VLOOKUP($G1013,'321買'!$A:$G,7,0),"'沒有資料'")</f>
        <v>558</v>
      </c>
      <c r="R1013" s="297">
        <f>IFERROR(RANK(VLOOKUP($G1013,連買!$A:$D,4,0),連買!$D:$D,0),"'沒有資料'")</f>
        <v>701</v>
      </c>
      <c r="S1013" s="34">
        <v>0</v>
      </c>
      <c r="T1013" s="353">
        <f t="shared" si="196"/>
        <v>0</v>
      </c>
      <c r="U1013" s="95">
        <v>-1.42</v>
      </c>
      <c r="V1013" s="36">
        <f>RTD("money.excel",,"8171","Price")</f>
        <v>49.35</v>
      </c>
      <c r="W1013" s="66"/>
      <c r="X1013" s="15">
        <f t="shared" si="197"/>
        <v>49.35</v>
      </c>
      <c r="Y1013" s="3" t="e">
        <f t="shared" si="198"/>
        <v>#DIV/0!</v>
      </c>
      <c r="Z1013" s="413" t="s">
        <v>1801</v>
      </c>
      <c r="AA1013" s="161">
        <v>0</v>
      </c>
      <c r="AB1013" s="409">
        <v>0</v>
      </c>
      <c r="AC1013" s="259">
        <f t="shared" si="194"/>
        <v>0</v>
      </c>
      <c r="AD1013" s="16" t="s">
        <v>4792</v>
      </c>
      <c r="AG1013" s="33">
        <f t="shared" si="199"/>
        <v>0</v>
      </c>
      <c r="AH1013" s="43" t="s">
        <v>2737</v>
      </c>
      <c r="AI1013" s="63">
        <f t="shared" si="200"/>
        <v>2.947189097103918E-3</v>
      </c>
      <c r="AJ1013" s="307">
        <f>RTD("money.excel",,$G1013,"PredictVolume")</f>
        <v>173</v>
      </c>
      <c r="AK1013" s="339"/>
    </row>
    <row r="1014" spans="1:37">
      <c r="A1014" s="416">
        <v>7.25</v>
      </c>
      <c r="B1014" s="206">
        <v>-4503</v>
      </c>
      <c r="C1014" s="206">
        <v>-1096</v>
      </c>
      <c r="D1014" s="91">
        <v>-52</v>
      </c>
      <c r="E1014" s="91">
        <v>-60</v>
      </c>
      <c r="F1014" s="6">
        <v>-37.4</v>
      </c>
      <c r="G1014" s="79">
        <v>8176</v>
      </c>
      <c r="H1014" s="8" t="s">
        <v>313</v>
      </c>
      <c r="I1014" s="16" t="s">
        <v>4793</v>
      </c>
      <c r="J1014" s="73">
        <v>46.68</v>
      </c>
      <c r="K1014" s="73">
        <v>0.77</v>
      </c>
      <c r="L1014" s="73">
        <v>8.83</v>
      </c>
      <c r="N1014" s="318">
        <f t="shared" si="201"/>
        <v>56.28</v>
      </c>
      <c r="O1014" s="81">
        <f>IFERROR(VLOOKUP($G1014,'321買'!A:E,3,0),"'沒有資料'")</f>
        <v>0</v>
      </c>
      <c r="P1014" s="380">
        <f>IFERROR(VLOOKUP($G1014,'321買'!$A:$G,7,0),"'沒有資料'")</f>
        <v>911</v>
      </c>
      <c r="R1014" s="297">
        <f>IFERROR(RANK(VLOOKUP($G1014,連買!$A:$D,4,0),連買!$D:$D,0),"'沒有資料'")</f>
        <v>1329</v>
      </c>
      <c r="S1014" s="34">
        <v>0</v>
      </c>
      <c r="T1014" s="353">
        <f t="shared" si="196"/>
        <v>0</v>
      </c>
      <c r="U1014" s="95">
        <v>-1.27</v>
      </c>
      <c r="V1014" s="36">
        <f>RTD("money.excel",,"8176","Price")</f>
        <v>11.05</v>
      </c>
      <c r="W1014" s="66"/>
      <c r="X1014" s="15">
        <f t="shared" si="197"/>
        <v>11.05</v>
      </c>
      <c r="Y1014" s="3" t="e">
        <f t="shared" si="198"/>
        <v>#DIV/0!</v>
      </c>
      <c r="AA1014" s="161">
        <v>0</v>
      </c>
      <c r="AB1014" s="409">
        <v>0</v>
      </c>
      <c r="AC1014" s="259">
        <f t="shared" si="194"/>
        <v>0</v>
      </c>
      <c r="AD1014" s="16" t="s">
        <v>4793</v>
      </c>
      <c r="AG1014" s="33">
        <f t="shared" si="199"/>
        <v>0</v>
      </c>
      <c r="AH1014" s="43" t="s">
        <v>4783</v>
      </c>
      <c r="AI1014" s="63">
        <f t="shared" si="200"/>
        <v>3.9062068965517241E-2</v>
      </c>
      <c r="AJ1014" s="307">
        <f>RTD("money.excel",,$G1014,"PredictVolume")</f>
        <v>2832</v>
      </c>
      <c r="AK1014" s="339"/>
    </row>
    <row r="1015" spans="1:37">
      <c r="A1015" s="146"/>
      <c r="B1015" s="206"/>
      <c r="C1015" s="206"/>
      <c r="D1015" s="91"/>
      <c r="E1015" s="91"/>
      <c r="F1015" s="6"/>
      <c r="G1015" s="79"/>
      <c r="H1015" s="8"/>
      <c r="I1015" s="16"/>
      <c r="J1015" s="73"/>
      <c r="K1015" s="73"/>
      <c r="N1015" s="318"/>
      <c r="O1015" s="26"/>
      <c r="R1015" s="297"/>
      <c r="S1015" s="34"/>
      <c r="U1015" s="95"/>
      <c r="V1015" s="36"/>
      <c r="W1015" s="66"/>
      <c r="X1015" s="15"/>
      <c r="Y1015" s="3"/>
      <c r="AA1015" s="2"/>
      <c r="AD1015" s="16"/>
      <c r="AG1015" s="33"/>
      <c r="AH1015" s="43"/>
      <c r="AI1015" s="63"/>
      <c r="AJ1015" s="307"/>
      <c r="AK1015" s="339"/>
    </row>
    <row r="1016" spans="1:37">
      <c r="A1016" s="130" t="s">
        <v>4191</v>
      </c>
      <c r="B1016" s="91" t="s">
        <v>4192</v>
      </c>
      <c r="C1016" s="91" t="s">
        <v>4193</v>
      </c>
      <c r="D1016" s="91" t="s">
        <v>4194</v>
      </c>
      <c r="E1016" s="91" t="s">
        <v>4195</v>
      </c>
      <c r="F1016" s="8" t="s">
        <v>4196</v>
      </c>
      <c r="G1016" s="27" t="s">
        <v>429</v>
      </c>
      <c r="H1016" s="55" t="s">
        <v>322</v>
      </c>
      <c r="I1016" s="8" t="s">
        <v>4794</v>
      </c>
      <c r="J1016" s="317" t="s">
        <v>4199</v>
      </c>
      <c r="K1016" s="317" t="s">
        <v>4200</v>
      </c>
      <c r="L1016" s="317" t="s">
        <v>4201</v>
      </c>
      <c r="M1016" s="317" t="s">
        <v>4202</v>
      </c>
      <c r="N1016" s="317" t="s">
        <v>5048</v>
      </c>
      <c r="O1016" s="26" t="s">
        <v>5107</v>
      </c>
      <c r="P1016" s="373" t="s">
        <v>5059</v>
      </c>
      <c r="Q1016" s="245" t="s">
        <v>5087</v>
      </c>
      <c r="R1016" s="345" t="s">
        <v>5059</v>
      </c>
      <c r="S1016" s="10" t="s">
        <v>4203</v>
      </c>
      <c r="T1016" s="351" t="s">
        <v>5076</v>
      </c>
      <c r="U1016" s="68" t="s">
        <v>4204</v>
      </c>
      <c r="V1016" s="28" t="s">
        <v>4205</v>
      </c>
      <c r="W1016" s="17" t="s">
        <v>4206</v>
      </c>
      <c r="X1016" s="14" t="s">
        <v>4207</v>
      </c>
      <c r="Y1016" s="21" t="s">
        <v>4208</v>
      </c>
      <c r="Z1016" s="97" t="s">
        <v>6627</v>
      </c>
      <c r="AA1016" s="406" t="s">
        <v>8647</v>
      </c>
      <c r="AB1016" s="407" t="s">
        <v>8648</v>
      </c>
      <c r="AC1016" s="408" t="s">
        <v>8649</v>
      </c>
      <c r="AD1016" s="8" t="s">
        <v>4794</v>
      </c>
      <c r="AE1016" s="71" t="s">
        <v>4209</v>
      </c>
      <c r="AF1016" s="72" t="s">
        <v>4210</v>
      </c>
      <c r="AG1016" s="32" t="s">
        <v>4211</v>
      </c>
      <c r="AH1016" s="25" t="s">
        <v>8650</v>
      </c>
      <c r="AI1016" s="8" t="s">
        <v>4212</v>
      </c>
      <c r="AJ1016" s="50" t="s">
        <v>4213</v>
      </c>
      <c r="AK1016" s="339" t="s">
        <v>5038</v>
      </c>
    </row>
    <row r="1017" spans="1:37">
      <c r="A1017" s="416">
        <v>7.71</v>
      </c>
      <c r="B1017" s="79">
        <v>323</v>
      </c>
      <c r="C1017" s="80">
        <v>-62</v>
      </c>
      <c r="D1017" s="80">
        <v>-7</v>
      </c>
      <c r="E1017" s="80">
        <v>-14</v>
      </c>
      <c r="F1017" s="6">
        <v>1.91</v>
      </c>
      <c r="G1017" s="79">
        <v>1336</v>
      </c>
      <c r="H1017" s="8" t="s">
        <v>310</v>
      </c>
      <c r="I1017" s="16" t="s">
        <v>4795</v>
      </c>
      <c r="J1017" s="73">
        <v>31.06</v>
      </c>
      <c r="K1017" s="73">
        <v>2.4</v>
      </c>
      <c r="L1017" s="73">
        <v>44.5</v>
      </c>
      <c r="N1017" s="318">
        <f>J1017+K1017+L1017+M1017</f>
        <v>77.960000000000008</v>
      </c>
      <c r="O1017" s="81" t="str">
        <f>IFERROR(VLOOKUP($G1017,'321買'!A:E,3,0),"'沒有資料'")</f>
        <v>'沒有資料'</v>
      </c>
      <c r="P1017" s="380" t="str">
        <f>IFERROR(VLOOKUP($G1017,'321買'!$A:$G,7,0),"'沒有資料'")</f>
        <v>'沒有資料'</v>
      </c>
      <c r="R1017" s="297">
        <f>IFERROR(RANK(VLOOKUP($G1017,連買!$A:$D,4,0),連買!$D:$D,0),"'沒有資料'")</f>
        <v>1577</v>
      </c>
      <c r="S1017" s="34">
        <v>1.5</v>
      </c>
      <c r="T1017" s="353">
        <f t="shared" ref="T1017:T1080" si="202">S1017/V1017</f>
        <v>7.5949367088607597E-2</v>
      </c>
      <c r="U1017" s="95">
        <v>2.48</v>
      </c>
      <c r="V1017" s="36">
        <f>RTD("money.excel",,"1336","Price")</f>
        <v>19.75</v>
      </c>
      <c r="W1017" s="66"/>
      <c r="X1017" s="15">
        <f t="shared" ref="X1017:X1078" si="203">V1017-W1017</f>
        <v>19.75</v>
      </c>
      <c r="Y1017" s="3" t="e">
        <f t="shared" ref="Y1017:Y1078" si="204">X1017/W1017</f>
        <v>#DIV/0!</v>
      </c>
      <c r="Z1017" s="413" t="s">
        <v>1801</v>
      </c>
      <c r="AA1017" s="161">
        <v>0</v>
      </c>
      <c r="AB1017" s="409">
        <v>0</v>
      </c>
      <c r="AC1017" s="259">
        <f t="shared" si="194"/>
        <v>0</v>
      </c>
      <c r="AD1017" s="16" t="s">
        <v>4795</v>
      </c>
      <c r="AG1017" s="33">
        <f t="shared" ref="AG1017:AG1078" si="205">AF1017-AE1017</f>
        <v>0</v>
      </c>
      <c r="AH1017" s="43" t="s">
        <v>4796</v>
      </c>
      <c r="AI1017" s="63">
        <f t="shared" ref="AI1017:AI1080" si="206">AJ1017/(A1017*10000)</f>
        <v>5.4474708171206229E-4</v>
      </c>
      <c r="AJ1017" s="307">
        <f>RTD("money.excel",,$G1017,"PredictVolume")</f>
        <v>42</v>
      </c>
      <c r="AK1017" s="339"/>
    </row>
    <row r="1018" spans="1:37">
      <c r="A1018" s="416">
        <v>15</v>
      </c>
      <c r="B1018" s="79">
        <v>102</v>
      </c>
      <c r="C1018" s="79">
        <v>32</v>
      </c>
      <c r="D1018" s="80">
        <v>-28</v>
      </c>
      <c r="E1018" s="80">
        <v>-73</v>
      </c>
      <c r="F1018" s="6">
        <v>-23.43</v>
      </c>
      <c r="G1018" s="79">
        <v>1471</v>
      </c>
      <c r="H1018" s="8" t="s">
        <v>310</v>
      </c>
      <c r="I1018" s="22" t="s">
        <v>4797</v>
      </c>
      <c r="J1018" s="323">
        <v>23.47</v>
      </c>
      <c r="K1018" s="323">
        <v>0.81</v>
      </c>
      <c r="L1018" s="323"/>
      <c r="N1018" s="318">
        <f t="shared" ref="N1018:N1078" si="207">J1018+K1018+L1018+M1018</f>
        <v>24.279999999999998</v>
      </c>
      <c r="O1018" s="81">
        <f>IFERROR(VLOOKUP($G1018,'321買'!A:E,3,0),"'沒有資料'")</f>
        <v>3</v>
      </c>
      <c r="P1018" s="380">
        <f>IFERROR(VLOOKUP($G1018,'321買'!$A:$G,7,0),"'沒有資料'")</f>
        <v>636</v>
      </c>
      <c r="R1018" s="297">
        <f>IFERROR(RANK(VLOOKUP($G1018,連買!$A:$D,4,0),連買!$D:$D,0),"'沒有資料'")</f>
        <v>1254</v>
      </c>
      <c r="S1018" s="34">
        <v>0</v>
      </c>
      <c r="T1018" s="353">
        <f t="shared" si="202"/>
        <v>0</v>
      </c>
      <c r="U1018" s="95">
        <v>3.08</v>
      </c>
      <c r="V1018" s="36">
        <f>RTD("money.excel",,"1471","Price")</f>
        <v>7.07</v>
      </c>
      <c r="W1018" s="66"/>
      <c r="X1018" s="15">
        <f t="shared" si="203"/>
        <v>7.07</v>
      </c>
      <c r="Y1018" s="3" t="e">
        <f t="shared" si="204"/>
        <v>#DIV/0!</v>
      </c>
      <c r="AA1018" s="161">
        <v>0</v>
      </c>
      <c r="AB1018" s="409">
        <v>0</v>
      </c>
      <c r="AC1018" s="259">
        <f t="shared" si="194"/>
        <v>0</v>
      </c>
      <c r="AD1018" s="22" t="s">
        <v>4797</v>
      </c>
      <c r="AG1018" s="33">
        <f t="shared" si="205"/>
        <v>0</v>
      </c>
      <c r="AH1018" s="43" t="s">
        <v>2556</v>
      </c>
      <c r="AI1018" s="63">
        <f t="shared" si="206"/>
        <v>9.4666666666666662E-4</v>
      </c>
      <c r="AJ1018" s="307">
        <f>RTD("money.excel",,$G1018,"PredictVolume")</f>
        <v>142</v>
      </c>
      <c r="AK1018" s="339"/>
    </row>
    <row r="1019" spans="1:37">
      <c r="A1019" s="416">
        <v>12.3</v>
      </c>
      <c r="B1019" s="80">
        <v>-70</v>
      </c>
      <c r="C1019" s="80">
        <v>-69</v>
      </c>
      <c r="D1019" s="79">
        <v>11</v>
      </c>
      <c r="E1019" s="79">
        <v>10</v>
      </c>
      <c r="F1019" s="6">
        <v>4.66</v>
      </c>
      <c r="G1019" s="79">
        <v>1582</v>
      </c>
      <c r="H1019" s="8" t="s">
        <v>310</v>
      </c>
      <c r="I1019" s="22" t="s">
        <v>4798</v>
      </c>
      <c r="J1019" s="73">
        <v>30.24</v>
      </c>
      <c r="K1019" s="323">
        <v>13.49</v>
      </c>
      <c r="L1019" s="73">
        <v>5.08</v>
      </c>
      <c r="N1019" s="318">
        <f t="shared" si="207"/>
        <v>48.809999999999995</v>
      </c>
      <c r="O1019" s="81">
        <f>IFERROR(VLOOKUP($G1019,'321買'!A:E,3,0),"'沒有資料'")</f>
        <v>0</v>
      </c>
      <c r="P1019" s="380">
        <f>IFERROR(VLOOKUP($G1019,'321買'!$A:$G,7,0),"'沒有資料'")</f>
        <v>911</v>
      </c>
      <c r="R1019" s="297">
        <f>IFERROR(RANK(VLOOKUP($G1019,連買!$A:$D,4,0),連買!$D:$D,0),"'沒有資料'")</f>
        <v>1699</v>
      </c>
      <c r="S1019" s="66">
        <v>5</v>
      </c>
      <c r="T1019" s="353">
        <f t="shared" si="202"/>
        <v>7.0224719101123587E-2</v>
      </c>
      <c r="U1019" s="95">
        <v>5</v>
      </c>
      <c r="V1019" s="36">
        <f>RTD("money.excel",,"1582","Price")</f>
        <v>71.2</v>
      </c>
      <c r="W1019" s="66"/>
      <c r="X1019" s="15">
        <f t="shared" si="203"/>
        <v>71.2</v>
      </c>
      <c r="Y1019" s="3" t="e">
        <f t="shared" si="204"/>
        <v>#DIV/0!</v>
      </c>
      <c r="Z1019" s="413" t="s">
        <v>1997</v>
      </c>
      <c r="AA1019" s="161">
        <v>0</v>
      </c>
      <c r="AB1019" s="409">
        <v>0</v>
      </c>
      <c r="AC1019" s="259">
        <f t="shared" si="194"/>
        <v>0</v>
      </c>
      <c r="AD1019" s="22" t="s">
        <v>4798</v>
      </c>
      <c r="AG1019" s="33">
        <f t="shared" si="205"/>
        <v>0</v>
      </c>
      <c r="AH1019" s="43" t="s">
        <v>4799</v>
      </c>
      <c r="AI1019" s="63">
        <f t="shared" si="206"/>
        <v>1E-3</v>
      </c>
      <c r="AJ1019" s="307">
        <f>RTD("money.excel",,$G1019,"PredictVolume")</f>
        <v>123</v>
      </c>
      <c r="AK1019" s="339"/>
    </row>
    <row r="1020" spans="1:37">
      <c r="A1020" s="416">
        <v>4.71</v>
      </c>
      <c r="B1020" s="80">
        <v>-62</v>
      </c>
      <c r="C1020" s="80">
        <v>-41</v>
      </c>
      <c r="D1020" s="80">
        <v>-45</v>
      </c>
      <c r="E1020" s="80">
        <v>-44</v>
      </c>
      <c r="F1020" s="6">
        <v>4.6100000000000003</v>
      </c>
      <c r="G1020" s="79">
        <v>1595</v>
      </c>
      <c r="H1020" s="8" t="s">
        <v>310</v>
      </c>
      <c r="I1020" s="16" t="s">
        <v>4800</v>
      </c>
      <c r="J1020" s="73">
        <v>45.97</v>
      </c>
      <c r="K1020" s="73">
        <v>0.73</v>
      </c>
      <c r="L1020" s="73">
        <v>1.73</v>
      </c>
      <c r="N1020" s="318">
        <f t="shared" si="207"/>
        <v>48.429999999999993</v>
      </c>
      <c r="O1020" s="81">
        <f>IFERROR(VLOOKUP($G1020,'321買'!A:E,3,0),"'沒有資料'")</f>
        <v>1</v>
      </c>
      <c r="P1020" s="380">
        <f>IFERROR(VLOOKUP($G1020,'321買'!$A:$G,7,0),"'沒有資料'")</f>
        <v>783</v>
      </c>
      <c r="R1020" s="297">
        <f>IFERROR(RANK(VLOOKUP($G1020,連買!$A:$D,4,0),連買!$D:$D,0),"'沒有資料'")</f>
        <v>850</v>
      </c>
      <c r="S1020" s="34">
        <v>0.5</v>
      </c>
      <c r="T1020" s="353">
        <f t="shared" si="202"/>
        <v>1.282051282051282E-2</v>
      </c>
      <c r="U1020" s="95">
        <v>0.19</v>
      </c>
      <c r="V1020" s="36">
        <f>RTD("money.excel",,"1595","Price")</f>
        <v>39</v>
      </c>
      <c r="W1020" s="66"/>
      <c r="X1020" s="15">
        <f t="shared" si="203"/>
        <v>39</v>
      </c>
      <c r="Y1020" s="3" t="e">
        <f t="shared" si="204"/>
        <v>#DIV/0!</v>
      </c>
      <c r="Z1020" s="413" t="s">
        <v>1801</v>
      </c>
      <c r="AA1020" s="161">
        <v>0</v>
      </c>
      <c r="AB1020" s="409">
        <v>0</v>
      </c>
      <c r="AC1020" s="259">
        <f t="shared" si="194"/>
        <v>0</v>
      </c>
      <c r="AD1020" s="16" t="s">
        <v>4800</v>
      </c>
      <c r="AG1020" s="33">
        <f t="shared" si="205"/>
        <v>0</v>
      </c>
      <c r="AH1020" s="43" t="s">
        <v>4801</v>
      </c>
      <c r="AI1020" s="63">
        <f t="shared" si="206"/>
        <v>5.3078556263269638E-4</v>
      </c>
      <c r="AJ1020" s="307">
        <f>RTD("money.excel",,$G1020,"PredictVolume")</f>
        <v>25</v>
      </c>
      <c r="AK1020" s="339"/>
    </row>
    <row r="1021" spans="1:37">
      <c r="A1021" s="416">
        <v>41.7</v>
      </c>
      <c r="B1021" s="80">
        <v>-703</v>
      </c>
      <c r="C1021" s="80">
        <v>-360</v>
      </c>
      <c r="D1021" s="80">
        <v>-16</v>
      </c>
      <c r="E1021" s="79">
        <v>25</v>
      </c>
      <c r="F1021" s="6">
        <v>-18.97</v>
      </c>
      <c r="G1021" s="79">
        <v>1815</v>
      </c>
      <c r="H1021" s="8" t="s">
        <v>310</v>
      </c>
      <c r="I1021" s="16" t="s">
        <v>4802</v>
      </c>
      <c r="J1021" s="73">
        <v>34.340000000000003</v>
      </c>
      <c r="K1021" s="323">
        <v>4.0999999999999996</v>
      </c>
      <c r="L1021" s="73">
        <v>18.63</v>
      </c>
      <c r="N1021" s="318">
        <f t="shared" si="207"/>
        <v>57.070000000000007</v>
      </c>
      <c r="O1021" s="81">
        <f>IFERROR(VLOOKUP($G1021,'321買'!A:E,3,0),"'沒有資料'")</f>
        <v>18</v>
      </c>
      <c r="P1021" s="380">
        <f>IFERROR(VLOOKUP($G1021,'321買'!$A:$G,7,0),"'沒有資料'")</f>
        <v>233</v>
      </c>
      <c r="R1021" s="297">
        <f>IFERROR(RANK(VLOOKUP($G1021,連買!$A:$D,4,0),連買!$D:$D,0),"'沒有資料'")</f>
        <v>1199</v>
      </c>
      <c r="S1021" s="34">
        <v>0</v>
      </c>
      <c r="T1021" s="353">
        <f t="shared" si="202"/>
        <v>0</v>
      </c>
      <c r="U1021" s="95">
        <v>-1.1599999999999999</v>
      </c>
      <c r="V1021" s="36">
        <f>RTD("money.excel",,"1815","Price")</f>
        <v>14.15</v>
      </c>
      <c r="W1021" s="66"/>
      <c r="X1021" s="15">
        <f t="shared" si="203"/>
        <v>14.15</v>
      </c>
      <c r="Y1021" s="3" t="e">
        <f t="shared" si="204"/>
        <v>#DIV/0!</v>
      </c>
      <c r="Z1021" s="413" t="s">
        <v>1801</v>
      </c>
      <c r="AA1021" s="161">
        <v>0</v>
      </c>
      <c r="AB1021" s="409">
        <v>0</v>
      </c>
      <c r="AC1021" s="259">
        <f t="shared" si="194"/>
        <v>0</v>
      </c>
      <c r="AD1021" s="16" t="s">
        <v>4802</v>
      </c>
      <c r="AG1021" s="33">
        <f t="shared" si="205"/>
        <v>0</v>
      </c>
      <c r="AH1021" s="120" t="s">
        <v>1058</v>
      </c>
      <c r="AI1021" s="63">
        <f t="shared" si="206"/>
        <v>2.4436450839328537E-3</v>
      </c>
      <c r="AJ1021" s="307">
        <f>RTD("money.excel",,$G1021,"PredictVolume")</f>
        <v>1019</v>
      </c>
      <c r="AK1021" s="339"/>
    </row>
    <row r="1022" spans="1:37">
      <c r="A1022" s="415">
        <v>9.5299999999999994</v>
      </c>
      <c r="B1022" s="80">
        <v>-25</v>
      </c>
      <c r="C1022" s="79">
        <v>5</v>
      </c>
      <c r="D1022" s="79">
        <v>3</v>
      </c>
      <c r="E1022" s="80">
        <v>-22</v>
      </c>
      <c r="F1022" s="57">
        <v>41.78</v>
      </c>
      <c r="G1022" s="79">
        <v>2059</v>
      </c>
      <c r="H1022" s="204" t="s">
        <v>310</v>
      </c>
      <c r="I1022" s="22" t="s">
        <v>4803</v>
      </c>
      <c r="J1022" s="323">
        <v>66.319999999999993</v>
      </c>
      <c r="K1022" s="73">
        <v>17.690000000000001</v>
      </c>
      <c r="L1022" s="73">
        <v>2.54</v>
      </c>
      <c r="N1022" s="318">
        <f t="shared" si="207"/>
        <v>86.55</v>
      </c>
      <c r="O1022" s="81">
        <f>IFERROR(VLOOKUP($G1022,'321買'!A:E,3,0),"'沒有資料'")</f>
        <v>1</v>
      </c>
      <c r="P1022" s="380">
        <f>IFERROR(VLOOKUP($G1022,'321買'!$A:$G,7,0),"'沒有資料'")</f>
        <v>783</v>
      </c>
      <c r="R1022" s="297">
        <f>IFERROR(RANK(VLOOKUP($G1022,連買!$A:$D,4,0),連買!$D:$D,0),"'沒有資料'")</f>
        <v>138</v>
      </c>
      <c r="S1022" s="66">
        <v>6.12</v>
      </c>
      <c r="T1022" s="353">
        <f t="shared" si="202"/>
        <v>1.3814898419864561E-2</v>
      </c>
      <c r="U1022" s="95">
        <v>12.22</v>
      </c>
      <c r="V1022" s="36">
        <f>RTD("money.excel",,"2059","Price")</f>
        <v>443</v>
      </c>
      <c r="W1022" s="66"/>
      <c r="X1022" s="15">
        <f t="shared" si="203"/>
        <v>443</v>
      </c>
      <c r="Y1022" s="3" t="e">
        <f t="shared" si="204"/>
        <v>#DIV/0!</v>
      </c>
      <c r="Z1022" s="413" t="s">
        <v>1997</v>
      </c>
      <c r="AA1022" s="161">
        <v>0</v>
      </c>
      <c r="AB1022" s="409">
        <v>0</v>
      </c>
      <c r="AC1022" s="259">
        <f t="shared" si="194"/>
        <v>0</v>
      </c>
      <c r="AD1022" s="22" t="s">
        <v>4803</v>
      </c>
      <c r="AG1022" s="33">
        <f t="shared" si="205"/>
        <v>0</v>
      </c>
      <c r="AH1022" s="120" t="s">
        <v>4804</v>
      </c>
      <c r="AI1022" s="63">
        <f t="shared" si="206"/>
        <v>1.2591815320041973E-3</v>
      </c>
      <c r="AJ1022" s="307">
        <f>RTD("money.excel",,$G1022,"PredictVolume")</f>
        <v>120</v>
      </c>
      <c r="AK1022" s="339"/>
    </row>
    <row r="1023" spans="1:37">
      <c r="A1023" s="415">
        <v>259</v>
      </c>
      <c r="B1023" s="79">
        <v>4</v>
      </c>
      <c r="C1023" s="80">
        <v>-1</v>
      </c>
      <c r="D1023" s="80">
        <v>-2</v>
      </c>
      <c r="E1023" s="79">
        <v>25</v>
      </c>
      <c r="F1023" s="57">
        <v>9.9700000000000006</v>
      </c>
      <c r="G1023" s="79">
        <v>2308</v>
      </c>
      <c r="H1023" s="8" t="s">
        <v>310</v>
      </c>
      <c r="I1023" s="22" t="s">
        <v>4806</v>
      </c>
      <c r="J1023" s="323">
        <v>87.08</v>
      </c>
      <c r="K1023" s="73">
        <v>68.430000000000007</v>
      </c>
      <c r="L1023" s="73">
        <v>0.4</v>
      </c>
      <c r="M1023" s="323">
        <v>7.33</v>
      </c>
      <c r="N1023" s="73">
        <f t="shared" si="207"/>
        <v>163.24</v>
      </c>
      <c r="O1023" s="81">
        <f>IFERROR(VLOOKUP($G1023,'321買'!A:E,3,0),"'沒有資料'")</f>
        <v>0</v>
      </c>
      <c r="P1023" s="380">
        <f>IFERROR(VLOOKUP($G1023,'321買'!$A:$G,7,0),"'沒有資料'")</f>
        <v>911</v>
      </c>
      <c r="Q1023" s="245" t="s">
        <v>3817</v>
      </c>
      <c r="R1023" s="297">
        <f>IFERROR(RANK(VLOOKUP($G1023,連買!$A:$D,4,0),連買!$D:$D,0),"'沒有資料'")</f>
        <v>56</v>
      </c>
      <c r="S1023" s="45">
        <v>5.5</v>
      </c>
      <c r="T1023" s="353">
        <f t="shared" si="202"/>
        <v>2.1739130434782608E-2</v>
      </c>
      <c r="U1023" s="57">
        <v>10.32</v>
      </c>
      <c r="V1023" s="13">
        <f>RTD("money.excel",,"2308","Price")</f>
        <v>253</v>
      </c>
      <c r="W1023" s="66"/>
      <c r="X1023" s="15">
        <f t="shared" si="203"/>
        <v>253</v>
      </c>
      <c r="Y1023" s="3" t="e">
        <f t="shared" si="204"/>
        <v>#DIV/0!</v>
      </c>
      <c r="Z1023" s="413" t="s">
        <v>8613</v>
      </c>
      <c r="AA1023" s="161">
        <v>0</v>
      </c>
      <c r="AB1023" s="409">
        <v>0</v>
      </c>
      <c r="AC1023" s="259">
        <f t="shared" si="194"/>
        <v>0</v>
      </c>
      <c r="AD1023" s="22" t="s">
        <v>4806</v>
      </c>
      <c r="AG1023" s="33">
        <f t="shared" si="205"/>
        <v>0</v>
      </c>
      <c r="AH1023" s="122" t="s">
        <v>4807</v>
      </c>
      <c r="AI1023" s="63">
        <f t="shared" si="206"/>
        <v>1.035907335907336E-3</v>
      </c>
      <c r="AJ1023" s="307">
        <f>RTD("money.excel",,$G1023,"PredictVolume")</f>
        <v>2683</v>
      </c>
      <c r="AK1023" s="339">
        <v>1.52</v>
      </c>
    </row>
    <row r="1024" spans="1:37">
      <c r="A1024" s="416">
        <v>119</v>
      </c>
      <c r="B1024" s="79">
        <v>0</v>
      </c>
      <c r="C1024" s="79">
        <v>0</v>
      </c>
      <c r="D1024" s="80">
        <v>-1</v>
      </c>
      <c r="E1024" s="80">
        <v>-2</v>
      </c>
      <c r="F1024" s="6">
        <v>9.48</v>
      </c>
      <c r="G1024" s="79">
        <v>2313</v>
      </c>
      <c r="H1024" s="204" t="s">
        <v>310</v>
      </c>
      <c r="I1024" s="22" t="s">
        <v>4808</v>
      </c>
      <c r="J1024" s="323">
        <v>53.95</v>
      </c>
      <c r="K1024" s="323">
        <v>14.35</v>
      </c>
      <c r="L1024" s="323">
        <v>14.09</v>
      </c>
      <c r="N1024" s="318">
        <f t="shared" si="207"/>
        <v>82.39</v>
      </c>
      <c r="O1024" s="81">
        <f>IFERROR(VLOOKUP($G1024,'321買'!A:E,3,0),"'沒有資料'")</f>
        <v>27</v>
      </c>
      <c r="P1024" s="380">
        <f>IFERROR(VLOOKUP($G1024,'321買'!$A:$G,7,0),"'沒有資料'")</f>
        <v>156</v>
      </c>
      <c r="R1024" s="297">
        <f>IFERROR(RANK(VLOOKUP($G1024,連買!$A:$D,4,0),連買!$D:$D,0),"'沒有資料'")</f>
        <v>493</v>
      </c>
      <c r="S1024" s="34">
        <v>1.5</v>
      </c>
      <c r="T1024" s="353">
        <f t="shared" si="202"/>
        <v>3.125E-2</v>
      </c>
      <c r="U1024" s="57">
        <v>3.91</v>
      </c>
      <c r="V1024" s="36">
        <f>RTD("money.excel",,"2313","Price")</f>
        <v>48</v>
      </c>
      <c r="W1024" s="66"/>
      <c r="X1024" s="15">
        <f t="shared" si="203"/>
        <v>48</v>
      </c>
      <c r="Y1024" s="3" t="e">
        <f t="shared" si="204"/>
        <v>#DIV/0!</v>
      </c>
      <c r="Z1024" s="413" t="s">
        <v>1801</v>
      </c>
      <c r="AA1024" s="161">
        <v>0</v>
      </c>
      <c r="AB1024" s="409">
        <v>0</v>
      </c>
      <c r="AC1024" s="259">
        <f t="shared" si="194"/>
        <v>0</v>
      </c>
      <c r="AD1024" s="22" t="s">
        <v>4808</v>
      </c>
      <c r="AG1024" s="33">
        <f t="shared" si="205"/>
        <v>0</v>
      </c>
      <c r="AH1024" s="120" t="s">
        <v>4809</v>
      </c>
      <c r="AI1024" s="63">
        <f t="shared" si="206"/>
        <v>3.2454621848739498E-2</v>
      </c>
      <c r="AJ1024" s="307">
        <f>RTD("money.excel",,$G1024,"PredictVolume")</f>
        <v>38621</v>
      </c>
      <c r="AK1024" s="339"/>
    </row>
    <row r="1025" spans="1:37">
      <c r="A1025" s="416">
        <v>18.2</v>
      </c>
      <c r="B1025" s="80">
        <v>-25</v>
      </c>
      <c r="C1025" s="79">
        <v>24</v>
      </c>
      <c r="D1025" s="80">
        <v>-1</v>
      </c>
      <c r="E1025" s="79">
        <v>4</v>
      </c>
      <c r="F1025" s="6">
        <v>-4.33</v>
      </c>
      <c r="G1025" s="79">
        <v>2316</v>
      </c>
      <c r="H1025" s="8" t="s">
        <v>310</v>
      </c>
      <c r="I1025" s="22" t="s">
        <v>4810</v>
      </c>
      <c r="J1025" s="323">
        <v>42.7</v>
      </c>
      <c r="K1025" s="73">
        <v>16.86</v>
      </c>
      <c r="L1025" s="323">
        <v>12.03</v>
      </c>
      <c r="N1025" s="318">
        <f t="shared" si="207"/>
        <v>71.59</v>
      </c>
      <c r="O1025" s="81">
        <f>IFERROR(VLOOKUP($G1025,'321買'!A:E,3,0),"'沒有資料'")</f>
        <v>2</v>
      </c>
      <c r="P1025" s="380">
        <f>IFERROR(VLOOKUP($G1025,'321買'!$A:$G,7,0),"'沒有資料'")</f>
        <v>706</v>
      </c>
      <c r="R1025" s="297">
        <f>IFERROR(RANK(VLOOKUP($G1025,連買!$A:$D,4,0),連買!$D:$D,0),"'沒有資料'")</f>
        <v>970</v>
      </c>
      <c r="S1025" s="34">
        <v>1.5</v>
      </c>
      <c r="T1025" s="353">
        <f t="shared" si="202"/>
        <v>5.128205128205128E-2</v>
      </c>
      <c r="U1025" s="95">
        <v>2.1</v>
      </c>
      <c r="V1025" s="36">
        <f>RTD("money.excel",,"2316","Price")</f>
        <v>29.25</v>
      </c>
      <c r="W1025" s="66"/>
      <c r="X1025" s="15">
        <f t="shared" si="203"/>
        <v>29.25</v>
      </c>
      <c r="Y1025" s="3" t="e">
        <f t="shared" si="204"/>
        <v>#DIV/0!</v>
      </c>
      <c r="Z1025" s="413" t="s">
        <v>1801</v>
      </c>
      <c r="AA1025" s="161">
        <v>0</v>
      </c>
      <c r="AB1025" s="409">
        <v>0</v>
      </c>
      <c r="AC1025" s="259">
        <f t="shared" si="194"/>
        <v>0</v>
      </c>
      <c r="AD1025" s="22" t="s">
        <v>4810</v>
      </c>
      <c r="AG1025" s="33">
        <f t="shared" si="205"/>
        <v>0</v>
      </c>
      <c r="AH1025" s="43" t="s">
        <v>4811</v>
      </c>
      <c r="AI1025" s="63">
        <f t="shared" si="206"/>
        <v>1.7032967032967034E-3</v>
      </c>
      <c r="AJ1025" s="307">
        <f>RTD("money.excel",,$G1025,"PredictVolume")</f>
        <v>310</v>
      </c>
      <c r="AK1025" s="339"/>
    </row>
    <row r="1026" spans="1:37">
      <c r="A1026" s="415">
        <v>49.5</v>
      </c>
      <c r="B1026" s="79">
        <v>118</v>
      </c>
      <c r="C1026" s="79">
        <v>101</v>
      </c>
      <c r="D1026" s="80">
        <v>-12</v>
      </c>
      <c r="E1026" s="79">
        <v>19</v>
      </c>
      <c r="F1026" s="57">
        <v>27.78</v>
      </c>
      <c r="G1026" s="79">
        <v>2327</v>
      </c>
      <c r="H1026" s="204" t="s">
        <v>310</v>
      </c>
      <c r="I1026" s="22" t="s">
        <v>4812</v>
      </c>
      <c r="J1026" s="73">
        <v>47.47</v>
      </c>
      <c r="K1026" s="73">
        <v>52.64</v>
      </c>
      <c r="L1026" s="323">
        <v>10.68</v>
      </c>
      <c r="N1026" s="318">
        <f t="shared" si="207"/>
        <v>110.78999999999999</v>
      </c>
      <c r="O1026" s="81">
        <f>IFERROR(VLOOKUP($G1026,'321買'!A:E,3,0),"'沒有資料'")</f>
        <v>6</v>
      </c>
      <c r="P1026" s="380">
        <f>IFERROR(VLOOKUP($G1026,'321買'!$A:$G,7,0),"'沒有資料'")</f>
        <v>521</v>
      </c>
      <c r="R1026" s="297">
        <f>IFERROR(RANK(VLOOKUP($G1026,連買!$A:$D,4,0),連買!$D:$D,0),"'沒有資料'")</f>
        <v>63</v>
      </c>
      <c r="S1026" s="66">
        <v>10.08</v>
      </c>
      <c r="T1026" s="353">
        <f t="shared" si="202"/>
        <v>2.4827586206896551E-2</v>
      </c>
      <c r="U1026" s="95">
        <v>46.83</v>
      </c>
      <c r="V1026" s="13">
        <f>RTD("money.excel",,"2327","Price")</f>
        <v>406</v>
      </c>
      <c r="W1026" s="66"/>
      <c r="X1026" s="15">
        <f t="shared" si="203"/>
        <v>406</v>
      </c>
      <c r="Y1026" s="3" t="e">
        <f t="shared" si="204"/>
        <v>#DIV/0!</v>
      </c>
      <c r="Z1026" s="413" t="s">
        <v>1997</v>
      </c>
      <c r="AA1026" s="161">
        <v>0</v>
      </c>
      <c r="AB1026" s="409">
        <v>0</v>
      </c>
      <c r="AC1026" s="259">
        <f t="shared" si="194"/>
        <v>0</v>
      </c>
      <c r="AD1026" s="22" t="s">
        <v>4812</v>
      </c>
      <c r="AG1026" s="33">
        <f t="shared" si="205"/>
        <v>0</v>
      </c>
      <c r="AH1026" s="120" t="s">
        <v>4813</v>
      </c>
      <c r="AI1026" s="63">
        <f t="shared" si="206"/>
        <v>3.933333333333333E-3</v>
      </c>
      <c r="AJ1026" s="307">
        <f>RTD("money.excel",,$G1026,"PredictVolume")</f>
        <v>1947</v>
      </c>
      <c r="AK1026" s="339"/>
    </row>
    <row r="1027" spans="1:37">
      <c r="A1027" s="416">
        <v>51.8</v>
      </c>
      <c r="B1027" s="80">
        <v>-68</v>
      </c>
      <c r="C1027" s="80">
        <v>-75</v>
      </c>
      <c r="D1027" s="79">
        <v>1</v>
      </c>
      <c r="E1027" s="80">
        <v>-22</v>
      </c>
      <c r="F1027" s="6">
        <v>0.96</v>
      </c>
      <c r="G1027" s="79">
        <v>2328</v>
      </c>
      <c r="H1027" s="8" t="s">
        <v>310</v>
      </c>
      <c r="I1027" s="22" t="s">
        <v>4814</v>
      </c>
      <c r="J1027" s="323">
        <v>45.79</v>
      </c>
      <c r="K1027" s="323">
        <v>15.07</v>
      </c>
      <c r="L1027" s="323">
        <v>6.64</v>
      </c>
      <c r="N1027" s="318">
        <f t="shared" si="207"/>
        <v>67.5</v>
      </c>
      <c r="O1027" s="81">
        <f>IFERROR(VLOOKUP($G1027,'321買'!A:E,3,0),"'沒有資料'")</f>
        <v>20</v>
      </c>
      <c r="P1027" s="380">
        <f>IFERROR(VLOOKUP($G1027,'321買'!$A:$G,7,0),"'沒有資料'")</f>
        <v>215</v>
      </c>
      <c r="R1027" s="297">
        <f>IFERROR(RANK(VLOOKUP($G1027,連買!$A:$D,4,0),連買!$D:$D,0),"'沒有資料'")</f>
        <v>482</v>
      </c>
      <c r="S1027" s="34">
        <v>0.65</v>
      </c>
      <c r="T1027" s="353">
        <f t="shared" si="202"/>
        <v>1.7173051519154558E-2</v>
      </c>
      <c r="U1027" s="95">
        <v>1.28</v>
      </c>
      <c r="V1027" s="36">
        <f>RTD("money.excel",,"2328","Price")</f>
        <v>37.85</v>
      </c>
      <c r="W1027" s="66"/>
      <c r="X1027" s="15">
        <f t="shared" si="203"/>
        <v>37.85</v>
      </c>
      <c r="Y1027" s="3" t="e">
        <f t="shared" si="204"/>
        <v>#DIV/0!</v>
      </c>
      <c r="Z1027" s="413" t="s">
        <v>1801</v>
      </c>
      <c r="AA1027" s="161">
        <v>0</v>
      </c>
      <c r="AB1027" s="409">
        <v>0</v>
      </c>
      <c r="AC1027" s="259">
        <f t="shared" si="194"/>
        <v>0</v>
      </c>
      <c r="AD1027" s="22" t="s">
        <v>4814</v>
      </c>
      <c r="AG1027" s="33">
        <f t="shared" si="205"/>
        <v>0</v>
      </c>
      <c r="AH1027" s="120" t="s">
        <v>4815</v>
      </c>
      <c r="AI1027" s="63">
        <f t="shared" si="206"/>
        <v>1.2194980694980696E-2</v>
      </c>
      <c r="AJ1027" s="307">
        <f>RTD("money.excel",,$G1027,"PredictVolume")</f>
        <v>6317</v>
      </c>
      <c r="AK1027" s="339"/>
    </row>
    <row r="1028" spans="1:37">
      <c r="A1028" s="416">
        <v>39.700000000000003</v>
      </c>
      <c r="B1028" s="79">
        <v>750</v>
      </c>
      <c r="C1028" s="80">
        <v>-12</v>
      </c>
      <c r="D1028" s="79">
        <v>14</v>
      </c>
      <c r="E1028" s="79">
        <v>13</v>
      </c>
      <c r="F1028" s="6">
        <v>-1</v>
      </c>
      <c r="G1028" s="79">
        <v>2355</v>
      </c>
      <c r="H1028" s="8" t="s">
        <v>310</v>
      </c>
      <c r="I1028" s="22" t="s">
        <v>4816</v>
      </c>
      <c r="J1028" s="73">
        <v>42.52</v>
      </c>
      <c r="K1028" s="73">
        <v>17.010000000000002</v>
      </c>
      <c r="L1028" s="323">
        <v>9.69</v>
      </c>
      <c r="M1028" s="323">
        <v>11.89</v>
      </c>
      <c r="N1028" s="318">
        <f t="shared" si="207"/>
        <v>81.11</v>
      </c>
      <c r="O1028" s="81">
        <f>IFERROR(VLOOKUP($G1028,'321買'!A:E,3,0),"'沒有資料'")</f>
        <v>8</v>
      </c>
      <c r="P1028" s="380">
        <f>IFERROR(VLOOKUP($G1028,'321買'!$A:$G,7,0),"'沒有資料'")</f>
        <v>408</v>
      </c>
      <c r="Q1028" s="245" t="s">
        <v>3815</v>
      </c>
      <c r="R1028" s="297">
        <f>IFERROR(RANK(VLOOKUP($G1028,連買!$A:$D,4,0),連買!$D:$D,0),"'沒有資料'")</f>
        <v>561</v>
      </c>
      <c r="S1028" s="34">
        <v>0.5</v>
      </c>
      <c r="T1028" s="353">
        <f t="shared" si="202"/>
        <v>1.5873015873015872E-2</v>
      </c>
      <c r="U1028" s="95">
        <v>1.1399999999999999</v>
      </c>
      <c r="V1028" s="36">
        <f>RTD("money.excel",,"2355","Price")</f>
        <v>31.5</v>
      </c>
      <c r="W1028" s="66"/>
      <c r="X1028" s="15">
        <f t="shared" si="203"/>
        <v>31.5</v>
      </c>
      <c r="Y1028" s="3" t="e">
        <f t="shared" si="204"/>
        <v>#DIV/0!</v>
      </c>
      <c r="Z1028" s="413" t="s">
        <v>1801</v>
      </c>
      <c r="AA1028" s="161">
        <v>0</v>
      </c>
      <c r="AB1028" s="409">
        <v>0</v>
      </c>
      <c r="AC1028" s="259">
        <f t="shared" si="194"/>
        <v>0</v>
      </c>
      <c r="AD1028" s="22" t="s">
        <v>4816</v>
      </c>
      <c r="AG1028" s="33">
        <f t="shared" si="205"/>
        <v>0</v>
      </c>
      <c r="AH1028" s="120" t="s">
        <v>4817</v>
      </c>
      <c r="AI1028" s="63">
        <f t="shared" si="206"/>
        <v>2.6020151133501258E-3</v>
      </c>
      <c r="AJ1028" s="307">
        <f>RTD("money.excel",,$G1028,"PredictVolume")</f>
        <v>1033</v>
      </c>
      <c r="AK1028" s="339"/>
    </row>
    <row r="1029" spans="1:37">
      <c r="A1029" s="416">
        <v>61.9</v>
      </c>
      <c r="B1029" s="80">
        <v>-182</v>
      </c>
      <c r="C1029" s="80">
        <v>-195</v>
      </c>
      <c r="D1029" s="79">
        <v>7</v>
      </c>
      <c r="E1029" s="80">
        <v>-3</v>
      </c>
      <c r="F1029" s="6">
        <v>-16.059999999999999</v>
      </c>
      <c r="G1029" s="79">
        <v>2367</v>
      </c>
      <c r="H1029" s="8" t="s">
        <v>310</v>
      </c>
      <c r="I1029" s="22" t="s">
        <v>4818</v>
      </c>
      <c r="J1029" s="323">
        <v>27.29</v>
      </c>
      <c r="K1029" s="323">
        <v>8.11</v>
      </c>
      <c r="L1029" s="73">
        <v>21.61</v>
      </c>
      <c r="N1029" s="318">
        <f t="shared" si="207"/>
        <v>57.01</v>
      </c>
      <c r="O1029" s="81">
        <f>IFERROR(VLOOKUP($G1029,'321買'!A:E,3,0),"'沒有資料'")</f>
        <v>4</v>
      </c>
      <c r="P1029" s="380">
        <f>IFERROR(VLOOKUP($G1029,'321買'!$A:$G,7,0),"'沒有資料'")</f>
        <v>592</v>
      </c>
      <c r="R1029" s="297">
        <f>IFERROR(RANK(VLOOKUP($G1029,連買!$A:$D,4,0),連買!$D:$D,0),"'沒有資料'")</f>
        <v>868</v>
      </c>
      <c r="S1029" s="34">
        <v>0</v>
      </c>
      <c r="T1029" s="353">
        <f t="shared" si="202"/>
        <v>0</v>
      </c>
      <c r="U1029" s="95">
        <v>-2.3199999999999998</v>
      </c>
      <c r="V1029" s="36">
        <f>RTD("money.excel",,"2367","Price")</f>
        <v>17.25</v>
      </c>
      <c r="W1029" s="66"/>
      <c r="X1029" s="15">
        <f t="shared" si="203"/>
        <v>17.25</v>
      </c>
      <c r="Y1029" s="3" t="e">
        <f t="shared" si="204"/>
        <v>#DIV/0!</v>
      </c>
      <c r="Z1029" s="413" t="s">
        <v>1801</v>
      </c>
      <c r="AA1029" s="161">
        <v>0</v>
      </c>
      <c r="AB1029" s="409">
        <v>0</v>
      </c>
      <c r="AC1029" s="259">
        <f t="shared" ref="AC1029:AC1092" si="208">AA1029-AB1029</f>
        <v>0</v>
      </c>
      <c r="AD1029" s="22" t="s">
        <v>4818</v>
      </c>
      <c r="AG1029" s="33">
        <f t="shared" si="205"/>
        <v>0</v>
      </c>
      <c r="AH1029" s="120" t="s">
        <v>1049</v>
      </c>
      <c r="AI1029" s="63">
        <f t="shared" si="206"/>
        <v>1.6090468497576738E-3</v>
      </c>
      <c r="AJ1029" s="307">
        <f>RTD("money.excel",,$G1029,"PredictVolume")</f>
        <v>996</v>
      </c>
      <c r="AK1029" s="339"/>
    </row>
    <row r="1030" spans="1:37">
      <c r="A1030" s="415">
        <v>54.6</v>
      </c>
      <c r="B1030" s="79">
        <v>49</v>
      </c>
      <c r="C1030" s="79">
        <v>57</v>
      </c>
      <c r="D1030" s="80">
        <v>-1</v>
      </c>
      <c r="E1030" s="80">
        <v>-4</v>
      </c>
      <c r="F1030" s="57">
        <v>13.62</v>
      </c>
      <c r="G1030" s="79">
        <v>2368</v>
      </c>
      <c r="H1030" s="8" t="s">
        <v>310</v>
      </c>
      <c r="I1030" s="22" t="s">
        <v>4819</v>
      </c>
      <c r="J1030" s="73">
        <v>69.73</v>
      </c>
      <c r="K1030" s="73">
        <v>19.2</v>
      </c>
      <c r="L1030" s="323">
        <v>15.17</v>
      </c>
      <c r="N1030" s="318">
        <f t="shared" si="207"/>
        <v>104.10000000000001</v>
      </c>
      <c r="O1030" s="81">
        <f>IFERROR(VLOOKUP($G1030,'321買'!A:E,3,0),"'沒有資料'")</f>
        <v>77</v>
      </c>
      <c r="P1030" s="380">
        <f>IFERROR(VLOOKUP($G1030,'321買'!$A:$G,7,0),"'沒有資料'")</f>
        <v>27</v>
      </c>
      <c r="R1030" s="297">
        <f>IFERROR(RANK(VLOOKUP($G1030,連買!$A:$D,4,0),連買!$D:$D,0),"'沒有資料'")</f>
        <v>300</v>
      </c>
      <c r="S1030" s="34">
        <v>1.5</v>
      </c>
      <c r="T1030" s="353">
        <f t="shared" si="202"/>
        <v>1.7709563164108617E-2</v>
      </c>
      <c r="U1030" s="57">
        <v>4.18</v>
      </c>
      <c r="V1030" s="36">
        <f>RTD("money.excel",,"2368","Price")</f>
        <v>84.7</v>
      </c>
      <c r="W1030" s="66"/>
      <c r="X1030" s="15">
        <f t="shared" si="203"/>
        <v>84.7</v>
      </c>
      <c r="Y1030" s="3" t="e">
        <f t="shared" si="204"/>
        <v>#DIV/0!</v>
      </c>
      <c r="Z1030" s="413" t="s">
        <v>1801</v>
      </c>
      <c r="AA1030" s="161">
        <v>0</v>
      </c>
      <c r="AB1030" s="409">
        <v>0</v>
      </c>
      <c r="AC1030" s="259">
        <f t="shared" si="208"/>
        <v>0</v>
      </c>
      <c r="AD1030" s="22" t="s">
        <v>4819</v>
      </c>
      <c r="AG1030" s="33">
        <f t="shared" si="205"/>
        <v>0</v>
      </c>
      <c r="AH1030" s="43" t="s">
        <v>1049</v>
      </c>
      <c r="AI1030" s="63">
        <f t="shared" si="206"/>
        <v>1.4536630036630036E-2</v>
      </c>
      <c r="AJ1030" s="307">
        <f>RTD("money.excel",,$G1030,"PredictVolume")</f>
        <v>7937</v>
      </c>
      <c r="AK1030" s="339"/>
    </row>
    <row r="1031" spans="1:37">
      <c r="A1031" s="415">
        <v>13.5</v>
      </c>
      <c r="B1031" s="79">
        <v>54</v>
      </c>
      <c r="C1031" s="79">
        <v>45</v>
      </c>
      <c r="D1031" s="79">
        <v>7</v>
      </c>
      <c r="E1031" s="79">
        <v>42</v>
      </c>
      <c r="F1031" s="57">
        <v>13.21</v>
      </c>
      <c r="G1031" s="79">
        <v>2375</v>
      </c>
      <c r="H1031" s="208" t="s">
        <v>310</v>
      </c>
      <c r="I1031" s="23" t="s">
        <v>4820</v>
      </c>
      <c r="J1031" s="73">
        <v>14.64</v>
      </c>
      <c r="K1031" s="73">
        <v>7.02</v>
      </c>
      <c r="L1031" s="323">
        <v>37.75</v>
      </c>
      <c r="M1031" s="73">
        <v>7.07</v>
      </c>
      <c r="N1031" s="318">
        <f t="shared" si="207"/>
        <v>66.47999999999999</v>
      </c>
      <c r="O1031" s="81">
        <f>IFERROR(VLOOKUP($G1031,'321買'!A:E,3,0),"'沒有資料'")</f>
        <v>29</v>
      </c>
      <c r="P1031" s="380">
        <f>IFERROR(VLOOKUP($G1031,'321買'!$A:$G,7,0),"'沒有資料'")</f>
        <v>130</v>
      </c>
      <c r="Q1031" s="245" t="s">
        <v>3817</v>
      </c>
      <c r="R1031" s="297">
        <f>IFERROR(RANK(VLOOKUP($G1031,連買!$A:$D,4,0),連買!$D:$D,0),"'沒有資料'")</f>
        <v>349</v>
      </c>
      <c r="S1031" s="34">
        <v>2</v>
      </c>
      <c r="T1031" s="353">
        <f t="shared" si="202"/>
        <v>2.8089887640449437E-2</v>
      </c>
      <c r="U1031" s="95">
        <v>7.95</v>
      </c>
      <c r="V1031" s="36">
        <f>RTD("money.excel",,"2375","Price")</f>
        <v>71.2</v>
      </c>
      <c r="W1031" s="66"/>
      <c r="X1031" s="15">
        <f t="shared" si="203"/>
        <v>71.2</v>
      </c>
      <c r="Y1031" s="3" t="e">
        <f t="shared" si="204"/>
        <v>#DIV/0!</v>
      </c>
      <c r="Z1031" s="413" t="s">
        <v>1801</v>
      </c>
      <c r="AA1031" s="161">
        <v>0</v>
      </c>
      <c r="AB1031" s="409">
        <v>0</v>
      </c>
      <c r="AC1031" s="259">
        <f t="shared" si="208"/>
        <v>0</v>
      </c>
      <c r="AD1031" s="23" t="s">
        <v>4820</v>
      </c>
      <c r="AG1031" s="33">
        <f t="shared" si="205"/>
        <v>0</v>
      </c>
      <c r="AH1031" s="122" t="s">
        <v>4821</v>
      </c>
      <c r="AI1031" s="63">
        <f t="shared" si="206"/>
        <v>3.1925925925925928E-3</v>
      </c>
      <c r="AJ1031" s="307">
        <f>RTD("money.excel",,$G1031,"PredictVolume")</f>
        <v>431</v>
      </c>
      <c r="AK1031" s="339"/>
    </row>
    <row r="1032" spans="1:37">
      <c r="A1032" s="415">
        <v>33.200000000000003</v>
      </c>
      <c r="B1032" s="79">
        <v>28</v>
      </c>
      <c r="C1032" s="79">
        <v>19</v>
      </c>
      <c r="D1032" s="79">
        <v>3</v>
      </c>
      <c r="E1032" s="79">
        <v>14</v>
      </c>
      <c r="F1032" s="57">
        <v>17.68</v>
      </c>
      <c r="G1032" s="79">
        <v>2383</v>
      </c>
      <c r="H1032" s="8" t="s">
        <v>310</v>
      </c>
      <c r="I1032" s="22" t="s">
        <v>4822</v>
      </c>
      <c r="J1032" s="73">
        <v>61.55</v>
      </c>
      <c r="K1032" s="73">
        <v>31.35</v>
      </c>
      <c r="L1032" s="73">
        <v>5.74</v>
      </c>
      <c r="N1032" s="318">
        <f t="shared" si="207"/>
        <v>98.64</v>
      </c>
      <c r="O1032" s="81">
        <f>IFERROR(VLOOKUP($G1032,'321買'!A:E,3,0),"'沒有資料'")</f>
        <v>25</v>
      </c>
      <c r="P1032" s="380">
        <f>IFERROR(VLOOKUP($G1032,'321買'!$A:$G,7,0),"'沒有資料'")</f>
        <v>222</v>
      </c>
      <c r="R1032" s="297">
        <f>IFERROR(RANK(VLOOKUP($G1032,連買!$A:$D,4,0),連買!$D:$D,0),"'沒有資料'")</f>
        <v>55</v>
      </c>
      <c r="S1032" s="66">
        <v>7</v>
      </c>
      <c r="T1032" s="353">
        <f t="shared" si="202"/>
        <v>2.9106029106029108E-2</v>
      </c>
      <c r="U1032" s="95">
        <v>11.39</v>
      </c>
      <c r="V1032" s="36">
        <f>RTD("money.excel",,"2383","Price")</f>
        <v>240.5</v>
      </c>
      <c r="W1032" s="66"/>
      <c r="X1032" s="15">
        <f t="shared" si="203"/>
        <v>240.5</v>
      </c>
      <c r="Y1032" s="3" t="e">
        <f t="shared" si="204"/>
        <v>#DIV/0!</v>
      </c>
      <c r="Z1032" s="413" t="s">
        <v>1997</v>
      </c>
      <c r="AA1032" s="161">
        <v>0</v>
      </c>
      <c r="AB1032" s="409">
        <v>0</v>
      </c>
      <c r="AC1032" s="259">
        <f t="shared" si="208"/>
        <v>0</v>
      </c>
      <c r="AD1032" s="22" t="s">
        <v>4822</v>
      </c>
      <c r="AG1032" s="33">
        <f t="shared" si="205"/>
        <v>0</v>
      </c>
      <c r="AH1032" s="120" t="s">
        <v>3498</v>
      </c>
      <c r="AI1032" s="63">
        <f t="shared" si="206"/>
        <v>2.0632530120481929E-3</v>
      </c>
      <c r="AJ1032" s="307">
        <f>RTD("money.excel",,$G1032,"PredictVolume")</f>
        <v>685</v>
      </c>
      <c r="AK1032" s="339"/>
    </row>
    <row r="1033" spans="1:37">
      <c r="A1033" s="416">
        <v>74.5</v>
      </c>
      <c r="B1033" s="79">
        <v>9</v>
      </c>
      <c r="C1033" s="80">
        <v>-3</v>
      </c>
      <c r="D1033" s="79">
        <v>8</v>
      </c>
      <c r="E1033" s="79">
        <v>23</v>
      </c>
      <c r="F1033" s="6">
        <v>7.9</v>
      </c>
      <c r="G1033" s="79">
        <v>2385</v>
      </c>
      <c r="H1033" s="8" t="s">
        <v>310</v>
      </c>
      <c r="I1033" s="22" t="s">
        <v>4823</v>
      </c>
      <c r="J1033" s="73">
        <v>68.599999999999994</v>
      </c>
      <c r="K1033" s="323">
        <v>42.89</v>
      </c>
      <c r="L1033" s="73">
        <v>2.02</v>
      </c>
      <c r="N1033" s="318">
        <f t="shared" si="207"/>
        <v>113.50999999999999</v>
      </c>
      <c r="O1033" s="81">
        <f>IFERROR(VLOOKUP($G1033,'321買'!A:E,3,0),"'沒有資料'")</f>
        <v>1</v>
      </c>
      <c r="P1033" s="380">
        <f>IFERROR(VLOOKUP($G1033,'321買'!$A:$G,7,0),"'沒有資料'")</f>
        <v>783</v>
      </c>
      <c r="Q1033" s="245" t="s">
        <v>3818</v>
      </c>
      <c r="R1033" s="297">
        <f>IFERROR(RANK(VLOOKUP($G1033,連買!$A:$D,4,0),連買!$D:$D,0),"'沒有資料'")</f>
        <v>244</v>
      </c>
      <c r="S1033" s="66">
        <v>5.5</v>
      </c>
      <c r="T1033" s="353">
        <f t="shared" si="202"/>
        <v>6.3364055299539174E-2</v>
      </c>
      <c r="U1033" s="57">
        <v>8.14</v>
      </c>
      <c r="V1033" s="13">
        <f>RTD("money.excel",,"2385","Price")</f>
        <v>86.8</v>
      </c>
      <c r="W1033" s="66"/>
      <c r="X1033" s="15">
        <f t="shared" si="203"/>
        <v>86.8</v>
      </c>
      <c r="Y1033" s="3" t="e">
        <f t="shared" si="204"/>
        <v>#DIV/0!</v>
      </c>
      <c r="Z1033" s="413" t="s">
        <v>1997</v>
      </c>
      <c r="AA1033" s="161">
        <v>0</v>
      </c>
      <c r="AB1033" s="409">
        <v>0</v>
      </c>
      <c r="AC1033" s="259">
        <f t="shared" si="208"/>
        <v>0</v>
      </c>
      <c r="AD1033" s="22" t="s">
        <v>4823</v>
      </c>
      <c r="AG1033" s="33">
        <f t="shared" si="205"/>
        <v>0</v>
      </c>
      <c r="AH1033" s="120" t="s">
        <v>4824</v>
      </c>
      <c r="AI1033" s="63">
        <f t="shared" si="206"/>
        <v>9.2617449664429534E-4</v>
      </c>
      <c r="AJ1033" s="307">
        <f>RTD("money.excel",,$G1033,"PredictVolume")</f>
        <v>690</v>
      </c>
      <c r="AK1033" s="339"/>
    </row>
    <row r="1034" spans="1:37">
      <c r="A1034" s="416">
        <v>51.2</v>
      </c>
      <c r="B1034" s="80">
        <v>-30</v>
      </c>
      <c r="C1034" s="80">
        <v>-11</v>
      </c>
      <c r="D1034" s="79">
        <v>6</v>
      </c>
      <c r="E1034" s="80">
        <v>-1</v>
      </c>
      <c r="F1034" s="6">
        <v>2.12</v>
      </c>
      <c r="G1034" s="79">
        <v>2392</v>
      </c>
      <c r="H1034" s="8" t="s">
        <v>310</v>
      </c>
      <c r="I1034" s="22" t="s">
        <v>4825</v>
      </c>
      <c r="J1034" s="73">
        <v>44.23</v>
      </c>
      <c r="K1034" s="73">
        <v>12.14</v>
      </c>
      <c r="L1034" s="73">
        <v>4.34</v>
      </c>
      <c r="N1034" s="318">
        <f t="shared" si="207"/>
        <v>60.709999999999994</v>
      </c>
      <c r="O1034" s="81">
        <f>IFERROR(VLOOKUP($G1034,'321買'!A:E,3,0),"'沒有資料'")</f>
        <v>0</v>
      </c>
      <c r="P1034" s="380">
        <f>IFERROR(VLOOKUP($G1034,'321買'!$A:$G,7,0),"'沒有資料'")</f>
        <v>911</v>
      </c>
      <c r="R1034" s="297">
        <f>IFERROR(RANK(VLOOKUP($G1034,連買!$A:$D,4,0),連買!$D:$D,0),"'沒有資料'")</f>
        <v>385</v>
      </c>
      <c r="S1034" s="34">
        <v>2.5</v>
      </c>
      <c r="T1034" s="353">
        <f t="shared" si="202"/>
        <v>7.0721357850070721E-2</v>
      </c>
      <c r="U1034" s="95">
        <v>2.48</v>
      </c>
      <c r="V1034" s="36">
        <f>RTD("money.excel",,"2392","Price")</f>
        <v>35.35</v>
      </c>
      <c r="W1034" s="66"/>
      <c r="X1034" s="15">
        <f t="shared" si="203"/>
        <v>35.35</v>
      </c>
      <c r="Y1034" s="3" t="e">
        <f t="shared" si="204"/>
        <v>#DIV/0!</v>
      </c>
      <c r="Z1034" s="413" t="s">
        <v>1801</v>
      </c>
      <c r="AA1034" s="161">
        <v>0</v>
      </c>
      <c r="AB1034" s="409">
        <v>0</v>
      </c>
      <c r="AC1034" s="259">
        <f t="shared" si="208"/>
        <v>0</v>
      </c>
      <c r="AD1034" s="22" t="s">
        <v>4825</v>
      </c>
      <c r="AG1034" s="33">
        <f t="shared" si="205"/>
        <v>0</v>
      </c>
      <c r="AH1034" s="120" t="s">
        <v>4826</v>
      </c>
      <c r="AI1034" s="63">
        <f t="shared" si="206"/>
        <v>9.8046875E-4</v>
      </c>
      <c r="AJ1034" s="307">
        <f>RTD("money.excel",,$G1034,"PredictVolume")</f>
        <v>502</v>
      </c>
      <c r="AK1034" s="339"/>
    </row>
    <row r="1035" spans="1:37">
      <c r="A1035" s="416">
        <v>30.7</v>
      </c>
      <c r="B1035" s="79">
        <v>56</v>
      </c>
      <c r="C1035" s="79">
        <v>239</v>
      </c>
      <c r="D1035" s="79">
        <v>128</v>
      </c>
      <c r="E1035" s="79">
        <v>3</v>
      </c>
      <c r="F1035" s="6">
        <v>4.57</v>
      </c>
      <c r="G1035" s="79">
        <v>2402</v>
      </c>
      <c r="H1035" s="8" t="s">
        <v>310</v>
      </c>
      <c r="I1035" s="22" t="s">
        <v>4827</v>
      </c>
      <c r="J1035" s="323">
        <v>48.15</v>
      </c>
      <c r="K1035" s="323">
        <v>14.39</v>
      </c>
      <c r="L1035" s="73">
        <v>5.95</v>
      </c>
      <c r="N1035" s="318">
        <f t="shared" si="207"/>
        <v>68.489999999999995</v>
      </c>
      <c r="O1035" s="81">
        <f>IFERROR(VLOOKUP($G1035,'321買'!A:E,3,0),"'沒有資料'")</f>
        <v>4</v>
      </c>
      <c r="P1035" s="380">
        <f>IFERROR(VLOOKUP($G1035,'321買'!$A:$G,7,0),"'沒有資料'")</f>
        <v>592</v>
      </c>
      <c r="R1035" s="297">
        <f>IFERROR(RANK(VLOOKUP($G1035,連買!$A:$D,4,0),連買!$D:$D,0),"'沒有資料'")</f>
        <v>980</v>
      </c>
      <c r="S1035" s="34">
        <v>0.5</v>
      </c>
      <c r="T1035" s="353">
        <f t="shared" si="202"/>
        <v>3.1545741324921134E-2</v>
      </c>
      <c r="U1035" s="95">
        <v>0.39</v>
      </c>
      <c r="V1035" s="36">
        <f>RTD("money.excel",,"2402","Price")</f>
        <v>15.85</v>
      </c>
      <c r="W1035" s="66"/>
      <c r="X1035" s="15">
        <f t="shared" si="203"/>
        <v>15.85</v>
      </c>
      <c r="Y1035" s="3" t="e">
        <f t="shared" si="204"/>
        <v>#DIV/0!</v>
      </c>
      <c r="Z1035" s="413" t="s">
        <v>1801</v>
      </c>
      <c r="AA1035" s="161">
        <v>0</v>
      </c>
      <c r="AB1035" s="409">
        <v>0</v>
      </c>
      <c r="AC1035" s="259">
        <f t="shared" si="208"/>
        <v>0</v>
      </c>
      <c r="AD1035" s="22" t="s">
        <v>4827</v>
      </c>
      <c r="AG1035" s="33">
        <f t="shared" si="205"/>
        <v>0</v>
      </c>
      <c r="AH1035" s="43" t="s">
        <v>4828</v>
      </c>
      <c r="AI1035" s="63">
        <f t="shared" si="206"/>
        <v>9.9674267100977195E-4</v>
      </c>
      <c r="AJ1035" s="307">
        <f>RTD("money.excel",,$G1035,"PredictVolume")</f>
        <v>306</v>
      </c>
      <c r="AK1035" s="339"/>
    </row>
    <row r="1036" spans="1:37">
      <c r="A1036" s="416">
        <v>12.7</v>
      </c>
      <c r="B1036" s="94">
        <v>-1791</v>
      </c>
      <c r="C1036" s="80">
        <v>-92</v>
      </c>
      <c r="D1036" s="80">
        <v>-16</v>
      </c>
      <c r="E1036" s="80">
        <v>-18</v>
      </c>
      <c r="F1036" s="6">
        <v>-2.77</v>
      </c>
      <c r="G1036" s="79">
        <v>2413</v>
      </c>
      <c r="H1036" s="8" t="s">
        <v>310</v>
      </c>
      <c r="I1036" s="22" t="s">
        <v>4829</v>
      </c>
      <c r="J1036" s="73">
        <v>55.7</v>
      </c>
      <c r="K1036" s="73">
        <v>0.79</v>
      </c>
      <c r="L1036" s="323">
        <v>7.74</v>
      </c>
      <c r="N1036" s="318">
        <f t="shared" si="207"/>
        <v>64.23</v>
      </c>
      <c r="O1036" s="81">
        <f>IFERROR(VLOOKUP($G1036,'321買'!A:E,3,0),"'沒有資料'")</f>
        <v>1</v>
      </c>
      <c r="P1036" s="380">
        <f>IFERROR(VLOOKUP($G1036,'321買'!$A:$G,7,0),"'沒有資料'")</f>
        <v>783</v>
      </c>
      <c r="R1036" s="297">
        <f>IFERROR(RANK(VLOOKUP($G1036,連買!$A:$D,4,0),連買!$D:$D,0),"'沒有資料'")</f>
        <v>814</v>
      </c>
      <c r="S1036" s="34">
        <v>0</v>
      </c>
      <c r="T1036" s="353">
        <f t="shared" si="202"/>
        <v>0</v>
      </c>
      <c r="U1036" s="95">
        <v>-0.1</v>
      </c>
      <c r="V1036" s="36">
        <f>RTD("money.excel",,"2413","Price")</f>
        <v>21.1</v>
      </c>
      <c r="W1036" s="66"/>
      <c r="X1036" s="15">
        <f t="shared" si="203"/>
        <v>21.1</v>
      </c>
      <c r="Y1036" s="3" t="e">
        <f t="shared" si="204"/>
        <v>#DIV/0!</v>
      </c>
      <c r="Z1036" s="413" t="s">
        <v>1801</v>
      </c>
      <c r="AA1036" s="161">
        <v>0</v>
      </c>
      <c r="AB1036" s="409">
        <v>0</v>
      </c>
      <c r="AC1036" s="259">
        <f t="shared" si="208"/>
        <v>0</v>
      </c>
      <c r="AD1036" s="22" t="s">
        <v>4829</v>
      </c>
      <c r="AG1036" s="33">
        <f t="shared" si="205"/>
        <v>0</v>
      </c>
      <c r="AH1036" s="43" t="s">
        <v>2556</v>
      </c>
      <c r="AI1036" s="63">
        <f t="shared" si="206"/>
        <v>1.110236220472441E-3</v>
      </c>
      <c r="AJ1036" s="307">
        <f>RTD("money.excel",,$G1036,"PredictVolume")</f>
        <v>141</v>
      </c>
      <c r="AK1036" s="339"/>
    </row>
    <row r="1037" spans="1:37">
      <c r="A1037" s="416">
        <v>8</v>
      </c>
      <c r="B1037" s="91">
        <v>-42</v>
      </c>
      <c r="C1037" s="91">
        <v>-27</v>
      </c>
      <c r="D1037" s="91">
        <v>-5</v>
      </c>
      <c r="E1037" s="91">
        <v>-9</v>
      </c>
      <c r="F1037" s="6">
        <v>8.23</v>
      </c>
      <c r="G1037" s="79">
        <v>2415</v>
      </c>
      <c r="H1037" s="8" t="s">
        <v>310</v>
      </c>
      <c r="I1037" s="22" t="s">
        <v>4830</v>
      </c>
      <c r="J1037" s="73">
        <v>53.34</v>
      </c>
      <c r="K1037" s="73">
        <v>1.74</v>
      </c>
      <c r="L1037" s="73">
        <v>8.91</v>
      </c>
      <c r="N1037" s="318">
        <f t="shared" si="207"/>
        <v>63.990000000000009</v>
      </c>
      <c r="O1037" s="81">
        <f>IFERROR(VLOOKUP($G1037,'321買'!A:E,3,0),"'沒有資料'")</f>
        <v>19</v>
      </c>
      <c r="P1037" s="380">
        <f>IFERROR(VLOOKUP($G1037,'321買'!$A:$G,7,0),"'沒有資料'")</f>
        <v>273</v>
      </c>
      <c r="R1037" s="297">
        <f>IFERROR(RANK(VLOOKUP($G1037,連買!$A:$D,4,0),連買!$D:$D,0),"'沒有資料'")</f>
        <v>494</v>
      </c>
      <c r="S1037" s="34">
        <v>1.5</v>
      </c>
      <c r="T1037" s="353">
        <f t="shared" si="202"/>
        <v>3.5928143712574849E-2</v>
      </c>
      <c r="U1037" s="95">
        <v>0.66</v>
      </c>
      <c r="V1037" s="36">
        <f>RTD("money.excel",,"2415","Price")</f>
        <v>41.75</v>
      </c>
      <c r="W1037" s="66"/>
      <c r="X1037" s="15">
        <f t="shared" si="203"/>
        <v>41.75</v>
      </c>
      <c r="Y1037" s="3" t="e">
        <f t="shared" si="204"/>
        <v>#DIV/0!</v>
      </c>
      <c r="AA1037" s="161">
        <v>0</v>
      </c>
      <c r="AB1037" s="409">
        <v>0</v>
      </c>
      <c r="AC1037" s="259">
        <f t="shared" si="208"/>
        <v>0</v>
      </c>
      <c r="AD1037" s="22" t="s">
        <v>4830</v>
      </c>
      <c r="AG1037" s="33">
        <f t="shared" si="205"/>
        <v>0</v>
      </c>
      <c r="AH1037" s="43" t="s">
        <v>4831</v>
      </c>
      <c r="AI1037" s="63">
        <f t="shared" si="206"/>
        <v>2.575E-3</v>
      </c>
      <c r="AJ1037" s="307">
        <f>RTD("money.excel",,$G1037,"PredictVolume")</f>
        <v>206</v>
      </c>
      <c r="AK1037" s="339"/>
    </row>
    <row r="1038" spans="1:37">
      <c r="A1038" s="415">
        <v>15.2</v>
      </c>
      <c r="B1038" s="91">
        <v>-9</v>
      </c>
      <c r="C1038" s="91">
        <v>-5</v>
      </c>
      <c r="D1038" s="91">
        <v>0</v>
      </c>
      <c r="E1038" s="91">
        <v>17</v>
      </c>
      <c r="F1038" s="57">
        <v>20.260000000000002</v>
      </c>
      <c r="G1038" s="79">
        <v>2420</v>
      </c>
      <c r="H1038" s="8" t="s">
        <v>310</v>
      </c>
      <c r="I1038" s="22" t="s">
        <v>4832</v>
      </c>
      <c r="J1038" s="73">
        <v>52.24</v>
      </c>
      <c r="K1038" s="73">
        <v>2.48</v>
      </c>
      <c r="L1038" s="73">
        <v>1.1200000000000001</v>
      </c>
      <c r="N1038" s="318">
        <f t="shared" si="207"/>
        <v>55.839999999999996</v>
      </c>
      <c r="O1038" s="81">
        <f>IFERROR(VLOOKUP($G1038,'321買'!A:E,3,0),"'沒有資料'")</f>
        <v>1</v>
      </c>
      <c r="P1038" s="380">
        <f>IFERROR(VLOOKUP($G1038,'321買'!$A:$G,7,0),"'沒有資料'")</f>
        <v>783</v>
      </c>
      <c r="R1038" s="297">
        <f>IFERROR(RANK(VLOOKUP($G1038,連買!$A:$D,4,0),連買!$D:$D,0),"'沒有資料'")</f>
        <v>518</v>
      </c>
      <c r="S1038" s="34">
        <v>2.5499999999999998</v>
      </c>
      <c r="T1038" s="353">
        <f t="shared" si="202"/>
        <v>5.889145496535797E-2</v>
      </c>
      <c r="U1038" s="95">
        <v>2.9</v>
      </c>
      <c r="V1038" s="13">
        <f>RTD("money.excel",,"2420","Price")</f>
        <v>43.3</v>
      </c>
      <c r="W1038" s="66"/>
      <c r="X1038" s="15">
        <f t="shared" si="203"/>
        <v>43.3</v>
      </c>
      <c r="Y1038" s="3" t="e">
        <f t="shared" si="204"/>
        <v>#DIV/0!</v>
      </c>
      <c r="AA1038" s="161">
        <v>0</v>
      </c>
      <c r="AB1038" s="409">
        <v>0</v>
      </c>
      <c r="AC1038" s="259">
        <f t="shared" si="208"/>
        <v>0</v>
      </c>
      <c r="AD1038" s="22" t="s">
        <v>4832</v>
      </c>
      <c r="AG1038" s="33">
        <f t="shared" si="205"/>
        <v>0</v>
      </c>
      <c r="AH1038" s="43" t="s">
        <v>2556</v>
      </c>
      <c r="AI1038" s="63">
        <f t="shared" si="206"/>
        <v>1.1578947368421054E-3</v>
      </c>
      <c r="AJ1038" s="307">
        <f>RTD("money.excel",,$G1038,"PredictVolume")</f>
        <v>176</v>
      </c>
      <c r="AK1038" s="339"/>
    </row>
    <row r="1039" spans="1:37">
      <c r="A1039" s="416">
        <v>25</v>
      </c>
      <c r="B1039" s="80">
        <v>-63</v>
      </c>
      <c r="C1039" s="80">
        <v>-72</v>
      </c>
      <c r="D1039" s="80">
        <v>-8</v>
      </c>
      <c r="E1039" s="79">
        <v>8</v>
      </c>
      <c r="F1039" s="6">
        <v>2.48</v>
      </c>
      <c r="G1039" s="79">
        <v>2421</v>
      </c>
      <c r="H1039" s="8" t="s">
        <v>310</v>
      </c>
      <c r="I1039" s="22" t="s">
        <v>4834</v>
      </c>
      <c r="J1039" s="323">
        <v>48.17</v>
      </c>
      <c r="K1039" s="73">
        <v>22.12</v>
      </c>
      <c r="L1039" s="323">
        <v>8.1199999999999992</v>
      </c>
      <c r="M1039" s="323">
        <v>14.8</v>
      </c>
      <c r="N1039" s="318">
        <f t="shared" si="207"/>
        <v>93.210000000000008</v>
      </c>
      <c r="O1039" s="81">
        <f>IFERROR(VLOOKUP($G1039,'321買'!A:E,3,0),"'沒有資料'")</f>
        <v>7</v>
      </c>
      <c r="P1039" s="380">
        <f>IFERROR(VLOOKUP($G1039,'321買'!$A:$G,7,0),"'沒有資料'")</f>
        <v>475</v>
      </c>
      <c r="Q1039" s="245" t="s">
        <v>5088</v>
      </c>
      <c r="R1039" s="297">
        <f>IFERROR(RANK(VLOOKUP($G1039,連買!$A:$D,4,0),連買!$D:$D,0),"'沒有資料'")</f>
        <v>185</v>
      </c>
      <c r="S1039" s="34">
        <v>2.4</v>
      </c>
      <c r="T1039" s="353">
        <f t="shared" si="202"/>
        <v>6.1776061776061771E-2</v>
      </c>
      <c r="U1039" s="95">
        <v>1.63</v>
      </c>
      <c r="V1039" s="36">
        <f>RTD("money.excel",,"2421","Price")</f>
        <v>38.85</v>
      </c>
      <c r="W1039" s="66"/>
      <c r="X1039" s="15">
        <f t="shared" si="203"/>
        <v>38.85</v>
      </c>
      <c r="Y1039" s="3" t="e">
        <f t="shared" si="204"/>
        <v>#DIV/0!</v>
      </c>
      <c r="Z1039" s="413" t="s">
        <v>1801</v>
      </c>
      <c r="AA1039" s="161">
        <v>0</v>
      </c>
      <c r="AB1039" s="409">
        <v>0</v>
      </c>
      <c r="AC1039" s="259">
        <f t="shared" si="208"/>
        <v>0</v>
      </c>
      <c r="AD1039" s="22" t="s">
        <v>4834</v>
      </c>
      <c r="AG1039" s="33">
        <f t="shared" si="205"/>
        <v>0</v>
      </c>
      <c r="AH1039" s="120" t="s">
        <v>2458</v>
      </c>
      <c r="AI1039" s="63">
        <f t="shared" si="206"/>
        <v>2.036E-3</v>
      </c>
      <c r="AJ1039" s="307">
        <f>RTD("money.excel",,$G1039,"PredictVolume")</f>
        <v>509</v>
      </c>
      <c r="AK1039" s="339">
        <v>8.09</v>
      </c>
    </row>
    <row r="1040" spans="1:37">
      <c r="A1040" s="415">
        <v>12.8</v>
      </c>
      <c r="B1040" s="79">
        <v>28</v>
      </c>
      <c r="C1040" s="79">
        <v>29</v>
      </c>
      <c r="D1040" s="79">
        <v>6</v>
      </c>
      <c r="E1040" s="79">
        <v>11</v>
      </c>
      <c r="F1040" s="57">
        <v>29.97</v>
      </c>
      <c r="G1040" s="79">
        <v>2428</v>
      </c>
      <c r="H1040" s="208" t="s">
        <v>310</v>
      </c>
      <c r="I1040" s="22" t="s">
        <v>4835</v>
      </c>
      <c r="J1040" s="323">
        <v>58.2</v>
      </c>
      <c r="K1040" s="73">
        <v>14.82</v>
      </c>
      <c r="L1040" s="73">
        <v>7.89</v>
      </c>
      <c r="M1040" s="323">
        <v>25.61</v>
      </c>
      <c r="N1040" s="318">
        <f t="shared" si="207"/>
        <v>106.52000000000001</v>
      </c>
      <c r="O1040" s="81">
        <f>IFERROR(VLOOKUP($G1040,'321買'!A:E,3,0),"'沒有資料'")</f>
        <v>1</v>
      </c>
      <c r="P1040" s="380">
        <f>IFERROR(VLOOKUP($G1040,'321買'!$A:$G,7,0),"'沒有資料'")</f>
        <v>783</v>
      </c>
      <c r="Q1040" s="245" t="s">
        <v>3817</v>
      </c>
      <c r="R1040" s="297">
        <f>IFERROR(RANK(VLOOKUP($G1040,連買!$A:$D,4,0),連買!$D:$D,0),"'沒有資料'")</f>
        <v>1747</v>
      </c>
      <c r="S1040" s="66">
        <v>5.5</v>
      </c>
      <c r="T1040" s="353">
        <f t="shared" si="202"/>
        <v>4.0740740740740744E-2</v>
      </c>
      <c r="U1040" s="57">
        <v>12.86</v>
      </c>
      <c r="V1040" s="36">
        <f>RTD("money.excel",,"2428","Price")</f>
        <v>135</v>
      </c>
      <c r="W1040" s="66"/>
      <c r="X1040" s="15">
        <f t="shared" si="203"/>
        <v>135</v>
      </c>
      <c r="Y1040" s="3" t="e">
        <f t="shared" si="204"/>
        <v>#DIV/0!</v>
      </c>
      <c r="Z1040" s="413" t="s">
        <v>1997</v>
      </c>
      <c r="AA1040" s="161">
        <v>0</v>
      </c>
      <c r="AB1040" s="409">
        <v>0</v>
      </c>
      <c r="AC1040" s="259">
        <f t="shared" si="208"/>
        <v>0</v>
      </c>
      <c r="AD1040" s="22" t="s">
        <v>4835</v>
      </c>
      <c r="AG1040" s="33">
        <f t="shared" si="205"/>
        <v>0</v>
      </c>
      <c r="AH1040" s="43" t="s">
        <v>4836</v>
      </c>
      <c r="AI1040" s="63">
        <f t="shared" si="206"/>
        <v>9.5312499999999998E-4</v>
      </c>
      <c r="AJ1040" s="307">
        <f>RTD("money.excel",,$G1040,"PredictVolume")</f>
        <v>122</v>
      </c>
      <c r="AK1040" s="339"/>
    </row>
    <row r="1041" spans="1:37">
      <c r="A1041" s="416">
        <v>3.97</v>
      </c>
      <c r="B1041" s="91">
        <v>-127</v>
      </c>
      <c r="C1041" s="91">
        <v>-187</v>
      </c>
      <c r="D1041" s="91">
        <v>-1</v>
      </c>
      <c r="E1041" s="91">
        <v>78</v>
      </c>
      <c r="F1041" s="6">
        <v>-8.82</v>
      </c>
      <c r="G1041" s="79">
        <v>2429</v>
      </c>
      <c r="H1041" s="8" t="s">
        <v>310</v>
      </c>
      <c r="I1041" s="22" t="s">
        <v>4837</v>
      </c>
      <c r="J1041" s="73">
        <v>84.32</v>
      </c>
      <c r="K1041" s="73">
        <v>0.95</v>
      </c>
      <c r="N1041" s="318">
        <f t="shared" si="207"/>
        <v>85.27</v>
      </c>
      <c r="O1041" s="81">
        <f>IFERROR(VLOOKUP($G1041,'321買'!A:E,3,0),"'沒有資料'")</f>
        <v>0</v>
      </c>
      <c r="P1041" s="380">
        <f>IFERROR(VLOOKUP($G1041,'321買'!$A:$G,7,0),"'沒有資料'")</f>
        <v>911</v>
      </c>
      <c r="R1041" s="297">
        <f>IFERROR(RANK(VLOOKUP($G1041,連買!$A:$D,4,0),連買!$D:$D,0),"'沒有資料'")</f>
        <v>1534</v>
      </c>
      <c r="S1041" s="34">
        <v>0</v>
      </c>
      <c r="T1041" s="353">
        <f t="shared" si="202"/>
        <v>0</v>
      </c>
      <c r="U1041" s="95">
        <v>-1.65</v>
      </c>
      <c r="V1041" s="13">
        <f>RTD("money.excel",,"2429","Price")</f>
        <v>15.5</v>
      </c>
      <c r="W1041" s="66"/>
      <c r="X1041" s="15">
        <f t="shared" si="203"/>
        <v>15.5</v>
      </c>
      <c r="Y1041" s="3" t="e">
        <f t="shared" si="204"/>
        <v>#DIV/0!</v>
      </c>
      <c r="AA1041" s="161">
        <v>0</v>
      </c>
      <c r="AB1041" s="409">
        <v>0</v>
      </c>
      <c r="AC1041" s="259">
        <f t="shared" si="208"/>
        <v>0</v>
      </c>
      <c r="AD1041" s="22" t="s">
        <v>4837</v>
      </c>
      <c r="AG1041" s="33">
        <f t="shared" si="205"/>
        <v>0</v>
      </c>
      <c r="AH1041" s="43" t="s">
        <v>1049</v>
      </c>
      <c r="AI1041" s="63">
        <f t="shared" si="206"/>
        <v>2.0151133501259446E-4</v>
      </c>
      <c r="AJ1041" s="307">
        <f>RTD("money.excel",,$G1041,"PredictVolume")</f>
        <v>8</v>
      </c>
      <c r="AK1041" s="339"/>
    </row>
    <row r="1042" spans="1:37">
      <c r="A1042" s="416">
        <v>11</v>
      </c>
      <c r="B1042" s="140">
        <v>4868</v>
      </c>
      <c r="C1042" s="91">
        <v>254</v>
      </c>
      <c r="D1042" s="91">
        <v>-14</v>
      </c>
      <c r="E1042" s="91">
        <v>-12</v>
      </c>
      <c r="F1042" s="6">
        <v>1.89</v>
      </c>
      <c r="G1042" s="79">
        <v>2431</v>
      </c>
      <c r="H1042" s="8" t="s">
        <v>310</v>
      </c>
      <c r="I1042" s="22" t="s">
        <v>4838</v>
      </c>
      <c r="J1042" s="73">
        <v>39.020000000000003</v>
      </c>
      <c r="K1042" s="73">
        <v>3.68</v>
      </c>
      <c r="L1042" s="73">
        <v>12.61</v>
      </c>
      <c r="N1042" s="318">
        <f t="shared" si="207"/>
        <v>55.31</v>
      </c>
      <c r="O1042" s="81">
        <f>IFERROR(VLOOKUP($G1042,'321買'!A:E,3,0),"'沒有資料'")</f>
        <v>7</v>
      </c>
      <c r="P1042" s="380">
        <f>IFERROR(VLOOKUP($G1042,'321買'!$A:$G,7,0),"'沒有資料'")</f>
        <v>499</v>
      </c>
      <c r="R1042" s="297">
        <f>IFERROR(RANK(VLOOKUP($G1042,連買!$A:$D,4,0),連買!$D:$D,0),"'沒有資料'")</f>
        <v>1183</v>
      </c>
      <c r="S1042" s="34">
        <v>0.25</v>
      </c>
      <c r="T1042" s="353">
        <f t="shared" si="202"/>
        <v>2.1186440677966101E-2</v>
      </c>
      <c r="U1042" s="95">
        <v>0.42</v>
      </c>
      <c r="V1042" s="36">
        <f>RTD("money.excel",,"2431","Price")</f>
        <v>11.8</v>
      </c>
      <c r="W1042" s="66"/>
      <c r="X1042" s="15">
        <f t="shared" si="203"/>
        <v>11.8</v>
      </c>
      <c r="Y1042" s="3" t="e">
        <f t="shared" si="204"/>
        <v>#DIV/0!</v>
      </c>
      <c r="AA1042" s="161">
        <v>0</v>
      </c>
      <c r="AB1042" s="409">
        <v>0</v>
      </c>
      <c r="AC1042" s="259">
        <f t="shared" si="208"/>
        <v>0</v>
      </c>
      <c r="AD1042" s="22" t="s">
        <v>4838</v>
      </c>
      <c r="AG1042" s="33">
        <f t="shared" si="205"/>
        <v>0</v>
      </c>
      <c r="AH1042" s="43" t="s">
        <v>4839</v>
      </c>
      <c r="AI1042" s="63">
        <f t="shared" si="206"/>
        <v>1.2727272727272728E-3</v>
      </c>
      <c r="AJ1042" s="307">
        <f>RTD("money.excel",,$G1042,"PredictVolume")</f>
        <v>140</v>
      </c>
      <c r="AK1042" s="339"/>
    </row>
    <row r="1043" spans="1:37">
      <c r="A1043" s="416">
        <v>13.9</v>
      </c>
      <c r="B1043" s="79">
        <v>155</v>
      </c>
      <c r="C1043" s="79">
        <v>225</v>
      </c>
      <c r="D1043" s="80">
        <v>-1</v>
      </c>
      <c r="E1043" s="79">
        <v>84</v>
      </c>
      <c r="F1043" s="6">
        <v>3.62</v>
      </c>
      <c r="G1043" s="79">
        <v>2440</v>
      </c>
      <c r="H1043" s="8" t="s">
        <v>310</v>
      </c>
      <c r="I1043" s="22" t="s">
        <v>4840</v>
      </c>
      <c r="J1043" s="73">
        <v>68.290000000000006</v>
      </c>
      <c r="K1043" s="73">
        <v>1.07</v>
      </c>
      <c r="N1043" s="318">
        <f t="shared" si="207"/>
        <v>69.36</v>
      </c>
      <c r="O1043" s="81">
        <f>IFERROR(VLOOKUP($G1043,'321買'!A:E,3,0),"'沒有資料'")</f>
        <v>0</v>
      </c>
      <c r="P1043" s="380">
        <f>IFERROR(VLOOKUP($G1043,'321買'!$A:$G,7,0),"'沒有資料'")</f>
        <v>911</v>
      </c>
      <c r="R1043" s="297">
        <f>IFERROR(RANK(VLOOKUP($G1043,連買!$A:$D,4,0),連買!$D:$D,0),"'沒有資料'")</f>
        <v>778</v>
      </c>
      <c r="S1043" s="34">
        <v>0</v>
      </c>
      <c r="T1043" s="353">
        <f t="shared" si="202"/>
        <v>0</v>
      </c>
      <c r="U1043" s="57">
        <v>2.06</v>
      </c>
      <c r="V1043" s="36">
        <f>RTD("money.excel",,"2440","Price")</f>
        <v>14.1</v>
      </c>
      <c r="W1043" s="66"/>
      <c r="X1043" s="15">
        <f t="shared" si="203"/>
        <v>14.1</v>
      </c>
      <c r="Y1043" s="3" t="e">
        <f t="shared" si="204"/>
        <v>#DIV/0!</v>
      </c>
      <c r="AA1043" s="161">
        <v>0</v>
      </c>
      <c r="AB1043" s="409">
        <v>0</v>
      </c>
      <c r="AC1043" s="259">
        <f t="shared" si="208"/>
        <v>0</v>
      </c>
      <c r="AD1043" s="22" t="s">
        <v>4840</v>
      </c>
      <c r="AG1043" s="33">
        <f t="shared" si="205"/>
        <v>0</v>
      </c>
      <c r="AH1043" s="43" t="s">
        <v>4841</v>
      </c>
      <c r="AI1043" s="63">
        <f t="shared" si="206"/>
        <v>7.769784172661871E-4</v>
      </c>
      <c r="AJ1043" s="307">
        <f>RTD("money.excel",,$G1043,"PredictVolume")</f>
        <v>108</v>
      </c>
      <c r="AK1043" s="339"/>
    </row>
    <row r="1044" spans="1:37">
      <c r="A1044" s="416">
        <v>37.5</v>
      </c>
      <c r="B1044" s="80">
        <v>-69</v>
      </c>
      <c r="C1044" s="80">
        <v>-10</v>
      </c>
      <c r="D1044" s="79">
        <v>18</v>
      </c>
      <c r="E1044" s="79">
        <v>14</v>
      </c>
      <c r="F1044" s="6">
        <v>-3.9</v>
      </c>
      <c r="G1044" s="79">
        <v>2457</v>
      </c>
      <c r="H1044" s="8" t="s">
        <v>310</v>
      </c>
      <c r="I1044" s="22" t="s">
        <v>4842</v>
      </c>
      <c r="J1044" s="73">
        <v>34.14</v>
      </c>
      <c r="K1044" s="323">
        <v>8.6999999999999993</v>
      </c>
      <c r="L1044" s="73">
        <v>42.19</v>
      </c>
      <c r="M1044" s="323">
        <v>18.25</v>
      </c>
      <c r="N1044" s="318">
        <f t="shared" si="207"/>
        <v>103.28</v>
      </c>
      <c r="O1044" s="81">
        <f>IFERROR(VLOOKUP($G1044,'321買'!A:E,3,0),"'沒有資料'")</f>
        <v>36</v>
      </c>
      <c r="P1044" s="380">
        <f>IFERROR(VLOOKUP($G1044,'321買'!$A:$G,7,0),"'沒有資料'")</f>
        <v>110</v>
      </c>
      <c r="Q1044" s="245" t="s">
        <v>3817</v>
      </c>
      <c r="R1044" s="297">
        <f>IFERROR(RANK(VLOOKUP($G1044,連買!$A:$D,4,0),連買!$D:$D,0),"'沒有資料'")</f>
        <v>459</v>
      </c>
      <c r="S1044" s="34">
        <v>0</v>
      </c>
      <c r="T1044" s="353">
        <f t="shared" si="202"/>
        <v>0</v>
      </c>
      <c r="U1044" s="95">
        <v>-0.82</v>
      </c>
      <c r="V1044" s="36">
        <f>RTD("money.excel",,"2457","Price")</f>
        <v>45.1</v>
      </c>
      <c r="W1044" s="66"/>
      <c r="X1044" s="15">
        <f t="shared" si="203"/>
        <v>45.1</v>
      </c>
      <c r="Y1044" s="3" t="e">
        <f t="shared" si="204"/>
        <v>#DIV/0!</v>
      </c>
      <c r="Z1044" s="413" t="s">
        <v>1801</v>
      </c>
      <c r="AA1044" s="161">
        <v>0</v>
      </c>
      <c r="AB1044" s="409">
        <v>0</v>
      </c>
      <c r="AC1044" s="259">
        <f t="shared" si="208"/>
        <v>0</v>
      </c>
      <c r="AD1044" s="22" t="s">
        <v>4842</v>
      </c>
      <c r="AG1044" s="33">
        <f t="shared" si="205"/>
        <v>0</v>
      </c>
      <c r="AH1044" s="43" t="s">
        <v>2556</v>
      </c>
      <c r="AI1044" s="63">
        <f t="shared" si="206"/>
        <v>1.9213333333333332E-2</v>
      </c>
      <c r="AJ1044" s="307">
        <f>RTD("money.excel",,$G1044,"PredictVolume")</f>
        <v>7205</v>
      </c>
      <c r="AK1044" s="339"/>
    </row>
    <row r="1045" spans="1:37">
      <c r="A1045" s="416">
        <v>16.899999999999999</v>
      </c>
      <c r="B1045" s="91">
        <v>-5</v>
      </c>
      <c r="C1045" s="91">
        <v>41</v>
      </c>
      <c r="D1045" s="91">
        <v>-2</v>
      </c>
      <c r="E1045" s="91">
        <v>205</v>
      </c>
      <c r="F1045" s="6">
        <v>-0.92</v>
      </c>
      <c r="G1045" s="79">
        <v>2460</v>
      </c>
      <c r="H1045" s="8" t="s">
        <v>310</v>
      </c>
      <c r="I1045" s="22" t="s">
        <v>4843</v>
      </c>
      <c r="J1045" s="73">
        <v>65.2</v>
      </c>
      <c r="K1045" s="73">
        <v>1.61</v>
      </c>
      <c r="L1045" s="73">
        <v>12.51</v>
      </c>
      <c r="N1045" s="318">
        <f t="shared" si="207"/>
        <v>79.320000000000007</v>
      </c>
      <c r="O1045" s="81">
        <f>IFERROR(VLOOKUP($G1045,'321買'!A:E,3,0),"'沒有資料'")</f>
        <v>6</v>
      </c>
      <c r="P1045" s="380">
        <f>IFERROR(VLOOKUP($G1045,'321買'!$A:$G,7,0),"'沒有資料'")</f>
        <v>521</v>
      </c>
      <c r="R1045" s="297">
        <f>IFERROR(RANK(VLOOKUP($G1045,連買!$A:$D,4,0),連買!$D:$D,0),"'沒有資料'")</f>
        <v>394</v>
      </c>
      <c r="S1045" s="34">
        <v>0</v>
      </c>
      <c r="T1045" s="353">
        <f t="shared" si="202"/>
        <v>0</v>
      </c>
      <c r="U1045" s="95">
        <v>-0.25</v>
      </c>
      <c r="V1045" s="13">
        <f>RTD("money.excel",,"2460","Price")</f>
        <v>24.5</v>
      </c>
      <c r="W1045" s="66"/>
      <c r="X1045" s="15">
        <f t="shared" si="203"/>
        <v>24.5</v>
      </c>
      <c r="Y1045" s="3" t="e">
        <f t="shared" si="204"/>
        <v>#DIV/0!</v>
      </c>
      <c r="Z1045" s="413" t="s">
        <v>1801</v>
      </c>
      <c r="AA1045" s="161">
        <v>0</v>
      </c>
      <c r="AB1045" s="409">
        <v>0</v>
      </c>
      <c r="AC1045" s="259">
        <f t="shared" si="208"/>
        <v>0</v>
      </c>
      <c r="AD1045" s="22" t="s">
        <v>4843</v>
      </c>
      <c r="AG1045" s="33">
        <f t="shared" si="205"/>
        <v>0</v>
      </c>
      <c r="AH1045" s="43" t="s">
        <v>2016</v>
      </c>
      <c r="AI1045" s="63">
        <f t="shared" si="206"/>
        <v>6.4497041420118347E-4</v>
      </c>
      <c r="AJ1045" s="307">
        <f>RTD("money.excel",,$G1045,"PredictVolume")</f>
        <v>109</v>
      </c>
      <c r="AK1045" s="339"/>
    </row>
    <row r="1046" spans="1:37">
      <c r="A1046" s="416">
        <v>14.1</v>
      </c>
      <c r="B1046" s="79">
        <v>18</v>
      </c>
      <c r="C1046" s="79">
        <v>42</v>
      </c>
      <c r="D1046" s="80">
        <v>-4</v>
      </c>
      <c r="E1046" s="79">
        <v>0</v>
      </c>
      <c r="F1046" s="6">
        <v>3.55</v>
      </c>
      <c r="G1046" s="79">
        <v>2462</v>
      </c>
      <c r="H1046" s="8" t="s">
        <v>310</v>
      </c>
      <c r="I1046" s="22" t="s">
        <v>4844</v>
      </c>
      <c r="J1046" s="73">
        <v>60.42</v>
      </c>
      <c r="K1046" s="73">
        <v>0.26</v>
      </c>
      <c r="L1046" s="73">
        <v>41.73</v>
      </c>
      <c r="N1046" s="318">
        <f t="shared" si="207"/>
        <v>102.41</v>
      </c>
      <c r="O1046" s="81">
        <f>IFERROR(VLOOKUP($G1046,'321買'!A:E,3,0),"'沒有資料'")</f>
        <v>3</v>
      </c>
      <c r="P1046" s="380">
        <f>IFERROR(VLOOKUP($G1046,'321買'!$A:$G,7,0),"'沒有資料'")</f>
        <v>636</v>
      </c>
      <c r="R1046" s="297">
        <f>IFERROR(RANK(VLOOKUP($G1046,連買!$A:$D,4,0),連買!$D:$D,0),"'沒有資料'")</f>
        <v>515</v>
      </c>
      <c r="S1046" s="34">
        <v>0.8</v>
      </c>
      <c r="T1046" s="353">
        <f t="shared" si="202"/>
        <v>2.5356576862123614E-2</v>
      </c>
      <c r="U1046" s="95">
        <v>0.87</v>
      </c>
      <c r="V1046" s="36">
        <f>RTD("money.excel",,"2462","Price")</f>
        <v>31.55</v>
      </c>
      <c r="W1046" s="66"/>
      <c r="X1046" s="15">
        <f t="shared" si="203"/>
        <v>31.55</v>
      </c>
      <c r="Y1046" s="3" t="e">
        <f t="shared" si="204"/>
        <v>#DIV/0!</v>
      </c>
      <c r="Z1046" s="413" t="s">
        <v>1801</v>
      </c>
      <c r="AA1046" s="161">
        <v>0</v>
      </c>
      <c r="AB1046" s="409">
        <v>0</v>
      </c>
      <c r="AC1046" s="259">
        <f t="shared" si="208"/>
        <v>0</v>
      </c>
      <c r="AD1046" s="22" t="s">
        <v>4844</v>
      </c>
      <c r="AG1046" s="33">
        <f t="shared" si="205"/>
        <v>0</v>
      </c>
      <c r="AH1046" s="43" t="s">
        <v>4845</v>
      </c>
      <c r="AI1046" s="63">
        <f t="shared" si="206"/>
        <v>1.0609929078014184E-2</v>
      </c>
      <c r="AJ1046" s="307">
        <f>RTD("money.excel",,$G1046,"PredictVolume")</f>
        <v>1496</v>
      </c>
      <c r="AK1046" s="339"/>
    </row>
    <row r="1047" spans="1:37">
      <c r="A1047" s="415">
        <v>14.9</v>
      </c>
      <c r="B1047" s="80">
        <v>-43</v>
      </c>
      <c r="C1047" s="80">
        <v>-53</v>
      </c>
      <c r="D1047" s="79">
        <v>62</v>
      </c>
      <c r="E1047" s="80">
        <v>-16</v>
      </c>
      <c r="F1047" s="57">
        <v>12.54</v>
      </c>
      <c r="G1047" s="79">
        <v>2467</v>
      </c>
      <c r="H1047" s="8" t="s">
        <v>310</v>
      </c>
      <c r="I1047" s="22" t="s">
        <v>4846</v>
      </c>
      <c r="J1047" s="323">
        <v>45.77</v>
      </c>
      <c r="K1047" s="73">
        <v>7.23</v>
      </c>
      <c r="L1047" s="323">
        <v>6.24</v>
      </c>
      <c r="N1047" s="318">
        <f t="shared" si="207"/>
        <v>59.24</v>
      </c>
      <c r="O1047" s="81">
        <f>IFERROR(VLOOKUP($G1047,'321買'!A:E,3,0),"'沒有資料'")</f>
        <v>2</v>
      </c>
      <c r="P1047" s="380">
        <f>IFERROR(VLOOKUP($G1047,'321買'!$A:$G,7,0),"'沒有資料'")</f>
        <v>706</v>
      </c>
      <c r="R1047" s="297">
        <f>IFERROR(RANK(VLOOKUP($G1047,連買!$A:$D,4,0),連買!$D:$D,0),"'沒有資料'")</f>
        <v>532</v>
      </c>
      <c r="S1047" s="34">
        <v>2.7</v>
      </c>
      <c r="T1047" s="353">
        <f t="shared" si="202"/>
        <v>5.9080962800875277E-2</v>
      </c>
      <c r="U1047" s="95">
        <v>2.94</v>
      </c>
      <c r="V1047" s="36">
        <f>RTD("money.excel",,"2467","Price")</f>
        <v>45.7</v>
      </c>
      <c r="W1047" s="66"/>
      <c r="X1047" s="15">
        <f t="shared" si="203"/>
        <v>45.7</v>
      </c>
      <c r="Y1047" s="3" t="e">
        <f t="shared" si="204"/>
        <v>#DIV/0!</v>
      </c>
      <c r="Z1047" s="413" t="s">
        <v>1801</v>
      </c>
      <c r="AA1047" s="161">
        <v>0</v>
      </c>
      <c r="AB1047" s="409">
        <v>0</v>
      </c>
      <c r="AC1047" s="259">
        <f t="shared" si="208"/>
        <v>0</v>
      </c>
      <c r="AD1047" s="22" t="s">
        <v>4846</v>
      </c>
      <c r="AG1047" s="33">
        <f t="shared" si="205"/>
        <v>0</v>
      </c>
      <c r="AH1047" s="43" t="s">
        <v>4847</v>
      </c>
      <c r="AI1047" s="63">
        <f t="shared" si="206"/>
        <v>8.1208053691275164E-4</v>
      </c>
      <c r="AJ1047" s="307">
        <f>RTD("money.excel",,$G1047,"PredictVolume")</f>
        <v>121</v>
      </c>
      <c r="AK1047" s="339"/>
    </row>
    <row r="1048" spans="1:37">
      <c r="A1048" s="415">
        <v>16.3</v>
      </c>
      <c r="B1048" s="79">
        <v>51</v>
      </c>
      <c r="C1048" s="79">
        <v>39</v>
      </c>
      <c r="D1048" s="80">
        <v>-23</v>
      </c>
      <c r="E1048" s="79">
        <v>19</v>
      </c>
      <c r="F1048" s="57">
        <v>18.03</v>
      </c>
      <c r="G1048" s="79">
        <v>2472</v>
      </c>
      <c r="H1048" s="208" t="s">
        <v>310</v>
      </c>
      <c r="I1048" s="22" t="s">
        <v>4848</v>
      </c>
      <c r="J1048" s="73">
        <v>47.3</v>
      </c>
      <c r="K1048" s="73">
        <v>1.73</v>
      </c>
      <c r="L1048" s="323">
        <v>17.72</v>
      </c>
      <c r="M1048" s="323">
        <v>18.39</v>
      </c>
      <c r="N1048" s="318">
        <f t="shared" si="207"/>
        <v>85.14</v>
      </c>
      <c r="O1048" s="81">
        <f>IFERROR(VLOOKUP($G1048,'321買'!A:E,3,0),"'沒有資料'")</f>
        <v>6</v>
      </c>
      <c r="P1048" s="380">
        <f>IFERROR(VLOOKUP($G1048,'321買'!$A:$G,7,0),"'沒有資料'")</f>
        <v>521</v>
      </c>
      <c r="Q1048" s="388" t="s">
        <v>3816</v>
      </c>
      <c r="R1048" s="297">
        <f>IFERROR(RANK(VLOOKUP($G1048,連買!$A:$D,4,0),連買!$D:$D,0),"'沒有資料'")</f>
        <v>351</v>
      </c>
      <c r="S1048" s="45">
        <v>3.2</v>
      </c>
      <c r="T1048" s="353">
        <f t="shared" si="202"/>
        <v>5.0078247261345854E-2</v>
      </c>
      <c r="U1048" s="95">
        <v>6.15</v>
      </c>
      <c r="V1048" s="36">
        <f>RTD("money.excel",,"2472","Price")</f>
        <v>63.9</v>
      </c>
      <c r="W1048" s="66"/>
      <c r="X1048" s="15">
        <f t="shared" si="203"/>
        <v>63.9</v>
      </c>
      <c r="Y1048" s="3" t="e">
        <f t="shared" si="204"/>
        <v>#DIV/0!</v>
      </c>
      <c r="Z1048" s="413" t="s">
        <v>8446</v>
      </c>
      <c r="AA1048" s="161">
        <v>0</v>
      </c>
      <c r="AB1048" s="409">
        <v>0</v>
      </c>
      <c r="AC1048" s="259">
        <f t="shared" si="208"/>
        <v>0</v>
      </c>
      <c r="AD1048" s="22" t="s">
        <v>4848</v>
      </c>
      <c r="AG1048" s="33">
        <f t="shared" si="205"/>
        <v>0</v>
      </c>
      <c r="AH1048" s="122" t="s">
        <v>2513</v>
      </c>
      <c r="AI1048" s="63">
        <f t="shared" si="206"/>
        <v>3.030674846625767E-3</v>
      </c>
      <c r="AJ1048" s="307">
        <f>RTD("money.excel",,$G1048,"PredictVolume")</f>
        <v>494</v>
      </c>
      <c r="AK1048" s="339">
        <v>16.57</v>
      </c>
    </row>
    <row r="1049" spans="1:37">
      <c r="A1049" s="415">
        <v>18.7</v>
      </c>
      <c r="B1049" s="79">
        <v>184</v>
      </c>
      <c r="C1049" s="79">
        <v>124</v>
      </c>
      <c r="D1049" s="79">
        <v>3</v>
      </c>
      <c r="E1049" s="79">
        <v>19</v>
      </c>
      <c r="F1049" s="57">
        <v>16.170000000000002</v>
      </c>
      <c r="G1049" s="79">
        <v>2476</v>
      </c>
      <c r="H1049" s="8" t="s">
        <v>310</v>
      </c>
      <c r="I1049" s="22" t="s">
        <v>4849</v>
      </c>
      <c r="J1049" s="323">
        <v>45.45</v>
      </c>
      <c r="K1049" s="73">
        <v>10.26</v>
      </c>
      <c r="L1049" s="73">
        <v>24.24</v>
      </c>
      <c r="M1049" s="323">
        <v>11.87</v>
      </c>
      <c r="N1049" s="318">
        <f t="shared" si="207"/>
        <v>91.820000000000007</v>
      </c>
      <c r="O1049" s="81">
        <f>IFERROR(VLOOKUP($G1049,'321買'!A:E,3,0),"'沒有資料'")</f>
        <v>44</v>
      </c>
      <c r="P1049" s="380">
        <f>IFERROR(VLOOKUP($G1049,'321買'!$A:$G,7,0),"'沒有資料'")</f>
        <v>83</v>
      </c>
      <c r="Q1049" s="245" t="s">
        <v>3815</v>
      </c>
      <c r="R1049" s="297">
        <f>IFERROR(RANK(VLOOKUP($G1049,連買!$A:$D,4,0),連買!$D:$D,0),"'沒有資料'")</f>
        <v>1476</v>
      </c>
      <c r="S1049" s="34">
        <v>1.2</v>
      </c>
      <c r="T1049" s="353">
        <f t="shared" si="202"/>
        <v>2.3575638506876228E-2</v>
      </c>
      <c r="U1049" s="95">
        <v>3.45</v>
      </c>
      <c r="V1049" s="13">
        <f>RTD("money.excel",,"2476","Price")</f>
        <v>50.9</v>
      </c>
      <c r="W1049" s="66"/>
      <c r="X1049" s="15">
        <f t="shared" si="203"/>
        <v>50.9</v>
      </c>
      <c r="Y1049" s="3" t="e">
        <f t="shared" si="204"/>
        <v>#DIV/0!</v>
      </c>
      <c r="AA1049" s="161">
        <v>0</v>
      </c>
      <c r="AB1049" s="409">
        <v>0</v>
      </c>
      <c r="AC1049" s="259">
        <f t="shared" si="208"/>
        <v>0</v>
      </c>
      <c r="AD1049" s="22" t="s">
        <v>4849</v>
      </c>
      <c r="AG1049" s="33">
        <f t="shared" si="205"/>
        <v>0</v>
      </c>
      <c r="AH1049" s="43" t="s">
        <v>2769</v>
      </c>
      <c r="AI1049" s="63">
        <f t="shared" si="206"/>
        <v>4.2834224598930484E-3</v>
      </c>
      <c r="AJ1049" s="307">
        <f>RTD("money.excel",,$G1049,"PredictVolume")</f>
        <v>801</v>
      </c>
      <c r="AK1049" s="339"/>
    </row>
    <row r="1050" spans="1:37">
      <c r="A1050" s="415">
        <v>14.4</v>
      </c>
      <c r="B1050" s="79">
        <v>11</v>
      </c>
      <c r="C1050" s="79">
        <v>68</v>
      </c>
      <c r="D1050" s="79">
        <v>7</v>
      </c>
      <c r="E1050" s="79">
        <v>9</v>
      </c>
      <c r="F1050" s="57">
        <v>20.420000000000002</v>
      </c>
      <c r="G1050" s="79">
        <v>2478</v>
      </c>
      <c r="H1050" s="8" t="s">
        <v>310</v>
      </c>
      <c r="I1050" s="22" t="s">
        <v>4850</v>
      </c>
      <c r="J1050" s="73">
        <v>40.93</v>
      </c>
      <c r="K1050" s="323">
        <v>5.55</v>
      </c>
      <c r="L1050" s="323">
        <v>18.52</v>
      </c>
      <c r="N1050" s="318">
        <f t="shared" si="207"/>
        <v>65</v>
      </c>
      <c r="O1050" s="81">
        <f>IFERROR(VLOOKUP($G1050,'321買'!A:E,3,0),"'沒有資料'")</f>
        <v>2</v>
      </c>
      <c r="P1050" s="380">
        <f>IFERROR(VLOOKUP($G1050,'321買'!$A:$G,7,0),"'沒有資料'")</f>
        <v>706</v>
      </c>
      <c r="R1050" s="297">
        <f>IFERROR(RANK(VLOOKUP($G1050,連買!$A:$D,4,0),連買!$D:$D,0),"'沒有資料'")</f>
        <v>377</v>
      </c>
      <c r="S1050" s="66">
        <v>3</v>
      </c>
      <c r="T1050" s="353">
        <f t="shared" si="202"/>
        <v>5.514705882352941E-2</v>
      </c>
      <c r="U1050" s="95">
        <v>5.04</v>
      </c>
      <c r="V1050" s="36">
        <f>RTD("money.excel",,"2478","Price")</f>
        <v>54.4</v>
      </c>
      <c r="W1050" s="66"/>
      <c r="X1050" s="15">
        <f t="shared" si="203"/>
        <v>54.4</v>
      </c>
      <c r="Y1050" s="3" t="e">
        <f t="shared" si="204"/>
        <v>#DIV/0!</v>
      </c>
      <c r="Z1050" s="413" t="s">
        <v>1997</v>
      </c>
      <c r="AA1050" s="161">
        <v>0</v>
      </c>
      <c r="AB1050" s="409">
        <v>0</v>
      </c>
      <c r="AC1050" s="259">
        <f t="shared" si="208"/>
        <v>0</v>
      </c>
      <c r="AD1050" s="22" t="s">
        <v>4850</v>
      </c>
      <c r="AG1050" s="33">
        <f t="shared" si="205"/>
        <v>0</v>
      </c>
      <c r="AH1050" s="43" t="s">
        <v>4851</v>
      </c>
      <c r="AI1050" s="63">
        <f t="shared" si="206"/>
        <v>1.5E-3</v>
      </c>
      <c r="AJ1050" s="307">
        <f>RTD("money.excel",,$G1050,"PredictVolume")</f>
        <v>216</v>
      </c>
      <c r="AK1050" s="339"/>
    </row>
    <row r="1051" spans="1:37">
      <c r="A1051" s="416">
        <v>10.9</v>
      </c>
      <c r="B1051" s="91">
        <v>-39</v>
      </c>
      <c r="C1051" s="91">
        <v>344</v>
      </c>
      <c r="D1051" s="91">
        <v>10</v>
      </c>
      <c r="E1051" s="91">
        <v>53</v>
      </c>
      <c r="F1051" s="6">
        <v>2.86</v>
      </c>
      <c r="G1051" s="79">
        <v>2483</v>
      </c>
      <c r="H1051" s="8" t="s">
        <v>310</v>
      </c>
      <c r="I1051" s="22" t="s">
        <v>4852</v>
      </c>
      <c r="J1051" s="73">
        <v>60.44</v>
      </c>
      <c r="K1051" s="73">
        <v>0.24</v>
      </c>
      <c r="L1051" s="73">
        <v>7.43</v>
      </c>
      <c r="N1051" s="318">
        <f t="shared" si="207"/>
        <v>68.11</v>
      </c>
      <c r="O1051" s="81">
        <f>IFERROR(VLOOKUP($G1051,'321買'!A:E,3,0),"'沒有資料'")</f>
        <v>4</v>
      </c>
      <c r="P1051" s="380">
        <f>IFERROR(VLOOKUP($G1051,'321買'!$A:$G,7,0),"'沒有資料'")</f>
        <v>558</v>
      </c>
      <c r="R1051" s="297">
        <f>IFERROR(RANK(VLOOKUP($G1051,連買!$A:$D,4,0),連買!$D:$D,0),"'沒有資料'")</f>
        <v>922</v>
      </c>
      <c r="S1051" s="34">
        <v>0.7</v>
      </c>
      <c r="T1051" s="353">
        <f t="shared" si="202"/>
        <v>3.0107526881720428E-2</v>
      </c>
      <c r="U1051" s="95">
        <v>0.76</v>
      </c>
      <c r="V1051" s="13">
        <f>RTD("money.excel",,"2483","Price")</f>
        <v>23.25</v>
      </c>
      <c r="W1051" s="66"/>
      <c r="X1051" s="15">
        <f t="shared" si="203"/>
        <v>23.25</v>
      </c>
      <c r="Y1051" s="3" t="e">
        <f t="shared" si="204"/>
        <v>#DIV/0!</v>
      </c>
      <c r="AA1051" s="161">
        <v>0</v>
      </c>
      <c r="AB1051" s="409">
        <v>0</v>
      </c>
      <c r="AC1051" s="259">
        <f t="shared" si="208"/>
        <v>0</v>
      </c>
      <c r="AD1051" s="22" t="s">
        <v>4852</v>
      </c>
      <c r="AG1051" s="33">
        <f t="shared" si="205"/>
        <v>0</v>
      </c>
      <c r="AH1051" s="43" t="s">
        <v>4853</v>
      </c>
      <c r="AI1051" s="63">
        <f t="shared" si="206"/>
        <v>2.2018348623853212E-4</v>
      </c>
      <c r="AJ1051" s="307">
        <f>RTD("money.excel",,$G1051,"PredictVolume")</f>
        <v>24</v>
      </c>
      <c r="AK1051" s="339"/>
    </row>
    <row r="1052" spans="1:37">
      <c r="A1052" s="416">
        <v>15.9</v>
      </c>
      <c r="B1052" s="91">
        <v>-33</v>
      </c>
      <c r="C1052" s="91">
        <v>-27</v>
      </c>
      <c r="D1052" s="91">
        <v>-6</v>
      </c>
      <c r="E1052" s="91">
        <v>-7</v>
      </c>
      <c r="F1052" s="6">
        <v>9.0399999999999991</v>
      </c>
      <c r="G1052" s="79">
        <v>2484</v>
      </c>
      <c r="H1052" s="8" t="s">
        <v>310</v>
      </c>
      <c r="I1052" s="22" t="s">
        <v>4854</v>
      </c>
      <c r="J1052" s="73">
        <v>22.65</v>
      </c>
      <c r="K1052" s="73">
        <v>6.81</v>
      </c>
      <c r="L1052" s="73">
        <v>16.05</v>
      </c>
      <c r="N1052" s="318">
        <f t="shared" si="207"/>
        <v>45.51</v>
      </c>
      <c r="O1052" s="81">
        <f>IFERROR(VLOOKUP($G1052,'321買'!A:E,3,0),"'沒有資料'")</f>
        <v>29</v>
      </c>
      <c r="P1052" s="380">
        <f>IFERROR(VLOOKUP($G1052,'321買'!$A:$G,7,0),"'沒有資料'")</f>
        <v>172</v>
      </c>
      <c r="R1052" s="297">
        <f>IFERROR(RANK(VLOOKUP($G1052,連買!$A:$D,4,0),連買!$D:$D,0),"'沒有資料'")</f>
        <v>1291</v>
      </c>
      <c r="S1052" s="34">
        <v>1</v>
      </c>
      <c r="T1052" s="353">
        <f t="shared" si="202"/>
        <v>2.7816411682892905E-2</v>
      </c>
      <c r="U1052" s="95">
        <v>1.02</v>
      </c>
      <c r="V1052" s="36">
        <f>RTD("money.excel",,"2484","Price")</f>
        <v>35.950000000000003</v>
      </c>
      <c r="W1052" s="66"/>
      <c r="X1052" s="15">
        <f t="shared" si="203"/>
        <v>35.950000000000003</v>
      </c>
      <c r="Y1052" s="3" t="e">
        <f t="shared" si="204"/>
        <v>#DIV/0!</v>
      </c>
      <c r="AA1052" s="161">
        <v>0</v>
      </c>
      <c r="AB1052" s="409">
        <v>0</v>
      </c>
      <c r="AC1052" s="259">
        <f t="shared" si="208"/>
        <v>0</v>
      </c>
      <c r="AD1052" s="22" t="s">
        <v>4854</v>
      </c>
      <c r="AG1052" s="33">
        <f t="shared" si="205"/>
        <v>0</v>
      </c>
      <c r="AH1052" s="43" t="s">
        <v>1808</v>
      </c>
      <c r="AI1052" s="63">
        <f t="shared" si="206"/>
        <v>3.7635220125786163E-2</v>
      </c>
      <c r="AJ1052" s="307">
        <f>RTD("money.excel",,$G1052,"PredictVolume")</f>
        <v>5984</v>
      </c>
      <c r="AK1052" s="339"/>
    </row>
    <row r="1053" spans="1:37">
      <c r="A1053" s="415">
        <v>48.5</v>
      </c>
      <c r="B1053" s="79">
        <v>43</v>
      </c>
      <c r="C1053" s="79">
        <v>29</v>
      </c>
      <c r="D1053" s="80">
        <v>-16</v>
      </c>
      <c r="E1053" s="80">
        <v>-12</v>
      </c>
      <c r="F1053" s="57">
        <v>22.93</v>
      </c>
      <c r="G1053" s="79">
        <v>2492</v>
      </c>
      <c r="H1053" s="208" t="s">
        <v>310</v>
      </c>
      <c r="I1053" s="22" t="s">
        <v>4855</v>
      </c>
      <c r="J1053" s="73">
        <v>56.05</v>
      </c>
      <c r="K1053" s="323">
        <v>22.69</v>
      </c>
      <c r="L1053" s="73">
        <v>11.83</v>
      </c>
      <c r="N1053" s="318">
        <f t="shared" si="207"/>
        <v>90.57</v>
      </c>
      <c r="O1053" s="81">
        <f>IFERROR(VLOOKUP($G1053,'321買'!A:E,3,0),"'沒有資料'")</f>
        <v>2</v>
      </c>
      <c r="P1053" s="380">
        <f>IFERROR(VLOOKUP($G1053,'321買'!$A:$G,7,0),"'沒有資料'")</f>
        <v>706</v>
      </c>
      <c r="R1053" s="297">
        <f>IFERROR(RANK(VLOOKUP($G1053,連買!$A:$D,4,0),連買!$D:$D,0),"'沒有資料'")</f>
        <v>112</v>
      </c>
      <c r="S1053" s="66">
        <v>6.01</v>
      </c>
      <c r="T1053" s="353">
        <f t="shared" si="202"/>
        <v>4.570342205323194E-2</v>
      </c>
      <c r="U1053" s="57">
        <v>17.829999999999998</v>
      </c>
      <c r="V1053" s="36">
        <f>RTD("money.excel",,"2492","Price")</f>
        <v>131.5</v>
      </c>
      <c r="W1053" s="66"/>
      <c r="X1053" s="15">
        <f t="shared" si="203"/>
        <v>131.5</v>
      </c>
      <c r="Y1053" s="3" t="e">
        <f t="shared" si="204"/>
        <v>#DIV/0!</v>
      </c>
      <c r="Z1053" s="413" t="s">
        <v>1997</v>
      </c>
      <c r="AA1053" s="161">
        <v>0</v>
      </c>
      <c r="AB1053" s="409">
        <v>0</v>
      </c>
      <c r="AC1053" s="259">
        <f t="shared" si="208"/>
        <v>0</v>
      </c>
      <c r="AD1053" s="22" t="s">
        <v>4855</v>
      </c>
      <c r="AG1053" s="33">
        <f t="shared" si="205"/>
        <v>0</v>
      </c>
      <c r="AH1053" s="122" t="s">
        <v>4856</v>
      </c>
      <c r="AI1053" s="63">
        <f t="shared" si="206"/>
        <v>1.9257731958762887E-3</v>
      </c>
      <c r="AJ1053" s="307">
        <f>RTD("money.excel",,$G1053,"PredictVolume")</f>
        <v>934</v>
      </c>
      <c r="AK1053" s="339"/>
    </row>
    <row r="1054" spans="1:37">
      <c r="A1054" s="415">
        <v>11.4</v>
      </c>
      <c r="B1054" s="79">
        <v>42</v>
      </c>
      <c r="C1054" s="79">
        <v>10</v>
      </c>
      <c r="D1054" s="79">
        <v>1</v>
      </c>
      <c r="E1054" s="80">
        <v>-3</v>
      </c>
      <c r="F1054" s="57">
        <v>15.21</v>
      </c>
      <c r="G1054" s="79">
        <v>2493</v>
      </c>
      <c r="H1054" s="8" t="s">
        <v>310</v>
      </c>
      <c r="I1054" s="22" t="s">
        <v>4857</v>
      </c>
      <c r="J1054" s="73">
        <v>30.28</v>
      </c>
      <c r="K1054" s="73">
        <v>6.19</v>
      </c>
      <c r="L1054" s="73">
        <v>8.7100000000000009</v>
      </c>
      <c r="N1054" s="318">
        <f t="shared" si="207"/>
        <v>45.18</v>
      </c>
      <c r="O1054" s="81">
        <f>IFERROR(VLOOKUP($G1054,'321買'!A:E,3,0),"'沒有資料'")</f>
        <v>0</v>
      </c>
      <c r="P1054" s="380">
        <f>IFERROR(VLOOKUP($G1054,'321買'!$A:$G,7,0),"'沒有資料'")</f>
        <v>911</v>
      </c>
      <c r="R1054" s="297">
        <f>IFERROR(RANK(VLOOKUP($G1054,連買!$A:$D,4,0),連買!$D:$D,0),"'沒有資料'")</f>
        <v>533</v>
      </c>
      <c r="S1054" s="34">
        <v>2.5</v>
      </c>
      <c r="T1054" s="353">
        <f t="shared" si="202"/>
        <v>5.9311981020166077E-2</v>
      </c>
      <c r="U1054" s="95">
        <v>2.7</v>
      </c>
      <c r="V1054" s="36">
        <f>RTD("money.excel",,"2493","Price")</f>
        <v>42.15</v>
      </c>
      <c r="W1054" s="66"/>
      <c r="X1054" s="15">
        <f t="shared" si="203"/>
        <v>42.15</v>
      </c>
      <c r="Y1054" s="3" t="e">
        <f t="shared" si="204"/>
        <v>#DIV/0!</v>
      </c>
      <c r="Z1054" s="413" t="s">
        <v>1801</v>
      </c>
      <c r="AA1054" s="161">
        <v>0</v>
      </c>
      <c r="AB1054" s="409">
        <v>0</v>
      </c>
      <c r="AC1054" s="259">
        <f t="shared" si="208"/>
        <v>0</v>
      </c>
      <c r="AD1054" s="22" t="s">
        <v>4857</v>
      </c>
      <c r="AG1054" s="33">
        <f t="shared" si="205"/>
        <v>0</v>
      </c>
      <c r="AH1054" s="43" t="s">
        <v>4858</v>
      </c>
      <c r="AI1054" s="63">
        <f t="shared" si="206"/>
        <v>1.1666666666666668E-3</v>
      </c>
      <c r="AJ1054" s="307">
        <f>RTD("money.excel",,$G1054,"PredictVolume")</f>
        <v>133</v>
      </c>
      <c r="AK1054" s="339"/>
    </row>
    <row r="1055" spans="1:37">
      <c r="A1055" s="415">
        <v>15.5</v>
      </c>
      <c r="B1055" s="80">
        <v>-18</v>
      </c>
      <c r="C1055" s="80">
        <v>-3</v>
      </c>
      <c r="D1055" s="79">
        <v>5</v>
      </c>
      <c r="E1055" s="79">
        <v>9</v>
      </c>
      <c r="F1055" s="57">
        <v>16.420000000000002</v>
      </c>
      <c r="G1055" s="79">
        <v>3003</v>
      </c>
      <c r="H1055" s="8" t="s">
        <v>310</v>
      </c>
      <c r="I1055" s="22" t="s">
        <v>4859</v>
      </c>
      <c r="J1055" s="73">
        <v>55.32</v>
      </c>
      <c r="K1055" s="323">
        <v>6.53</v>
      </c>
      <c r="L1055" s="73">
        <v>11.74</v>
      </c>
      <c r="N1055" s="318">
        <f t="shared" si="207"/>
        <v>73.59</v>
      </c>
      <c r="O1055" s="81">
        <f>IFERROR(VLOOKUP($G1055,'321買'!A:E,3,0),"'沒有資料'")</f>
        <v>38</v>
      </c>
      <c r="P1055" s="380">
        <f>IFERROR(VLOOKUP($G1055,'321買'!$A:$G,7,0),"'沒有資料'")</f>
        <v>113</v>
      </c>
      <c r="R1055" s="297">
        <f>IFERROR(RANK(VLOOKUP($G1055,連買!$A:$D,4,0),連買!$D:$D,0),"'沒有資料'")</f>
        <v>1570</v>
      </c>
      <c r="S1055" s="34">
        <v>1.2</v>
      </c>
      <c r="T1055" s="353">
        <f t="shared" si="202"/>
        <v>1.515151515151515E-2</v>
      </c>
      <c r="U1055" s="95">
        <v>2.3199999999999998</v>
      </c>
      <c r="V1055" s="36">
        <f>RTD("money.excel",,"3003","Price")</f>
        <v>79.2</v>
      </c>
      <c r="W1055" s="66"/>
      <c r="X1055" s="15">
        <f t="shared" si="203"/>
        <v>79.2</v>
      </c>
      <c r="Y1055" s="3" t="e">
        <f t="shared" si="204"/>
        <v>#DIV/0!</v>
      </c>
      <c r="Z1055" s="413" t="s">
        <v>1801</v>
      </c>
      <c r="AA1055" s="161">
        <v>0</v>
      </c>
      <c r="AB1055" s="409">
        <v>0</v>
      </c>
      <c r="AC1055" s="259">
        <f t="shared" si="208"/>
        <v>0</v>
      </c>
      <c r="AD1055" s="22" t="s">
        <v>4859</v>
      </c>
      <c r="AG1055" s="33">
        <f t="shared" si="205"/>
        <v>0</v>
      </c>
      <c r="AH1055" s="43" t="s">
        <v>4860</v>
      </c>
      <c r="AI1055" s="63">
        <f t="shared" si="206"/>
        <v>7.4451612903225807E-3</v>
      </c>
      <c r="AJ1055" s="307">
        <f>RTD("money.excel",,$G1055,"PredictVolume")</f>
        <v>1154</v>
      </c>
      <c r="AK1055" s="339"/>
    </row>
    <row r="1056" spans="1:37">
      <c r="A1056" s="416">
        <v>11.2</v>
      </c>
      <c r="B1056" s="91">
        <v>-2</v>
      </c>
      <c r="C1056" s="91">
        <v>-1</v>
      </c>
      <c r="D1056" s="91">
        <v>-2</v>
      </c>
      <c r="E1056" s="91">
        <v>38</v>
      </c>
      <c r="F1056" s="6">
        <v>-6.53</v>
      </c>
      <c r="G1056" s="79">
        <v>3011</v>
      </c>
      <c r="H1056" s="8" t="s">
        <v>310</v>
      </c>
      <c r="I1056" s="22" t="s">
        <v>4861</v>
      </c>
      <c r="J1056" s="73">
        <v>33.5</v>
      </c>
      <c r="K1056" s="73">
        <v>1.25</v>
      </c>
      <c r="L1056" s="73">
        <v>14.82</v>
      </c>
      <c r="N1056" s="318">
        <f t="shared" si="207"/>
        <v>49.57</v>
      </c>
      <c r="O1056" s="81">
        <f>IFERROR(VLOOKUP($G1056,'321買'!A:E,3,0),"'沒有資料'")</f>
        <v>7</v>
      </c>
      <c r="P1056" s="380">
        <f>IFERROR(VLOOKUP($G1056,'321買'!$A:$G,7,0),"'沒有資料'")</f>
        <v>499</v>
      </c>
      <c r="R1056" s="297">
        <f>IFERROR(RANK(VLOOKUP($G1056,連買!$A:$D,4,0),連買!$D:$D,0),"'沒有資料'")</f>
        <v>1208</v>
      </c>
      <c r="S1056" s="34">
        <v>0</v>
      </c>
      <c r="T1056" s="353">
        <f t="shared" si="202"/>
        <v>0</v>
      </c>
      <c r="U1056" s="95">
        <v>-0.8</v>
      </c>
      <c r="V1056" s="36">
        <f>RTD("money.excel",,"3011","Price")</f>
        <v>20.6</v>
      </c>
      <c r="W1056" s="66"/>
      <c r="X1056" s="15">
        <f t="shared" si="203"/>
        <v>20.6</v>
      </c>
      <c r="Y1056" s="3" t="e">
        <f t="shared" si="204"/>
        <v>#DIV/0!</v>
      </c>
      <c r="AA1056" s="161">
        <v>0</v>
      </c>
      <c r="AB1056" s="409">
        <v>0</v>
      </c>
      <c r="AC1056" s="259">
        <f t="shared" si="208"/>
        <v>0</v>
      </c>
      <c r="AD1056" s="22" t="s">
        <v>4861</v>
      </c>
      <c r="AG1056" s="33">
        <f t="shared" si="205"/>
        <v>0</v>
      </c>
      <c r="AH1056" s="43" t="s">
        <v>4845</v>
      </c>
      <c r="AI1056" s="63">
        <f t="shared" si="206"/>
        <v>5.9526785714285713E-2</v>
      </c>
      <c r="AJ1056" s="307">
        <f>RTD("money.excel",,$G1056,"PredictVolume")</f>
        <v>6667</v>
      </c>
      <c r="AK1056" s="339"/>
    </row>
    <row r="1057" spans="1:37">
      <c r="A1057" s="416">
        <v>18.7</v>
      </c>
      <c r="B1057" s="79">
        <v>15</v>
      </c>
      <c r="C1057" s="79">
        <v>45</v>
      </c>
      <c r="D1057" s="80">
        <v>-33</v>
      </c>
      <c r="E1057" s="79">
        <v>5</v>
      </c>
      <c r="F1057" s="6">
        <v>4.04</v>
      </c>
      <c r="G1057" s="79">
        <v>3015</v>
      </c>
      <c r="H1057" s="8" t="s">
        <v>310</v>
      </c>
      <c r="I1057" s="22" t="s">
        <v>390</v>
      </c>
      <c r="J1057" s="323">
        <v>54.8</v>
      </c>
      <c r="K1057" s="323">
        <v>11.77</v>
      </c>
      <c r="L1057" s="73">
        <v>5.68</v>
      </c>
      <c r="M1057" s="323">
        <v>24.24</v>
      </c>
      <c r="N1057" s="318">
        <f>J1057+K1057+L1057+M1057</f>
        <v>96.49</v>
      </c>
      <c r="O1057" s="81">
        <f>IFERROR(VLOOKUP($G1057,'321買'!A:E,3,0),"'沒有資料'")</f>
        <v>0</v>
      </c>
      <c r="P1057" s="380">
        <f>IFERROR(VLOOKUP($G1057,'321買'!$A:$G,7,0),"'沒有資料'")</f>
        <v>911</v>
      </c>
      <c r="Q1057" s="388" t="s">
        <v>5063</v>
      </c>
      <c r="R1057" s="297">
        <f>IFERROR(RANK(VLOOKUP($G1057,連買!$A:$D,4,0),連買!$D:$D,0),"'沒有資料'")</f>
        <v>530</v>
      </c>
      <c r="S1057" s="45">
        <v>3.3</v>
      </c>
      <c r="T1057" s="353">
        <f>S1057/V1057</f>
        <v>7.8014184397163122E-2</v>
      </c>
      <c r="U1057" s="57">
        <v>4.03</v>
      </c>
      <c r="V1057" s="36">
        <f>RTD("money.excel",,"3015","Price")</f>
        <v>42.3</v>
      </c>
      <c r="W1057" s="66"/>
      <c r="X1057" s="15">
        <f>V1057-W1057</f>
        <v>42.3</v>
      </c>
      <c r="Y1057" s="3" t="e">
        <f>X1057/W1057</f>
        <v>#DIV/0!</v>
      </c>
      <c r="Z1057" s="413" t="s">
        <v>5094</v>
      </c>
      <c r="AA1057" s="161">
        <v>0</v>
      </c>
      <c r="AB1057" s="409">
        <v>0</v>
      </c>
      <c r="AC1057" s="259">
        <f t="shared" si="208"/>
        <v>0</v>
      </c>
      <c r="AD1057" s="22" t="s">
        <v>390</v>
      </c>
      <c r="AG1057" s="33">
        <f>AF1057-AE1057</f>
        <v>0</v>
      </c>
      <c r="AH1057" s="43" t="s">
        <v>2556</v>
      </c>
      <c r="AI1057" s="63">
        <f t="shared" si="206"/>
        <v>3.7967914438502673E-4</v>
      </c>
      <c r="AJ1057" s="307">
        <f>RTD("money.excel",,$G1057,"PredictVolume")</f>
        <v>71</v>
      </c>
      <c r="AK1057" s="339">
        <v>8.9499999999999993</v>
      </c>
    </row>
    <row r="1058" spans="1:37">
      <c r="A1058" s="416">
        <v>9.4</v>
      </c>
      <c r="B1058" s="79">
        <v>15</v>
      </c>
      <c r="C1058" s="79">
        <v>45</v>
      </c>
      <c r="D1058" s="79">
        <v>21</v>
      </c>
      <c r="E1058" s="79">
        <v>24</v>
      </c>
      <c r="F1058" s="6">
        <v>6.35</v>
      </c>
      <c r="G1058" s="79">
        <v>3021</v>
      </c>
      <c r="H1058" s="8" t="s">
        <v>310</v>
      </c>
      <c r="I1058" s="22" t="s">
        <v>4862</v>
      </c>
      <c r="J1058" s="73">
        <v>65.12</v>
      </c>
      <c r="K1058" s="73">
        <v>2.92</v>
      </c>
      <c r="L1058" s="323">
        <v>6</v>
      </c>
      <c r="N1058" s="318">
        <f t="shared" si="207"/>
        <v>74.040000000000006</v>
      </c>
      <c r="O1058" s="81">
        <f>IFERROR(VLOOKUP($G1058,'321買'!A:E,3,0),"'沒有資料'")</f>
        <v>3</v>
      </c>
      <c r="P1058" s="380">
        <f>IFERROR(VLOOKUP($G1058,'321買'!$A:$G,7,0),"'沒有資料'")</f>
        <v>636</v>
      </c>
      <c r="R1058" s="297">
        <f>IFERROR(RANK(VLOOKUP($G1058,連買!$A:$D,4,0),連買!$D:$D,0),"'沒有資料'")</f>
        <v>725</v>
      </c>
      <c r="S1058" s="34">
        <v>0.7</v>
      </c>
      <c r="T1058" s="353">
        <f t="shared" si="202"/>
        <v>3.2036613272311207E-2</v>
      </c>
      <c r="U1058" s="57">
        <v>1.1100000000000001</v>
      </c>
      <c r="V1058" s="36">
        <f>RTD("money.excel",,"3021","Price")</f>
        <v>21.85</v>
      </c>
      <c r="W1058" s="66"/>
      <c r="X1058" s="15">
        <f t="shared" si="203"/>
        <v>21.85</v>
      </c>
      <c r="Y1058" s="3" t="e">
        <f t="shared" si="204"/>
        <v>#DIV/0!</v>
      </c>
      <c r="AA1058" s="161">
        <v>0</v>
      </c>
      <c r="AB1058" s="409">
        <v>0</v>
      </c>
      <c r="AC1058" s="259">
        <f t="shared" si="208"/>
        <v>0</v>
      </c>
      <c r="AD1058" s="22" t="s">
        <v>4862</v>
      </c>
      <c r="AG1058" s="33">
        <f t="shared" si="205"/>
        <v>0</v>
      </c>
      <c r="AH1058" s="43" t="s">
        <v>2599</v>
      </c>
      <c r="AI1058" s="63">
        <f t="shared" si="206"/>
        <v>3.1382978723404256E-3</v>
      </c>
      <c r="AJ1058" s="307">
        <f>RTD("money.excel",,$G1058,"PredictVolume")</f>
        <v>295</v>
      </c>
      <c r="AK1058" s="339"/>
    </row>
    <row r="1059" spans="1:37">
      <c r="A1059" s="415">
        <v>23.2</v>
      </c>
      <c r="B1059" s="79">
        <v>30</v>
      </c>
      <c r="C1059" s="79">
        <v>39</v>
      </c>
      <c r="D1059" s="79">
        <v>23</v>
      </c>
      <c r="E1059" s="79">
        <v>31</v>
      </c>
      <c r="F1059" s="57">
        <v>12.15</v>
      </c>
      <c r="G1059" s="79">
        <v>3023</v>
      </c>
      <c r="H1059" s="8" t="s">
        <v>310</v>
      </c>
      <c r="I1059" s="22" t="s">
        <v>4863</v>
      </c>
      <c r="J1059" s="73">
        <v>55.59</v>
      </c>
      <c r="K1059" s="323">
        <v>55.25</v>
      </c>
      <c r="L1059" s="323">
        <v>0.77</v>
      </c>
      <c r="N1059" s="318">
        <f t="shared" si="207"/>
        <v>111.61</v>
      </c>
      <c r="O1059" s="81">
        <f>IFERROR(VLOOKUP($G1059,'321買'!A:E,3,0),"'沒有資料'")</f>
        <v>1</v>
      </c>
      <c r="P1059" s="380">
        <f>IFERROR(VLOOKUP($G1059,'321買'!$A:$G,7,0),"'沒有資料'")</f>
        <v>783</v>
      </c>
      <c r="R1059" s="297">
        <f>IFERROR(RANK(VLOOKUP($G1059,連買!$A:$D,4,0),連買!$D:$D,0),"'沒有資料'")</f>
        <v>29</v>
      </c>
      <c r="S1059" s="66">
        <v>6.3</v>
      </c>
      <c r="T1059" s="353">
        <f t="shared" si="202"/>
        <v>2.4513618677042801E-2</v>
      </c>
      <c r="U1059" s="57">
        <v>9.08</v>
      </c>
      <c r="V1059" s="13">
        <f>RTD("money.excel",,"3023","Price")</f>
        <v>257</v>
      </c>
      <c r="W1059" s="66"/>
      <c r="X1059" s="15">
        <f t="shared" si="203"/>
        <v>257</v>
      </c>
      <c r="Y1059" s="3" t="e">
        <f t="shared" si="204"/>
        <v>#DIV/0!</v>
      </c>
      <c r="Z1059" s="413" t="s">
        <v>1997</v>
      </c>
      <c r="AA1059" s="161">
        <v>0</v>
      </c>
      <c r="AB1059" s="409">
        <v>0</v>
      </c>
      <c r="AC1059" s="259">
        <f t="shared" si="208"/>
        <v>0</v>
      </c>
      <c r="AD1059" s="22" t="s">
        <v>4863</v>
      </c>
      <c r="AG1059" s="33">
        <f t="shared" si="205"/>
        <v>0</v>
      </c>
      <c r="AH1059" s="120" t="s">
        <v>4864</v>
      </c>
      <c r="AI1059" s="63">
        <f t="shared" si="206"/>
        <v>9.784482758620689E-4</v>
      </c>
      <c r="AJ1059" s="307">
        <f>RTD("money.excel",,$G1059,"PredictVolume")</f>
        <v>227</v>
      </c>
      <c r="AK1059" s="339"/>
    </row>
    <row r="1060" spans="1:37">
      <c r="A1060" s="415">
        <v>15.8</v>
      </c>
      <c r="B1060" s="79">
        <v>55</v>
      </c>
      <c r="C1060" s="79">
        <v>41</v>
      </c>
      <c r="D1060" s="80">
        <v>-14</v>
      </c>
      <c r="E1060" s="80">
        <v>-7</v>
      </c>
      <c r="F1060" s="57">
        <v>13.33</v>
      </c>
      <c r="G1060" s="79">
        <v>3026</v>
      </c>
      <c r="H1060" s="204" t="s">
        <v>310</v>
      </c>
      <c r="I1060" s="22" t="s">
        <v>4865</v>
      </c>
      <c r="J1060" s="73">
        <v>34.14</v>
      </c>
      <c r="K1060" s="323">
        <v>12.79</v>
      </c>
      <c r="L1060" s="73">
        <v>8.26</v>
      </c>
      <c r="N1060" s="318">
        <f t="shared" si="207"/>
        <v>55.19</v>
      </c>
      <c r="O1060" s="81">
        <f>IFERROR(VLOOKUP($G1060,'321買'!A:E,3,0),"'沒有資料'")</f>
        <v>7</v>
      </c>
      <c r="P1060" s="380">
        <f>IFERROR(VLOOKUP($G1060,'321買'!$A:$G,7,0),"'沒有資料'")</f>
        <v>475</v>
      </c>
      <c r="R1060" s="297">
        <f>IFERROR(RANK(VLOOKUP($G1060,連買!$A:$D,4,0),連買!$D:$D,0),"'沒有資料'")</f>
        <v>1333</v>
      </c>
      <c r="S1060" s="66">
        <v>8</v>
      </c>
      <c r="T1060" s="353">
        <f t="shared" si="202"/>
        <v>6.8965517241379309E-2</v>
      </c>
      <c r="U1060" s="95">
        <v>11.96</v>
      </c>
      <c r="V1060" s="36">
        <f>RTD("money.excel",,"3026","Price")</f>
        <v>116</v>
      </c>
      <c r="W1060" s="66"/>
      <c r="X1060" s="15">
        <f t="shared" si="203"/>
        <v>116</v>
      </c>
      <c r="Y1060" s="3" t="e">
        <f t="shared" si="204"/>
        <v>#DIV/0!</v>
      </c>
      <c r="Z1060" s="413" t="s">
        <v>1997</v>
      </c>
      <c r="AA1060" s="161">
        <v>0</v>
      </c>
      <c r="AB1060" s="409">
        <v>0</v>
      </c>
      <c r="AC1060" s="259">
        <f t="shared" si="208"/>
        <v>0</v>
      </c>
      <c r="AD1060" s="22" t="s">
        <v>4865</v>
      </c>
      <c r="AG1060" s="33">
        <f t="shared" si="205"/>
        <v>0</v>
      </c>
      <c r="AH1060" s="120" t="s">
        <v>4866</v>
      </c>
      <c r="AI1060" s="63">
        <f t="shared" si="206"/>
        <v>1.0316455696202532E-3</v>
      </c>
      <c r="AJ1060" s="307">
        <f>RTD("money.excel",,$G1060,"PredictVolume")</f>
        <v>163</v>
      </c>
      <c r="AK1060" s="339"/>
    </row>
    <row r="1061" spans="1:37">
      <c r="A1061" s="416">
        <v>11.3</v>
      </c>
      <c r="B1061" s="91">
        <v>72</v>
      </c>
      <c r="C1061" s="91">
        <v>144</v>
      </c>
      <c r="D1061" s="91">
        <v>36</v>
      </c>
      <c r="E1061" s="91">
        <v>78</v>
      </c>
      <c r="F1061" s="6">
        <v>7.03</v>
      </c>
      <c r="G1061" s="79">
        <v>3032</v>
      </c>
      <c r="H1061" s="8" t="s">
        <v>310</v>
      </c>
      <c r="I1061" s="22" t="s">
        <v>4867</v>
      </c>
      <c r="J1061" s="73">
        <v>64.33</v>
      </c>
      <c r="K1061" s="73">
        <v>1.66</v>
      </c>
      <c r="L1061" s="73">
        <v>11.86</v>
      </c>
      <c r="N1061" s="318">
        <f t="shared" si="207"/>
        <v>77.849999999999994</v>
      </c>
      <c r="O1061" s="81">
        <f>IFERROR(VLOOKUP($G1061,'321買'!A:E,3,0),"'沒有資料'")</f>
        <v>0</v>
      </c>
      <c r="P1061" s="380">
        <f>IFERROR(VLOOKUP($G1061,'321買'!$A:$G,7,0),"'沒有資料'")</f>
        <v>911</v>
      </c>
      <c r="R1061" s="297">
        <f>IFERROR(RANK(VLOOKUP($G1061,連買!$A:$D,4,0),連買!$D:$D,0),"'沒有資料'")</f>
        <v>1675</v>
      </c>
      <c r="S1061" s="66">
        <v>3.1</v>
      </c>
      <c r="T1061" s="353">
        <f t="shared" si="202"/>
        <v>0.10097719869706841</v>
      </c>
      <c r="U1061" s="95">
        <v>4.2</v>
      </c>
      <c r="V1061" s="13">
        <f>RTD("money.excel",,"3032","Price")</f>
        <v>30.7</v>
      </c>
      <c r="W1061" s="66"/>
      <c r="X1061" s="15">
        <f t="shared" si="203"/>
        <v>30.7</v>
      </c>
      <c r="Y1061" s="3" t="e">
        <f t="shared" si="204"/>
        <v>#DIV/0!</v>
      </c>
      <c r="Z1061" s="413" t="s">
        <v>1831</v>
      </c>
      <c r="AA1061" s="161">
        <v>0</v>
      </c>
      <c r="AB1061" s="409">
        <v>0</v>
      </c>
      <c r="AC1061" s="259">
        <f t="shared" si="208"/>
        <v>0</v>
      </c>
      <c r="AD1061" s="22" t="s">
        <v>4867</v>
      </c>
      <c r="AG1061" s="33">
        <f t="shared" si="205"/>
        <v>0</v>
      </c>
      <c r="AH1061" s="43" t="s">
        <v>2556</v>
      </c>
      <c r="AI1061" s="63">
        <f t="shared" si="206"/>
        <v>5.8407079646017701E-4</v>
      </c>
      <c r="AJ1061" s="307">
        <f>RTD("money.excel",,$G1061,"PredictVolume")</f>
        <v>66</v>
      </c>
      <c r="AK1061" s="339"/>
    </row>
    <row r="1062" spans="1:37">
      <c r="A1062" s="415">
        <v>147</v>
      </c>
      <c r="B1062" s="79">
        <v>154</v>
      </c>
      <c r="C1062" s="79">
        <v>227</v>
      </c>
      <c r="D1062" s="79">
        <v>11</v>
      </c>
      <c r="E1062" s="79">
        <v>37</v>
      </c>
      <c r="F1062" s="57">
        <v>12.6</v>
      </c>
      <c r="G1062" s="79">
        <v>3037</v>
      </c>
      <c r="H1062" s="8" t="s">
        <v>310</v>
      </c>
      <c r="I1062" s="22" t="s">
        <v>3103</v>
      </c>
      <c r="J1062" s="323">
        <v>79.19</v>
      </c>
      <c r="K1062" s="323">
        <v>51.28</v>
      </c>
      <c r="L1062" s="73">
        <v>7.3</v>
      </c>
      <c r="M1062" s="73">
        <v>15.5</v>
      </c>
      <c r="N1062" s="73">
        <f t="shared" si="207"/>
        <v>153.27000000000001</v>
      </c>
      <c r="O1062" s="81">
        <f>IFERROR(VLOOKUP($G1062,'321買'!A:E,3,0),"'沒有資料'")</f>
        <v>18</v>
      </c>
      <c r="P1062" s="380">
        <f>IFERROR(VLOOKUP($G1062,'321買'!$A:$G,7,0),"'沒有資料'")</f>
        <v>290</v>
      </c>
      <c r="Q1062" s="245" t="s">
        <v>3816</v>
      </c>
      <c r="R1062" s="297">
        <f>IFERROR(RANK(VLOOKUP($G1062,連買!$A:$D,4,0),連買!$D:$D,0),"'沒有資料'")</f>
        <v>116</v>
      </c>
      <c r="S1062" s="45">
        <v>3.4</v>
      </c>
      <c r="T1062" s="353">
        <f t="shared" si="202"/>
        <v>1.5632183908045976E-2</v>
      </c>
      <c r="U1062" s="57">
        <v>9</v>
      </c>
      <c r="V1062" s="13">
        <f>RTD("money.excel",,"3037","Price")</f>
        <v>217.5</v>
      </c>
      <c r="W1062" s="66"/>
      <c r="X1062" s="15">
        <f t="shared" si="203"/>
        <v>217.5</v>
      </c>
      <c r="Y1062" s="3" t="e">
        <f t="shared" si="204"/>
        <v>#DIV/0!</v>
      </c>
      <c r="Z1062" s="413" t="s">
        <v>8636</v>
      </c>
      <c r="AA1062" s="161">
        <v>0</v>
      </c>
      <c r="AB1062" s="409">
        <v>0</v>
      </c>
      <c r="AC1062" s="259">
        <f t="shared" si="208"/>
        <v>0</v>
      </c>
      <c r="AD1062" s="22" t="s">
        <v>3103</v>
      </c>
      <c r="AG1062" s="33">
        <f t="shared" si="205"/>
        <v>0</v>
      </c>
      <c r="AH1062" s="120" t="s">
        <v>4868</v>
      </c>
      <c r="AI1062" s="63">
        <f t="shared" si="206"/>
        <v>7.4857142857142856E-3</v>
      </c>
      <c r="AJ1062" s="307">
        <f>RTD("money.excel",,$G1062,"PredictVolume")</f>
        <v>11004</v>
      </c>
      <c r="AK1062" s="339">
        <v>8.89</v>
      </c>
    </row>
    <row r="1063" spans="1:37">
      <c r="A1063" s="415">
        <v>30.9</v>
      </c>
      <c r="B1063" s="79">
        <v>118</v>
      </c>
      <c r="C1063" s="79">
        <v>114</v>
      </c>
      <c r="D1063" s="80">
        <v>-16</v>
      </c>
      <c r="E1063" s="80">
        <v>-2</v>
      </c>
      <c r="F1063" s="57">
        <v>22.79</v>
      </c>
      <c r="G1063" s="79">
        <v>3042</v>
      </c>
      <c r="H1063" s="8" t="s">
        <v>310</v>
      </c>
      <c r="I1063" s="22" t="s">
        <v>4869</v>
      </c>
      <c r="J1063" s="73">
        <v>33.39</v>
      </c>
      <c r="K1063" s="73">
        <v>13.73</v>
      </c>
      <c r="L1063" s="323">
        <v>21.37</v>
      </c>
      <c r="M1063" s="323">
        <v>6.72</v>
      </c>
      <c r="N1063" s="318">
        <f t="shared" si="207"/>
        <v>75.210000000000008</v>
      </c>
      <c r="O1063" s="81">
        <f>IFERROR(VLOOKUP($G1063,'321買'!A:E,3,0),"'沒有資料'")</f>
        <v>34</v>
      </c>
      <c r="P1063" s="380">
        <f>IFERROR(VLOOKUP($G1063,'321買'!$A:$G,7,0),"'沒有資料'")</f>
        <v>104</v>
      </c>
      <c r="Q1063" s="388" t="s">
        <v>3816</v>
      </c>
      <c r="R1063" s="297">
        <f>IFERROR(RANK(VLOOKUP($G1063,連買!$A:$D,4,0),連買!$D:$D,0),"'沒有資料'")</f>
        <v>193</v>
      </c>
      <c r="S1063" s="45">
        <v>7.5</v>
      </c>
      <c r="T1063" s="353">
        <f t="shared" si="202"/>
        <v>7.716049382716049E-2</v>
      </c>
      <c r="U1063" s="95">
        <v>10.06</v>
      </c>
      <c r="V1063" s="36">
        <f>RTD("money.excel",,"3042","Price")</f>
        <v>97.2</v>
      </c>
      <c r="W1063" s="66"/>
      <c r="X1063" s="15">
        <f t="shared" si="203"/>
        <v>97.2</v>
      </c>
      <c r="Y1063" s="3" t="e">
        <f t="shared" si="204"/>
        <v>#DIV/0!</v>
      </c>
      <c r="Z1063" s="413" t="s">
        <v>8443</v>
      </c>
      <c r="AA1063" s="161">
        <v>0</v>
      </c>
      <c r="AB1063" s="409">
        <v>0</v>
      </c>
      <c r="AC1063" s="259">
        <f t="shared" si="208"/>
        <v>0</v>
      </c>
      <c r="AD1063" s="22" t="s">
        <v>4869</v>
      </c>
      <c r="AG1063" s="33">
        <f t="shared" si="205"/>
        <v>0</v>
      </c>
      <c r="AH1063" s="120" t="s">
        <v>1808</v>
      </c>
      <c r="AI1063" s="63">
        <f t="shared" si="206"/>
        <v>3.0453074433656959E-3</v>
      </c>
      <c r="AJ1063" s="307">
        <f>RTD("money.excel",,$G1063,"PredictVolume")</f>
        <v>941</v>
      </c>
      <c r="AK1063" s="339">
        <v>17.3</v>
      </c>
    </row>
    <row r="1064" spans="1:37">
      <c r="A1064" s="415">
        <v>52.5</v>
      </c>
      <c r="B1064" s="79">
        <v>0</v>
      </c>
      <c r="C1064" s="79">
        <v>5</v>
      </c>
      <c r="D1064" s="79">
        <v>4</v>
      </c>
      <c r="E1064" s="79">
        <v>13</v>
      </c>
      <c r="F1064" s="57">
        <v>10.47</v>
      </c>
      <c r="G1064" s="79">
        <v>3044</v>
      </c>
      <c r="H1064" s="8" t="s">
        <v>310</v>
      </c>
      <c r="I1064" s="22" t="s">
        <v>4870</v>
      </c>
      <c r="J1064" s="73">
        <v>76.78</v>
      </c>
      <c r="K1064" s="73">
        <v>49.53</v>
      </c>
      <c r="L1064" s="323">
        <v>1.03</v>
      </c>
      <c r="N1064" s="318">
        <f t="shared" si="207"/>
        <v>127.34</v>
      </c>
      <c r="O1064" s="81">
        <f>IFERROR(VLOOKUP($G1064,'321買'!A:E,3,0),"'沒有資料'")</f>
        <v>0</v>
      </c>
      <c r="P1064" s="380">
        <f>IFERROR(VLOOKUP($G1064,'321買'!$A:$G,7,0),"'沒有資料'")</f>
        <v>911</v>
      </c>
      <c r="Q1064" s="245" t="s">
        <v>3818</v>
      </c>
      <c r="R1064" s="297">
        <f>IFERROR(RANK(VLOOKUP($G1064,連買!$A:$D,4,0),連買!$D:$D,0),"'沒有資料'")</f>
        <v>103</v>
      </c>
      <c r="S1064" s="66">
        <v>7.35</v>
      </c>
      <c r="T1064" s="353">
        <f t="shared" si="202"/>
        <v>5.8333333333333327E-2</v>
      </c>
      <c r="U1064" s="57">
        <v>11.73</v>
      </c>
      <c r="V1064" s="13">
        <f>RTD("money.excel",,"3044","Price")</f>
        <v>126</v>
      </c>
      <c r="W1064" s="66"/>
      <c r="X1064" s="15">
        <f t="shared" si="203"/>
        <v>126</v>
      </c>
      <c r="Y1064" s="3" t="e">
        <f t="shared" si="204"/>
        <v>#DIV/0!</v>
      </c>
      <c r="Z1064" s="413" t="s">
        <v>1997</v>
      </c>
      <c r="AA1064" s="161">
        <v>0</v>
      </c>
      <c r="AB1064" s="409">
        <v>0</v>
      </c>
      <c r="AC1064" s="259">
        <f t="shared" si="208"/>
        <v>0</v>
      </c>
      <c r="AD1064" s="22" t="s">
        <v>4870</v>
      </c>
      <c r="AG1064" s="33">
        <f t="shared" si="205"/>
        <v>0</v>
      </c>
      <c r="AH1064" s="120" t="s">
        <v>1049</v>
      </c>
      <c r="AI1064" s="63">
        <f t="shared" si="206"/>
        <v>1.1942857142857144E-3</v>
      </c>
      <c r="AJ1064" s="307">
        <f>RTD("money.excel",,$G1064,"PredictVolume")</f>
        <v>627</v>
      </c>
      <c r="AK1064" s="339"/>
    </row>
    <row r="1065" spans="1:37">
      <c r="A1065" s="416">
        <v>15.86</v>
      </c>
      <c r="B1065" s="80">
        <v>-234</v>
      </c>
      <c r="C1065" s="80">
        <v>-171</v>
      </c>
      <c r="D1065" s="80">
        <v>-1</v>
      </c>
      <c r="E1065" s="79">
        <v>9</v>
      </c>
      <c r="F1065" s="6">
        <v>-6.52</v>
      </c>
      <c r="G1065" s="79">
        <v>3058</v>
      </c>
      <c r="H1065" s="8" t="s">
        <v>310</v>
      </c>
      <c r="I1065" s="22" t="s">
        <v>4871</v>
      </c>
      <c r="J1065" s="323">
        <v>23</v>
      </c>
      <c r="K1065" s="73">
        <v>1.91</v>
      </c>
      <c r="L1065" s="323">
        <v>0</v>
      </c>
      <c r="M1065" s="73">
        <v>8.17</v>
      </c>
      <c r="N1065" s="318">
        <f t="shared" si="207"/>
        <v>33.08</v>
      </c>
      <c r="O1065" s="81">
        <f>IFERROR(VLOOKUP($G1065,'321買'!A:E,3,0),"'沒有資料'")</f>
        <v>12</v>
      </c>
      <c r="P1065" s="380">
        <f>IFERROR(VLOOKUP($G1065,'321買'!$A:$G,7,0),"'沒有資料'")</f>
        <v>348</v>
      </c>
      <c r="Q1065" s="245" t="s">
        <v>3816</v>
      </c>
      <c r="R1065" s="297">
        <f>IFERROR(RANK(VLOOKUP($G1065,連買!$A:$D,4,0),連買!$D:$D,0),"'沒有資料'")</f>
        <v>1321</v>
      </c>
      <c r="S1065" s="34">
        <v>0.15</v>
      </c>
      <c r="T1065" s="353">
        <f t="shared" si="202"/>
        <v>1.1718749999999998E-2</v>
      </c>
      <c r="U1065" s="95">
        <v>-1.85</v>
      </c>
      <c r="V1065" s="36">
        <f>RTD("money.excel",,"3058","Price")</f>
        <v>12.8</v>
      </c>
      <c r="W1065" s="66"/>
      <c r="X1065" s="15">
        <f t="shared" si="203"/>
        <v>12.8</v>
      </c>
      <c r="Y1065" s="3" t="e">
        <f t="shared" si="204"/>
        <v>#DIV/0!</v>
      </c>
      <c r="AA1065" s="161">
        <v>0</v>
      </c>
      <c r="AB1065" s="409">
        <v>0</v>
      </c>
      <c r="AC1065" s="259">
        <f t="shared" si="208"/>
        <v>0</v>
      </c>
      <c r="AD1065" s="22" t="s">
        <v>4871</v>
      </c>
      <c r="AG1065" s="33">
        <f t="shared" si="205"/>
        <v>0</v>
      </c>
      <c r="AH1065" s="43" t="s">
        <v>4872</v>
      </c>
      <c r="AI1065" s="63">
        <f t="shared" si="206"/>
        <v>1.0403530895334175E-3</v>
      </c>
      <c r="AJ1065" s="307">
        <f>RTD("money.excel",,$G1065,"PredictVolume")</f>
        <v>165</v>
      </c>
      <c r="AK1065" s="339"/>
    </row>
    <row r="1066" spans="1:37">
      <c r="A1066" s="415">
        <v>22.7</v>
      </c>
      <c r="B1066" s="79">
        <v>14</v>
      </c>
      <c r="C1066" s="79">
        <v>17</v>
      </c>
      <c r="D1066" s="80">
        <v>-5</v>
      </c>
      <c r="E1066" s="80">
        <v>-19</v>
      </c>
      <c r="F1066" s="57">
        <v>12.68</v>
      </c>
      <c r="G1066" s="79">
        <v>3078</v>
      </c>
      <c r="H1066" s="8" t="s">
        <v>310</v>
      </c>
      <c r="I1066" s="16" t="s">
        <v>4873</v>
      </c>
      <c r="J1066" s="323">
        <v>37.979999999999997</v>
      </c>
      <c r="K1066" s="323">
        <v>2.66</v>
      </c>
      <c r="L1066" s="323">
        <v>10.7</v>
      </c>
      <c r="N1066" s="318">
        <f t="shared" si="207"/>
        <v>51.34</v>
      </c>
      <c r="O1066" s="81">
        <f>IFERROR(VLOOKUP($G1066,'321買'!A:E,3,0),"'沒有資料'")</f>
        <v>3</v>
      </c>
      <c r="P1066" s="380">
        <f>IFERROR(VLOOKUP($G1066,'321買'!$A:$G,7,0),"'沒有資料'")</f>
        <v>636</v>
      </c>
      <c r="Q1066" s="245" t="s">
        <v>3815</v>
      </c>
      <c r="R1066" s="297">
        <f>IFERROR(RANK(VLOOKUP($G1066,連買!$A:$D,4,0),連買!$D:$D,0),"'沒有資料'")</f>
        <v>346</v>
      </c>
      <c r="S1066" s="66">
        <v>3.15</v>
      </c>
      <c r="T1066" s="353">
        <f t="shared" si="202"/>
        <v>8.7136929460580909E-2</v>
      </c>
      <c r="U1066" s="95">
        <v>4.9800000000000004</v>
      </c>
      <c r="V1066" s="36">
        <f>RTD("money.excel",,"3078","Price")</f>
        <v>36.15</v>
      </c>
      <c r="W1066" s="66"/>
      <c r="X1066" s="15">
        <f t="shared" si="203"/>
        <v>36.15</v>
      </c>
      <c r="Y1066" s="3" t="e">
        <f t="shared" si="204"/>
        <v>#DIV/0!</v>
      </c>
      <c r="Z1066" s="413" t="s">
        <v>1997</v>
      </c>
      <c r="AA1066" s="161">
        <v>0</v>
      </c>
      <c r="AB1066" s="409">
        <v>0</v>
      </c>
      <c r="AC1066" s="259">
        <f t="shared" si="208"/>
        <v>0</v>
      </c>
      <c r="AD1066" s="16" t="s">
        <v>4873</v>
      </c>
      <c r="AG1066" s="33">
        <f t="shared" si="205"/>
        <v>0</v>
      </c>
      <c r="AH1066" s="120" t="s">
        <v>2556</v>
      </c>
      <c r="AI1066" s="63">
        <f t="shared" si="206"/>
        <v>5.3303964757709255E-4</v>
      </c>
      <c r="AJ1066" s="307">
        <f>RTD("money.excel",,$G1066,"PredictVolume")</f>
        <v>121</v>
      </c>
      <c r="AK1066" s="339"/>
    </row>
    <row r="1067" spans="1:37">
      <c r="A1067" s="416">
        <v>17.8</v>
      </c>
      <c r="B1067" s="80">
        <v>-13</v>
      </c>
      <c r="C1067" s="80">
        <v>-10</v>
      </c>
      <c r="D1067" s="80">
        <v>-4</v>
      </c>
      <c r="E1067" s="79">
        <v>6</v>
      </c>
      <c r="F1067" s="6">
        <v>8.83</v>
      </c>
      <c r="G1067" s="79">
        <v>3090</v>
      </c>
      <c r="H1067" s="8" t="s">
        <v>310</v>
      </c>
      <c r="I1067" s="22" t="s">
        <v>4874</v>
      </c>
      <c r="J1067" s="323">
        <v>26.31</v>
      </c>
      <c r="K1067" s="73">
        <v>9.52</v>
      </c>
      <c r="L1067" s="73">
        <v>8.68</v>
      </c>
      <c r="N1067" s="318">
        <f t="shared" si="207"/>
        <v>44.51</v>
      </c>
      <c r="O1067" s="81">
        <f>IFERROR(VLOOKUP($G1067,'321買'!A:E,3,0),"'沒有資料'")</f>
        <v>1</v>
      </c>
      <c r="P1067" s="380">
        <f>IFERROR(VLOOKUP($G1067,'321買'!$A:$G,7,0),"'沒有資料'")</f>
        <v>706</v>
      </c>
      <c r="R1067" s="297">
        <f>IFERROR(RANK(VLOOKUP($G1067,連買!$A:$D,4,0),連買!$D:$D,0),"'沒有資料'")</f>
        <v>397</v>
      </c>
      <c r="S1067" s="66">
        <v>3.1</v>
      </c>
      <c r="T1067" s="353">
        <f t="shared" si="202"/>
        <v>5.7195571955719553E-2</v>
      </c>
      <c r="U1067" s="95">
        <v>3.36</v>
      </c>
      <c r="V1067" s="36">
        <f>RTD("money.excel",,"3090","Price")</f>
        <v>54.2</v>
      </c>
      <c r="W1067" s="66"/>
      <c r="X1067" s="15">
        <f t="shared" si="203"/>
        <v>54.2</v>
      </c>
      <c r="Y1067" s="3" t="e">
        <f t="shared" si="204"/>
        <v>#DIV/0!</v>
      </c>
      <c r="Z1067" s="413" t="s">
        <v>1997</v>
      </c>
      <c r="AA1067" s="161">
        <v>0</v>
      </c>
      <c r="AB1067" s="409">
        <v>0</v>
      </c>
      <c r="AC1067" s="259">
        <f t="shared" si="208"/>
        <v>0</v>
      </c>
      <c r="AD1067" s="22" t="s">
        <v>4874</v>
      </c>
      <c r="AG1067" s="33">
        <f t="shared" si="205"/>
        <v>0</v>
      </c>
      <c r="AH1067" s="43" t="s">
        <v>4875</v>
      </c>
      <c r="AI1067" s="63">
        <f t="shared" si="206"/>
        <v>1.1460674157303371E-3</v>
      </c>
      <c r="AJ1067" s="307">
        <f>RTD("money.excel",,$G1067,"PredictVolume")</f>
        <v>204</v>
      </c>
      <c r="AK1067" s="339"/>
    </row>
    <row r="1068" spans="1:37">
      <c r="A1068" s="416">
        <v>9.23</v>
      </c>
      <c r="B1068" s="80">
        <v>-96</v>
      </c>
      <c r="C1068" s="80">
        <v>-85</v>
      </c>
      <c r="D1068" s="79">
        <v>0</v>
      </c>
      <c r="E1068" s="79">
        <v>36</v>
      </c>
      <c r="F1068" s="6">
        <v>1.17</v>
      </c>
      <c r="G1068" s="79">
        <v>3092</v>
      </c>
      <c r="H1068" s="8" t="s">
        <v>310</v>
      </c>
      <c r="I1068" s="22" t="s">
        <v>4876</v>
      </c>
      <c r="J1068" s="73">
        <v>32.520000000000003</v>
      </c>
      <c r="K1068" s="323">
        <v>1.07</v>
      </c>
      <c r="L1068" s="73">
        <v>34.61</v>
      </c>
      <c r="M1068" s="323">
        <v>8.6300000000000008</v>
      </c>
      <c r="N1068" s="318">
        <f t="shared" si="207"/>
        <v>76.83</v>
      </c>
      <c r="O1068" s="81">
        <f>IFERROR(VLOOKUP($G1068,'321買'!A:E,3,0),"'沒有資料'")</f>
        <v>32</v>
      </c>
      <c r="P1068" s="380">
        <f>IFERROR(VLOOKUP($G1068,'321買'!$A:$G,7,0),"'沒有資料'")</f>
        <v>141</v>
      </c>
      <c r="Q1068" s="245" t="s">
        <v>3815</v>
      </c>
      <c r="R1068" s="297">
        <f>IFERROR(RANK(VLOOKUP($G1068,連買!$A:$D,4,0),連買!$D:$D,0),"'沒有資料'")</f>
        <v>233</v>
      </c>
      <c r="S1068" s="34">
        <v>1.38</v>
      </c>
      <c r="T1068" s="353">
        <f t="shared" si="202"/>
        <v>2.13953488372093E-2</v>
      </c>
      <c r="U1068" s="95">
        <v>-7.0000000000000007E-2</v>
      </c>
      <c r="V1068" s="36">
        <f>RTD("money.excel",,"3092","Price")</f>
        <v>64.5</v>
      </c>
      <c r="W1068" s="66"/>
      <c r="X1068" s="15">
        <f t="shared" si="203"/>
        <v>64.5</v>
      </c>
      <c r="Y1068" s="3" t="e">
        <f t="shared" si="204"/>
        <v>#DIV/0!</v>
      </c>
      <c r="Z1068" s="413" t="s">
        <v>1801</v>
      </c>
      <c r="AA1068" s="161">
        <v>0</v>
      </c>
      <c r="AB1068" s="409">
        <v>0</v>
      </c>
      <c r="AC1068" s="259">
        <f t="shared" si="208"/>
        <v>0</v>
      </c>
      <c r="AD1068" s="22" t="s">
        <v>4876</v>
      </c>
      <c r="AG1068" s="33">
        <f t="shared" si="205"/>
        <v>0</v>
      </c>
      <c r="AH1068" s="120" t="s">
        <v>2586</v>
      </c>
      <c r="AI1068" s="63">
        <f t="shared" si="206"/>
        <v>4.9653304442036833E-2</v>
      </c>
      <c r="AJ1068" s="307">
        <f>RTD("money.excel",,$G1068,"PredictVolume")</f>
        <v>4583</v>
      </c>
      <c r="AK1068" s="339"/>
    </row>
    <row r="1069" spans="1:37">
      <c r="A1069" s="416">
        <v>5.91</v>
      </c>
      <c r="B1069" s="79">
        <v>50</v>
      </c>
      <c r="C1069" s="79">
        <v>51</v>
      </c>
      <c r="D1069" s="79">
        <v>12</v>
      </c>
      <c r="E1069" s="79">
        <v>30</v>
      </c>
      <c r="F1069" s="6">
        <v>4.9400000000000004</v>
      </c>
      <c r="G1069" s="79">
        <v>3114</v>
      </c>
      <c r="H1069" s="8" t="s">
        <v>310</v>
      </c>
      <c r="I1069" s="16" t="s">
        <v>4877</v>
      </c>
      <c r="J1069" s="323">
        <v>43.45</v>
      </c>
      <c r="K1069" s="73">
        <v>1.17</v>
      </c>
      <c r="L1069" s="323">
        <v>15.26</v>
      </c>
      <c r="M1069" s="323">
        <v>19.95</v>
      </c>
      <c r="N1069" s="318">
        <f t="shared" si="207"/>
        <v>79.83</v>
      </c>
      <c r="O1069" s="81">
        <f>IFERROR(VLOOKUP($G1069,'321買'!A:E,3,0),"'沒有資料'")</f>
        <v>8</v>
      </c>
      <c r="P1069" s="380">
        <f>IFERROR(VLOOKUP($G1069,'321買'!$A:$G,7,0),"'沒有資料'")</f>
        <v>448</v>
      </c>
      <c r="Q1069" s="245" t="s">
        <v>3815</v>
      </c>
      <c r="R1069" s="297">
        <f>IFERROR(RANK(VLOOKUP($G1069,連買!$A:$D,4,0),連買!$D:$D,0),"'沒有資料'")</f>
        <v>761</v>
      </c>
      <c r="S1069" s="34">
        <v>1.2</v>
      </c>
      <c r="T1069" s="353">
        <f t="shared" si="202"/>
        <v>4.5368620037807186E-2</v>
      </c>
      <c r="U1069" s="95">
        <v>2.4</v>
      </c>
      <c r="V1069" s="36">
        <f>RTD("money.excel",,"3114","Price")</f>
        <v>26.45</v>
      </c>
      <c r="W1069" s="66"/>
      <c r="X1069" s="15">
        <f t="shared" si="203"/>
        <v>26.45</v>
      </c>
      <c r="Y1069" s="3" t="e">
        <f t="shared" si="204"/>
        <v>#DIV/0!</v>
      </c>
      <c r="AA1069" s="161">
        <v>0</v>
      </c>
      <c r="AB1069" s="409">
        <v>0</v>
      </c>
      <c r="AC1069" s="259">
        <f t="shared" si="208"/>
        <v>0</v>
      </c>
      <c r="AD1069" s="16" t="s">
        <v>4877</v>
      </c>
      <c r="AG1069" s="33">
        <f t="shared" si="205"/>
        <v>0</v>
      </c>
      <c r="AH1069" s="43" t="s">
        <v>4878</v>
      </c>
      <c r="AI1069" s="63">
        <f t="shared" si="206"/>
        <v>5.5837563451776651E-4</v>
      </c>
      <c r="AJ1069" s="307">
        <f>RTD("money.excel",,$G1069,"PredictVolume")</f>
        <v>33</v>
      </c>
      <c r="AK1069" s="339"/>
    </row>
    <row r="1070" spans="1:37">
      <c r="A1070" s="416">
        <v>4.37</v>
      </c>
      <c r="B1070" s="91">
        <v>66</v>
      </c>
      <c r="C1070" s="91">
        <v>53</v>
      </c>
      <c r="D1070" s="91">
        <v>25</v>
      </c>
      <c r="E1070" s="91">
        <v>-35</v>
      </c>
      <c r="F1070" s="6">
        <v>-5.37</v>
      </c>
      <c r="G1070" s="79">
        <v>3115</v>
      </c>
      <c r="H1070" s="8" t="s">
        <v>310</v>
      </c>
      <c r="I1070" s="16" t="s">
        <v>4879</v>
      </c>
      <c r="J1070" s="73">
        <v>71.97</v>
      </c>
      <c r="K1070" s="73">
        <v>3.35</v>
      </c>
      <c r="N1070" s="318">
        <f t="shared" si="207"/>
        <v>75.319999999999993</v>
      </c>
      <c r="O1070" s="81" t="str">
        <f>IFERROR(VLOOKUP($G1070,'321買'!A:E,3,0),"'沒有資料'")</f>
        <v>'沒有資料'</v>
      </c>
      <c r="P1070" s="380" t="str">
        <f>IFERROR(VLOOKUP($G1070,'321買'!$A:$G,7,0),"'沒有資料'")</f>
        <v>'沒有資料'</v>
      </c>
      <c r="R1070" s="297">
        <f>IFERROR(RANK(VLOOKUP($G1070,連買!$A:$D,4,0),連買!$D:$D,0),"'沒有資料'")</f>
        <v>1431</v>
      </c>
      <c r="S1070" s="34">
        <v>0</v>
      </c>
      <c r="T1070" s="353">
        <f t="shared" si="202"/>
        <v>0</v>
      </c>
      <c r="U1070" s="95">
        <v>-1.01</v>
      </c>
      <c r="V1070" s="13">
        <f>RTD("money.excel",,"3115","Price")</f>
        <v>11.3</v>
      </c>
      <c r="W1070" s="66"/>
      <c r="X1070" s="15">
        <f t="shared" si="203"/>
        <v>11.3</v>
      </c>
      <c r="Y1070" s="3" t="e">
        <f t="shared" si="204"/>
        <v>#DIV/0!</v>
      </c>
      <c r="AA1070" s="161">
        <v>0</v>
      </c>
      <c r="AB1070" s="409">
        <v>0</v>
      </c>
      <c r="AC1070" s="259">
        <f t="shared" si="208"/>
        <v>0</v>
      </c>
      <c r="AD1070" s="16" t="s">
        <v>4879</v>
      </c>
      <c r="AG1070" s="33">
        <f t="shared" si="205"/>
        <v>0</v>
      </c>
      <c r="AH1070" s="43" t="s">
        <v>4880</v>
      </c>
      <c r="AI1070" s="63">
        <f t="shared" si="206"/>
        <v>3.4324942791762013E-4</v>
      </c>
      <c r="AJ1070" s="307">
        <f>RTD("money.excel",,$G1070,"PredictVolume")</f>
        <v>15</v>
      </c>
      <c r="AK1070" s="339"/>
    </row>
    <row r="1071" spans="1:37">
      <c r="A1071" s="416">
        <v>5.72</v>
      </c>
      <c r="B1071" s="80">
        <v>-508</v>
      </c>
      <c r="C1071" s="79">
        <v>55</v>
      </c>
      <c r="D1071" s="80">
        <v>-58</v>
      </c>
      <c r="E1071" s="79">
        <v>247</v>
      </c>
      <c r="F1071" s="6">
        <v>-35.1</v>
      </c>
      <c r="G1071" s="79">
        <v>3191</v>
      </c>
      <c r="H1071" s="8" t="s">
        <v>310</v>
      </c>
      <c r="I1071" s="16" t="s">
        <v>4881</v>
      </c>
      <c r="J1071" s="323">
        <v>16.21</v>
      </c>
      <c r="K1071" s="73">
        <v>1.4</v>
      </c>
      <c r="N1071" s="318">
        <f t="shared" si="207"/>
        <v>17.61</v>
      </c>
      <c r="O1071" s="81" t="str">
        <f>IFERROR(VLOOKUP($G1071,'321買'!A:E,3,0),"'沒有資料'")</f>
        <v>'沒有資料'</v>
      </c>
      <c r="P1071" s="380" t="str">
        <f>IFERROR(VLOOKUP($G1071,'321買'!$A:$G,7,0),"'沒有資料'")</f>
        <v>'沒有資料'</v>
      </c>
      <c r="R1071" s="297">
        <f>IFERROR(RANK(VLOOKUP($G1071,連買!$A:$D,4,0),連買!$D:$D,0),"'沒有資料'")</f>
        <v>1320</v>
      </c>
      <c r="S1071" s="34">
        <v>0</v>
      </c>
      <c r="T1071" s="353">
        <f t="shared" si="202"/>
        <v>0</v>
      </c>
      <c r="U1071" s="95">
        <v>-3.12</v>
      </c>
      <c r="V1071" s="13">
        <f>RTD("money.excel",,"3191","Price")</f>
        <v>10</v>
      </c>
      <c r="W1071" s="66"/>
      <c r="X1071" s="15">
        <f t="shared" si="203"/>
        <v>10</v>
      </c>
      <c r="Y1071" s="3" t="e">
        <f t="shared" si="204"/>
        <v>#DIV/0!</v>
      </c>
      <c r="AA1071" s="161">
        <v>0</v>
      </c>
      <c r="AB1071" s="409">
        <v>0</v>
      </c>
      <c r="AC1071" s="259">
        <f t="shared" si="208"/>
        <v>0</v>
      </c>
      <c r="AD1071" s="16" t="s">
        <v>4881</v>
      </c>
      <c r="AG1071" s="33">
        <f t="shared" si="205"/>
        <v>0</v>
      </c>
      <c r="AH1071" s="43" t="s">
        <v>4882</v>
      </c>
      <c r="AI1071" s="63">
        <f t="shared" si="206"/>
        <v>2.6223776223776224E-4</v>
      </c>
      <c r="AJ1071" s="307">
        <f>RTD("money.excel",,$G1071,"PredictVolume")</f>
        <v>15</v>
      </c>
      <c r="AK1071" s="339"/>
    </row>
    <row r="1072" spans="1:37">
      <c r="A1072" s="416">
        <v>11.7</v>
      </c>
      <c r="B1072" s="79">
        <v>56</v>
      </c>
      <c r="C1072" s="79">
        <v>196</v>
      </c>
      <c r="D1072" s="79">
        <v>13</v>
      </c>
      <c r="E1072" s="79">
        <v>67</v>
      </c>
      <c r="F1072" s="6">
        <v>5.96</v>
      </c>
      <c r="G1072" s="79">
        <v>3202</v>
      </c>
      <c r="H1072" s="8" t="s">
        <v>310</v>
      </c>
      <c r="I1072" s="16" t="s">
        <v>4883</v>
      </c>
      <c r="J1072" s="323">
        <v>29.41</v>
      </c>
      <c r="K1072" s="73">
        <v>3.81</v>
      </c>
      <c r="L1072" s="323">
        <v>59.48</v>
      </c>
      <c r="N1072" s="318">
        <f t="shared" si="207"/>
        <v>92.699999999999989</v>
      </c>
      <c r="O1072" s="81">
        <f>IFERROR(VLOOKUP($G1072,'321買'!A:E,3,0),"'沒有資料'")</f>
        <v>0</v>
      </c>
      <c r="P1072" s="380">
        <f>IFERROR(VLOOKUP($G1072,'321買'!$A:$G,7,0),"'沒有資料'")</f>
        <v>911</v>
      </c>
      <c r="R1072" s="297">
        <f>IFERROR(RANK(VLOOKUP($G1072,連買!$A:$D,4,0),連買!$D:$D,0),"'沒有資料'")</f>
        <v>1225</v>
      </c>
      <c r="S1072" s="34">
        <v>0</v>
      </c>
      <c r="T1072" s="353">
        <f t="shared" si="202"/>
        <v>0</v>
      </c>
      <c r="U1072" s="95">
        <v>-1.35</v>
      </c>
      <c r="V1072" s="36">
        <f>RTD("money.excel",,"3202","Price")</f>
        <v>17.100000000000001</v>
      </c>
      <c r="W1072" s="66"/>
      <c r="X1072" s="15">
        <f t="shared" si="203"/>
        <v>17.100000000000001</v>
      </c>
      <c r="Y1072" s="3" t="e">
        <f t="shared" si="204"/>
        <v>#DIV/0!</v>
      </c>
      <c r="Z1072" s="413" t="s">
        <v>1801</v>
      </c>
      <c r="AA1072" s="161">
        <v>0</v>
      </c>
      <c r="AB1072" s="409">
        <v>0</v>
      </c>
      <c r="AC1072" s="259">
        <f t="shared" si="208"/>
        <v>0</v>
      </c>
      <c r="AD1072" s="16" t="s">
        <v>4883</v>
      </c>
      <c r="AG1072" s="33">
        <f t="shared" si="205"/>
        <v>0</v>
      </c>
      <c r="AH1072" s="43" t="s">
        <v>4884</v>
      </c>
      <c r="AI1072" s="63">
        <f t="shared" si="206"/>
        <v>3.8632478632478632E-3</v>
      </c>
      <c r="AJ1072" s="307">
        <f>RTD("money.excel",,$G1072,"PredictVolume")</f>
        <v>452</v>
      </c>
      <c r="AK1072" s="339"/>
    </row>
    <row r="1073" spans="1:37">
      <c r="A1073" s="416">
        <v>5.89</v>
      </c>
      <c r="B1073" s="79">
        <v>1</v>
      </c>
      <c r="C1073" s="79">
        <v>2</v>
      </c>
      <c r="D1073" s="80">
        <v>-9</v>
      </c>
      <c r="E1073" s="80">
        <v>-1</v>
      </c>
      <c r="F1073" s="6">
        <v>3.96</v>
      </c>
      <c r="G1073" s="79">
        <v>3206</v>
      </c>
      <c r="H1073" s="8" t="s">
        <v>310</v>
      </c>
      <c r="I1073" s="16" t="s">
        <v>4885</v>
      </c>
      <c r="J1073" s="323">
        <v>34.19</v>
      </c>
      <c r="K1073" s="73">
        <v>0.54</v>
      </c>
      <c r="L1073" s="73">
        <v>7.4</v>
      </c>
      <c r="N1073" s="318">
        <f t="shared" si="207"/>
        <v>42.129999999999995</v>
      </c>
      <c r="O1073" s="81">
        <f>IFERROR(VLOOKUP($G1073,'321買'!A:E,3,0),"'沒有資料'")</f>
        <v>0</v>
      </c>
      <c r="P1073" s="380">
        <f>IFERROR(VLOOKUP($G1073,'321買'!$A:$G,7,0),"'沒有資料'")</f>
        <v>911</v>
      </c>
      <c r="R1073" s="297">
        <f>IFERROR(RANK(VLOOKUP($G1073,連買!$A:$D,4,0),連買!$D:$D,0),"'沒有資料'")</f>
        <v>894</v>
      </c>
      <c r="S1073" s="34">
        <v>2</v>
      </c>
      <c r="T1073" s="353">
        <f t="shared" si="202"/>
        <v>6.9808027923211169E-2</v>
      </c>
      <c r="U1073" s="95">
        <v>2.92</v>
      </c>
      <c r="V1073" s="36">
        <f>RTD("money.excel",,"3206","Price")</f>
        <v>28.65</v>
      </c>
      <c r="W1073" s="66"/>
      <c r="X1073" s="15">
        <f t="shared" si="203"/>
        <v>28.65</v>
      </c>
      <c r="Y1073" s="3" t="e">
        <f t="shared" si="204"/>
        <v>#DIV/0!</v>
      </c>
      <c r="AA1073" s="161">
        <v>0</v>
      </c>
      <c r="AB1073" s="409">
        <v>0</v>
      </c>
      <c r="AC1073" s="259">
        <f t="shared" si="208"/>
        <v>0</v>
      </c>
      <c r="AD1073" s="16" t="s">
        <v>4885</v>
      </c>
      <c r="AG1073" s="33">
        <f t="shared" si="205"/>
        <v>0</v>
      </c>
      <c r="AH1073" s="120" t="s">
        <v>2558</v>
      </c>
      <c r="AI1073" s="63">
        <f t="shared" si="206"/>
        <v>8.4889643463497452E-4</v>
      </c>
      <c r="AJ1073" s="307">
        <f>RTD("money.excel",,$G1073,"PredictVolume")</f>
        <v>50</v>
      </c>
      <c r="AK1073" s="339"/>
    </row>
    <row r="1074" spans="1:37">
      <c r="A1074" s="416">
        <v>4.38</v>
      </c>
      <c r="B1074" s="91">
        <v>-170</v>
      </c>
      <c r="C1074" s="91">
        <v>-205</v>
      </c>
      <c r="D1074" s="91">
        <v>3</v>
      </c>
      <c r="E1074" s="91">
        <v>-8</v>
      </c>
      <c r="F1074" s="6">
        <v>-0.1</v>
      </c>
      <c r="G1074" s="79">
        <v>3207</v>
      </c>
      <c r="H1074" s="8" t="s">
        <v>310</v>
      </c>
      <c r="I1074" s="16" t="s">
        <v>4886</v>
      </c>
      <c r="J1074" s="73">
        <v>43.48</v>
      </c>
      <c r="K1074" s="73">
        <v>0</v>
      </c>
      <c r="N1074" s="318">
        <f t="shared" si="207"/>
        <v>43.48</v>
      </c>
      <c r="O1074" s="81">
        <f>IFERROR(VLOOKUP($G1074,'321買'!A:E,3,0),"'沒有資料'")</f>
        <v>26</v>
      </c>
      <c r="P1074" s="380">
        <f>IFERROR(VLOOKUP($G1074,'321買'!$A:$G,7,0),"'沒有資料'")</f>
        <v>196</v>
      </c>
      <c r="R1074" s="297">
        <f>IFERROR(RANK(VLOOKUP($G1074,連買!$A:$D,4,0),連買!$D:$D,0),"'沒有資料'")</f>
        <v>1091</v>
      </c>
      <c r="S1074" s="34">
        <v>0</v>
      </c>
      <c r="T1074" s="353">
        <f t="shared" si="202"/>
        <v>0</v>
      </c>
      <c r="U1074" s="95">
        <v>-0.39</v>
      </c>
      <c r="V1074" s="36">
        <f>RTD("money.excel",,"3207","Price")</f>
        <v>25.65</v>
      </c>
      <c r="W1074" s="66"/>
      <c r="X1074" s="15">
        <f t="shared" si="203"/>
        <v>25.65</v>
      </c>
      <c r="Y1074" s="3" t="e">
        <f t="shared" si="204"/>
        <v>#DIV/0!</v>
      </c>
      <c r="AA1074" s="161">
        <v>0</v>
      </c>
      <c r="AB1074" s="409">
        <v>0</v>
      </c>
      <c r="AC1074" s="259">
        <f t="shared" si="208"/>
        <v>0</v>
      </c>
      <c r="AD1074" s="16" t="s">
        <v>4886</v>
      </c>
      <c r="AG1074" s="33">
        <f t="shared" si="205"/>
        <v>0</v>
      </c>
      <c r="AH1074" s="43" t="s">
        <v>4887</v>
      </c>
      <c r="AI1074" s="63">
        <f t="shared" si="206"/>
        <v>7.5114155251141549E-3</v>
      </c>
      <c r="AJ1074" s="307">
        <f>RTD("money.excel",,$G1074,"PredictVolume")</f>
        <v>329</v>
      </c>
      <c r="AK1074" s="339"/>
    </row>
    <row r="1075" spans="1:37">
      <c r="A1075" s="415">
        <v>9.01</v>
      </c>
      <c r="B1075" s="79">
        <v>8</v>
      </c>
      <c r="C1075" s="79">
        <v>1</v>
      </c>
      <c r="D1075" s="79">
        <v>0</v>
      </c>
      <c r="E1075" s="79">
        <v>50</v>
      </c>
      <c r="F1075" s="57">
        <v>25.71</v>
      </c>
      <c r="G1075" s="79">
        <v>3217</v>
      </c>
      <c r="H1075" s="8" t="s">
        <v>310</v>
      </c>
      <c r="I1075" s="16" t="s">
        <v>404</v>
      </c>
      <c r="J1075" s="323">
        <v>42.51</v>
      </c>
      <c r="K1075" s="73">
        <v>11.11</v>
      </c>
      <c r="L1075" s="73">
        <v>17.66</v>
      </c>
      <c r="M1075" s="73">
        <v>13.03</v>
      </c>
      <c r="N1075" s="318">
        <f t="shared" si="207"/>
        <v>84.31</v>
      </c>
      <c r="O1075" s="81">
        <f>IFERROR(VLOOKUP($G1075,'321買'!A:E,3,0),"'沒有資料'")</f>
        <v>29</v>
      </c>
      <c r="P1075" s="380">
        <f>IFERROR(VLOOKUP($G1075,'321買'!$A:$G,7,0),"'沒有資料'")</f>
        <v>117</v>
      </c>
      <c r="Q1075" s="245" t="s">
        <v>5088</v>
      </c>
      <c r="R1075" s="297">
        <f>IFERROR(RANK(VLOOKUP($G1075,連買!$A:$D,4,0),連買!$D:$D,0),"'沒有資料'")</f>
        <v>249</v>
      </c>
      <c r="S1075" s="66">
        <v>5.6</v>
      </c>
      <c r="T1075" s="353">
        <f t="shared" si="202"/>
        <v>5.4901960784313725E-2</v>
      </c>
      <c r="U1075" s="95">
        <v>7.11</v>
      </c>
      <c r="V1075" s="36">
        <f>RTD("money.excel",,"3217","Price")</f>
        <v>102</v>
      </c>
      <c r="W1075" s="66"/>
      <c r="X1075" s="15">
        <f t="shared" si="203"/>
        <v>102</v>
      </c>
      <c r="Y1075" s="3" t="e">
        <f t="shared" si="204"/>
        <v>#DIV/0!</v>
      </c>
      <c r="Z1075" s="413" t="s">
        <v>1997</v>
      </c>
      <c r="AA1075" s="161">
        <v>0</v>
      </c>
      <c r="AB1075" s="409">
        <v>0</v>
      </c>
      <c r="AC1075" s="259">
        <f t="shared" si="208"/>
        <v>0</v>
      </c>
      <c r="AD1075" s="16" t="s">
        <v>404</v>
      </c>
      <c r="AG1075" s="33">
        <f t="shared" si="205"/>
        <v>0</v>
      </c>
      <c r="AH1075" s="43" t="s">
        <v>4889</v>
      </c>
      <c r="AI1075" s="63">
        <f t="shared" si="206"/>
        <v>2.6304106548279689E-3</v>
      </c>
      <c r="AJ1075" s="307">
        <f>RTD("money.excel",,$G1075,"PredictVolume")</f>
        <v>237</v>
      </c>
      <c r="AK1075" s="339">
        <v>28.12</v>
      </c>
    </row>
    <row r="1076" spans="1:37">
      <c r="A1076" s="416">
        <v>9.35</v>
      </c>
      <c r="B1076" s="91">
        <v>-24</v>
      </c>
      <c r="C1076" s="91">
        <v>-33</v>
      </c>
      <c r="D1076" s="91">
        <v>26</v>
      </c>
      <c r="E1076" s="91">
        <v>58</v>
      </c>
      <c r="F1076" s="6">
        <v>-41.06</v>
      </c>
      <c r="G1076" s="79">
        <v>3229</v>
      </c>
      <c r="H1076" s="8" t="s">
        <v>310</v>
      </c>
      <c r="I1076" s="22" t="s">
        <v>4890</v>
      </c>
      <c r="J1076" s="73">
        <v>53.43</v>
      </c>
      <c r="K1076" s="73">
        <v>0.52</v>
      </c>
      <c r="N1076" s="318">
        <f t="shared" si="207"/>
        <v>53.95</v>
      </c>
      <c r="O1076" s="81">
        <f>IFERROR(VLOOKUP($G1076,'321買'!A:E,3,0),"'沒有資料'")</f>
        <v>0</v>
      </c>
      <c r="P1076" s="380">
        <f>IFERROR(VLOOKUP($G1076,'321買'!$A:$G,7,0),"'沒有資料'")</f>
        <v>911</v>
      </c>
      <c r="R1076" s="297">
        <f>IFERROR(RANK(VLOOKUP($G1076,連買!$A:$D,4,0),連買!$D:$D,0),"'沒有資料'")</f>
        <v>1390</v>
      </c>
      <c r="S1076" s="34">
        <v>0</v>
      </c>
      <c r="T1076" s="353">
        <f t="shared" si="202"/>
        <v>0</v>
      </c>
      <c r="U1076" s="95">
        <v>-2.27</v>
      </c>
      <c r="V1076" s="13">
        <f>RTD("money.excel",,"3229","Price")</f>
        <v>21</v>
      </c>
      <c r="W1076" s="66"/>
      <c r="X1076" s="15">
        <f t="shared" si="203"/>
        <v>21</v>
      </c>
      <c r="Y1076" s="3" t="e">
        <f t="shared" si="204"/>
        <v>#DIV/0!</v>
      </c>
      <c r="AA1076" s="161">
        <v>0</v>
      </c>
      <c r="AB1076" s="409">
        <v>0</v>
      </c>
      <c r="AC1076" s="259">
        <f t="shared" si="208"/>
        <v>0</v>
      </c>
      <c r="AD1076" s="22" t="s">
        <v>4890</v>
      </c>
      <c r="AG1076" s="33">
        <f t="shared" si="205"/>
        <v>0</v>
      </c>
      <c r="AH1076" s="43" t="s">
        <v>1049</v>
      </c>
      <c r="AI1076" s="63">
        <f t="shared" si="206"/>
        <v>1.0695187165775401E-4</v>
      </c>
      <c r="AJ1076" s="307">
        <f>RTD("money.excel",,$G1076,"PredictVolume")</f>
        <v>10</v>
      </c>
      <c r="AK1076" s="339"/>
    </row>
    <row r="1077" spans="1:37">
      <c r="A1077" s="416">
        <v>9.2899999999999991</v>
      </c>
      <c r="B1077" s="91">
        <v>23</v>
      </c>
      <c r="C1077" s="91">
        <v>37</v>
      </c>
      <c r="D1077" s="91">
        <v>23</v>
      </c>
      <c r="E1077" s="91">
        <v>36</v>
      </c>
      <c r="F1077" s="6">
        <v>6.83</v>
      </c>
      <c r="G1077" s="79">
        <v>3236</v>
      </c>
      <c r="H1077" s="8" t="s">
        <v>310</v>
      </c>
      <c r="I1077" s="16" t="s">
        <v>4891</v>
      </c>
      <c r="J1077" s="73">
        <v>34.159999999999997</v>
      </c>
      <c r="K1077" s="73">
        <v>11.12</v>
      </c>
      <c r="L1077" s="73">
        <v>17.440000000000001</v>
      </c>
      <c r="N1077" s="318">
        <f t="shared" si="207"/>
        <v>62.72</v>
      </c>
      <c r="O1077" s="81">
        <f>IFERROR(VLOOKUP($G1077,'321買'!A:E,3,0),"'沒有資料'")</f>
        <v>2</v>
      </c>
      <c r="P1077" s="380">
        <f>IFERROR(VLOOKUP($G1077,'321買'!$A:$G,7,0),"'沒有資料'")</f>
        <v>706</v>
      </c>
      <c r="R1077" s="297">
        <f>IFERROR(RANK(VLOOKUP($G1077,連買!$A:$D,4,0),連買!$D:$D,0),"'沒有資料'")</f>
        <v>756</v>
      </c>
      <c r="S1077" s="34">
        <v>0.65</v>
      </c>
      <c r="T1077" s="353">
        <f t="shared" si="202"/>
        <v>2.7139874739039668E-2</v>
      </c>
      <c r="U1077" s="95">
        <v>0.8</v>
      </c>
      <c r="V1077" s="36">
        <f>RTD("money.excel",,"3236","Price")</f>
        <v>23.95</v>
      </c>
      <c r="W1077" s="66"/>
      <c r="X1077" s="15">
        <f t="shared" si="203"/>
        <v>23.95</v>
      </c>
      <c r="Y1077" s="3" t="e">
        <f t="shared" si="204"/>
        <v>#DIV/0!</v>
      </c>
      <c r="Z1077" s="413" t="s">
        <v>1801</v>
      </c>
      <c r="AA1077" s="161">
        <v>0</v>
      </c>
      <c r="AB1077" s="409">
        <v>0</v>
      </c>
      <c r="AC1077" s="259">
        <f t="shared" si="208"/>
        <v>0</v>
      </c>
      <c r="AD1077" s="16" t="s">
        <v>4891</v>
      </c>
      <c r="AG1077" s="33">
        <f t="shared" si="205"/>
        <v>0</v>
      </c>
      <c r="AH1077" s="43" t="s">
        <v>2559</v>
      </c>
      <c r="AI1077" s="63">
        <f t="shared" si="206"/>
        <v>1.1948331539289561E-3</v>
      </c>
      <c r="AJ1077" s="307">
        <f>RTD("money.excel",,$G1077,"PredictVolume")</f>
        <v>111</v>
      </c>
      <c r="AK1077" s="339"/>
    </row>
    <row r="1078" spans="1:37">
      <c r="A1078" s="416">
        <v>6.97</v>
      </c>
      <c r="B1078" s="80">
        <v>-308</v>
      </c>
      <c r="C1078" s="80">
        <v>-628</v>
      </c>
      <c r="D1078" s="80">
        <v>-15</v>
      </c>
      <c r="E1078" s="91">
        <v>17</v>
      </c>
      <c r="F1078" s="6">
        <v>-30.91</v>
      </c>
      <c r="G1078" s="79">
        <v>3276</v>
      </c>
      <c r="H1078" s="8" t="s">
        <v>310</v>
      </c>
      <c r="I1078" s="16" t="s">
        <v>4892</v>
      </c>
      <c r="J1078" s="323">
        <v>70.44</v>
      </c>
      <c r="K1078" s="323">
        <v>0</v>
      </c>
      <c r="L1078" s="323"/>
      <c r="N1078" s="318">
        <f t="shared" si="207"/>
        <v>70.44</v>
      </c>
      <c r="O1078" s="81">
        <f>IFERROR(VLOOKUP($G1078,'321買'!A:E,3,0),"'沒有資料'")</f>
        <v>7</v>
      </c>
      <c r="P1078" s="380">
        <f>IFERROR(VLOOKUP($G1078,'321買'!$A:$G,7,0),"'沒有資料'")</f>
        <v>499</v>
      </c>
      <c r="R1078" s="297">
        <f>IFERROR(RANK(VLOOKUP($G1078,連買!$A:$D,4,0),連買!$D:$D,0),"'沒有資料'")</f>
        <v>1316</v>
      </c>
      <c r="S1078" s="34">
        <v>0</v>
      </c>
      <c r="T1078" s="353">
        <f t="shared" si="202"/>
        <v>0</v>
      </c>
      <c r="U1078" s="57">
        <v>0.18</v>
      </c>
      <c r="V1078" s="36">
        <f>RTD("money.excel",,"3276","Price")</f>
        <v>17.649999999999999</v>
      </c>
      <c r="W1078" s="66"/>
      <c r="X1078" s="15">
        <f t="shared" si="203"/>
        <v>17.649999999999999</v>
      </c>
      <c r="Y1078" s="3" t="e">
        <f t="shared" si="204"/>
        <v>#DIV/0!</v>
      </c>
      <c r="AA1078" s="161">
        <v>0</v>
      </c>
      <c r="AB1078" s="409">
        <v>0</v>
      </c>
      <c r="AC1078" s="259">
        <f t="shared" si="208"/>
        <v>0</v>
      </c>
      <c r="AD1078" s="16" t="s">
        <v>4892</v>
      </c>
      <c r="AG1078" s="33">
        <f t="shared" si="205"/>
        <v>0</v>
      </c>
      <c r="AH1078" s="43" t="s">
        <v>4893</v>
      </c>
      <c r="AI1078" s="63">
        <f t="shared" si="206"/>
        <v>5.9253945480631275E-3</v>
      </c>
      <c r="AJ1078" s="307">
        <f>RTD("money.excel",,$G1078,"PredictVolume")</f>
        <v>413</v>
      </c>
      <c r="AK1078" s="339"/>
    </row>
    <row r="1079" spans="1:37">
      <c r="A1079" s="416">
        <v>2.27</v>
      </c>
      <c r="B1079" s="91">
        <v>-356</v>
      </c>
      <c r="C1079" s="91">
        <v>-506</v>
      </c>
      <c r="D1079" s="91">
        <v>-10</v>
      </c>
      <c r="E1079" s="91">
        <v>-10</v>
      </c>
      <c r="F1079" s="6">
        <v>-18.27</v>
      </c>
      <c r="G1079" s="79">
        <v>3288</v>
      </c>
      <c r="H1079" s="8" t="s">
        <v>310</v>
      </c>
      <c r="I1079" s="16" t="s">
        <v>4894</v>
      </c>
      <c r="J1079" s="73">
        <v>64.17</v>
      </c>
      <c r="K1079" s="73">
        <v>1.56</v>
      </c>
      <c r="N1079" s="318">
        <f t="shared" ref="N1079:N1101" si="209">J1079+K1079+L1079+M1079</f>
        <v>65.73</v>
      </c>
      <c r="O1079" s="81">
        <f>IFERROR(VLOOKUP($G1079,'321買'!A:E,3,0),"'沒有資料'")</f>
        <v>0</v>
      </c>
      <c r="P1079" s="380">
        <f>IFERROR(VLOOKUP($G1079,'321買'!$A:$G,7,0),"'沒有資料'")</f>
        <v>911</v>
      </c>
      <c r="R1079" s="297">
        <f>IFERROR(RANK(VLOOKUP($G1079,連買!$A:$D,4,0),連買!$D:$D,0),"'沒有資料'")</f>
        <v>1215</v>
      </c>
      <c r="S1079" s="34">
        <v>0</v>
      </c>
      <c r="T1079" s="353">
        <f t="shared" si="202"/>
        <v>0</v>
      </c>
      <c r="U1079" s="95">
        <v>-0.35</v>
      </c>
      <c r="V1079" s="13">
        <f>RTD("money.excel",,"3288","Price")</f>
        <v>12.95</v>
      </c>
      <c r="W1079" s="66"/>
      <c r="X1079" s="15">
        <f t="shared" ref="X1079:X1142" si="210">V1079-W1079</f>
        <v>12.95</v>
      </c>
      <c r="Y1079" s="3" t="e">
        <f t="shared" ref="Y1079:Y1142" si="211">X1079/W1079</f>
        <v>#DIV/0!</v>
      </c>
      <c r="AA1079" s="161">
        <v>0</v>
      </c>
      <c r="AB1079" s="409">
        <v>0</v>
      </c>
      <c r="AC1079" s="259">
        <f t="shared" si="208"/>
        <v>0</v>
      </c>
      <c r="AD1079" s="16" t="s">
        <v>4894</v>
      </c>
      <c r="AG1079" s="33">
        <f t="shared" ref="AG1079:AG1142" si="212">AF1079-AE1079</f>
        <v>0</v>
      </c>
      <c r="AH1079" s="43" t="s">
        <v>4895</v>
      </c>
      <c r="AI1079" s="63">
        <f t="shared" si="206"/>
        <v>1.2334801762114538E-3</v>
      </c>
      <c r="AJ1079" s="307">
        <f>RTD("money.excel",,$G1079,"PredictVolume")</f>
        <v>28</v>
      </c>
      <c r="AK1079" s="339"/>
    </row>
    <row r="1080" spans="1:37">
      <c r="A1080" s="415">
        <v>9.9499999999999993</v>
      </c>
      <c r="B1080" s="91">
        <v>-13</v>
      </c>
      <c r="C1080" s="91">
        <v>-53</v>
      </c>
      <c r="D1080" s="91">
        <v>8</v>
      </c>
      <c r="E1080" s="91">
        <v>33</v>
      </c>
      <c r="F1080" s="6">
        <v>4.03</v>
      </c>
      <c r="G1080" s="79">
        <v>3290</v>
      </c>
      <c r="H1080" s="8" t="s">
        <v>310</v>
      </c>
      <c r="I1080" s="16" t="s">
        <v>4896</v>
      </c>
      <c r="J1080" s="73">
        <v>86.57</v>
      </c>
      <c r="K1080" s="73">
        <v>0.14000000000000001</v>
      </c>
      <c r="L1080" s="73">
        <v>0.36</v>
      </c>
      <c r="N1080" s="318">
        <f t="shared" si="209"/>
        <v>87.07</v>
      </c>
      <c r="O1080" s="81">
        <f>IFERROR(VLOOKUP($G1080,'321買'!A:E,3,0),"'沒有資料'")</f>
        <v>17</v>
      </c>
      <c r="P1080" s="380">
        <f>IFERROR(VLOOKUP($G1080,'321買'!$A:$G,7,0),"'沒有資料'")</f>
        <v>273</v>
      </c>
      <c r="R1080" s="297">
        <f>IFERROR(RANK(VLOOKUP($G1080,連買!$A:$D,4,0),連買!$D:$D,0),"'沒有資料'")</f>
        <v>1224</v>
      </c>
      <c r="S1080" s="34">
        <v>0.2</v>
      </c>
      <c r="T1080" s="353">
        <f t="shared" si="202"/>
        <v>9.3023255813953487E-3</v>
      </c>
      <c r="U1080" s="95">
        <v>0.61</v>
      </c>
      <c r="V1080" s="13">
        <f>RTD("money.excel",,"3290","Price")</f>
        <v>21.5</v>
      </c>
      <c r="W1080" s="66"/>
      <c r="X1080" s="15">
        <f t="shared" si="210"/>
        <v>21.5</v>
      </c>
      <c r="Y1080" s="3" t="e">
        <f t="shared" si="211"/>
        <v>#DIV/0!</v>
      </c>
      <c r="AA1080" s="161">
        <v>0</v>
      </c>
      <c r="AB1080" s="409">
        <v>0</v>
      </c>
      <c r="AC1080" s="259">
        <f t="shared" si="208"/>
        <v>0</v>
      </c>
      <c r="AD1080" s="16" t="s">
        <v>4896</v>
      </c>
      <c r="AG1080" s="33">
        <f t="shared" si="212"/>
        <v>0</v>
      </c>
      <c r="AH1080" s="43" t="s">
        <v>2095</v>
      </c>
      <c r="AI1080" s="63">
        <f t="shared" si="206"/>
        <v>1.9195979899497488E-3</v>
      </c>
      <c r="AJ1080" s="307">
        <f>RTD("money.excel",,$G1080,"PredictVolume")</f>
        <v>191</v>
      </c>
      <c r="AK1080" s="339"/>
    </row>
    <row r="1081" spans="1:37">
      <c r="A1081" s="416">
        <v>13.2</v>
      </c>
      <c r="B1081" s="80">
        <v>-225</v>
      </c>
      <c r="C1081" s="79">
        <v>116</v>
      </c>
      <c r="D1081" s="80">
        <v>-19</v>
      </c>
      <c r="E1081" s="79">
        <v>232</v>
      </c>
      <c r="F1081" s="6">
        <v>2.62</v>
      </c>
      <c r="G1081" s="79">
        <v>3294</v>
      </c>
      <c r="H1081" s="8" t="s">
        <v>310</v>
      </c>
      <c r="I1081" s="16" t="s">
        <v>4897</v>
      </c>
      <c r="J1081" s="323">
        <v>65.03</v>
      </c>
      <c r="K1081" s="323">
        <v>7.55</v>
      </c>
      <c r="L1081" s="323">
        <v>24.68</v>
      </c>
      <c r="N1081" s="318">
        <f t="shared" si="209"/>
        <v>97.259999999999991</v>
      </c>
      <c r="O1081" s="81">
        <f>IFERROR(VLOOKUP($G1081,'321買'!A:E,3,0),"'沒有資料'")</f>
        <v>5</v>
      </c>
      <c r="P1081" s="380">
        <f>IFERROR(VLOOKUP($G1081,'321買'!$A:$G,7,0),"'沒有資料'")</f>
        <v>558</v>
      </c>
      <c r="R1081" s="297">
        <f>IFERROR(RANK(VLOOKUP($G1081,連買!$A:$D,4,0),連買!$D:$D,0),"'沒有資料'")</f>
        <v>1591</v>
      </c>
      <c r="S1081" s="34">
        <v>0.5</v>
      </c>
      <c r="T1081" s="353">
        <f t="shared" ref="T1081:T1144" si="213">S1081/V1081</f>
        <v>2.0920502092050212E-2</v>
      </c>
      <c r="U1081" s="57">
        <v>0.65</v>
      </c>
      <c r="V1081" s="36">
        <f>RTD("money.excel",,"3294","Price")</f>
        <v>23.9</v>
      </c>
      <c r="W1081" s="66"/>
      <c r="X1081" s="15">
        <f t="shared" si="210"/>
        <v>23.9</v>
      </c>
      <c r="Y1081" s="3" t="e">
        <f t="shared" si="211"/>
        <v>#DIV/0!</v>
      </c>
      <c r="Z1081" s="413" t="s">
        <v>1801</v>
      </c>
      <c r="AA1081" s="161">
        <v>0</v>
      </c>
      <c r="AB1081" s="409">
        <v>0</v>
      </c>
      <c r="AC1081" s="259">
        <f t="shared" si="208"/>
        <v>0</v>
      </c>
      <c r="AD1081" s="16" t="s">
        <v>4897</v>
      </c>
      <c r="AG1081" s="33">
        <f t="shared" si="212"/>
        <v>0</v>
      </c>
      <c r="AH1081" s="43" t="s">
        <v>4898</v>
      </c>
      <c r="AI1081" s="63">
        <f t="shared" ref="AI1081:AI1144" si="214">AJ1081/(A1081*10000)</f>
        <v>1.3454545454545455E-2</v>
      </c>
      <c r="AJ1081" s="307">
        <f>RTD("money.excel",,$G1081,"PredictVolume")</f>
        <v>1776</v>
      </c>
      <c r="AK1081" s="339"/>
    </row>
    <row r="1082" spans="1:37">
      <c r="A1082" s="416">
        <v>9.67</v>
      </c>
      <c r="B1082" s="91">
        <v>-73</v>
      </c>
      <c r="C1082" s="91">
        <v>-68</v>
      </c>
      <c r="D1082" s="91">
        <v>-19</v>
      </c>
      <c r="E1082" s="91">
        <v>76</v>
      </c>
      <c r="F1082" s="6">
        <v>1.0900000000000001</v>
      </c>
      <c r="G1082" s="79">
        <v>3296</v>
      </c>
      <c r="H1082" s="8" t="s">
        <v>310</v>
      </c>
      <c r="I1082" s="22" t="s">
        <v>4899</v>
      </c>
      <c r="J1082" s="73">
        <v>68.95</v>
      </c>
      <c r="K1082" s="73">
        <v>2.13</v>
      </c>
      <c r="L1082" s="73">
        <v>29.91</v>
      </c>
      <c r="N1082" s="318">
        <f t="shared" si="209"/>
        <v>100.99</v>
      </c>
      <c r="O1082" s="81">
        <f>IFERROR(VLOOKUP($G1082,'321買'!A:E,3,0),"'沒有資料'")</f>
        <v>1</v>
      </c>
      <c r="P1082" s="380">
        <f>IFERROR(VLOOKUP($G1082,'321買'!$A:$G,7,0),"'沒有資料'")</f>
        <v>783</v>
      </c>
      <c r="R1082" s="297">
        <f>IFERROR(RANK(VLOOKUP($G1082,連買!$A:$D,4,0),連買!$D:$D,0),"'沒有資料'")</f>
        <v>862</v>
      </c>
      <c r="S1082" s="34">
        <v>0.23</v>
      </c>
      <c r="T1082" s="353">
        <f t="shared" si="213"/>
        <v>1.5032679738562092E-2</v>
      </c>
      <c r="U1082" s="95">
        <v>0.23</v>
      </c>
      <c r="V1082" s="13">
        <f>RTD("money.excel",,"3296","Price")</f>
        <v>15.3</v>
      </c>
      <c r="W1082" s="66"/>
      <c r="X1082" s="15">
        <f t="shared" si="210"/>
        <v>15.3</v>
      </c>
      <c r="Y1082" s="3" t="e">
        <f t="shared" si="211"/>
        <v>#DIV/0!</v>
      </c>
      <c r="Z1082" s="413" t="s">
        <v>1801</v>
      </c>
      <c r="AA1082" s="161">
        <v>0</v>
      </c>
      <c r="AB1082" s="409">
        <v>0</v>
      </c>
      <c r="AC1082" s="259">
        <f t="shared" si="208"/>
        <v>0</v>
      </c>
      <c r="AD1082" s="22" t="s">
        <v>4899</v>
      </c>
      <c r="AG1082" s="33">
        <f t="shared" si="212"/>
        <v>0</v>
      </c>
      <c r="AH1082" s="43" t="s">
        <v>4900</v>
      </c>
      <c r="AI1082" s="63">
        <f t="shared" si="214"/>
        <v>1.6028955532574973E-3</v>
      </c>
      <c r="AJ1082" s="307">
        <f>RTD("money.excel",,$G1082,"PredictVolume")</f>
        <v>155</v>
      </c>
      <c r="AK1082" s="339"/>
    </row>
    <row r="1083" spans="1:37">
      <c r="A1083" s="416">
        <v>9.86</v>
      </c>
      <c r="B1083" s="79">
        <v>48</v>
      </c>
      <c r="C1083" s="79">
        <v>32</v>
      </c>
      <c r="D1083" s="80">
        <v>-34</v>
      </c>
      <c r="E1083" s="80">
        <v>-54</v>
      </c>
      <c r="F1083" s="6">
        <v>-18.809999999999999</v>
      </c>
      <c r="G1083" s="79">
        <v>3308</v>
      </c>
      <c r="H1083" s="8" t="s">
        <v>310</v>
      </c>
      <c r="I1083" s="22" t="s">
        <v>4901</v>
      </c>
      <c r="J1083" s="73">
        <v>78.260000000000005</v>
      </c>
      <c r="K1083" s="323">
        <v>0.14000000000000001</v>
      </c>
      <c r="N1083" s="318">
        <f t="shared" si="209"/>
        <v>78.400000000000006</v>
      </c>
      <c r="O1083" s="81">
        <f>IFERROR(VLOOKUP($G1083,'321買'!A:E,3,0),"'沒有資料'")</f>
        <v>0</v>
      </c>
      <c r="P1083" s="380">
        <f>IFERROR(VLOOKUP($G1083,'321買'!$A:$G,7,0),"'沒有資料'")</f>
        <v>911</v>
      </c>
      <c r="R1083" s="297">
        <f>IFERROR(RANK(VLOOKUP($G1083,連買!$A:$D,4,0),連買!$D:$D,0),"'沒有資料'")</f>
        <v>1220</v>
      </c>
      <c r="S1083" s="34">
        <v>0</v>
      </c>
      <c r="T1083" s="353">
        <f t="shared" si="213"/>
        <v>0</v>
      </c>
      <c r="U1083" s="57">
        <v>-0.89</v>
      </c>
      <c r="V1083" s="36">
        <f>RTD("money.excel",,"3308","Price")</f>
        <v>14.3</v>
      </c>
      <c r="W1083" s="66"/>
      <c r="X1083" s="15">
        <f t="shared" si="210"/>
        <v>14.3</v>
      </c>
      <c r="Y1083" s="3" t="e">
        <f t="shared" si="211"/>
        <v>#DIV/0!</v>
      </c>
      <c r="Z1083" s="413" t="s">
        <v>1801</v>
      </c>
      <c r="AA1083" s="161">
        <v>0</v>
      </c>
      <c r="AB1083" s="409">
        <v>0</v>
      </c>
      <c r="AC1083" s="259">
        <f t="shared" si="208"/>
        <v>0</v>
      </c>
      <c r="AD1083" s="22" t="s">
        <v>4902</v>
      </c>
      <c r="AG1083" s="33">
        <f t="shared" si="212"/>
        <v>0</v>
      </c>
      <c r="AH1083" s="43" t="s">
        <v>2556</v>
      </c>
      <c r="AI1083" s="63">
        <f t="shared" si="214"/>
        <v>6.9979716024340768E-4</v>
      </c>
      <c r="AJ1083" s="307">
        <f>RTD("money.excel",,$G1083,"PredictVolume")</f>
        <v>69</v>
      </c>
      <c r="AK1083" s="339"/>
    </row>
    <row r="1084" spans="1:37">
      <c r="A1084" s="415">
        <v>5.0199999999999996</v>
      </c>
      <c r="B1084" s="91">
        <v>-111</v>
      </c>
      <c r="C1084" s="91">
        <v>-105</v>
      </c>
      <c r="D1084" s="91">
        <v>-12</v>
      </c>
      <c r="E1084" s="91">
        <v>-3</v>
      </c>
      <c r="F1084" s="57">
        <v>-3.34</v>
      </c>
      <c r="G1084" s="79">
        <v>3310</v>
      </c>
      <c r="H1084" s="8" t="s">
        <v>310</v>
      </c>
      <c r="I1084" s="16" t="s">
        <v>405</v>
      </c>
      <c r="J1084" s="73">
        <v>77.28</v>
      </c>
      <c r="K1084" s="73">
        <v>0.04</v>
      </c>
      <c r="L1084" s="73">
        <v>22.05</v>
      </c>
      <c r="N1084" s="318">
        <f t="shared" si="209"/>
        <v>99.37</v>
      </c>
      <c r="O1084" s="81">
        <f>IFERROR(VLOOKUP($G1084,'321買'!A:E,3,0),"'沒有資料'")</f>
        <v>2</v>
      </c>
      <c r="P1084" s="380">
        <f>IFERROR(VLOOKUP($G1084,'321買'!$A:$G,7,0),"'沒有資料'")</f>
        <v>706</v>
      </c>
      <c r="R1084" s="297">
        <f>IFERROR(RANK(VLOOKUP($G1084,連買!$A:$D,4,0),連買!$D:$D,0),"'沒有資料'")</f>
        <v>419</v>
      </c>
      <c r="S1084" s="34">
        <v>1.5</v>
      </c>
      <c r="T1084" s="353">
        <f t="shared" si="213"/>
        <v>3.722084367245658E-2</v>
      </c>
      <c r="U1084" s="57">
        <v>0.78</v>
      </c>
      <c r="V1084" s="36">
        <f>RTD("money.excel",,"3310","Price")</f>
        <v>40.299999999999997</v>
      </c>
      <c r="W1084" s="66"/>
      <c r="X1084" s="15">
        <f t="shared" si="210"/>
        <v>40.299999999999997</v>
      </c>
      <c r="Y1084" s="3" t="e">
        <f t="shared" si="211"/>
        <v>#DIV/0!</v>
      </c>
      <c r="AA1084" s="161">
        <v>0</v>
      </c>
      <c r="AB1084" s="409">
        <v>0</v>
      </c>
      <c r="AC1084" s="259">
        <f t="shared" si="208"/>
        <v>0</v>
      </c>
      <c r="AD1084" s="16" t="s">
        <v>405</v>
      </c>
      <c r="AG1084" s="33">
        <f t="shared" si="212"/>
        <v>0</v>
      </c>
      <c r="AH1084" s="43" t="s">
        <v>2354</v>
      </c>
      <c r="AI1084" s="63">
        <f t="shared" si="214"/>
        <v>9.9601593625498028E-4</v>
      </c>
      <c r="AJ1084" s="307">
        <f>RTD("money.excel",,$G1084,"PredictVolume")</f>
        <v>50</v>
      </c>
      <c r="AK1084" s="339"/>
    </row>
    <row r="1085" spans="1:37">
      <c r="A1085" s="416">
        <v>9.8800000000000008</v>
      </c>
      <c r="B1085" s="91">
        <v>24</v>
      </c>
      <c r="C1085" s="91">
        <v>8</v>
      </c>
      <c r="D1085" s="91">
        <v>-97</v>
      </c>
      <c r="E1085" s="91">
        <v>-99</v>
      </c>
      <c r="F1085" s="6">
        <v>-24.16</v>
      </c>
      <c r="G1085" s="79">
        <v>3313</v>
      </c>
      <c r="H1085" s="8" t="s">
        <v>310</v>
      </c>
      <c r="I1085" s="16" t="s">
        <v>406</v>
      </c>
      <c r="J1085" s="73">
        <v>57.17</v>
      </c>
      <c r="K1085" s="73">
        <v>8.91</v>
      </c>
      <c r="L1085" s="73">
        <v>0</v>
      </c>
      <c r="N1085" s="318">
        <f t="shared" si="209"/>
        <v>66.08</v>
      </c>
      <c r="O1085" s="81">
        <f>IFERROR(VLOOKUP($G1085,'321買'!A:E,3,0),"'沒有資料'")</f>
        <v>0</v>
      </c>
      <c r="P1085" s="380">
        <f>IFERROR(VLOOKUP($G1085,'321買'!$A:$G,7,0),"'沒有資料'")</f>
        <v>911</v>
      </c>
      <c r="R1085" s="297">
        <f>IFERROR(RANK(VLOOKUP($G1085,連買!$A:$D,4,0),連買!$D:$D,0),"'沒有資料'")</f>
        <v>1287</v>
      </c>
      <c r="S1085" s="34">
        <v>0</v>
      </c>
      <c r="T1085" s="353">
        <f t="shared" si="213"/>
        <v>0</v>
      </c>
      <c r="U1085" s="95">
        <v>-0.31</v>
      </c>
      <c r="V1085" s="13">
        <f>RTD("money.excel",,"3313","Price")</f>
        <v>11.35</v>
      </c>
      <c r="W1085" s="66"/>
      <c r="X1085" s="15">
        <f t="shared" si="210"/>
        <v>11.35</v>
      </c>
      <c r="Y1085" s="3" t="e">
        <f t="shared" si="211"/>
        <v>#DIV/0!</v>
      </c>
      <c r="AA1085" s="161">
        <v>0</v>
      </c>
      <c r="AB1085" s="409">
        <v>0</v>
      </c>
      <c r="AC1085" s="259">
        <f t="shared" si="208"/>
        <v>0</v>
      </c>
      <c r="AD1085" s="16" t="s">
        <v>406</v>
      </c>
      <c r="AG1085" s="33">
        <f t="shared" si="212"/>
        <v>0</v>
      </c>
      <c r="AH1085" s="43" t="s">
        <v>2560</v>
      </c>
      <c r="AI1085" s="63">
        <f t="shared" si="214"/>
        <v>2.1255060728744935E-4</v>
      </c>
      <c r="AJ1085" s="307">
        <f>RTD("money.excel",,$G1085,"PredictVolume")</f>
        <v>21</v>
      </c>
      <c r="AK1085" s="339"/>
    </row>
    <row r="1086" spans="1:37">
      <c r="A1086" s="416">
        <v>15.6</v>
      </c>
      <c r="B1086" s="79">
        <v>71</v>
      </c>
      <c r="C1086" s="79">
        <v>73</v>
      </c>
      <c r="D1086" s="79">
        <v>7</v>
      </c>
      <c r="E1086" s="79">
        <v>13</v>
      </c>
      <c r="F1086" s="6">
        <v>-5.4</v>
      </c>
      <c r="G1086" s="79">
        <v>3321</v>
      </c>
      <c r="H1086" s="8" t="s">
        <v>310</v>
      </c>
      <c r="I1086" s="22" t="s">
        <v>391</v>
      </c>
      <c r="J1086" s="323">
        <v>40.549999999999997</v>
      </c>
      <c r="K1086" s="323">
        <v>0.43</v>
      </c>
      <c r="L1086" s="323"/>
      <c r="N1086" s="318">
        <f t="shared" si="209"/>
        <v>40.98</v>
      </c>
      <c r="O1086" s="81">
        <f>IFERROR(VLOOKUP($G1086,'321買'!A:E,3,0),"'沒有資料'")</f>
        <v>0</v>
      </c>
      <c r="P1086" s="380">
        <f>IFERROR(VLOOKUP($G1086,'321買'!$A:$G,7,0),"'沒有資料'")</f>
        <v>911</v>
      </c>
      <c r="R1086" s="297">
        <f>IFERROR(RANK(VLOOKUP($G1086,連買!$A:$D,4,0),連買!$D:$D,0),"'沒有資料'")</f>
        <v>1154</v>
      </c>
      <c r="S1086" s="34">
        <v>0</v>
      </c>
      <c r="T1086" s="353">
        <f t="shared" si="213"/>
        <v>0</v>
      </c>
      <c r="U1086" s="95">
        <v>-1.48</v>
      </c>
      <c r="V1086" s="36">
        <f>RTD("money.excel",,"3321","Price")</f>
        <v>12.15</v>
      </c>
      <c r="W1086" s="66"/>
      <c r="X1086" s="15">
        <f t="shared" si="210"/>
        <v>12.15</v>
      </c>
      <c r="Y1086" s="3" t="e">
        <f t="shared" si="211"/>
        <v>#DIV/0!</v>
      </c>
      <c r="Z1086" s="413" t="s">
        <v>1801</v>
      </c>
      <c r="AA1086" s="161">
        <v>0</v>
      </c>
      <c r="AB1086" s="409">
        <v>0</v>
      </c>
      <c r="AC1086" s="259">
        <f t="shared" si="208"/>
        <v>0</v>
      </c>
      <c r="AD1086" s="22" t="s">
        <v>391</v>
      </c>
      <c r="AG1086" s="33">
        <f t="shared" si="212"/>
        <v>0</v>
      </c>
      <c r="AH1086" s="43" t="s">
        <v>2353</v>
      </c>
      <c r="AI1086" s="63">
        <f t="shared" si="214"/>
        <v>7.5000000000000002E-4</v>
      </c>
      <c r="AJ1086" s="307">
        <f>RTD("money.excel",,$G1086,"PredictVolume")</f>
        <v>117</v>
      </c>
      <c r="AK1086" s="339"/>
    </row>
    <row r="1087" spans="1:37">
      <c r="A1087" s="416">
        <v>9.85</v>
      </c>
      <c r="B1087" s="91">
        <v>71</v>
      </c>
      <c r="C1087" s="91">
        <v>111</v>
      </c>
      <c r="D1087" s="91">
        <v>-1</v>
      </c>
      <c r="E1087" s="91">
        <v>18</v>
      </c>
      <c r="F1087" s="6">
        <v>0.59</v>
      </c>
      <c r="G1087" s="79">
        <v>3322</v>
      </c>
      <c r="H1087" s="8" t="s">
        <v>310</v>
      </c>
      <c r="I1087" s="16" t="s">
        <v>407</v>
      </c>
      <c r="J1087" s="73">
        <v>51.76</v>
      </c>
      <c r="K1087" s="73">
        <v>0.03</v>
      </c>
      <c r="L1087" s="73">
        <v>9.52</v>
      </c>
      <c r="N1087" s="318">
        <f t="shared" si="209"/>
        <v>61.31</v>
      </c>
      <c r="O1087" s="81">
        <f>IFERROR(VLOOKUP($G1087,'321買'!A:E,3,0),"'沒有資料'")</f>
        <v>16</v>
      </c>
      <c r="P1087" s="380">
        <f>IFERROR(VLOOKUP($G1087,'321買'!$A:$G,7,0),"'沒有資料'")</f>
        <v>321</v>
      </c>
      <c r="R1087" s="297">
        <f>IFERROR(RANK(VLOOKUP($G1087,連買!$A:$D,4,0),連買!$D:$D,0),"'沒有資料'")</f>
        <v>885</v>
      </c>
      <c r="S1087" s="34">
        <v>0</v>
      </c>
      <c r="T1087" s="353">
        <f t="shared" si="213"/>
        <v>0</v>
      </c>
      <c r="U1087" s="95">
        <v>-0.41</v>
      </c>
      <c r="V1087" s="13">
        <f>RTD("money.excel",,"3322","Price")</f>
        <v>21.9</v>
      </c>
      <c r="W1087" s="66"/>
      <c r="X1087" s="15">
        <f t="shared" si="210"/>
        <v>21.9</v>
      </c>
      <c r="Y1087" s="3" t="e">
        <f t="shared" si="211"/>
        <v>#DIV/0!</v>
      </c>
      <c r="AA1087" s="161">
        <v>0</v>
      </c>
      <c r="AB1087" s="409">
        <v>0</v>
      </c>
      <c r="AC1087" s="259">
        <f t="shared" si="208"/>
        <v>0</v>
      </c>
      <c r="AD1087" s="16" t="s">
        <v>407</v>
      </c>
      <c r="AG1087" s="33">
        <f t="shared" si="212"/>
        <v>0</v>
      </c>
      <c r="AH1087" s="43" t="s">
        <v>2482</v>
      </c>
      <c r="AI1087" s="63">
        <f t="shared" si="214"/>
        <v>1.1918781725888325E-2</v>
      </c>
      <c r="AJ1087" s="307">
        <f>RTD("money.excel",,$G1087,"PredictVolume")</f>
        <v>1174</v>
      </c>
      <c r="AK1087" s="339"/>
    </row>
    <row r="1088" spans="1:37">
      <c r="A1088" s="415">
        <v>4.8099999999999996</v>
      </c>
      <c r="B1088" s="91">
        <v>19</v>
      </c>
      <c r="C1088" s="91">
        <v>-4</v>
      </c>
      <c r="D1088" s="91">
        <v>8</v>
      </c>
      <c r="E1088" s="91">
        <v>20</v>
      </c>
      <c r="F1088" s="57">
        <v>10.56</v>
      </c>
      <c r="G1088" s="79">
        <v>3332</v>
      </c>
      <c r="H1088" s="8" t="s">
        <v>310</v>
      </c>
      <c r="I1088" s="16" t="s">
        <v>4903</v>
      </c>
      <c r="J1088" s="73">
        <v>86.57</v>
      </c>
      <c r="K1088" s="73">
        <v>0.14000000000000001</v>
      </c>
      <c r="L1088" s="73">
        <v>0.36</v>
      </c>
      <c r="N1088" s="318">
        <f t="shared" si="209"/>
        <v>87.07</v>
      </c>
      <c r="O1088" s="81" t="str">
        <f>IFERROR(VLOOKUP($G1088,'321買'!A:E,3,0),"'沒有資料'")</f>
        <v>'沒有資料'</v>
      </c>
      <c r="P1088" s="380" t="str">
        <f>IFERROR(VLOOKUP($G1088,'321買'!$A:$G,7,0),"'沒有資料'")</f>
        <v>'沒有資料'</v>
      </c>
      <c r="R1088" s="297">
        <f>IFERROR(RANK(VLOOKUP($G1088,連買!$A:$D,4,0),連買!$D:$D,0),"'沒有資料'")</f>
        <v>1326</v>
      </c>
      <c r="S1088" s="34">
        <v>1</v>
      </c>
      <c r="T1088" s="353">
        <f t="shared" si="213"/>
        <v>2.4752475247524754E-2</v>
      </c>
      <c r="U1088" s="95">
        <v>2.54</v>
      </c>
      <c r="V1088" s="13">
        <f>RTD("money.excel",,"3332","Price")</f>
        <v>40.4</v>
      </c>
      <c r="W1088" s="66"/>
      <c r="X1088" s="15">
        <f t="shared" si="210"/>
        <v>40.4</v>
      </c>
      <c r="Y1088" s="3" t="e">
        <f t="shared" si="211"/>
        <v>#DIV/0!</v>
      </c>
      <c r="AA1088" s="161">
        <v>0</v>
      </c>
      <c r="AB1088" s="409">
        <v>0</v>
      </c>
      <c r="AC1088" s="259">
        <f t="shared" si="208"/>
        <v>0</v>
      </c>
      <c r="AD1088" s="16" t="s">
        <v>4903</v>
      </c>
      <c r="AG1088" s="33">
        <f t="shared" si="212"/>
        <v>0</v>
      </c>
      <c r="AH1088" s="43" t="s">
        <v>2556</v>
      </c>
      <c r="AI1088" s="63">
        <f t="shared" si="214"/>
        <v>1.101871101871102E-3</v>
      </c>
      <c r="AJ1088" s="307">
        <f>RTD("money.excel",,$G1088,"PredictVolume")</f>
        <v>53</v>
      </c>
      <c r="AK1088" s="339"/>
    </row>
    <row r="1089" spans="1:37">
      <c r="A1089" s="416">
        <v>8.7899999999999991</v>
      </c>
      <c r="B1089" s="80">
        <v>-38</v>
      </c>
      <c r="C1089" s="80">
        <v>-38</v>
      </c>
      <c r="D1089" s="79">
        <v>15</v>
      </c>
      <c r="E1089" s="79">
        <v>9</v>
      </c>
      <c r="F1089" s="6">
        <v>4.91</v>
      </c>
      <c r="G1089" s="79">
        <v>3338</v>
      </c>
      <c r="H1089" s="8" t="s">
        <v>310</v>
      </c>
      <c r="I1089" s="22" t="s">
        <v>1052</v>
      </c>
      <c r="J1089" s="323">
        <v>21.92</v>
      </c>
      <c r="K1089" s="73">
        <v>3.33</v>
      </c>
      <c r="L1089" s="323">
        <v>22.27</v>
      </c>
      <c r="M1089" s="323">
        <v>20.77</v>
      </c>
      <c r="N1089" s="318">
        <f t="shared" si="209"/>
        <v>68.289999999999992</v>
      </c>
      <c r="O1089" s="81">
        <f>IFERROR(VLOOKUP($G1089,'321買'!A:E,3,0),"'沒有資料'")</f>
        <v>13</v>
      </c>
      <c r="P1089" s="380">
        <f>IFERROR(VLOOKUP($G1089,'321買'!$A:$G,7,0),"'沒有資料'")</f>
        <v>368</v>
      </c>
      <c r="Q1089" s="245" t="s">
        <v>3816</v>
      </c>
      <c r="R1089" s="297">
        <f>IFERROR(RANK(VLOOKUP($G1089,連買!$A:$D,4,0),連買!$D:$D,0),"'沒有資料'")</f>
        <v>334</v>
      </c>
      <c r="S1089" s="34">
        <v>1.8</v>
      </c>
      <c r="T1089" s="353">
        <f t="shared" si="213"/>
        <v>3.6036036036036036E-2</v>
      </c>
      <c r="U1089" s="95">
        <v>1.76</v>
      </c>
      <c r="V1089" s="36">
        <f>RTD("money.excel",,"3338","Price")</f>
        <v>49.95</v>
      </c>
      <c r="W1089" s="66"/>
      <c r="X1089" s="15">
        <f t="shared" si="210"/>
        <v>49.95</v>
      </c>
      <c r="Y1089" s="3" t="e">
        <f t="shared" si="211"/>
        <v>#DIV/0!</v>
      </c>
      <c r="Z1089" s="413" t="s">
        <v>1801</v>
      </c>
      <c r="AA1089" s="161">
        <v>0</v>
      </c>
      <c r="AB1089" s="409">
        <v>0</v>
      </c>
      <c r="AC1089" s="259">
        <f t="shared" si="208"/>
        <v>0</v>
      </c>
      <c r="AD1089" s="22" t="s">
        <v>1052</v>
      </c>
      <c r="AG1089" s="33">
        <f t="shared" si="212"/>
        <v>0</v>
      </c>
      <c r="AH1089" s="43" t="s">
        <v>3114</v>
      </c>
      <c r="AI1089" s="63">
        <f t="shared" si="214"/>
        <v>2.8213879408418661E-3</v>
      </c>
      <c r="AJ1089" s="307">
        <f>RTD("money.excel",,$G1089,"PredictVolume")</f>
        <v>248</v>
      </c>
      <c r="AK1089" s="339">
        <v>21.93</v>
      </c>
    </row>
    <row r="1090" spans="1:37">
      <c r="A1090" s="416">
        <v>7.01</v>
      </c>
      <c r="B1090" s="91">
        <v>-40</v>
      </c>
      <c r="C1090" s="91">
        <v>-38</v>
      </c>
      <c r="D1090" s="91">
        <v>1</v>
      </c>
      <c r="E1090" s="91">
        <v>6</v>
      </c>
      <c r="F1090" s="6">
        <v>-13.21</v>
      </c>
      <c r="G1090" s="79">
        <v>3354</v>
      </c>
      <c r="H1090" s="8" t="s">
        <v>310</v>
      </c>
      <c r="I1090" s="16" t="s">
        <v>4904</v>
      </c>
      <c r="J1090" s="73">
        <v>71.81</v>
      </c>
      <c r="K1090" s="73">
        <v>0.02</v>
      </c>
      <c r="L1090" s="73">
        <v>9.83</v>
      </c>
      <c r="N1090" s="318">
        <f t="shared" si="209"/>
        <v>81.66</v>
      </c>
      <c r="O1090" s="81">
        <f>IFERROR(VLOOKUP($G1090,'321買'!A:E,3,0),"'沒有資料'")</f>
        <v>12</v>
      </c>
      <c r="P1090" s="380">
        <f>IFERROR(VLOOKUP($G1090,'321買'!$A:$G,7,0),"'沒有資料'")</f>
        <v>387</v>
      </c>
      <c r="R1090" s="297">
        <f>IFERROR(RANK(VLOOKUP($G1090,連買!$A:$D,4,0),連買!$D:$D,0),"'沒有資料'")</f>
        <v>1447</v>
      </c>
      <c r="S1090" s="34">
        <v>0.3</v>
      </c>
      <c r="T1090" s="353">
        <f t="shared" si="213"/>
        <v>1.7441860465116279E-2</v>
      </c>
      <c r="U1090" s="95">
        <v>-0.74</v>
      </c>
      <c r="V1090" s="13">
        <f>RTD("money.excel",,"3354","Price")</f>
        <v>17.2</v>
      </c>
      <c r="W1090" s="66"/>
      <c r="X1090" s="15">
        <f t="shared" si="210"/>
        <v>17.2</v>
      </c>
      <c r="Y1090" s="3" t="e">
        <f t="shared" si="211"/>
        <v>#DIV/0!</v>
      </c>
      <c r="AA1090" s="161">
        <v>0</v>
      </c>
      <c r="AB1090" s="409">
        <v>0</v>
      </c>
      <c r="AC1090" s="259">
        <f t="shared" si="208"/>
        <v>0</v>
      </c>
      <c r="AD1090" s="16" t="s">
        <v>4904</v>
      </c>
      <c r="AG1090" s="33">
        <f t="shared" si="212"/>
        <v>0</v>
      </c>
      <c r="AH1090" s="43" t="s">
        <v>2561</v>
      </c>
      <c r="AI1090" s="63">
        <f t="shared" si="214"/>
        <v>7.7460770328102706E-3</v>
      </c>
      <c r="AJ1090" s="307">
        <f>RTD("money.excel",,$G1090,"PredictVolume")</f>
        <v>543</v>
      </c>
      <c r="AK1090" s="339"/>
    </row>
    <row r="1091" spans="1:37">
      <c r="A1091" s="415">
        <v>10.3</v>
      </c>
      <c r="B1091" s="79">
        <v>54</v>
      </c>
      <c r="C1091" s="79">
        <v>48</v>
      </c>
      <c r="D1091" s="79">
        <v>0</v>
      </c>
      <c r="E1091" s="79">
        <v>35</v>
      </c>
      <c r="F1091" s="57">
        <v>20.7</v>
      </c>
      <c r="G1091" s="79">
        <v>3357</v>
      </c>
      <c r="H1091" s="8" t="s">
        <v>310</v>
      </c>
      <c r="I1091" s="16" t="s">
        <v>3456</v>
      </c>
      <c r="J1091" s="73">
        <v>45.58</v>
      </c>
      <c r="K1091" s="73">
        <v>11.02</v>
      </c>
      <c r="L1091" s="323"/>
      <c r="N1091" s="318">
        <f t="shared" si="209"/>
        <v>56.599999999999994</v>
      </c>
      <c r="O1091" s="81">
        <f>IFERROR(VLOOKUP($G1091,'321買'!A:E,3,0),"'沒有資料'")</f>
        <v>2</v>
      </c>
      <c r="P1091" s="380">
        <f>IFERROR(VLOOKUP($G1091,'321買'!$A:$G,7,0),"'沒有資料'")</f>
        <v>706</v>
      </c>
      <c r="R1091" s="297">
        <f>IFERROR(RANK(VLOOKUP($G1091,連買!$A:$D,4,0),連買!$D:$D,0),"'沒有資料'")</f>
        <v>278</v>
      </c>
      <c r="S1091" s="66">
        <v>4.0999999999999996</v>
      </c>
      <c r="T1091" s="353">
        <f t="shared" si="213"/>
        <v>3.5652173913043476E-2</v>
      </c>
      <c r="U1091" s="95">
        <v>10.07</v>
      </c>
      <c r="V1091" s="36">
        <f>RTD("money.excel",,"3357","Price")</f>
        <v>115</v>
      </c>
      <c r="W1091" s="66"/>
      <c r="X1091" s="15">
        <f t="shared" si="210"/>
        <v>115</v>
      </c>
      <c r="Y1091" s="3" t="e">
        <f t="shared" si="211"/>
        <v>#DIV/0!</v>
      </c>
      <c r="Z1091" s="413" t="s">
        <v>1997</v>
      </c>
      <c r="AA1091" s="161">
        <v>0</v>
      </c>
      <c r="AB1091" s="409">
        <v>0</v>
      </c>
      <c r="AC1091" s="259">
        <f t="shared" si="208"/>
        <v>0</v>
      </c>
      <c r="AD1091" s="16" t="s">
        <v>3456</v>
      </c>
      <c r="AG1091" s="33">
        <f t="shared" si="212"/>
        <v>0</v>
      </c>
      <c r="AH1091" s="43" t="s">
        <v>3457</v>
      </c>
      <c r="AI1091" s="63">
        <f t="shared" si="214"/>
        <v>4.9514563106796113E-4</v>
      </c>
      <c r="AJ1091" s="307">
        <f>RTD("money.excel",,$G1091,"PredictVolume")</f>
        <v>51</v>
      </c>
      <c r="AK1091" s="339"/>
    </row>
    <row r="1092" spans="1:37">
      <c r="A1092" s="415">
        <v>19.2</v>
      </c>
      <c r="B1092" s="80">
        <v>-25</v>
      </c>
      <c r="C1092" s="80">
        <v>-35</v>
      </c>
      <c r="D1092" s="79">
        <v>9</v>
      </c>
      <c r="E1092" s="80">
        <v>-21</v>
      </c>
      <c r="F1092" s="57">
        <v>13.23</v>
      </c>
      <c r="G1092" s="79">
        <v>3376</v>
      </c>
      <c r="H1092" s="8" t="s">
        <v>310</v>
      </c>
      <c r="I1092" s="22" t="s">
        <v>60</v>
      </c>
      <c r="J1092" s="323">
        <v>53.16</v>
      </c>
      <c r="K1092" s="73">
        <v>20.92</v>
      </c>
      <c r="L1092" s="323">
        <v>11.43</v>
      </c>
      <c r="N1092" s="318">
        <f t="shared" si="209"/>
        <v>85.509999999999991</v>
      </c>
      <c r="O1092" s="81">
        <f>IFERROR(VLOOKUP($G1092,'321買'!A:E,3,0),"'沒有資料'")</f>
        <v>0</v>
      </c>
      <c r="P1092" s="380">
        <f>IFERROR(VLOOKUP($G1092,'321買'!$A:$G,7,0),"'沒有資料'")</f>
        <v>911</v>
      </c>
      <c r="R1092" s="297">
        <f>IFERROR(RANK(VLOOKUP($G1092,連買!$A:$D,4,0),連買!$D:$D,0),"'沒有資料'")</f>
        <v>1725</v>
      </c>
      <c r="S1092" s="66">
        <v>6.98</v>
      </c>
      <c r="T1092" s="353">
        <f t="shared" si="213"/>
        <v>8.4197828709288297E-2</v>
      </c>
      <c r="U1092" s="57">
        <v>7.24</v>
      </c>
      <c r="V1092" s="36">
        <f>RTD("money.excel",,"3376","Price")</f>
        <v>82.9</v>
      </c>
      <c r="W1092" s="66"/>
      <c r="X1092" s="15">
        <f t="shared" si="210"/>
        <v>82.9</v>
      </c>
      <c r="Y1092" s="3" t="e">
        <f t="shared" si="211"/>
        <v>#DIV/0!</v>
      </c>
      <c r="Z1092" s="413" t="s">
        <v>1997</v>
      </c>
      <c r="AA1092" s="161">
        <v>0</v>
      </c>
      <c r="AB1092" s="409">
        <v>0</v>
      </c>
      <c r="AC1092" s="259">
        <f t="shared" si="208"/>
        <v>0</v>
      </c>
      <c r="AD1092" s="22" t="s">
        <v>60</v>
      </c>
      <c r="AG1092" s="33">
        <f t="shared" si="212"/>
        <v>0</v>
      </c>
      <c r="AH1092" s="120" t="s">
        <v>2588</v>
      </c>
      <c r="AI1092" s="63">
        <f t="shared" si="214"/>
        <v>3.4479166666666668E-3</v>
      </c>
      <c r="AJ1092" s="307">
        <f>RTD("money.excel",,$G1092,"PredictVolume")</f>
        <v>662</v>
      </c>
      <c r="AK1092" s="339"/>
    </row>
    <row r="1093" spans="1:37">
      <c r="A1093" s="416">
        <v>7.41</v>
      </c>
      <c r="B1093" s="79">
        <v>3</v>
      </c>
      <c r="C1093" s="80">
        <v>-4</v>
      </c>
      <c r="D1093" s="80">
        <v>-31</v>
      </c>
      <c r="E1093" s="79">
        <v>12</v>
      </c>
      <c r="F1093" s="6">
        <v>6.25</v>
      </c>
      <c r="G1093" s="79">
        <v>3388</v>
      </c>
      <c r="H1093" s="8" t="s">
        <v>310</v>
      </c>
      <c r="I1093" s="16" t="s">
        <v>4905</v>
      </c>
      <c r="J1093" s="323">
        <v>33.86</v>
      </c>
      <c r="K1093" s="323">
        <v>5.58</v>
      </c>
      <c r="L1093" s="323">
        <v>0.75</v>
      </c>
      <c r="N1093" s="318">
        <f t="shared" si="209"/>
        <v>40.19</v>
      </c>
      <c r="O1093" s="81">
        <f>IFERROR(VLOOKUP($G1093,'321買'!A:E,3,0),"'沒有資料'")</f>
        <v>0</v>
      </c>
      <c r="P1093" s="380">
        <f>IFERROR(VLOOKUP($G1093,'321買'!$A:$G,7,0),"'沒有資料'")</f>
        <v>911</v>
      </c>
      <c r="R1093" s="297">
        <f>IFERROR(RANK(VLOOKUP($G1093,連買!$A:$D,4,0),連買!$D:$D,0),"'沒有資料'")</f>
        <v>245</v>
      </c>
      <c r="S1093" s="66">
        <v>4.3</v>
      </c>
      <c r="T1093" s="353">
        <f t="shared" si="213"/>
        <v>4.8919226393629119E-2</v>
      </c>
      <c r="U1093" s="95">
        <v>5.32</v>
      </c>
      <c r="V1093" s="36">
        <f>RTD("money.excel",,"3388","Price")</f>
        <v>87.9</v>
      </c>
      <c r="W1093" s="66"/>
      <c r="X1093" s="15">
        <f t="shared" si="210"/>
        <v>87.9</v>
      </c>
      <c r="Y1093" s="3" t="e">
        <f t="shared" si="211"/>
        <v>#DIV/0!</v>
      </c>
      <c r="Z1093" s="413" t="s">
        <v>1997</v>
      </c>
      <c r="AA1093" s="161">
        <v>0</v>
      </c>
      <c r="AB1093" s="409">
        <v>0</v>
      </c>
      <c r="AC1093" s="259">
        <f t="shared" ref="AC1093:AC1156" si="215">AA1093-AB1093</f>
        <v>0</v>
      </c>
      <c r="AD1093" s="16" t="s">
        <v>4905</v>
      </c>
      <c r="AG1093" s="33">
        <f t="shared" si="212"/>
        <v>0</v>
      </c>
      <c r="AH1093" s="43" t="s">
        <v>1772</v>
      </c>
      <c r="AI1093" s="63">
        <f t="shared" si="214"/>
        <v>8.9068825910931175E-4</v>
      </c>
      <c r="AJ1093" s="307">
        <f>RTD("money.excel",,$G1093,"PredictVolume")</f>
        <v>66</v>
      </c>
      <c r="AK1093" s="339"/>
    </row>
    <row r="1094" spans="1:37">
      <c r="A1094" s="416">
        <v>6.75</v>
      </c>
      <c r="B1094" s="79">
        <v>134</v>
      </c>
      <c r="C1094" s="79">
        <v>156</v>
      </c>
      <c r="D1094" s="79">
        <v>1</v>
      </c>
      <c r="E1094" s="79">
        <v>5</v>
      </c>
      <c r="F1094" s="6">
        <v>6.96</v>
      </c>
      <c r="G1094" s="79">
        <v>3390</v>
      </c>
      <c r="H1094" s="8" t="s">
        <v>310</v>
      </c>
      <c r="I1094" s="16" t="s">
        <v>4906</v>
      </c>
      <c r="J1094" s="73">
        <v>25.35</v>
      </c>
      <c r="K1094" s="73">
        <v>0.67</v>
      </c>
      <c r="L1094" s="73">
        <v>19.309999999999999</v>
      </c>
      <c r="M1094" s="318">
        <v>19.670000000000002</v>
      </c>
      <c r="N1094" s="318">
        <f t="shared" si="209"/>
        <v>65</v>
      </c>
      <c r="O1094" s="81">
        <f>IFERROR(VLOOKUP($G1094,'321買'!A:E,3,0),"'沒有資料'")</f>
        <v>4</v>
      </c>
      <c r="P1094" s="380">
        <f>IFERROR(VLOOKUP($G1094,'321買'!$A:$G,7,0),"'沒有資料'")</f>
        <v>592</v>
      </c>
      <c r="Q1094" s="245" t="s">
        <v>3815</v>
      </c>
      <c r="R1094" s="297">
        <f>IFERROR(RANK(VLOOKUP($G1094,連買!$A:$D,4,0),連買!$D:$D,0),"'沒有資料'")</f>
        <v>1519</v>
      </c>
      <c r="S1094" s="34">
        <v>0.2</v>
      </c>
      <c r="T1094" s="353">
        <f t="shared" si="213"/>
        <v>1.0840108401084013E-2</v>
      </c>
      <c r="U1094" s="95">
        <v>-0.1</v>
      </c>
      <c r="V1094" s="36">
        <f>RTD("money.excel",,"3390","Price")</f>
        <v>18.45</v>
      </c>
      <c r="W1094" s="66"/>
      <c r="X1094" s="15">
        <f t="shared" si="210"/>
        <v>18.45</v>
      </c>
      <c r="Y1094" s="3" t="e">
        <f t="shared" si="211"/>
        <v>#DIV/0!</v>
      </c>
      <c r="AA1094" s="161">
        <v>0</v>
      </c>
      <c r="AB1094" s="409">
        <v>0</v>
      </c>
      <c r="AC1094" s="259">
        <f t="shared" si="215"/>
        <v>0</v>
      </c>
      <c r="AD1094" s="16" t="s">
        <v>4906</v>
      </c>
      <c r="AG1094" s="33">
        <f t="shared" si="212"/>
        <v>0</v>
      </c>
      <c r="AH1094" s="43" t="s">
        <v>2583</v>
      </c>
      <c r="AI1094" s="63">
        <f t="shared" si="214"/>
        <v>1.6296296296296295E-3</v>
      </c>
      <c r="AJ1094" s="307">
        <f>RTD("money.excel",,$G1094,"PredictVolume")</f>
        <v>110</v>
      </c>
      <c r="AK1094" s="339"/>
    </row>
    <row r="1095" spans="1:37">
      <c r="A1095" s="416">
        <v>6.66</v>
      </c>
      <c r="B1095" s="91">
        <v>-40</v>
      </c>
      <c r="C1095" s="91">
        <v>-27</v>
      </c>
      <c r="D1095" s="91">
        <v>37</v>
      </c>
      <c r="E1095" s="91">
        <v>26</v>
      </c>
      <c r="F1095" s="6">
        <v>-71.66</v>
      </c>
      <c r="G1095" s="79">
        <v>3432</v>
      </c>
      <c r="H1095" s="8" t="s">
        <v>310</v>
      </c>
      <c r="I1095" s="22" t="s">
        <v>392</v>
      </c>
      <c r="J1095" s="73">
        <v>67.209999999999994</v>
      </c>
      <c r="K1095" s="73">
        <v>4.12</v>
      </c>
      <c r="L1095" s="73">
        <v>16.510000000000002</v>
      </c>
      <c r="N1095" s="318">
        <f t="shared" si="209"/>
        <v>87.84</v>
      </c>
      <c r="O1095" s="81">
        <f>IFERROR(VLOOKUP($G1095,'321買'!A:E,3,0),"'沒有資料'")</f>
        <v>2</v>
      </c>
      <c r="P1095" s="380">
        <f>IFERROR(VLOOKUP($G1095,'321買'!$A:$G,7,0),"'沒有資料'")</f>
        <v>706</v>
      </c>
      <c r="R1095" s="297">
        <f>IFERROR(RANK(VLOOKUP($G1095,連買!$A:$D,4,0),連買!$D:$D,0),"'沒有資料'")</f>
        <v>1033</v>
      </c>
      <c r="S1095" s="34">
        <v>0.25</v>
      </c>
      <c r="T1095" s="353">
        <f t="shared" si="213"/>
        <v>1.8315018315018316E-2</v>
      </c>
      <c r="U1095" s="95">
        <v>0.49</v>
      </c>
      <c r="V1095" s="13">
        <f>RTD("money.excel",,"3432","Price")</f>
        <v>13.65</v>
      </c>
      <c r="W1095" s="66"/>
      <c r="X1095" s="15">
        <f t="shared" si="210"/>
        <v>13.65</v>
      </c>
      <c r="Y1095" s="3" t="e">
        <f t="shared" si="211"/>
        <v>#DIV/0!</v>
      </c>
      <c r="AA1095" s="161">
        <v>0</v>
      </c>
      <c r="AB1095" s="409">
        <v>0</v>
      </c>
      <c r="AC1095" s="259">
        <f t="shared" si="215"/>
        <v>0</v>
      </c>
      <c r="AD1095" s="22" t="s">
        <v>392</v>
      </c>
      <c r="AG1095" s="33">
        <f t="shared" si="212"/>
        <v>0</v>
      </c>
      <c r="AH1095" s="43" t="s">
        <v>2016</v>
      </c>
      <c r="AI1095" s="63">
        <f t="shared" si="214"/>
        <v>6.6066066066066071E-4</v>
      </c>
      <c r="AJ1095" s="307">
        <f>RTD("money.excel",,$G1095,"PredictVolume")</f>
        <v>44</v>
      </c>
      <c r="AK1095" s="339"/>
    </row>
    <row r="1096" spans="1:37">
      <c r="A1096" s="415">
        <v>3.22</v>
      </c>
      <c r="B1096" s="93">
        <v>1577</v>
      </c>
      <c r="C1096" s="93">
        <v>2075</v>
      </c>
      <c r="D1096" s="80">
        <v>-1</v>
      </c>
      <c r="E1096" s="79">
        <v>276</v>
      </c>
      <c r="F1096" s="57">
        <v>22.35</v>
      </c>
      <c r="G1096" s="79">
        <v>3465</v>
      </c>
      <c r="H1096" s="8" t="s">
        <v>310</v>
      </c>
      <c r="I1096" s="16" t="s">
        <v>3152</v>
      </c>
      <c r="J1096" s="323">
        <v>74.77</v>
      </c>
      <c r="K1096" s="73">
        <v>23.98</v>
      </c>
      <c r="L1096" s="323"/>
      <c r="N1096" s="318">
        <f t="shared" si="209"/>
        <v>98.75</v>
      </c>
      <c r="O1096" s="81" t="str">
        <f>IFERROR(VLOOKUP($G1096,'321買'!A:E,3,0),"'沒有資料'")</f>
        <v>'沒有資料'</v>
      </c>
      <c r="P1096" s="380" t="str">
        <f>IFERROR(VLOOKUP($G1096,'321買'!$A:$G,7,0),"'沒有資料'")</f>
        <v>'沒有資料'</v>
      </c>
      <c r="R1096" s="297">
        <f>IFERROR(RANK(VLOOKUP($G1096,連買!$A:$D,4,0),連買!$D:$D,0),"'沒有資料'")</f>
        <v>1657</v>
      </c>
      <c r="S1096" s="66">
        <v>4</v>
      </c>
      <c r="T1096" s="353">
        <f t="shared" si="213"/>
        <v>3.292181069958848E-2</v>
      </c>
      <c r="U1096" s="57">
        <v>11.22</v>
      </c>
      <c r="V1096" s="36">
        <f>RTD("money.excel",,"3465","Price")</f>
        <v>121.5</v>
      </c>
      <c r="W1096" s="66"/>
      <c r="X1096" s="15">
        <f t="shared" si="210"/>
        <v>121.5</v>
      </c>
      <c r="Y1096" s="3" t="e">
        <f t="shared" si="211"/>
        <v>#DIV/0!</v>
      </c>
      <c r="Z1096" s="413" t="s">
        <v>1831</v>
      </c>
      <c r="AA1096" s="161">
        <v>0</v>
      </c>
      <c r="AB1096" s="409">
        <v>0</v>
      </c>
      <c r="AC1096" s="259">
        <f t="shared" si="215"/>
        <v>0</v>
      </c>
      <c r="AD1096" s="16" t="s">
        <v>3152</v>
      </c>
      <c r="AG1096" s="33">
        <f t="shared" si="212"/>
        <v>0</v>
      </c>
      <c r="AH1096" s="43" t="s">
        <v>2584</v>
      </c>
      <c r="AI1096" s="63">
        <f t="shared" si="214"/>
        <v>2.0186335403726704E-3</v>
      </c>
      <c r="AJ1096" s="307">
        <f>RTD("money.excel",,$G1096,"PredictVolume")</f>
        <v>65</v>
      </c>
      <c r="AK1096" s="339"/>
    </row>
    <row r="1097" spans="1:37">
      <c r="A1097" s="416">
        <v>6.97</v>
      </c>
      <c r="B1097" s="79">
        <v>97</v>
      </c>
      <c r="C1097" s="79">
        <v>83</v>
      </c>
      <c r="D1097" s="79">
        <v>5</v>
      </c>
      <c r="E1097" s="79">
        <v>85</v>
      </c>
      <c r="F1097" s="6">
        <v>7.73</v>
      </c>
      <c r="G1097" s="79">
        <v>3484</v>
      </c>
      <c r="H1097" s="8" t="s">
        <v>310</v>
      </c>
      <c r="I1097" s="16" t="s">
        <v>408</v>
      </c>
      <c r="J1097" s="323">
        <v>21.4</v>
      </c>
      <c r="K1097" s="323">
        <v>6.96</v>
      </c>
      <c r="L1097" s="73">
        <v>54.91</v>
      </c>
      <c r="N1097" s="318">
        <f t="shared" si="209"/>
        <v>83.27</v>
      </c>
      <c r="O1097" s="81">
        <f>IFERROR(VLOOKUP($G1097,'321買'!A:E,3,0),"'沒有資料'")</f>
        <v>19</v>
      </c>
      <c r="P1097" s="380">
        <f>IFERROR(VLOOKUP($G1097,'321買'!$A:$G,7,0),"'沒有資料'")</f>
        <v>215</v>
      </c>
      <c r="R1097" s="297">
        <f>IFERROR(RANK(VLOOKUP($G1097,連買!$A:$D,4,0),連買!$D:$D,0),"'沒有資料'")</f>
        <v>414</v>
      </c>
      <c r="S1097" s="66">
        <v>3.2</v>
      </c>
      <c r="T1097" s="353">
        <f t="shared" si="213"/>
        <v>4.5779685264663805E-2</v>
      </c>
      <c r="U1097" s="95">
        <v>5.2</v>
      </c>
      <c r="V1097" s="36">
        <f>RTD("money.excel",,"3484","Price")</f>
        <v>69.900000000000006</v>
      </c>
      <c r="W1097" s="66"/>
      <c r="X1097" s="15">
        <f t="shared" si="210"/>
        <v>69.900000000000006</v>
      </c>
      <c r="Y1097" s="3" t="e">
        <f t="shared" si="211"/>
        <v>#DIV/0!</v>
      </c>
      <c r="Z1097" s="413" t="s">
        <v>1997</v>
      </c>
      <c r="AA1097" s="161">
        <v>0</v>
      </c>
      <c r="AB1097" s="409">
        <v>0</v>
      </c>
      <c r="AC1097" s="259">
        <f t="shared" si="215"/>
        <v>0</v>
      </c>
      <c r="AD1097" s="16" t="s">
        <v>408</v>
      </c>
      <c r="AG1097" s="33">
        <f t="shared" si="212"/>
        <v>0</v>
      </c>
      <c r="AH1097" s="43" t="s">
        <v>3079</v>
      </c>
      <c r="AI1097" s="63">
        <f t="shared" si="214"/>
        <v>4.261119081779053E-3</v>
      </c>
      <c r="AJ1097" s="307">
        <f>RTD("money.excel",,$G1097,"PredictVolume")</f>
        <v>297</v>
      </c>
      <c r="AK1097" s="339"/>
    </row>
    <row r="1098" spans="1:37">
      <c r="A1098" s="416">
        <v>3.55</v>
      </c>
      <c r="B1098" s="91">
        <v>-70</v>
      </c>
      <c r="C1098" s="91">
        <v>-59</v>
      </c>
      <c r="D1098" s="91">
        <v>16</v>
      </c>
      <c r="E1098" s="91">
        <v>20</v>
      </c>
      <c r="F1098" s="6">
        <v>6.27</v>
      </c>
      <c r="G1098" s="79">
        <v>3492</v>
      </c>
      <c r="H1098" s="8" t="s">
        <v>310</v>
      </c>
      <c r="I1098" s="16" t="s">
        <v>409</v>
      </c>
      <c r="J1098" s="73">
        <v>53.21</v>
      </c>
      <c r="K1098" s="73">
        <v>0.14000000000000001</v>
      </c>
      <c r="L1098" s="73">
        <v>12.17</v>
      </c>
      <c r="N1098" s="318">
        <f t="shared" si="209"/>
        <v>65.52</v>
      </c>
      <c r="O1098" s="81">
        <f>IFERROR(VLOOKUP($G1098,'321買'!A:E,3,0),"'沒有資料'")</f>
        <v>2</v>
      </c>
      <c r="P1098" s="380">
        <f>IFERROR(VLOOKUP($G1098,'321買'!$A:$G,7,0),"'沒有資料'")</f>
        <v>706</v>
      </c>
      <c r="R1098" s="297">
        <f>IFERROR(RANK(VLOOKUP($G1098,連買!$A:$D,4,0),連買!$D:$D,0),"'沒有資料'")</f>
        <v>921</v>
      </c>
      <c r="S1098" s="34">
        <v>0.8</v>
      </c>
      <c r="T1098" s="353">
        <f t="shared" si="213"/>
        <v>4.4321329639889197E-2</v>
      </c>
      <c r="U1098" s="95">
        <v>0.42</v>
      </c>
      <c r="V1098" s="13">
        <f>RTD("money.excel",,"3492","Price")</f>
        <v>18.05</v>
      </c>
      <c r="W1098" s="66"/>
      <c r="X1098" s="15">
        <f t="shared" si="210"/>
        <v>18.05</v>
      </c>
      <c r="Y1098" s="3" t="e">
        <f t="shared" si="211"/>
        <v>#DIV/0!</v>
      </c>
      <c r="AA1098" s="161">
        <v>0</v>
      </c>
      <c r="AB1098" s="409">
        <v>0</v>
      </c>
      <c r="AC1098" s="259">
        <f t="shared" si="215"/>
        <v>0</v>
      </c>
      <c r="AD1098" s="16" t="s">
        <v>409</v>
      </c>
      <c r="AG1098" s="33">
        <f t="shared" si="212"/>
        <v>0</v>
      </c>
      <c r="AH1098" s="43" t="s">
        <v>2016</v>
      </c>
      <c r="AI1098" s="63">
        <f t="shared" si="214"/>
        <v>6.4788732394366192E-4</v>
      </c>
      <c r="AJ1098" s="307">
        <f>RTD("money.excel",,$G1098,"PredictVolume")</f>
        <v>23</v>
      </c>
      <c r="AK1098" s="339"/>
    </row>
    <row r="1099" spans="1:37">
      <c r="A1099" s="415">
        <v>11.8</v>
      </c>
      <c r="B1099" s="91">
        <v>-22</v>
      </c>
      <c r="C1099" s="91">
        <v>-22</v>
      </c>
      <c r="D1099" s="91">
        <v>-10</v>
      </c>
      <c r="E1099" s="91">
        <v>-29</v>
      </c>
      <c r="F1099" s="57">
        <v>12.19</v>
      </c>
      <c r="G1099" s="79">
        <v>3501</v>
      </c>
      <c r="H1099" s="8" t="s">
        <v>310</v>
      </c>
      <c r="I1099" s="22" t="s">
        <v>4907</v>
      </c>
      <c r="J1099" s="73">
        <v>52.67</v>
      </c>
      <c r="K1099" s="73">
        <v>3.67</v>
      </c>
      <c r="L1099" s="73">
        <v>2.78</v>
      </c>
      <c r="N1099" s="318">
        <f t="shared" si="209"/>
        <v>59.120000000000005</v>
      </c>
      <c r="O1099" s="81">
        <f>IFERROR(VLOOKUP($G1099,'321買'!A:E,3,0),"'沒有資料'")</f>
        <v>0</v>
      </c>
      <c r="P1099" s="380">
        <f>IFERROR(VLOOKUP($G1099,'321買'!$A:$G,7,0),"'沒有資料'")</f>
        <v>911</v>
      </c>
      <c r="R1099" s="297">
        <f>IFERROR(RANK(VLOOKUP($G1099,連買!$A:$D,4,0),連買!$D:$D,0),"'沒有資料'")</f>
        <v>1642</v>
      </c>
      <c r="S1099" s="34">
        <v>2.5</v>
      </c>
      <c r="T1099" s="353">
        <f t="shared" si="213"/>
        <v>5.5741360089186176E-2</v>
      </c>
      <c r="U1099" s="95">
        <v>3.59</v>
      </c>
      <c r="V1099" s="36">
        <f>RTD("money.excel",,"3501","Price")</f>
        <v>44.85</v>
      </c>
      <c r="W1099" s="66"/>
      <c r="X1099" s="15">
        <f t="shared" si="210"/>
        <v>44.85</v>
      </c>
      <c r="Y1099" s="3" t="e">
        <f t="shared" si="211"/>
        <v>#DIV/0!</v>
      </c>
      <c r="AA1099" s="161">
        <v>0</v>
      </c>
      <c r="AB1099" s="409">
        <v>0</v>
      </c>
      <c r="AC1099" s="259">
        <f t="shared" si="215"/>
        <v>0</v>
      </c>
      <c r="AD1099" s="22" t="s">
        <v>4907</v>
      </c>
      <c r="AG1099" s="33">
        <f t="shared" si="212"/>
        <v>0</v>
      </c>
      <c r="AH1099" s="122" t="s">
        <v>1783</v>
      </c>
      <c r="AI1099" s="63">
        <f t="shared" si="214"/>
        <v>2.6271186440677966E-4</v>
      </c>
      <c r="AJ1099" s="307">
        <f>RTD("money.excel",,$G1099,"PredictVolume")</f>
        <v>31</v>
      </c>
      <c r="AK1099" s="339"/>
    </row>
    <row r="1100" spans="1:37">
      <c r="A1100" s="416">
        <v>8</v>
      </c>
      <c r="B1100" s="79">
        <v>56</v>
      </c>
      <c r="C1100" s="79">
        <v>89</v>
      </c>
      <c r="D1100" s="79">
        <v>11</v>
      </c>
      <c r="E1100" s="79">
        <v>192</v>
      </c>
      <c r="F1100" s="6">
        <v>5.95</v>
      </c>
      <c r="G1100" s="79">
        <v>3511</v>
      </c>
      <c r="H1100" s="8" t="s">
        <v>310</v>
      </c>
      <c r="I1100" s="16" t="s">
        <v>4908</v>
      </c>
      <c r="J1100" s="323">
        <v>53.52</v>
      </c>
      <c r="K1100" s="323">
        <v>0.85</v>
      </c>
      <c r="L1100" s="73">
        <v>47.31</v>
      </c>
      <c r="M1100" s="73">
        <v>37.51</v>
      </c>
      <c r="N1100" s="73">
        <f t="shared" si="209"/>
        <v>139.19</v>
      </c>
      <c r="O1100" s="81">
        <f>IFERROR(VLOOKUP($G1100,'321買'!A:E,3,0),"'沒有資料'")</f>
        <v>26</v>
      </c>
      <c r="P1100" s="380">
        <f>IFERROR(VLOOKUP($G1100,'321買'!$A:$G,7,0),"'沒有資料'")</f>
        <v>189</v>
      </c>
      <c r="Q1100" s="245" t="s">
        <v>3815</v>
      </c>
      <c r="R1100" s="297">
        <f>IFERROR(RANK(VLOOKUP($G1100,連買!$A:$D,4,0),連買!$D:$D,0),"'沒有資料'")</f>
        <v>560</v>
      </c>
      <c r="S1100" s="34">
        <v>0.5</v>
      </c>
      <c r="T1100" s="353">
        <f t="shared" si="213"/>
        <v>1.3440860215053762E-2</v>
      </c>
      <c r="U1100" s="57">
        <v>1.25</v>
      </c>
      <c r="V1100" s="36">
        <f>RTD("money.excel",,"3511","Price")</f>
        <v>37.200000000000003</v>
      </c>
      <c r="W1100" s="66"/>
      <c r="X1100" s="15">
        <f t="shared" si="210"/>
        <v>37.200000000000003</v>
      </c>
      <c r="Y1100" s="3" t="e">
        <f t="shared" si="211"/>
        <v>#DIV/0!</v>
      </c>
      <c r="AA1100" s="161">
        <v>0</v>
      </c>
      <c r="AB1100" s="409">
        <v>0</v>
      </c>
      <c r="AC1100" s="259">
        <f t="shared" si="215"/>
        <v>0</v>
      </c>
      <c r="AD1100" s="16" t="s">
        <v>4908</v>
      </c>
      <c r="AG1100" s="33">
        <f t="shared" si="212"/>
        <v>0</v>
      </c>
      <c r="AH1100" s="43" t="s">
        <v>2016</v>
      </c>
      <c r="AI1100" s="63">
        <f t="shared" si="214"/>
        <v>3.0000000000000001E-3</v>
      </c>
      <c r="AJ1100" s="307">
        <f>RTD("money.excel",,$G1100,"PredictVolume")</f>
        <v>240</v>
      </c>
      <c r="AK1100" s="339"/>
    </row>
    <row r="1101" spans="1:37">
      <c r="A1101" s="416">
        <v>8.4</v>
      </c>
      <c r="B1101" s="80">
        <v>789</v>
      </c>
      <c r="C1101" s="80">
        <v>980</v>
      </c>
      <c r="D1101" s="80">
        <v>-70</v>
      </c>
      <c r="E1101" s="80">
        <v>-67</v>
      </c>
      <c r="F1101" s="6">
        <v>8.42</v>
      </c>
      <c r="G1101" s="79">
        <v>3512</v>
      </c>
      <c r="H1101" s="8" t="s">
        <v>310</v>
      </c>
      <c r="I1101" s="16" t="s">
        <v>1072</v>
      </c>
      <c r="J1101" s="73">
        <v>71.28</v>
      </c>
      <c r="K1101" s="73">
        <v>0.34</v>
      </c>
      <c r="L1101" s="73">
        <v>20.88</v>
      </c>
      <c r="N1101" s="318">
        <f t="shared" si="209"/>
        <v>92.5</v>
      </c>
      <c r="O1101" s="81">
        <f>IFERROR(VLOOKUP($G1101,'321買'!A:E,3,0),"'沒有資料'")</f>
        <v>0</v>
      </c>
      <c r="P1101" s="380">
        <f>IFERROR(VLOOKUP($G1101,'321買'!$A:$G,7,0),"'沒有資料'")</f>
        <v>911</v>
      </c>
      <c r="R1101" s="297">
        <f>IFERROR(RANK(VLOOKUP($G1101,連買!$A:$D,4,0),連買!$D:$D,0),"'沒有資料'")</f>
        <v>477</v>
      </c>
      <c r="S1101" s="34">
        <v>2</v>
      </c>
      <c r="T1101" s="353">
        <f t="shared" si="213"/>
        <v>5.7471264367816098E-2</v>
      </c>
      <c r="U1101" s="57">
        <v>2.69</v>
      </c>
      <c r="V1101" s="36">
        <f>RTD("money.excel",,"3512","Price")</f>
        <v>34.799999999999997</v>
      </c>
      <c r="W1101" s="66"/>
      <c r="X1101" s="15">
        <f t="shared" si="210"/>
        <v>34.799999999999997</v>
      </c>
      <c r="Y1101" s="3" t="e">
        <f t="shared" si="211"/>
        <v>#DIV/0!</v>
      </c>
      <c r="AA1101" s="161">
        <v>0</v>
      </c>
      <c r="AB1101" s="409">
        <v>0</v>
      </c>
      <c r="AC1101" s="259">
        <f t="shared" si="215"/>
        <v>0</v>
      </c>
      <c r="AD1101" s="16" t="s">
        <v>1072</v>
      </c>
      <c r="AG1101" s="33">
        <f t="shared" si="212"/>
        <v>0</v>
      </c>
      <c r="AH1101" s="43" t="s">
        <v>2585</v>
      </c>
      <c r="AI1101" s="63">
        <f t="shared" si="214"/>
        <v>9.6428571428571429E-4</v>
      </c>
      <c r="AJ1101" s="307">
        <f>RTD("money.excel",,$G1101,"PredictVolume")</f>
        <v>81</v>
      </c>
      <c r="AK1101" s="339"/>
    </row>
    <row r="1102" spans="1:37">
      <c r="A1102" s="416">
        <v>6.88</v>
      </c>
      <c r="B1102" s="80">
        <v>-101</v>
      </c>
      <c r="C1102" s="80">
        <v>-76</v>
      </c>
      <c r="D1102" s="79">
        <v>28</v>
      </c>
      <c r="E1102" s="80">
        <v>-1</v>
      </c>
      <c r="F1102" s="6">
        <v>0.55000000000000004</v>
      </c>
      <c r="G1102" s="79">
        <v>3520</v>
      </c>
      <c r="H1102" s="8" t="s">
        <v>310</v>
      </c>
      <c r="I1102" s="16" t="s">
        <v>3154</v>
      </c>
      <c r="J1102" s="323">
        <v>35.700000000000003</v>
      </c>
      <c r="K1102" s="323">
        <v>0.05</v>
      </c>
      <c r="L1102" s="323"/>
      <c r="M1102" s="73">
        <v>34.26</v>
      </c>
      <c r="N1102" s="318">
        <f>K1102+J1102+L1102+M1102</f>
        <v>70.009999999999991</v>
      </c>
      <c r="O1102" s="81">
        <f>IFERROR(VLOOKUP($G1102,'321買'!A:E,3,0),"'沒有資料'")</f>
        <v>0</v>
      </c>
      <c r="P1102" s="380">
        <f>IFERROR(VLOOKUP($G1102,'321買'!$A:$G,7,0),"'沒有資料'")</f>
        <v>911</v>
      </c>
      <c r="R1102" s="297">
        <f>IFERROR(RANK(VLOOKUP($G1102,連買!$A:$D,4,0),連買!$D:$D,0),"'沒有資料'")</f>
        <v>1108</v>
      </c>
      <c r="S1102" s="34">
        <v>0</v>
      </c>
      <c r="T1102" s="353">
        <f t="shared" si="213"/>
        <v>0</v>
      </c>
      <c r="U1102" s="95">
        <v>-0.08</v>
      </c>
      <c r="V1102" s="36">
        <f>RTD("money.excel",,"3520","Price")</f>
        <v>14.7</v>
      </c>
      <c r="W1102" s="66"/>
      <c r="X1102" s="15">
        <f t="shared" si="210"/>
        <v>14.7</v>
      </c>
      <c r="Y1102" s="3" t="e">
        <f t="shared" si="211"/>
        <v>#DIV/0!</v>
      </c>
      <c r="AA1102" s="161">
        <v>0</v>
      </c>
      <c r="AB1102" s="409">
        <v>0</v>
      </c>
      <c r="AC1102" s="259">
        <f t="shared" si="215"/>
        <v>0</v>
      </c>
      <c r="AD1102" s="16" t="s">
        <v>3154</v>
      </c>
      <c r="AG1102" s="33">
        <f t="shared" si="212"/>
        <v>0</v>
      </c>
      <c r="AH1102" s="43" t="s">
        <v>2586</v>
      </c>
      <c r="AI1102" s="63">
        <f t="shared" si="214"/>
        <v>1.5116279069767441E-3</v>
      </c>
      <c r="AJ1102" s="307">
        <f>RTD("money.excel",,$G1102,"PredictVolume")</f>
        <v>104</v>
      </c>
      <c r="AK1102" s="339"/>
    </row>
    <row r="1103" spans="1:37">
      <c r="A1103" s="415">
        <v>5.85</v>
      </c>
      <c r="B1103" s="79">
        <v>18</v>
      </c>
      <c r="C1103" s="79">
        <v>10</v>
      </c>
      <c r="D1103" s="80">
        <v>-3</v>
      </c>
      <c r="E1103" s="79">
        <v>10</v>
      </c>
      <c r="F1103" s="57">
        <v>26.73</v>
      </c>
      <c r="G1103" s="79">
        <v>3526</v>
      </c>
      <c r="H1103" s="8" t="s">
        <v>310</v>
      </c>
      <c r="I1103" s="16" t="s">
        <v>156</v>
      </c>
      <c r="J1103" s="73">
        <v>35.17</v>
      </c>
      <c r="K1103" s="323">
        <v>13.79</v>
      </c>
      <c r="L1103" s="73">
        <v>19.98</v>
      </c>
      <c r="M1103" s="323">
        <v>28.98</v>
      </c>
      <c r="N1103" s="318">
        <f>J1103+K1103+L1103+M1103</f>
        <v>97.92</v>
      </c>
      <c r="O1103" s="81">
        <f>IFERROR(VLOOKUP($G1103,'321買'!A:E,3,0),"'沒有資料'")</f>
        <v>53</v>
      </c>
      <c r="P1103" s="380">
        <f>IFERROR(VLOOKUP($G1103,'321買'!$A:$G,7,0),"'沒有資料'")</f>
        <v>52</v>
      </c>
      <c r="Q1103" s="245" t="s">
        <v>5097</v>
      </c>
      <c r="R1103" s="297">
        <f>IFERROR(RANK(VLOOKUP($G1103,連買!$A:$D,4,0),連買!$D:$D,0),"'沒有資料'")</f>
        <v>65</v>
      </c>
      <c r="S1103" s="66">
        <v>9.1300000000000008</v>
      </c>
      <c r="T1103" s="353">
        <f t="shared" si="213"/>
        <v>5.1436619718309866E-2</v>
      </c>
      <c r="U1103" s="95">
        <v>9.74</v>
      </c>
      <c r="V1103" s="36">
        <f>RTD("money.excel",,"3526","Price")</f>
        <v>177.5</v>
      </c>
      <c r="W1103" s="66"/>
      <c r="X1103" s="15">
        <f t="shared" si="210"/>
        <v>177.5</v>
      </c>
      <c r="Y1103" s="3" t="e">
        <f t="shared" si="211"/>
        <v>#DIV/0!</v>
      </c>
      <c r="Z1103" s="413" t="s">
        <v>1997</v>
      </c>
      <c r="AA1103" s="161">
        <v>0</v>
      </c>
      <c r="AB1103" s="409">
        <v>0</v>
      </c>
      <c r="AC1103" s="259">
        <f t="shared" si="215"/>
        <v>0</v>
      </c>
      <c r="AD1103" s="16" t="s">
        <v>156</v>
      </c>
      <c r="AG1103" s="33">
        <f t="shared" si="212"/>
        <v>0</v>
      </c>
      <c r="AH1103" s="120" t="s">
        <v>2016</v>
      </c>
      <c r="AI1103" s="63">
        <f t="shared" si="214"/>
        <v>6.0854700854700858E-3</v>
      </c>
      <c r="AJ1103" s="307">
        <f>RTD("money.excel",,$G1103,"PredictVolume")</f>
        <v>356</v>
      </c>
      <c r="AK1103" s="344">
        <v>19.170000000000002</v>
      </c>
    </row>
    <row r="1104" spans="1:37">
      <c r="A1104" s="415">
        <v>10.6</v>
      </c>
      <c r="B1104" s="79">
        <v>11</v>
      </c>
      <c r="C1104" s="79">
        <v>17</v>
      </c>
      <c r="D1104" s="79">
        <v>10</v>
      </c>
      <c r="E1104" s="79">
        <v>20</v>
      </c>
      <c r="F1104" s="57">
        <v>20.74</v>
      </c>
      <c r="G1104" s="79">
        <v>3533</v>
      </c>
      <c r="H1104" s="8" t="s">
        <v>310</v>
      </c>
      <c r="I1104" s="22" t="s">
        <v>4909</v>
      </c>
      <c r="J1104" s="323">
        <v>57.29</v>
      </c>
      <c r="K1104" s="323">
        <v>40.090000000000003</v>
      </c>
      <c r="L1104" s="73">
        <v>2.67</v>
      </c>
      <c r="N1104" s="318">
        <f t="shared" ref="N1104:N1166" si="216">J1104+K1104+L1104+M1104</f>
        <v>100.05</v>
      </c>
      <c r="O1104" s="81">
        <f>IFERROR(VLOOKUP($G1104,'321買'!A:E,3,0),"'沒有資料'")</f>
        <v>17</v>
      </c>
      <c r="P1104" s="380">
        <f>IFERROR(VLOOKUP($G1104,'321買'!$A:$G,7,0),"'沒有資料'")</f>
        <v>307</v>
      </c>
      <c r="R1104" s="297">
        <f>IFERROR(RANK(VLOOKUP($G1104,連買!$A:$D,4,0),連買!$D:$D,0),"'沒有資料'")</f>
        <v>15</v>
      </c>
      <c r="S1104" s="66">
        <v>13.3</v>
      </c>
      <c r="T1104" s="353">
        <f t="shared" si="213"/>
        <v>1.8370165745856353E-2</v>
      </c>
      <c r="U1104" s="57">
        <v>28.63</v>
      </c>
      <c r="V1104" s="36">
        <f>RTD("money.excel",,"3533","Price")</f>
        <v>724</v>
      </c>
      <c r="W1104" s="66"/>
      <c r="X1104" s="15">
        <f t="shared" si="210"/>
        <v>724</v>
      </c>
      <c r="Y1104" s="3" t="e">
        <f t="shared" si="211"/>
        <v>#DIV/0!</v>
      </c>
      <c r="Z1104" s="413" t="s">
        <v>1997</v>
      </c>
      <c r="AA1104" s="161">
        <v>0</v>
      </c>
      <c r="AB1104" s="409">
        <v>0</v>
      </c>
      <c r="AC1104" s="259">
        <f t="shared" si="215"/>
        <v>0</v>
      </c>
      <c r="AD1104" s="22" t="s">
        <v>4909</v>
      </c>
      <c r="AG1104" s="33">
        <f t="shared" si="212"/>
        <v>0</v>
      </c>
      <c r="AH1104" s="120" t="s">
        <v>2770</v>
      </c>
      <c r="AI1104" s="63">
        <f t="shared" si="214"/>
        <v>7.7924528301886791E-3</v>
      </c>
      <c r="AJ1104" s="307">
        <f>RTD("money.excel",,$G1104,"PredictVolume")</f>
        <v>826</v>
      </c>
      <c r="AK1104" s="339"/>
    </row>
    <row r="1105" spans="1:37">
      <c r="A1105" s="416">
        <v>5.36</v>
      </c>
      <c r="B1105" s="79">
        <v>28</v>
      </c>
      <c r="C1105" s="79">
        <v>22</v>
      </c>
      <c r="D1105" s="80">
        <v>-9</v>
      </c>
      <c r="E1105" s="79">
        <v>8</v>
      </c>
      <c r="F1105" s="6">
        <v>8.99</v>
      </c>
      <c r="G1105" s="79">
        <v>3537</v>
      </c>
      <c r="H1105" s="8" t="s">
        <v>310</v>
      </c>
      <c r="I1105" s="16" t="s">
        <v>4910</v>
      </c>
      <c r="J1105" s="73">
        <v>28.79</v>
      </c>
      <c r="K1105" s="73">
        <v>0.28000000000000003</v>
      </c>
      <c r="L1105" s="73">
        <v>5.59</v>
      </c>
      <c r="M1105" s="323">
        <v>19.309999999999999</v>
      </c>
      <c r="N1105" s="318">
        <f t="shared" si="216"/>
        <v>53.97</v>
      </c>
      <c r="O1105" s="81">
        <f>IFERROR(VLOOKUP($G1105,'321買'!A:E,3,0),"'沒有資料'")</f>
        <v>10</v>
      </c>
      <c r="P1105" s="380">
        <f>IFERROR(VLOOKUP($G1105,'321買'!$A:$G,7,0),"'沒有資料'")</f>
        <v>433</v>
      </c>
      <c r="Q1105" s="245" t="s">
        <v>3816</v>
      </c>
      <c r="R1105" s="297">
        <f>IFERROR(RANK(VLOOKUP($G1105,連買!$A:$D,4,0),連買!$D:$D,0),"'沒有資料'")</f>
        <v>570</v>
      </c>
      <c r="S1105" s="34">
        <v>2.5</v>
      </c>
      <c r="T1105" s="353">
        <f t="shared" si="213"/>
        <v>5.9241706161137435E-2</v>
      </c>
      <c r="U1105" s="95">
        <v>3.41</v>
      </c>
      <c r="V1105" s="36">
        <f>RTD("money.excel",,"3537","Price")</f>
        <v>42.2</v>
      </c>
      <c r="W1105" s="66"/>
      <c r="X1105" s="15">
        <f t="shared" si="210"/>
        <v>42.2</v>
      </c>
      <c r="Y1105" s="35" t="e">
        <f t="shared" si="211"/>
        <v>#DIV/0!</v>
      </c>
      <c r="AA1105" s="161">
        <v>0</v>
      </c>
      <c r="AB1105" s="409">
        <v>0</v>
      </c>
      <c r="AC1105" s="259">
        <f t="shared" si="215"/>
        <v>0</v>
      </c>
      <c r="AD1105" s="16" t="s">
        <v>4910</v>
      </c>
      <c r="AG1105" s="33">
        <f t="shared" si="212"/>
        <v>0</v>
      </c>
      <c r="AH1105" s="43" t="s">
        <v>2587</v>
      </c>
      <c r="AI1105" s="63">
        <f t="shared" si="214"/>
        <v>8.3395522388059699E-3</v>
      </c>
      <c r="AJ1105" s="307">
        <f>RTD("money.excel",,$G1105,"PredictVolume")</f>
        <v>447</v>
      </c>
      <c r="AK1105" s="339"/>
    </row>
    <row r="1106" spans="1:37">
      <c r="A1106" s="416">
        <v>6.01</v>
      </c>
      <c r="B1106" s="80">
        <v>-60</v>
      </c>
      <c r="C1106" s="80">
        <v>-58</v>
      </c>
      <c r="D1106" s="80">
        <v>-9</v>
      </c>
      <c r="E1106" s="79">
        <v>72</v>
      </c>
      <c r="F1106" s="6">
        <v>1.66</v>
      </c>
      <c r="G1106" s="79">
        <v>3548</v>
      </c>
      <c r="H1106" s="8" t="s">
        <v>310</v>
      </c>
      <c r="I1106" s="16" t="s">
        <v>141</v>
      </c>
      <c r="J1106" s="73">
        <v>29.01</v>
      </c>
      <c r="K1106" s="73">
        <v>6.75</v>
      </c>
      <c r="L1106" s="323">
        <v>41.14</v>
      </c>
      <c r="M1106" s="73">
        <v>21.73</v>
      </c>
      <c r="N1106" s="318">
        <f t="shared" si="216"/>
        <v>98.63000000000001</v>
      </c>
      <c r="O1106" s="81">
        <f>IFERROR(VLOOKUP($G1106,'321買'!A:E,3,0),"'沒有資料'")</f>
        <v>16</v>
      </c>
      <c r="P1106" s="380">
        <f>IFERROR(VLOOKUP($G1106,'321買'!$A:$G,7,0),"'沒有資料'")</f>
        <v>290</v>
      </c>
      <c r="Q1106" s="245" t="s">
        <v>3816</v>
      </c>
      <c r="R1106" s="297">
        <f>IFERROR(RANK(VLOOKUP($G1106,連買!$A:$D,4,0),連買!$D:$D,0),"'沒有資料'")</f>
        <v>316</v>
      </c>
      <c r="S1106" s="34">
        <v>2.5</v>
      </c>
      <c r="T1106" s="353">
        <f t="shared" si="213"/>
        <v>3.5714285714285712E-2</v>
      </c>
      <c r="U1106" s="95">
        <v>2.6</v>
      </c>
      <c r="V1106" s="36">
        <f>RTD("money.excel",,"3548","Price")</f>
        <v>70</v>
      </c>
      <c r="W1106" s="66"/>
      <c r="X1106" s="15">
        <f t="shared" si="210"/>
        <v>70</v>
      </c>
      <c r="Y1106" s="3" t="e">
        <f t="shared" si="211"/>
        <v>#DIV/0!</v>
      </c>
      <c r="Z1106" s="413" t="s">
        <v>1801</v>
      </c>
      <c r="AA1106" s="161">
        <v>0</v>
      </c>
      <c r="AB1106" s="409">
        <v>0</v>
      </c>
      <c r="AC1106" s="259">
        <f t="shared" si="215"/>
        <v>0</v>
      </c>
      <c r="AD1106" s="16" t="s">
        <v>141</v>
      </c>
      <c r="AG1106" s="33">
        <f t="shared" si="212"/>
        <v>0</v>
      </c>
      <c r="AH1106" s="120" t="s">
        <v>3075</v>
      </c>
      <c r="AI1106" s="63">
        <f t="shared" si="214"/>
        <v>6.5557404326123132E-3</v>
      </c>
      <c r="AJ1106" s="307">
        <f>RTD("money.excel",,$G1106,"PredictVolume")</f>
        <v>394</v>
      </c>
      <c r="AK1106" s="339">
        <v>13.14</v>
      </c>
    </row>
    <row r="1107" spans="1:37">
      <c r="A1107" s="416">
        <v>8.5</v>
      </c>
      <c r="B1107" s="91">
        <v>65</v>
      </c>
      <c r="C1107" s="91">
        <v>26</v>
      </c>
      <c r="D1107" s="91">
        <v>2</v>
      </c>
      <c r="E1107" s="91">
        <v>109</v>
      </c>
      <c r="F1107" s="6">
        <v>2.14</v>
      </c>
      <c r="G1107" s="79">
        <v>3550</v>
      </c>
      <c r="H1107" s="8" t="s">
        <v>310</v>
      </c>
      <c r="I1107" s="22" t="s">
        <v>4911</v>
      </c>
      <c r="J1107" s="73">
        <v>45.02</v>
      </c>
      <c r="K1107" s="73">
        <v>0.99</v>
      </c>
      <c r="L1107" s="73">
        <v>22.08</v>
      </c>
      <c r="N1107" s="318">
        <f t="shared" si="216"/>
        <v>68.09</v>
      </c>
      <c r="O1107" s="81">
        <f>IFERROR(VLOOKUP($G1107,'321買'!A:E,3,0),"'沒有資料'")</f>
        <v>10</v>
      </c>
      <c r="P1107" s="380">
        <f>IFERROR(VLOOKUP($G1107,'321買'!$A:$G,7,0),"'沒有資料'")</f>
        <v>433</v>
      </c>
      <c r="R1107" s="297">
        <f>IFERROR(RANK(VLOOKUP($G1107,連買!$A:$D,4,0),連買!$D:$D,0),"'沒有資料'")</f>
        <v>596</v>
      </c>
      <c r="S1107" s="34">
        <v>0.5</v>
      </c>
      <c r="T1107" s="353">
        <f t="shared" si="213"/>
        <v>3.0303030303030304E-2</v>
      </c>
      <c r="U1107" s="95">
        <v>0.94</v>
      </c>
      <c r="V1107" s="36">
        <f>RTD("money.excel",,"3550","Price")</f>
        <v>16.5</v>
      </c>
      <c r="W1107" s="66"/>
      <c r="X1107" s="15">
        <f t="shared" si="210"/>
        <v>16.5</v>
      </c>
      <c r="Y1107" s="3" t="e">
        <f t="shared" si="211"/>
        <v>#DIV/0!</v>
      </c>
      <c r="AA1107" s="161">
        <v>0</v>
      </c>
      <c r="AB1107" s="409">
        <v>0</v>
      </c>
      <c r="AC1107" s="259">
        <f t="shared" si="215"/>
        <v>0</v>
      </c>
      <c r="AD1107" s="22" t="s">
        <v>4911</v>
      </c>
      <c r="AG1107" s="33">
        <f t="shared" si="212"/>
        <v>0</v>
      </c>
      <c r="AH1107" s="43" t="s">
        <v>2771</v>
      </c>
      <c r="AI1107" s="63">
        <f t="shared" si="214"/>
        <v>1.3882352941176472E-3</v>
      </c>
      <c r="AJ1107" s="307">
        <f>RTD("money.excel",,$G1107,"PredictVolume")</f>
        <v>118</v>
      </c>
      <c r="AK1107" s="339"/>
    </row>
    <row r="1108" spans="1:37">
      <c r="A1108" s="416">
        <v>9.3000000000000007</v>
      </c>
      <c r="B1108" s="91">
        <v>107</v>
      </c>
      <c r="C1108" s="91">
        <v>118</v>
      </c>
      <c r="D1108" s="91">
        <v>16</v>
      </c>
      <c r="E1108" s="91">
        <v>169</v>
      </c>
      <c r="F1108" s="6">
        <v>5.13</v>
      </c>
      <c r="G1108" s="79">
        <v>3593</v>
      </c>
      <c r="H1108" s="8" t="s">
        <v>310</v>
      </c>
      <c r="I1108" s="22" t="s">
        <v>4912</v>
      </c>
      <c r="J1108" s="73">
        <v>43.29</v>
      </c>
      <c r="K1108" s="73">
        <v>0.17</v>
      </c>
      <c r="N1108" s="318">
        <f t="shared" si="216"/>
        <v>43.46</v>
      </c>
      <c r="O1108" s="81">
        <f>IFERROR(VLOOKUP($G1108,'321買'!A:E,3,0),"'沒有資料'")</f>
        <v>0</v>
      </c>
      <c r="P1108" s="380">
        <f>IFERROR(VLOOKUP($G1108,'321買'!$A:$G,7,0),"'沒有資料'")</f>
        <v>911</v>
      </c>
      <c r="R1108" s="297">
        <f>IFERROR(RANK(VLOOKUP($G1108,連買!$A:$D,4,0),連買!$D:$D,0),"'沒有資料'")</f>
        <v>1194</v>
      </c>
      <c r="S1108" s="34">
        <v>0</v>
      </c>
      <c r="T1108" s="353">
        <f t="shared" si="213"/>
        <v>0</v>
      </c>
      <c r="U1108" s="95">
        <v>0.9</v>
      </c>
      <c r="V1108" s="36">
        <f>RTD("money.excel",,"3593","Price")</f>
        <v>14.2</v>
      </c>
      <c r="W1108" s="66"/>
      <c r="X1108" s="15">
        <f t="shared" si="210"/>
        <v>14.2</v>
      </c>
      <c r="Y1108" s="3" t="e">
        <f t="shared" si="211"/>
        <v>#DIV/0!</v>
      </c>
      <c r="AA1108" s="161">
        <v>0</v>
      </c>
      <c r="AB1108" s="409">
        <v>0</v>
      </c>
      <c r="AC1108" s="259">
        <f t="shared" si="215"/>
        <v>0</v>
      </c>
      <c r="AD1108" s="22" t="s">
        <v>4912</v>
      </c>
      <c r="AG1108" s="33">
        <f t="shared" si="212"/>
        <v>0</v>
      </c>
      <c r="AH1108" s="43" t="s">
        <v>2772</v>
      </c>
      <c r="AI1108" s="63">
        <f t="shared" si="214"/>
        <v>4.8387096774193548E-4</v>
      </c>
      <c r="AJ1108" s="307">
        <f>RTD("money.excel",,$G1108,"PredictVolume")</f>
        <v>45</v>
      </c>
      <c r="AK1108" s="106"/>
    </row>
    <row r="1109" spans="1:37">
      <c r="A1109" s="416">
        <v>3.91</v>
      </c>
      <c r="B1109" s="79">
        <v>128</v>
      </c>
      <c r="C1109" s="79">
        <v>120</v>
      </c>
      <c r="D1109" s="80">
        <v>-15</v>
      </c>
      <c r="E1109" s="79">
        <v>5</v>
      </c>
      <c r="F1109" s="6">
        <v>9.5500000000000007</v>
      </c>
      <c r="G1109" s="79">
        <v>3597</v>
      </c>
      <c r="H1109" s="8" t="s">
        <v>310</v>
      </c>
      <c r="I1109" s="16" t="s">
        <v>1907</v>
      </c>
      <c r="J1109" s="323">
        <v>62.42</v>
      </c>
      <c r="K1109" s="323">
        <v>0.3</v>
      </c>
      <c r="L1109" s="323">
        <v>21.64</v>
      </c>
      <c r="N1109" s="318">
        <f t="shared" si="216"/>
        <v>84.36</v>
      </c>
      <c r="O1109" s="81">
        <f>IFERROR(VLOOKUP($G1109,'321買'!A:E,3,0),"'沒有資料'")</f>
        <v>2</v>
      </c>
      <c r="P1109" s="380">
        <f>IFERROR(VLOOKUP($G1109,'321買'!$A:$G,7,0),"'沒有資料'")</f>
        <v>706</v>
      </c>
      <c r="R1109" s="297">
        <f>IFERROR(RANK(VLOOKUP($G1109,連買!$A:$D,4,0),連買!$D:$D,0),"'沒有資料'")</f>
        <v>802</v>
      </c>
      <c r="S1109" s="34">
        <v>1.2</v>
      </c>
      <c r="T1109" s="353">
        <f t="shared" si="213"/>
        <v>4.3010752688172046E-2</v>
      </c>
      <c r="U1109" s="57">
        <v>1.79</v>
      </c>
      <c r="V1109" s="36">
        <f>RTD("money.excel",,"3597","Price")</f>
        <v>27.9</v>
      </c>
      <c r="W1109" s="66"/>
      <c r="X1109" s="15">
        <f t="shared" si="210"/>
        <v>27.9</v>
      </c>
      <c r="Y1109" s="35" t="e">
        <f t="shared" si="211"/>
        <v>#DIV/0!</v>
      </c>
      <c r="AA1109" s="161">
        <v>0</v>
      </c>
      <c r="AB1109" s="409">
        <v>0</v>
      </c>
      <c r="AC1109" s="259">
        <f t="shared" si="215"/>
        <v>0</v>
      </c>
      <c r="AD1109" s="16" t="s">
        <v>1907</v>
      </c>
      <c r="AG1109" s="33">
        <f t="shared" si="212"/>
        <v>0</v>
      </c>
      <c r="AH1109" s="43" t="s">
        <v>1991</v>
      </c>
      <c r="AI1109" s="63">
        <f t="shared" si="214"/>
        <v>1.0485933503836316E-3</v>
      </c>
      <c r="AJ1109" s="307">
        <f>RTD("money.excel",,$G1109,"PredictVolume")</f>
        <v>41</v>
      </c>
      <c r="AK1109" s="339"/>
    </row>
    <row r="1110" spans="1:37">
      <c r="A1110" s="416">
        <v>13.4</v>
      </c>
      <c r="B1110" s="79">
        <v>112</v>
      </c>
      <c r="C1110" s="79">
        <v>90</v>
      </c>
      <c r="D1110" s="79">
        <v>13</v>
      </c>
      <c r="E1110" s="79">
        <v>32</v>
      </c>
      <c r="F1110" s="6">
        <v>6.03</v>
      </c>
      <c r="G1110" s="79">
        <v>3605</v>
      </c>
      <c r="H1110" s="8" t="s">
        <v>310</v>
      </c>
      <c r="I1110" s="22" t="s">
        <v>393</v>
      </c>
      <c r="J1110" s="73">
        <v>37.479999999999997</v>
      </c>
      <c r="K1110" s="73">
        <v>9.0399999999999991</v>
      </c>
      <c r="L1110" s="323">
        <v>29.43</v>
      </c>
      <c r="M1110" s="323">
        <v>15.77</v>
      </c>
      <c r="N1110" s="318">
        <f>K1110+J1110+L1110+M1110</f>
        <v>91.719999999999985</v>
      </c>
      <c r="O1110" s="81">
        <f>IFERROR(VLOOKUP($G1110,'321買'!A:E,3,0),"'沒有資料'")</f>
        <v>29</v>
      </c>
      <c r="P1110" s="380">
        <f>IFERROR(VLOOKUP($G1110,'321買'!$A:$G,7,0),"'沒有資料'")</f>
        <v>172</v>
      </c>
      <c r="Q1110" s="245" t="s">
        <v>3815</v>
      </c>
      <c r="R1110" s="297">
        <f>IFERROR(RANK(VLOOKUP($G1110,連買!$A:$D,4,0),連買!$D:$D,0),"'沒有資料'")</f>
        <v>424</v>
      </c>
      <c r="S1110" s="34">
        <v>0.7</v>
      </c>
      <c r="T1110" s="353">
        <f t="shared" si="213"/>
        <v>1.5642458100558657E-2</v>
      </c>
      <c r="U1110" s="95">
        <v>4.17</v>
      </c>
      <c r="V1110" s="36">
        <f>RTD("money.excel",,"3605","Price")</f>
        <v>44.75</v>
      </c>
      <c r="W1110" s="66"/>
      <c r="X1110" s="15">
        <f t="shared" si="210"/>
        <v>44.75</v>
      </c>
      <c r="Y1110" s="3" t="e">
        <f t="shared" si="211"/>
        <v>#DIV/0!</v>
      </c>
      <c r="Z1110" s="413" t="s">
        <v>1801</v>
      </c>
      <c r="AA1110" s="161">
        <v>0</v>
      </c>
      <c r="AB1110" s="409">
        <v>0</v>
      </c>
      <c r="AC1110" s="259">
        <f t="shared" si="215"/>
        <v>0</v>
      </c>
      <c r="AD1110" s="22" t="s">
        <v>393</v>
      </c>
      <c r="AG1110" s="33">
        <f t="shared" si="212"/>
        <v>0</v>
      </c>
      <c r="AH1110" s="43" t="s">
        <v>2016</v>
      </c>
      <c r="AI1110" s="63">
        <f t="shared" si="214"/>
        <v>4.9029850746268658E-3</v>
      </c>
      <c r="AJ1110" s="307">
        <f>RTD("money.excel",,$G1110,"PredictVolume")</f>
        <v>657</v>
      </c>
      <c r="AK1110" s="339"/>
    </row>
    <row r="1111" spans="1:37">
      <c r="A1111" s="416">
        <v>12.1</v>
      </c>
      <c r="B1111" s="80">
        <v>-245</v>
      </c>
      <c r="C1111" s="79">
        <v>33</v>
      </c>
      <c r="D1111" s="79">
        <v>1</v>
      </c>
      <c r="E1111" s="79">
        <v>3</v>
      </c>
      <c r="F1111" s="6">
        <v>-16.809999999999999</v>
      </c>
      <c r="G1111" s="79">
        <v>3607</v>
      </c>
      <c r="H1111" s="8" t="s">
        <v>310</v>
      </c>
      <c r="I1111" s="22" t="s">
        <v>233</v>
      </c>
      <c r="J1111" s="73">
        <v>29.04</v>
      </c>
      <c r="K1111" s="73">
        <v>6.38</v>
      </c>
      <c r="L1111" s="73">
        <v>8.2100000000000009</v>
      </c>
      <c r="N1111" s="318">
        <f t="shared" si="216"/>
        <v>43.63</v>
      </c>
      <c r="O1111" s="81">
        <f>IFERROR(VLOOKUP($G1111,'321買'!A:E,3,0),"'沒有資料'")</f>
        <v>5</v>
      </c>
      <c r="P1111" s="380">
        <f>IFERROR(VLOOKUP($G1111,'321買'!$A:$G,7,0),"'沒有資料'")</f>
        <v>558</v>
      </c>
      <c r="R1111" s="297">
        <f>IFERROR(RANK(VLOOKUP($G1111,連買!$A:$D,4,0),連買!$D:$D,0),"'沒有資料'")</f>
        <v>1082</v>
      </c>
      <c r="S1111" s="34">
        <v>0</v>
      </c>
      <c r="T1111" s="353">
        <f t="shared" si="213"/>
        <v>0</v>
      </c>
      <c r="U1111" s="95">
        <v>-3.32</v>
      </c>
      <c r="V1111" s="36">
        <f>RTD("money.excel",,"3607","Price")</f>
        <v>13.25</v>
      </c>
      <c r="W1111" s="66"/>
      <c r="X1111" s="15">
        <f t="shared" si="210"/>
        <v>13.25</v>
      </c>
      <c r="Y1111" s="3" t="e">
        <f t="shared" si="211"/>
        <v>#DIV/0!</v>
      </c>
      <c r="AA1111" s="161">
        <v>0</v>
      </c>
      <c r="AB1111" s="409">
        <v>0</v>
      </c>
      <c r="AC1111" s="259">
        <f t="shared" si="215"/>
        <v>0</v>
      </c>
      <c r="AD1111" s="22" t="s">
        <v>233</v>
      </c>
      <c r="AG1111" s="33">
        <f t="shared" si="212"/>
        <v>0</v>
      </c>
      <c r="AH1111" s="120" t="s">
        <v>2773</v>
      </c>
      <c r="AI1111" s="63">
        <f t="shared" si="214"/>
        <v>2.9917355371900825E-3</v>
      </c>
      <c r="AJ1111" s="307">
        <f>RTD("money.excel",,$G1111,"PredictVolume")</f>
        <v>362</v>
      </c>
      <c r="AK1111" s="339"/>
    </row>
    <row r="1112" spans="1:37">
      <c r="A1112" s="416">
        <v>3.07</v>
      </c>
      <c r="B1112" s="80">
        <v>-776</v>
      </c>
      <c r="C1112" s="94">
        <v>-1147</v>
      </c>
      <c r="D1112" s="79">
        <v>54</v>
      </c>
      <c r="E1112" s="80">
        <v>-6</v>
      </c>
      <c r="F1112" s="6">
        <v>-4.43</v>
      </c>
      <c r="G1112" s="79">
        <v>3609</v>
      </c>
      <c r="H1112" s="8" t="s">
        <v>310</v>
      </c>
      <c r="I1112" s="16" t="s">
        <v>4913</v>
      </c>
      <c r="J1112" s="323">
        <v>52.18</v>
      </c>
      <c r="K1112" s="73">
        <v>1.1499999999999999</v>
      </c>
      <c r="L1112" s="73">
        <v>15.49</v>
      </c>
      <c r="N1112" s="318">
        <f t="shared" si="216"/>
        <v>68.819999999999993</v>
      </c>
      <c r="O1112" s="81">
        <f>IFERROR(VLOOKUP($G1112,'321買'!A:E,3,0),"'沒有資料'")</f>
        <v>6</v>
      </c>
      <c r="P1112" s="380">
        <f>IFERROR(VLOOKUP($G1112,'321買'!$A:$G,7,0),"'沒有資料'")</f>
        <v>521</v>
      </c>
      <c r="R1112" s="297">
        <f>IFERROR(RANK(VLOOKUP($G1112,連買!$A:$D,4,0),連買!$D:$D,0),"'沒有資料'")</f>
        <v>473</v>
      </c>
      <c r="S1112" s="34">
        <v>0</v>
      </c>
      <c r="T1112" s="353">
        <f t="shared" si="213"/>
        <v>0</v>
      </c>
      <c r="U1112" s="57">
        <v>-0.19</v>
      </c>
      <c r="V1112" s="36">
        <f>RTD("money.excel",,"3609","Price")</f>
        <v>54.6</v>
      </c>
      <c r="W1112" s="66"/>
      <c r="X1112" s="15">
        <f t="shared" si="210"/>
        <v>54.6</v>
      </c>
      <c r="Y1112" s="35" t="e">
        <f t="shared" si="211"/>
        <v>#DIV/0!</v>
      </c>
      <c r="AA1112" s="161">
        <v>0</v>
      </c>
      <c r="AB1112" s="409">
        <v>0</v>
      </c>
      <c r="AC1112" s="259">
        <f t="shared" si="215"/>
        <v>0</v>
      </c>
      <c r="AD1112" s="16" t="s">
        <v>4913</v>
      </c>
      <c r="AG1112" s="33">
        <f t="shared" si="212"/>
        <v>0</v>
      </c>
      <c r="AH1112" s="43" t="s">
        <v>2589</v>
      </c>
      <c r="AI1112" s="63">
        <f t="shared" si="214"/>
        <v>6.840390879478827E-4</v>
      </c>
      <c r="AJ1112" s="307">
        <f>RTD("money.excel",,$G1112,"PredictVolume")</f>
        <v>21</v>
      </c>
      <c r="AK1112" s="339"/>
    </row>
    <row r="1113" spans="1:37">
      <c r="A1113" s="415">
        <v>11.7</v>
      </c>
      <c r="B1113" s="79">
        <v>179</v>
      </c>
      <c r="C1113" s="79">
        <v>203</v>
      </c>
      <c r="D1113" s="80">
        <v>-19</v>
      </c>
      <c r="E1113" s="79">
        <v>49</v>
      </c>
      <c r="F1113" s="57">
        <v>19.670000000000002</v>
      </c>
      <c r="G1113" s="79">
        <v>3624</v>
      </c>
      <c r="H1113" s="8" t="s">
        <v>310</v>
      </c>
      <c r="I1113" s="16" t="s">
        <v>4914</v>
      </c>
      <c r="J1113" s="73">
        <v>58.02</v>
      </c>
      <c r="K1113" s="73">
        <v>57.64</v>
      </c>
      <c r="L1113" s="73">
        <v>27.45</v>
      </c>
      <c r="M1113" s="323">
        <v>42.24</v>
      </c>
      <c r="N1113" s="73">
        <f t="shared" si="216"/>
        <v>185.35</v>
      </c>
      <c r="O1113" s="81">
        <f>IFERROR(VLOOKUP($G1113,'321買'!A:E,3,0),"'沒有資料'")</f>
        <v>57</v>
      </c>
      <c r="P1113" s="380">
        <f>IFERROR(VLOOKUP($G1113,'321買'!$A:$G,7,0),"'沒有資料'")</f>
        <v>35</v>
      </c>
      <c r="Q1113" s="245" t="s">
        <v>5088</v>
      </c>
      <c r="R1113" s="297">
        <f>IFERROR(RANK(VLOOKUP($G1113,連買!$A:$D,4,0),連買!$D:$D,0),"'沒有資料'")</f>
        <v>580</v>
      </c>
      <c r="S1113" s="34">
        <v>2.2000000000000002</v>
      </c>
      <c r="T1113" s="353">
        <f t="shared" si="213"/>
        <v>2.3783783783783787E-2</v>
      </c>
      <c r="U1113" s="57">
        <v>4.04</v>
      </c>
      <c r="V1113" s="13">
        <f>RTD("money.excel",,"3624","Price")</f>
        <v>92.5</v>
      </c>
      <c r="W1113" s="66"/>
      <c r="X1113" s="15">
        <f t="shared" si="210"/>
        <v>92.5</v>
      </c>
      <c r="Y1113" s="35" t="e">
        <f t="shared" si="211"/>
        <v>#DIV/0!</v>
      </c>
      <c r="Z1113" s="413" t="s">
        <v>1801</v>
      </c>
      <c r="AA1113" s="161">
        <v>0</v>
      </c>
      <c r="AB1113" s="409">
        <v>0</v>
      </c>
      <c r="AC1113" s="259">
        <f t="shared" si="215"/>
        <v>0</v>
      </c>
      <c r="AD1113" s="16" t="s">
        <v>4914</v>
      </c>
      <c r="AG1113" s="33">
        <f t="shared" si="212"/>
        <v>0</v>
      </c>
      <c r="AH1113" s="43" t="s">
        <v>2590</v>
      </c>
      <c r="AI1113" s="63">
        <f t="shared" si="214"/>
        <v>0.161008547008547</v>
      </c>
      <c r="AJ1113" s="307">
        <f>RTD("money.excel",,$G1113,"PredictVolume")</f>
        <v>18838</v>
      </c>
      <c r="AK1113" s="339">
        <v>48.24</v>
      </c>
    </row>
    <row r="1114" spans="1:37">
      <c r="A1114" s="416">
        <v>8.18</v>
      </c>
      <c r="B1114" s="79">
        <v>53</v>
      </c>
      <c r="C1114" s="79">
        <v>24</v>
      </c>
      <c r="D1114" s="79">
        <v>24</v>
      </c>
      <c r="E1114" s="80">
        <v>-41</v>
      </c>
      <c r="F1114" s="6">
        <v>-34.18</v>
      </c>
      <c r="G1114" s="79">
        <v>3631</v>
      </c>
      <c r="H1114" s="8" t="s">
        <v>310</v>
      </c>
      <c r="I1114" s="16" t="s">
        <v>410</v>
      </c>
      <c r="J1114" s="73">
        <v>80.17</v>
      </c>
      <c r="K1114" s="323">
        <v>14.88</v>
      </c>
      <c r="L1114" s="73">
        <v>35.33</v>
      </c>
      <c r="N1114" s="318">
        <f t="shared" si="216"/>
        <v>130.38</v>
      </c>
      <c r="O1114" s="81" t="str">
        <f>IFERROR(VLOOKUP($G1114,'321買'!A:E,3,0),"'沒有資料'")</f>
        <v>'沒有資料'</v>
      </c>
      <c r="P1114" s="380" t="str">
        <f>IFERROR(VLOOKUP($G1114,'321買'!$A:$G,7,0),"'沒有資料'")</f>
        <v>'沒有資料'</v>
      </c>
      <c r="R1114" s="297">
        <f>IFERROR(RANK(VLOOKUP($G1114,連買!$A:$D,4,0),連買!$D:$D,0),"'沒有資料'")</f>
        <v>853</v>
      </c>
      <c r="S1114" s="34">
        <v>0</v>
      </c>
      <c r="T1114" s="353">
        <f t="shared" si="213"/>
        <v>0</v>
      </c>
      <c r="U1114" s="57">
        <v>-0.04</v>
      </c>
      <c r="V1114" s="36">
        <f>RTD("money.excel",,"3631","Price")</f>
        <v>41.65</v>
      </c>
      <c r="W1114" s="66"/>
      <c r="X1114" s="15">
        <f t="shared" si="210"/>
        <v>41.65</v>
      </c>
      <c r="Y1114" s="35" t="e">
        <f t="shared" si="211"/>
        <v>#DIV/0!</v>
      </c>
      <c r="AA1114" s="161">
        <v>0</v>
      </c>
      <c r="AB1114" s="409">
        <v>0</v>
      </c>
      <c r="AC1114" s="259">
        <f t="shared" si="215"/>
        <v>0</v>
      </c>
      <c r="AD1114" s="16" t="s">
        <v>410</v>
      </c>
      <c r="AG1114" s="33">
        <f t="shared" si="212"/>
        <v>0</v>
      </c>
      <c r="AH1114" s="43" t="s">
        <v>2591</v>
      </c>
      <c r="AI1114" s="63">
        <f t="shared" si="214"/>
        <v>7.3349633251833748E-5</v>
      </c>
      <c r="AJ1114" s="307">
        <f>RTD("money.excel",,$G1114,"PredictVolume")</f>
        <v>6</v>
      </c>
      <c r="AK1114" s="339"/>
    </row>
    <row r="1115" spans="1:37">
      <c r="A1115" s="415">
        <v>13</v>
      </c>
      <c r="B1115" s="79">
        <v>11</v>
      </c>
      <c r="C1115" s="79">
        <v>27</v>
      </c>
      <c r="D1115" s="79">
        <v>7</v>
      </c>
      <c r="E1115" s="79">
        <v>20</v>
      </c>
      <c r="F1115" s="57">
        <v>17.62</v>
      </c>
      <c r="G1115" s="79">
        <v>3645</v>
      </c>
      <c r="H1115" s="208" t="s">
        <v>310</v>
      </c>
      <c r="I1115" s="22" t="s">
        <v>174</v>
      </c>
      <c r="J1115" s="323">
        <v>36.46</v>
      </c>
      <c r="K1115" s="323">
        <v>13.77</v>
      </c>
      <c r="L1115" s="323">
        <v>9.5500000000000007</v>
      </c>
      <c r="N1115" s="318">
        <f t="shared" si="216"/>
        <v>59.78</v>
      </c>
      <c r="O1115" s="81">
        <f>IFERROR(VLOOKUP($G1115,'321買'!A:E,3,0),"'沒有資料'")</f>
        <v>7</v>
      </c>
      <c r="P1115" s="380">
        <f>IFERROR(VLOOKUP($G1115,'321買'!$A:$G,7,0),"'沒有資料'")</f>
        <v>448</v>
      </c>
      <c r="R1115" s="297">
        <f>IFERROR(RANK(VLOOKUP($G1115,連買!$A:$D,4,0),連買!$D:$D,0),"'沒有資料'")</f>
        <v>429</v>
      </c>
      <c r="S1115" s="34">
        <v>1.5</v>
      </c>
      <c r="T1115" s="353">
        <f t="shared" si="213"/>
        <v>2.5773195876288658E-2</v>
      </c>
      <c r="U1115" s="95">
        <v>2.87</v>
      </c>
      <c r="V1115" s="36">
        <f>RTD("money.excel",,"3645","Price")</f>
        <v>58.2</v>
      </c>
      <c r="W1115" s="66"/>
      <c r="X1115" s="15">
        <f t="shared" si="210"/>
        <v>58.2</v>
      </c>
      <c r="Y1115" s="3" t="e">
        <f t="shared" si="211"/>
        <v>#DIV/0!</v>
      </c>
      <c r="Z1115" s="413" t="s">
        <v>1801</v>
      </c>
      <c r="AA1115" s="161">
        <v>0</v>
      </c>
      <c r="AB1115" s="409">
        <v>0</v>
      </c>
      <c r="AC1115" s="259">
        <f t="shared" si="215"/>
        <v>0</v>
      </c>
      <c r="AD1115" s="22" t="s">
        <v>174</v>
      </c>
      <c r="AG1115" s="33">
        <f t="shared" si="212"/>
        <v>0</v>
      </c>
      <c r="AH1115" s="122" t="s">
        <v>2774</v>
      </c>
      <c r="AI1115" s="63">
        <f t="shared" si="214"/>
        <v>9.5092307692307698E-2</v>
      </c>
      <c r="AJ1115" s="307">
        <f>RTD("money.excel",,$G1115,"PredictVolume")</f>
        <v>12362</v>
      </c>
      <c r="AK1115" s="339"/>
    </row>
    <row r="1116" spans="1:37">
      <c r="A1116" s="415">
        <v>3.93</v>
      </c>
      <c r="B1116" s="91">
        <v>147</v>
      </c>
      <c r="C1116" s="91">
        <v>118</v>
      </c>
      <c r="D1116" s="91">
        <v>-4</v>
      </c>
      <c r="E1116" s="91">
        <v>8.94</v>
      </c>
      <c r="F1116" s="57">
        <v>10.32</v>
      </c>
      <c r="G1116" s="79">
        <v>3646</v>
      </c>
      <c r="H1116" s="8" t="s">
        <v>310</v>
      </c>
      <c r="I1116" s="16" t="s">
        <v>4915</v>
      </c>
      <c r="J1116" s="73">
        <v>30.01</v>
      </c>
      <c r="K1116" s="73">
        <v>6.32</v>
      </c>
      <c r="L1116" s="73">
        <v>14.23</v>
      </c>
      <c r="N1116" s="318">
        <f t="shared" si="216"/>
        <v>50.56</v>
      </c>
      <c r="O1116" s="81">
        <f>IFERROR(VLOOKUP($G1116,'321買'!A:E,3,0),"'沒有資料'")</f>
        <v>2</v>
      </c>
      <c r="P1116" s="380">
        <f>IFERROR(VLOOKUP($G1116,'321買'!$A:$G,7,0),"'沒有資料'")</f>
        <v>706</v>
      </c>
      <c r="R1116" s="297">
        <f>IFERROR(RANK(VLOOKUP($G1116,連買!$A:$D,4,0),連買!$D:$D,0),"'沒有資料'")</f>
        <v>807</v>
      </c>
      <c r="S1116" s="34">
        <v>0.92</v>
      </c>
      <c r="T1116" s="353">
        <f t="shared" si="213"/>
        <v>3.4392523364485984E-2</v>
      </c>
      <c r="U1116" s="95">
        <v>1.1599999999999999</v>
      </c>
      <c r="V1116" s="36">
        <f>RTD("money.excel",,"3646","Price")</f>
        <v>26.75</v>
      </c>
      <c r="W1116" s="66"/>
      <c r="X1116" s="15">
        <f t="shared" si="210"/>
        <v>26.75</v>
      </c>
      <c r="Y1116" s="3" t="e">
        <f t="shared" si="211"/>
        <v>#DIV/0!</v>
      </c>
      <c r="AA1116" s="161">
        <v>0</v>
      </c>
      <c r="AB1116" s="409">
        <v>0</v>
      </c>
      <c r="AC1116" s="259">
        <f t="shared" si="215"/>
        <v>0</v>
      </c>
      <c r="AD1116" s="16" t="s">
        <v>4915</v>
      </c>
      <c r="AG1116" s="33">
        <f t="shared" si="212"/>
        <v>0</v>
      </c>
      <c r="AH1116" s="43" t="s">
        <v>2016</v>
      </c>
      <c r="AI1116" s="63">
        <f t="shared" si="214"/>
        <v>2.697201017811705E-3</v>
      </c>
      <c r="AJ1116" s="307">
        <f>RTD("money.excel",,$G1116,"PredictVolume")</f>
        <v>106</v>
      </c>
      <c r="AK1116" s="339"/>
    </row>
    <row r="1117" spans="1:37">
      <c r="A1117" s="415">
        <v>12.2</v>
      </c>
      <c r="B1117" s="79">
        <v>26</v>
      </c>
      <c r="C1117" s="79">
        <v>52</v>
      </c>
      <c r="D1117" s="79">
        <v>36</v>
      </c>
      <c r="E1117" s="79">
        <v>40</v>
      </c>
      <c r="F1117" s="57">
        <v>19.43</v>
      </c>
      <c r="G1117" s="79">
        <v>3653</v>
      </c>
      <c r="H1117" s="208" t="s">
        <v>310</v>
      </c>
      <c r="I1117" s="22" t="s">
        <v>394</v>
      </c>
      <c r="J1117" s="73">
        <v>78.89</v>
      </c>
      <c r="K1117" s="73">
        <v>27.82</v>
      </c>
      <c r="L1117" s="323">
        <v>4.5999999999999996</v>
      </c>
      <c r="M1117" s="323">
        <v>28.46</v>
      </c>
      <c r="N1117" s="73">
        <f t="shared" si="216"/>
        <v>139.77000000000001</v>
      </c>
      <c r="O1117" s="81">
        <f>IFERROR(VLOOKUP($G1117,'321買'!A:E,3,0),"'沒有資料'")</f>
        <v>41</v>
      </c>
      <c r="P1117" s="380">
        <f>IFERROR(VLOOKUP($G1117,'321買'!$A:$G,7,0),"'沒有資料'")</f>
        <v>100</v>
      </c>
      <c r="Q1117" s="388" t="s">
        <v>3816</v>
      </c>
      <c r="R1117" s="297">
        <f>IFERROR(RANK(VLOOKUP($G1117,連買!$A:$D,4,0),連買!$D:$D,0),"'沒有資料'")</f>
        <v>32</v>
      </c>
      <c r="S1117" s="45">
        <v>7</v>
      </c>
      <c r="T1117" s="353">
        <f t="shared" si="213"/>
        <v>1.7500000000000002E-2</v>
      </c>
      <c r="U1117" s="57">
        <v>6.82</v>
      </c>
      <c r="V1117" s="36">
        <f>RTD("money.excel",,"3653","Price")</f>
        <v>400</v>
      </c>
      <c r="W1117" s="66"/>
      <c r="X1117" s="15">
        <f t="shared" si="210"/>
        <v>400</v>
      </c>
      <c r="Y1117" s="3" t="e">
        <f t="shared" si="211"/>
        <v>#DIV/0!</v>
      </c>
      <c r="Z1117" s="413" t="s">
        <v>8642</v>
      </c>
      <c r="AA1117" s="161">
        <v>0</v>
      </c>
      <c r="AB1117" s="409">
        <v>0</v>
      </c>
      <c r="AC1117" s="259">
        <f t="shared" si="215"/>
        <v>0</v>
      </c>
      <c r="AD1117" s="22" t="s">
        <v>394</v>
      </c>
      <c r="AG1117" s="33">
        <f t="shared" si="212"/>
        <v>0</v>
      </c>
      <c r="AH1117" s="43" t="s">
        <v>2585</v>
      </c>
      <c r="AI1117" s="63">
        <f t="shared" si="214"/>
        <v>3.377049180327869E-3</v>
      </c>
      <c r="AJ1117" s="307">
        <f>RTD("money.excel",,$G1117,"PredictVolume")</f>
        <v>412</v>
      </c>
      <c r="AK1117" s="339">
        <v>7.42</v>
      </c>
    </row>
    <row r="1118" spans="1:37">
      <c r="A1118" s="415">
        <v>6.25</v>
      </c>
      <c r="B1118" s="79">
        <v>537</v>
      </c>
      <c r="C1118" s="79">
        <v>935</v>
      </c>
      <c r="D1118" s="79">
        <v>13</v>
      </c>
      <c r="E1118" s="79">
        <v>48</v>
      </c>
      <c r="F1118" s="57">
        <v>14.37</v>
      </c>
      <c r="G1118" s="79">
        <v>3679</v>
      </c>
      <c r="H1118" s="208" t="s">
        <v>310</v>
      </c>
      <c r="I1118" s="22" t="s">
        <v>227</v>
      </c>
      <c r="J1118" s="323">
        <v>70.010000000000005</v>
      </c>
      <c r="K1118" s="73">
        <v>14.95</v>
      </c>
      <c r="L1118" s="73">
        <v>10.220000000000001</v>
      </c>
      <c r="N1118" s="318">
        <f t="shared" si="216"/>
        <v>95.18</v>
      </c>
      <c r="O1118" s="81">
        <f>IFERROR(VLOOKUP($G1118,'321買'!A:E,3,0),"'沒有資料'")</f>
        <v>0</v>
      </c>
      <c r="P1118" s="380">
        <f>IFERROR(VLOOKUP($G1118,'321買'!$A:$G,7,0),"'沒有資料'")</f>
        <v>911</v>
      </c>
      <c r="R1118" s="297">
        <f>IFERROR(RANK(VLOOKUP($G1118,連買!$A:$D,4,0),連買!$D:$D,0),"'沒有資料'")</f>
        <v>1660</v>
      </c>
      <c r="S1118" s="66">
        <v>4</v>
      </c>
      <c r="T1118" s="353">
        <f t="shared" si="213"/>
        <v>4.7058823529411764E-2</v>
      </c>
      <c r="U1118" s="95">
        <v>11.58</v>
      </c>
      <c r="V1118" s="36">
        <f>RTD("money.excel",,"3679","Price")</f>
        <v>85</v>
      </c>
      <c r="W1118" s="66"/>
      <c r="X1118" s="15">
        <f t="shared" si="210"/>
        <v>85</v>
      </c>
      <c r="Y1118" s="3" t="e">
        <f t="shared" si="211"/>
        <v>#DIV/0!</v>
      </c>
      <c r="Z1118" s="413" t="s">
        <v>1831</v>
      </c>
      <c r="AA1118" s="161">
        <v>0</v>
      </c>
      <c r="AB1118" s="409">
        <v>0</v>
      </c>
      <c r="AC1118" s="259">
        <f t="shared" si="215"/>
        <v>0</v>
      </c>
      <c r="AD1118" s="22" t="s">
        <v>227</v>
      </c>
      <c r="AG1118" s="33">
        <f t="shared" si="212"/>
        <v>0</v>
      </c>
      <c r="AH1118" s="43" t="s">
        <v>2095</v>
      </c>
      <c r="AI1118" s="63">
        <f t="shared" si="214"/>
        <v>5.1199999999999998E-4</v>
      </c>
      <c r="AJ1118" s="307">
        <f>RTD("money.excel",,$G1118,"PredictVolume")</f>
        <v>32</v>
      </c>
      <c r="AK1118" s="339"/>
    </row>
    <row r="1119" spans="1:37">
      <c r="A1119" s="416">
        <v>6.97</v>
      </c>
      <c r="B1119" s="242">
        <v>181780</v>
      </c>
      <c r="C1119" s="93">
        <v>2718</v>
      </c>
      <c r="D1119" s="79">
        <v>13</v>
      </c>
      <c r="E1119" s="79">
        <v>9</v>
      </c>
      <c r="F1119" s="6">
        <v>1.38</v>
      </c>
      <c r="G1119" s="79">
        <v>3689</v>
      </c>
      <c r="H1119" s="8" t="s">
        <v>310</v>
      </c>
      <c r="I1119" s="16" t="s">
        <v>4916</v>
      </c>
      <c r="J1119" s="73">
        <v>16.64</v>
      </c>
      <c r="K1119" s="73">
        <v>4.38</v>
      </c>
      <c r="L1119" s="73">
        <v>18.7</v>
      </c>
      <c r="N1119" s="318">
        <f t="shared" si="216"/>
        <v>39.72</v>
      </c>
      <c r="O1119" s="81">
        <f>IFERROR(VLOOKUP($G1119,'321買'!A:E,3,0),"'沒有資料'")</f>
        <v>55</v>
      </c>
      <c r="P1119" s="380">
        <f>IFERROR(VLOOKUP($G1119,'321買'!$A:$G,7,0),"'沒有資料'")</f>
        <v>53</v>
      </c>
      <c r="R1119" s="297">
        <f>IFERROR(RANK(VLOOKUP($G1119,連買!$A:$D,4,0),連買!$D:$D,0),"'沒有資料'")</f>
        <v>516</v>
      </c>
      <c r="S1119" s="34">
        <v>1.3</v>
      </c>
      <c r="T1119" s="353">
        <f t="shared" si="213"/>
        <v>2.7896995708154508E-2</v>
      </c>
      <c r="U1119" s="95">
        <v>1.37</v>
      </c>
      <c r="V1119" s="36">
        <f>RTD("money.excel",,"3689","Price")</f>
        <v>46.6</v>
      </c>
      <c r="W1119" s="66"/>
      <c r="X1119" s="15">
        <f t="shared" si="210"/>
        <v>46.6</v>
      </c>
      <c r="Y1119" s="3" t="e">
        <f t="shared" si="211"/>
        <v>#DIV/0!</v>
      </c>
      <c r="AA1119" s="161">
        <v>0</v>
      </c>
      <c r="AB1119" s="409">
        <v>0</v>
      </c>
      <c r="AC1119" s="259">
        <f t="shared" si="215"/>
        <v>0</v>
      </c>
      <c r="AD1119" s="16" t="s">
        <v>4916</v>
      </c>
      <c r="AG1119" s="33">
        <f t="shared" si="212"/>
        <v>0</v>
      </c>
      <c r="AH1119" s="43" t="s">
        <v>2016</v>
      </c>
      <c r="AI1119" s="63">
        <f t="shared" si="214"/>
        <v>8.9956958393113337E-3</v>
      </c>
      <c r="AJ1119" s="307">
        <f>RTD("money.excel",,$G1119,"PredictVolume")</f>
        <v>627</v>
      </c>
      <c r="AK1119" s="339"/>
    </row>
    <row r="1120" spans="1:37">
      <c r="A1120" s="416">
        <v>20.7</v>
      </c>
      <c r="B1120" s="79">
        <v>63</v>
      </c>
      <c r="C1120" s="79">
        <v>95</v>
      </c>
      <c r="D1120" s="79">
        <v>9</v>
      </c>
      <c r="E1120" s="79">
        <v>9</v>
      </c>
      <c r="F1120" s="6">
        <v>-0.21</v>
      </c>
      <c r="G1120" s="79">
        <v>3710</v>
      </c>
      <c r="H1120" s="8" t="s">
        <v>310</v>
      </c>
      <c r="I1120" s="16" t="s">
        <v>420</v>
      </c>
      <c r="J1120" s="73">
        <v>30.54</v>
      </c>
      <c r="K1120" s="323">
        <v>2.63</v>
      </c>
      <c r="L1120" s="323">
        <v>0</v>
      </c>
      <c r="N1120" s="318">
        <f t="shared" si="216"/>
        <v>33.17</v>
      </c>
      <c r="O1120" s="81">
        <f>IFERROR(VLOOKUP($G1120,'321買'!A:E,3,0),"'沒有資料'")</f>
        <v>4</v>
      </c>
      <c r="P1120" s="380">
        <f>IFERROR(VLOOKUP($G1120,'321買'!$A:$G,7,0),"'沒有資料'")</f>
        <v>592</v>
      </c>
      <c r="R1120" s="297">
        <f>IFERROR(RANK(VLOOKUP($G1120,連買!$A:$D,4,0),連買!$D:$D,0),"'沒有資料'")</f>
        <v>1141</v>
      </c>
      <c r="S1120" s="34">
        <v>0</v>
      </c>
      <c r="T1120" s="353">
        <f t="shared" si="213"/>
        <v>0</v>
      </c>
      <c r="U1120" s="95">
        <v>-0.78</v>
      </c>
      <c r="V1120" s="36">
        <f>RTD("money.excel",,"3710","Price")</f>
        <v>12.3</v>
      </c>
      <c r="W1120" s="66"/>
      <c r="X1120" s="15">
        <f t="shared" si="210"/>
        <v>12.3</v>
      </c>
      <c r="Y1120" s="3" t="e">
        <f t="shared" si="211"/>
        <v>#DIV/0!</v>
      </c>
      <c r="Z1120" s="413" t="s">
        <v>1801</v>
      </c>
      <c r="AA1120" s="161">
        <v>0</v>
      </c>
      <c r="AB1120" s="409">
        <v>0</v>
      </c>
      <c r="AC1120" s="259">
        <f t="shared" si="215"/>
        <v>0</v>
      </c>
      <c r="AD1120" s="16" t="s">
        <v>420</v>
      </c>
      <c r="AG1120" s="33">
        <f t="shared" si="212"/>
        <v>0</v>
      </c>
      <c r="AH1120" s="43" t="s">
        <v>3073</v>
      </c>
      <c r="AI1120" s="63">
        <f t="shared" si="214"/>
        <v>1.5594202898550725E-2</v>
      </c>
      <c r="AJ1120" s="307">
        <f>RTD("money.excel",,$G1120,"PredictVolume")</f>
        <v>3228</v>
      </c>
      <c r="AK1120" s="339"/>
    </row>
    <row r="1121" spans="1:39">
      <c r="A1121" s="416">
        <v>3.23</v>
      </c>
      <c r="B1121" s="80">
        <v>-57</v>
      </c>
      <c r="C1121" s="80">
        <v>-74</v>
      </c>
      <c r="D1121" s="79">
        <v>24</v>
      </c>
      <c r="E1121" s="79">
        <v>126</v>
      </c>
      <c r="F1121" s="6">
        <v>1.42</v>
      </c>
      <c r="G1121" s="79">
        <v>4542</v>
      </c>
      <c r="H1121" s="8" t="s">
        <v>3620</v>
      </c>
      <c r="I1121" s="16" t="s">
        <v>411</v>
      </c>
      <c r="J1121" s="73">
        <v>49.92</v>
      </c>
      <c r="K1121" s="323">
        <v>3.54</v>
      </c>
      <c r="M1121" s="323">
        <v>18.75</v>
      </c>
      <c r="N1121" s="318">
        <f t="shared" si="216"/>
        <v>72.210000000000008</v>
      </c>
      <c r="O1121" s="81">
        <f>IFERROR(VLOOKUP($G1121,'321買'!A:E,3,0),"'沒有資料'")</f>
        <v>0</v>
      </c>
      <c r="P1121" s="380">
        <f>IFERROR(VLOOKUP($G1121,'321買'!$A:$G,7,0),"'沒有資料'")</f>
        <v>911</v>
      </c>
      <c r="R1121" s="297">
        <f>IFERROR(RANK(VLOOKUP($G1121,連買!$A:$D,4,0),連買!$D:$D,0),"'沒有資料'")</f>
        <v>1286</v>
      </c>
      <c r="S1121" s="34">
        <v>1</v>
      </c>
      <c r="T1121" s="353">
        <f t="shared" si="213"/>
        <v>3.7105751391465679E-2</v>
      </c>
      <c r="U1121" s="95">
        <v>0.24</v>
      </c>
      <c r="V1121" s="36">
        <f>RTD("money.excel",,"4542","Price")</f>
        <v>26.95</v>
      </c>
      <c r="W1121" s="66"/>
      <c r="X1121" s="15">
        <f t="shared" si="210"/>
        <v>26.95</v>
      </c>
      <c r="Y1121" s="3" t="e">
        <f t="shared" si="211"/>
        <v>#DIV/0!</v>
      </c>
      <c r="AA1121" s="161">
        <v>0</v>
      </c>
      <c r="AB1121" s="409">
        <v>0</v>
      </c>
      <c r="AC1121" s="259">
        <f t="shared" si="215"/>
        <v>0</v>
      </c>
      <c r="AD1121" s="16" t="s">
        <v>4917</v>
      </c>
      <c r="AG1121" s="33">
        <f t="shared" si="212"/>
        <v>0</v>
      </c>
      <c r="AH1121" s="43" t="s">
        <v>2475</v>
      </c>
      <c r="AI1121" s="63">
        <f t="shared" si="214"/>
        <v>6.1919504643962852E-4</v>
      </c>
      <c r="AJ1121" s="307">
        <f>RTD("money.excel",,$G1121,"PredictVolume")</f>
        <v>20</v>
      </c>
      <c r="AK1121" s="339"/>
    </row>
    <row r="1122" spans="1:39">
      <c r="A1122" s="416">
        <v>7.7</v>
      </c>
      <c r="B1122" s="91">
        <v>136</v>
      </c>
      <c r="C1122" s="91">
        <v>80</v>
      </c>
      <c r="D1122" s="91">
        <v>-35</v>
      </c>
      <c r="E1122" s="91">
        <v>38</v>
      </c>
      <c r="F1122" s="6">
        <v>-6.33</v>
      </c>
      <c r="G1122" s="79">
        <v>4545</v>
      </c>
      <c r="H1122" s="208" t="s">
        <v>310</v>
      </c>
      <c r="I1122" s="22" t="s">
        <v>395</v>
      </c>
      <c r="J1122" s="73">
        <v>76.680000000000007</v>
      </c>
      <c r="K1122" s="73">
        <v>34.659999999999997</v>
      </c>
      <c r="L1122" s="73">
        <v>17.02</v>
      </c>
      <c r="N1122" s="318">
        <f t="shared" si="216"/>
        <v>128.36000000000001</v>
      </c>
      <c r="O1122" s="81">
        <f>IFERROR(VLOOKUP($G1122,'321買'!A:E,3,0),"'沒有資料'")</f>
        <v>0</v>
      </c>
      <c r="P1122" s="380">
        <f>IFERROR(VLOOKUP($G1122,'321買'!$A:$G,7,0),"'沒有資料'")</f>
        <v>911</v>
      </c>
      <c r="R1122" s="297">
        <f>IFERROR(RANK(VLOOKUP($G1122,連買!$A:$D,4,0),連買!$D:$D,0),"'沒有資料'")</f>
        <v>766</v>
      </c>
      <c r="S1122" s="34">
        <v>0.55000000000000004</v>
      </c>
      <c r="T1122" s="353">
        <f t="shared" si="213"/>
        <v>1.8032786885245903E-2</v>
      </c>
      <c r="U1122" s="95">
        <v>0.39</v>
      </c>
      <c r="V1122" s="13">
        <f>RTD("money.excel",,"4545","Price")</f>
        <v>30.5</v>
      </c>
      <c r="W1122" s="66"/>
      <c r="X1122" s="15">
        <f t="shared" si="210"/>
        <v>30.5</v>
      </c>
      <c r="Y1122" s="3" t="e">
        <f t="shared" si="211"/>
        <v>#DIV/0!</v>
      </c>
      <c r="AA1122" s="161">
        <v>0</v>
      </c>
      <c r="AB1122" s="409">
        <v>0</v>
      </c>
      <c r="AC1122" s="259">
        <f t="shared" si="215"/>
        <v>0</v>
      </c>
      <c r="AD1122" s="22" t="s">
        <v>395</v>
      </c>
      <c r="AG1122" s="33">
        <f t="shared" si="212"/>
        <v>0</v>
      </c>
      <c r="AH1122" s="43" t="s">
        <v>2775</v>
      </c>
      <c r="AI1122" s="63">
        <f t="shared" si="214"/>
        <v>1.4155844155844155E-3</v>
      </c>
      <c r="AJ1122" s="307">
        <f>RTD("money.excel",,$G1122,"PredictVolume")</f>
        <v>109</v>
      </c>
      <c r="AK1122" s="339"/>
    </row>
    <row r="1123" spans="1:39">
      <c r="A1123" s="416">
        <v>5.23</v>
      </c>
      <c r="B1123" s="80">
        <v>-36</v>
      </c>
      <c r="C1123" s="80">
        <v>-33</v>
      </c>
      <c r="D1123" s="80">
        <v>-54</v>
      </c>
      <c r="E1123" s="80">
        <v>-22</v>
      </c>
      <c r="F1123" s="6">
        <v>6.72</v>
      </c>
      <c r="G1123" s="79">
        <v>4912</v>
      </c>
      <c r="H1123" s="208" t="s">
        <v>310</v>
      </c>
      <c r="I1123" s="22" t="s">
        <v>3258</v>
      </c>
      <c r="J1123" s="73">
        <v>61.2</v>
      </c>
      <c r="K1123" s="73">
        <v>35.840000000000003</v>
      </c>
      <c r="L1123" s="73">
        <v>13.56</v>
      </c>
      <c r="N1123" s="318">
        <f t="shared" si="216"/>
        <v>110.60000000000001</v>
      </c>
      <c r="O1123" s="81">
        <f>IFERROR(VLOOKUP($G1123,'321買'!A:E,3,0),"'沒有資料'")</f>
        <v>3</v>
      </c>
      <c r="P1123" s="380">
        <f>IFERROR(VLOOKUP($G1123,'321買'!$A:$G,7,0),"'沒有資料'")</f>
        <v>592</v>
      </c>
      <c r="R1123" s="297">
        <f>IFERROR(RANK(VLOOKUP($G1123,連買!$A:$D,4,0),連買!$D:$D,0),"'沒有資料'")</f>
        <v>36</v>
      </c>
      <c r="S1123" s="34">
        <v>0.93</v>
      </c>
      <c r="T1123" s="353">
        <f t="shared" si="213"/>
        <v>5.7230769230769236E-3</v>
      </c>
      <c r="U1123" s="57">
        <v>9.64</v>
      </c>
      <c r="V1123" s="36">
        <f>RTD("money.excel",,"4912","Price")</f>
        <v>162.5</v>
      </c>
      <c r="W1123" s="66"/>
      <c r="X1123" s="15">
        <f t="shared" si="210"/>
        <v>162.5</v>
      </c>
      <c r="Y1123" s="3" t="e">
        <f t="shared" si="211"/>
        <v>#DIV/0!</v>
      </c>
      <c r="Z1123" s="413" t="s">
        <v>1801</v>
      </c>
      <c r="AA1123" s="161">
        <v>0</v>
      </c>
      <c r="AB1123" s="409">
        <v>0</v>
      </c>
      <c r="AC1123" s="259">
        <f t="shared" si="215"/>
        <v>0</v>
      </c>
      <c r="AD1123" s="22" t="s">
        <v>3258</v>
      </c>
      <c r="AG1123" s="33">
        <f t="shared" si="212"/>
        <v>0</v>
      </c>
      <c r="AH1123" s="43" t="s">
        <v>2769</v>
      </c>
      <c r="AI1123" s="63">
        <f t="shared" si="214"/>
        <v>8.0879541108986597E-3</v>
      </c>
      <c r="AJ1123" s="307">
        <f>RTD("money.excel",,$G1123,"PredictVolume")</f>
        <v>423</v>
      </c>
      <c r="AK1123" s="339"/>
    </row>
    <row r="1124" spans="1:39">
      <c r="A1124" s="416">
        <v>45.1</v>
      </c>
      <c r="B1124" s="80">
        <v>-14</v>
      </c>
      <c r="C1124" s="80">
        <v>-16</v>
      </c>
      <c r="D1124" s="79">
        <v>36</v>
      </c>
      <c r="E1124" s="79">
        <v>2</v>
      </c>
      <c r="F1124" s="6">
        <v>3.37</v>
      </c>
      <c r="G1124" s="79">
        <v>4915</v>
      </c>
      <c r="H1124" s="208" t="s">
        <v>310</v>
      </c>
      <c r="I1124" s="22" t="s">
        <v>48</v>
      </c>
      <c r="J1124" s="73">
        <v>63.45</v>
      </c>
      <c r="K1124" s="73">
        <v>60.54</v>
      </c>
      <c r="L1124" s="323">
        <v>6.24</v>
      </c>
      <c r="N1124" s="318">
        <f t="shared" si="216"/>
        <v>130.23000000000002</v>
      </c>
      <c r="O1124" s="81">
        <f>IFERROR(VLOOKUP($G1124,'321買'!A:E,3,0),"'沒有資料'")</f>
        <v>5</v>
      </c>
      <c r="P1124" s="380">
        <f>IFERROR(VLOOKUP($G1124,'321買'!$A:$G,7,0),"'沒有資料'")</f>
        <v>521</v>
      </c>
      <c r="R1124" s="297">
        <f>IFERROR(RANK(VLOOKUP($G1124,連買!$A:$D,4,0),連買!$D:$D,0),"'沒有資料'")</f>
        <v>584</v>
      </c>
      <c r="S1124" s="66">
        <v>3</v>
      </c>
      <c r="T1124" s="353">
        <f t="shared" si="213"/>
        <v>5.4249547920434002E-2</v>
      </c>
      <c r="U1124" s="57">
        <v>4.3099999999999996</v>
      </c>
      <c r="V1124" s="13">
        <f>RTD("money.excel",,"4915","Price")</f>
        <v>55.3</v>
      </c>
      <c r="W1124" s="66"/>
      <c r="X1124" s="15">
        <f t="shared" si="210"/>
        <v>55.3</v>
      </c>
      <c r="Y1124" s="3" t="e">
        <f t="shared" si="211"/>
        <v>#DIV/0!</v>
      </c>
      <c r="Z1124" s="413" t="s">
        <v>1997</v>
      </c>
      <c r="AA1124" s="161">
        <v>0</v>
      </c>
      <c r="AB1124" s="409">
        <v>0</v>
      </c>
      <c r="AC1124" s="259">
        <f t="shared" si="215"/>
        <v>0</v>
      </c>
      <c r="AD1124" s="22" t="s">
        <v>48</v>
      </c>
      <c r="AG1124" s="33">
        <f t="shared" si="212"/>
        <v>0</v>
      </c>
      <c r="AH1124" s="120" t="s">
        <v>3127</v>
      </c>
      <c r="AI1124" s="63">
        <f t="shared" si="214"/>
        <v>3.9004434589800442E-2</v>
      </c>
      <c r="AJ1124" s="307">
        <f>RTD("money.excel",,$G1124,"PredictVolume")</f>
        <v>17591</v>
      </c>
      <c r="AK1124" s="339"/>
    </row>
    <row r="1125" spans="1:39">
      <c r="A1125" s="416">
        <v>18.899999999999999</v>
      </c>
      <c r="B1125" s="80">
        <v>-16</v>
      </c>
      <c r="C1125" s="80">
        <v>-5</v>
      </c>
      <c r="D1125" s="79">
        <v>0</v>
      </c>
      <c r="E1125" s="79">
        <v>41</v>
      </c>
      <c r="F1125" s="6">
        <v>8.8800000000000008</v>
      </c>
      <c r="G1125" s="79">
        <v>4927</v>
      </c>
      <c r="H1125" s="17" t="s">
        <v>310</v>
      </c>
      <c r="I1125" s="22" t="s">
        <v>449</v>
      </c>
      <c r="J1125" s="73">
        <v>64.66</v>
      </c>
      <c r="K1125" s="323">
        <v>35.32</v>
      </c>
      <c r="L1125" s="73">
        <v>13.44</v>
      </c>
      <c r="M1125" s="73">
        <v>1.57</v>
      </c>
      <c r="N1125" s="318">
        <f t="shared" si="216"/>
        <v>114.98999999999998</v>
      </c>
      <c r="O1125" s="81">
        <f>IFERROR(VLOOKUP($G1125,'321買'!A:E,3,0),"'沒有資料'")</f>
        <v>65</v>
      </c>
      <c r="P1125" s="380">
        <f>IFERROR(VLOOKUP($G1125,'321買'!$A:$G,7,0),"'沒有資料'")</f>
        <v>38</v>
      </c>
      <c r="Q1125" s="245" t="s">
        <v>5088</v>
      </c>
      <c r="R1125" s="297">
        <f>IFERROR(RANK(VLOOKUP($G1125,連買!$A:$D,4,0),連買!$D:$D,0),"'沒有資料'")</f>
        <v>815</v>
      </c>
      <c r="S1125" s="66">
        <v>3</v>
      </c>
      <c r="T1125" s="353">
        <f t="shared" si="213"/>
        <v>2.8985507246376812E-2</v>
      </c>
      <c r="U1125" s="57">
        <v>5.45</v>
      </c>
      <c r="V1125" s="36">
        <f>RTD("money.excel",,"4927","Price")</f>
        <v>103.5</v>
      </c>
      <c r="W1125" s="66"/>
      <c r="X1125" s="15">
        <f t="shared" si="210"/>
        <v>103.5</v>
      </c>
      <c r="Y1125" s="3" t="e">
        <f t="shared" si="211"/>
        <v>#DIV/0!</v>
      </c>
      <c r="Z1125" s="413" t="s">
        <v>1997</v>
      </c>
      <c r="AA1125" s="161">
        <v>0</v>
      </c>
      <c r="AB1125" s="409">
        <v>0</v>
      </c>
      <c r="AC1125" s="259">
        <f t="shared" si="215"/>
        <v>0</v>
      </c>
      <c r="AD1125" s="22" t="s">
        <v>449</v>
      </c>
      <c r="AG1125" s="33">
        <f t="shared" si="212"/>
        <v>0</v>
      </c>
      <c r="AH1125" s="43" t="s">
        <v>1049</v>
      </c>
      <c r="AI1125" s="63">
        <f t="shared" si="214"/>
        <v>7.0105820105820105E-3</v>
      </c>
      <c r="AJ1125" s="307">
        <f>RTD("money.excel",,$G1125,"PredictVolume")</f>
        <v>1325</v>
      </c>
      <c r="AK1125" s="340">
        <v>15.88</v>
      </c>
      <c r="AM1125" s="258"/>
    </row>
    <row r="1126" spans="1:39">
      <c r="A1126" s="415">
        <v>9.82</v>
      </c>
      <c r="B1126" s="79">
        <v>46</v>
      </c>
      <c r="C1126" s="79">
        <v>54</v>
      </c>
      <c r="D1126" s="79">
        <v>5</v>
      </c>
      <c r="E1126" s="80">
        <v>-2</v>
      </c>
      <c r="F1126" s="57">
        <v>14.33</v>
      </c>
      <c r="G1126" s="79">
        <v>4939</v>
      </c>
      <c r="H1126" s="8" t="s">
        <v>310</v>
      </c>
      <c r="I1126" s="16" t="s">
        <v>412</v>
      </c>
      <c r="J1126" s="323">
        <v>13.79</v>
      </c>
      <c r="K1126" s="73">
        <v>3.7</v>
      </c>
      <c r="L1126" s="323">
        <v>24.15</v>
      </c>
      <c r="M1126" s="73">
        <v>10.09</v>
      </c>
      <c r="N1126" s="318">
        <f t="shared" si="216"/>
        <v>51.730000000000004</v>
      </c>
      <c r="O1126" s="81">
        <f>IFERROR(VLOOKUP($G1126,'321買'!A:E,3,0),"'沒有資料'")</f>
        <v>8</v>
      </c>
      <c r="P1126" s="380">
        <f>IFERROR(VLOOKUP($G1126,'321買'!$A:$G,7,0),"'沒有資料'")</f>
        <v>475</v>
      </c>
      <c r="Q1126" s="245" t="s">
        <v>3816</v>
      </c>
      <c r="R1126" s="297">
        <f>IFERROR(RANK(VLOOKUP($G1126,連買!$A:$D,4,0),連買!$D:$D,0),"'沒有資料'")</f>
        <v>686</v>
      </c>
      <c r="S1126" s="34">
        <v>1.25</v>
      </c>
      <c r="T1126" s="353">
        <f t="shared" si="213"/>
        <v>5.605381165919282E-2</v>
      </c>
      <c r="U1126" s="95">
        <v>2.0499999999999998</v>
      </c>
      <c r="V1126" s="36">
        <f>RTD("money.excel",,"4939","Price")</f>
        <v>22.3</v>
      </c>
      <c r="W1126" s="66"/>
      <c r="X1126" s="15">
        <f t="shared" si="210"/>
        <v>22.3</v>
      </c>
      <c r="Y1126" s="3" t="e">
        <f t="shared" si="211"/>
        <v>#DIV/0!</v>
      </c>
      <c r="Z1126" s="413" t="s">
        <v>1801</v>
      </c>
      <c r="AA1126" s="161">
        <v>0</v>
      </c>
      <c r="AB1126" s="409">
        <v>0</v>
      </c>
      <c r="AC1126" s="259">
        <f t="shared" si="215"/>
        <v>0</v>
      </c>
      <c r="AD1126" s="16" t="s">
        <v>412</v>
      </c>
      <c r="AG1126" s="33">
        <f t="shared" si="212"/>
        <v>0</v>
      </c>
      <c r="AH1126" s="43" t="s">
        <v>1050</v>
      </c>
      <c r="AI1126" s="63">
        <f t="shared" si="214"/>
        <v>5.0407331975560084E-3</v>
      </c>
      <c r="AJ1126" s="307">
        <f>RTD("money.excel",,$G1126,"PredictVolume")</f>
        <v>495</v>
      </c>
      <c r="AK1126" s="339">
        <v>42.83</v>
      </c>
    </row>
    <row r="1127" spans="1:39">
      <c r="A1127" s="416">
        <v>15.7</v>
      </c>
      <c r="B1127" s="80">
        <v>-152</v>
      </c>
      <c r="C1127" s="80">
        <v>-103</v>
      </c>
      <c r="D1127" s="80">
        <v>-14</v>
      </c>
      <c r="E1127" s="80">
        <v>-35</v>
      </c>
      <c r="F1127" s="57">
        <v>-0.33</v>
      </c>
      <c r="G1127" s="79">
        <v>4943</v>
      </c>
      <c r="H1127" s="204" t="s">
        <v>310</v>
      </c>
      <c r="I1127" s="22" t="s">
        <v>52</v>
      </c>
      <c r="J1127" s="323">
        <v>47.32</v>
      </c>
      <c r="K1127" s="73">
        <v>37.950000000000003</v>
      </c>
      <c r="L1127" s="323">
        <v>20.87</v>
      </c>
      <c r="N1127" s="318">
        <f t="shared" si="216"/>
        <v>106.14000000000001</v>
      </c>
      <c r="O1127" s="81">
        <f>IFERROR(VLOOKUP($G1127,'321買'!A:E,3,0),"'沒有資料'")</f>
        <v>1</v>
      </c>
      <c r="P1127" s="380">
        <f>IFERROR(VLOOKUP($G1127,'321買'!$A:$G,7,0),"'沒有資料'")</f>
        <v>783</v>
      </c>
      <c r="R1127" s="297">
        <f>IFERROR(RANK(VLOOKUP($G1127,連買!$A:$D,4,0),連買!$D:$D,0),"'沒有資料'")</f>
        <v>1735</v>
      </c>
      <c r="S1127" s="34">
        <v>0</v>
      </c>
      <c r="T1127" s="353">
        <f t="shared" si="213"/>
        <v>0</v>
      </c>
      <c r="U1127" s="95">
        <v>-0.99</v>
      </c>
      <c r="V1127" s="36">
        <f>RTD("money.excel",,"4943","Price")</f>
        <v>24.7</v>
      </c>
      <c r="W1127" s="66"/>
      <c r="X1127" s="15">
        <f t="shared" si="210"/>
        <v>24.7</v>
      </c>
      <c r="Y1127" s="3" t="e">
        <f t="shared" si="211"/>
        <v>#DIV/0!</v>
      </c>
      <c r="Z1127" s="413" t="s">
        <v>1801</v>
      </c>
      <c r="AA1127" s="161">
        <v>0</v>
      </c>
      <c r="AB1127" s="409">
        <v>0</v>
      </c>
      <c r="AC1127" s="259">
        <f t="shared" si="215"/>
        <v>0</v>
      </c>
      <c r="AD1127" s="22" t="s">
        <v>52</v>
      </c>
      <c r="AG1127" s="33">
        <f t="shared" si="212"/>
        <v>0</v>
      </c>
      <c r="AH1127" s="120" t="s">
        <v>2776</v>
      </c>
      <c r="AI1127" s="63">
        <f t="shared" si="214"/>
        <v>9.8726114649681524E-4</v>
      </c>
      <c r="AJ1127" s="307">
        <f>RTD("money.excel",,$G1127,"PredictVolume")</f>
        <v>155</v>
      </c>
      <c r="AK1127" s="339"/>
    </row>
    <row r="1128" spans="1:39">
      <c r="A1128" s="416">
        <v>94.7</v>
      </c>
      <c r="B1128" s="80">
        <v>-20</v>
      </c>
      <c r="C1128" s="80">
        <v>-16</v>
      </c>
      <c r="D1128" s="79">
        <v>24</v>
      </c>
      <c r="E1128" s="79">
        <v>40</v>
      </c>
      <c r="F1128" s="6">
        <v>4.47</v>
      </c>
      <c r="G1128" s="79">
        <v>4958</v>
      </c>
      <c r="H1128" s="208" t="s">
        <v>310</v>
      </c>
      <c r="I1128" s="22" t="s">
        <v>27</v>
      </c>
      <c r="J1128" s="323">
        <v>69.47</v>
      </c>
      <c r="K1128" s="323">
        <v>60.62</v>
      </c>
      <c r="L1128" s="323">
        <v>6.27</v>
      </c>
      <c r="N1128" s="318">
        <f t="shared" si="216"/>
        <v>136.36000000000001</v>
      </c>
      <c r="O1128" s="81">
        <f>IFERROR(VLOOKUP($G1128,'321買'!A:E,3,0),"'沒有資料'")</f>
        <v>3</v>
      </c>
      <c r="P1128" s="380">
        <f>IFERROR(VLOOKUP($G1128,'321買'!$A:$G,7,0),"'沒有資料'")</f>
        <v>636</v>
      </c>
      <c r="R1128" s="297">
        <f>IFERROR(RANK(VLOOKUP($G1128,連買!$A:$D,4,0),連買!$D:$D,0),"'沒有資料'")</f>
        <v>212</v>
      </c>
      <c r="S1128" s="66">
        <v>4.5</v>
      </c>
      <c r="T1128" s="353">
        <f t="shared" si="213"/>
        <v>4.1860465116279069E-2</v>
      </c>
      <c r="U1128" s="57">
        <v>8.27</v>
      </c>
      <c r="V1128" s="13">
        <f>RTD("money.excel",,"4958","Price")</f>
        <v>107.5</v>
      </c>
      <c r="W1128" s="66"/>
      <c r="X1128" s="15">
        <f t="shared" si="210"/>
        <v>107.5</v>
      </c>
      <c r="Y1128" s="3" t="e">
        <f t="shared" si="211"/>
        <v>#DIV/0!</v>
      </c>
      <c r="Z1128" s="413" t="s">
        <v>3823</v>
      </c>
      <c r="AA1128" s="161">
        <v>0</v>
      </c>
      <c r="AB1128" s="409">
        <v>0</v>
      </c>
      <c r="AC1128" s="259">
        <f t="shared" si="215"/>
        <v>0</v>
      </c>
      <c r="AD1128" s="22" t="s">
        <v>27</v>
      </c>
      <c r="AG1128" s="33">
        <f t="shared" si="212"/>
        <v>0</v>
      </c>
      <c r="AH1128" s="120" t="s">
        <v>2487</v>
      </c>
      <c r="AI1128" s="63">
        <f t="shared" si="214"/>
        <v>4.1869060190073918E-3</v>
      </c>
      <c r="AJ1128" s="307">
        <f>RTD("money.excel",,$G1128,"PredictVolume")</f>
        <v>3965</v>
      </c>
      <c r="AK1128" s="339"/>
    </row>
    <row r="1129" spans="1:39">
      <c r="A1129" s="415">
        <v>7.25</v>
      </c>
      <c r="B1129" s="80">
        <v>-3</v>
      </c>
      <c r="C1129" s="79">
        <v>17</v>
      </c>
      <c r="D1129" s="79">
        <v>18</v>
      </c>
      <c r="E1129" s="79">
        <v>46</v>
      </c>
      <c r="F1129" s="57">
        <v>10.4</v>
      </c>
      <c r="G1129" s="79">
        <v>4974</v>
      </c>
      <c r="H1129" s="8" t="s">
        <v>310</v>
      </c>
      <c r="I1129" s="16" t="s">
        <v>4918</v>
      </c>
      <c r="J1129" s="323">
        <v>39.74</v>
      </c>
      <c r="K1129" s="73">
        <v>6.65</v>
      </c>
      <c r="L1129" s="323">
        <v>6.96</v>
      </c>
      <c r="N1129" s="318">
        <f t="shared" si="216"/>
        <v>53.35</v>
      </c>
      <c r="O1129" s="81">
        <f>IFERROR(VLOOKUP($G1129,'321買'!A:E,3,0),"'沒有資料'")</f>
        <v>6</v>
      </c>
      <c r="P1129" s="380">
        <f>IFERROR(VLOOKUP($G1129,'321買'!$A:$G,7,0),"'沒有資料'")</f>
        <v>521</v>
      </c>
      <c r="R1129" s="297">
        <f>IFERROR(RANK(VLOOKUP($G1129,連買!$A:$D,4,0),連買!$D:$D,0),"'沒有資料'")</f>
        <v>415</v>
      </c>
      <c r="S1129" s="66">
        <v>3.5</v>
      </c>
      <c r="T1129" s="353">
        <f t="shared" si="213"/>
        <v>6.1728395061728392E-2</v>
      </c>
      <c r="U1129" s="95">
        <v>5.16</v>
      </c>
      <c r="V1129" s="36">
        <f>RTD("money.excel",,"4974","Price")</f>
        <v>56.7</v>
      </c>
      <c r="W1129" s="66"/>
      <c r="X1129" s="15">
        <f t="shared" si="210"/>
        <v>56.7</v>
      </c>
      <c r="Y1129" s="3" t="e">
        <f t="shared" si="211"/>
        <v>#DIV/0!</v>
      </c>
      <c r="Z1129" s="413" t="s">
        <v>1997</v>
      </c>
      <c r="AA1129" s="161">
        <v>0</v>
      </c>
      <c r="AB1129" s="409">
        <v>0</v>
      </c>
      <c r="AC1129" s="259">
        <f t="shared" si="215"/>
        <v>0</v>
      </c>
      <c r="AD1129" s="16" t="s">
        <v>4918</v>
      </c>
      <c r="AG1129" s="33">
        <f t="shared" si="212"/>
        <v>0</v>
      </c>
      <c r="AH1129" s="120" t="s">
        <v>2592</v>
      </c>
      <c r="AI1129" s="63">
        <f t="shared" si="214"/>
        <v>1.0068965517241379E-3</v>
      </c>
      <c r="AJ1129" s="307">
        <f>RTD("money.excel",,$G1129,"PredictVolume")</f>
        <v>73</v>
      </c>
      <c r="AK1129" s="339"/>
    </row>
    <row r="1130" spans="1:39">
      <c r="A1130" s="415">
        <v>15.3</v>
      </c>
      <c r="B1130" s="93">
        <v>1554</v>
      </c>
      <c r="C1130" s="93">
        <v>1176</v>
      </c>
      <c r="D1130" s="80">
        <v>-3</v>
      </c>
      <c r="E1130" s="79">
        <v>66</v>
      </c>
      <c r="F1130" s="57">
        <v>16.010000000000002</v>
      </c>
      <c r="G1130" s="79">
        <v>4989</v>
      </c>
      <c r="H1130" s="208" t="s">
        <v>310</v>
      </c>
      <c r="I1130" s="22" t="s">
        <v>3518</v>
      </c>
      <c r="J1130" s="73">
        <v>73.040000000000006</v>
      </c>
      <c r="K1130" s="73">
        <v>3.59</v>
      </c>
      <c r="L1130" s="323">
        <v>12.28</v>
      </c>
      <c r="N1130" s="318">
        <f t="shared" si="216"/>
        <v>88.910000000000011</v>
      </c>
      <c r="O1130" s="81">
        <f>IFERROR(VLOOKUP($G1130,'321買'!A:E,3,0),"'沒有資料'")</f>
        <v>15</v>
      </c>
      <c r="P1130" s="380">
        <f>IFERROR(VLOOKUP($G1130,'321買'!$A:$G,7,0),"'沒有資料'")</f>
        <v>307</v>
      </c>
      <c r="R1130" s="297">
        <f>IFERROR(RANK(VLOOKUP($G1130,連買!$A:$D,4,0),連買!$D:$D,0),"'沒有資料'")</f>
        <v>595</v>
      </c>
      <c r="S1130" s="34">
        <v>0.6</v>
      </c>
      <c r="T1130" s="353">
        <f t="shared" si="213"/>
        <v>1.532567049808429E-2</v>
      </c>
      <c r="U1130" s="57">
        <v>1.83</v>
      </c>
      <c r="V1130" s="36">
        <f>RTD("money.excel",,"4989","Price")</f>
        <v>39.15</v>
      </c>
      <c r="W1130" s="66"/>
      <c r="X1130" s="15">
        <f t="shared" si="210"/>
        <v>39.15</v>
      </c>
      <c r="Y1130" s="3" t="e">
        <f t="shared" si="211"/>
        <v>#DIV/0!</v>
      </c>
      <c r="Z1130" s="413" t="s">
        <v>1801</v>
      </c>
      <c r="AA1130" s="161">
        <v>0</v>
      </c>
      <c r="AB1130" s="409">
        <v>0</v>
      </c>
      <c r="AC1130" s="259">
        <f t="shared" si="215"/>
        <v>0</v>
      </c>
      <c r="AD1130" s="22" t="s">
        <v>3518</v>
      </c>
      <c r="AG1130" s="33">
        <f t="shared" si="212"/>
        <v>0</v>
      </c>
      <c r="AH1130" s="120" t="s">
        <v>3519</v>
      </c>
      <c r="AI1130" s="63">
        <f t="shared" si="214"/>
        <v>9.3464052287581701E-4</v>
      </c>
      <c r="AJ1130" s="307">
        <f>RTD("money.excel",,$G1130,"PredictVolume")</f>
        <v>143</v>
      </c>
      <c r="AK1130" s="339"/>
    </row>
    <row r="1131" spans="1:39">
      <c r="A1131" s="416">
        <v>7.44</v>
      </c>
      <c r="B1131" s="80">
        <v>-60</v>
      </c>
      <c r="C1131" s="80">
        <v>-50</v>
      </c>
      <c r="D1131" s="80">
        <v>-16</v>
      </c>
      <c r="E1131" s="80">
        <v>-17</v>
      </c>
      <c r="F1131" s="6">
        <v>8.89</v>
      </c>
      <c r="G1131" s="79">
        <v>4999</v>
      </c>
      <c r="H1131" s="8" t="s">
        <v>310</v>
      </c>
      <c r="I1131" s="22" t="s">
        <v>4919</v>
      </c>
      <c r="J1131" s="73">
        <v>30.59</v>
      </c>
      <c r="K1131" s="323">
        <v>4.1500000000000004</v>
      </c>
      <c r="L1131" s="323">
        <v>7.18</v>
      </c>
      <c r="M1131" s="323">
        <v>19.149999999999999</v>
      </c>
      <c r="N1131" s="318">
        <f t="shared" si="216"/>
        <v>61.07</v>
      </c>
      <c r="O1131" s="81">
        <f>IFERROR(VLOOKUP($G1131,'321買'!A:E,3,0),"'沒有資料'")</f>
        <v>0</v>
      </c>
      <c r="P1131" s="380">
        <f>IFERROR(VLOOKUP($G1131,'321買'!$A:$G,7,0),"'沒有資料'")</f>
        <v>911</v>
      </c>
      <c r="Q1131" s="245" t="s">
        <v>3815</v>
      </c>
      <c r="R1131" s="297">
        <f>IFERROR(RANK(VLOOKUP($G1131,連買!$A:$D,4,0),連買!$D:$D,0),"'沒有資料'")</f>
        <v>1701</v>
      </c>
      <c r="S1131" s="66">
        <v>3</v>
      </c>
      <c r="T1131" s="353">
        <f t="shared" si="213"/>
        <v>7.792207792207792E-2</v>
      </c>
      <c r="U1131" s="95">
        <v>3.49</v>
      </c>
      <c r="V1131" s="36">
        <f>RTD("money.excel",,"4999","Price")</f>
        <v>38.5</v>
      </c>
      <c r="W1131" s="66"/>
      <c r="X1131" s="15">
        <f t="shared" si="210"/>
        <v>38.5</v>
      </c>
      <c r="Y1131" s="35" t="e">
        <f t="shared" si="211"/>
        <v>#DIV/0!</v>
      </c>
      <c r="Z1131" s="413" t="s">
        <v>1831</v>
      </c>
      <c r="AA1131" s="161">
        <v>0</v>
      </c>
      <c r="AB1131" s="409">
        <v>0</v>
      </c>
      <c r="AC1131" s="259">
        <f t="shared" si="215"/>
        <v>0</v>
      </c>
      <c r="AD1131" s="22" t="s">
        <v>4919</v>
      </c>
      <c r="AG1131" s="33">
        <f t="shared" si="212"/>
        <v>0</v>
      </c>
      <c r="AH1131" s="43" t="s">
        <v>2777</v>
      </c>
      <c r="AI1131" s="63">
        <f t="shared" si="214"/>
        <v>7.6612903225806454E-4</v>
      </c>
      <c r="AJ1131" s="307">
        <f>RTD("money.excel",,$G1131,"PredictVolume")</f>
        <v>57</v>
      </c>
      <c r="AK1131" s="339"/>
    </row>
    <row r="1132" spans="1:39">
      <c r="A1132" s="416">
        <v>16</v>
      </c>
      <c r="B1132" s="80">
        <v>-32</v>
      </c>
      <c r="C1132" s="80">
        <v>17</v>
      </c>
      <c r="D1132" s="80">
        <v>-45</v>
      </c>
      <c r="E1132" s="79">
        <v>655</v>
      </c>
      <c r="F1132" s="73">
        <v>-152.59</v>
      </c>
      <c r="G1132" s="79">
        <v>5227</v>
      </c>
      <c r="H1132" s="8" t="s">
        <v>310</v>
      </c>
      <c r="I1132" s="16" t="s">
        <v>413</v>
      </c>
      <c r="J1132" s="323">
        <v>26.95</v>
      </c>
      <c r="K1132" s="73">
        <v>21.41</v>
      </c>
      <c r="N1132" s="318">
        <f t="shared" si="216"/>
        <v>48.36</v>
      </c>
      <c r="O1132" s="81" t="str">
        <f>IFERROR(VLOOKUP($G1132,'321買'!A:E,3,0),"'沒有資料'")</f>
        <v>'沒有資料'</v>
      </c>
      <c r="P1132" s="380" t="str">
        <f>IFERROR(VLOOKUP($G1132,'321買'!$A:$G,7,0),"'沒有資料'")</f>
        <v>'沒有資料'</v>
      </c>
      <c r="R1132" s="297">
        <f>IFERROR(RANK(VLOOKUP($G1132,連買!$A:$D,4,0),連買!$D:$D,0),"'沒有資料'")</f>
        <v>519</v>
      </c>
      <c r="S1132" s="34">
        <v>0</v>
      </c>
      <c r="T1132" s="353">
        <f t="shared" si="213"/>
        <v>0</v>
      </c>
      <c r="U1132" s="95">
        <v>-4.83</v>
      </c>
      <c r="V1132" s="36">
        <f>RTD("money.excel",,"5227","Price")</f>
        <v>73</v>
      </c>
      <c r="W1132" s="66"/>
      <c r="X1132" s="15">
        <f t="shared" si="210"/>
        <v>73</v>
      </c>
      <c r="Y1132" s="3" t="e">
        <f t="shared" si="211"/>
        <v>#DIV/0!</v>
      </c>
      <c r="Z1132" s="413" t="s">
        <v>1801</v>
      </c>
      <c r="AA1132" s="161">
        <v>0</v>
      </c>
      <c r="AB1132" s="409">
        <v>0</v>
      </c>
      <c r="AC1132" s="259">
        <f t="shared" si="215"/>
        <v>0</v>
      </c>
      <c r="AD1132" s="16" t="s">
        <v>413</v>
      </c>
      <c r="AG1132" s="33">
        <f t="shared" si="212"/>
        <v>0</v>
      </c>
      <c r="AH1132" s="43" t="s">
        <v>2473</v>
      </c>
      <c r="AI1132" s="63">
        <f t="shared" si="214"/>
        <v>3.5125E-3</v>
      </c>
      <c r="AJ1132" s="307">
        <f>RTD("money.excel",,$G1132,"PredictVolume")</f>
        <v>562</v>
      </c>
      <c r="AK1132" s="339"/>
    </row>
    <row r="1133" spans="1:39">
      <c r="A1133" s="415">
        <v>3.92</v>
      </c>
      <c r="B1133" s="79">
        <v>142</v>
      </c>
      <c r="C1133" s="79">
        <v>201</v>
      </c>
      <c r="D1133" s="80">
        <v>-8</v>
      </c>
      <c r="E1133" s="79">
        <v>25</v>
      </c>
      <c r="F1133" s="57">
        <v>13.96</v>
      </c>
      <c r="G1133" s="79">
        <v>5291</v>
      </c>
      <c r="H1133" s="8" t="s">
        <v>310</v>
      </c>
      <c r="I1133" s="16" t="s">
        <v>414</v>
      </c>
      <c r="J1133" s="323">
        <v>19.61</v>
      </c>
      <c r="K1133" s="323">
        <v>5.01</v>
      </c>
      <c r="L1133" s="73">
        <v>45.11</v>
      </c>
      <c r="M1133" s="73">
        <v>15.63</v>
      </c>
      <c r="N1133" s="318">
        <f t="shared" si="216"/>
        <v>85.359999999999985</v>
      </c>
      <c r="O1133" s="81">
        <f>IFERROR(VLOOKUP($G1133,'321買'!A:E,3,0),"'沒有資料'")</f>
        <v>16</v>
      </c>
      <c r="P1133" s="380">
        <f>IFERROR(VLOOKUP($G1133,'321買'!$A:$G,7,0),"'沒有資料'")</f>
        <v>307</v>
      </c>
      <c r="Q1133" s="245" t="s">
        <v>3815</v>
      </c>
      <c r="R1133" s="297">
        <f>IFERROR(RANK(VLOOKUP($G1133,連買!$A:$D,4,0),連買!$D:$D,0),"'沒有資料'")</f>
        <v>593</v>
      </c>
      <c r="S1133" s="34">
        <v>1.1000000000000001</v>
      </c>
      <c r="T1133" s="353">
        <f t="shared" si="213"/>
        <v>2.8571428571428574E-2</v>
      </c>
      <c r="U1133" s="95">
        <v>1.86</v>
      </c>
      <c r="V1133" s="36">
        <f>RTD("money.excel",,"5291","Price")</f>
        <v>38.5</v>
      </c>
      <c r="W1133" s="66"/>
      <c r="X1133" s="15">
        <f t="shared" si="210"/>
        <v>38.5</v>
      </c>
      <c r="Y1133" s="3" t="e">
        <f t="shared" si="211"/>
        <v>#DIV/0!</v>
      </c>
      <c r="Z1133" s="413" t="s">
        <v>1801</v>
      </c>
      <c r="AA1133" s="161">
        <v>0</v>
      </c>
      <c r="AB1133" s="409">
        <v>0</v>
      </c>
      <c r="AC1133" s="259">
        <f t="shared" si="215"/>
        <v>0</v>
      </c>
      <c r="AD1133" s="16" t="s">
        <v>414</v>
      </c>
      <c r="AG1133" s="33">
        <f t="shared" si="212"/>
        <v>0</v>
      </c>
      <c r="AH1133" s="316" t="s">
        <v>2459</v>
      </c>
      <c r="AI1133" s="63">
        <f t="shared" si="214"/>
        <v>1.5306122448979591E-3</v>
      </c>
      <c r="AJ1133" s="307">
        <f>RTD("money.excel",,$G1133,"PredictVolume")</f>
        <v>60</v>
      </c>
      <c r="AK1133" s="339"/>
    </row>
    <row r="1134" spans="1:39">
      <c r="A1134" s="416">
        <v>15.4</v>
      </c>
      <c r="B1134" s="79">
        <v>123</v>
      </c>
      <c r="C1134" s="79">
        <v>101</v>
      </c>
      <c r="D1134" s="80">
        <v>-12</v>
      </c>
      <c r="E1134" s="79">
        <v>82</v>
      </c>
      <c r="F1134" s="6">
        <v>0.15</v>
      </c>
      <c r="G1134" s="79">
        <v>5309</v>
      </c>
      <c r="H1134" s="8" t="s">
        <v>310</v>
      </c>
      <c r="I1134" s="16" t="s">
        <v>415</v>
      </c>
      <c r="J1134" s="323">
        <v>25.14</v>
      </c>
      <c r="K1134" s="323">
        <v>9.6999999999999993</v>
      </c>
      <c r="L1134" s="323"/>
      <c r="N1134" s="318">
        <f t="shared" si="216"/>
        <v>34.840000000000003</v>
      </c>
      <c r="O1134" s="81">
        <f>IFERROR(VLOOKUP($G1134,'321買'!A:E,3,0),"'沒有資料'")</f>
        <v>22</v>
      </c>
      <c r="P1134" s="380">
        <f>IFERROR(VLOOKUP($G1134,'321買'!$A:$G,7,0),"'沒有資料'")</f>
        <v>250</v>
      </c>
      <c r="R1134" s="297">
        <f>IFERROR(RANK(VLOOKUP($G1134,連買!$A:$D,4,0),連買!$D:$D,0),"'沒有資料'")</f>
        <v>598</v>
      </c>
      <c r="S1134" s="34">
        <v>0</v>
      </c>
      <c r="T1134" s="353">
        <f t="shared" si="213"/>
        <v>0</v>
      </c>
      <c r="U1134" s="95">
        <v>-0.32</v>
      </c>
      <c r="V1134" s="36">
        <f>RTD("money.excel",,"5309","Price")</f>
        <v>43.1</v>
      </c>
      <c r="W1134" s="66"/>
      <c r="X1134" s="15">
        <f t="shared" si="210"/>
        <v>43.1</v>
      </c>
      <c r="Y1134" s="3" t="e">
        <f t="shared" si="211"/>
        <v>#DIV/0!</v>
      </c>
      <c r="Z1134" s="413" t="s">
        <v>1801</v>
      </c>
      <c r="AA1134" s="161">
        <v>0</v>
      </c>
      <c r="AB1134" s="409">
        <v>0</v>
      </c>
      <c r="AC1134" s="259">
        <f t="shared" si="215"/>
        <v>0</v>
      </c>
      <c r="AD1134" s="16" t="s">
        <v>415</v>
      </c>
      <c r="AG1134" s="33">
        <f t="shared" si="212"/>
        <v>0</v>
      </c>
      <c r="AH1134" s="43" t="s">
        <v>2512</v>
      </c>
      <c r="AI1134" s="63">
        <f t="shared" si="214"/>
        <v>2.6246753246753247E-2</v>
      </c>
      <c r="AJ1134" s="307">
        <f>RTD("money.excel",,$G1134,"PredictVolume")</f>
        <v>4042</v>
      </c>
      <c r="AK1134" s="339"/>
    </row>
    <row r="1135" spans="1:39">
      <c r="A1135" s="416">
        <v>3.5</v>
      </c>
      <c r="B1135" s="80">
        <v>-303</v>
      </c>
      <c r="C1135" s="80">
        <v>-126</v>
      </c>
      <c r="D1135" s="79">
        <v>15</v>
      </c>
      <c r="E1135" s="79">
        <v>40</v>
      </c>
      <c r="F1135" s="6">
        <v>-1.1000000000000001</v>
      </c>
      <c r="G1135" s="79">
        <v>5321</v>
      </c>
      <c r="H1135" s="8" t="s">
        <v>310</v>
      </c>
      <c r="I1135" s="16" t="s">
        <v>4920</v>
      </c>
      <c r="J1135" s="323">
        <v>50.84</v>
      </c>
      <c r="K1135" s="73">
        <v>0.08</v>
      </c>
      <c r="L1135" s="73">
        <v>27.73</v>
      </c>
      <c r="N1135" s="318">
        <f t="shared" si="216"/>
        <v>78.650000000000006</v>
      </c>
      <c r="O1135" s="81">
        <f>IFERROR(VLOOKUP($G1135,'321買'!A:E,3,0),"'沒有資料'")</f>
        <v>28</v>
      </c>
      <c r="P1135" s="380">
        <f>IFERROR(VLOOKUP($G1135,'321買'!$A:$G,7,0),"'沒有資料'")</f>
        <v>163</v>
      </c>
      <c r="R1135" s="297">
        <f>IFERROR(RANK(VLOOKUP($G1135,連買!$A:$D,4,0),連買!$D:$D,0),"'沒有資料'")</f>
        <v>205</v>
      </c>
      <c r="S1135" s="34">
        <v>0</v>
      </c>
      <c r="T1135" s="353">
        <f t="shared" si="213"/>
        <v>0</v>
      </c>
      <c r="U1135" s="95">
        <v>-3.75</v>
      </c>
      <c r="V1135" s="13">
        <f>RTD("money.excel",,"5321","Price")</f>
        <v>137.5</v>
      </c>
      <c r="W1135" s="66"/>
      <c r="X1135" s="15">
        <f t="shared" si="210"/>
        <v>137.5</v>
      </c>
      <c r="Y1135" s="3" t="e">
        <f t="shared" si="211"/>
        <v>#DIV/0!</v>
      </c>
      <c r="AA1135" s="161">
        <v>0</v>
      </c>
      <c r="AB1135" s="409">
        <v>0</v>
      </c>
      <c r="AC1135" s="259">
        <f t="shared" si="215"/>
        <v>0</v>
      </c>
      <c r="AD1135" s="16" t="s">
        <v>4920</v>
      </c>
      <c r="AG1135" s="33">
        <f t="shared" si="212"/>
        <v>0</v>
      </c>
      <c r="AH1135" s="43" t="s">
        <v>2593</v>
      </c>
      <c r="AI1135" s="63">
        <f t="shared" si="214"/>
        <v>1.5428571428571429E-2</v>
      </c>
      <c r="AJ1135" s="307">
        <f>RTD("money.excel",,$G1135,"PredictVolume")</f>
        <v>540</v>
      </c>
      <c r="AK1135" s="339"/>
    </row>
    <row r="1136" spans="1:39">
      <c r="A1136" s="416">
        <v>17.2</v>
      </c>
      <c r="B1136" s="91">
        <v>123</v>
      </c>
      <c r="C1136" s="91">
        <v>96</v>
      </c>
      <c r="D1136" s="91">
        <v>-10</v>
      </c>
      <c r="E1136" s="91">
        <v>14</v>
      </c>
      <c r="F1136" s="6">
        <v>-0.28999999999999998</v>
      </c>
      <c r="G1136" s="79">
        <v>5328</v>
      </c>
      <c r="H1136" s="8" t="s">
        <v>310</v>
      </c>
      <c r="I1136" s="16" t="s">
        <v>416</v>
      </c>
      <c r="J1136" s="73">
        <v>48.91</v>
      </c>
      <c r="K1136" s="73">
        <v>1.8</v>
      </c>
      <c r="L1136" s="73">
        <v>0</v>
      </c>
      <c r="N1136" s="318">
        <f t="shared" si="216"/>
        <v>50.709999999999994</v>
      </c>
      <c r="O1136" s="81">
        <f>IFERROR(VLOOKUP($G1136,'321買'!A:E,3,0),"'沒有資料'")</f>
        <v>5</v>
      </c>
      <c r="P1136" s="380">
        <f>IFERROR(VLOOKUP($G1136,'321買'!$A:$G,7,0),"'沒有資料'")</f>
        <v>558</v>
      </c>
      <c r="R1136" s="297">
        <f>IFERROR(RANK(VLOOKUP($G1136,連買!$A:$D,4,0),連買!$D:$D,0),"'沒有資料'")</f>
        <v>1137</v>
      </c>
      <c r="S1136" s="34">
        <v>0</v>
      </c>
      <c r="T1136" s="353">
        <f t="shared" si="213"/>
        <v>0</v>
      </c>
      <c r="U1136" s="95">
        <v>0.12</v>
      </c>
      <c r="V1136" s="36">
        <f>RTD("money.excel",,"5328","Price")</f>
        <v>12.25</v>
      </c>
      <c r="W1136" s="66"/>
      <c r="X1136" s="15">
        <f t="shared" si="210"/>
        <v>12.25</v>
      </c>
      <c r="Y1136" s="3" t="e">
        <f t="shared" si="211"/>
        <v>#DIV/0!</v>
      </c>
      <c r="AA1136" s="161">
        <v>0</v>
      </c>
      <c r="AB1136" s="409">
        <v>0</v>
      </c>
      <c r="AC1136" s="259">
        <f t="shared" si="215"/>
        <v>0</v>
      </c>
      <c r="AD1136" s="16" t="s">
        <v>416</v>
      </c>
      <c r="AG1136" s="33">
        <f t="shared" si="212"/>
        <v>0</v>
      </c>
      <c r="AH1136" s="43" t="s">
        <v>2594</v>
      </c>
      <c r="AI1136" s="63">
        <f t="shared" si="214"/>
        <v>7.6162790697674421E-4</v>
      </c>
      <c r="AJ1136" s="307">
        <f>RTD("money.excel",,$G1136,"PredictVolume")</f>
        <v>131</v>
      </c>
      <c r="AK1136" s="339"/>
    </row>
    <row r="1137" spans="1:37">
      <c r="A1137" s="416">
        <v>19.399999999999999</v>
      </c>
      <c r="B1137" s="80">
        <v>-32</v>
      </c>
      <c r="C1137" s="80">
        <v>-34</v>
      </c>
      <c r="D1137" s="80">
        <v>-1</v>
      </c>
      <c r="E1137" s="80">
        <v>-7</v>
      </c>
      <c r="F1137" s="6">
        <v>7.39</v>
      </c>
      <c r="G1137" s="79">
        <v>5340</v>
      </c>
      <c r="H1137" s="8" t="s">
        <v>310</v>
      </c>
      <c r="I1137" s="16" t="s">
        <v>417</v>
      </c>
      <c r="J1137" s="323">
        <v>67.5</v>
      </c>
      <c r="K1137" s="73">
        <v>49.97</v>
      </c>
      <c r="L1137" s="323"/>
      <c r="N1137" s="318">
        <f t="shared" si="216"/>
        <v>117.47</v>
      </c>
      <c r="O1137" s="81">
        <f>IFERROR(VLOOKUP($G1137,'321買'!A:E,3,0),"'沒有資料'")</f>
        <v>5</v>
      </c>
      <c r="P1137" s="380">
        <f>IFERROR(VLOOKUP($G1137,'321買'!$A:$G,7,0),"'沒有資料'")</f>
        <v>558</v>
      </c>
      <c r="R1137" s="297">
        <f>IFERROR(RANK(VLOOKUP($G1137,連買!$A:$D,4,0),連買!$D:$D,0),"'沒有資料'")</f>
        <v>1345</v>
      </c>
      <c r="S1137" s="34">
        <v>0</v>
      </c>
      <c r="T1137" s="353">
        <f t="shared" si="213"/>
        <v>0</v>
      </c>
      <c r="U1137" s="57">
        <v>0.49</v>
      </c>
      <c r="V1137" s="13">
        <f>RTD("money.excel",,"5340","Price")</f>
        <v>29.7</v>
      </c>
      <c r="W1137" s="66"/>
      <c r="X1137" s="15">
        <f t="shared" si="210"/>
        <v>29.7</v>
      </c>
      <c r="Y1137" s="3" t="e">
        <f t="shared" si="211"/>
        <v>#DIV/0!</v>
      </c>
      <c r="Z1137" s="413" t="s">
        <v>1801</v>
      </c>
      <c r="AA1137" s="161">
        <v>0</v>
      </c>
      <c r="AB1137" s="409">
        <v>0</v>
      </c>
      <c r="AC1137" s="259">
        <f t="shared" si="215"/>
        <v>0</v>
      </c>
      <c r="AD1137" s="16" t="s">
        <v>417</v>
      </c>
      <c r="AG1137" s="33">
        <f t="shared" si="212"/>
        <v>0</v>
      </c>
      <c r="AH1137" s="43" t="s">
        <v>2595</v>
      </c>
      <c r="AI1137" s="63">
        <f t="shared" si="214"/>
        <v>6.2886597938144329E-4</v>
      </c>
      <c r="AJ1137" s="307">
        <f>RTD("money.excel",,$G1137,"PredictVolume")</f>
        <v>122</v>
      </c>
      <c r="AK1137" s="339"/>
    </row>
    <row r="1138" spans="1:37">
      <c r="A1138" s="416">
        <v>4.75</v>
      </c>
      <c r="B1138" s="91">
        <v>-19</v>
      </c>
      <c r="C1138" s="91">
        <v>-20</v>
      </c>
      <c r="D1138" s="91">
        <v>75</v>
      </c>
      <c r="E1138" s="140">
        <v>2521</v>
      </c>
      <c r="F1138" s="6">
        <v>-99.99</v>
      </c>
      <c r="G1138" s="79">
        <v>5345</v>
      </c>
      <c r="H1138" s="8" t="s">
        <v>310</v>
      </c>
      <c r="I1138" s="16" t="s">
        <v>418</v>
      </c>
      <c r="J1138" s="73">
        <v>46.21</v>
      </c>
      <c r="K1138" s="73">
        <v>0.19</v>
      </c>
      <c r="N1138" s="318">
        <f t="shared" si="216"/>
        <v>46.4</v>
      </c>
      <c r="O1138" s="81" t="str">
        <f>IFERROR(VLOOKUP($G1138,'321買'!A:E,3,0),"'沒有資料'")</f>
        <v>'沒有資料'</v>
      </c>
      <c r="P1138" s="380" t="str">
        <f>IFERROR(VLOOKUP($G1138,'321買'!$A:$G,7,0),"'沒有資料'")</f>
        <v>'沒有資料'</v>
      </c>
      <c r="R1138" s="297">
        <f>IFERROR(RANK(VLOOKUP($G1138,連買!$A:$D,4,0),連買!$D:$D,0),"'沒有資料'")</f>
        <v>1427</v>
      </c>
      <c r="S1138" s="34">
        <v>0</v>
      </c>
      <c r="T1138" s="353">
        <f t="shared" si="213"/>
        <v>0</v>
      </c>
      <c r="U1138" s="95">
        <v>-3.34</v>
      </c>
      <c r="V1138" s="36">
        <f>RTD("money.excel",,"5345","Price")</f>
        <v>5.16</v>
      </c>
      <c r="W1138" s="66"/>
      <c r="X1138" s="15">
        <f t="shared" si="210"/>
        <v>5.16</v>
      </c>
      <c r="Y1138" s="3" t="e">
        <f t="shared" si="211"/>
        <v>#DIV/0!</v>
      </c>
      <c r="AA1138" s="161">
        <v>0</v>
      </c>
      <c r="AB1138" s="409">
        <v>0</v>
      </c>
      <c r="AC1138" s="259">
        <f t="shared" si="215"/>
        <v>0</v>
      </c>
      <c r="AD1138" s="16" t="s">
        <v>418</v>
      </c>
      <c r="AG1138" s="33">
        <f t="shared" si="212"/>
        <v>0</v>
      </c>
      <c r="AH1138" s="43" t="s">
        <v>419</v>
      </c>
      <c r="AI1138" s="63">
        <f t="shared" si="214"/>
        <v>1.6842105263157895E-4</v>
      </c>
      <c r="AJ1138" s="307">
        <f>RTD("money.excel",,$G1138,"PredictVolume")</f>
        <v>8</v>
      </c>
      <c r="AK1138" s="339"/>
    </row>
    <row r="1139" spans="1:37">
      <c r="A1139" s="416">
        <v>16.600000000000001</v>
      </c>
      <c r="B1139" s="91">
        <v>-52</v>
      </c>
      <c r="C1139" s="91">
        <v>-6</v>
      </c>
      <c r="D1139" s="91">
        <v>-6</v>
      </c>
      <c r="E1139" s="91">
        <v>-22</v>
      </c>
      <c r="F1139" s="6">
        <v>-14.74</v>
      </c>
      <c r="G1139" s="79">
        <v>5355</v>
      </c>
      <c r="H1139" s="8" t="s">
        <v>310</v>
      </c>
      <c r="I1139" s="16" t="s">
        <v>4921</v>
      </c>
      <c r="J1139" s="73">
        <v>56.21</v>
      </c>
      <c r="K1139" s="73">
        <v>0.66</v>
      </c>
      <c r="L1139" s="73">
        <v>0</v>
      </c>
      <c r="N1139" s="318">
        <f t="shared" si="216"/>
        <v>56.87</v>
      </c>
      <c r="O1139" s="81">
        <f>IFERROR(VLOOKUP($G1139,'321買'!A:E,3,0),"'沒有資料'")</f>
        <v>0</v>
      </c>
      <c r="P1139" s="380">
        <f>IFERROR(VLOOKUP($G1139,'321買'!$A:$G,7,0),"'沒有資料'")</f>
        <v>911</v>
      </c>
      <c r="R1139" s="297">
        <f>IFERROR(RANK(VLOOKUP($G1139,連買!$A:$D,4,0),連買!$D:$D,0),"'沒有資料'")</f>
        <v>1279</v>
      </c>
      <c r="S1139" s="34">
        <v>0</v>
      </c>
      <c r="T1139" s="353">
        <f t="shared" si="213"/>
        <v>0</v>
      </c>
      <c r="U1139" s="95">
        <v>0.08</v>
      </c>
      <c r="V1139" s="13">
        <f>RTD("money.excel",,"5355","Price")</f>
        <v>6.62</v>
      </c>
      <c r="W1139" s="66"/>
      <c r="X1139" s="15">
        <f t="shared" si="210"/>
        <v>6.62</v>
      </c>
      <c r="Y1139" s="3" t="e">
        <f t="shared" si="211"/>
        <v>#DIV/0!</v>
      </c>
      <c r="AA1139" s="161">
        <v>0</v>
      </c>
      <c r="AB1139" s="409">
        <v>0</v>
      </c>
      <c r="AC1139" s="259">
        <f t="shared" si="215"/>
        <v>0</v>
      </c>
      <c r="AD1139" s="16" t="s">
        <v>4921</v>
      </c>
      <c r="AG1139" s="33">
        <f t="shared" si="212"/>
        <v>0</v>
      </c>
      <c r="AH1139" s="43" t="s">
        <v>2596</v>
      </c>
      <c r="AI1139" s="63">
        <f t="shared" si="214"/>
        <v>7.6506024096385545E-4</v>
      </c>
      <c r="AJ1139" s="307">
        <f>RTD("money.excel",,$G1139,"PredictVolume")</f>
        <v>127</v>
      </c>
      <c r="AK1139" s="81"/>
    </row>
    <row r="1140" spans="1:37">
      <c r="A1140" s="416">
        <v>18</v>
      </c>
      <c r="B1140" s="91" t="s">
        <v>1588</v>
      </c>
      <c r="C1140" s="91" t="s">
        <v>1589</v>
      </c>
      <c r="D1140" s="91" t="s">
        <v>1590</v>
      </c>
      <c r="E1140" s="91" t="s">
        <v>1591</v>
      </c>
      <c r="F1140" s="6">
        <v>1.67</v>
      </c>
      <c r="G1140" s="79">
        <v>5381</v>
      </c>
      <c r="H1140" s="8" t="s">
        <v>310</v>
      </c>
      <c r="I1140" s="16" t="s">
        <v>4922</v>
      </c>
      <c r="J1140" s="73">
        <v>61.93</v>
      </c>
      <c r="K1140" s="73">
        <v>0.86</v>
      </c>
      <c r="N1140" s="318">
        <f t="shared" si="216"/>
        <v>62.79</v>
      </c>
      <c r="O1140" s="81" t="str">
        <f>IFERROR(VLOOKUP($G1140,'321買'!A:E,3,0),"'沒有資料'")</f>
        <v>'沒有資料'</v>
      </c>
      <c r="P1140" s="380" t="str">
        <f>IFERROR(VLOOKUP($G1140,'321買'!$A:$G,7,0),"'沒有資料'")</f>
        <v>'沒有資料'</v>
      </c>
      <c r="R1140" s="297">
        <f>IFERROR(RANK(VLOOKUP($G1140,連買!$A:$D,4,0),連買!$D:$D,0),"'沒有資料'")</f>
        <v>1403</v>
      </c>
      <c r="S1140" s="34">
        <v>0</v>
      </c>
      <c r="T1140" s="353">
        <f t="shared" si="213"/>
        <v>0</v>
      </c>
      <c r="U1140" s="95">
        <v>0.02</v>
      </c>
      <c r="V1140" s="13">
        <f>RTD("money.excel",,"5381","Price")</f>
        <v>6</v>
      </c>
      <c r="W1140" s="66"/>
      <c r="X1140" s="15">
        <f t="shared" si="210"/>
        <v>6</v>
      </c>
      <c r="Y1140" s="3" t="e">
        <f t="shared" si="211"/>
        <v>#DIV/0!</v>
      </c>
      <c r="AA1140" s="161">
        <v>0</v>
      </c>
      <c r="AB1140" s="409">
        <v>0</v>
      </c>
      <c r="AC1140" s="259">
        <f t="shared" si="215"/>
        <v>0</v>
      </c>
      <c r="AD1140" s="16" t="s">
        <v>4922</v>
      </c>
      <c r="AG1140" s="33">
        <f t="shared" si="212"/>
        <v>0</v>
      </c>
      <c r="AH1140" s="43" t="s">
        <v>2597</v>
      </c>
      <c r="AI1140" s="63">
        <f t="shared" si="214"/>
        <v>6.1666666666666662E-4</v>
      </c>
      <c r="AJ1140" s="307">
        <f>RTD("money.excel",,$G1140,"PredictVolume")</f>
        <v>111</v>
      </c>
      <c r="AK1140" s="339"/>
    </row>
    <row r="1141" spans="1:37">
      <c r="A1141" s="415">
        <v>9.3000000000000007</v>
      </c>
      <c r="B1141" s="79">
        <v>38</v>
      </c>
      <c r="C1141" s="79">
        <v>29</v>
      </c>
      <c r="D1141" s="80">
        <v>-6</v>
      </c>
      <c r="E1141" s="79">
        <v>2</v>
      </c>
      <c r="F1141" s="57">
        <v>14.93</v>
      </c>
      <c r="G1141" s="79">
        <v>5439</v>
      </c>
      <c r="H1141" s="8" t="s">
        <v>310</v>
      </c>
      <c r="I1141" s="171" t="s">
        <v>80</v>
      </c>
      <c r="J1141" s="323">
        <v>29.67</v>
      </c>
      <c r="K1141" s="73">
        <v>5.14</v>
      </c>
      <c r="L1141" s="73">
        <v>12.53</v>
      </c>
      <c r="M1141" s="323">
        <v>10.4</v>
      </c>
      <c r="N1141" s="318">
        <f>J1141+K1141+L1141+M1141</f>
        <v>57.74</v>
      </c>
      <c r="O1141" s="81">
        <f>IFERROR(VLOOKUP($G1141,'321買'!A:E,3,0),"'沒有資料'")</f>
        <v>22</v>
      </c>
      <c r="P1141" s="380">
        <f>IFERROR(VLOOKUP($G1141,'321買'!$A:$G,7,0),"'沒有資料'")</f>
        <v>215</v>
      </c>
      <c r="Q1141" s="388" t="s">
        <v>3816</v>
      </c>
      <c r="R1141" s="297">
        <f>IFERROR(RANK(VLOOKUP($G1141,連買!$A:$D,4,0),連買!$D:$D,0),"'沒有資料'")</f>
        <v>1608</v>
      </c>
      <c r="S1141" s="160">
        <v>3.6</v>
      </c>
      <c r="T1141" s="353">
        <f>S1141/V1141</f>
        <v>6.8311195445920306E-2</v>
      </c>
      <c r="U1141" s="95">
        <v>4.67</v>
      </c>
      <c r="V1141" s="36">
        <f>RTD("money.excel",,"5439","Price")</f>
        <v>52.7</v>
      </c>
      <c r="W1141" s="66"/>
      <c r="X1141" s="15">
        <f>V1141-W1141</f>
        <v>52.7</v>
      </c>
      <c r="Y1141" s="3" t="e">
        <f>X1141/W1141</f>
        <v>#DIV/0!</v>
      </c>
      <c r="Z1141" s="413" t="s">
        <v>8445</v>
      </c>
      <c r="AA1141" s="161">
        <v>0</v>
      </c>
      <c r="AB1141" s="409">
        <v>0</v>
      </c>
      <c r="AC1141" s="259">
        <f t="shared" si="215"/>
        <v>0</v>
      </c>
      <c r="AD1141" s="16" t="s">
        <v>80</v>
      </c>
      <c r="AG1141" s="33">
        <f>AF1141-AE1141</f>
        <v>0</v>
      </c>
      <c r="AH1141" s="120" t="s">
        <v>1049</v>
      </c>
      <c r="AI1141" s="63">
        <f t="shared" si="214"/>
        <v>1.4516129032258066E-3</v>
      </c>
      <c r="AJ1141" s="307">
        <f>RTD("money.excel",,$G1141,"PredictVolume")</f>
        <v>135</v>
      </c>
      <c r="AK1141" s="339">
        <v>14.05</v>
      </c>
    </row>
    <row r="1142" spans="1:37">
      <c r="A1142" s="415">
        <v>16.899999999999999</v>
      </c>
      <c r="B1142" s="79">
        <v>16</v>
      </c>
      <c r="C1142" s="79">
        <v>13</v>
      </c>
      <c r="D1142" s="79">
        <v>26</v>
      </c>
      <c r="E1142" s="79">
        <v>28</v>
      </c>
      <c r="F1142" s="57">
        <v>12.07</v>
      </c>
      <c r="G1142" s="79">
        <v>5457</v>
      </c>
      <c r="H1142" s="208" t="s">
        <v>310</v>
      </c>
      <c r="I1142" s="16" t="s">
        <v>178</v>
      </c>
      <c r="J1142" s="323">
        <v>64.56</v>
      </c>
      <c r="K1142" s="323">
        <v>42.49</v>
      </c>
      <c r="L1142" s="323">
        <v>19.41</v>
      </c>
      <c r="N1142" s="318">
        <f t="shared" si="216"/>
        <v>126.46000000000001</v>
      </c>
      <c r="O1142" s="81">
        <f>IFERROR(VLOOKUP($G1142,'321買'!A:E,3,0),"'沒有資料'")</f>
        <v>19</v>
      </c>
      <c r="P1142" s="380">
        <f>IFERROR(VLOOKUP($G1142,'321買'!$A:$G,7,0),"'沒有資料'")</f>
        <v>241</v>
      </c>
      <c r="R1142" s="297">
        <f>IFERROR(RANK(VLOOKUP($G1142,連買!$A:$D,4,0),連買!$D:$D,0),"'沒有資料'")</f>
        <v>1537</v>
      </c>
      <c r="S1142" s="34">
        <v>2.1</v>
      </c>
      <c r="T1142" s="353">
        <f t="shared" si="213"/>
        <v>3.7366548042704624E-2</v>
      </c>
      <c r="U1142" s="57">
        <v>4.37</v>
      </c>
      <c r="V1142" s="13">
        <f>RTD("money.excel",,"5457","Price")</f>
        <v>56.2</v>
      </c>
      <c r="W1142" s="66"/>
      <c r="X1142" s="15">
        <f t="shared" si="210"/>
        <v>56.2</v>
      </c>
      <c r="Y1142" s="3" t="e">
        <f t="shared" si="211"/>
        <v>#DIV/0!</v>
      </c>
      <c r="Z1142" s="413" t="s">
        <v>1801</v>
      </c>
      <c r="AA1142" s="161">
        <v>0</v>
      </c>
      <c r="AB1142" s="409">
        <v>0</v>
      </c>
      <c r="AC1142" s="259">
        <f t="shared" si="215"/>
        <v>0</v>
      </c>
      <c r="AD1142" s="16" t="s">
        <v>178</v>
      </c>
      <c r="AG1142" s="33">
        <f t="shared" si="212"/>
        <v>0</v>
      </c>
      <c r="AH1142" s="122" t="s">
        <v>2724</v>
      </c>
      <c r="AI1142" s="63">
        <f t="shared" si="214"/>
        <v>2.7218934911242602E-3</v>
      </c>
      <c r="AJ1142" s="307">
        <f>RTD("money.excel",,$G1142,"PredictVolume")</f>
        <v>460</v>
      </c>
      <c r="AK1142" s="339"/>
    </row>
    <row r="1143" spans="1:37">
      <c r="A1143" s="416">
        <v>6.12</v>
      </c>
      <c r="B1143" s="91">
        <v>-101</v>
      </c>
      <c r="C1143" s="91">
        <v>-94</v>
      </c>
      <c r="D1143" s="91">
        <v>-11</v>
      </c>
      <c r="E1143" s="91">
        <v>-24</v>
      </c>
      <c r="F1143" s="6">
        <v>0.64</v>
      </c>
      <c r="G1143" s="79">
        <v>5460</v>
      </c>
      <c r="H1143" s="8" t="s">
        <v>310</v>
      </c>
      <c r="I1143" s="16" t="s">
        <v>4923</v>
      </c>
      <c r="J1143" s="73">
        <v>37.69</v>
      </c>
      <c r="K1143" s="73">
        <v>0.01</v>
      </c>
      <c r="L1143" s="73">
        <v>1.63</v>
      </c>
      <c r="N1143" s="318">
        <f t="shared" si="216"/>
        <v>39.33</v>
      </c>
      <c r="O1143" s="81" t="str">
        <f>IFERROR(VLOOKUP($G1143,'321買'!A:E,3,0),"'沒有資料'")</f>
        <v>'沒有資料'</v>
      </c>
      <c r="P1143" s="380" t="str">
        <f>IFERROR(VLOOKUP($G1143,'321買'!$A:$G,7,0),"'沒有資料'")</f>
        <v>'沒有資料'</v>
      </c>
      <c r="R1143" s="297">
        <f>IFERROR(RANK(VLOOKUP($G1143,連買!$A:$D,4,0),連買!$D:$D,0),"'沒有資料'")</f>
        <v>1477</v>
      </c>
      <c r="S1143" s="34">
        <v>0.1</v>
      </c>
      <c r="T1143" s="353">
        <f t="shared" si="213"/>
        <v>8.4745762711864406E-3</v>
      </c>
      <c r="U1143" s="95">
        <v>0.02</v>
      </c>
      <c r="V1143" s="36">
        <f>RTD("money.excel",,"5460","Price")</f>
        <v>11.8</v>
      </c>
      <c r="W1143" s="66"/>
      <c r="X1143" s="15">
        <f t="shared" ref="X1143:X1207" si="217">V1143-W1143</f>
        <v>11.8</v>
      </c>
      <c r="Y1143" s="3" t="e">
        <f t="shared" ref="Y1143:Y1207" si="218">X1143/W1143</f>
        <v>#DIV/0!</v>
      </c>
      <c r="AA1143" s="161">
        <v>0</v>
      </c>
      <c r="AB1143" s="409">
        <v>0</v>
      </c>
      <c r="AC1143" s="259">
        <f t="shared" si="215"/>
        <v>0</v>
      </c>
      <c r="AD1143" s="16" t="s">
        <v>4923</v>
      </c>
      <c r="AG1143" s="33">
        <f t="shared" ref="AG1143:AG1207" si="219">AF1143-AE1143</f>
        <v>0</v>
      </c>
      <c r="AH1143" s="43" t="s">
        <v>2598</v>
      </c>
      <c r="AI1143" s="63">
        <f t="shared" si="214"/>
        <v>4.9019607843137254E-4</v>
      </c>
      <c r="AJ1143" s="307">
        <f>RTD("money.excel",,$G1143,"PredictVolume")</f>
        <v>30</v>
      </c>
      <c r="AK1143" s="339"/>
    </row>
    <row r="1144" spans="1:37">
      <c r="A1144" s="416">
        <v>7.11</v>
      </c>
      <c r="B1144" s="91">
        <v>-308</v>
      </c>
      <c r="C1144" s="206">
        <v>-3515</v>
      </c>
      <c r="D1144" s="91">
        <v>-14</v>
      </c>
      <c r="E1144" s="91">
        <v>43</v>
      </c>
      <c r="F1144" s="6">
        <v>-13.52</v>
      </c>
      <c r="G1144" s="79">
        <v>5464</v>
      </c>
      <c r="H1144" s="8" t="s">
        <v>310</v>
      </c>
      <c r="I1144" s="16" t="s">
        <v>421</v>
      </c>
      <c r="J1144" s="73">
        <v>62.69</v>
      </c>
      <c r="K1144" s="73">
        <v>0.85</v>
      </c>
      <c r="L1144" s="73">
        <v>7.91</v>
      </c>
      <c r="N1144" s="318">
        <f t="shared" si="216"/>
        <v>71.45</v>
      </c>
      <c r="O1144" s="81" t="str">
        <f>IFERROR(VLOOKUP($G1144,'321買'!A:E,3,0),"'沒有資料'")</f>
        <v>'沒有資料'</v>
      </c>
      <c r="P1144" s="380" t="str">
        <f>IFERROR(VLOOKUP($G1144,'321買'!$A:$G,7,0),"'沒有資料'")</f>
        <v>'沒有資料'</v>
      </c>
      <c r="R1144" s="297">
        <f>IFERROR(RANK(VLOOKUP($G1144,連買!$A:$D,4,0),連買!$D:$D,0),"'沒有資料'")</f>
        <v>750</v>
      </c>
      <c r="S1144" s="34">
        <v>0</v>
      </c>
      <c r="T1144" s="353">
        <f t="shared" si="213"/>
        <v>0</v>
      </c>
      <c r="U1144" s="95">
        <v>-2.3199999999999998</v>
      </c>
      <c r="V1144" s="13">
        <f>RTD("money.excel",,"5464","Price")</f>
        <v>22.25</v>
      </c>
      <c r="W1144" s="66"/>
      <c r="X1144" s="15">
        <f t="shared" si="217"/>
        <v>22.25</v>
      </c>
      <c r="Y1144" s="3" t="e">
        <f t="shared" si="218"/>
        <v>#DIV/0!</v>
      </c>
      <c r="AA1144" s="161">
        <v>0</v>
      </c>
      <c r="AB1144" s="409">
        <v>0</v>
      </c>
      <c r="AC1144" s="259">
        <f t="shared" si="215"/>
        <v>0</v>
      </c>
      <c r="AD1144" s="16" t="s">
        <v>421</v>
      </c>
      <c r="AG1144" s="33">
        <f t="shared" si="219"/>
        <v>0</v>
      </c>
      <c r="AH1144" s="43" t="s">
        <v>1049</v>
      </c>
      <c r="AI1144" s="63">
        <f t="shared" si="214"/>
        <v>6.6104078762306605E-4</v>
      </c>
      <c r="AJ1144" s="307">
        <f>RTD("money.excel",,$G1144,"PredictVolume")</f>
        <v>47</v>
      </c>
      <c r="AK1144" s="339"/>
    </row>
    <row r="1145" spans="1:37">
      <c r="A1145" s="415">
        <v>52.8</v>
      </c>
      <c r="B1145" s="79">
        <v>440</v>
      </c>
      <c r="C1145" s="79">
        <v>178</v>
      </c>
      <c r="D1145" s="79">
        <v>0</v>
      </c>
      <c r="E1145" s="79">
        <v>14</v>
      </c>
      <c r="F1145" s="57">
        <v>11.43</v>
      </c>
      <c r="G1145" s="79">
        <v>5469</v>
      </c>
      <c r="H1145" s="208" t="s">
        <v>310</v>
      </c>
      <c r="I1145" s="22" t="s">
        <v>237</v>
      </c>
      <c r="J1145" s="323">
        <v>64.959999999999994</v>
      </c>
      <c r="K1145" s="73">
        <v>13.22</v>
      </c>
      <c r="L1145" s="323">
        <v>13.88</v>
      </c>
      <c r="N1145" s="318">
        <f t="shared" si="216"/>
        <v>92.059999999999988</v>
      </c>
      <c r="O1145" s="81">
        <f>IFERROR(VLOOKUP($G1145,'321買'!A:E,3,0),"'沒有資料'")</f>
        <v>0</v>
      </c>
      <c r="P1145" s="380">
        <f>IFERROR(VLOOKUP($G1145,'321買'!$A:$G,7,0),"'沒有資料'")</f>
        <v>911</v>
      </c>
      <c r="R1145" s="297">
        <f>IFERROR(RANK(VLOOKUP($G1145,連買!$A:$D,4,0),連買!$D:$D,0),"'沒有資料'")</f>
        <v>1042</v>
      </c>
      <c r="S1145" s="34">
        <v>2.2000000000000002</v>
      </c>
      <c r="T1145" s="353">
        <f t="shared" ref="T1145:T1208" si="220">S1145/V1145</f>
        <v>5.4320987654320994E-2</v>
      </c>
      <c r="U1145" s="57">
        <v>7.19</v>
      </c>
      <c r="V1145" s="36">
        <f>RTD("money.excel",,"5469","Price")</f>
        <v>40.5</v>
      </c>
      <c r="W1145" s="66"/>
      <c r="X1145" s="15">
        <f t="shared" si="217"/>
        <v>40.5</v>
      </c>
      <c r="Y1145" s="35" t="e">
        <f t="shared" si="218"/>
        <v>#DIV/0!</v>
      </c>
      <c r="Z1145" s="413" t="s">
        <v>1801</v>
      </c>
      <c r="AA1145" s="161">
        <v>0</v>
      </c>
      <c r="AB1145" s="409">
        <v>0</v>
      </c>
      <c r="AC1145" s="259">
        <f t="shared" si="215"/>
        <v>0</v>
      </c>
      <c r="AD1145" s="22" t="s">
        <v>237</v>
      </c>
      <c r="AG1145" s="33">
        <f t="shared" si="219"/>
        <v>0</v>
      </c>
      <c r="AH1145" s="120" t="s">
        <v>2778</v>
      </c>
      <c r="AI1145" s="63">
        <f t="shared" ref="AI1145:AI1208" si="221">AJ1145/(A1145*10000)</f>
        <v>1.8712121212121212E-3</v>
      </c>
      <c r="AJ1145" s="307">
        <f>RTD("money.excel",,$G1145,"PredictVolume")</f>
        <v>988</v>
      </c>
    </row>
    <row r="1146" spans="1:37">
      <c r="A1146" s="415">
        <v>12.7</v>
      </c>
      <c r="B1146" s="79">
        <v>228</v>
      </c>
      <c r="C1146" s="79">
        <v>403</v>
      </c>
      <c r="D1146" s="79">
        <v>10</v>
      </c>
      <c r="E1146" s="79">
        <v>256</v>
      </c>
      <c r="F1146" s="57">
        <v>24.99</v>
      </c>
      <c r="G1146" s="79">
        <v>5475</v>
      </c>
      <c r="H1146" s="8" t="s">
        <v>310</v>
      </c>
      <c r="I1146" s="16" t="s">
        <v>422</v>
      </c>
      <c r="J1146" s="73">
        <v>13.71</v>
      </c>
      <c r="K1146" s="323">
        <v>0.39</v>
      </c>
      <c r="L1146" s="323"/>
      <c r="N1146" s="318">
        <f t="shared" si="216"/>
        <v>14.100000000000001</v>
      </c>
      <c r="O1146" s="81">
        <f>IFERROR(VLOOKUP($G1146,'321買'!A:E,3,0),"'沒有資料'")</f>
        <v>17</v>
      </c>
      <c r="P1146" s="380">
        <f>IFERROR(VLOOKUP($G1146,'321買'!$A:$G,7,0),"'沒有資料'")</f>
        <v>307</v>
      </c>
      <c r="R1146" s="297">
        <f>IFERROR(RANK(VLOOKUP($G1146,連買!$A:$D,4,0),連買!$D:$D,0),"'沒有資料'")</f>
        <v>1572</v>
      </c>
      <c r="S1146" s="34">
        <v>0</v>
      </c>
      <c r="T1146" s="353">
        <f t="shared" si="220"/>
        <v>0</v>
      </c>
      <c r="U1146" s="95">
        <v>2.3199999999999998</v>
      </c>
      <c r="V1146" s="36">
        <f>RTD("money.excel",,"5475","Price")</f>
        <v>17.75</v>
      </c>
      <c r="W1146" s="66"/>
      <c r="X1146" s="15">
        <f t="shared" si="217"/>
        <v>17.75</v>
      </c>
      <c r="Y1146" s="3" t="e">
        <f t="shared" si="218"/>
        <v>#DIV/0!</v>
      </c>
      <c r="AA1146" s="161">
        <v>0</v>
      </c>
      <c r="AB1146" s="409">
        <v>0</v>
      </c>
      <c r="AC1146" s="259">
        <f t="shared" si="215"/>
        <v>0</v>
      </c>
      <c r="AD1146" s="16" t="s">
        <v>422</v>
      </c>
      <c r="AG1146" s="33">
        <f t="shared" si="219"/>
        <v>0</v>
      </c>
      <c r="AH1146" s="43" t="s">
        <v>1058</v>
      </c>
      <c r="AI1146" s="63">
        <f t="shared" si="221"/>
        <v>5.5039370078740161E-3</v>
      </c>
      <c r="AJ1146" s="307">
        <f>RTD("money.excel",,$G1146,"PredictVolume")</f>
        <v>699</v>
      </c>
      <c r="AK1146" s="81"/>
    </row>
    <row r="1147" spans="1:37">
      <c r="A1147" s="416">
        <v>9.16</v>
      </c>
      <c r="B1147" s="91">
        <v>-78</v>
      </c>
      <c r="C1147" s="91">
        <v>-23</v>
      </c>
      <c r="D1147" s="91">
        <v>-9</v>
      </c>
      <c r="E1147" s="91">
        <v>8</v>
      </c>
      <c r="F1147" s="6">
        <v>-4.42</v>
      </c>
      <c r="G1147" s="79">
        <v>5488</v>
      </c>
      <c r="H1147" s="8" t="s">
        <v>310</v>
      </c>
      <c r="I1147" s="16" t="s">
        <v>423</v>
      </c>
      <c r="J1147" s="73">
        <v>53.69</v>
      </c>
      <c r="K1147" s="73">
        <v>0</v>
      </c>
      <c r="L1147" s="73">
        <v>38.83</v>
      </c>
      <c r="N1147" s="318">
        <f t="shared" si="216"/>
        <v>92.52</v>
      </c>
      <c r="O1147" s="81">
        <f>IFERROR(VLOOKUP($G1147,'321買'!A:E,3,0),"'沒有資料'")</f>
        <v>0</v>
      </c>
      <c r="P1147" s="380">
        <f>IFERROR(VLOOKUP($G1147,'321買'!$A:$G,7,0),"'沒有資料'")</f>
        <v>911</v>
      </c>
      <c r="R1147" s="297">
        <f>IFERROR(RANK(VLOOKUP($G1147,連買!$A:$D,4,0),連買!$D:$D,0),"'沒有資料'")</f>
        <v>1432</v>
      </c>
      <c r="S1147" s="34">
        <v>0</v>
      </c>
      <c r="T1147" s="353">
        <f t="shared" si="220"/>
        <v>0</v>
      </c>
      <c r="U1147" s="95">
        <v>-0.32</v>
      </c>
      <c r="V1147" s="13">
        <f>RTD("money.excel",,"5488","Price")</f>
        <v>8.76</v>
      </c>
      <c r="W1147" s="66"/>
      <c r="X1147" s="15">
        <f t="shared" si="217"/>
        <v>8.76</v>
      </c>
      <c r="Y1147" s="3" t="e">
        <f t="shared" si="218"/>
        <v>#DIV/0!</v>
      </c>
      <c r="AA1147" s="161">
        <v>0</v>
      </c>
      <c r="AB1147" s="409">
        <v>0</v>
      </c>
      <c r="AC1147" s="259">
        <f t="shared" si="215"/>
        <v>0</v>
      </c>
      <c r="AD1147" s="16" t="s">
        <v>423</v>
      </c>
      <c r="AG1147" s="33">
        <f t="shared" si="219"/>
        <v>0</v>
      </c>
      <c r="AH1147" s="43" t="s">
        <v>2599</v>
      </c>
      <c r="AI1147" s="63">
        <f t="shared" si="221"/>
        <v>1.2663755458515284E-3</v>
      </c>
      <c r="AJ1147" s="307">
        <f>RTD("money.excel",,$G1147,"PredictVolume")</f>
        <v>116</v>
      </c>
    </row>
    <row r="1148" spans="1:37">
      <c r="A1148" s="416">
        <v>18.899999999999999</v>
      </c>
      <c r="B1148" s="79">
        <v>31</v>
      </c>
      <c r="C1148" s="79">
        <v>362</v>
      </c>
      <c r="D1148" s="80">
        <v>-10</v>
      </c>
      <c r="E1148" s="79">
        <v>5</v>
      </c>
      <c r="F1148" s="6">
        <v>4.3099999999999996</v>
      </c>
      <c r="G1148" s="79">
        <v>5498</v>
      </c>
      <c r="H1148" s="8" t="s">
        <v>310</v>
      </c>
      <c r="I1148" s="16" t="s">
        <v>424</v>
      </c>
      <c r="J1148" s="323">
        <v>42.57</v>
      </c>
      <c r="K1148" s="323">
        <v>0.95</v>
      </c>
      <c r="L1148" s="73">
        <v>12.91</v>
      </c>
      <c r="N1148" s="318">
        <f t="shared" si="216"/>
        <v>56.430000000000007</v>
      </c>
      <c r="O1148" s="81">
        <f>IFERROR(VLOOKUP($G1148,'321買'!A:E,3,0),"'沒有資料'")</f>
        <v>2</v>
      </c>
      <c r="P1148" s="380">
        <f>IFERROR(VLOOKUP($G1148,'321買'!$A:$G,7,0),"'沒有資料'")</f>
        <v>706</v>
      </c>
      <c r="R1148" s="297">
        <f>IFERROR(RANK(VLOOKUP($G1148,連買!$A:$D,4,0),連買!$D:$D,0),"'沒有資料'")</f>
        <v>971</v>
      </c>
      <c r="S1148" s="34">
        <v>0.6</v>
      </c>
      <c r="T1148" s="353">
        <f t="shared" si="220"/>
        <v>5.3811659192825108E-2</v>
      </c>
      <c r="U1148" s="95">
        <v>0.53</v>
      </c>
      <c r="V1148" s="36">
        <f>RTD("money.excel",,"5498","Price")</f>
        <v>11.15</v>
      </c>
      <c r="W1148" s="66"/>
      <c r="X1148" s="15">
        <f t="shared" si="217"/>
        <v>11.15</v>
      </c>
      <c r="Y1148" s="3" t="e">
        <f t="shared" si="218"/>
        <v>#DIV/0!</v>
      </c>
      <c r="Z1148" s="413" t="s">
        <v>1801</v>
      </c>
      <c r="AA1148" s="161">
        <v>0</v>
      </c>
      <c r="AB1148" s="409">
        <v>0</v>
      </c>
      <c r="AC1148" s="259">
        <f t="shared" si="215"/>
        <v>0</v>
      </c>
      <c r="AD1148" s="16" t="s">
        <v>424</v>
      </c>
      <c r="AG1148" s="33">
        <f t="shared" si="219"/>
        <v>0</v>
      </c>
      <c r="AH1148" s="43" t="s">
        <v>425</v>
      </c>
      <c r="AI1148" s="63">
        <f t="shared" si="221"/>
        <v>1.9153439153439154E-3</v>
      </c>
      <c r="AJ1148" s="307">
        <f>RTD("money.excel",,$G1148,"PredictVolume")</f>
        <v>362</v>
      </c>
      <c r="AK1148" s="339"/>
    </row>
    <row r="1149" spans="1:37">
      <c r="A1149" s="416">
        <v>15.9</v>
      </c>
      <c r="B1149" s="91">
        <v>-26</v>
      </c>
      <c r="C1149" s="91">
        <v>-35</v>
      </c>
      <c r="D1149" s="91">
        <v>-3</v>
      </c>
      <c r="E1149" s="91">
        <v>-4</v>
      </c>
      <c r="F1149" s="6">
        <v>4.3</v>
      </c>
      <c r="G1149" s="79">
        <v>6108</v>
      </c>
      <c r="H1149" s="8" t="s">
        <v>310</v>
      </c>
      <c r="I1149" s="22" t="s">
        <v>4924</v>
      </c>
      <c r="J1149" s="323">
        <v>41.2</v>
      </c>
      <c r="K1149" s="323">
        <v>9.23</v>
      </c>
      <c r="L1149" s="323">
        <v>10.24</v>
      </c>
      <c r="N1149" s="318">
        <f t="shared" si="216"/>
        <v>60.670000000000009</v>
      </c>
      <c r="O1149" s="81">
        <f>IFERROR(VLOOKUP($G1149,'321買'!A:E,3,0),"'沒有資料'")</f>
        <v>2</v>
      </c>
      <c r="P1149" s="380">
        <f>IFERROR(VLOOKUP($G1149,'321買'!$A:$G,7,0),"'沒有資料'")</f>
        <v>706</v>
      </c>
      <c r="R1149" s="297">
        <f>IFERROR(RANK(VLOOKUP($G1149,連買!$A:$D,4,0),連買!$D:$D,0),"'沒有資料'")</f>
        <v>1000</v>
      </c>
      <c r="S1149" s="34">
        <v>0.5</v>
      </c>
      <c r="T1149" s="353">
        <f t="shared" si="220"/>
        <v>2.5188916876574305E-2</v>
      </c>
      <c r="U1149" s="95">
        <v>-0.52</v>
      </c>
      <c r="V1149" s="36">
        <f>RTD("money.excel",,"6108","Price")</f>
        <v>19.850000000000001</v>
      </c>
      <c r="W1149" s="66"/>
      <c r="X1149" s="15">
        <f t="shared" si="217"/>
        <v>19.850000000000001</v>
      </c>
      <c r="Y1149" s="35" t="e">
        <f t="shared" si="218"/>
        <v>#DIV/0!</v>
      </c>
      <c r="Z1149" s="413" t="s">
        <v>1801</v>
      </c>
      <c r="AA1149" s="161">
        <v>0</v>
      </c>
      <c r="AB1149" s="409">
        <v>0</v>
      </c>
      <c r="AC1149" s="259">
        <f t="shared" si="215"/>
        <v>0</v>
      </c>
      <c r="AD1149" s="22" t="s">
        <v>4924</v>
      </c>
      <c r="AG1149" s="33">
        <f t="shared" si="219"/>
        <v>0</v>
      </c>
      <c r="AH1149" s="43" t="s">
        <v>2779</v>
      </c>
      <c r="AI1149" s="63">
        <f t="shared" si="221"/>
        <v>8.7421383647798745E-4</v>
      </c>
      <c r="AJ1149" s="307">
        <f>RTD("money.excel",,$G1149,"PredictVolume")</f>
        <v>139</v>
      </c>
      <c r="AK1149" s="339"/>
    </row>
    <row r="1150" spans="1:37">
      <c r="A1150" s="416">
        <v>4.3899999999999997</v>
      </c>
      <c r="B1150" s="91">
        <v>-95</v>
      </c>
      <c r="C1150" s="91">
        <v>-61</v>
      </c>
      <c r="D1150" s="91">
        <v>-5</v>
      </c>
      <c r="E1150" s="91">
        <v>51</v>
      </c>
      <c r="F1150" s="6">
        <v>5.85</v>
      </c>
      <c r="G1150" s="79">
        <v>6114</v>
      </c>
      <c r="H1150" s="8" t="s">
        <v>310</v>
      </c>
      <c r="I1150" s="16" t="s">
        <v>4925</v>
      </c>
      <c r="J1150" s="73">
        <v>75.040000000000006</v>
      </c>
      <c r="K1150" s="73">
        <v>0.16</v>
      </c>
      <c r="L1150" s="73">
        <v>8.51</v>
      </c>
      <c r="N1150" s="318">
        <f t="shared" si="216"/>
        <v>83.710000000000008</v>
      </c>
      <c r="O1150" s="81">
        <f>IFERROR(VLOOKUP($G1150,'321買'!A:E,3,0),"'沒有資料'")</f>
        <v>1</v>
      </c>
      <c r="P1150" s="380">
        <f>IFERROR(VLOOKUP($G1150,'321買'!$A:$G,7,0),"'沒有資料'")</f>
        <v>783</v>
      </c>
      <c r="R1150" s="297">
        <f>IFERROR(RANK(VLOOKUP($G1150,連買!$A:$D,4,0),連買!$D:$D,0),"'沒有資料'")</f>
        <v>967</v>
      </c>
      <c r="S1150" s="34">
        <v>0.7</v>
      </c>
      <c r="T1150" s="353">
        <f t="shared" si="220"/>
        <v>3.2634032634032632E-2</v>
      </c>
      <c r="U1150" s="95">
        <v>0.53</v>
      </c>
      <c r="V1150" s="13">
        <f>RTD("money.excel",,"6114","Price")</f>
        <v>21.45</v>
      </c>
      <c r="W1150" s="66"/>
      <c r="X1150" s="15">
        <f t="shared" si="217"/>
        <v>21.45</v>
      </c>
      <c r="Y1150" s="3" t="e">
        <f t="shared" si="218"/>
        <v>#DIV/0!</v>
      </c>
      <c r="AA1150" s="161">
        <v>0</v>
      </c>
      <c r="AB1150" s="409">
        <v>0</v>
      </c>
      <c r="AC1150" s="259">
        <f t="shared" si="215"/>
        <v>0</v>
      </c>
      <c r="AD1150" s="16" t="s">
        <v>4925</v>
      </c>
      <c r="AG1150" s="33">
        <f t="shared" si="219"/>
        <v>0</v>
      </c>
      <c r="AH1150" s="43" t="s">
        <v>2600</v>
      </c>
      <c r="AI1150" s="63">
        <f t="shared" si="221"/>
        <v>3.8724373576309797E-4</v>
      </c>
      <c r="AJ1150" s="307">
        <f>RTD("money.excel",,$G1150,"PredictVolume")</f>
        <v>17</v>
      </c>
      <c r="AK1150" s="339"/>
    </row>
    <row r="1151" spans="1:37">
      <c r="A1151" s="415">
        <v>18.7</v>
      </c>
      <c r="B1151" s="91">
        <v>-27</v>
      </c>
      <c r="C1151" s="91">
        <v>24</v>
      </c>
      <c r="D1151" s="91">
        <v>-1</v>
      </c>
      <c r="E1151" s="91">
        <v>36</v>
      </c>
      <c r="F1151" s="57">
        <v>13.64</v>
      </c>
      <c r="G1151" s="79">
        <v>6115</v>
      </c>
      <c r="H1151" s="8" t="s">
        <v>310</v>
      </c>
      <c r="I1151" s="22" t="s">
        <v>397</v>
      </c>
      <c r="J1151" s="73">
        <v>70.290000000000006</v>
      </c>
      <c r="K1151" s="73">
        <v>13.83</v>
      </c>
      <c r="L1151" s="73">
        <v>0.11</v>
      </c>
      <c r="N1151" s="318">
        <f t="shared" si="216"/>
        <v>84.23</v>
      </c>
      <c r="O1151" s="81">
        <f>IFERROR(VLOOKUP($G1151,'321買'!A:E,3,0),"'沒有資料'")</f>
        <v>0</v>
      </c>
      <c r="P1151" s="380">
        <f>IFERROR(VLOOKUP($G1151,'321買'!$A:$G,7,0),"'沒有資料'")</f>
        <v>911</v>
      </c>
      <c r="R1151" s="297">
        <f>IFERROR(RANK(VLOOKUP($G1151,連買!$A:$D,4,0),連買!$D:$D,0),"'沒有資料'")</f>
        <v>727</v>
      </c>
      <c r="S1151" s="34">
        <v>2.8</v>
      </c>
      <c r="T1151" s="353">
        <f t="shared" si="220"/>
        <v>6.5268065268065265E-2</v>
      </c>
      <c r="U1151" s="95">
        <v>2.58</v>
      </c>
      <c r="V1151" s="13">
        <f>RTD("money.excel",,"6115","Price")</f>
        <v>42.9</v>
      </c>
      <c r="W1151" s="66"/>
      <c r="X1151" s="15">
        <f t="shared" si="217"/>
        <v>42.9</v>
      </c>
      <c r="Y1151" s="35" t="e">
        <f t="shared" si="218"/>
        <v>#DIV/0!</v>
      </c>
      <c r="Z1151" s="413" t="s">
        <v>1801</v>
      </c>
      <c r="AA1151" s="161">
        <v>0</v>
      </c>
      <c r="AB1151" s="409">
        <v>0</v>
      </c>
      <c r="AC1151" s="259">
        <f t="shared" si="215"/>
        <v>0</v>
      </c>
      <c r="AD1151" s="22" t="s">
        <v>397</v>
      </c>
      <c r="AG1151" s="33">
        <f t="shared" si="219"/>
        <v>0</v>
      </c>
      <c r="AH1151" s="43" t="s">
        <v>2780</v>
      </c>
      <c r="AI1151" s="63">
        <f t="shared" si="221"/>
        <v>4.2245989304812837E-4</v>
      </c>
      <c r="AJ1151" s="307">
        <f>RTD("money.excel",,$G1151,"PredictVolume")</f>
        <v>79</v>
      </c>
      <c r="AK1151" s="339"/>
    </row>
    <row r="1152" spans="1:37">
      <c r="A1152" s="415">
        <v>18.2</v>
      </c>
      <c r="B1152" s="91">
        <v>21</v>
      </c>
      <c r="C1152" s="91">
        <v>48</v>
      </c>
      <c r="D1152" s="91">
        <v>2</v>
      </c>
      <c r="E1152" s="91">
        <v>64</v>
      </c>
      <c r="F1152" s="57">
        <v>14.49</v>
      </c>
      <c r="G1152" s="79">
        <v>6124</v>
      </c>
      <c r="H1152" s="8" t="s">
        <v>310</v>
      </c>
      <c r="I1152" s="16" t="s">
        <v>426</v>
      </c>
      <c r="J1152" s="73">
        <v>93.57</v>
      </c>
      <c r="K1152" s="73">
        <v>36.58</v>
      </c>
      <c r="L1152" s="73">
        <v>0.74</v>
      </c>
      <c r="N1152" s="318">
        <f t="shared" si="216"/>
        <v>130.88999999999999</v>
      </c>
      <c r="O1152" s="81" t="str">
        <f>IFERROR(VLOOKUP($G1152,'321買'!A:E,3,0),"'沒有資料'")</f>
        <v>'沒有資料'</v>
      </c>
      <c r="P1152" s="380" t="str">
        <f>IFERROR(VLOOKUP($G1152,'321買'!$A:$G,7,0),"'沒有資料'")</f>
        <v>'沒有資料'</v>
      </c>
      <c r="R1152" s="297">
        <f>IFERROR(RANK(VLOOKUP($G1152,連買!$A:$D,4,0),連買!$D:$D,0),"'沒有資料'")</f>
        <v>995</v>
      </c>
      <c r="S1152" s="34">
        <v>0</v>
      </c>
      <c r="T1152" s="353">
        <f t="shared" si="220"/>
        <v>0</v>
      </c>
      <c r="U1152" s="95">
        <v>1.5</v>
      </c>
      <c r="V1152" s="13">
        <f>RTD("money.excel",,"6124","Price")</f>
        <v>26.05</v>
      </c>
      <c r="W1152" s="66"/>
      <c r="X1152" s="15">
        <f t="shared" si="217"/>
        <v>26.05</v>
      </c>
      <c r="Y1152" s="3" t="e">
        <f t="shared" si="218"/>
        <v>#DIV/0!</v>
      </c>
      <c r="AA1152" s="161">
        <v>0</v>
      </c>
      <c r="AB1152" s="409">
        <v>0</v>
      </c>
      <c r="AC1152" s="259">
        <f t="shared" si="215"/>
        <v>0</v>
      </c>
      <c r="AD1152" s="16" t="s">
        <v>426</v>
      </c>
      <c r="AG1152" s="33">
        <f t="shared" si="219"/>
        <v>0</v>
      </c>
      <c r="AH1152" s="43" t="s">
        <v>2601</v>
      </c>
      <c r="AI1152" s="63">
        <f t="shared" si="221"/>
        <v>5.4945054945054945E-5</v>
      </c>
      <c r="AJ1152" s="307">
        <f>RTD("money.excel",,$G1152,"PredictVolume")</f>
        <v>10</v>
      </c>
      <c r="AK1152" s="339"/>
    </row>
    <row r="1153" spans="1:37">
      <c r="A1153" s="415">
        <v>12.6</v>
      </c>
      <c r="B1153" s="79">
        <v>65</v>
      </c>
      <c r="C1153" s="79">
        <v>130</v>
      </c>
      <c r="D1153" s="79">
        <v>14</v>
      </c>
      <c r="E1153" s="79">
        <v>90</v>
      </c>
      <c r="F1153" s="57">
        <v>12.05</v>
      </c>
      <c r="G1153" s="79">
        <v>6126</v>
      </c>
      <c r="H1153" s="8" t="s">
        <v>310</v>
      </c>
      <c r="I1153" s="16" t="s">
        <v>427</v>
      </c>
      <c r="J1153" s="73">
        <v>43.42</v>
      </c>
      <c r="K1153" s="73">
        <v>4.8600000000000003</v>
      </c>
      <c r="L1153" s="73">
        <v>21.84</v>
      </c>
      <c r="N1153" s="318">
        <f t="shared" si="216"/>
        <v>70.12</v>
      </c>
      <c r="O1153" s="81">
        <f>IFERROR(VLOOKUP($G1153,'321買'!A:E,3,0),"'沒有資料'")</f>
        <v>12</v>
      </c>
      <c r="P1153" s="380">
        <f>IFERROR(VLOOKUP($G1153,'321買'!$A:$G,7,0),"'沒有資料'")</f>
        <v>387</v>
      </c>
      <c r="R1153" s="297">
        <f>IFERROR(RANK(VLOOKUP($G1153,連買!$A:$D,4,0),連買!$D:$D,0),"'沒有資料'")</f>
        <v>754</v>
      </c>
      <c r="S1153" s="34">
        <v>1.4</v>
      </c>
      <c r="T1153" s="353">
        <f t="shared" si="220"/>
        <v>5.5999999999999994E-2</v>
      </c>
      <c r="U1153" s="95">
        <v>2.02</v>
      </c>
      <c r="V1153" s="36">
        <f>RTD("money.excel",,"6126","Price")</f>
        <v>25</v>
      </c>
      <c r="W1153" s="66"/>
      <c r="X1153" s="15">
        <f t="shared" si="217"/>
        <v>25</v>
      </c>
      <c r="Y1153" s="3" t="e">
        <f t="shared" si="218"/>
        <v>#DIV/0!</v>
      </c>
      <c r="AA1153" s="161">
        <v>0</v>
      </c>
      <c r="AB1153" s="409">
        <v>0</v>
      </c>
      <c r="AC1153" s="259">
        <f t="shared" si="215"/>
        <v>0</v>
      </c>
      <c r="AD1153" s="16" t="s">
        <v>427</v>
      </c>
      <c r="AG1153" s="33">
        <f t="shared" si="219"/>
        <v>0</v>
      </c>
      <c r="AH1153" s="43" t="s">
        <v>2016</v>
      </c>
      <c r="AI1153" s="63">
        <f t="shared" si="221"/>
        <v>1.7619047619047618E-3</v>
      </c>
      <c r="AJ1153" s="307">
        <f>RTD("money.excel",,$G1153,"PredictVolume")</f>
        <v>222</v>
      </c>
      <c r="AK1153" s="339"/>
    </row>
    <row r="1154" spans="1:37">
      <c r="A1154" s="416">
        <v>10.8</v>
      </c>
      <c r="B1154" s="79">
        <v>51</v>
      </c>
      <c r="C1154" s="79">
        <v>113</v>
      </c>
      <c r="D1154" s="80">
        <v>-1</v>
      </c>
      <c r="E1154" s="79">
        <v>14</v>
      </c>
      <c r="F1154" s="6">
        <v>2.98</v>
      </c>
      <c r="G1154" s="79">
        <v>6127</v>
      </c>
      <c r="H1154" s="8" t="s">
        <v>310</v>
      </c>
      <c r="I1154" s="16" t="s">
        <v>321</v>
      </c>
      <c r="J1154" s="323">
        <v>20.65</v>
      </c>
      <c r="K1154" s="323">
        <v>0.27</v>
      </c>
      <c r="L1154" s="323">
        <v>34.93</v>
      </c>
      <c r="N1154" s="318">
        <f t="shared" si="216"/>
        <v>55.849999999999994</v>
      </c>
      <c r="O1154" s="81">
        <f>IFERROR(VLOOKUP($G1154,'321買'!A:E,3,0),"'沒有資料'")</f>
        <v>15</v>
      </c>
      <c r="P1154" s="380">
        <f>IFERROR(VLOOKUP($G1154,'321買'!$A:$G,7,0),"'沒有資料'")</f>
        <v>307</v>
      </c>
      <c r="R1154" s="297">
        <f>IFERROR(RANK(VLOOKUP($G1154,連買!$A:$D,4,0),連買!$D:$D,0),"'沒有資料'")</f>
        <v>692</v>
      </c>
      <c r="S1154" s="34">
        <v>0</v>
      </c>
      <c r="T1154" s="353">
        <f t="shared" si="220"/>
        <v>0</v>
      </c>
      <c r="U1154" s="57">
        <v>-0.95</v>
      </c>
      <c r="V1154" s="36">
        <f>RTD("money.excel",,"6127","Price")</f>
        <v>24.2</v>
      </c>
      <c r="W1154" s="66"/>
      <c r="X1154" s="15">
        <f t="shared" si="217"/>
        <v>24.2</v>
      </c>
      <c r="Y1154" s="3" t="e">
        <f t="shared" si="218"/>
        <v>#DIV/0!</v>
      </c>
      <c r="Z1154" s="413" t="s">
        <v>1801</v>
      </c>
      <c r="AA1154" s="161">
        <v>0</v>
      </c>
      <c r="AB1154" s="409">
        <v>0</v>
      </c>
      <c r="AC1154" s="259">
        <f t="shared" si="215"/>
        <v>0</v>
      </c>
      <c r="AD1154" s="16" t="s">
        <v>321</v>
      </c>
      <c r="AG1154" s="33">
        <f t="shared" si="219"/>
        <v>0</v>
      </c>
      <c r="AH1154" s="43" t="s">
        <v>2490</v>
      </c>
      <c r="AI1154" s="63">
        <f t="shared" si="221"/>
        <v>1.5370370370370371E-3</v>
      </c>
      <c r="AJ1154" s="307">
        <f>RTD("money.excel",,$G1154,"PredictVolume")</f>
        <v>166</v>
      </c>
      <c r="AK1154" s="339"/>
    </row>
    <row r="1155" spans="1:37">
      <c r="A1155" s="416">
        <v>11.7</v>
      </c>
      <c r="B1155" s="91">
        <v>-64</v>
      </c>
      <c r="C1155" s="91">
        <v>-383</v>
      </c>
      <c r="D1155" s="91">
        <v>3</v>
      </c>
      <c r="E1155" s="91">
        <v>50</v>
      </c>
      <c r="F1155" s="6">
        <v>-3.42</v>
      </c>
      <c r="G1155" s="79">
        <v>6133</v>
      </c>
      <c r="H1155" s="8" t="s">
        <v>310</v>
      </c>
      <c r="I1155" s="22" t="s">
        <v>4926</v>
      </c>
      <c r="J1155" s="73">
        <v>73.680000000000007</v>
      </c>
      <c r="K1155" s="73">
        <v>4.95</v>
      </c>
      <c r="L1155" s="73">
        <v>19.04</v>
      </c>
      <c r="N1155" s="318">
        <f t="shared" si="216"/>
        <v>97.670000000000016</v>
      </c>
      <c r="O1155" s="81">
        <f>IFERROR(VLOOKUP($G1155,'321買'!A:E,3,0),"'沒有資料'")</f>
        <v>0</v>
      </c>
      <c r="P1155" s="380">
        <f>IFERROR(VLOOKUP($G1155,'321買'!$A:$G,7,0),"'沒有資料'")</f>
        <v>911</v>
      </c>
      <c r="R1155" s="297">
        <f>IFERROR(RANK(VLOOKUP($G1155,連買!$A:$D,4,0),連買!$D:$D,0),"'沒有資料'")</f>
        <v>1330</v>
      </c>
      <c r="S1155" s="34">
        <v>0</v>
      </c>
      <c r="T1155" s="353">
        <f t="shared" si="220"/>
        <v>0</v>
      </c>
      <c r="U1155" s="95">
        <v>0.02</v>
      </c>
      <c r="V1155" s="13">
        <f>RTD("money.excel",,"6133","Price")</f>
        <v>9.32</v>
      </c>
      <c r="W1155" s="66"/>
      <c r="X1155" s="15">
        <f t="shared" si="217"/>
        <v>9.32</v>
      </c>
      <c r="Y1155" s="35" t="e">
        <f t="shared" si="218"/>
        <v>#DIV/0!</v>
      </c>
      <c r="AA1155" s="161">
        <v>0</v>
      </c>
      <c r="AB1155" s="409">
        <v>0</v>
      </c>
      <c r="AC1155" s="259">
        <f t="shared" si="215"/>
        <v>0</v>
      </c>
      <c r="AD1155" s="22" t="s">
        <v>4926</v>
      </c>
      <c r="AG1155" s="33">
        <f t="shared" si="219"/>
        <v>0</v>
      </c>
      <c r="AH1155" s="43" t="s">
        <v>2586</v>
      </c>
      <c r="AI1155" s="63">
        <f t="shared" si="221"/>
        <v>1.0341880341880343E-3</v>
      </c>
      <c r="AJ1155" s="307">
        <f>RTD("money.excel",,$G1155,"PredictVolume")</f>
        <v>121</v>
      </c>
      <c r="AK1155" s="339"/>
    </row>
    <row r="1156" spans="1:37">
      <c r="A1156" s="416">
        <v>7.26</v>
      </c>
      <c r="B1156" s="79">
        <v>424</v>
      </c>
      <c r="C1156" s="79">
        <v>62</v>
      </c>
      <c r="D1156" s="79">
        <v>46</v>
      </c>
      <c r="E1156" s="79">
        <v>45</v>
      </c>
      <c r="F1156" s="6">
        <v>-1.52</v>
      </c>
      <c r="G1156" s="79">
        <v>6134</v>
      </c>
      <c r="H1156" s="8" t="s">
        <v>310</v>
      </c>
      <c r="I1156" s="16" t="s">
        <v>4927</v>
      </c>
      <c r="J1156" s="73">
        <v>56.48</v>
      </c>
      <c r="K1156" s="73">
        <v>22.47</v>
      </c>
      <c r="L1156" s="73">
        <v>0.79</v>
      </c>
      <c r="N1156" s="318">
        <f t="shared" si="216"/>
        <v>79.739999999999995</v>
      </c>
      <c r="O1156" s="81">
        <f>IFERROR(VLOOKUP($G1156,'321買'!A:E,3,0),"'沒有資料'")</f>
        <v>10</v>
      </c>
      <c r="P1156" s="380">
        <f>IFERROR(VLOOKUP($G1156,'321買'!$A:$G,7,0),"'沒有資料'")</f>
        <v>433</v>
      </c>
      <c r="R1156" s="297">
        <f>IFERROR(RANK(VLOOKUP($G1156,連買!$A:$D,4,0),連買!$D:$D,0),"'沒有資料'")</f>
        <v>993</v>
      </c>
      <c r="S1156" s="34">
        <v>0</v>
      </c>
      <c r="T1156" s="353">
        <f t="shared" si="220"/>
        <v>0</v>
      </c>
      <c r="U1156" s="57">
        <v>0.32</v>
      </c>
      <c r="V1156" s="36">
        <f>RTD("money.excel",,"6134","Price")</f>
        <v>24.45</v>
      </c>
      <c r="W1156" s="66"/>
      <c r="X1156" s="15">
        <f t="shared" si="217"/>
        <v>24.45</v>
      </c>
      <c r="Y1156" s="3" t="e">
        <f t="shared" si="218"/>
        <v>#DIV/0!</v>
      </c>
      <c r="AA1156" s="161">
        <v>0</v>
      </c>
      <c r="AB1156" s="409">
        <v>0</v>
      </c>
      <c r="AC1156" s="259">
        <f t="shared" si="215"/>
        <v>0</v>
      </c>
      <c r="AD1156" s="16" t="s">
        <v>4927</v>
      </c>
      <c r="AG1156" s="33">
        <f t="shared" si="219"/>
        <v>0</v>
      </c>
      <c r="AH1156" s="43" t="s">
        <v>2557</v>
      </c>
      <c r="AI1156" s="63">
        <f t="shared" si="221"/>
        <v>9.3801652892561982E-3</v>
      </c>
      <c r="AJ1156" s="307">
        <f>RTD("money.excel",,$G1156,"PredictVolume")</f>
        <v>681</v>
      </c>
      <c r="AK1156" s="81"/>
    </row>
    <row r="1157" spans="1:37">
      <c r="A1157" s="416">
        <v>12.8</v>
      </c>
      <c r="B1157" s="79">
        <v>543</v>
      </c>
      <c r="C1157" s="79">
        <v>44</v>
      </c>
      <c r="D1157" s="80">
        <v>-27</v>
      </c>
      <c r="E1157" s="80">
        <v>-25</v>
      </c>
      <c r="F1157" s="6">
        <v>9.1300000000000008</v>
      </c>
      <c r="G1157" s="79">
        <v>6141</v>
      </c>
      <c r="H1157" s="8" t="s">
        <v>310</v>
      </c>
      <c r="I1157" s="22" t="s">
        <v>398</v>
      </c>
      <c r="J1157" s="323">
        <v>54.93</v>
      </c>
      <c r="K1157" s="73">
        <v>2.92</v>
      </c>
      <c r="L1157" s="73">
        <v>30.72</v>
      </c>
      <c r="N1157" s="318">
        <f t="shared" si="216"/>
        <v>88.57</v>
      </c>
      <c r="O1157" s="81">
        <f>IFERROR(VLOOKUP($G1157,'321買'!A:E,3,0),"'沒有資料'")</f>
        <v>0</v>
      </c>
      <c r="P1157" s="380">
        <f>IFERROR(VLOOKUP($G1157,'321買'!$A:$G,7,0),"'沒有資料'")</f>
        <v>911</v>
      </c>
      <c r="R1157" s="297">
        <f>IFERROR(RANK(VLOOKUP($G1157,連買!$A:$D,4,0),連買!$D:$D,0),"'沒有資料'")</f>
        <v>864</v>
      </c>
      <c r="S1157" s="34">
        <v>0.5</v>
      </c>
      <c r="T1157" s="353">
        <f t="shared" si="220"/>
        <v>1.8115942028985508E-2</v>
      </c>
      <c r="U1157" s="95">
        <v>2.67</v>
      </c>
      <c r="V1157" s="36">
        <f>RTD("money.excel",,"6141","Price")</f>
        <v>27.6</v>
      </c>
      <c r="W1157" s="66"/>
      <c r="X1157" s="15">
        <f t="shared" si="217"/>
        <v>27.6</v>
      </c>
      <c r="Y1157" s="3" t="e">
        <f t="shared" si="218"/>
        <v>#DIV/0!</v>
      </c>
      <c r="Z1157" s="413" t="s">
        <v>1801</v>
      </c>
      <c r="AA1157" s="161">
        <v>0</v>
      </c>
      <c r="AB1157" s="409">
        <v>0</v>
      </c>
      <c r="AC1157" s="259">
        <f t="shared" ref="AC1157:AC1220" si="222">AA1157-AB1157</f>
        <v>0</v>
      </c>
      <c r="AD1157" s="22" t="s">
        <v>398</v>
      </c>
      <c r="AG1157" s="33">
        <f t="shared" si="219"/>
        <v>0</v>
      </c>
      <c r="AH1157" s="43" t="s">
        <v>1049</v>
      </c>
      <c r="AI1157" s="63">
        <f t="shared" si="221"/>
        <v>1.875E-4</v>
      </c>
      <c r="AJ1157" s="307">
        <f>RTD("money.excel",,$G1157,"PredictVolume")</f>
        <v>24</v>
      </c>
      <c r="AK1157" s="339"/>
    </row>
    <row r="1158" spans="1:37">
      <c r="A1158" s="416">
        <v>55.6</v>
      </c>
      <c r="B1158" s="80">
        <v>-139</v>
      </c>
      <c r="C1158" s="80">
        <v>-176</v>
      </c>
      <c r="D1158" s="79">
        <v>5</v>
      </c>
      <c r="E1158" s="80">
        <v>-18</v>
      </c>
      <c r="F1158" s="6">
        <v>-1.94</v>
      </c>
      <c r="G1158" s="79">
        <v>6153</v>
      </c>
      <c r="H1158" s="208" t="s">
        <v>310</v>
      </c>
      <c r="I1158" s="22" t="s">
        <v>4928</v>
      </c>
      <c r="J1158" s="323">
        <v>38.51</v>
      </c>
      <c r="K1158" s="73">
        <v>9.89</v>
      </c>
      <c r="L1158" s="323">
        <v>13.94</v>
      </c>
      <c r="M1158" s="323">
        <v>26.97</v>
      </c>
      <c r="N1158" s="318">
        <f t="shared" si="216"/>
        <v>89.31</v>
      </c>
      <c r="O1158" s="81">
        <f>IFERROR(VLOOKUP($G1158,'321買'!A:E,3,0),"'沒有資料'")</f>
        <v>0</v>
      </c>
      <c r="P1158" s="380">
        <f>IFERROR(VLOOKUP($G1158,'321買'!$A:$G,7,0),"'沒有資料'")</f>
        <v>911</v>
      </c>
      <c r="Q1158" s="245" t="s">
        <v>3817</v>
      </c>
      <c r="R1158" s="297">
        <f>IFERROR(RANK(VLOOKUP($G1158,連買!$A:$D,4,0),連買!$D:$D,0),"'沒有資料'")</f>
        <v>924</v>
      </c>
      <c r="S1158" s="34">
        <v>0.25</v>
      </c>
      <c r="T1158" s="353">
        <f t="shared" si="220"/>
        <v>1.1261261261261262E-2</v>
      </c>
      <c r="U1158" s="95">
        <v>0.22</v>
      </c>
      <c r="V1158" s="36">
        <f>RTD("money.excel",,"6153","Price")</f>
        <v>22.2</v>
      </c>
      <c r="W1158" s="66"/>
      <c r="X1158" s="15">
        <f t="shared" si="217"/>
        <v>22.2</v>
      </c>
      <c r="Y1158" s="3" t="e">
        <f t="shared" si="218"/>
        <v>#DIV/0!</v>
      </c>
      <c r="Z1158" s="413" t="s">
        <v>1801</v>
      </c>
      <c r="AA1158" s="161">
        <v>0</v>
      </c>
      <c r="AB1158" s="409">
        <v>0</v>
      </c>
      <c r="AC1158" s="259">
        <f t="shared" si="222"/>
        <v>0</v>
      </c>
      <c r="AD1158" s="22" t="s">
        <v>4928</v>
      </c>
      <c r="AG1158" s="33">
        <f t="shared" si="219"/>
        <v>0</v>
      </c>
      <c r="AH1158" s="120" t="s">
        <v>2583</v>
      </c>
      <c r="AI1158" s="63">
        <f t="shared" si="221"/>
        <v>1.9838129496402876E-3</v>
      </c>
      <c r="AJ1158" s="307">
        <f>RTD("money.excel",,$G1158,"PredictVolume")</f>
        <v>1103</v>
      </c>
      <c r="AK1158" s="339"/>
    </row>
    <row r="1159" spans="1:37">
      <c r="A1159" s="416">
        <v>8.68</v>
      </c>
      <c r="B1159" s="80">
        <v>-36</v>
      </c>
      <c r="C1159" s="80">
        <v>-36</v>
      </c>
      <c r="D1159" s="79">
        <v>13</v>
      </c>
      <c r="E1159" s="80">
        <v>-4</v>
      </c>
      <c r="F1159" s="6">
        <v>7.4</v>
      </c>
      <c r="G1159" s="79">
        <v>6155</v>
      </c>
      <c r="H1159" s="8" t="s">
        <v>310</v>
      </c>
      <c r="I1159" s="22" t="s">
        <v>329</v>
      </c>
      <c r="J1159" s="323">
        <v>65.8</v>
      </c>
      <c r="K1159" s="73">
        <v>2.54</v>
      </c>
      <c r="L1159" s="323">
        <v>8.42</v>
      </c>
      <c r="N1159" s="318">
        <f t="shared" si="216"/>
        <v>76.760000000000005</v>
      </c>
      <c r="O1159" s="81">
        <f>IFERROR(VLOOKUP($G1159,'321買'!A:E,3,0),"'沒有資料'")</f>
        <v>2</v>
      </c>
      <c r="P1159" s="380">
        <f>IFERROR(VLOOKUP($G1159,'321買'!$A:$G,7,0),"'沒有資料'")</f>
        <v>706</v>
      </c>
      <c r="R1159" s="297">
        <f>IFERROR(RANK(VLOOKUP($G1159,連買!$A:$D,4,0),連買!$D:$D,0),"'沒有資料'")</f>
        <v>973</v>
      </c>
      <c r="S1159" s="34">
        <v>0.75</v>
      </c>
      <c r="T1159" s="353">
        <f t="shared" si="220"/>
        <v>3.1512605042016806E-2</v>
      </c>
      <c r="U1159" s="95">
        <v>0.39</v>
      </c>
      <c r="V1159" s="36">
        <f>RTD("money.excel",,"6155","Price")</f>
        <v>23.8</v>
      </c>
      <c r="W1159" s="66"/>
      <c r="X1159" s="15">
        <f t="shared" si="217"/>
        <v>23.8</v>
      </c>
      <c r="Y1159" s="3" t="e">
        <f t="shared" si="218"/>
        <v>#DIV/0!</v>
      </c>
      <c r="Z1159" s="413" t="s">
        <v>1801</v>
      </c>
      <c r="AA1159" s="161">
        <v>0</v>
      </c>
      <c r="AB1159" s="409">
        <v>0</v>
      </c>
      <c r="AC1159" s="259">
        <f t="shared" si="222"/>
        <v>0</v>
      </c>
      <c r="AD1159" s="22" t="s">
        <v>329</v>
      </c>
      <c r="AG1159" s="33">
        <f t="shared" si="219"/>
        <v>0</v>
      </c>
      <c r="AH1159" s="43" t="s">
        <v>2559</v>
      </c>
      <c r="AI1159" s="63">
        <f t="shared" si="221"/>
        <v>4.9539170506912448E-4</v>
      </c>
      <c r="AJ1159" s="307">
        <f>RTD("money.excel",,$G1159,"PredictVolume")</f>
        <v>43</v>
      </c>
      <c r="AK1159" s="339"/>
    </row>
    <row r="1160" spans="1:37">
      <c r="A1160" s="416">
        <v>8.0500000000000007</v>
      </c>
      <c r="B1160" s="91">
        <v>131</v>
      </c>
      <c r="C1160" s="91">
        <v>126</v>
      </c>
      <c r="D1160" s="91">
        <v>-1</v>
      </c>
      <c r="E1160" s="91">
        <v>31</v>
      </c>
      <c r="F1160" s="6">
        <v>4.8099999999999996</v>
      </c>
      <c r="G1160" s="79">
        <v>6156</v>
      </c>
      <c r="H1160" s="8" t="s">
        <v>310</v>
      </c>
      <c r="I1160" s="16" t="s">
        <v>431</v>
      </c>
      <c r="J1160" s="73">
        <v>52.74</v>
      </c>
      <c r="K1160" s="73">
        <v>6.18</v>
      </c>
      <c r="L1160" s="73">
        <v>28.83</v>
      </c>
      <c r="N1160" s="318">
        <f t="shared" si="216"/>
        <v>87.75</v>
      </c>
      <c r="O1160" s="81">
        <f>IFERROR(VLOOKUP($G1160,'321買'!A:E,3,0),"'沒有資料'")</f>
        <v>8</v>
      </c>
      <c r="P1160" s="380">
        <f>IFERROR(VLOOKUP($G1160,'321買'!$A:$G,7,0),"'沒有資料'")</f>
        <v>475</v>
      </c>
      <c r="R1160" s="297">
        <f>IFERROR(RANK(VLOOKUP($G1160,連買!$A:$D,4,0),連買!$D:$D,0),"'沒有資料'")</f>
        <v>891</v>
      </c>
      <c r="S1160" s="34">
        <v>0.5</v>
      </c>
      <c r="T1160" s="353">
        <f t="shared" si="220"/>
        <v>2.4330900243309E-2</v>
      </c>
      <c r="U1160" s="95">
        <v>1.32</v>
      </c>
      <c r="V1160" s="13">
        <f>RTD("money.excel",,"6156","Price")</f>
        <v>20.55</v>
      </c>
      <c r="W1160" s="66"/>
      <c r="X1160" s="15">
        <f t="shared" si="217"/>
        <v>20.55</v>
      </c>
      <c r="Y1160" s="3" t="e">
        <f t="shared" si="218"/>
        <v>#DIV/0!</v>
      </c>
      <c r="AA1160" s="161">
        <v>0</v>
      </c>
      <c r="AB1160" s="409">
        <v>0</v>
      </c>
      <c r="AC1160" s="259">
        <f t="shared" si="222"/>
        <v>0</v>
      </c>
      <c r="AD1160" s="16" t="s">
        <v>431</v>
      </c>
      <c r="AG1160" s="33">
        <f t="shared" si="219"/>
        <v>0</v>
      </c>
      <c r="AH1160" s="43" t="s">
        <v>2602</v>
      </c>
      <c r="AI1160" s="63">
        <f t="shared" si="221"/>
        <v>6.5590062111801246E-3</v>
      </c>
      <c r="AJ1160" s="307">
        <f>RTD("money.excel",,$G1160,"PredictVolume")</f>
        <v>528</v>
      </c>
      <c r="AK1160" s="339"/>
    </row>
    <row r="1161" spans="1:37">
      <c r="A1161" s="416">
        <v>5.37</v>
      </c>
      <c r="B1161" s="91">
        <v>-91</v>
      </c>
      <c r="C1161" s="91">
        <v>49</v>
      </c>
      <c r="D1161" s="91">
        <v>6</v>
      </c>
      <c r="E1161" s="91">
        <v>-12</v>
      </c>
      <c r="F1161" s="6">
        <v>-0.65</v>
      </c>
      <c r="G1161" s="79">
        <v>6158</v>
      </c>
      <c r="H1161" s="8" t="s">
        <v>310</v>
      </c>
      <c r="I1161" s="16" t="s">
        <v>4929</v>
      </c>
      <c r="J1161" s="73">
        <v>40.130000000000003</v>
      </c>
      <c r="K1161" s="73">
        <v>3.77</v>
      </c>
      <c r="L1161" s="73">
        <v>23.63</v>
      </c>
      <c r="N1161" s="318">
        <f t="shared" si="216"/>
        <v>67.53</v>
      </c>
      <c r="O1161" s="81">
        <f>IFERROR(VLOOKUP($G1161,'321買'!A:E,3,0),"'沒有資料'")</f>
        <v>15</v>
      </c>
      <c r="P1161" s="380">
        <f>IFERROR(VLOOKUP($G1161,'321買'!$A:$G,7,0),"'沒有資料'")</f>
        <v>273</v>
      </c>
      <c r="R1161" s="297">
        <f>IFERROR(RANK(VLOOKUP($G1161,連買!$A:$D,4,0),連買!$D:$D,0),"'沒有資料'")</f>
        <v>628</v>
      </c>
      <c r="S1161" s="34">
        <v>0.5</v>
      </c>
      <c r="T1161" s="353">
        <f t="shared" si="220"/>
        <v>1.443001443001443E-2</v>
      </c>
      <c r="U1161" s="95">
        <v>3.64</v>
      </c>
      <c r="V1161" s="36">
        <f>RTD("money.excel",,"6158","Price")</f>
        <v>34.65</v>
      </c>
      <c r="W1161" s="66"/>
      <c r="X1161" s="15">
        <f t="shared" si="217"/>
        <v>34.65</v>
      </c>
      <c r="Y1161" s="3" t="e">
        <f t="shared" si="218"/>
        <v>#DIV/0!</v>
      </c>
      <c r="AA1161" s="161">
        <v>0</v>
      </c>
      <c r="AB1161" s="409">
        <v>0</v>
      </c>
      <c r="AC1161" s="259">
        <f t="shared" si="222"/>
        <v>0</v>
      </c>
      <c r="AD1161" s="16" t="s">
        <v>4929</v>
      </c>
      <c r="AG1161" s="33">
        <f t="shared" si="219"/>
        <v>0</v>
      </c>
      <c r="AH1161" s="43" t="s">
        <v>2016</v>
      </c>
      <c r="AI1161" s="63">
        <f t="shared" si="221"/>
        <v>3.6685288640595903E-3</v>
      </c>
      <c r="AJ1161" s="307">
        <f>RTD("money.excel",,$G1161,"PredictVolume")</f>
        <v>197</v>
      </c>
      <c r="AK1161" s="339"/>
    </row>
    <row r="1162" spans="1:37">
      <c r="A1162" s="416">
        <v>5.32</v>
      </c>
      <c r="B1162" s="79">
        <v>448</v>
      </c>
      <c r="C1162" s="79">
        <v>413</v>
      </c>
      <c r="D1162" s="79">
        <v>9</v>
      </c>
      <c r="E1162" s="232">
        <v>25106</v>
      </c>
      <c r="F1162" s="6">
        <v>3.48</v>
      </c>
      <c r="G1162" s="79">
        <v>6165</v>
      </c>
      <c r="H1162" s="8" t="s">
        <v>310</v>
      </c>
      <c r="I1162" s="22" t="s">
        <v>3430</v>
      </c>
      <c r="J1162" s="323">
        <v>5.26</v>
      </c>
      <c r="K1162" s="323">
        <v>1.36</v>
      </c>
      <c r="L1162" s="323">
        <v>7.8</v>
      </c>
      <c r="N1162" s="318">
        <f t="shared" si="216"/>
        <v>14.42</v>
      </c>
      <c r="O1162" s="81">
        <f>IFERROR(VLOOKUP($G1162,'321買'!A:E,3,0),"'沒有資料'")</f>
        <v>8</v>
      </c>
      <c r="P1162" s="380">
        <f>IFERROR(VLOOKUP($G1162,'321買'!$A:$G,7,0),"'沒有資料'")</f>
        <v>448</v>
      </c>
      <c r="R1162" s="297">
        <f>IFERROR(RANK(VLOOKUP($G1162,連買!$A:$D,4,0),連買!$D:$D,0),"'沒有資料'")</f>
        <v>718</v>
      </c>
      <c r="S1162" s="34">
        <v>0</v>
      </c>
      <c r="T1162" s="353">
        <f t="shared" si="220"/>
        <v>0</v>
      </c>
      <c r="U1162" s="95">
        <v>1.54</v>
      </c>
      <c r="V1162" s="36">
        <f>RTD("money.excel",,"6165","Price")</f>
        <v>29.95</v>
      </c>
      <c r="W1162" s="66"/>
      <c r="X1162" s="15">
        <f t="shared" si="217"/>
        <v>29.95</v>
      </c>
      <c r="Y1162" s="3" t="e">
        <f t="shared" si="218"/>
        <v>#DIV/0!</v>
      </c>
      <c r="Z1162" s="413" t="s">
        <v>1801</v>
      </c>
      <c r="AA1162" s="161">
        <v>0</v>
      </c>
      <c r="AB1162" s="409">
        <v>0</v>
      </c>
      <c r="AC1162" s="259">
        <f t="shared" si="222"/>
        <v>0</v>
      </c>
      <c r="AD1162" s="22" t="s">
        <v>3430</v>
      </c>
      <c r="AG1162" s="33">
        <f t="shared" si="219"/>
        <v>0</v>
      </c>
      <c r="AH1162" s="43" t="s">
        <v>3495</v>
      </c>
      <c r="AI1162" s="63">
        <f t="shared" si="221"/>
        <v>2.9511278195488723E-3</v>
      </c>
      <c r="AJ1162" s="307">
        <f>RTD("money.excel",,$G1162,"PredictVolume")</f>
        <v>157</v>
      </c>
      <c r="AK1162" s="339"/>
    </row>
    <row r="1163" spans="1:37">
      <c r="A1163" s="415">
        <v>17.2</v>
      </c>
      <c r="B1163" s="79">
        <v>195</v>
      </c>
      <c r="C1163" s="79">
        <v>30</v>
      </c>
      <c r="D1163" s="80">
        <v>-1</v>
      </c>
      <c r="E1163" s="79">
        <v>24</v>
      </c>
      <c r="F1163" s="57">
        <v>16.79</v>
      </c>
      <c r="G1163" s="79">
        <v>6173</v>
      </c>
      <c r="H1163" s="208" t="s">
        <v>310</v>
      </c>
      <c r="I1163" s="16" t="s">
        <v>82</v>
      </c>
      <c r="J1163" s="323">
        <v>45.86</v>
      </c>
      <c r="K1163" s="323">
        <v>2.66</v>
      </c>
      <c r="L1163" s="323">
        <v>16.91</v>
      </c>
      <c r="N1163" s="318">
        <f t="shared" si="216"/>
        <v>65.429999999999993</v>
      </c>
      <c r="O1163" s="81">
        <f>IFERROR(VLOOKUP($G1163,'321買'!A:E,3,0),"'沒有資料'")</f>
        <v>9</v>
      </c>
      <c r="P1163" s="380">
        <f>IFERROR(VLOOKUP($G1163,'321買'!$A:$G,7,0),"'沒有資料'")</f>
        <v>387</v>
      </c>
      <c r="R1163" s="297">
        <f>IFERROR(RANK(VLOOKUP($G1163,連買!$A:$D,4,0),連買!$D:$D,0),"'沒有資料'")</f>
        <v>333</v>
      </c>
      <c r="S1163" s="34">
        <v>2</v>
      </c>
      <c r="T1163" s="353">
        <f t="shared" si="220"/>
        <v>3.8610038610038609E-2</v>
      </c>
      <c r="U1163" s="95">
        <v>5.63</v>
      </c>
      <c r="V1163" s="36">
        <f>RTD("money.excel",,"6173","Price")</f>
        <v>51.8</v>
      </c>
      <c r="W1163" s="66"/>
      <c r="X1163" s="15">
        <f t="shared" si="217"/>
        <v>51.8</v>
      </c>
      <c r="Y1163" s="3" t="e">
        <f t="shared" si="218"/>
        <v>#DIV/0!</v>
      </c>
      <c r="Z1163" s="413" t="s">
        <v>1801</v>
      </c>
      <c r="AA1163" s="161">
        <v>0</v>
      </c>
      <c r="AB1163" s="409">
        <v>0</v>
      </c>
      <c r="AC1163" s="259">
        <f t="shared" si="222"/>
        <v>0</v>
      </c>
      <c r="AD1163" s="16" t="s">
        <v>82</v>
      </c>
      <c r="AG1163" s="33">
        <f t="shared" si="219"/>
        <v>0</v>
      </c>
      <c r="AH1163" s="120" t="s">
        <v>1812</v>
      </c>
      <c r="AI1163" s="63">
        <f t="shared" si="221"/>
        <v>1.1104651162790699E-3</v>
      </c>
      <c r="AJ1163" s="307">
        <f>RTD("money.excel",,$G1163,"PredictVolume")</f>
        <v>191</v>
      </c>
      <c r="AK1163" s="339"/>
    </row>
    <row r="1164" spans="1:37">
      <c r="A1164" s="416">
        <v>5</v>
      </c>
      <c r="B1164" s="91">
        <v>-31</v>
      </c>
      <c r="C1164" s="91">
        <v>195</v>
      </c>
      <c r="D1164" s="91">
        <v>23</v>
      </c>
      <c r="E1164" s="91">
        <v>10</v>
      </c>
      <c r="F1164" s="6">
        <v>0.71</v>
      </c>
      <c r="G1164" s="79">
        <v>6174</v>
      </c>
      <c r="H1164" s="8" t="s">
        <v>310</v>
      </c>
      <c r="I1164" s="16" t="s">
        <v>432</v>
      </c>
      <c r="J1164" s="73">
        <v>67.33</v>
      </c>
      <c r="K1164" s="73">
        <v>1.85</v>
      </c>
      <c r="L1164" s="73">
        <v>5.26</v>
      </c>
      <c r="N1164" s="318">
        <f t="shared" si="216"/>
        <v>74.44</v>
      </c>
      <c r="O1164" s="81">
        <f>IFERROR(VLOOKUP($G1164,'321買'!A:E,3,0),"'沒有資料'")</f>
        <v>16</v>
      </c>
      <c r="P1164" s="380">
        <f>IFERROR(VLOOKUP($G1164,'321買'!$A:$G,7,0),"'沒有資料'")</f>
        <v>273</v>
      </c>
      <c r="R1164" s="297">
        <f>IFERROR(RANK(VLOOKUP($G1164,連買!$A:$D,4,0),連買!$D:$D,0),"'沒有資料'")</f>
        <v>1442</v>
      </c>
      <c r="S1164" s="34">
        <v>0</v>
      </c>
      <c r="T1164" s="353">
        <f t="shared" si="220"/>
        <v>0</v>
      </c>
      <c r="U1164" s="95">
        <v>0.03</v>
      </c>
      <c r="V1164" s="13">
        <f>RTD("money.excel",,"6174","Price")</f>
        <v>36</v>
      </c>
      <c r="W1164" s="66"/>
      <c r="X1164" s="15">
        <f t="shared" si="217"/>
        <v>36</v>
      </c>
      <c r="Y1164" s="3" t="e">
        <f t="shared" si="218"/>
        <v>#DIV/0!</v>
      </c>
      <c r="AA1164" s="161">
        <v>0</v>
      </c>
      <c r="AB1164" s="409">
        <v>0</v>
      </c>
      <c r="AC1164" s="259">
        <f t="shared" si="222"/>
        <v>0</v>
      </c>
      <c r="AD1164" s="16" t="s">
        <v>432</v>
      </c>
      <c r="AG1164" s="33">
        <f t="shared" si="219"/>
        <v>0</v>
      </c>
      <c r="AH1164" s="43" t="s">
        <v>1808</v>
      </c>
      <c r="AI1164" s="63">
        <f t="shared" si="221"/>
        <v>6.2460000000000002E-2</v>
      </c>
      <c r="AJ1164" s="307">
        <f>RTD("money.excel",,$G1164,"PredictVolume")</f>
        <v>3123</v>
      </c>
      <c r="AK1164" s="339"/>
    </row>
    <row r="1165" spans="1:37">
      <c r="A1165" s="415">
        <v>13.6</v>
      </c>
      <c r="B1165" s="79">
        <v>128</v>
      </c>
      <c r="C1165" s="79">
        <v>72</v>
      </c>
      <c r="D1165" s="79">
        <v>6</v>
      </c>
      <c r="E1165" s="79">
        <v>21</v>
      </c>
      <c r="F1165" s="57">
        <v>13.37</v>
      </c>
      <c r="G1165" s="79">
        <v>6175</v>
      </c>
      <c r="H1165" s="208" t="s">
        <v>310</v>
      </c>
      <c r="I1165" s="16" t="s">
        <v>4930</v>
      </c>
      <c r="J1165" s="73">
        <v>61.94</v>
      </c>
      <c r="K1165" s="73">
        <v>19.57</v>
      </c>
      <c r="L1165" s="323">
        <v>10.14</v>
      </c>
      <c r="N1165" s="318">
        <f t="shared" si="216"/>
        <v>91.649999999999991</v>
      </c>
      <c r="O1165" s="81">
        <f>IFERROR(VLOOKUP($G1165,'321買'!A:E,3,0),"'沒有資料'")</f>
        <v>15</v>
      </c>
      <c r="P1165" s="380">
        <f>IFERROR(VLOOKUP($G1165,'321買'!$A:$G,7,0),"'沒有資料'")</f>
        <v>258</v>
      </c>
      <c r="R1165" s="297">
        <f>IFERROR(RANK(VLOOKUP($G1165,連買!$A:$D,4,0),連買!$D:$D,0),"'沒有資料'")</f>
        <v>487</v>
      </c>
      <c r="S1165" s="34">
        <v>1.08</v>
      </c>
      <c r="T1165" s="353">
        <f t="shared" si="220"/>
        <v>2.6405867970660149E-2</v>
      </c>
      <c r="U1165" s="95">
        <v>2.0099999999999998</v>
      </c>
      <c r="V1165" s="36">
        <f>RTD("money.excel",,"6175","Price")</f>
        <v>40.9</v>
      </c>
      <c r="W1165" s="66"/>
      <c r="X1165" s="15">
        <f t="shared" si="217"/>
        <v>40.9</v>
      </c>
      <c r="Y1165" s="3" t="e">
        <f t="shared" si="218"/>
        <v>#DIV/0!</v>
      </c>
      <c r="Z1165" s="413" t="s">
        <v>1801</v>
      </c>
      <c r="AA1165" s="161">
        <v>0</v>
      </c>
      <c r="AB1165" s="409">
        <v>0</v>
      </c>
      <c r="AC1165" s="259">
        <f t="shared" si="222"/>
        <v>0</v>
      </c>
      <c r="AD1165" s="16" t="s">
        <v>4930</v>
      </c>
      <c r="AG1165" s="33">
        <f t="shared" si="219"/>
        <v>0</v>
      </c>
      <c r="AH1165" s="122" t="s">
        <v>2478</v>
      </c>
      <c r="AI1165" s="63">
        <f t="shared" si="221"/>
        <v>1.5220588235294117E-3</v>
      </c>
      <c r="AJ1165" s="307">
        <f>RTD("money.excel",,$G1165,"PredictVolume")</f>
        <v>207</v>
      </c>
      <c r="AK1165" s="339"/>
    </row>
    <row r="1166" spans="1:37">
      <c r="A1166" s="416">
        <v>14.9</v>
      </c>
      <c r="B1166" s="91">
        <v>-113</v>
      </c>
      <c r="C1166" s="91">
        <v>-125</v>
      </c>
      <c r="D1166" s="91">
        <v>24</v>
      </c>
      <c r="E1166" s="91">
        <v>-5</v>
      </c>
      <c r="F1166" s="57">
        <v>-1.7</v>
      </c>
      <c r="G1166" s="79">
        <v>6185</v>
      </c>
      <c r="H1166" s="8" t="s">
        <v>310</v>
      </c>
      <c r="I1166" s="16" t="s">
        <v>433</v>
      </c>
      <c r="J1166" s="73">
        <v>41.09</v>
      </c>
      <c r="K1166" s="73">
        <v>3.62</v>
      </c>
      <c r="L1166" s="73">
        <v>3.75</v>
      </c>
      <c r="N1166" s="318">
        <f t="shared" si="216"/>
        <v>48.46</v>
      </c>
      <c r="O1166" s="81">
        <f>IFERROR(VLOOKUP($G1166,'321買'!A:E,3,0),"'沒有資料'")</f>
        <v>0</v>
      </c>
      <c r="P1166" s="380">
        <f>IFERROR(VLOOKUP($G1166,'321買'!$A:$G,7,0),"'沒有資料'")</f>
        <v>911</v>
      </c>
      <c r="R1166" s="297">
        <f>IFERROR(RANK(VLOOKUP($G1166,連買!$A:$D,4,0),連買!$D:$D,0),"'沒有資料'")</f>
        <v>1062</v>
      </c>
      <c r="S1166" s="34">
        <v>0</v>
      </c>
      <c r="T1166" s="353">
        <f t="shared" si="220"/>
        <v>0</v>
      </c>
      <c r="U1166" s="95">
        <v>-0.6</v>
      </c>
      <c r="V1166" s="36">
        <f>RTD("money.excel",,"6185","Price")</f>
        <v>13.45</v>
      </c>
      <c r="W1166" s="66"/>
      <c r="X1166" s="15">
        <f t="shared" si="217"/>
        <v>13.45</v>
      </c>
      <c r="Y1166" s="3" t="e">
        <f t="shared" si="218"/>
        <v>#DIV/0!</v>
      </c>
      <c r="AA1166" s="161">
        <v>0</v>
      </c>
      <c r="AB1166" s="409">
        <v>0</v>
      </c>
      <c r="AC1166" s="259">
        <f t="shared" si="222"/>
        <v>0</v>
      </c>
      <c r="AD1166" s="16" t="s">
        <v>433</v>
      </c>
      <c r="AG1166" s="33">
        <f t="shared" si="219"/>
        <v>0</v>
      </c>
      <c r="AH1166" s="43" t="s">
        <v>2016</v>
      </c>
      <c r="AI1166" s="63">
        <f t="shared" si="221"/>
        <v>5.4362416107382554E-4</v>
      </c>
      <c r="AJ1166" s="307">
        <f>RTD("money.excel",,$G1166,"PredictVolume")</f>
        <v>81</v>
      </c>
      <c r="AK1166" s="339"/>
    </row>
    <row r="1167" spans="1:37">
      <c r="A1167" s="416">
        <v>51.5</v>
      </c>
      <c r="B1167" s="79">
        <v>98</v>
      </c>
      <c r="C1167" s="79">
        <v>142</v>
      </c>
      <c r="D1167" s="79">
        <v>-10</v>
      </c>
      <c r="E1167" s="79">
        <v>10</v>
      </c>
      <c r="F1167" s="6">
        <v>9.32</v>
      </c>
      <c r="G1167" s="79">
        <v>6191</v>
      </c>
      <c r="H1167" s="208" t="s">
        <v>310</v>
      </c>
      <c r="I1167" s="22" t="s">
        <v>238</v>
      </c>
      <c r="J1167" s="323">
        <v>56.97</v>
      </c>
      <c r="K1167" s="73">
        <v>5.72</v>
      </c>
      <c r="L1167" s="73">
        <v>20.190000000000001</v>
      </c>
      <c r="N1167" s="318">
        <f t="shared" ref="N1167:N1222" si="223">J1167+K1167+L1167+M1167</f>
        <v>82.88</v>
      </c>
      <c r="O1167" s="81">
        <f>IFERROR(VLOOKUP($G1167,'321買'!A:E,3,0),"'沒有資料'")</f>
        <v>15</v>
      </c>
      <c r="P1167" s="380">
        <f>IFERROR(VLOOKUP($G1167,'321買'!$A:$G,7,0),"'沒有資料'")</f>
        <v>307</v>
      </c>
      <c r="R1167" s="297">
        <f>IFERROR(RANK(VLOOKUP($G1167,連買!$A:$D,4,0),連買!$D:$D,0),"'沒有資料'")</f>
        <v>1038</v>
      </c>
      <c r="S1167" s="34">
        <v>0.5</v>
      </c>
      <c r="T1167" s="353">
        <f t="shared" si="220"/>
        <v>1.457725947521866E-2</v>
      </c>
      <c r="U1167" s="95">
        <v>3.42</v>
      </c>
      <c r="V1167" s="36">
        <f>RTD("money.excel",,"6191","Price")</f>
        <v>34.299999999999997</v>
      </c>
      <c r="W1167" s="66"/>
      <c r="X1167" s="15">
        <f t="shared" si="217"/>
        <v>34.299999999999997</v>
      </c>
      <c r="Y1167" s="3" t="e">
        <f t="shared" si="218"/>
        <v>#DIV/0!</v>
      </c>
      <c r="Z1167" s="413" t="s">
        <v>1801</v>
      </c>
      <c r="AA1167" s="161">
        <v>0</v>
      </c>
      <c r="AB1167" s="409">
        <v>0</v>
      </c>
      <c r="AC1167" s="259">
        <f t="shared" si="222"/>
        <v>0</v>
      </c>
      <c r="AD1167" s="22" t="s">
        <v>238</v>
      </c>
      <c r="AG1167" s="33">
        <f t="shared" si="219"/>
        <v>0</v>
      </c>
      <c r="AH1167" s="120" t="s">
        <v>2243</v>
      </c>
      <c r="AI1167" s="63">
        <f t="shared" si="221"/>
        <v>5.9945631067961164E-2</v>
      </c>
      <c r="AJ1167" s="307">
        <f>RTD("money.excel",,$G1167,"PredictVolume")</f>
        <v>30872</v>
      </c>
      <c r="AK1167" s="339"/>
    </row>
    <row r="1168" spans="1:37">
      <c r="A1168" s="415">
        <v>6</v>
      </c>
      <c r="B1168" s="91">
        <v>18</v>
      </c>
      <c r="C1168" s="91">
        <v>47</v>
      </c>
      <c r="D1168" s="91">
        <v>-6</v>
      </c>
      <c r="E1168" s="91">
        <v>79</v>
      </c>
      <c r="F1168" s="57">
        <v>14.94</v>
      </c>
      <c r="G1168" s="79">
        <v>6194</v>
      </c>
      <c r="H1168" s="8" t="s">
        <v>310</v>
      </c>
      <c r="I1168" s="16" t="s">
        <v>434</v>
      </c>
      <c r="J1168" s="73">
        <v>61.9</v>
      </c>
      <c r="K1168" s="73">
        <v>3.39</v>
      </c>
      <c r="L1168" s="73">
        <v>9.4499999999999993</v>
      </c>
      <c r="N1168" s="318">
        <f t="shared" si="223"/>
        <v>74.739999999999995</v>
      </c>
      <c r="O1168" s="81" t="str">
        <f>IFERROR(VLOOKUP($G1168,'321買'!A:E,3,0),"'沒有資料'")</f>
        <v>'沒有資料'</v>
      </c>
      <c r="P1168" s="380" t="str">
        <f>IFERROR(VLOOKUP($G1168,'321買'!$A:$G,7,0),"'沒有資料'")</f>
        <v>'沒有資料'</v>
      </c>
      <c r="R1168" s="297">
        <f>IFERROR(RANK(VLOOKUP($G1168,連買!$A:$D,4,0),連買!$D:$D,0),"'沒有資料'")</f>
        <v>1662</v>
      </c>
      <c r="S1168" s="34">
        <v>1.5</v>
      </c>
      <c r="T1168" s="353">
        <f t="shared" si="220"/>
        <v>6.3025210084033612E-2</v>
      </c>
      <c r="U1168" s="95">
        <v>2.4</v>
      </c>
      <c r="V1168" s="13">
        <f>RTD("money.excel",,"6194","Price")</f>
        <v>23.8</v>
      </c>
      <c r="W1168" s="66"/>
      <c r="X1168" s="15">
        <f t="shared" si="217"/>
        <v>23.8</v>
      </c>
      <c r="Y1168" s="3" t="e">
        <f t="shared" si="218"/>
        <v>#DIV/0!</v>
      </c>
      <c r="AA1168" s="161">
        <v>0</v>
      </c>
      <c r="AB1168" s="409">
        <v>0</v>
      </c>
      <c r="AC1168" s="259">
        <f t="shared" si="222"/>
        <v>0</v>
      </c>
      <c r="AD1168" s="16" t="s">
        <v>434</v>
      </c>
      <c r="AG1168" s="33">
        <f t="shared" si="219"/>
        <v>0</v>
      </c>
      <c r="AH1168" s="43" t="s">
        <v>1049</v>
      </c>
      <c r="AI1168" s="63">
        <f t="shared" si="221"/>
        <v>2.1666666666666666E-4</v>
      </c>
      <c r="AJ1168" s="307">
        <f>RTD("money.excel",,$G1168,"PredictVolume")</f>
        <v>13</v>
      </c>
      <c r="AK1168" s="339"/>
    </row>
    <row r="1169" spans="1:37">
      <c r="A1169" s="415">
        <v>12.2</v>
      </c>
      <c r="B1169" s="79">
        <v>38</v>
      </c>
      <c r="C1169" s="79">
        <v>108</v>
      </c>
      <c r="D1169" s="80">
        <v>-4</v>
      </c>
      <c r="E1169" s="80">
        <v>-11</v>
      </c>
      <c r="F1169" s="57">
        <v>10.56</v>
      </c>
      <c r="G1169" s="79">
        <v>6197</v>
      </c>
      <c r="H1169" s="8" t="s">
        <v>310</v>
      </c>
      <c r="I1169" s="22" t="s">
        <v>399</v>
      </c>
      <c r="J1169" s="73">
        <v>42.31</v>
      </c>
      <c r="K1169" s="73">
        <v>8.64</v>
      </c>
      <c r="L1169" s="73">
        <v>10.210000000000001</v>
      </c>
      <c r="N1169" s="318">
        <f t="shared" si="223"/>
        <v>61.160000000000004</v>
      </c>
      <c r="O1169" s="81">
        <f>IFERROR(VLOOKUP($G1169,'321買'!A:E,3,0),"'沒有資料'")</f>
        <v>1</v>
      </c>
      <c r="P1169" s="380">
        <f>IFERROR(VLOOKUP($G1169,'321買'!$A:$G,7,0),"'沒有資料'")</f>
        <v>783</v>
      </c>
      <c r="R1169" s="297">
        <f>IFERROR(RANK(VLOOKUP($G1169,連買!$A:$D,4,0),連買!$D:$D,0),"'沒有資料'")</f>
        <v>744</v>
      </c>
      <c r="S1169" s="34">
        <v>2.9</v>
      </c>
      <c r="T1169" s="353">
        <f t="shared" si="220"/>
        <v>7.2499999999999995E-2</v>
      </c>
      <c r="U1169" s="95">
        <v>2.13</v>
      </c>
      <c r="V1169" s="36">
        <f>RTD("money.excel",,"6197","Price")</f>
        <v>40</v>
      </c>
      <c r="W1169" s="66"/>
      <c r="X1169" s="15">
        <f t="shared" si="217"/>
        <v>40</v>
      </c>
      <c r="Y1169" s="3" t="e">
        <f t="shared" si="218"/>
        <v>#DIV/0!</v>
      </c>
      <c r="AA1169" s="161">
        <v>0</v>
      </c>
      <c r="AB1169" s="409">
        <v>0</v>
      </c>
      <c r="AC1169" s="259">
        <f t="shared" si="222"/>
        <v>0</v>
      </c>
      <c r="AD1169" s="22" t="s">
        <v>399</v>
      </c>
      <c r="AG1169" s="33">
        <f t="shared" si="219"/>
        <v>0</v>
      </c>
      <c r="AH1169" s="43" t="s">
        <v>2733</v>
      </c>
      <c r="AI1169" s="63">
        <f t="shared" si="221"/>
        <v>2.5327868852459017E-3</v>
      </c>
      <c r="AJ1169" s="307">
        <f>RTD("money.excel",,$G1169,"PredictVolume")</f>
        <v>309</v>
      </c>
      <c r="AK1169" s="339"/>
    </row>
    <row r="1170" spans="1:37">
      <c r="A1170" s="415">
        <v>8</v>
      </c>
      <c r="B1170" s="79">
        <v>77</v>
      </c>
      <c r="C1170" s="79">
        <v>115</v>
      </c>
      <c r="D1170" s="80">
        <v>-43</v>
      </c>
      <c r="E1170" s="79">
        <v>76</v>
      </c>
      <c r="F1170" s="57">
        <v>23.06</v>
      </c>
      <c r="G1170" s="79">
        <v>6203</v>
      </c>
      <c r="H1170" s="8" t="s">
        <v>310</v>
      </c>
      <c r="I1170" s="16" t="s">
        <v>435</v>
      </c>
      <c r="J1170" s="323">
        <v>55.31</v>
      </c>
      <c r="K1170" s="323">
        <v>2.88</v>
      </c>
      <c r="L1170" s="73">
        <v>17.100000000000001</v>
      </c>
      <c r="N1170" s="318">
        <f t="shared" si="223"/>
        <v>75.290000000000006</v>
      </c>
      <c r="O1170" s="81">
        <f>IFERROR(VLOOKUP($G1170,'321買'!A:E,3,0),"'沒有資料'")</f>
        <v>2</v>
      </c>
      <c r="P1170" s="380">
        <f>IFERROR(VLOOKUP($G1170,'321買'!$A:$G,7,0),"'沒有資料'")</f>
        <v>636</v>
      </c>
      <c r="R1170" s="297">
        <f>IFERROR(RANK(VLOOKUP($G1170,連買!$A:$D,4,0),連買!$D:$D,0),"'沒有資料'")</f>
        <v>1731</v>
      </c>
      <c r="S1170" s="66">
        <v>5</v>
      </c>
      <c r="T1170" s="353">
        <f t="shared" si="220"/>
        <v>8.6805555555555552E-2</v>
      </c>
      <c r="U1170" s="57">
        <v>7.64</v>
      </c>
      <c r="V1170" s="36">
        <f>RTD("money.excel",,"6203","Price")</f>
        <v>57.6</v>
      </c>
      <c r="W1170" s="66"/>
      <c r="X1170" s="15">
        <f t="shared" si="217"/>
        <v>57.6</v>
      </c>
      <c r="Y1170" s="3" t="e">
        <f t="shared" si="218"/>
        <v>#DIV/0!</v>
      </c>
      <c r="Z1170" s="413" t="s">
        <v>1831</v>
      </c>
      <c r="AA1170" s="161">
        <v>0</v>
      </c>
      <c r="AB1170" s="409">
        <v>0</v>
      </c>
      <c r="AC1170" s="259">
        <f t="shared" si="222"/>
        <v>0</v>
      </c>
      <c r="AD1170" s="16" t="s">
        <v>435</v>
      </c>
      <c r="AG1170" s="33">
        <f t="shared" si="219"/>
        <v>0</v>
      </c>
      <c r="AH1170" s="43" t="s">
        <v>2556</v>
      </c>
      <c r="AI1170" s="63">
        <f t="shared" si="221"/>
        <v>2.5249999999999999E-3</v>
      </c>
      <c r="AJ1170" s="307">
        <f>RTD("money.excel",,$G1170,"PredictVolume")</f>
        <v>202</v>
      </c>
      <c r="AK1170" s="339"/>
    </row>
    <row r="1171" spans="1:37">
      <c r="A1171" s="416">
        <v>2.31</v>
      </c>
      <c r="B1171" s="93">
        <v>4877</v>
      </c>
      <c r="C1171" s="79">
        <v>795</v>
      </c>
      <c r="D1171" s="79">
        <v>7</v>
      </c>
      <c r="E1171" s="79">
        <v>46</v>
      </c>
      <c r="F1171" s="6">
        <v>6.95</v>
      </c>
      <c r="G1171" s="79">
        <v>6204</v>
      </c>
      <c r="H1171" s="8" t="s">
        <v>310</v>
      </c>
      <c r="I1171" s="16" t="s">
        <v>4931</v>
      </c>
      <c r="J1171" s="73">
        <v>66.44</v>
      </c>
      <c r="K1171" s="323">
        <v>0.1</v>
      </c>
      <c r="L1171" s="323">
        <v>16.59</v>
      </c>
      <c r="N1171" s="318">
        <f t="shared" si="223"/>
        <v>83.13</v>
      </c>
      <c r="O1171" s="81" t="str">
        <f>IFERROR(VLOOKUP($G1171,'321買'!A:E,3,0),"'沒有資料'")</f>
        <v>'沒有資料'</v>
      </c>
      <c r="P1171" s="380" t="str">
        <f>IFERROR(VLOOKUP($G1171,'321買'!$A:$G,7,0),"'沒有資料'")</f>
        <v>'沒有資料'</v>
      </c>
      <c r="R1171" s="297">
        <f>IFERROR(RANK(VLOOKUP($G1171,連買!$A:$D,4,0),連買!$D:$D,0),"'沒有資料'")</f>
        <v>213</v>
      </c>
      <c r="S1171" s="66">
        <v>15</v>
      </c>
      <c r="T1171" s="353">
        <f t="shared" si="220"/>
        <v>0.24590163934426229</v>
      </c>
      <c r="U1171" s="57">
        <v>12.27</v>
      </c>
      <c r="V1171" s="36">
        <f>RTD("money.excel",,"6204","Price")</f>
        <v>61</v>
      </c>
      <c r="W1171" s="66"/>
      <c r="X1171" s="15">
        <f t="shared" si="217"/>
        <v>61</v>
      </c>
      <c r="Y1171" s="3" t="e">
        <f t="shared" si="218"/>
        <v>#DIV/0!</v>
      </c>
      <c r="Z1171" s="413" t="s">
        <v>1831</v>
      </c>
      <c r="AA1171" s="161">
        <v>0</v>
      </c>
      <c r="AB1171" s="409">
        <v>0</v>
      </c>
      <c r="AC1171" s="259">
        <f t="shared" si="222"/>
        <v>0</v>
      </c>
      <c r="AD1171" s="16" t="s">
        <v>4931</v>
      </c>
      <c r="AG1171" s="33">
        <f t="shared" si="219"/>
        <v>0</v>
      </c>
      <c r="AH1171" s="43" t="s">
        <v>2603</v>
      </c>
      <c r="AI1171" s="63">
        <f t="shared" si="221"/>
        <v>2.2510822510822511E-3</v>
      </c>
      <c r="AJ1171" s="307">
        <f>RTD("money.excel",,$G1171,"PredictVolume")</f>
        <v>52</v>
      </c>
      <c r="AK1171" s="339"/>
    </row>
    <row r="1172" spans="1:37">
      <c r="A1172" s="416">
        <v>7.93</v>
      </c>
      <c r="B1172" s="80">
        <v>-12</v>
      </c>
      <c r="C1172" s="80">
        <v>-15</v>
      </c>
      <c r="D1172" s="80">
        <v>-39</v>
      </c>
      <c r="E1172" s="79">
        <v>71</v>
      </c>
      <c r="F1172" s="6">
        <v>9.85</v>
      </c>
      <c r="G1172" s="79">
        <v>6205</v>
      </c>
      <c r="H1172" s="8" t="s">
        <v>310</v>
      </c>
      <c r="I1172" s="22" t="s">
        <v>400</v>
      </c>
      <c r="J1172" s="323">
        <v>45.85</v>
      </c>
      <c r="K1172" s="73">
        <v>3.32</v>
      </c>
      <c r="L1172" s="73">
        <v>50.75</v>
      </c>
      <c r="M1172" s="323">
        <v>13.29</v>
      </c>
      <c r="N1172" s="318">
        <f t="shared" si="223"/>
        <v>113.21000000000001</v>
      </c>
      <c r="O1172" s="81">
        <f>IFERROR(VLOOKUP($G1172,'321買'!A:E,3,0),"'沒有資料'")</f>
        <v>31</v>
      </c>
      <c r="P1172" s="380">
        <f>IFERROR(VLOOKUP($G1172,'321買'!$A:$G,7,0),"'沒有資料'")</f>
        <v>122</v>
      </c>
      <c r="Q1172" s="245" t="s">
        <v>5088</v>
      </c>
      <c r="R1172" s="297">
        <f>IFERROR(RANK(VLOOKUP($G1172,連買!$A:$D,4,0),連買!$D:$D,0),"'沒有資料'")</f>
        <v>243</v>
      </c>
      <c r="S1172" s="34">
        <v>2</v>
      </c>
      <c r="T1172" s="353">
        <f t="shared" si="220"/>
        <v>2.3894862604540022E-2</v>
      </c>
      <c r="U1172" s="95">
        <v>1.79</v>
      </c>
      <c r="V1172" s="36">
        <f>RTD("money.excel",,"6205","Price")</f>
        <v>83.7</v>
      </c>
      <c r="W1172" s="66"/>
      <c r="X1172" s="15">
        <f t="shared" si="217"/>
        <v>83.7</v>
      </c>
      <c r="Y1172" s="3" t="e">
        <f t="shared" si="218"/>
        <v>#DIV/0!</v>
      </c>
      <c r="Z1172" s="413" t="s">
        <v>1801</v>
      </c>
      <c r="AA1172" s="161">
        <v>0</v>
      </c>
      <c r="AB1172" s="409">
        <v>0</v>
      </c>
      <c r="AC1172" s="259">
        <f t="shared" si="222"/>
        <v>0</v>
      </c>
      <c r="AD1172" s="22" t="s">
        <v>400</v>
      </c>
      <c r="AG1172" s="33">
        <f t="shared" si="219"/>
        <v>0</v>
      </c>
      <c r="AH1172" s="43" t="s">
        <v>2016</v>
      </c>
      <c r="AI1172" s="63">
        <f t="shared" si="221"/>
        <v>7.5636822194199246E-2</v>
      </c>
      <c r="AJ1172" s="307">
        <f>RTD("money.excel",,$G1172,"PredictVolume")</f>
        <v>5998</v>
      </c>
      <c r="AK1172" s="339">
        <v>45.71</v>
      </c>
    </row>
    <row r="1173" spans="1:37">
      <c r="A1173" s="416">
        <v>8.39</v>
      </c>
      <c r="B1173" s="79">
        <v>70</v>
      </c>
      <c r="C1173" s="79">
        <v>146</v>
      </c>
      <c r="D1173" s="80">
        <v>-25</v>
      </c>
      <c r="E1173" s="79">
        <v>46</v>
      </c>
      <c r="F1173" s="6">
        <v>9.15</v>
      </c>
      <c r="G1173" s="79">
        <v>6207</v>
      </c>
      <c r="H1173" s="8" t="s">
        <v>310</v>
      </c>
      <c r="I1173" s="16" t="s">
        <v>320</v>
      </c>
      <c r="J1173" s="73">
        <v>21.06</v>
      </c>
      <c r="K1173" s="323">
        <v>2.12</v>
      </c>
      <c r="L1173" s="73">
        <v>8</v>
      </c>
      <c r="N1173" s="318">
        <f t="shared" si="223"/>
        <v>31.18</v>
      </c>
      <c r="O1173" s="81">
        <f>IFERROR(VLOOKUP($G1173,'321買'!A:E,3,0),"'沒有資料'")</f>
        <v>9</v>
      </c>
      <c r="P1173" s="380">
        <f>IFERROR(VLOOKUP($G1173,'321買'!$A:$G,7,0),"'沒有資料'")</f>
        <v>448</v>
      </c>
      <c r="R1173" s="297">
        <f>IFERROR(RANK(VLOOKUP($G1173,連買!$A:$D,4,0),連買!$D:$D,0),"'沒有資料'")</f>
        <v>960</v>
      </c>
      <c r="S1173" s="34">
        <v>1.5</v>
      </c>
      <c r="T1173" s="353">
        <f t="shared" si="220"/>
        <v>4.5180722891566258E-2</v>
      </c>
      <c r="U1173" s="95">
        <v>1.55</v>
      </c>
      <c r="V1173" s="36">
        <f>RTD("money.excel",,"6207","Price")</f>
        <v>33.200000000000003</v>
      </c>
      <c r="W1173" s="66"/>
      <c r="X1173" s="15">
        <f t="shared" si="217"/>
        <v>33.200000000000003</v>
      </c>
      <c r="Y1173" s="3" t="e">
        <f t="shared" si="218"/>
        <v>#DIV/0!</v>
      </c>
      <c r="Z1173" s="413" t="s">
        <v>1801</v>
      </c>
      <c r="AA1173" s="161">
        <v>0</v>
      </c>
      <c r="AB1173" s="409">
        <v>0</v>
      </c>
      <c r="AC1173" s="259">
        <f t="shared" si="222"/>
        <v>0</v>
      </c>
      <c r="AD1173" s="16" t="s">
        <v>320</v>
      </c>
      <c r="AG1173" s="33">
        <f t="shared" si="219"/>
        <v>0</v>
      </c>
      <c r="AH1173" s="43" t="s">
        <v>2485</v>
      </c>
      <c r="AI1173" s="63">
        <f t="shared" si="221"/>
        <v>1.8831942789034565E-3</v>
      </c>
      <c r="AJ1173" s="307">
        <f>RTD("money.excel",,$G1173,"PredictVolume")</f>
        <v>158</v>
      </c>
      <c r="AK1173" s="339"/>
    </row>
    <row r="1174" spans="1:37">
      <c r="A1174" s="415">
        <v>11.8</v>
      </c>
      <c r="B1174" s="79">
        <v>22</v>
      </c>
      <c r="C1174" s="80">
        <v>-8</v>
      </c>
      <c r="D1174" s="79">
        <v>40</v>
      </c>
      <c r="E1174" s="79">
        <v>91</v>
      </c>
      <c r="F1174" s="57">
        <v>10.31</v>
      </c>
      <c r="G1174" s="79">
        <v>6208</v>
      </c>
      <c r="H1174" s="8" t="s">
        <v>310</v>
      </c>
      <c r="I1174" s="16" t="s">
        <v>4932</v>
      </c>
      <c r="J1174" s="73">
        <v>38.71</v>
      </c>
      <c r="K1174" s="323">
        <v>0.38</v>
      </c>
      <c r="L1174" s="323">
        <v>25.14</v>
      </c>
      <c r="N1174" s="318">
        <f t="shared" si="223"/>
        <v>64.23</v>
      </c>
      <c r="O1174" s="81">
        <f>IFERROR(VLOOKUP($G1174,'321買'!A:E,3,0),"'沒有資料'")</f>
        <v>7</v>
      </c>
      <c r="P1174" s="380">
        <f>IFERROR(VLOOKUP($G1174,'321買'!$A:$G,7,0),"'沒有資料'")</f>
        <v>475</v>
      </c>
      <c r="R1174" s="297">
        <f>IFERROR(RANK(VLOOKUP($G1174,連買!$A:$D,4,0),連買!$D:$D,0),"'沒有資料'")</f>
        <v>421</v>
      </c>
      <c r="S1174" s="34">
        <v>2</v>
      </c>
      <c r="T1174" s="353">
        <f t="shared" si="220"/>
        <v>3.6363636363636362E-2</v>
      </c>
      <c r="U1174" s="95">
        <v>2.86</v>
      </c>
      <c r="V1174" s="36">
        <f>RTD("money.excel",,"6208","Price")</f>
        <v>55</v>
      </c>
      <c r="W1174" s="66"/>
      <c r="X1174" s="15">
        <f t="shared" si="217"/>
        <v>55</v>
      </c>
      <c r="Y1174" s="3" t="e">
        <f t="shared" si="218"/>
        <v>#DIV/0!</v>
      </c>
      <c r="AA1174" s="161">
        <v>0</v>
      </c>
      <c r="AB1174" s="409">
        <v>0</v>
      </c>
      <c r="AC1174" s="259">
        <f t="shared" si="222"/>
        <v>0</v>
      </c>
      <c r="AD1174" s="16" t="s">
        <v>4932</v>
      </c>
      <c r="AG1174" s="33">
        <f t="shared" si="219"/>
        <v>0</v>
      </c>
      <c r="AH1174" s="43" t="s">
        <v>3131</v>
      </c>
      <c r="AI1174" s="63">
        <f t="shared" si="221"/>
        <v>3.6864406779661017E-3</v>
      </c>
      <c r="AJ1174" s="307">
        <f>RTD("money.excel",,$G1174,"PredictVolume")</f>
        <v>435</v>
      </c>
      <c r="AK1174" s="339"/>
    </row>
    <row r="1175" spans="1:37">
      <c r="A1175" s="415">
        <v>3.5</v>
      </c>
      <c r="B1175" s="80">
        <v>-7</v>
      </c>
      <c r="C1175" s="80">
        <v>-11</v>
      </c>
      <c r="D1175" s="79">
        <v>2</v>
      </c>
      <c r="E1175" s="79">
        <v>23</v>
      </c>
      <c r="F1175" s="57">
        <v>15.14</v>
      </c>
      <c r="G1175" s="79">
        <v>6210</v>
      </c>
      <c r="H1175" s="8" t="s">
        <v>310</v>
      </c>
      <c r="I1175" s="16" t="s">
        <v>437</v>
      </c>
      <c r="J1175" s="73">
        <v>43.19</v>
      </c>
      <c r="K1175" s="323">
        <v>0.08</v>
      </c>
      <c r="L1175" s="323">
        <v>1.06</v>
      </c>
      <c r="N1175" s="318">
        <f t="shared" si="223"/>
        <v>44.33</v>
      </c>
      <c r="O1175" s="81">
        <f>IFERROR(VLOOKUP($G1175,'321買'!A:E,3,0),"'沒有資料'")</f>
        <v>0</v>
      </c>
      <c r="P1175" s="380">
        <f>IFERROR(VLOOKUP($G1175,'321買'!$A:$G,7,0),"'沒有資料'")</f>
        <v>911</v>
      </c>
      <c r="R1175" s="297">
        <f>IFERROR(RANK(VLOOKUP($G1175,連買!$A:$D,4,0),連買!$D:$D,0),"'沒有資料'")</f>
        <v>698</v>
      </c>
      <c r="S1175" s="66">
        <v>3</v>
      </c>
      <c r="T1175" s="353">
        <f t="shared" si="220"/>
        <v>7.1599045346062054E-2</v>
      </c>
      <c r="U1175" s="95">
        <v>3.08</v>
      </c>
      <c r="V1175" s="36">
        <f>RTD("money.excel",,"6210","Price")</f>
        <v>41.9</v>
      </c>
      <c r="W1175" s="66"/>
      <c r="X1175" s="15">
        <f t="shared" si="217"/>
        <v>41.9</v>
      </c>
      <c r="Y1175" s="3" t="e">
        <f t="shared" si="218"/>
        <v>#DIV/0!</v>
      </c>
      <c r="Z1175" s="413" t="s">
        <v>1831</v>
      </c>
      <c r="AA1175" s="161">
        <v>0</v>
      </c>
      <c r="AB1175" s="409">
        <v>0</v>
      </c>
      <c r="AC1175" s="259">
        <f t="shared" si="222"/>
        <v>0</v>
      </c>
      <c r="AD1175" s="16" t="s">
        <v>437</v>
      </c>
      <c r="AG1175" s="33">
        <f t="shared" si="219"/>
        <v>0</v>
      </c>
      <c r="AH1175" s="43" t="s">
        <v>1049</v>
      </c>
      <c r="AI1175" s="63">
        <f t="shared" si="221"/>
        <v>2.8571428571428574E-4</v>
      </c>
      <c r="AJ1175" s="307">
        <f>RTD("money.excel",,$G1175,"PredictVolume")</f>
        <v>10</v>
      </c>
      <c r="AK1175" s="339"/>
    </row>
    <row r="1176" spans="1:37">
      <c r="A1176" s="415">
        <v>38.299999999999997</v>
      </c>
      <c r="B1176" s="79">
        <v>20</v>
      </c>
      <c r="C1176" s="79">
        <v>20</v>
      </c>
      <c r="D1176" s="79">
        <v>7</v>
      </c>
      <c r="E1176" s="79">
        <v>60</v>
      </c>
      <c r="F1176" s="57">
        <v>12.91</v>
      </c>
      <c r="G1176" s="79">
        <v>6213</v>
      </c>
      <c r="H1176" s="204" t="s">
        <v>310</v>
      </c>
      <c r="I1176" s="22" t="s">
        <v>58</v>
      </c>
      <c r="J1176" s="73">
        <v>72.2</v>
      </c>
      <c r="K1176" s="73">
        <v>13.98</v>
      </c>
      <c r="L1176" s="323">
        <v>5.23</v>
      </c>
      <c r="N1176" s="318">
        <f t="shared" si="223"/>
        <v>91.410000000000011</v>
      </c>
      <c r="O1176" s="81">
        <f>IFERROR(VLOOKUP($G1176,'321買'!A:E,3,0),"'沒有資料'")</f>
        <v>15</v>
      </c>
      <c r="P1176" s="380">
        <f>IFERROR(VLOOKUP($G1176,'321買'!$A:$G,7,0),"'沒有資料'")</f>
        <v>336</v>
      </c>
      <c r="R1176" s="297">
        <f>IFERROR(RANK(VLOOKUP($G1176,連買!$A:$D,4,0),連買!$D:$D,0),"'沒有資料'")</f>
        <v>305</v>
      </c>
      <c r="S1176" s="66">
        <v>5</v>
      </c>
      <c r="T1176" s="353">
        <f t="shared" si="220"/>
        <v>4.5871559633027525E-2</v>
      </c>
      <c r="U1176" s="57">
        <v>8.83</v>
      </c>
      <c r="V1176" s="36">
        <f>RTD("money.excel",,"6213","Price")</f>
        <v>109</v>
      </c>
      <c r="W1176" s="66"/>
      <c r="X1176" s="15">
        <f t="shared" si="217"/>
        <v>109</v>
      </c>
      <c r="Y1176" s="3" t="e">
        <f t="shared" si="218"/>
        <v>#DIV/0!</v>
      </c>
      <c r="Z1176" s="413" t="s">
        <v>1997</v>
      </c>
      <c r="AA1176" s="161">
        <v>0</v>
      </c>
      <c r="AB1176" s="409">
        <v>0</v>
      </c>
      <c r="AC1176" s="259">
        <f t="shared" si="222"/>
        <v>0</v>
      </c>
      <c r="AD1176" s="22" t="s">
        <v>58</v>
      </c>
      <c r="AG1176" s="33">
        <f t="shared" si="219"/>
        <v>0</v>
      </c>
      <c r="AH1176" s="120" t="s">
        <v>3498</v>
      </c>
      <c r="AI1176" s="63">
        <f t="shared" si="221"/>
        <v>3.2271540469973889E-3</v>
      </c>
      <c r="AJ1176" s="307">
        <f>RTD("money.excel",,$G1176,"PredictVolume")</f>
        <v>1236</v>
      </c>
      <c r="AK1176" s="106"/>
    </row>
    <row r="1177" spans="1:37">
      <c r="A1177" s="416">
        <v>6.58</v>
      </c>
      <c r="B1177" s="80">
        <v>-52</v>
      </c>
      <c r="C1177" s="80">
        <v>-33</v>
      </c>
      <c r="D1177" s="79">
        <v>14</v>
      </c>
      <c r="E1177" s="79">
        <v>56</v>
      </c>
      <c r="F1177" s="6">
        <v>3.55</v>
      </c>
      <c r="G1177" s="79">
        <v>6217</v>
      </c>
      <c r="H1177" s="8" t="s">
        <v>310</v>
      </c>
      <c r="I1177" s="16" t="s">
        <v>150</v>
      </c>
      <c r="J1177" s="323">
        <v>10.8</v>
      </c>
      <c r="K1177" s="323">
        <v>1.66</v>
      </c>
      <c r="L1177" s="73">
        <v>27.46</v>
      </c>
      <c r="N1177" s="318">
        <f t="shared" si="223"/>
        <v>39.92</v>
      </c>
      <c r="O1177" s="81">
        <f>IFERROR(VLOOKUP($G1177,'321買'!A:E,3,0),"'沒有資料'")</f>
        <v>79</v>
      </c>
      <c r="P1177" s="380">
        <f>IFERROR(VLOOKUP($G1177,'321買'!$A:$G,7,0),"'沒有資料'")</f>
        <v>11</v>
      </c>
      <c r="R1177" s="297">
        <f>IFERROR(RANK(VLOOKUP($G1177,連買!$A:$D,4,0),連買!$D:$D,0),"'沒有資料'")</f>
        <v>423</v>
      </c>
      <c r="S1177" s="34">
        <v>1.05</v>
      </c>
      <c r="T1177" s="353">
        <f t="shared" si="220"/>
        <v>1.7156862745098041E-2</v>
      </c>
      <c r="U1177" s="95">
        <v>1.48</v>
      </c>
      <c r="V1177" s="36">
        <f>RTD("money.excel",,"6217","Price")</f>
        <v>61.2</v>
      </c>
      <c r="W1177" s="66"/>
      <c r="X1177" s="15">
        <f t="shared" si="217"/>
        <v>61.2</v>
      </c>
      <c r="Y1177" s="3" t="e">
        <f t="shared" si="218"/>
        <v>#DIV/0!</v>
      </c>
      <c r="AA1177" s="161">
        <v>0</v>
      </c>
      <c r="AB1177" s="409">
        <v>0</v>
      </c>
      <c r="AC1177" s="259">
        <f t="shared" si="222"/>
        <v>0</v>
      </c>
      <c r="AD1177" s="16" t="s">
        <v>150</v>
      </c>
      <c r="AG1177" s="33">
        <f t="shared" si="219"/>
        <v>0</v>
      </c>
      <c r="AH1177" s="120" t="s">
        <v>2489</v>
      </c>
      <c r="AI1177" s="63">
        <f t="shared" si="221"/>
        <v>0.45697568389057752</v>
      </c>
      <c r="AJ1177" s="307">
        <f>RTD("money.excel",,$G1177,"PredictVolume")</f>
        <v>30069</v>
      </c>
      <c r="AK1177" s="339"/>
    </row>
    <row r="1178" spans="1:37">
      <c r="A1178" s="416">
        <v>13.1</v>
      </c>
      <c r="B1178" s="79">
        <v>25</v>
      </c>
      <c r="C1178" s="79">
        <v>24</v>
      </c>
      <c r="D1178" s="79">
        <v>10</v>
      </c>
      <c r="E1178" s="80">
        <v>-10</v>
      </c>
      <c r="F1178" s="6">
        <v>3.79</v>
      </c>
      <c r="G1178" s="79">
        <v>6220</v>
      </c>
      <c r="H1178" s="8" t="s">
        <v>310</v>
      </c>
      <c r="I1178" s="16" t="s">
        <v>4933</v>
      </c>
      <c r="J1178" s="73">
        <v>44.07</v>
      </c>
      <c r="K1178" s="73">
        <v>3.24</v>
      </c>
      <c r="L1178" s="323">
        <v>14.4</v>
      </c>
      <c r="N1178" s="318">
        <f t="shared" si="223"/>
        <v>61.71</v>
      </c>
      <c r="O1178" s="81">
        <f>IFERROR(VLOOKUP($G1178,'321買'!A:E,3,0),"'沒有資料'")</f>
        <v>0</v>
      </c>
      <c r="P1178" s="380">
        <f>IFERROR(VLOOKUP($G1178,'321買'!$A:$G,7,0),"'沒有資料'")</f>
        <v>911</v>
      </c>
      <c r="R1178" s="297">
        <f>IFERROR(RANK(VLOOKUP($G1178,連買!$A:$D,4,0),連買!$D:$D,0),"'沒有資料'")</f>
        <v>767</v>
      </c>
      <c r="S1178" s="34">
        <v>1</v>
      </c>
      <c r="T1178" s="353">
        <f t="shared" si="220"/>
        <v>4.8661800486618001E-2</v>
      </c>
      <c r="U1178" s="95">
        <v>2.4300000000000002</v>
      </c>
      <c r="V1178" s="36">
        <f>RTD("money.excel",,"6220","Price")</f>
        <v>20.55</v>
      </c>
      <c r="W1178" s="66"/>
      <c r="X1178" s="15">
        <f t="shared" si="217"/>
        <v>20.55</v>
      </c>
      <c r="Y1178" s="3" t="e">
        <f t="shared" si="218"/>
        <v>#DIV/0!</v>
      </c>
      <c r="Z1178" s="413" t="s">
        <v>1801</v>
      </c>
      <c r="AA1178" s="161">
        <v>0</v>
      </c>
      <c r="AB1178" s="409">
        <v>0</v>
      </c>
      <c r="AC1178" s="259">
        <f t="shared" si="222"/>
        <v>0</v>
      </c>
      <c r="AD1178" s="16" t="s">
        <v>4933</v>
      </c>
      <c r="AG1178" s="33">
        <f t="shared" si="219"/>
        <v>0</v>
      </c>
      <c r="AH1178" s="120" t="s">
        <v>2599</v>
      </c>
      <c r="AI1178" s="63">
        <f t="shared" si="221"/>
        <v>6.4885496183206108E-4</v>
      </c>
      <c r="AJ1178" s="307">
        <f>RTD("money.excel",,$G1178,"PredictVolume")</f>
        <v>85</v>
      </c>
      <c r="AK1178" s="339"/>
    </row>
    <row r="1179" spans="1:37">
      <c r="A1179" s="415">
        <v>8.56</v>
      </c>
      <c r="B1179" s="79">
        <v>57</v>
      </c>
      <c r="C1179" s="79">
        <v>80</v>
      </c>
      <c r="D1179" s="80">
        <v>-6</v>
      </c>
      <c r="E1179" s="79">
        <v>110</v>
      </c>
      <c r="F1179" s="57">
        <v>22.71</v>
      </c>
      <c r="G1179" s="79">
        <v>6224</v>
      </c>
      <c r="H1179" s="208" t="s">
        <v>310</v>
      </c>
      <c r="I1179" s="22" t="s">
        <v>230</v>
      </c>
      <c r="J1179" s="73">
        <v>27.11</v>
      </c>
      <c r="K1179" s="323">
        <v>10.68</v>
      </c>
      <c r="L1179" s="323">
        <v>18.329999999999998</v>
      </c>
      <c r="N1179" s="318">
        <f t="shared" si="223"/>
        <v>56.12</v>
      </c>
      <c r="O1179" s="81">
        <f>IFERROR(VLOOKUP($G1179,'321買'!A:E,3,0),"'沒有資料'")</f>
        <v>26</v>
      </c>
      <c r="P1179" s="380">
        <f>IFERROR(VLOOKUP($G1179,'321買'!$A:$G,7,0),"'沒有資料'")</f>
        <v>163</v>
      </c>
      <c r="R1179" s="297">
        <f>IFERROR(RANK(VLOOKUP($G1179,連買!$A:$D,4,0),連買!$D:$D,0),"'沒有資料'")</f>
        <v>1299</v>
      </c>
      <c r="S1179" s="66">
        <v>4.25</v>
      </c>
      <c r="T1179" s="353">
        <f t="shared" si="220"/>
        <v>4.2929292929292928E-2</v>
      </c>
      <c r="U1179" s="95">
        <v>6.39</v>
      </c>
      <c r="V1179" s="36">
        <f>RTD("money.excel",,"6224","Price")</f>
        <v>99</v>
      </c>
      <c r="W1179" s="66"/>
      <c r="X1179" s="15">
        <f t="shared" si="217"/>
        <v>99</v>
      </c>
      <c r="Y1179" s="3" t="e">
        <f t="shared" si="218"/>
        <v>#DIV/0!</v>
      </c>
      <c r="Z1179" s="413" t="s">
        <v>1997</v>
      </c>
      <c r="AA1179" s="161">
        <v>0</v>
      </c>
      <c r="AB1179" s="409">
        <v>0</v>
      </c>
      <c r="AC1179" s="259">
        <f t="shared" si="222"/>
        <v>0</v>
      </c>
      <c r="AD1179" s="22" t="s">
        <v>230</v>
      </c>
      <c r="AG1179" s="33">
        <f t="shared" si="219"/>
        <v>0</v>
      </c>
      <c r="AH1179" s="122" t="s">
        <v>3288</v>
      </c>
      <c r="AI1179" s="63">
        <f t="shared" si="221"/>
        <v>2.1728971962616823E-3</v>
      </c>
      <c r="AJ1179" s="307">
        <f>RTD("money.excel",,$G1179,"PredictVolume")</f>
        <v>186</v>
      </c>
      <c r="AK1179" s="339"/>
    </row>
    <row r="1180" spans="1:37">
      <c r="A1180" s="416">
        <v>27.7</v>
      </c>
      <c r="B1180" s="80">
        <v>-96</v>
      </c>
      <c r="C1180" s="80">
        <v>-74</v>
      </c>
      <c r="D1180" s="80">
        <v>-8</v>
      </c>
      <c r="E1180" s="79">
        <v>31</v>
      </c>
      <c r="F1180" s="6">
        <v>1.02</v>
      </c>
      <c r="G1180" s="79">
        <v>6251</v>
      </c>
      <c r="H1180" s="208" t="s">
        <v>310</v>
      </c>
      <c r="I1180" s="22" t="s">
        <v>401</v>
      </c>
      <c r="J1180" s="323">
        <v>21.4</v>
      </c>
      <c r="K1180" s="73">
        <v>9.16</v>
      </c>
      <c r="L1180" s="323">
        <v>20.49</v>
      </c>
      <c r="N1180" s="318">
        <f t="shared" si="223"/>
        <v>51.05</v>
      </c>
      <c r="O1180" s="81">
        <f>IFERROR(VLOOKUP($G1180,'321買'!A:E,3,0),"'沒有資料'")</f>
        <v>52</v>
      </c>
      <c r="P1180" s="380">
        <f>IFERROR(VLOOKUP($G1180,'321買'!$A:$G,7,0),"'沒有資料'")</f>
        <v>74</v>
      </c>
      <c r="R1180" s="297">
        <f>IFERROR(RANK(VLOOKUP($G1180,連買!$A:$D,4,0),連買!$D:$D,0),"'沒有資料'")</f>
        <v>856</v>
      </c>
      <c r="S1180" s="34">
        <v>0.4</v>
      </c>
      <c r="T1180" s="353">
        <f t="shared" si="220"/>
        <v>1.6161616161616162E-2</v>
      </c>
      <c r="U1180" s="95">
        <v>0.54</v>
      </c>
      <c r="V1180" s="36">
        <f>RTD("money.excel",,"6251","Price")</f>
        <v>24.75</v>
      </c>
      <c r="W1180" s="66"/>
      <c r="X1180" s="15">
        <f t="shared" si="217"/>
        <v>24.75</v>
      </c>
      <c r="Y1180" s="3" t="e">
        <f t="shared" si="218"/>
        <v>#DIV/0!</v>
      </c>
      <c r="Z1180" s="413" t="s">
        <v>1801</v>
      </c>
      <c r="AA1180" s="161">
        <v>0</v>
      </c>
      <c r="AB1180" s="409">
        <v>0</v>
      </c>
      <c r="AC1180" s="259">
        <f t="shared" si="222"/>
        <v>0</v>
      </c>
      <c r="AD1180" s="22" t="s">
        <v>401</v>
      </c>
      <c r="AG1180" s="33">
        <f t="shared" si="219"/>
        <v>0</v>
      </c>
      <c r="AH1180" s="43" t="s">
        <v>1049</v>
      </c>
      <c r="AI1180" s="63">
        <f t="shared" si="221"/>
        <v>5.0490974729241876E-2</v>
      </c>
      <c r="AJ1180" s="307">
        <f>RTD("money.excel",,$G1180,"PredictVolume")</f>
        <v>13986</v>
      </c>
      <c r="AK1180" s="339"/>
    </row>
    <row r="1181" spans="1:37">
      <c r="A1181" s="416">
        <v>1.55</v>
      </c>
      <c r="B1181" s="91">
        <v>-104</v>
      </c>
      <c r="C1181" s="91">
        <v>83</v>
      </c>
      <c r="D1181" s="91">
        <v>10</v>
      </c>
      <c r="E1181" s="91">
        <v>5</v>
      </c>
      <c r="F1181" s="6">
        <v>-5.04</v>
      </c>
      <c r="G1181" s="79">
        <v>6259</v>
      </c>
      <c r="H1181" s="8" t="s">
        <v>310</v>
      </c>
      <c r="I1181" s="16" t="s">
        <v>4934</v>
      </c>
      <c r="J1181" s="73">
        <v>66.77</v>
      </c>
      <c r="K1181" s="73">
        <v>53.82</v>
      </c>
      <c r="N1181" s="318">
        <f t="shared" si="223"/>
        <v>120.59</v>
      </c>
      <c r="O1181" s="81" t="str">
        <f>IFERROR(VLOOKUP($G1181,'321買'!A:E,3,0),"'沒有資料'")</f>
        <v>'沒有資料'</v>
      </c>
      <c r="P1181" s="380" t="str">
        <f>IFERROR(VLOOKUP($G1181,'321買'!$A:$G,7,0),"'沒有資料'")</f>
        <v>'沒有資料'</v>
      </c>
      <c r="R1181" s="297">
        <f>IFERROR(RANK(VLOOKUP($G1181,連買!$A:$D,4,0),連買!$D:$D,0),"'沒有資料'")</f>
        <v>1085</v>
      </c>
      <c r="S1181" s="34">
        <v>0</v>
      </c>
      <c r="T1181" s="353">
        <f t="shared" si="220"/>
        <v>0</v>
      </c>
      <c r="U1181" s="57">
        <v>0.13</v>
      </c>
      <c r="V1181" s="13">
        <f>RTD("money.excel",,"6259","Price")</f>
        <v>37.6</v>
      </c>
      <c r="W1181" s="66"/>
      <c r="X1181" s="15">
        <f t="shared" si="217"/>
        <v>37.6</v>
      </c>
      <c r="Y1181" s="3" t="e">
        <f t="shared" si="218"/>
        <v>#DIV/0!</v>
      </c>
      <c r="AA1181" s="161">
        <v>0</v>
      </c>
      <c r="AB1181" s="409">
        <v>0</v>
      </c>
      <c r="AC1181" s="259">
        <f t="shared" si="222"/>
        <v>0</v>
      </c>
      <c r="AD1181" s="16" t="s">
        <v>4934</v>
      </c>
      <c r="AG1181" s="33">
        <f t="shared" si="219"/>
        <v>0</v>
      </c>
      <c r="AH1181" s="43" t="s">
        <v>2604</v>
      </c>
      <c r="AI1181" s="63">
        <f t="shared" si="221"/>
        <v>3.3548387096774194E-3</v>
      </c>
      <c r="AJ1181" s="307">
        <f>RTD("money.excel",,$G1181,"PredictVolume")</f>
        <v>52</v>
      </c>
      <c r="AK1181" s="339"/>
    </row>
    <row r="1182" spans="1:37">
      <c r="A1182" s="416">
        <v>10.199999999999999</v>
      </c>
      <c r="B1182" s="80">
        <v>-10</v>
      </c>
      <c r="C1182" s="80">
        <v>-15</v>
      </c>
      <c r="D1182" s="79">
        <v>7</v>
      </c>
      <c r="E1182" s="79">
        <v>29</v>
      </c>
      <c r="F1182" s="6">
        <v>7.54</v>
      </c>
      <c r="G1182" s="79">
        <v>6266</v>
      </c>
      <c r="H1182" s="8" t="s">
        <v>310</v>
      </c>
      <c r="I1182" s="16" t="s">
        <v>438</v>
      </c>
      <c r="J1182" s="73">
        <v>30.69</v>
      </c>
      <c r="K1182" s="73">
        <v>2.86</v>
      </c>
      <c r="L1182" s="323">
        <v>17.8</v>
      </c>
      <c r="M1182" s="73">
        <v>16.11</v>
      </c>
      <c r="N1182" s="318">
        <f t="shared" si="223"/>
        <v>67.460000000000008</v>
      </c>
      <c r="O1182" s="81">
        <f>IFERROR(VLOOKUP($G1182,'321買'!A:E,3,0),"'沒有資料'")</f>
        <v>17</v>
      </c>
      <c r="P1182" s="380">
        <f>IFERROR(VLOOKUP($G1182,'321買'!$A:$G,7,0),"'沒有資料'")</f>
        <v>307</v>
      </c>
      <c r="Q1182" s="245" t="s">
        <v>3816</v>
      </c>
      <c r="R1182" s="297">
        <f>IFERROR(RANK(VLOOKUP($G1182,連買!$A:$D,4,0),連買!$D:$D,0),"'沒有資料'")</f>
        <v>1030</v>
      </c>
      <c r="S1182" s="34">
        <v>1.38</v>
      </c>
      <c r="T1182" s="353">
        <f t="shared" si="220"/>
        <v>5.609756097560975E-2</v>
      </c>
      <c r="U1182" s="95">
        <v>1.33</v>
      </c>
      <c r="V1182" s="36">
        <f>RTD("money.excel",,"6266","Price")</f>
        <v>24.6</v>
      </c>
      <c r="W1182" s="66"/>
      <c r="X1182" s="15">
        <f t="shared" si="217"/>
        <v>24.6</v>
      </c>
      <c r="Y1182" s="3" t="e">
        <f t="shared" si="218"/>
        <v>#DIV/0!</v>
      </c>
      <c r="AA1182" s="161">
        <v>0</v>
      </c>
      <c r="AB1182" s="409">
        <v>0</v>
      </c>
      <c r="AC1182" s="259">
        <f t="shared" si="222"/>
        <v>0</v>
      </c>
      <c r="AD1182" s="16" t="s">
        <v>438</v>
      </c>
      <c r="AG1182" s="33">
        <f t="shared" si="219"/>
        <v>0</v>
      </c>
      <c r="AH1182" s="43" t="s">
        <v>2605</v>
      </c>
      <c r="AI1182" s="63">
        <f t="shared" si="221"/>
        <v>6.4803921568627448E-3</v>
      </c>
      <c r="AJ1182" s="307">
        <f>RTD("money.excel",,$G1182,"PredictVolume")</f>
        <v>661</v>
      </c>
      <c r="AK1182" s="339">
        <v>53.54</v>
      </c>
    </row>
    <row r="1183" spans="1:37">
      <c r="A1183" s="416">
        <v>35.1</v>
      </c>
      <c r="B1183" s="80">
        <v>-28</v>
      </c>
      <c r="C1183" s="80">
        <v>-33</v>
      </c>
      <c r="D1183" s="79">
        <v>5</v>
      </c>
      <c r="E1183" s="79">
        <v>5</v>
      </c>
      <c r="F1183" s="6">
        <v>5.01</v>
      </c>
      <c r="G1183" s="79">
        <v>6269</v>
      </c>
      <c r="H1183" s="208" t="s">
        <v>310</v>
      </c>
      <c r="I1183" s="22" t="s">
        <v>46</v>
      </c>
      <c r="J1183" s="323">
        <v>46.56</v>
      </c>
      <c r="K1183" s="323">
        <v>24.85</v>
      </c>
      <c r="L1183" s="73">
        <v>14.03</v>
      </c>
      <c r="N1183" s="318">
        <f t="shared" si="223"/>
        <v>85.44</v>
      </c>
      <c r="O1183" s="81">
        <f>IFERROR(VLOOKUP($G1183,'321買'!A:E,3,0),"'沒有資料'")</f>
        <v>26</v>
      </c>
      <c r="P1183" s="380">
        <f>IFERROR(VLOOKUP($G1183,'321買'!$A:$G,7,0),"'沒有資料'")</f>
        <v>172</v>
      </c>
      <c r="R1183" s="297">
        <f>IFERROR(RANK(VLOOKUP($G1183,連買!$A:$D,4,0),連買!$D:$D,0),"'沒有資料'")</f>
        <v>1676</v>
      </c>
      <c r="S1183" s="66">
        <v>5.12</v>
      </c>
      <c r="T1183" s="353">
        <f t="shared" si="220"/>
        <v>5.289256198347108E-2</v>
      </c>
      <c r="U1183" s="95">
        <v>7.68</v>
      </c>
      <c r="V1183" s="36">
        <f>RTD("money.excel",,"6269","Price")</f>
        <v>96.8</v>
      </c>
      <c r="W1183" s="66"/>
      <c r="X1183" s="15">
        <f t="shared" si="217"/>
        <v>96.8</v>
      </c>
      <c r="Y1183" s="3" t="e">
        <f t="shared" si="218"/>
        <v>#DIV/0!</v>
      </c>
      <c r="Z1183" s="413" t="s">
        <v>1997</v>
      </c>
      <c r="AA1183" s="161">
        <v>0</v>
      </c>
      <c r="AB1183" s="409">
        <v>0</v>
      </c>
      <c r="AC1183" s="259">
        <f t="shared" si="222"/>
        <v>0</v>
      </c>
      <c r="AD1183" s="22" t="s">
        <v>46</v>
      </c>
      <c r="AG1183" s="33">
        <f t="shared" si="219"/>
        <v>0</v>
      </c>
      <c r="AH1183" s="120" t="s">
        <v>2583</v>
      </c>
      <c r="AI1183" s="63">
        <f t="shared" si="221"/>
        <v>1.9544159544159544E-3</v>
      </c>
      <c r="AJ1183" s="307">
        <f>RTD("money.excel",,$G1183,"PredictVolume")</f>
        <v>686</v>
      </c>
      <c r="AK1183" s="339"/>
    </row>
    <row r="1184" spans="1:37">
      <c r="A1184" s="416">
        <v>26.8</v>
      </c>
      <c r="B1184" s="80">
        <v>-19</v>
      </c>
      <c r="C1184" s="80">
        <v>-15</v>
      </c>
      <c r="D1184" s="79">
        <v>2</v>
      </c>
      <c r="E1184" s="80">
        <v>-5</v>
      </c>
      <c r="F1184" s="6">
        <v>9.98</v>
      </c>
      <c r="G1184" s="79">
        <v>6274</v>
      </c>
      <c r="H1184" s="8" t="s">
        <v>310</v>
      </c>
      <c r="I1184" s="16" t="s">
        <v>3326</v>
      </c>
      <c r="J1184" s="323">
        <v>66.14</v>
      </c>
      <c r="K1184" s="323">
        <v>52.43</v>
      </c>
      <c r="L1184" s="323">
        <v>3.92</v>
      </c>
      <c r="N1184" s="318">
        <f t="shared" si="223"/>
        <v>122.49</v>
      </c>
      <c r="O1184" s="81">
        <f>IFERROR(VLOOKUP($G1184,'321買'!A:E,3,0),"'沒有資料'")</f>
        <v>10</v>
      </c>
      <c r="P1184" s="380">
        <f>IFERROR(VLOOKUP($G1184,'321買'!$A:$G,7,0),"'沒有資料'")</f>
        <v>433</v>
      </c>
      <c r="R1184" s="297">
        <f>IFERROR(RANK(VLOOKUP($G1184,連買!$A:$D,4,0),連買!$D:$D,0),"'沒有資料'")</f>
        <v>1195</v>
      </c>
      <c r="S1184" s="66">
        <v>4.8</v>
      </c>
      <c r="T1184" s="353">
        <f t="shared" si="220"/>
        <v>6.79886685552408E-2</v>
      </c>
      <c r="U1184" s="57">
        <v>6.36</v>
      </c>
      <c r="V1184" s="13">
        <f>RTD("money.excel",,"6274","Price")</f>
        <v>70.599999999999994</v>
      </c>
      <c r="W1184" s="66"/>
      <c r="X1184" s="15">
        <f t="shared" si="217"/>
        <v>70.599999999999994</v>
      </c>
      <c r="Y1184" s="3" t="e">
        <f t="shared" si="218"/>
        <v>#DIV/0!</v>
      </c>
      <c r="Z1184" s="413" t="s">
        <v>1997</v>
      </c>
      <c r="AA1184" s="161">
        <v>0</v>
      </c>
      <c r="AB1184" s="409">
        <v>0</v>
      </c>
      <c r="AC1184" s="259">
        <f t="shared" si="222"/>
        <v>0</v>
      </c>
      <c r="AD1184" s="16" t="s">
        <v>3326</v>
      </c>
      <c r="AG1184" s="33">
        <f t="shared" si="219"/>
        <v>0</v>
      </c>
      <c r="AH1184" s="120" t="s">
        <v>3498</v>
      </c>
      <c r="AI1184" s="63">
        <f t="shared" si="221"/>
        <v>1.9089552238805971E-2</v>
      </c>
      <c r="AJ1184" s="307">
        <f>RTD("money.excel",,$G1184,"PredictVolume")</f>
        <v>5116</v>
      </c>
      <c r="AK1184" s="339"/>
    </row>
    <row r="1185" spans="1:37">
      <c r="A1185" s="415">
        <v>9.9700000000000006</v>
      </c>
      <c r="B1185" s="79">
        <v>118</v>
      </c>
      <c r="C1185" s="79">
        <v>115</v>
      </c>
      <c r="D1185" s="79">
        <v>5</v>
      </c>
      <c r="E1185" s="79">
        <v>16</v>
      </c>
      <c r="F1185" s="57">
        <v>20.75</v>
      </c>
      <c r="G1185" s="79">
        <v>6279</v>
      </c>
      <c r="H1185" s="8" t="s">
        <v>310</v>
      </c>
      <c r="I1185" s="16" t="s">
        <v>4935</v>
      </c>
      <c r="J1185" s="323">
        <v>46.53</v>
      </c>
      <c r="K1185" s="73">
        <v>17.239999999999998</v>
      </c>
      <c r="L1185" s="323">
        <v>11.52</v>
      </c>
      <c r="M1185" s="73">
        <v>22.88</v>
      </c>
      <c r="N1185" s="318">
        <f t="shared" si="223"/>
        <v>98.169999999999987</v>
      </c>
      <c r="O1185" s="81">
        <f>IFERROR(VLOOKUP($G1185,'321買'!A:E,3,0),"'沒有資料'")</f>
        <v>23</v>
      </c>
      <c r="P1185" s="380">
        <f>IFERROR(VLOOKUP($G1185,'321買'!$A:$G,7,0),"'沒有資料'")</f>
        <v>207</v>
      </c>
      <c r="Q1185" s="245" t="s">
        <v>3816</v>
      </c>
      <c r="R1185" s="297">
        <f>IFERROR(RANK(VLOOKUP($G1185,連買!$A:$D,4,0),連買!$D:$D,0),"'沒有資料'")</f>
        <v>704</v>
      </c>
      <c r="S1185" s="66">
        <v>4</v>
      </c>
      <c r="T1185" s="353">
        <f t="shared" si="220"/>
        <v>3.4042553191489362E-2</v>
      </c>
      <c r="U1185" s="95">
        <v>8.6</v>
      </c>
      <c r="V1185" s="36">
        <f>RTD("money.excel",,"6279","Price")</f>
        <v>117.5</v>
      </c>
      <c r="W1185" s="66"/>
      <c r="X1185" s="15">
        <f t="shared" si="217"/>
        <v>117.5</v>
      </c>
      <c r="Y1185" s="3" t="e">
        <f t="shared" si="218"/>
        <v>#DIV/0!</v>
      </c>
      <c r="Z1185" s="413" t="s">
        <v>1997</v>
      </c>
      <c r="AA1185" s="161">
        <v>0</v>
      </c>
      <c r="AB1185" s="409">
        <v>0</v>
      </c>
      <c r="AC1185" s="259">
        <f t="shared" si="222"/>
        <v>0</v>
      </c>
      <c r="AD1185" s="16" t="s">
        <v>4935</v>
      </c>
      <c r="AG1185" s="33">
        <f t="shared" si="219"/>
        <v>0</v>
      </c>
      <c r="AH1185" s="120" t="s">
        <v>2359</v>
      </c>
      <c r="AI1185" s="63">
        <f t="shared" si="221"/>
        <v>1.6549648946840522E-3</v>
      </c>
      <c r="AJ1185" s="307">
        <f>RTD("money.excel",,$G1185,"PredictVolume")</f>
        <v>165</v>
      </c>
      <c r="AK1185" s="339"/>
    </row>
    <row r="1186" spans="1:37">
      <c r="A1186" s="416">
        <v>51.6</v>
      </c>
      <c r="B1186" s="80">
        <v>-1</v>
      </c>
      <c r="C1186" s="79">
        <v>118</v>
      </c>
      <c r="D1186" s="80">
        <v>-6</v>
      </c>
      <c r="E1186" s="79">
        <v>11</v>
      </c>
      <c r="F1186" s="6">
        <v>2.62</v>
      </c>
      <c r="G1186" s="79">
        <v>6282</v>
      </c>
      <c r="H1186" s="208" t="s">
        <v>310</v>
      </c>
      <c r="I1186" s="23" t="s">
        <v>241</v>
      </c>
      <c r="J1186" s="73">
        <v>41.47</v>
      </c>
      <c r="K1186" s="73">
        <v>11.95</v>
      </c>
      <c r="L1186" s="73">
        <v>10.86</v>
      </c>
      <c r="N1186" s="318">
        <f t="shared" si="223"/>
        <v>64.28</v>
      </c>
      <c r="O1186" s="81">
        <f>IFERROR(VLOOKUP($G1186,'321買'!A:E,3,0),"'沒有資料'")</f>
        <v>21</v>
      </c>
      <c r="P1186" s="380">
        <f>IFERROR(VLOOKUP($G1186,'321買'!$A:$G,7,0),"'沒有資料'")</f>
        <v>163</v>
      </c>
      <c r="R1186" s="297">
        <f>IFERROR(RANK(VLOOKUP($G1186,連買!$A:$D,4,0),連買!$D:$D,0),"'沒有資料'")</f>
        <v>492</v>
      </c>
      <c r="S1186" s="34">
        <v>1.1000000000000001</v>
      </c>
      <c r="T1186" s="353">
        <f t="shared" si="220"/>
        <v>3.4055727554179571E-2</v>
      </c>
      <c r="U1186" s="95">
        <v>2.54</v>
      </c>
      <c r="V1186" s="36">
        <f>RTD("money.excel",,"6282","Price")</f>
        <v>32.299999999999997</v>
      </c>
      <c r="W1186" s="66"/>
      <c r="X1186" s="15">
        <f t="shared" si="217"/>
        <v>32.299999999999997</v>
      </c>
      <c r="Y1186" s="3" t="e">
        <f t="shared" si="218"/>
        <v>#DIV/0!</v>
      </c>
      <c r="Z1186" s="413" t="s">
        <v>1801</v>
      </c>
      <c r="AA1186" s="161">
        <v>0</v>
      </c>
      <c r="AB1186" s="409">
        <v>0</v>
      </c>
      <c r="AC1186" s="259">
        <f t="shared" si="222"/>
        <v>0</v>
      </c>
      <c r="AD1186" s="23" t="s">
        <v>241</v>
      </c>
      <c r="AG1186" s="33">
        <f t="shared" si="219"/>
        <v>0</v>
      </c>
      <c r="AH1186" s="122" t="s">
        <v>3283</v>
      </c>
      <c r="AI1186" s="63">
        <f t="shared" si="221"/>
        <v>1.0292635658914728E-2</v>
      </c>
      <c r="AJ1186" s="307">
        <f>RTD("money.excel",,$G1186,"PredictVolume")</f>
        <v>5311</v>
      </c>
      <c r="AK1186" s="339"/>
    </row>
    <row r="1187" spans="1:37">
      <c r="A1187" s="415">
        <v>14</v>
      </c>
      <c r="B1187" s="79">
        <v>49</v>
      </c>
      <c r="C1187" s="79">
        <v>37</v>
      </c>
      <c r="D1187" s="79">
        <v>3</v>
      </c>
      <c r="E1187" s="79">
        <v>3</v>
      </c>
      <c r="F1187" s="57">
        <v>10.32</v>
      </c>
      <c r="G1187" s="79">
        <v>6284</v>
      </c>
      <c r="H1187" s="8" t="s">
        <v>310</v>
      </c>
      <c r="I1187" s="16" t="s">
        <v>289</v>
      </c>
      <c r="J1187" s="323">
        <v>44.98</v>
      </c>
      <c r="K1187" s="73">
        <v>3.23</v>
      </c>
      <c r="L1187" s="73">
        <v>21.17</v>
      </c>
      <c r="M1187" s="323">
        <v>36.08</v>
      </c>
      <c r="N1187" s="318">
        <f t="shared" si="223"/>
        <v>105.46</v>
      </c>
      <c r="O1187" s="81">
        <f>IFERROR(VLOOKUP($G1187,'321買'!A:E,3,0),"'沒有資料'")</f>
        <v>14</v>
      </c>
      <c r="P1187" s="380">
        <f>IFERROR(VLOOKUP($G1187,'321買'!$A:$G,7,0),"'沒有資料'")</f>
        <v>307</v>
      </c>
      <c r="Q1187" s="245" t="s">
        <v>3817</v>
      </c>
      <c r="R1187" s="297">
        <f>IFERROR(RANK(VLOOKUP($G1187,連買!$A:$D,4,0),連買!$D:$D,0),"'沒有資料'")</f>
        <v>663</v>
      </c>
      <c r="S1187" s="34">
        <v>1</v>
      </c>
      <c r="T1187" s="353">
        <f t="shared" si="220"/>
        <v>1.6694490818030049E-2</v>
      </c>
      <c r="U1187" s="95">
        <v>3.64</v>
      </c>
      <c r="V1187" s="36">
        <f>RTD("money.excel",,"6284","Price")</f>
        <v>59.9</v>
      </c>
      <c r="W1187" s="66"/>
      <c r="X1187" s="15">
        <f t="shared" si="217"/>
        <v>59.9</v>
      </c>
      <c r="Y1187" s="3" t="e">
        <f t="shared" si="218"/>
        <v>#DIV/0!</v>
      </c>
      <c r="Z1187" s="413" t="s">
        <v>3821</v>
      </c>
      <c r="AA1187" s="161">
        <v>0</v>
      </c>
      <c r="AB1187" s="409">
        <v>0</v>
      </c>
      <c r="AC1187" s="259">
        <f t="shared" si="222"/>
        <v>0</v>
      </c>
      <c r="AD1187" s="16" t="s">
        <v>289</v>
      </c>
      <c r="AG1187" s="33">
        <f t="shared" si="219"/>
        <v>0</v>
      </c>
      <c r="AH1187" s="358" t="s">
        <v>3808</v>
      </c>
      <c r="AI1187" s="63">
        <f t="shared" si="221"/>
        <v>1.642857142857143E-3</v>
      </c>
      <c r="AJ1187" s="307">
        <f>RTD("money.excel",,$G1187,"PredictVolume")</f>
        <v>230</v>
      </c>
      <c r="AK1187" s="339"/>
    </row>
    <row r="1188" spans="1:37">
      <c r="A1188" s="416">
        <v>14.7</v>
      </c>
      <c r="B1188" s="80">
        <v>-18</v>
      </c>
      <c r="C1188" s="80">
        <v>-33</v>
      </c>
      <c r="D1188" s="80">
        <v>-6</v>
      </c>
      <c r="E1188" s="79">
        <v>9</v>
      </c>
      <c r="F1188" s="6">
        <v>6.46</v>
      </c>
      <c r="G1188" s="79">
        <v>6290</v>
      </c>
      <c r="H1188" s="8" t="s">
        <v>310</v>
      </c>
      <c r="I1188" s="16" t="s">
        <v>160</v>
      </c>
      <c r="J1188" s="323">
        <v>18.8</v>
      </c>
      <c r="K1188" s="73">
        <v>1.97</v>
      </c>
      <c r="L1188" s="73">
        <v>23.95</v>
      </c>
      <c r="N1188" s="318">
        <f t="shared" si="223"/>
        <v>44.72</v>
      </c>
      <c r="O1188" s="81">
        <f>IFERROR(VLOOKUP($G1188,'321買'!A:E,3,0),"'沒有資料'")</f>
        <v>13</v>
      </c>
      <c r="P1188" s="380">
        <f>IFERROR(VLOOKUP($G1188,'321買'!$A:$G,7,0),"'沒有資料'")</f>
        <v>336</v>
      </c>
      <c r="Q1188" s="245" t="s">
        <v>3817</v>
      </c>
      <c r="R1188" s="297">
        <f>IFERROR(RANK(VLOOKUP($G1188,連買!$A:$D,4,0),連買!$D:$D,0),"'沒有資料'")</f>
        <v>330</v>
      </c>
      <c r="S1188" s="66">
        <v>3.5</v>
      </c>
      <c r="T1188" s="353">
        <f t="shared" si="220"/>
        <v>6.8897637795275593E-2</v>
      </c>
      <c r="U1188" s="95">
        <v>4.03</v>
      </c>
      <c r="V1188" s="36">
        <f>RTD("money.excel",,"6290","Price")</f>
        <v>50.8</v>
      </c>
      <c r="W1188" s="66"/>
      <c r="X1188" s="15">
        <f t="shared" si="217"/>
        <v>50.8</v>
      </c>
      <c r="Y1188" s="3" t="e">
        <f t="shared" si="218"/>
        <v>#DIV/0!</v>
      </c>
      <c r="Z1188" s="413" t="s">
        <v>3832</v>
      </c>
      <c r="AA1188" s="161">
        <v>0</v>
      </c>
      <c r="AB1188" s="409">
        <v>0</v>
      </c>
      <c r="AC1188" s="259">
        <f t="shared" si="222"/>
        <v>0</v>
      </c>
      <c r="AD1188" s="16" t="s">
        <v>160</v>
      </c>
      <c r="AG1188" s="33">
        <f t="shared" si="219"/>
        <v>0</v>
      </c>
      <c r="AH1188" s="120" t="s">
        <v>3654</v>
      </c>
      <c r="AI1188" s="63">
        <f t="shared" si="221"/>
        <v>3.9115646258503405E-3</v>
      </c>
      <c r="AJ1188" s="307">
        <f>RTD("money.excel",,$G1188,"PredictVolume")</f>
        <v>575</v>
      </c>
      <c r="AK1188" s="339"/>
    </row>
    <row r="1189" spans="1:37">
      <c r="A1189" s="415">
        <v>4.6900000000000004</v>
      </c>
      <c r="B1189" s="80">
        <v>-55</v>
      </c>
      <c r="C1189" s="80">
        <v>-28</v>
      </c>
      <c r="D1189" s="79">
        <v>36</v>
      </c>
      <c r="E1189" s="79">
        <v>-18</v>
      </c>
      <c r="F1189" s="57">
        <v>12.26</v>
      </c>
      <c r="G1189" s="79">
        <v>6292</v>
      </c>
      <c r="H1189" s="8" t="s">
        <v>310</v>
      </c>
      <c r="I1189" s="16" t="s">
        <v>439</v>
      </c>
      <c r="J1189" s="323">
        <v>55.49</v>
      </c>
      <c r="K1189" s="323">
        <v>0.5</v>
      </c>
      <c r="L1189" s="323">
        <v>2.08</v>
      </c>
      <c r="N1189" s="318">
        <f t="shared" si="223"/>
        <v>58.07</v>
      </c>
      <c r="O1189" s="81">
        <f>IFERROR(VLOOKUP($G1189,'321買'!A:E,3,0),"'沒有資料'")</f>
        <v>1</v>
      </c>
      <c r="P1189" s="380">
        <f>IFERROR(VLOOKUP($G1189,'321買'!$A:$G,7,0),"'沒有資料'")</f>
        <v>783</v>
      </c>
      <c r="R1189" s="297">
        <f>IFERROR(RANK(VLOOKUP($G1189,連買!$A:$D,4,0),連買!$D:$D,0),"'沒有資料'")</f>
        <v>544</v>
      </c>
      <c r="S1189" s="34">
        <v>2.7</v>
      </c>
      <c r="T1189" s="353">
        <f t="shared" si="220"/>
        <v>5.8064516129032261E-2</v>
      </c>
      <c r="U1189" s="95">
        <v>3.1</v>
      </c>
      <c r="V1189" s="36">
        <f>RTD("money.excel",,"6292","Price")</f>
        <v>46.5</v>
      </c>
      <c r="W1189" s="66"/>
      <c r="X1189" s="15">
        <f t="shared" si="217"/>
        <v>46.5</v>
      </c>
      <c r="Y1189" s="3" t="e">
        <f t="shared" si="218"/>
        <v>#DIV/0!</v>
      </c>
      <c r="AA1189" s="161">
        <v>0</v>
      </c>
      <c r="AB1189" s="409">
        <v>0</v>
      </c>
      <c r="AC1189" s="259">
        <f t="shared" si="222"/>
        <v>0</v>
      </c>
      <c r="AD1189" s="16" t="s">
        <v>439</v>
      </c>
      <c r="AG1189" s="33">
        <f t="shared" si="219"/>
        <v>0</v>
      </c>
      <c r="AH1189" s="43" t="s">
        <v>2606</v>
      </c>
      <c r="AI1189" s="63">
        <f t="shared" si="221"/>
        <v>6.6098081023454149E-4</v>
      </c>
      <c r="AJ1189" s="307">
        <f>RTD("money.excel",,$G1189,"PredictVolume")</f>
        <v>31</v>
      </c>
      <c r="AK1189" s="339"/>
    </row>
    <row r="1190" spans="1:37">
      <c r="A1190" s="416">
        <v>39.200000000000003</v>
      </c>
      <c r="B1190" s="79">
        <v>51</v>
      </c>
      <c r="C1190" s="79">
        <v>39</v>
      </c>
      <c r="D1190" s="79">
        <v>10</v>
      </c>
      <c r="E1190" s="79">
        <v>3</v>
      </c>
      <c r="F1190" s="6">
        <v>8.24</v>
      </c>
      <c r="G1190" s="79">
        <v>6412</v>
      </c>
      <c r="H1190" s="208" t="s">
        <v>310</v>
      </c>
      <c r="I1190" s="22" t="s">
        <v>54</v>
      </c>
      <c r="J1190" s="323">
        <v>80.790000000000006</v>
      </c>
      <c r="K1190" s="323">
        <v>13.51</v>
      </c>
      <c r="L1190" s="323">
        <v>0.57999999999999996</v>
      </c>
      <c r="N1190" s="318">
        <f t="shared" si="223"/>
        <v>94.88000000000001</v>
      </c>
      <c r="O1190" s="81">
        <f>IFERROR(VLOOKUP($G1190,'321買'!A:E,3,0),"'沒有資料'")</f>
        <v>0</v>
      </c>
      <c r="P1190" s="380">
        <f>IFERROR(VLOOKUP($G1190,'321買'!$A:$G,7,0),"'沒有資料'")</f>
        <v>911</v>
      </c>
      <c r="R1190" s="297">
        <f>IFERROR(RANK(VLOOKUP($G1190,連買!$A:$D,4,0),連買!$D:$D,0),"'沒有資料'")</f>
        <v>223</v>
      </c>
      <c r="S1190" s="66">
        <v>4</v>
      </c>
      <c r="T1190" s="353">
        <f t="shared" si="220"/>
        <v>5.4274084124830389E-2</v>
      </c>
      <c r="U1190" s="57">
        <v>6.56</v>
      </c>
      <c r="V1190" s="36">
        <f>RTD("money.excel",,"6412","Price")</f>
        <v>73.7</v>
      </c>
      <c r="W1190" s="66"/>
      <c r="X1190" s="15">
        <f t="shared" si="217"/>
        <v>73.7</v>
      </c>
      <c r="Y1190" s="3" t="e">
        <f t="shared" si="218"/>
        <v>#DIV/0!</v>
      </c>
      <c r="Z1190" s="413" t="s">
        <v>1997</v>
      </c>
      <c r="AA1190" s="161">
        <v>0</v>
      </c>
      <c r="AB1190" s="409">
        <v>0</v>
      </c>
      <c r="AC1190" s="259">
        <f t="shared" si="222"/>
        <v>0</v>
      </c>
      <c r="AD1190" s="22" t="s">
        <v>54</v>
      </c>
      <c r="AG1190" s="33">
        <f t="shared" si="219"/>
        <v>0</v>
      </c>
      <c r="AH1190" s="120" t="s">
        <v>2731</v>
      </c>
      <c r="AI1190" s="63">
        <f t="shared" si="221"/>
        <v>8.6989795918367347E-4</v>
      </c>
      <c r="AJ1190" s="307">
        <f>RTD("money.excel",,$G1190,"PredictVolume")</f>
        <v>341</v>
      </c>
      <c r="AK1190" s="339"/>
    </row>
    <row r="1191" spans="1:37">
      <c r="A1191" s="416">
        <v>3.45</v>
      </c>
      <c r="B1191" s="80">
        <v>-225</v>
      </c>
      <c r="C1191" s="80">
        <v>-186</v>
      </c>
      <c r="D1191" s="79">
        <v>19</v>
      </c>
      <c r="E1191" s="79">
        <v>43</v>
      </c>
      <c r="F1191" s="6">
        <v>-2.15</v>
      </c>
      <c r="G1191" s="79">
        <v>6418</v>
      </c>
      <c r="H1191" s="8" t="s">
        <v>310</v>
      </c>
      <c r="I1191" s="16" t="s">
        <v>3159</v>
      </c>
      <c r="J1191" s="323">
        <v>41.44</v>
      </c>
      <c r="K1191" s="73">
        <v>0.93</v>
      </c>
      <c r="L1191" s="323">
        <v>13.26</v>
      </c>
      <c r="M1191" s="323">
        <v>24.12</v>
      </c>
      <c r="N1191" s="318">
        <f t="shared" si="223"/>
        <v>79.75</v>
      </c>
      <c r="O1191" s="81">
        <f>IFERROR(VLOOKUP($G1191,'321買'!A:E,3,0),"'沒有資料'")</f>
        <v>13</v>
      </c>
      <c r="P1191" s="380">
        <f>IFERROR(VLOOKUP($G1191,'321買'!$A:$G,7,0),"'沒有資料'")</f>
        <v>368</v>
      </c>
      <c r="Q1191" s="245" t="s">
        <v>3815</v>
      </c>
      <c r="R1191" s="297">
        <f>IFERROR(RANK(VLOOKUP($G1191,連買!$A:$D,4,0),連買!$D:$D,0),"'沒有資料'")</f>
        <v>1028</v>
      </c>
      <c r="S1191" s="34">
        <v>0.2</v>
      </c>
      <c r="T1191" s="353">
        <f t="shared" si="220"/>
        <v>1.1976047904191617E-2</v>
      </c>
      <c r="U1191" s="95">
        <v>-0.73</v>
      </c>
      <c r="V1191" s="36">
        <f>RTD("money.excel",,"6418","Price")</f>
        <v>16.7</v>
      </c>
      <c r="W1191" s="66"/>
      <c r="X1191" s="15">
        <f t="shared" si="217"/>
        <v>16.7</v>
      </c>
      <c r="Y1191" s="3" t="e">
        <f t="shared" si="218"/>
        <v>#DIV/0!</v>
      </c>
      <c r="AA1191" s="161">
        <v>0</v>
      </c>
      <c r="AB1191" s="409">
        <v>0</v>
      </c>
      <c r="AC1191" s="259">
        <f t="shared" si="222"/>
        <v>0</v>
      </c>
      <c r="AD1191" s="16" t="s">
        <v>3159</v>
      </c>
      <c r="AG1191" s="33">
        <f t="shared" si="219"/>
        <v>0</v>
      </c>
      <c r="AH1191" s="43" t="s">
        <v>2016</v>
      </c>
      <c r="AI1191" s="63">
        <f t="shared" si="221"/>
        <v>4.5999999999999999E-2</v>
      </c>
      <c r="AJ1191" s="307">
        <f>RTD("money.excel",,$G1191,"PredictVolume")</f>
        <v>1587</v>
      </c>
      <c r="AK1191" s="339"/>
    </row>
    <row r="1192" spans="1:37">
      <c r="A1192" s="415">
        <v>3.07</v>
      </c>
      <c r="B1192" s="79">
        <v>26</v>
      </c>
      <c r="C1192" s="79">
        <v>32</v>
      </c>
      <c r="D1192" s="79">
        <v>5</v>
      </c>
      <c r="E1192" s="79">
        <v>13</v>
      </c>
      <c r="F1192" s="57">
        <v>10.119999999999999</v>
      </c>
      <c r="G1192" s="79">
        <v>6432</v>
      </c>
      <c r="H1192" s="8" t="s">
        <v>310</v>
      </c>
      <c r="I1192" s="16" t="s">
        <v>440</v>
      </c>
      <c r="J1192" s="73">
        <v>20.92</v>
      </c>
      <c r="K1192" s="323">
        <v>1.26</v>
      </c>
      <c r="L1192" s="73">
        <v>12.41</v>
      </c>
      <c r="M1192" s="323">
        <v>20.420000000000002</v>
      </c>
      <c r="N1192" s="318">
        <f t="shared" si="223"/>
        <v>55.010000000000005</v>
      </c>
      <c r="O1192" s="81">
        <f>IFERROR(VLOOKUP($G1192,'321買'!A:E,3,0),"'沒有資料'")</f>
        <v>11</v>
      </c>
      <c r="P1192" s="380">
        <f>IFERROR(VLOOKUP($G1192,'321買'!$A:$G,7,0),"'沒有資料'")</f>
        <v>408</v>
      </c>
      <c r="Q1192" s="245" t="s">
        <v>3816</v>
      </c>
      <c r="R1192" s="297">
        <f>IFERROR(RANK(VLOOKUP($G1192,連買!$A:$D,4,0),連買!$D:$D,0),"'沒有資料'")</f>
        <v>512</v>
      </c>
      <c r="S1192" s="34">
        <v>1.57</v>
      </c>
      <c r="T1192" s="353">
        <f t="shared" si="220"/>
        <v>4.3310344827586209E-2</v>
      </c>
      <c r="U1192" s="95">
        <v>3.1</v>
      </c>
      <c r="V1192" s="36">
        <f>RTD("money.excel",,"6432","Price")</f>
        <v>36.25</v>
      </c>
      <c r="W1192" s="66"/>
      <c r="X1192" s="15">
        <f t="shared" si="217"/>
        <v>36.25</v>
      </c>
      <c r="Y1192" s="3" t="e">
        <f t="shared" si="218"/>
        <v>#DIV/0!</v>
      </c>
      <c r="Z1192" s="413" t="s">
        <v>1801</v>
      </c>
      <c r="AA1192" s="161">
        <v>0</v>
      </c>
      <c r="AB1192" s="409">
        <v>0</v>
      </c>
      <c r="AC1192" s="259">
        <f t="shared" si="222"/>
        <v>0</v>
      </c>
      <c r="AD1192" s="16" t="s">
        <v>440</v>
      </c>
      <c r="AG1192" s="33">
        <f t="shared" si="219"/>
        <v>0</v>
      </c>
      <c r="AH1192" s="43" t="s">
        <v>2559</v>
      </c>
      <c r="AI1192" s="63">
        <f t="shared" si="221"/>
        <v>9.4462540716612378E-4</v>
      </c>
      <c r="AJ1192" s="307">
        <f>RTD("money.excel",,$G1192,"PredictVolume")</f>
        <v>29</v>
      </c>
      <c r="AK1192" s="339"/>
    </row>
    <row r="1193" spans="1:37">
      <c r="A1193" s="415">
        <v>8.4499999999999993</v>
      </c>
      <c r="B1193" s="79">
        <v>237</v>
      </c>
      <c r="C1193" s="79">
        <v>257</v>
      </c>
      <c r="D1193" s="79">
        <v>19</v>
      </c>
      <c r="E1193" s="79">
        <v>28</v>
      </c>
      <c r="F1193" s="57">
        <v>12.66</v>
      </c>
      <c r="G1193" s="79">
        <v>6449</v>
      </c>
      <c r="H1193" s="8" t="s">
        <v>310</v>
      </c>
      <c r="I1193" s="22" t="s">
        <v>4936</v>
      </c>
      <c r="J1193" s="73">
        <v>60.8</v>
      </c>
      <c r="K1193" s="323">
        <v>1.28</v>
      </c>
      <c r="L1193" s="73">
        <v>22.64</v>
      </c>
      <c r="N1193" s="318">
        <f t="shared" si="223"/>
        <v>84.72</v>
      </c>
      <c r="O1193" s="81">
        <f>IFERROR(VLOOKUP($G1193,'321買'!A:E,3,0),"'沒有資料'")</f>
        <v>0</v>
      </c>
      <c r="P1193" s="380">
        <f>IFERROR(VLOOKUP($G1193,'321買'!$A:$G,7,0),"'沒有資料'")</f>
        <v>911</v>
      </c>
      <c r="R1193" s="297">
        <f>IFERROR(RANK(VLOOKUP($G1193,連買!$A:$D,4,0),連買!$D:$D,0),"'沒有資料'")</f>
        <v>441</v>
      </c>
      <c r="S1193" s="34">
        <v>1</v>
      </c>
      <c r="T1193" s="353">
        <f t="shared" si="220"/>
        <v>1.8018018018018018E-2</v>
      </c>
      <c r="U1193" s="95">
        <v>3.1</v>
      </c>
      <c r="V1193" s="36">
        <f>RTD("money.excel",,"6449","Price")</f>
        <v>55.5</v>
      </c>
      <c r="W1193" s="66"/>
      <c r="X1193" s="15">
        <f t="shared" si="217"/>
        <v>55.5</v>
      </c>
      <c r="Y1193" s="3" t="e">
        <f t="shared" si="218"/>
        <v>#DIV/0!</v>
      </c>
      <c r="Z1193" s="413" t="s">
        <v>1801</v>
      </c>
      <c r="AA1193" s="161">
        <v>0</v>
      </c>
      <c r="AB1193" s="409">
        <v>0</v>
      </c>
      <c r="AC1193" s="259">
        <f t="shared" si="222"/>
        <v>0</v>
      </c>
      <c r="AD1193" s="22" t="s">
        <v>4936</v>
      </c>
      <c r="AG1193" s="33">
        <f t="shared" si="219"/>
        <v>0</v>
      </c>
      <c r="AH1193" s="43" t="s">
        <v>2513</v>
      </c>
      <c r="AI1193" s="63">
        <f t="shared" si="221"/>
        <v>2.603550295857988E-4</v>
      </c>
      <c r="AJ1193" s="307">
        <f>RTD("money.excel",,$G1193,"PredictVolume")</f>
        <v>22</v>
      </c>
      <c r="AK1193" s="339"/>
    </row>
    <row r="1194" spans="1:37">
      <c r="A1194" s="415">
        <v>3.73</v>
      </c>
      <c r="B1194" s="80">
        <v>-66</v>
      </c>
      <c r="C1194" s="80">
        <v>-67</v>
      </c>
      <c r="D1194" s="80">
        <v>-7</v>
      </c>
      <c r="E1194" s="80">
        <v>-16</v>
      </c>
      <c r="F1194" s="57">
        <v>16.88</v>
      </c>
      <c r="G1194" s="79">
        <v>6538</v>
      </c>
      <c r="H1194" s="8" t="s">
        <v>310</v>
      </c>
      <c r="I1194" s="16" t="s">
        <v>441</v>
      </c>
      <c r="J1194" s="73">
        <v>12.82</v>
      </c>
      <c r="K1194" s="73">
        <v>4.8899999999999997</v>
      </c>
      <c r="L1194" s="73">
        <v>37.14</v>
      </c>
      <c r="M1194" s="73">
        <v>13.47</v>
      </c>
      <c r="N1194" s="318">
        <f t="shared" si="223"/>
        <v>68.320000000000007</v>
      </c>
      <c r="O1194" s="81">
        <f>IFERROR(VLOOKUP($G1194,'321買'!A:E,3,0),"'沒有資料'")</f>
        <v>8</v>
      </c>
      <c r="P1194" s="380">
        <f>IFERROR(VLOOKUP($G1194,'321買'!$A:$G,7,0),"'沒有資料'")</f>
        <v>475</v>
      </c>
      <c r="Q1194" s="245" t="s">
        <v>5063</v>
      </c>
      <c r="R1194" s="297">
        <f>IFERROR(RANK(VLOOKUP($G1194,連買!$A:$D,4,0),連買!$D:$D,0),"'沒有資料'")</f>
        <v>129</v>
      </c>
      <c r="S1194" s="66">
        <v>7</v>
      </c>
      <c r="T1194" s="353">
        <f t="shared" si="220"/>
        <v>8.9285714285714274E-2</v>
      </c>
      <c r="U1194" s="95">
        <v>5.16</v>
      </c>
      <c r="V1194" s="36">
        <f>RTD("money.excel",,"6538","Price")</f>
        <v>78.400000000000006</v>
      </c>
      <c r="W1194" s="66"/>
      <c r="X1194" s="15">
        <f t="shared" si="217"/>
        <v>78.400000000000006</v>
      </c>
      <c r="Y1194" s="3" t="e">
        <f t="shared" si="218"/>
        <v>#DIV/0!</v>
      </c>
      <c r="Z1194" s="413" t="s">
        <v>1997</v>
      </c>
      <c r="AA1194" s="161">
        <v>0</v>
      </c>
      <c r="AB1194" s="409">
        <v>0</v>
      </c>
      <c r="AC1194" s="259">
        <f t="shared" si="222"/>
        <v>0</v>
      </c>
      <c r="AD1194" s="16" t="s">
        <v>441</v>
      </c>
      <c r="AG1194" s="33">
        <f t="shared" si="219"/>
        <v>0</v>
      </c>
      <c r="AH1194" s="43" t="s">
        <v>1793</v>
      </c>
      <c r="AI1194" s="63">
        <f t="shared" si="221"/>
        <v>1.5013404825737265E-3</v>
      </c>
      <c r="AJ1194" s="307">
        <f>RTD("money.excel",,$G1194,"PredictVolume")</f>
        <v>56</v>
      </c>
      <c r="AK1194" s="339">
        <v>15.8</v>
      </c>
    </row>
    <row r="1195" spans="1:37">
      <c r="A1195" s="415">
        <v>3.74</v>
      </c>
      <c r="B1195" s="79">
        <v>108</v>
      </c>
      <c r="C1195" s="79">
        <v>119</v>
      </c>
      <c r="D1195" s="80">
        <v>-11</v>
      </c>
      <c r="E1195" s="79">
        <v>27</v>
      </c>
      <c r="F1195" s="57">
        <v>32.6</v>
      </c>
      <c r="G1195" s="79">
        <v>6642</v>
      </c>
      <c r="H1195" s="8" t="s">
        <v>310</v>
      </c>
      <c r="I1195" s="16" t="s">
        <v>1747</v>
      </c>
      <c r="J1195" s="73">
        <v>49.93</v>
      </c>
      <c r="K1195" s="323">
        <v>3.18</v>
      </c>
      <c r="L1195" s="73">
        <v>25.36</v>
      </c>
      <c r="N1195" s="318">
        <f t="shared" si="223"/>
        <v>78.47</v>
      </c>
      <c r="O1195" s="81">
        <f>IFERROR(VLOOKUP($G1195,'321買'!A:E,3,0),"'沒有資料'")</f>
        <v>6</v>
      </c>
      <c r="P1195" s="380">
        <f>IFERROR(VLOOKUP($G1195,'321買'!$A:$G,7,0),"'沒有資料'")</f>
        <v>521</v>
      </c>
      <c r="R1195" s="297">
        <f>IFERROR(RANK(VLOOKUP($G1195,連買!$A:$D,4,0),連買!$D:$D,0),"'沒有資料'")</f>
        <v>263</v>
      </c>
      <c r="S1195" s="34">
        <v>1.8</v>
      </c>
      <c r="T1195" s="353">
        <f t="shared" si="220"/>
        <v>2.6354319180087848E-2</v>
      </c>
      <c r="U1195" s="95">
        <v>3.78</v>
      </c>
      <c r="V1195" s="36">
        <f>RTD("money.excel",,"6642","Price")</f>
        <v>68.3</v>
      </c>
      <c r="W1195" s="66"/>
      <c r="X1195" s="15">
        <f t="shared" si="217"/>
        <v>68.3</v>
      </c>
      <c r="Y1195" s="3" t="e">
        <f t="shared" si="218"/>
        <v>#DIV/0!</v>
      </c>
      <c r="Z1195" s="413" t="s">
        <v>1801</v>
      </c>
      <c r="AA1195" s="161">
        <v>0</v>
      </c>
      <c r="AB1195" s="409">
        <v>0</v>
      </c>
      <c r="AC1195" s="259">
        <f t="shared" si="222"/>
        <v>0</v>
      </c>
      <c r="AD1195" s="16" t="s">
        <v>1747</v>
      </c>
      <c r="AG1195" s="33">
        <f t="shared" si="219"/>
        <v>0</v>
      </c>
      <c r="AH1195" s="43" t="s">
        <v>3289</v>
      </c>
      <c r="AI1195" s="63">
        <f t="shared" si="221"/>
        <v>2.6737967914438501E-5</v>
      </c>
      <c r="AJ1195" s="307">
        <f>RTD("money.excel",,$G1195,"PredictVolume")</f>
        <v>1</v>
      </c>
      <c r="AK1195" s="339"/>
    </row>
    <row r="1196" spans="1:37">
      <c r="A1196" s="415">
        <v>5.5</v>
      </c>
      <c r="B1196" s="80">
        <v>-1</v>
      </c>
      <c r="C1196" s="79">
        <v>4</v>
      </c>
      <c r="D1196" s="79">
        <v>1</v>
      </c>
      <c r="E1196" s="79">
        <v>21</v>
      </c>
      <c r="F1196" s="57">
        <v>23.35</v>
      </c>
      <c r="G1196" s="79">
        <v>6664</v>
      </c>
      <c r="H1196" s="8" t="s">
        <v>310</v>
      </c>
      <c r="I1196" s="16" t="s">
        <v>1073</v>
      </c>
      <c r="J1196" s="73">
        <v>45.17</v>
      </c>
      <c r="K1196" s="73">
        <v>1.1599999999999999</v>
      </c>
      <c r="L1196" s="73">
        <v>9.49</v>
      </c>
      <c r="M1196" s="73">
        <v>27.62</v>
      </c>
      <c r="N1196" s="318">
        <f t="shared" si="223"/>
        <v>83.44</v>
      </c>
      <c r="O1196" s="81">
        <f>IFERROR(VLOOKUP($G1196,'321買'!A:E,3,0),"'沒有資料'")</f>
        <v>3</v>
      </c>
      <c r="P1196" s="380">
        <f>IFERROR(VLOOKUP($G1196,'321買'!$A:$G,7,0),"'沒有資料'")</f>
        <v>636</v>
      </c>
      <c r="Q1196" s="245" t="s">
        <v>3816</v>
      </c>
      <c r="R1196" s="297">
        <f>IFERROR(RANK(VLOOKUP($G1196,連買!$A:$D,4,0),連買!$D:$D,0),"'沒有資料'")</f>
        <v>345</v>
      </c>
      <c r="S1196" s="66">
        <v>4.3</v>
      </c>
      <c r="T1196" s="353">
        <f t="shared" si="220"/>
        <v>5.1869722557297944E-2</v>
      </c>
      <c r="U1196" s="95">
        <v>5.59</v>
      </c>
      <c r="V1196" s="36">
        <f>RTD("money.excel",,"6664","Price")</f>
        <v>82.9</v>
      </c>
      <c r="W1196" s="66"/>
      <c r="X1196" s="15">
        <f t="shared" si="217"/>
        <v>82.9</v>
      </c>
      <c r="Y1196" s="3" t="e">
        <f t="shared" si="218"/>
        <v>#DIV/0!</v>
      </c>
      <c r="Z1196" s="413" t="s">
        <v>1997</v>
      </c>
      <c r="AA1196" s="161">
        <v>0</v>
      </c>
      <c r="AB1196" s="409">
        <v>0</v>
      </c>
      <c r="AC1196" s="259">
        <f t="shared" si="222"/>
        <v>0</v>
      </c>
      <c r="AD1196" s="16" t="s">
        <v>1073</v>
      </c>
      <c r="AG1196" s="33">
        <f t="shared" si="219"/>
        <v>0</v>
      </c>
      <c r="AH1196" s="43" t="s">
        <v>2475</v>
      </c>
      <c r="AI1196" s="63">
        <f t="shared" si="221"/>
        <v>3.3272727272727273E-3</v>
      </c>
      <c r="AJ1196" s="307">
        <f>RTD("money.excel",,$G1196,"PredictVolume")</f>
        <v>183</v>
      </c>
      <c r="AK1196" s="339"/>
    </row>
    <row r="1197" spans="1:37">
      <c r="A1197" s="415">
        <v>7.15</v>
      </c>
      <c r="B1197" s="79">
        <v>117</v>
      </c>
      <c r="C1197" s="79">
        <v>137</v>
      </c>
      <c r="D1197" s="79">
        <v>1</v>
      </c>
      <c r="E1197" s="79">
        <v>81</v>
      </c>
      <c r="F1197" s="57">
        <v>17.5</v>
      </c>
      <c r="G1197" s="79">
        <v>6672</v>
      </c>
      <c r="H1197" s="8" t="s">
        <v>310</v>
      </c>
      <c r="I1197" s="22" t="s">
        <v>1513</v>
      </c>
      <c r="J1197" s="323">
        <v>33.119999999999997</v>
      </c>
      <c r="K1197" s="323">
        <v>31.98</v>
      </c>
      <c r="L1197" s="323">
        <v>29.97</v>
      </c>
      <c r="N1197" s="318">
        <f t="shared" si="223"/>
        <v>95.07</v>
      </c>
      <c r="O1197" s="81">
        <f>IFERROR(VLOOKUP($G1197,'321買'!A:E,3,0),"'沒有資料'")</f>
        <v>39</v>
      </c>
      <c r="P1197" s="380">
        <f>IFERROR(VLOOKUP($G1197,'321買'!$A:$G,7,0),"'沒有資料'")</f>
        <v>100</v>
      </c>
      <c r="R1197" s="297">
        <f>IFERROR(RANK(VLOOKUP($G1197,連買!$A:$D,4,0),連買!$D:$D,0),"'沒有資料'")</f>
        <v>1732</v>
      </c>
      <c r="S1197" s="66">
        <v>3.2</v>
      </c>
      <c r="T1197" s="353">
        <f t="shared" si="220"/>
        <v>3.1372549019607843E-2</v>
      </c>
      <c r="U1197" s="95">
        <v>8.9600000000000009</v>
      </c>
      <c r="V1197" s="36">
        <f>RTD("money.excel",,"6672","Price")</f>
        <v>102</v>
      </c>
      <c r="W1197" s="66"/>
      <c r="X1197" s="15">
        <f t="shared" si="217"/>
        <v>102</v>
      </c>
      <c r="Y1197" s="3" t="e">
        <f t="shared" si="218"/>
        <v>#DIV/0!</v>
      </c>
      <c r="Z1197" s="413" t="s">
        <v>1997</v>
      </c>
      <c r="AA1197" s="161">
        <v>0</v>
      </c>
      <c r="AB1197" s="409">
        <v>0</v>
      </c>
      <c r="AC1197" s="259">
        <f t="shared" si="222"/>
        <v>0</v>
      </c>
      <c r="AD1197" s="22" t="s">
        <v>1513</v>
      </c>
      <c r="AG1197" s="33">
        <f t="shared" si="219"/>
        <v>0</v>
      </c>
      <c r="AH1197" s="43" t="s">
        <v>3498</v>
      </c>
      <c r="AI1197" s="63">
        <f t="shared" si="221"/>
        <v>2.7272727272727275E-3</v>
      </c>
      <c r="AJ1197" s="307">
        <f>RTD("money.excel",,$G1197,"PredictVolume")</f>
        <v>195</v>
      </c>
      <c r="AK1197" s="339"/>
    </row>
    <row r="1198" spans="1:37">
      <c r="A1198" s="416">
        <v>6.05</v>
      </c>
      <c r="B1198" s="80">
        <v>-32</v>
      </c>
      <c r="C1198" s="80">
        <v>-39</v>
      </c>
      <c r="D1198" s="80">
        <v>-31</v>
      </c>
      <c r="E1198" s="80">
        <v>-19</v>
      </c>
      <c r="F1198" s="6">
        <v>9.8699999999999992</v>
      </c>
      <c r="G1198" s="79">
        <v>6715</v>
      </c>
      <c r="H1198" s="8" t="s">
        <v>3620</v>
      </c>
      <c r="I1198" s="22" t="s">
        <v>2039</v>
      </c>
      <c r="J1198" s="73">
        <v>73.23</v>
      </c>
      <c r="K1198" s="323">
        <v>1.47</v>
      </c>
      <c r="L1198" s="323">
        <v>16.260000000000002</v>
      </c>
      <c r="M1198" s="323">
        <v>54.88</v>
      </c>
      <c r="N1198" s="73">
        <f t="shared" si="223"/>
        <v>145.84</v>
      </c>
      <c r="O1198" s="81">
        <f>IFERROR(VLOOKUP($G1198,'321買'!A:E,3,0),"'沒有資料'")</f>
        <v>1</v>
      </c>
      <c r="P1198" s="380">
        <f>IFERROR(VLOOKUP($G1198,'321買'!$A:$G,7,0),"'沒有資料'")</f>
        <v>783</v>
      </c>
      <c r="R1198" s="297">
        <f>IFERROR(RANK(VLOOKUP($G1198,連買!$A:$D,4,0),連買!$D:$D,0),"'沒有資料'")</f>
        <v>251</v>
      </c>
      <c r="S1198" s="34">
        <v>2.5</v>
      </c>
      <c r="T1198" s="353">
        <f>S1198/V1198</f>
        <v>2.4630541871921183E-2</v>
      </c>
      <c r="U1198" s="57">
        <v>3.51</v>
      </c>
      <c r="V1198" s="36">
        <f>RTD("money.excel",,"6715","Price")</f>
        <v>101.5</v>
      </c>
      <c r="W1198" s="66"/>
      <c r="X1198" s="15">
        <f t="shared" si="217"/>
        <v>101.5</v>
      </c>
      <c r="Y1198" s="3" t="e">
        <f t="shared" si="218"/>
        <v>#DIV/0!</v>
      </c>
      <c r="Z1198" s="413" t="s">
        <v>1801</v>
      </c>
      <c r="AA1198" s="161">
        <v>0</v>
      </c>
      <c r="AB1198" s="409">
        <v>0</v>
      </c>
      <c r="AC1198" s="259">
        <f t="shared" si="222"/>
        <v>0</v>
      </c>
      <c r="AD1198" s="22" t="s">
        <v>2039</v>
      </c>
      <c r="AG1198" s="33">
        <f t="shared" si="219"/>
        <v>0</v>
      </c>
      <c r="AH1198" s="122" t="s">
        <v>2040</v>
      </c>
      <c r="AI1198" s="63">
        <f t="shared" si="221"/>
        <v>2.9752066115702481E-4</v>
      </c>
      <c r="AJ1198" s="307">
        <f>RTD("money.excel",,$G1198,"PredictVolume")</f>
        <v>18</v>
      </c>
      <c r="AK1198" s="339">
        <v>2.11</v>
      </c>
    </row>
    <row r="1199" spans="1:37">
      <c r="A1199" s="415">
        <v>2.14</v>
      </c>
      <c r="B1199" s="79">
        <v>103</v>
      </c>
      <c r="C1199" s="79">
        <v>57</v>
      </c>
      <c r="D1199" s="79">
        <v>54</v>
      </c>
      <c r="E1199" s="79">
        <v>19</v>
      </c>
      <c r="F1199" s="57">
        <v>15.15</v>
      </c>
      <c r="G1199" s="79">
        <v>6727</v>
      </c>
      <c r="H1199" s="8" t="s">
        <v>310</v>
      </c>
      <c r="I1199" s="16" t="s">
        <v>2235</v>
      </c>
      <c r="J1199" s="323">
        <v>7.38</v>
      </c>
      <c r="K1199" s="73">
        <v>5.17</v>
      </c>
      <c r="L1199" s="323"/>
      <c r="M1199" s="323">
        <v>19.05</v>
      </c>
      <c r="N1199" s="318">
        <f t="shared" si="223"/>
        <v>31.6</v>
      </c>
      <c r="O1199" s="81" t="str">
        <f>IFERROR(VLOOKUP($G1199,'321買'!A:E,3,0),"'沒有資料'")</f>
        <v>'沒有資料'</v>
      </c>
      <c r="P1199" s="380" t="str">
        <f>IFERROR(VLOOKUP($G1199,'321買'!$A:$G,7,0),"'沒有資料'")</f>
        <v>'沒有資料'</v>
      </c>
      <c r="Q1199" s="245" t="s">
        <v>5077</v>
      </c>
      <c r="R1199" s="297">
        <f>IFERROR(RANK(VLOOKUP($G1199,連買!$A:$D,4,0),連買!$D:$D,0),"'沒有資料'")</f>
        <v>361</v>
      </c>
      <c r="S1199" s="34">
        <v>2.5</v>
      </c>
      <c r="T1199" s="353">
        <f t="shared" si="220"/>
        <v>3.5868005738880916E-2</v>
      </c>
      <c r="U1199" s="95">
        <v>6.45</v>
      </c>
      <c r="V1199" s="36">
        <f>RTD("money.excel",,"6727","Price")</f>
        <v>69.7</v>
      </c>
      <c r="W1199" s="66"/>
      <c r="X1199" s="15">
        <f t="shared" si="217"/>
        <v>69.7</v>
      </c>
      <c r="Y1199" s="3" t="e">
        <f t="shared" si="218"/>
        <v>#DIV/0!</v>
      </c>
      <c r="Z1199" s="413" t="s">
        <v>1801</v>
      </c>
      <c r="AA1199" s="161">
        <v>0</v>
      </c>
      <c r="AB1199" s="409">
        <v>0</v>
      </c>
      <c r="AC1199" s="259">
        <f t="shared" si="222"/>
        <v>0</v>
      </c>
      <c r="AD1199" s="16" t="s">
        <v>2235</v>
      </c>
      <c r="AG1199" s="33">
        <f t="shared" si="219"/>
        <v>0</v>
      </c>
      <c r="AH1199" s="43" t="s">
        <v>2475</v>
      </c>
      <c r="AI1199" s="63">
        <f t="shared" si="221"/>
        <v>4.1588785046728976E-3</v>
      </c>
      <c r="AJ1199" s="307">
        <f>RTD("money.excel",,$G1199,"PredictVolume")</f>
        <v>89</v>
      </c>
      <c r="AK1199" s="339">
        <v>33.619999999999997</v>
      </c>
    </row>
    <row r="1200" spans="1:37">
      <c r="A1200" s="415">
        <v>2.39</v>
      </c>
      <c r="B1200" s="79">
        <v>116</v>
      </c>
      <c r="C1200" s="79">
        <v>100</v>
      </c>
      <c r="D1200" s="79">
        <v>0</v>
      </c>
      <c r="E1200" s="79">
        <v>32</v>
      </c>
      <c r="F1200" s="57">
        <v>13.23</v>
      </c>
      <c r="G1200" s="79">
        <v>6761</v>
      </c>
      <c r="H1200" s="8" t="s">
        <v>310</v>
      </c>
      <c r="I1200" s="16" t="s">
        <v>3769</v>
      </c>
      <c r="J1200" s="323">
        <v>45.93</v>
      </c>
      <c r="K1200" s="73">
        <v>1.54</v>
      </c>
      <c r="M1200" s="323">
        <v>39.71</v>
      </c>
      <c r="N1200" s="318">
        <f t="shared" si="223"/>
        <v>87.18</v>
      </c>
      <c r="O1200" s="81" t="str">
        <f>IFERROR(VLOOKUP($G1200,'321買'!A:E,3,0),"'沒有資料'")</f>
        <v>'沒有資料'</v>
      </c>
      <c r="P1200" s="380" t="str">
        <f>IFERROR(VLOOKUP($G1200,'321買'!$A:$G,7,0),"'沒有資料'")</f>
        <v>'沒有資料'</v>
      </c>
      <c r="R1200" s="297">
        <f>IFERROR(RANK(VLOOKUP($G1200,連買!$A:$D,4,0),連買!$D:$D,0),"'沒有資料'")</f>
        <v>1713</v>
      </c>
      <c r="S1200" s="66">
        <v>3.2</v>
      </c>
      <c r="T1200" s="353">
        <f t="shared" si="220"/>
        <v>2.8959276018099549E-2</v>
      </c>
      <c r="U1200" s="95">
        <v>7.98</v>
      </c>
      <c r="V1200" s="36">
        <f>RTD("money.excel",,"6761","Price")</f>
        <v>110.5</v>
      </c>
      <c r="W1200" s="66"/>
      <c r="X1200" s="15">
        <f t="shared" si="217"/>
        <v>110.5</v>
      </c>
      <c r="Y1200" s="3" t="e">
        <f t="shared" si="218"/>
        <v>#DIV/0!</v>
      </c>
      <c r="Z1200" s="413" t="s">
        <v>1831</v>
      </c>
      <c r="AA1200" s="161">
        <v>0</v>
      </c>
      <c r="AB1200" s="409">
        <v>0</v>
      </c>
      <c r="AC1200" s="259">
        <f t="shared" si="222"/>
        <v>0</v>
      </c>
      <c r="AD1200" s="16" t="s">
        <v>3769</v>
      </c>
      <c r="AG1200" s="33">
        <f t="shared" si="219"/>
        <v>0</v>
      </c>
      <c r="AH1200" s="43" t="s">
        <v>3770</v>
      </c>
      <c r="AI1200" s="63">
        <f t="shared" si="221"/>
        <v>5.0209205020920506E-4</v>
      </c>
      <c r="AJ1200" s="307">
        <f>RTD("money.excel",,$G1200,"PredictVolume")</f>
        <v>12</v>
      </c>
      <c r="AK1200" s="339"/>
    </row>
    <row r="1201" spans="1:37">
      <c r="A1201" s="415">
        <v>8.5399999999999991</v>
      </c>
      <c r="B1201" s="79">
        <v>278</v>
      </c>
      <c r="C1201" s="79">
        <v>223</v>
      </c>
      <c r="D1201" s="80">
        <v>-1</v>
      </c>
      <c r="E1201" s="79">
        <v>130</v>
      </c>
      <c r="F1201" s="57">
        <v>27.09</v>
      </c>
      <c r="G1201" s="79">
        <v>6781</v>
      </c>
      <c r="H1201" s="8" t="s">
        <v>310</v>
      </c>
      <c r="I1201" s="22" t="s">
        <v>3309</v>
      </c>
      <c r="J1201" s="323">
        <v>79.290000000000006</v>
      </c>
      <c r="K1201" s="73">
        <v>81.45</v>
      </c>
      <c r="L1201" s="323">
        <v>3.18</v>
      </c>
      <c r="M1201" s="323">
        <v>60.04</v>
      </c>
      <c r="N1201" s="73">
        <f t="shared" si="223"/>
        <v>223.96</v>
      </c>
      <c r="O1201" s="81">
        <f>IFERROR(VLOOKUP($G1201,'321買'!A:E,3,0),"'沒有資料'")</f>
        <v>12</v>
      </c>
      <c r="P1201" s="380">
        <f>IFERROR(VLOOKUP($G1201,'321買'!$A:$G,7,0),"'沒有資料'")</f>
        <v>387</v>
      </c>
      <c r="Q1201" s="245" t="s">
        <v>3815</v>
      </c>
      <c r="R1201" s="297">
        <f>IFERROR(RANK(VLOOKUP($G1201,連買!$A:$D,4,0),連買!$D:$D,0),"'沒有資料'")</f>
        <v>1750</v>
      </c>
      <c r="S1201" s="66">
        <v>5.3</v>
      </c>
      <c r="T1201" s="353">
        <f t="shared" si="220"/>
        <v>4.7747747747747746E-3</v>
      </c>
      <c r="U1201" s="57">
        <v>28.89</v>
      </c>
      <c r="V1201" s="155">
        <f>RTD("money.excel",,"6781","Price")</f>
        <v>1110</v>
      </c>
      <c r="W1201" s="66"/>
      <c r="X1201" s="141">
        <f t="shared" si="217"/>
        <v>1110</v>
      </c>
      <c r="Y1201" s="3" t="e">
        <f t="shared" si="218"/>
        <v>#DIV/0!</v>
      </c>
      <c r="Z1201" s="413" t="s">
        <v>1997</v>
      </c>
      <c r="AA1201" s="161">
        <v>0</v>
      </c>
      <c r="AB1201" s="409">
        <v>0</v>
      </c>
      <c r="AC1201" s="259">
        <f t="shared" si="222"/>
        <v>0</v>
      </c>
      <c r="AD1201" s="22" t="s">
        <v>3309</v>
      </c>
      <c r="AG1201" s="33">
        <f t="shared" si="219"/>
        <v>0</v>
      </c>
      <c r="AH1201" s="43" t="s">
        <v>3315</v>
      </c>
      <c r="AI1201" s="63">
        <f t="shared" si="221"/>
        <v>7.3185011709601885E-3</v>
      </c>
      <c r="AJ1201" s="307">
        <f>RTD("money.excel",,$G1201,"PredictVolume")</f>
        <v>625</v>
      </c>
      <c r="AK1201" s="339"/>
    </row>
    <row r="1202" spans="1:37">
      <c r="A1202" s="416">
        <v>5.98</v>
      </c>
      <c r="B1202" s="80">
        <v>-198</v>
      </c>
      <c r="C1202" s="80">
        <v>-159</v>
      </c>
      <c r="D1202" s="79">
        <v>96</v>
      </c>
      <c r="E1202" s="80">
        <v>-67</v>
      </c>
      <c r="F1202" s="6">
        <v>-24.23</v>
      </c>
      <c r="G1202" s="79">
        <v>8038</v>
      </c>
      <c r="H1202" s="8" t="s">
        <v>310</v>
      </c>
      <c r="I1202" s="24" t="s">
        <v>245</v>
      </c>
      <c r="J1202" s="323">
        <v>24.16</v>
      </c>
      <c r="K1202" s="73">
        <v>2.33</v>
      </c>
      <c r="N1202" s="318">
        <f t="shared" si="223"/>
        <v>26.490000000000002</v>
      </c>
      <c r="O1202" s="81" t="str">
        <f>IFERROR(VLOOKUP($G1202,'321買'!A:E,3,0),"'沒有資料'")</f>
        <v>'沒有資料'</v>
      </c>
      <c r="P1202" s="380" t="str">
        <f>IFERROR(VLOOKUP($G1202,'321買'!$A:$G,7,0),"'沒有資料'")</f>
        <v>'沒有資料'</v>
      </c>
      <c r="R1202" s="297">
        <f>IFERROR(RANK(VLOOKUP($G1202,連買!$A:$D,4,0),連買!$D:$D,0),"'沒有資料'")</f>
        <v>639</v>
      </c>
      <c r="S1202" s="34">
        <v>0</v>
      </c>
      <c r="T1202" s="353">
        <f t="shared" si="220"/>
        <v>0</v>
      </c>
      <c r="U1202" s="95">
        <v>-1</v>
      </c>
      <c r="V1202" s="36">
        <f>RTD("money.excel",,"8038","Price")</f>
        <v>41.2</v>
      </c>
      <c r="W1202" s="66"/>
      <c r="X1202" s="15">
        <f t="shared" si="217"/>
        <v>41.2</v>
      </c>
      <c r="Y1202" s="3" t="e">
        <f t="shared" si="218"/>
        <v>#DIV/0!</v>
      </c>
      <c r="Z1202" s="413" t="s">
        <v>1801</v>
      </c>
      <c r="AA1202" s="161">
        <v>0</v>
      </c>
      <c r="AB1202" s="409">
        <v>0</v>
      </c>
      <c r="AC1202" s="259">
        <f t="shared" si="222"/>
        <v>0</v>
      </c>
      <c r="AD1202" s="24" t="s">
        <v>245</v>
      </c>
      <c r="AG1202" s="33">
        <f t="shared" si="219"/>
        <v>0</v>
      </c>
      <c r="AH1202" s="122" t="s">
        <v>2473</v>
      </c>
      <c r="AI1202" s="63">
        <f t="shared" si="221"/>
        <v>6.9899665551839459E-3</v>
      </c>
      <c r="AJ1202" s="307">
        <f>RTD("money.excel",,$G1202,"PredictVolume")</f>
        <v>418</v>
      </c>
      <c r="AK1202" s="339"/>
    </row>
    <row r="1203" spans="1:37">
      <c r="A1203" s="416">
        <v>20.9</v>
      </c>
      <c r="B1203" s="80">
        <v>-6</v>
      </c>
      <c r="C1203" s="79">
        <v>88</v>
      </c>
      <c r="D1203" s="79">
        <v>11</v>
      </c>
      <c r="E1203" s="79">
        <v>38</v>
      </c>
      <c r="F1203" s="6">
        <v>9.74</v>
      </c>
      <c r="G1203" s="79">
        <v>8039</v>
      </c>
      <c r="H1203" s="8" t="s">
        <v>310</v>
      </c>
      <c r="I1203" s="22" t="s">
        <v>4937</v>
      </c>
      <c r="J1203" s="323">
        <v>63.93</v>
      </c>
      <c r="K1203" s="73">
        <v>19.989999999999998</v>
      </c>
      <c r="L1203" s="73">
        <v>6.44</v>
      </c>
      <c r="N1203" s="318">
        <f t="shared" si="223"/>
        <v>90.36</v>
      </c>
      <c r="O1203" s="81">
        <f>IFERROR(VLOOKUP($G1203,'321買'!A:E,3,0),"'沒有資料'")</f>
        <v>3</v>
      </c>
      <c r="P1203" s="380">
        <f>IFERROR(VLOOKUP($G1203,'321買'!$A:$G,7,0),"'沒有資料'")</f>
        <v>636</v>
      </c>
      <c r="R1203" s="297">
        <f>IFERROR(RANK(VLOOKUP($G1203,連買!$A:$D,4,0),連買!$D:$D,0),"'沒有資料'")</f>
        <v>1638</v>
      </c>
      <c r="S1203" s="34">
        <v>2.5</v>
      </c>
      <c r="T1203" s="353">
        <f t="shared" si="220"/>
        <v>5.6179775280898875E-2</v>
      </c>
      <c r="U1203" s="95">
        <v>3.7</v>
      </c>
      <c r="V1203" s="36">
        <f>RTD("money.excel",,"8039","Price")</f>
        <v>44.5</v>
      </c>
      <c r="W1203" s="66"/>
      <c r="X1203" s="15">
        <f t="shared" si="217"/>
        <v>44.5</v>
      </c>
      <c r="Y1203" s="3" t="e">
        <f t="shared" si="218"/>
        <v>#DIV/0!</v>
      </c>
      <c r="Z1203" s="413" t="s">
        <v>1801</v>
      </c>
      <c r="AA1203" s="161">
        <v>0</v>
      </c>
      <c r="AB1203" s="409">
        <v>0</v>
      </c>
      <c r="AC1203" s="259">
        <f t="shared" si="222"/>
        <v>0</v>
      </c>
      <c r="AD1203" s="22" t="s">
        <v>4937</v>
      </c>
      <c r="AG1203" s="33">
        <f t="shared" si="219"/>
        <v>0</v>
      </c>
      <c r="AH1203" s="122" t="s">
        <v>2077</v>
      </c>
      <c r="AI1203" s="63">
        <f t="shared" si="221"/>
        <v>7.5119617224880385E-4</v>
      </c>
      <c r="AJ1203" s="307">
        <f>RTD("money.excel",,$G1203,"PredictVolume")</f>
        <v>157</v>
      </c>
      <c r="AK1203" s="339"/>
    </row>
    <row r="1204" spans="1:37">
      <c r="A1204" s="416">
        <v>12.5</v>
      </c>
      <c r="B1204" s="79">
        <v>254</v>
      </c>
      <c r="C1204" s="93">
        <v>2329</v>
      </c>
      <c r="D1204" s="80">
        <v>-1</v>
      </c>
      <c r="E1204" s="79">
        <v>35</v>
      </c>
      <c r="F1204" s="6">
        <v>4.6900000000000004</v>
      </c>
      <c r="G1204" s="79">
        <v>8042</v>
      </c>
      <c r="H1204" s="8" t="s">
        <v>310</v>
      </c>
      <c r="I1204" s="16" t="s">
        <v>4938</v>
      </c>
      <c r="J1204" s="73">
        <v>55.77</v>
      </c>
      <c r="K1204" s="323">
        <v>5.67</v>
      </c>
      <c r="L1204" s="323">
        <v>3.37</v>
      </c>
      <c r="N1204" s="318">
        <f t="shared" si="223"/>
        <v>64.81</v>
      </c>
      <c r="O1204" s="81" t="str">
        <f>IFERROR(VLOOKUP($G1204,'321買'!A:E,3,0),"'沒有資料'")</f>
        <v>'沒有資料'</v>
      </c>
      <c r="P1204" s="380" t="str">
        <f>IFERROR(VLOOKUP($G1204,'321買'!$A:$G,7,0),"'沒有資料'")</f>
        <v>'沒有資料'</v>
      </c>
      <c r="R1204" s="297">
        <f>IFERROR(RANK(VLOOKUP($G1204,連買!$A:$D,4,0),連買!$D:$D,0),"'沒有資料'")</f>
        <v>1259</v>
      </c>
      <c r="S1204" s="34">
        <v>0.3</v>
      </c>
      <c r="T1204" s="353">
        <f t="shared" si="220"/>
        <v>7.2376357056694804E-3</v>
      </c>
      <c r="U1204" s="57">
        <v>0.09</v>
      </c>
      <c r="V1204" s="36">
        <f>RTD("money.excel",,"8042","Price")</f>
        <v>41.45</v>
      </c>
      <c r="W1204" s="66"/>
      <c r="X1204" s="15">
        <f t="shared" si="217"/>
        <v>41.45</v>
      </c>
      <c r="Y1204" s="3" t="e">
        <f t="shared" si="218"/>
        <v>#DIV/0!</v>
      </c>
      <c r="Z1204" s="413" t="s">
        <v>1801</v>
      </c>
      <c r="AA1204" s="161">
        <v>0</v>
      </c>
      <c r="AB1204" s="409">
        <v>0</v>
      </c>
      <c r="AC1204" s="259">
        <f t="shared" si="222"/>
        <v>0</v>
      </c>
      <c r="AD1204" s="16" t="s">
        <v>4938</v>
      </c>
      <c r="AG1204" s="33">
        <f t="shared" si="219"/>
        <v>0</v>
      </c>
      <c r="AH1204" s="120" t="s">
        <v>2513</v>
      </c>
      <c r="AI1204" s="63">
        <f t="shared" si="221"/>
        <v>1.2E-4</v>
      </c>
      <c r="AJ1204" s="307">
        <f>RTD("money.excel",,$G1204,"PredictVolume")</f>
        <v>15</v>
      </c>
      <c r="AK1204" s="339"/>
    </row>
    <row r="1205" spans="1:37">
      <c r="A1205" s="416">
        <v>7.99</v>
      </c>
      <c r="B1205" s="80">
        <v>-81</v>
      </c>
      <c r="C1205" s="80">
        <v>-41</v>
      </c>
      <c r="D1205" s="80">
        <v>-39</v>
      </c>
      <c r="E1205" s="80">
        <v>-15</v>
      </c>
      <c r="F1205" s="6">
        <v>1.1399999999999999</v>
      </c>
      <c r="G1205" s="79">
        <v>8043</v>
      </c>
      <c r="H1205" s="8" t="s">
        <v>310</v>
      </c>
      <c r="I1205" s="16" t="s">
        <v>4939</v>
      </c>
      <c r="J1205" s="73">
        <v>56.79</v>
      </c>
      <c r="K1205" s="323">
        <v>0.31</v>
      </c>
      <c r="L1205" s="73">
        <v>12.85</v>
      </c>
      <c r="N1205" s="318">
        <f t="shared" si="223"/>
        <v>69.95</v>
      </c>
      <c r="O1205" s="81">
        <f>IFERROR(VLOOKUP($G1205,'321買'!A:E,3,0),"'沒有資料'")</f>
        <v>4</v>
      </c>
      <c r="P1205" s="380">
        <f>IFERROR(VLOOKUP($G1205,'321買'!$A:$G,7,0),"'沒有資料'")</f>
        <v>558</v>
      </c>
      <c r="R1205" s="297">
        <f>IFERROR(RANK(VLOOKUP($G1205,連買!$A:$D,4,0),連買!$D:$D,0),"'沒有資料'")</f>
        <v>743</v>
      </c>
      <c r="S1205" s="34">
        <v>0.2</v>
      </c>
      <c r="T1205" s="353">
        <f t="shared" si="220"/>
        <v>8.0645161290322578E-3</v>
      </c>
      <c r="U1205" s="57">
        <v>0.37</v>
      </c>
      <c r="V1205" s="36">
        <f>RTD("money.excel",,"8043","Price")</f>
        <v>24.8</v>
      </c>
      <c r="W1205" s="66"/>
      <c r="X1205" s="15">
        <f t="shared" si="217"/>
        <v>24.8</v>
      </c>
      <c r="Y1205" s="3" t="e">
        <f t="shared" si="218"/>
        <v>#DIV/0!</v>
      </c>
      <c r="AA1205" s="161">
        <v>0</v>
      </c>
      <c r="AB1205" s="409">
        <v>0</v>
      </c>
      <c r="AC1205" s="259">
        <f t="shared" si="222"/>
        <v>0</v>
      </c>
      <c r="AD1205" s="16" t="s">
        <v>4939</v>
      </c>
      <c r="AG1205" s="33">
        <f t="shared" si="219"/>
        <v>0</v>
      </c>
      <c r="AH1205" s="43" t="s">
        <v>2607</v>
      </c>
      <c r="AI1205" s="63">
        <f t="shared" si="221"/>
        <v>1.4142678347934918E-3</v>
      </c>
      <c r="AJ1205" s="307">
        <f>RTD("money.excel",,$G1205,"PredictVolume")</f>
        <v>113</v>
      </c>
      <c r="AK1205" s="339"/>
    </row>
    <row r="1206" spans="1:37">
      <c r="A1206" s="415">
        <v>64.599999999999994</v>
      </c>
      <c r="B1206" s="79">
        <v>188</v>
      </c>
      <c r="C1206" s="79">
        <v>213</v>
      </c>
      <c r="D1206" s="79">
        <v>26</v>
      </c>
      <c r="E1206" s="79">
        <v>34</v>
      </c>
      <c r="F1206" s="57">
        <v>24.64</v>
      </c>
      <c r="G1206" s="79">
        <v>8046</v>
      </c>
      <c r="H1206" s="8" t="s">
        <v>310</v>
      </c>
      <c r="I1206" s="22" t="s">
        <v>280</v>
      </c>
      <c r="J1206" s="73">
        <v>86.54</v>
      </c>
      <c r="K1206" s="323">
        <v>17.77</v>
      </c>
      <c r="L1206" s="73">
        <v>3.12</v>
      </c>
      <c r="M1206" s="323">
        <v>67</v>
      </c>
      <c r="N1206" s="73">
        <f t="shared" si="223"/>
        <v>174.43</v>
      </c>
      <c r="O1206" s="81">
        <f>IFERROR(VLOOKUP($G1206,'321買'!A:E,3,0),"'沒有資料'")</f>
        <v>9</v>
      </c>
      <c r="P1206" s="380">
        <f>IFERROR(VLOOKUP($G1206,'321買'!$A:$G,7,0),"'沒有資料'")</f>
        <v>448</v>
      </c>
      <c r="Q1206" s="245" t="s">
        <v>8635</v>
      </c>
      <c r="R1206" s="297">
        <f>IFERROR(RANK(VLOOKUP($G1206,連買!$A:$D,4,0),連買!$D:$D,0),"'沒有資料'")</f>
        <v>20</v>
      </c>
      <c r="S1206" s="45">
        <v>10</v>
      </c>
      <c r="T1206" s="353">
        <f t="shared" si="220"/>
        <v>2.1413276231263382E-2</v>
      </c>
      <c r="U1206" s="57">
        <v>16.38</v>
      </c>
      <c r="V1206" s="36">
        <f>RTD("money.excel",,"8046","Price")</f>
        <v>467</v>
      </c>
      <c r="W1206" s="66"/>
      <c r="X1206" s="15">
        <f t="shared" si="217"/>
        <v>467</v>
      </c>
      <c r="Y1206" s="3" t="e">
        <f t="shared" si="218"/>
        <v>#DIV/0!</v>
      </c>
      <c r="Z1206" s="413" t="s">
        <v>8637</v>
      </c>
      <c r="AA1206" s="161">
        <v>0</v>
      </c>
      <c r="AB1206" s="409">
        <v>0</v>
      </c>
      <c r="AC1206" s="259">
        <f t="shared" si="222"/>
        <v>0</v>
      </c>
      <c r="AD1206" s="22" t="s">
        <v>280</v>
      </c>
      <c r="AG1206" s="33">
        <f t="shared" si="219"/>
        <v>0</v>
      </c>
      <c r="AH1206" s="120" t="s">
        <v>2488</v>
      </c>
      <c r="AI1206" s="63">
        <f t="shared" si="221"/>
        <v>4.1873065015479872E-3</v>
      </c>
      <c r="AJ1206" s="307">
        <f>RTD("money.excel",,$G1206,"PredictVolume")</f>
        <v>2705</v>
      </c>
      <c r="AK1206" s="339">
        <v>10.16</v>
      </c>
    </row>
    <row r="1207" spans="1:37">
      <c r="A1207" s="416">
        <v>5.19</v>
      </c>
      <c r="B1207" s="91">
        <v>-59</v>
      </c>
      <c r="C1207" s="91">
        <v>-53</v>
      </c>
      <c r="D1207" s="91">
        <v>-18</v>
      </c>
      <c r="E1207" s="91">
        <v>13</v>
      </c>
      <c r="F1207" s="6">
        <v>5.57</v>
      </c>
      <c r="G1207" s="79">
        <v>8071</v>
      </c>
      <c r="H1207" s="8" t="s">
        <v>310</v>
      </c>
      <c r="I1207" s="16" t="s">
        <v>3160</v>
      </c>
      <c r="J1207" s="73">
        <v>45.66</v>
      </c>
      <c r="K1207" s="73">
        <v>4.0599999999999996</v>
      </c>
      <c r="L1207" s="73">
        <v>22.5</v>
      </c>
      <c r="N1207" s="318">
        <f t="shared" si="223"/>
        <v>72.22</v>
      </c>
      <c r="O1207" s="81">
        <f>IFERROR(VLOOKUP($G1207,'321買'!A:E,3,0),"'沒有資料'")</f>
        <v>18</v>
      </c>
      <c r="P1207" s="380">
        <f>IFERROR(VLOOKUP($G1207,'321買'!$A:$G,7,0),"'沒有資料'")</f>
        <v>258</v>
      </c>
      <c r="R1207" s="297">
        <f>IFERROR(RANK(VLOOKUP($G1207,連買!$A:$D,4,0),連買!$D:$D,0),"'沒有資料'")</f>
        <v>1044</v>
      </c>
      <c r="S1207" s="34">
        <v>0.5</v>
      </c>
      <c r="T1207" s="353">
        <f t="shared" si="220"/>
        <v>2.2831050228310504E-2</v>
      </c>
      <c r="U1207" s="95">
        <v>0.28000000000000003</v>
      </c>
      <c r="V1207" s="36">
        <f>RTD("money.excel",,"8071","Price")</f>
        <v>21.9</v>
      </c>
      <c r="W1207" s="66"/>
      <c r="X1207" s="15">
        <f t="shared" si="217"/>
        <v>21.9</v>
      </c>
      <c r="Y1207" s="3" t="e">
        <f t="shared" si="218"/>
        <v>#DIV/0!</v>
      </c>
      <c r="AA1207" s="161">
        <v>0</v>
      </c>
      <c r="AB1207" s="409">
        <v>0</v>
      </c>
      <c r="AC1207" s="259">
        <f t="shared" si="222"/>
        <v>0</v>
      </c>
      <c r="AD1207" s="16" t="s">
        <v>3160</v>
      </c>
      <c r="AG1207" s="33">
        <f t="shared" si="219"/>
        <v>0</v>
      </c>
      <c r="AH1207" s="43" t="s">
        <v>2608</v>
      </c>
      <c r="AI1207" s="63">
        <f t="shared" si="221"/>
        <v>5.6878612716762998E-2</v>
      </c>
      <c r="AJ1207" s="307">
        <f>RTD("money.excel",,$G1207,"PredictVolume")</f>
        <v>2952</v>
      </c>
      <c r="AK1207" s="339"/>
    </row>
    <row r="1208" spans="1:37">
      <c r="A1208" s="416">
        <v>8.7100000000000009</v>
      </c>
      <c r="B1208" s="80">
        <v>-69</v>
      </c>
      <c r="C1208" s="80">
        <v>-81</v>
      </c>
      <c r="D1208" s="80">
        <v>-8</v>
      </c>
      <c r="E1208" s="80">
        <v>-3</v>
      </c>
      <c r="F1208" s="6">
        <v>1.8</v>
      </c>
      <c r="G1208" s="79">
        <v>8074</v>
      </c>
      <c r="H1208" s="8" t="s">
        <v>310</v>
      </c>
      <c r="I1208" s="16" t="s">
        <v>442</v>
      </c>
      <c r="J1208" s="73">
        <v>40.950000000000003</v>
      </c>
      <c r="K1208" s="323">
        <v>2.94</v>
      </c>
      <c r="L1208" s="73">
        <v>2.99</v>
      </c>
      <c r="N1208" s="318">
        <f t="shared" si="223"/>
        <v>46.88</v>
      </c>
      <c r="O1208" s="81">
        <f>IFERROR(VLOOKUP($G1208,'321買'!A:E,3,0),"'沒有資料'")</f>
        <v>0</v>
      </c>
      <c r="P1208" s="380">
        <f>IFERROR(VLOOKUP($G1208,'321買'!$A:$G,7,0),"'沒有資料'")</f>
        <v>911</v>
      </c>
      <c r="R1208" s="297">
        <f>IFERROR(RANK(VLOOKUP($G1208,連買!$A:$D,4,0),連買!$D:$D,0),"'沒有資料'")</f>
        <v>835</v>
      </c>
      <c r="S1208" s="34">
        <v>1</v>
      </c>
      <c r="T1208" s="353">
        <f t="shared" si="220"/>
        <v>4.2283298097251586E-2</v>
      </c>
      <c r="U1208" s="95">
        <v>0.92</v>
      </c>
      <c r="V1208" s="36">
        <f>RTD("money.excel",,"8074","Price")</f>
        <v>23.65</v>
      </c>
      <c r="W1208" s="66"/>
      <c r="X1208" s="15">
        <f t="shared" ref="X1208:X1222" si="224">V1208-W1208</f>
        <v>23.65</v>
      </c>
      <c r="Y1208" s="3" t="e">
        <f t="shared" ref="Y1208:Y1222" si="225">X1208/W1208</f>
        <v>#DIV/0!</v>
      </c>
      <c r="Z1208" s="413" t="s">
        <v>1801</v>
      </c>
      <c r="AA1208" s="161">
        <v>0</v>
      </c>
      <c r="AB1208" s="409">
        <v>0</v>
      </c>
      <c r="AC1208" s="259">
        <f t="shared" si="222"/>
        <v>0</v>
      </c>
      <c r="AD1208" s="16" t="s">
        <v>442</v>
      </c>
      <c r="AG1208" s="33">
        <f t="shared" ref="AG1208:AG1222" si="226">AF1208-AE1208</f>
        <v>0</v>
      </c>
      <c r="AH1208" s="43" t="s">
        <v>2609</v>
      </c>
      <c r="AI1208" s="63">
        <f t="shared" si="221"/>
        <v>3.9758897818599308E-2</v>
      </c>
      <c r="AJ1208" s="307">
        <f>RTD("money.excel",,$G1208,"PredictVolume")</f>
        <v>3463</v>
      </c>
      <c r="AK1208" s="339"/>
    </row>
    <row r="1209" spans="1:37">
      <c r="A1209" s="416">
        <v>4.03</v>
      </c>
      <c r="B1209" s="91">
        <v>-99</v>
      </c>
      <c r="C1209" s="91">
        <v>-5</v>
      </c>
      <c r="D1209" s="91">
        <v>-31</v>
      </c>
      <c r="E1209" s="140">
        <v>2355</v>
      </c>
      <c r="F1209" s="73">
        <v>-288.55</v>
      </c>
      <c r="G1209" s="79">
        <v>8080</v>
      </c>
      <c r="H1209" s="8" t="s">
        <v>310</v>
      </c>
      <c r="I1209" s="16" t="s">
        <v>3162</v>
      </c>
      <c r="J1209" s="73">
        <v>31.6</v>
      </c>
      <c r="K1209" s="73">
        <v>0.03</v>
      </c>
      <c r="N1209" s="318">
        <f t="shared" si="223"/>
        <v>31.630000000000003</v>
      </c>
      <c r="O1209" s="81" t="str">
        <f>IFERROR(VLOOKUP($G1209,'321買'!A:E,3,0),"'沒有資料'")</f>
        <v>'沒有資料'</v>
      </c>
      <c r="P1209" s="380" t="str">
        <f>IFERROR(VLOOKUP($G1209,'321買'!$A:$G,7,0),"'沒有資料'")</f>
        <v>'沒有資料'</v>
      </c>
      <c r="R1209" s="297">
        <f>IFERROR(RANK(VLOOKUP($G1209,連買!$A:$D,4,0),連買!$D:$D,0),"'沒有資料'")</f>
        <v>1408</v>
      </c>
      <c r="S1209" s="34">
        <v>0</v>
      </c>
      <c r="T1209" s="353" t="e">
        <f t="shared" ref="T1209:T1222" si="227">S1209/V1209</f>
        <v>#VALUE!</v>
      </c>
      <c r="U1209" s="95"/>
      <c r="V1209" s="36" t="str">
        <f>RTD("money.excel",,"8080","Price")</f>
        <v>商品錯誤</v>
      </c>
      <c r="W1209" s="66"/>
      <c r="X1209" s="15" t="e">
        <f t="shared" si="224"/>
        <v>#VALUE!</v>
      </c>
      <c r="Y1209" s="3" t="e">
        <f t="shared" si="225"/>
        <v>#VALUE!</v>
      </c>
      <c r="AA1209" s="161">
        <v>0</v>
      </c>
      <c r="AB1209" s="409">
        <v>0</v>
      </c>
      <c r="AC1209" s="259">
        <f t="shared" si="222"/>
        <v>0</v>
      </c>
      <c r="AD1209" s="16" t="s">
        <v>3162</v>
      </c>
      <c r="AG1209" s="33">
        <f t="shared" si="226"/>
        <v>0</v>
      </c>
      <c r="AH1209" s="43" t="s">
        <v>2610</v>
      </c>
      <c r="AI1209" s="63" t="e">
        <f t="shared" ref="AI1209:AI1222" si="228">AJ1209/(A1209*10000)</f>
        <v>#VALUE!</v>
      </c>
      <c r="AJ1209" s="307" t="str">
        <f>RTD("money.excel",,$G1209,"PredictVolume")</f>
        <v>商品錯誤</v>
      </c>
      <c r="AK1209" s="339"/>
    </row>
    <row r="1210" spans="1:37">
      <c r="A1210" s="415">
        <v>4.5599999999999996</v>
      </c>
      <c r="B1210" s="79">
        <v>23</v>
      </c>
      <c r="C1210" s="80">
        <v>-4</v>
      </c>
      <c r="D1210" s="80">
        <v>-21</v>
      </c>
      <c r="E1210" s="79">
        <v>52</v>
      </c>
      <c r="F1210" s="57">
        <v>16.68</v>
      </c>
      <c r="G1210" s="79">
        <v>8091</v>
      </c>
      <c r="H1210" s="149" t="s">
        <v>310</v>
      </c>
      <c r="I1210" s="16" t="s">
        <v>162</v>
      </c>
      <c r="J1210" s="323">
        <v>25.47</v>
      </c>
      <c r="K1210" s="73">
        <v>9.99</v>
      </c>
      <c r="L1210" s="73">
        <v>21.42</v>
      </c>
      <c r="M1210" s="73">
        <v>10.27</v>
      </c>
      <c r="N1210" s="318">
        <f t="shared" si="223"/>
        <v>67.150000000000006</v>
      </c>
      <c r="O1210" s="81">
        <f>IFERROR(VLOOKUP($G1210,'321買'!A:E,3,0),"'沒有資料'")</f>
        <v>14</v>
      </c>
      <c r="P1210" s="380">
        <f>IFERROR(VLOOKUP($G1210,'321買'!$A:$G,7,0),"'沒有資料'")</f>
        <v>321</v>
      </c>
      <c r="Q1210" s="245" t="s">
        <v>5088</v>
      </c>
      <c r="R1210" s="297">
        <f>IFERROR(RANK(VLOOKUP($G1210,連買!$A:$D,4,0),連買!$D:$D,0),"'沒有資料'")</f>
        <v>285</v>
      </c>
      <c r="S1210" s="66">
        <v>4</v>
      </c>
      <c r="T1210" s="353">
        <f t="shared" si="227"/>
        <v>4.878048780487805E-2</v>
      </c>
      <c r="U1210" s="95">
        <v>5.91</v>
      </c>
      <c r="V1210" s="36">
        <f>RTD("money.excel",,"8091","Price")</f>
        <v>82</v>
      </c>
      <c r="W1210" s="66"/>
      <c r="X1210" s="15">
        <f t="shared" si="224"/>
        <v>82</v>
      </c>
      <c r="Y1210" s="3" t="e">
        <f t="shared" si="225"/>
        <v>#DIV/0!</v>
      </c>
      <c r="Z1210" s="413" t="s">
        <v>1997</v>
      </c>
      <c r="AA1210" s="161">
        <v>0</v>
      </c>
      <c r="AB1210" s="409">
        <v>0</v>
      </c>
      <c r="AC1210" s="259">
        <f t="shared" si="222"/>
        <v>0</v>
      </c>
      <c r="AD1210" s="16" t="s">
        <v>162</v>
      </c>
      <c r="AG1210" s="33">
        <f t="shared" si="226"/>
        <v>0</v>
      </c>
      <c r="AH1210" s="120" t="s">
        <v>2611</v>
      </c>
      <c r="AI1210" s="63">
        <f t="shared" si="228"/>
        <v>5.8114035087719305E-3</v>
      </c>
      <c r="AJ1210" s="307">
        <f>RTD("money.excel",,$G1210,"PredictVolume")</f>
        <v>265</v>
      </c>
      <c r="AK1210" s="339">
        <v>12.63</v>
      </c>
    </row>
    <row r="1211" spans="1:37">
      <c r="A1211" s="416">
        <v>6.42</v>
      </c>
      <c r="B1211" s="91">
        <v>108</v>
      </c>
      <c r="C1211" s="91">
        <v>99</v>
      </c>
      <c r="D1211" s="91">
        <v>-3</v>
      </c>
      <c r="E1211" s="91">
        <v>52</v>
      </c>
      <c r="F1211" s="6">
        <v>-4.6500000000000004</v>
      </c>
      <c r="G1211" s="79">
        <v>8093</v>
      </c>
      <c r="H1211" s="8" t="s">
        <v>310</v>
      </c>
      <c r="I1211" s="16" t="s">
        <v>4940</v>
      </c>
      <c r="J1211" s="73">
        <v>52.19</v>
      </c>
      <c r="K1211" s="73">
        <v>0.01</v>
      </c>
      <c r="N1211" s="318">
        <f t="shared" si="223"/>
        <v>52.199999999999996</v>
      </c>
      <c r="O1211" s="81">
        <f>IFERROR(VLOOKUP($G1211,'321買'!A:E,3,0),"'沒有資料'")</f>
        <v>0</v>
      </c>
      <c r="P1211" s="380">
        <f>IFERROR(VLOOKUP($G1211,'321買'!$A:$G,7,0),"'沒有資料'")</f>
        <v>911</v>
      </c>
      <c r="R1211" s="297">
        <f>IFERROR(RANK(VLOOKUP($G1211,連買!$A:$D,4,0),連買!$D:$D,0),"'沒有資料'")</f>
        <v>1296</v>
      </c>
      <c r="S1211" s="34">
        <v>0</v>
      </c>
      <c r="T1211" s="353">
        <f t="shared" si="227"/>
        <v>0</v>
      </c>
      <c r="U1211" s="95">
        <v>0.31</v>
      </c>
      <c r="V1211" s="13">
        <f>RTD("money.excel",,"8093","Price")</f>
        <v>8.0500000000000007</v>
      </c>
      <c r="W1211" s="66"/>
      <c r="X1211" s="15">
        <f t="shared" si="224"/>
        <v>8.0500000000000007</v>
      </c>
      <c r="Y1211" s="3" t="e">
        <f t="shared" si="225"/>
        <v>#DIV/0!</v>
      </c>
      <c r="AA1211" s="161">
        <v>0</v>
      </c>
      <c r="AB1211" s="409">
        <v>0</v>
      </c>
      <c r="AC1211" s="259">
        <f t="shared" si="222"/>
        <v>0</v>
      </c>
      <c r="AD1211" s="16" t="s">
        <v>4940</v>
      </c>
      <c r="AG1211" s="33">
        <f t="shared" si="226"/>
        <v>0</v>
      </c>
      <c r="AH1211" s="43" t="s">
        <v>2612</v>
      </c>
      <c r="AI1211" s="63">
        <f t="shared" si="228"/>
        <v>4.9844236760124608E-4</v>
      </c>
      <c r="AJ1211" s="307">
        <f>RTD("money.excel",,$G1211,"PredictVolume")</f>
        <v>32</v>
      </c>
      <c r="AK1211" s="339"/>
    </row>
    <row r="1212" spans="1:37">
      <c r="A1212" s="415">
        <v>7.9</v>
      </c>
      <c r="B1212" s="79">
        <v>38</v>
      </c>
      <c r="C1212" s="79">
        <v>42</v>
      </c>
      <c r="D1212" s="80">
        <v>-11</v>
      </c>
      <c r="E1212" s="80">
        <v>-8</v>
      </c>
      <c r="F1212" s="57">
        <v>11.05</v>
      </c>
      <c r="G1212" s="79">
        <v>8103</v>
      </c>
      <c r="H1212" s="8" t="s">
        <v>310</v>
      </c>
      <c r="I1212" s="22" t="s">
        <v>402</v>
      </c>
      <c r="J1212" s="323">
        <v>32.979999999999997</v>
      </c>
      <c r="K1212" s="323">
        <v>7.45</v>
      </c>
      <c r="L1212" s="323">
        <v>21.11</v>
      </c>
      <c r="N1212" s="318">
        <f t="shared" si="223"/>
        <v>61.54</v>
      </c>
      <c r="O1212" s="81">
        <f>IFERROR(VLOOKUP($G1212,'321買'!A:E,3,0),"'沒有資料'")</f>
        <v>44</v>
      </c>
      <c r="P1212" s="380">
        <f>IFERROR(VLOOKUP($G1212,'321買'!$A:$G,7,0),"'沒有資料'")</f>
        <v>93</v>
      </c>
      <c r="R1212" s="297">
        <f>IFERROR(RANK(VLOOKUP($G1212,連買!$A:$D,4,0),連買!$D:$D,0),"'沒有資料'")</f>
        <v>452</v>
      </c>
      <c r="S1212" s="34">
        <v>1.4</v>
      </c>
      <c r="T1212" s="353">
        <f t="shared" si="227"/>
        <v>3.236994219653179E-2</v>
      </c>
      <c r="U1212" s="95">
        <v>2.69</v>
      </c>
      <c r="V1212" s="36">
        <f>RTD("money.excel",,"8103","Price")</f>
        <v>43.25</v>
      </c>
      <c r="W1212" s="66"/>
      <c r="X1212" s="15">
        <f t="shared" si="224"/>
        <v>43.25</v>
      </c>
      <c r="Y1212" s="3" t="e">
        <f t="shared" si="225"/>
        <v>#DIV/0!</v>
      </c>
      <c r="AA1212" s="161">
        <v>0</v>
      </c>
      <c r="AB1212" s="409">
        <v>0</v>
      </c>
      <c r="AC1212" s="259">
        <f t="shared" si="222"/>
        <v>0</v>
      </c>
      <c r="AD1212" s="22" t="s">
        <v>402</v>
      </c>
      <c r="AG1212" s="33">
        <f t="shared" si="226"/>
        <v>0</v>
      </c>
      <c r="AH1212" s="43" t="s">
        <v>2016</v>
      </c>
      <c r="AI1212" s="63">
        <f t="shared" si="228"/>
        <v>3.3670886075949369E-3</v>
      </c>
      <c r="AJ1212" s="307">
        <f>RTD("money.excel",,$G1212,"PredictVolume")</f>
        <v>266</v>
      </c>
      <c r="AK1212" s="339"/>
    </row>
    <row r="1213" spans="1:37">
      <c r="A1213" s="415">
        <v>7.76</v>
      </c>
      <c r="B1213" s="79">
        <v>31</v>
      </c>
      <c r="C1213" s="79">
        <v>38</v>
      </c>
      <c r="D1213" s="79">
        <v>2</v>
      </c>
      <c r="E1213" s="79">
        <v>16</v>
      </c>
      <c r="F1213" s="57">
        <v>36.28</v>
      </c>
      <c r="G1213" s="79">
        <v>8109</v>
      </c>
      <c r="H1213" s="8" t="s">
        <v>310</v>
      </c>
      <c r="I1213" s="16" t="s">
        <v>443</v>
      </c>
      <c r="J1213" s="73">
        <v>36.71</v>
      </c>
      <c r="K1213" s="323">
        <v>1.93</v>
      </c>
      <c r="L1213" s="323">
        <v>0.83</v>
      </c>
      <c r="N1213" s="318">
        <f t="shared" si="223"/>
        <v>39.47</v>
      </c>
      <c r="O1213" s="81">
        <f>IFERROR(VLOOKUP($G1213,'321買'!A:E,3,0),"'沒有資料'")</f>
        <v>0</v>
      </c>
      <c r="P1213" s="380">
        <f>IFERROR(VLOOKUP($G1213,'321買'!$A:$G,7,0),"'沒有資料'")</f>
        <v>911</v>
      </c>
      <c r="R1213" s="297">
        <f>IFERROR(RANK(VLOOKUP($G1213,連買!$A:$D,4,0),連買!$D:$D,0),"'沒有資料'")</f>
        <v>307</v>
      </c>
      <c r="S1213" s="66">
        <v>3.5</v>
      </c>
      <c r="T1213" s="353">
        <f t="shared" si="227"/>
        <v>4.7619047619047616E-2</v>
      </c>
      <c r="U1213" s="95">
        <v>5.03</v>
      </c>
      <c r="V1213" s="36">
        <f>RTD("money.excel",,"8109","Price")</f>
        <v>73.5</v>
      </c>
      <c r="W1213" s="66"/>
      <c r="X1213" s="15">
        <f t="shared" si="224"/>
        <v>73.5</v>
      </c>
      <c r="Y1213" s="3" t="e">
        <f t="shared" si="225"/>
        <v>#DIV/0!</v>
      </c>
      <c r="Z1213" s="413" t="s">
        <v>1997</v>
      </c>
      <c r="AA1213" s="161">
        <v>0</v>
      </c>
      <c r="AB1213" s="409">
        <v>0</v>
      </c>
      <c r="AC1213" s="259">
        <f t="shared" si="222"/>
        <v>0</v>
      </c>
      <c r="AD1213" s="16" t="s">
        <v>443</v>
      </c>
      <c r="AG1213" s="33">
        <f t="shared" si="226"/>
        <v>0</v>
      </c>
      <c r="AH1213" s="43" t="s">
        <v>2612</v>
      </c>
      <c r="AI1213" s="63">
        <f t="shared" si="228"/>
        <v>7.7319587628865976E-4</v>
      </c>
      <c r="AJ1213" s="307">
        <f>RTD("money.excel",,$G1213,"PredictVolume")</f>
        <v>60</v>
      </c>
      <c r="AK1213" s="339"/>
    </row>
    <row r="1214" spans="1:37">
      <c r="A1214" s="416">
        <v>18.3</v>
      </c>
      <c r="B1214" s="91">
        <v>161</v>
      </c>
      <c r="C1214" s="91">
        <v>317</v>
      </c>
      <c r="D1214" s="91">
        <v>15</v>
      </c>
      <c r="E1214" s="91">
        <v>35</v>
      </c>
      <c r="F1214" s="6">
        <v>5.27</v>
      </c>
      <c r="G1214" s="79">
        <v>8121</v>
      </c>
      <c r="H1214" s="8" t="s">
        <v>310</v>
      </c>
      <c r="I1214" s="16" t="s">
        <v>444</v>
      </c>
      <c r="J1214" s="73">
        <v>50.84</v>
      </c>
      <c r="K1214" s="73">
        <v>0.7</v>
      </c>
      <c r="N1214" s="318">
        <f t="shared" si="223"/>
        <v>51.540000000000006</v>
      </c>
      <c r="O1214" s="81">
        <f>IFERROR(VLOOKUP($G1214,'321買'!A:E,3,0),"'沒有資料'")</f>
        <v>6</v>
      </c>
      <c r="P1214" s="380">
        <f>IFERROR(VLOOKUP($G1214,'321買'!$A:$G,7,0),"'沒有資料'")</f>
        <v>521</v>
      </c>
      <c r="R1214" s="297">
        <f>IFERROR(RANK(VLOOKUP($G1214,連買!$A:$D,4,0),連買!$D:$D,0),"'沒有資料'")</f>
        <v>920</v>
      </c>
      <c r="S1214" s="34">
        <v>0</v>
      </c>
      <c r="T1214" s="353">
        <f t="shared" si="227"/>
        <v>0</v>
      </c>
      <c r="U1214" s="95">
        <v>0.18</v>
      </c>
      <c r="V1214" s="13">
        <f>RTD("money.excel",,"8121","Price")</f>
        <v>36</v>
      </c>
      <c r="W1214" s="66"/>
      <c r="X1214" s="15">
        <f t="shared" si="224"/>
        <v>36</v>
      </c>
      <c r="Y1214" s="3" t="e">
        <f t="shared" si="225"/>
        <v>#DIV/0!</v>
      </c>
      <c r="AA1214" s="161">
        <v>0</v>
      </c>
      <c r="AB1214" s="409">
        <v>0</v>
      </c>
      <c r="AC1214" s="259">
        <f t="shared" si="222"/>
        <v>0</v>
      </c>
      <c r="AD1214" s="16" t="s">
        <v>444</v>
      </c>
      <c r="AG1214" s="33">
        <f t="shared" si="226"/>
        <v>0</v>
      </c>
      <c r="AH1214" s="43" t="s">
        <v>2613</v>
      </c>
      <c r="AI1214" s="63">
        <f t="shared" si="228"/>
        <v>5.9180327868852455E-3</v>
      </c>
      <c r="AJ1214" s="307">
        <f>RTD("money.excel",,$G1214,"PredictVolume")</f>
        <v>1083</v>
      </c>
      <c r="AK1214" s="339"/>
    </row>
    <row r="1215" spans="1:37">
      <c r="A1215" s="416">
        <v>3.09</v>
      </c>
      <c r="B1215" s="79">
        <v>81</v>
      </c>
      <c r="C1215" s="79">
        <v>228</v>
      </c>
      <c r="D1215" s="80">
        <v>-17</v>
      </c>
      <c r="E1215" s="80">
        <v>-5</v>
      </c>
      <c r="F1215" s="6">
        <v>7.67</v>
      </c>
      <c r="G1215" s="79">
        <v>8147</v>
      </c>
      <c r="H1215" s="8" t="s">
        <v>310</v>
      </c>
      <c r="I1215" s="16" t="s">
        <v>4941</v>
      </c>
      <c r="J1215" s="323">
        <v>30.76</v>
      </c>
      <c r="K1215" s="73">
        <v>5.58</v>
      </c>
      <c r="L1215" s="323">
        <v>13.32</v>
      </c>
      <c r="M1215" s="323">
        <v>23.81</v>
      </c>
      <c r="N1215" s="318">
        <f t="shared" si="223"/>
        <v>73.47</v>
      </c>
      <c r="O1215" s="81">
        <f>IFERROR(VLOOKUP($G1215,'321買'!A:E,3,0),"'沒有資料'")</f>
        <v>5</v>
      </c>
      <c r="P1215" s="380">
        <f>IFERROR(VLOOKUP($G1215,'321買'!$A:$G,7,0),"'沒有資料'")</f>
        <v>558</v>
      </c>
      <c r="Q1215" s="245" t="s">
        <v>3816</v>
      </c>
      <c r="R1215" s="297">
        <f>IFERROR(RANK(VLOOKUP($G1215,連買!$A:$D,4,0),連買!$D:$D,0),"'沒有資料'")</f>
        <v>416</v>
      </c>
      <c r="S1215" s="34">
        <v>0.5</v>
      </c>
      <c r="T1215" s="353">
        <f t="shared" si="227"/>
        <v>7.9744816586921844E-3</v>
      </c>
      <c r="U1215" s="95">
        <v>0.96</v>
      </c>
      <c r="V1215" s="36">
        <f>RTD("money.excel",,"8147","Price")</f>
        <v>62.7</v>
      </c>
      <c r="W1215" s="66"/>
      <c r="X1215" s="15">
        <f t="shared" si="224"/>
        <v>62.7</v>
      </c>
      <c r="Y1215" s="3" t="e">
        <f t="shared" si="225"/>
        <v>#DIV/0!</v>
      </c>
      <c r="Z1215" s="413" t="s">
        <v>1801</v>
      </c>
      <c r="AA1215" s="161">
        <v>0</v>
      </c>
      <c r="AB1215" s="409">
        <v>0</v>
      </c>
      <c r="AC1215" s="259">
        <f t="shared" si="222"/>
        <v>0</v>
      </c>
      <c r="AD1215" s="16" t="s">
        <v>4941</v>
      </c>
      <c r="AG1215" s="33">
        <f t="shared" si="226"/>
        <v>0</v>
      </c>
      <c r="AH1215" s="43" t="s">
        <v>2016</v>
      </c>
      <c r="AI1215" s="63">
        <f t="shared" si="228"/>
        <v>1.5533980582524273E-3</v>
      </c>
      <c r="AJ1215" s="307">
        <f>RTD("money.excel",,$G1215,"PredictVolume")</f>
        <v>48</v>
      </c>
      <c r="AK1215" s="339">
        <v>14.85</v>
      </c>
    </row>
    <row r="1216" spans="1:37">
      <c r="A1216" s="415">
        <v>4.9800000000000004</v>
      </c>
      <c r="B1216" s="80">
        <v>-42</v>
      </c>
      <c r="C1216" s="80">
        <v>-44</v>
      </c>
      <c r="D1216" s="80">
        <v>-8</v>
      </c>
      <c r="E1216" s="79">
        <v>64</v>
      </c>
      <c r="F1216" s="57">
        <v>14.35</v>
      </c>
      <c r="G1216" s="79">
        <v>8155</v>
      </c>
      <c r="H1216" s="8" t="s">
        <v>310</v>
      </c>
      <c r="I1216" s="16" t="s">
        <v>84</v>
      </c>
      <c r="J1216" s="323">
        <v>42.85</v>
      </c>
      <c r="K1216" s="73">
        <v>26.54</v>
      </c>
      <c r="L1216" s="323">
        <v>17.829999999999998</v>
      </c>
      <c r="M1216" s="323">
        <v>28.34</v>
      </c>
      <c r="N1216" s="318">
        <f t="shared" si="223"/>
        <v>115.56</v>
      </c>
      <c r="O1216" s="81">
        <f>IFERROR(VLOOKUP($G1216,'321買'!A:E,3,0),"'沒有資料'")</f>
        <v>86</v>
      </c>
      <c r="P1216" s="380">
        <f>IFERROR(VLOOKUP($G1216,'321買'!$A:$G,7,0),"'沒有資料'")</f>
        <v>9</v>
      </c>
      <c r="Q1216" s="245" t="s">
        <v>5088</v>
      </c>
      <c r="R1216" s="297">
        <f>IFERROR(RANK(VLOOKUP($G1216,連買!$A:$D,4,0),連買!$D:$D,0),"'沒有資料'")</f>
        <v>88</v>
      </c>
      <c r="S1216" s="66">
        <v>7</v>
      </c>
      <c r="T1216" s="353">
        <f t="shared" si="227"/>
        <v>3.888888888888889E-2</v>
      </c>
      <c r="U1216" s="95">
        <v>6.99</v>
      </c>
      <c r="V1216" s="36">
        <f>RTD("money.excel",,"8155","Price")</f>
        <v>180</v>
      </c>
      <c r="W1216" s="66"/>
      <c r="X1216" s="15">
        <f t="shared" si="224"/>
        <v>180</v>
      </c>
      <c r="Y1216" s="3" t="e">
        <f t="shared" si="225"/>
        <v>#DIV/0!</v>
      </c>
      <c r="Z1216" s="413" t="s">
        <v>1997</v>
      </c>
      <c r="AA1216" s="161">
        <v>0</v>
      </c>
      <c r="AB1216" s="409">
        <v>0</v>
      </c>
      <c r="AC1216" s="259">
        <f t="shared" si="222"/>
        <v>0</v>
      </c>
      <c r="AD1216" s="16" t="s">
        <v>84</v>
      </c>
      <c r="AG1216" s="33">
        <f t="shared" si="226"/>
        <v>0</v>
      </c>
      <c r="AH1216" s="120" t="s">
        <v>1054</v>
      </c>
      <c r="AI1216" s="63">
        <f t="shared" si="228"/>
        <v>2.5923694779116463E-2</v>
      </c>
      <c r="AJ1216" s="307">
        <f>RTD("money.excel",,$G1216,"PredictVolume")</f>
        <v>1291</v>
      </c>
      <c r="AK1216" s="339">
        <v>29.74</v>
      </c>
    </row>
    <row r="1217" spans="1:37">
      <c r="A1217" s="415">
        <v>10.7</v>
      </c>
      <c r="B1217" s="79">
        <v>128</v>
      </c>
      <c r="C1217" s="79">
        <v>104</v>
      </c>
      <c r="D1217" s="80">
        <v>-25</v>
      </c>
      <c r="E1217" s="79">
        <v>1</v>
      </c>
      <c r="F1217" s="57">
        <v>18.23</v>
      </c>
      <c r="G1217" s="79">
        <v>8182</v>
      </c>
      <c r="H1217" s="8" t="s">
        <v>310</v>
      </c>
      <c r="I1217" s="16" t="s">
        <v>445</v>
      </c>
      <c r="J1217" s="73">
        <v>65.14</v>
      </c>
      <c r="K1217" s="73">
        <v>52.23</v>
      </c>
      <c r="L1217" s="323">
        <v>15.1</v>
      </c>
      <c r="M1217" s="73">
        <v>55.7</v>
      </c>
      <c r="N1217" s="318">
        <f t="shared" si="223"/>
        <v>188.17000000000002</v>
      </c>
      <c r="O1217" s="81">
        <f>IFERROR(VLOOKUP($G1217,'321買'!A:E,3,0),"'沒有資料'")</f>
        <v>19</v>
      </c>
      <c r="P1217" s="380">
        <f>IFERROR(VLOOKUP($G1217,'321買'!$A:$G,7,0),"'沒有資料'")</f>
        <v>250</v>
      </c>
      <c r="Q1217" s="388" t="s">
        <v>3816</v>
      </c>
      <c r="R1217" s="297">
        <f>IFERROR(RANK(VLOOKUP($G1217,連買!$A:$D,4,0),連買!$D:$D,0),"'沒有資料'")</f>
        <v>621</v>
      </c>
      <c r="S1217" s="45">
        <v>3</v>
      </c>
      <c r="T1217" s="353">
        <f t="shared" si="227"/>
        <v>6.4864864864864868E-2</v>
      </c>
      <c r="U1217" s="57">
        <v>4.76</v>
      </c>
      <c r="V1217" s="13">
        <f>RTD("money.excel",,"8182","Price")</f>
        <v>46.25</v>
      </c>
      <c r="W1217" s="66"/>
      <c r="X1217" s="15">
        <f t="shared" si="224"/>
        <v>46.25</v>
      </c>
      <c r="Y1217" s="3" t="e">
        <f t="shared" si="225"/>
        <v>#DIV/0!</v>
      </c>
      <c r="Z1217" s="413" t="s">
        <v>6646</v>
      </c>
      <c r="AA1217" s="161">
        <v>0</v>
      </c>
      <c r="AB1217" s="409">
        <v>0</v>
      </c>
      <c r="AC1217" s="259">
        <f t="shared" si="222"/>
        <v>0</v>
      </c>
      <c r="AD1217" s="16" t="s">
        <v>445</v>
      </c>
      <c r="AG1217" s="33">
        <f t="shared" si="226"/>
        <v>0</v>
      </c>
      <c r="AH1217" s="43" t="s">
        <v>1413</v>
      </c>
      <c r="AI1217" s="63">
        <f t="shared" si="228"/>
        <v>5.7943925233644856E-4</v>
      </c>
      <c r="AJ1217" s="307">
        <f>RTD("money.excel",,$G1217,"PredictVolume")</f>
        <v>62</v>
      </c>
      <c r="AK1217" s="339">
        <v>17.64</v>
      </c>
    </row>
    <row r="1218" spans="1:37">
      <c r="A1218" s="416">
        <v>27.1</v>
      </c>
      <c r="B1218" s="80">
        <v>-15</v>
      </c>
      <c r="C1218" s="79">
        <v>64</v>
      </c>
      <c r="D1218" s="80">
        <v>-2</v>
      </c>
      <c r="E1218" s="79">
        <v>21</v>
      </c>
      <c r="F1218" s="6">
        <v>8.6</v>
      </c>
      <c r="G1218" s="79">
        <v>8213</v>
      </c>
      <c r="H1218" s="8" t="s">
        <v>310</v>
      </c>
      <c r="I1218" s="22" t="s">
        <v>102</v>
      </c>
      <c r="J1218" s="73">
        <v>34.56</v>
      </c>
      <c r="K1218" s="73">
        <v>21.05</v>
      </c>
      <c r="L1218" s="323">
        <v>9</v>
      </c>
      <c r="N1218" s="318">
        <f t="shared" si="223"/>
        <v>64.61</v>
      </c>
      <c r="O1218" s="81">
        <f>IFERROR(VLOOKUP($G1218,'321買'!A:E,3,0),"'沒有資料'")</f>
        <v>4</v>
      </c>
      <c r="P1218" s="380">
        <f>IFERROR(VLOOKUP($G1218,'321買'!$A:$G,7,0),"'沒有資料'")</f>
        <v>592</v>
      </c>
      <c r="R1218" s="297">
        <f>IFERROR(RANK(VLOOKUP($G1218,連買!$A:$D,4,0),連買!$D:$D,0),"'沒有資料'")</f>
        <v>396</v>
      </c>
      <c r="S1218" s="66">
        <v>3.5</v>
      </c>
      <c r="T1218" s="353">
        <f t="shared" si="227"/>
        <v>7.2314049586776868E-2</v>
      </c>
      <c r="U1218" s="95">
        <v>6.1</v>
      </c>
      <c r="V1218" s="36">
        <f>RTD("money.excel",,"8213","Price")</f>
        <v>48.4</v>
      </c>
      <c r="W1218" s="66"/>
      <c r="X1218" s="15">
        <f t="shared" si="224"/>
        <v>48.4</v>
      </c>
      <c r="Y1218" s="3" t="e">
        <f t="shared" si="225"/>
        <v>#DIV/0!</v>
      </c>
      <c r="Z1218" s="413" t="s">
        <v>1831</v>
      </c>
      <c r="AA1218" s="161">
        <v>0</v>
      </c>
      <c r="AB1218" s="409">
        <v>0</v>
      </c>
      <c r="AC1218" s="259">
        <f t="shared" si="222"/>
        <v>0</v>
      </c>
      <c r="AD1218" s="22" t="s">
        <v>102</v>
      </c>
      <c r="AG1218" s="33">
        <f t="shared" si="226"/>
        <v>0</v>
      </c>
      <c r="AH1218" s="120" t="s">
        <v>2732</v>
      </c>
      <c r="AI1218" s="63">
        <f t="shared" si="228"/>
        <v>2.3210332103321034E-3</v>
      </c>
      <c r="AJ1218" s="307">
        <f>RTD("money.excel",,$G1218,"PredictVolume")</f>
        <v>629</v>
      </c>
      <c r="AK1218" s="339"/>
    </row>
    <row r="1219" spans="1:37">
      <c r="A1219" s="416">
        <v>12.7</v>
      </c>
      <c r="B1219" s="80">
        <v>-24</v>
      </c>
      <c r="C1219" s="80">
        <v>-43</v>
      </c>
      <c r="D1219" s="80">
        <v>-1</v>
      </c>
      <c r="E1219" s="80">
        <v>-7</v>
      </c>
      <c r="F1219" s="6">
        <v>4.79</v>
      </c>
      <c r="G1219" s="79">
        <v>8249</v>
      </c>
      <c r="H1219" s="8" t="s">
        <v>310</v>
      </c>
      <c r="I1219" s="22" t="s">
        <v>403</v>
      </c>
      <c r="J1219" s="73">
        <v>34.229999999999997</v>
      </c>
      <c r="K1219" s="73">
        <v>7.87</v>
      </c>
      <c r="L1219" s="73">
        <v>4.92</v>
      </c>
      <c r="N1219" s="318">
        <f t="shared" si="223"/>
        <v>47.019999999999996</v>
      </c>
      <c r="O1219" s="81">
        <f>IFERROR(VLOOKUP($G1219,'321買'!A:E,3,0),"'沒有資料'")</f>
        <v>10</v>
      </c>
      <c r="P1219" s="380">
        <f>IFERROR(VLOOKUP($G1219,'321買'!$A:$G,7,0),"'沒有資料'")</f>
        <v>408</v>
      </c>
      <c r="R1219" s="297">
        <f>IFERROR(RANK(VLOOKUP($G1219,連買!$A:$D,4,0),連買!$D:$D,0),"'沒有資料'")</f>
        <v>1392</v>
      </c>
      <c r="S1219" s="34">
        <v>1.3</v>
      </c>
      <c r="T1219" s="353">
        <f t="shared" si="227"/>
        <v>5.936073059360731E-2</v>
      </c>
      <c r="U1219" s="95">
        <v>1.5</v>
      </c>
      <c r="V1219" s="36">
        <f>RTD("money.excel",,"8249","Price")</f>
        <v>21.9</v>
      </c>
      <c r="W1219" s="66"/>
      <c r="X1219" s="15">
        <f t="shared" si="224"/>
        <v>21.9</v>
      </c>
      <c r="Y1219" s="3" t="e">
        <f t="shared" si="225"/>
        <v>#DIV/0!</v>
      </c>
      <c r="Z1219" s="413" t="s">
        <v>1801</v>
      </c>
      <c r="AA1219" s="161">
        <v>0</v>
      </c>
      <c r="AB1219" s="409">
        <v>0</v>
      </c>
      <c r="AC1219" s="259">
        <f t="shared" si="222"/>
        <v>0</v>
      </c>
      <c r="AD1219" s="22" t="s">
        <v>403</v>
      </c>
      <c r="AG1219" s="33">
        <f t="shared" si="226"/>
        <v>0</v>
      </c>
      <c r="AH1219" s="43" t="s">
        <v>2592</v>
      </c>
      <c r="AI1219" s="63">
        <f t="shared" si="228"/>
        <v>2.598425196850394E-4</v>
      </c>
      <c r="AJ1219" s="307">
        <f>RTD("money.excel",,$G1219,"PredictVolume")</f>
        <v>33</v>
      </c>
      <c r="AK1219" s="339"/>
    </row>
    <row r="1220" spans="1:37">
      <c r="A1220" s="415">
        <v>6.83</v>
      </c>
      <c r="B1220" s="93">
        <v>1945</v>
      </c>
      <c r="C1220" s="93">
        <v>3975</v>
      </c>
      <c r="D1220" s="80">
        <v>-2</v>
      </c>
      <c r="E1220" s="79">
        <v>69</v>
      </c>
      <c r="F1220" s="57">
        <v>12.16</v>
      </c>
      <c r="G1220" s="79">
        <v>8289</v>
      </c>
      <c r="H1220" s="8" t="s">
        <v>310</v>
      </c>
      <c r="I1220" s="16" t="s">
        <v>4942</v>
      </c>
      <c r="J1220" s="73">
        <v>36.42</v>
      </c>
      <c r="K1220" s="323">
        <v>7.42</v>
      </c>
      <c r="L1220" s="73">
        <v>22.72</v>
      </c>
      <c r="M1220" s="73">
        <v>16.71</v>
      </c>
      <c r="N1220" s="318">
        <f t="shared" si="223"/>
        <v>83.27000000000001</v>
      </c>
      <c r="O1220" s="81">
        <f>IFERROR(VLOOKUP($G1220,'321買'!A:E,3,0),"'沒有資料'")</f>
        <v>45</v>
      </c>
      <c r="P1220" s="380">
        <f>IFERROR(VLOOKUP($G1220,'321買'!$A:$G,7,0),"'沒有資料'")</f>
        <v>83</v>
      </c>
      <c r="Q1220" s="245" t="s">
        <v>3817</v>
      </c>
      <c r="R1220" s="297">
        <f>IFERROR(RANK(VLOOKUP($G1220,連買!$A:$D,4,0),連買!$D:$D,0),"'沒有資料'")</f>
        <v>1482</v>
      </c>
      <c r="S1220" s="34">
        <v>0.12</v>
      </c>
      <c r="T1220" s="353">
        <f t="shared" si="227"/>
        <v>3.3472803347280333E-3</v>
      </c>
      <c r="U1220" s="95">
        <v>2.2599999999999998</v>
      </c>
      <c r="V1220" s="36">
        <f>RTD("money.excel",,"8289","Price")</f>
        <v>35.85</v>
      </c>
      <c r="W1220" s="66"/>
      <c r="X1220" s="15">
        <f t="shared" si="224"/>
        <v>35.85</v>
      </c>
      <c r="Y1220" s="3" t="e">
        <f t="shared" si="225"/>
        <v>#DIV/0!</v>
      </c>
      <c r="Z1220" s="413" t="s">
        <v>1801</v>
      </c>
      <c r="AA1220" s="161">
        <v>0</v>
      </c>
      <c r="AB1220" s="409">
        <v>0</v>
      </c>
      <c r="AC1220" s="259">
        <f t="shared" si="222"/>
        <v>0</v>
      </c>
      <c r="AD1220" s="16" t="s">
        <v>4942</v>
      </c>
      <c r="AG1220" s="33">
        <f t="shared" si="226"/>
        <v>0</v>
      </c>
      <c r="AH1220" s="43" t="s">
        <v>1414</v>
      </c>
      <c r="AI1220" s="63">
        <f t="shared" si="228"/>
        <v>4.9194729136163981E-3</v>
      </c>
      <c r="AJ1220" s="307">
        <f>RTD("money.excel",,$G1220,"PredictVolume")</f>
        <v>336</v>
      </c>
      <c r="AK1220" s="339"/>
    </row>
    <row r="1221" spans="1:37">
      <c r="A1221" s="416">
        <v>4.7300000000000004</v>
      </c>
      <c r="B1221" s="91">
        <v>-77</v>
      </c>
      <c r="C1221" s="91">
        <v>-79</v>
      </c>
      <c r="D1221" s="91">
        <v>-8</v>
      </c>
      <c r="E1221" s="91">
        <v>4</v>
      </c>
      <c r="F1221" s="6">
        <v>-11.87</v>
      </c>
      <c r="G1221" s="79">
        <v>8291</v>
      </c>
      <c r="H1221" s="8" t="s">
        <v>310</v>
      </c>
      <c r="I1221" s="16" t="s">
        <v>1074</v>
      </c>
      <c r="J1221" s="73">
        <v>77.52</v>
      </c>
      <c r="K1221" s="73">
        <v>52.24</v>
      </c>
      <c r="N1221" s="318">
        <f t="shared" si="223"/>
        <v>129.76</v>
      </c>
      <c r="O1221" s="81" t="str">
        <f>IFERROR(VLOOKUP($G1221,'321買'!A:E,3,0),"'沒有資料'")</f>
        <v>'沒有資料'</v>
      </c>
      <c r="P1221" s="380" t="str">
        <f>IFERROR(VLOOKUP($G1221,'321買'!$A:$G,7,0),"'沒有資料'")</f>
        <v>'沒有資料'</v>
      </c>
      <c r="R1221" s="297">
        <f>IFERROR(RANK(VLOOKUP($G1221,連買!$A:$D,4,0),連買!$D:$D,0),"'沒有資料'")</f>
        <v>1408</v>
      </c>
      <c r="S1221" s="34">
        <v>0</v>
      </c>
      <c r="T1221" s="353">
        <f t="shared" si="227"/>
        <v>0</v>
      </c>
      <c r="U1221" s="57">
        <v>-0.82</v>
      </c>
      <c r="V1221" s="13">
        <f>RTD("money.excel",,"8291","Price")</f>
        <v>7</v>
      </c>
      <c r="W1221" s="66"/>
      <c r="X1221" s="15">
        <f t="shared" si="224"/>
        <v>7</v>
      </c>
      <c r="Y1221" s="3" t="e">
        <f t="shared" si="225"/>
        <v>#DIV/0!</v>
      </c>
      <c r="AA1221" s="161">
        <v>0</v>
      </c>
      <c r="AB1221" s="409">
        <v>0</v>
      </c>
      <c r="AC1221" s="259">
        <f t="shared" ref="AC1221:AC1284" si="229">AA1221-AB1221</f>
        <v>0</v>
      </c>
      <c r="AD1221" s="16" t="s">
        <v>1074</v>
      </c>
      <c r="AG1221" s="33">
        <f t="shared" si="226"/>
        <v>0</v>
      </c>
      <c r="AH1221" s="43" t="s">
        <v>1050</v>
      </c>
      <c r="AI1221" s="63">
        <f t="shared" si="228"/>
        <v>5.7082452431289632E-4</v>
      </c>
      <c r="AJ1221" s="307">
        <f>RTD("money.excel",,$G1221,"PredictVolume")</f>
        <v>27</v>
      </c>
      <c r="AK1221" s="339"/>
    </row>
    <row r="1222" spans="1:37">
      <c r="A1222" s="415">
        <v>25.2</v>
      </c>
      <c r="B1222" s="79">
        <v>181</v>
      </c>
      <c r="C1222" s="79">
        <v>158</v>
      </c>
      <c r="D1222" s="80">
        <v>-7</v>
      </c>
      <c r="E1222" s="79">
        <v>27</v>
      </c>
      <c r="F1222" s="57">
        <v>21.4</v>
      </c>
      <c r="G1222" s="79">
        <v>8358</v>
      </c>
      <c r="H1222" s="8" t="s">
        <v>310</v>
      </c>
      <c r="I1222" s="16" t="s">
        <v>222</v>
      </c>
      <c r="J1222" s="73">
        <v>37.840000000000003</v>
      </c>
      <c r="K1222" s="73">
        <v>15.7</v>
      </c>
      <c r="L1222" s="73">
        <v>20.5</v>
      </c>
      <c r="M1222" s="73">
        <v>17.29</v>
      </c>
      <c r="N1222" s="318">
        <f t="shared" si="223"/>
        <v>91.330000000000013</v>
      </c>
      <c r="O1222" s="81">
        <f>IFERROR(VLOOKUP($G1222,'321買'!A:E,3,0),"'沒有資料'")</f>
        <v>43</v>
      </c>
      <c r="P1222" s="380">
        <f>IFERROR(VLOOKUP($G1222,'321買'!$A:$G,7,0),"'沒有資料'")</f>
        <v>62</v>
      </c>
      <c r="Q1222" s="245" t="s">
        <v>5088</v>
      </c>
      <c r="R1222" s="297">
        <f>IFERROR(RANK(VLOOKUP($G1222,連買!$A:$D,4,0),連買!$D:$D,0),"'沒有資料'")</f>
        <v>236</v>
      </c>
      <c r="S1222" s="66">
        <v>4.2</v>
      </c>
      <c r="T1222" s="353">
        <f t="shared" si="227"/>
        <v>6.1764705882352944E-2</v>
      </c>
      <c r="U1222" s="95">
        <v>2.14</v>
      </c>
      <c r="V1222" s="36">
        <f>RTD("money.excel",,"8358","Price")</f>
        <v>68</v>
      </c>
      <c r="W1222" s="66"/>
      <c r="X1222" s="15">
        <f t="shared" si="224"/>
        <v>68</v>
      </c>
      <c r="Y1222" s="3" t="e">
        <f t="shared" si="225"/>
        <v>#DIV/0!</v>
      </c>
      <c r="Z1222" s="413" t="s">
        <v>1997</v>
      </c>
      <c r="AA1222" s="161">
        <v>0</v>
      </c>
      <c r="AB1222" s="409">
        <v>0</v>
      </c>
      <c r="AC1222" s="259">
        <f t="shared" si="229"/>
        <v>0</v>
      </c>
      <c r="AD1222" s="16" t="s">
        <v>222</v>
      </c>
      <c r="AG1222" s="33">
        <f t="shared" si="226"/>
        <v>0</v>
      </c>
      <c r="AH1222" s="120" t="s">
        <v>2614</v>
      </c>
      <c r="AI1222" s="63">
        <f t="shared" si="228"/>
        <v>6.0555555555555553E-3</v>
      </c>
      <c r="AJ1222" s="307">
        <f>RTD("money.excel",,$G1222,"PredictVolume")</f>
        <v>1526</v>
      </c>
      <c r="AK1222" s="339">
        <v>37.799999999999997</v>
      </c>
    </row>
    <row r="1223" spans="1:37">
      <c r="B1223" s="79"/>
      <c r="C1223" s="79"/>
      <c r="D1223" s="79"/>
      <c r="E1223" s="79"/>
      <c r="F1223" s="57"/>
      <c r="G1223" s="79"/>
      <c r="H1223" s="8"/>
      <c r="I1223" s="16"/>
      <c r="J1223" s="323"/>
      <c r="K1223" s="73"/>
      <c r="L1223" s="323"/>
      <c r="N1223" s="318"/>
      <c r="O1223" s="26"/>
      <c r="S1223" s="34"/>
      <c r="U1223" s="95"/>
      <c r="V1223" s="36"/>
      <c r="W1223" s="66"/>
      <c r="X1223" s="15"/>
      <c r="Y1223" s="3"/>
      <c r="AA1223" s="2"/>
      <c r="AD1223" s="16"/>
      <c r="AG1223" s="33"/>
      <c r="AH1223" s="120"/>
      <c r="AI1223" s="63"/>
      <c r="AJ1223" s="307"/>
      <c r="AK1223" s="339"/>
    </row>
    <row r="1224" spans="1:37">
      <c r="A1224" s="130" t="s">
        <v>1732</v>
      </c>
      <c r="B1224" s="91" t="s">
        <v>1588</v>
      </c>
      <c r="C1224" s="91" t="s">
        <v>1589</v>
      </c>
      <c r="D1224" s="91" t="s">
        <v>1590</v>
      </c>
      <c r="E1224" s="91" t="s">
        <v>1591</v>
      </c>
      <c r="F1224" s="8" t="s">
        <v>1066</v>
      </c>
      <c r="G1224" s="27" t="s">
        <v>5054</v>
      </c>
      <c r="H1224" s="55" t="s">
        <v>322</v>
      </c>
      <c r="I1224" s="8" t="s">
        <v>1048</v>
      </c>
      <c r="J1224" s="317" t="s">
        <v>1467</v>
      </c>
      <c r="K1224" s="317" t="s">
        <v>1157</v>
      </c>
      <c r="L1224" s="317" t="s">
        <v>284</v>
      </c>
      <c r="M1224" s="317" t="s">
        <v>1059</v>
      </c>
      <c r="N1224" s="317" t="s">
        <v>5048</v>
      </c>
      <c r="O1224" s="26" t="s">
        <v>5107</v>
      </c>
      <c r="P1224" s="373" t="s">
        <v>5059</v>
      </c>
      <c r="Q1224" s="245" t="s">
        <v>5087</v>
      </c>
      <c r="R1224" s="345" t="s">
        <v>5059</v>
      </c>
      <c r="S1224" s="10" t="s">
        <v>66</v>
      </c>
      <c r="T1224" s="351" t="s">
        <v>5076</v>
      </c>
      <c r="U1224" s="68" t="s">
        <v>3493</v>
      </c>
      <c r="V1224" s="28" t="s">
        <v>2</v>
      </c>
      <c r="W1224" s="17" t="s">
        <v>1405</v>
      </c>
      <c r="X1224" s="14" t="s">
        <v>5</v>
      </c>
      <c r="Y1224" s="21" t="s">
        <v>3</v>
      </c>
      <c r="Z1224" s="97" t="s">
        <v>6627</v>
      </c>
      <c r="AA1224" s="406" t="s">
        <v>8647</v>
      </c>
      <c r="AB1224" s="407" t="s">
        <v>8648</v>
      </c>
      <c r="AC1224" s="408" t="s">
        <v>8649</v>
      </c>
      <c r="AD1224" s="8" t="s">
        <v>3439</v>
      </c>
      <c r="AE1224" s="71" t="s">
        <v>1406</v>
      </c>
      <c r="AF1224" s="72" t="s">
        <v>1163</v>
      </c>
      <c r="AG1224" s="32" t="s">
        <v>1164</v>
      </c>
      <c r="AH1224" s="25" t="s">
        <v>8650</v>
      </c>
      <c r="AI1224" s="8" t="s">
        <v>3852</v>
      </c>
      <c r="AJ1224" s="50" t="s">
        <v>3586</v>
      </c>
      <c r="AK1224" s="339" t="s">
        <v>5038</v>
      </c>
    </row>
    <row r="1225" spans="1:37">
      <c r="A1225" s="416">
        <v>166</v>
      </c>
      <c r="B1225" s="79">
        <v>64</v>
      </c>
      <c r="C1225" s="79">
        <v>25</v>
      </c>
      <c r="D1225" s="79">
        <v>9</v>
      </c>
      <c r="E1225" s="79">
        <v>12</v>
      </c>
      <c r="F1225" s="6">
        <v>2.29</v>
      </c>
      <c r="G1225" s="79">
        <v>2347</v>
      </c>
      <c r="H1225" s="8" t="s">
        <v>3439</v>
      </c>
      <c r="I1225" s="22" t="s">
        <v>25</v>
      </c>
      <c r="J1225" s="73">
        <v>77.349999999999994</v>
      </c>
      <c r="K1225" s="73">
        <v>40.08</v>
      </c>
      <c r="L1225" s="73">
        <v>0.59</v>
      </c>
      <c r="N1225" s="318">
        <f>J1225+K1225+L1225+M1225</f>
        <v>118.02</v>
      </c>
      <c r="O1225" s="81">
        <f>IFERROR(VLOOKUP($G1225,'321買'!A:E,3,0),"'沒有資料'")</f>
        <v>8</v>
      </c>
      <c r="P1225" s="380">
        <f>IFERROR(VLOOKUP($G1225,'321買'!$A:$G,7,0),"'沒有資料'")</f>
        <v>475</v>
      </c>
      <c r="R1225" s="297">
        <f>IFERROR(RANK(VLOOKUP($G1225,連買!$A:$D,4,0),連買!$D:$D,0),"'沒有資料'")</f>
        <v>291</v>
      </c>
      <c r="S1225" s="66">
        <v>3.3</v>
      </c>
      <c r="T1225" s="353">
        <f t="shared" ref="T1225:T1260" si="230">S1225/V1225</f>
        <v>4.2746113989637305E-2</v>
      </c>
      <c r="U1225" s="57">
        <v>6.26</v>
      </c>
      <c r="V1225" s="13">
        <f>RTD("money.excel",,"2347","Price")</f>
        <v>77.2</v>
      </c>
      <c r="W1225" s="66"/>
      <c r="X1225" s="15">
        <f t="shared" ref="X1225:X1260" si="231">V1225-W1225</f>
        <v>77.2</v>
      </c>
      <c r="Y1225" s="3" t="e">
        <f t="shared" ref="Y1225:Y1260" si="232">X1225/W1225</f>
        <v>#DIV/0!</v>
      </c>
      <c r="Z1225" s="413" t="s">
        <v>1997</v>
      </c>
      <c r="AA1225" s="161">
        <v>0</v>
      </c>
      <c r="AB1225" s="409">
        <v>0</v>
      </c>
      <c r="AC1225" s="259">
        <f t="shared" si="229"/>
        <v>0</v>
      </c>
      <c r="AD1225" s="22" t="s">
        <v>25</v>
      </c>
      <c r="AG1225" s="33">
        <f t="shared" ref="AG1225:AG1260" si="233">AF1225-AE1225</f>
        <v>0</v>
      </c>
      <c r="AH1225" s="120" t="s">
        <v>3056</v>
      </c>
      <c r="AI1225" s="63">
        <f t="shared" ref="AI1225:AI1260" si="234">AJ1225/(A1225*10000)</f>
        <v>1.8204819277108434E-3</v>
      </c>
      <c r="AJ1225" s="307">
        <f>RTD("money.excel",,$G1225,"PredictVolume")</f>
        <v>3022</v>
      </c>
      <c r="AK1225" s="339"/>
    </row>
    <row r="1226" spans="1:37">
      <c r="A1226" s="416">
        <v>16.100000000000001</v>
      </c>
      <c r="B1226" s="91">
        <v>11</v>
      </c>
      <c r="C1226" s="91">
        <v>26</v>
      </c>
      <c r="D1226" s="91">
        <v>10</v>
      </c>
      <c r="E1226" s="91">
        <v>26</v>
      </c>
      <c r="F1226" s="6">
        <v>1.89</v>
      </c>
      <c r="G1226" s="79">
        <v>2414</v>
      </c>
      <c r="H1226" s="8" t="s">
        <v>3439</v>
      </c>
      <c r="I1226" s="22" t="s">
        <v>833</v>
      </c>
      <c r="J1226" s="73">
        <v>59.33</v>
      </c>
      <c r="K1226" s="73">
        <v>13.73</v>
      </c>
      <c r="L1226" s="73">
        <v>0.45</v>
      </c>
      <c r="N1226" s="318">
        <f t="shared" ref="N1226:N1260" si="235">J1226+K1226+L1226+M1226</f>
        <v>73.510000000000005</v>
      </c>
      <c r="O1226" s="81">
        <f>IFERROR(VLOOKUP($G1226,'321買'!A:E,3,0),"'沒有資料'")</f>
        <v>2</v>
      </c>
      <c r="P1226" s="380">
        <f>IFERROR(VLOOKUP($G1226,'321買'!$A:$G,7,0),"'沒有資料'")</f>
        <v>706</v>
      </c>
      <c r="R1226" s="297">
        <f>IFERROR(RANK(VLOOKUP($G1226,連買!$A:$D,4,0),連買!$D:$D,0),"'沒有資料'")</f>
        <v>1458</v>
      </c>
      <c r="S1226" s="34">
        <v>1.8</v>
      </c>
      <c r="T1226" s="353">
        <f t="shared" si="230"/>
        <v>5.0069541029207229E-2</v>
      </c>
      <c r="U1226" s="95">
        <v>2.25</v>
      </c>
      <c r="V1226" s="13">
        <f>RTD("money.excel",,"2414","Price")</f>
        <v>35.950000000000003</v>
      </c>
      <c r="W1226" s="66"/>
      <c r="X1226" s="15">
        <f t="shared" si="231"/>
        <v>35.950000000000003</v>
      </c>
      <c r="Y1226" s="3" t="e">
        <f t="shared" si="232"/>
        <v>#DIV/0!</v>
      </c>
      <c r="AA1226" s="161">
        <v>0</v>
      </c>
      <c r="AB1226" s="409">
        <v>0</v>
      </c>
      <c r="AC1226" s="259">
        <f t="shared" si="229"/>
        <v>0</v>
      </c>
      <c r="AD1226" s="22" t="s">
        <v>833</v>
      </c>
      <c r="AG1226" s="33">
        <f t="shared" si="233"/>
        <v>0</v>
      </c>
      <c r="AH1226" s="43" t="s">
        <v>3057</v>
      </c>
      <c r="AI1226" s="63">
        <f t="shared" si="234"/>
        <v>7.0186335403726711E-4</v>
      </c>
      <c r="AJ1226" s="307">
        <f>RTD("money.excel",,$G1226,"PredictVolume")</f>
        <v>113</v>
      </c>
      <c r="AK1226" s="339"/>
    </row>
    <row r="1227" spans="1:37">
      <c r="A1227" s="416">
        <v>16.600000000000001</v>
      </c>
      <c r="B1227" s="91">
        <v>29</v>
      </c>
      <c r="C1227" s="91">
        <v>5</v>
      </c>
      <c r="D1227" s="91">
        <v>16</v>
      </c>
      <c r="E1227" s="91">
        <v>15</v>
      </c>
      <c r="F1227" s="6">
        <v>1.59</v>
      </c>
      <c r="G1227" s="79">
        <v>2430</v>
      </c>
      <c r="H1227" s="8" t="s">
        <v>3439</v>
      </c>
      <c r="I1227" s="22" t="s">
        <v>89</v>
      </c>
      <c r="J1227" s="73">
        <v>65.91</v>
      </c>
      <c r="K1227" s="73">
        <v>7.08</v>
      </c>
      <c r="L1227" s="73">
        <v>0.57999999999999996</v>
      </c>
      <c r="N1227" s="318">
        <f t="shared" si="235"/>
        <v>73.569999999999993</v>
      </c>
      <c r="O1227" s="81">
        <f>IFERROR(VLOOKUP($G1227,'321買'!A:E,3,0),"'沒有資料'")</f>
        <v>15</v>
      </c>
      <c r="P1227" s="380">
        <f>IFERROR(VLOOKUP($G1227,'321買'!$A:$G,7,0),"'沒有資料'")</f>
        <v>336</v>
      </c>
      <c r="R1227" s="297">
        <f>IFERROR(RANK(VLOOKUP($G1227,連買!$A:$D,4,0),連買!$D:$D,0),"'沒有資料'")</f>
        <v>266</v>
      </c>
      <c r="S1227" s="34">
        <v>1.55</v>
      </c>
      <c r="T1227" s="353">
        <f t="shared" si="230"/>
        <v>3.8653366583541147E-2</v>
      </c>
      <c r="U1227" s="95">
        <v>1.85</v>
      </c>
      <c r="V1227" s="13">
        <f>RTD("money.excel",,"2430","Price")</f>
        <v>40.1</v>
      </c>
      <c r="W1227" s="66"/>
      <c r="X1227" s="15">
        <f t="shared" si="231"/>
        <v>40.1</v>
      </c>
      <c r="Y1227" s="3" t="e">
        <f t="shared" si="232"/>
        <v>#DIV/0!</v>
      </c>
      <c r="AA1227" s="161">
        <v>0</v>
      </c>
      <c r="AB1227" s="409">
        <v>0</v>
      </c>
      <c r="AC1227" s="259">
        <f t="shared" si="229"/>
        <v>0</v>
      </c>
      <c r="AD1227" s="22" t="s">
        <v>89</v>
      </c>
      <c r="AG1227" s="33">
        <f t="shared" si="233"/>
        <v>0</v>
      </c>
      <c r="AH1227" s="120" t="s">
        <v>3058</v>
      </c>
      <c r="AI1227" s="63">
        <f t="shared" si="234"/>
        <v>3.3433734939759038E-3</v>
      </c>
      <c r="AJ1227" s="307">
        <f>RTD("money.excel",,$G1227,"PredictVolume")</f>
        <v>555</v>
      </c>
      <c r="AK1227" s="339"/>
    </row>
    <row r="1228" spans="1:37">
      <c r="A1228" s="416">
        <v>10.5</v>
      </c>
      <c r="B1228" s="91">
        <v>7</v>
      </c>
      <c r="C1228" s="91">
        <v>19</v>
      </c>
      <c r="D1228" s="91">
        <v>-6</v>
      </c>
      <c r="E1228" s="91">
        <v>17</v>
      </c>
      <c r="F1228" s="6">
        <v>5.43</v>
      </c>
      <c r="G1228" s="79">
        <v>2459</v>
      </c>
      <c r="H1228" s="8" t="s">
        <v>3439</v>
      </c>
      <c r="I1228" s="22" t="s">
        <v>834</v>
      </c>
      <c r="J1228" s="73">
        <v>53.44</v>
      </c>
      <c r="K1228" s="73">
        <v>18.25</v>
      </c>
      <c r="L1228" s="73">
        <v>1.7</v>
      </c>
      <c r="N1228" s="318">
        <f t="shared" si="235"/>
        <v>73.39</v>
      </c>
      <c r="O1228" s="81">
        <f>IFERROR(VLOOKUP($G1228,'321買'!A:E,3,0),"'沒有資料'")</f>
        <v>0</v>
      </c>
      <c r="P1228" s="380">
        <f>IFERROR(VLOOKUP($G1228,'321買'!$A:$G,7,0),"'沒有資料'")</f>
        <v>911</v>
      </c>
      <c r="R1228" s="297">
        <f>IFERROR(RANK(VLOOKUP($G1228,連買!$A:$D,4,0),連買!$D:$D,0),"'沒有資料'")</f>
        <v>975</v>
      </c>
      <c r="S1228" s="66">
        <v>3.3</v>
      </c>
      <c r="T1228" s="353">
        <f t="shared" si="230"/>
        <v>6.0550458715596327E-2</v>
      </c>
      <c r="U1228" s="95">
        <v>4.24</v>
      </c>
      <c r="V1228" s="13">
        <f>RTD("money.excel",,"2459","Price")</f>
        <v>54.5</v>
      </c>
      <c r="W1228" s="66"/>
      <c r="X1228" s="15">
        <f t="shared" si="231"/>
        <v>54.5</v>
      </c>
      <c r="Y1228" s="3" t="e">
        <f t="shared" si="232"/>
        <v>#DIV/0!</v>
      </c>
      <c r="Z1228" s="413" t="s">
        <v>1997</v>
      </c>
      <c r="AA1228" s="161">
        <v>0</v>
      </c>
      <c r="AB1228" s="409">
        <v>0</v>
      </c>
      <c r="AC1228" s="259">
        <f t="shared" si="229"/>
        <v>0</v>
      </c>
      <c r="AD1228" s="22" t="s">
        <v>834</v>
      </c>
      <c r="AG1228" s="33">
        <f t="shared" si="233"/>
        <v>0</v>
      </c>
      <c r="AH1228" s="43" t="s">
        <v>3059</v>
      </c>
      <c r="AI1228" s="63">
        <f t="shared" si="234"/>
        <v>5.9047619047619053E-4</v>
      </c>
      <c r="AJ1228" s="307">
        <f>RTD("money.excel",,$G1228,"PredictVolume")</f>
        <v>62</v>
      </c>
      <c r="AK1228" s="339"/>
    </row>
    <row r="1229" spans="1:37">
      <c r="A1229" s="416">
        <v>23.1</v>
      </c>
      <c r="B1229" s="79">
        <v>27</v>
      </c>
      <c r="C1229" s="79">
        <v>32</v>
      </c>
      <c r="D1229" s="80">
        <v>11</v>
      </c>
      <c r="E1229" s="79">
        <v>36</v>
      </c>
      <c r="F1229" s="6">
        <v>3.71</v>
      </c>
      <c r="G1229" s="79">
        <v>3010</v>
      </c>
      <c r="H1229" s="8" t="s">
        <v>3439</v>
      </c>
      <c r="I1229" s="22" t="s">
        <v>96</v>
      </c>
      <c r="J1229" s="73">
        <v>55.11</v>
      </c>
      <c r="K1229" s="73">
        <v>15.87</v>
      </c>
      <c r="L1229" s="73">
        <v>4.24</v>
      </c>
      <c r="N1229" s="318">
        <f t="shared" si="235"/>
        <v>75.22</v>
      </c>
      <c r="O1229" s="81">
        <f>IFERROR(VLOOKUP($G1229,'321買'!A:E,3,0),"'沒有資料'")</f>
        <v>0</v>
      </c>
      <c r="P1229" s="380">
        <f>IFERROR(VLOOKUP($G1229,'321買'!$A:$G,7,0),"'沒有資料'")</f>
        <v>911</v>
      </c>
      <c r="R1229" s="297">
        <f>IFERROR(RANK(VLOOKUP($G1229,連買!$A:$D,4,0),連買!$D:$D,0),"'沒有資料'")</f>
        <v>182</v>
      </c>
      <c r="S1229" s="66">
        <v>4.2</v>
      </c>
      <c r="T1229" s="353">
        <f t="shared" si="230"/>
        <v>3.906976744186047E-2</v>
      </c>
      <c r="U1229" s="95">
        <v>8.0399999999999991</v>
      </c>
      <c r="V1229" s="36">
        <f>RTD("money.excel",,"3010","Price")</f>
        <v>107.5</v>
      </c>
      <c r="W1229" s="66"/>
      <c r="X1229" s="15">
        <f t="shared" si="231"/>
        <v>107.5</v>
      </c>
      <c r="Y1229" s="3" t="e">
        <f t="shared" si="232"/>
        <v>#DIV/0!</v>
      </c>
      <c r="Z1229" s="413" t="s">
        <v>1997</v>
      </c>
      <c r="AA1229" s="161">
        <v>0</v>
      </c>
      <c r="AB1229" s="409">
        <v>0</v>
      </c>
      <c r="AC1229" s="259">
        <f t="shared" si="229"/>
        <v>0</v>
      </c>
      <c r="AD1229" s="22" t="s">
        <v>96</v>
      </c>
      <c r="AG1229" s="33">
        <f t="shared" si="233"/>
        <v>0</v>
      </c>
      <c r="AH1229" s="120" t="s">
        <v>2247</v>
      </c>
      <c r="AI1229" s="63">
        <f t="shared" si="234"/>
        <v>2.6709956709956711E-3</v>
      </c>
      <c r="AJ1229" s="307">
        <f>RTD("money.excel",,$G1229,"PredictVolume")</f>
        <v>617</v>
      </c>
      <c r="AK1229" s="339"/>
    </row>
    <row r="1230" spans="1:37">
      <c r="A1230" s="416">
        <v>21.3</v>
      </c>
      <c r="B1230" s="91">
        <v>57</v>
      </c>
      <c r="C1230" s="91">
        <v>-7</v>
      </c>
      <c r="D1230" s="91">
        <v>11</v>
      </c>
      <c r="E1230" s="91">
        <v>112</v>
      </c>
      <c r="F1230" s="6">
        <v>2.4500000000000002</v>
      </c>
      <c r="G1230" s="79">
        <v>3028</v>
      </c>
      <c r="H1230" s="8" t="s">
        <v>3439</v>
      </c>
      <c r="I1230" s="22" t="s">
        <v>835</v>
      </c>
      <c r="J1230" s="73">
        <v>37.89</v>
      </c>
      <c r="K1230" s="73">
        <v>6.59</v>
      </c>
      <c r="L1230" s="73">
        <v>3.99</v>
      </c>
      <c r="N1230" s="318">
        <f t="shared" si="235"/>
        <v>48.470000000000006</v>
      </c>
      <c r="O1230" s="81">
        <f>IFERROR(VLOOKUP($G1230,'321買'!A:E,3,0),"'沒有資料'")</f>
        <v>3</v>
      </c>
      <c r="P1230" s="380">
        <f>IFERROR(VLOOKUP($G1230,'321買'!$A:$G,7,0),"'沒有資料'")</f>
        <v>636</v>
      </c>
      <c r="R1230" s="297">
        <f>IFERROR(RANK(VLOOKUP($G1230,連買!$A:$D,4,0),連買!$D:$D,0),"'沒有資料'")</f>
        <v>629</v>
      </c>
      <c r="S1230" s="34">
        <v>1.9</v>
      </c>
      <c r="T1230" s="353">
        <f t="shared" si="230"/>
        <v>4.7919293820933163E-2</v>
      </c>
      <c r="U1230" s="95">
        <v>2.21</v>
      </c>
      <c r="V1230" s="36">
        <f>RTD("money.excel",,"3028","Price")</f>
        <v>39.65</v>
      </c>
      <c r="W1230" s="66"/>
      <c r="X1230" s="15">
        <f t="shared" si="231"/>
        <v>39.65</v>
      </c>
      <c r="Y1230" s="3" t="e">
        <f t="shared" si="232"/>
        <v>#DIV/0!</v>
      </c>
      <c r="AA1230" s="161">
        <v>0</v>
      </c>
      <c r="AB1230" s="409">
        <v>0</v>
      </c>
      <c r="AC1230" s="259">
        <f t="shared" si="229"/>
        <v>0</v>
      </c>
      <c r="AD1230" s="22" t="s">
        <v>835</v>
      </c>
      <c r="AG1230" s="33">
        <f t="shared" si="233"/>
        <v>0</v>
      </c>
      <c r="AH1230" s="43" t="s">
        <v>3060</v>
      </c>
      <c r="AI1230" s="63">
        <f t="shared" si="234"/>
        <v>2.5023474178403754E-3</v>
      </c>
      <c r="AJ1230" s="307">
        <f>RTD("money.excel",,$G1230,"PredictVolume")</f>
        <v>533</v>
      </c>
      <c r="AK1230" s="339"/>
    </row>
    <row r="1231" spans="1:37">
      <c r="A1231" s="416">
        <v>36.700000000000003</v>
      </c>
      <c r="B1231" s="91">
        <v>127</v>
      </c>
      <c r="C1231" s="91">
        <v>15</v>
      </c>
      <c r="D1231" s="91">
        <v>17</v>
      </c>
      <c r="E1231" s="91">
        <v>88</v>
      </c>
      <c r="F1231" s="6">
        <v>2.63</v>
      </c>
      <c r="G1231" s="79">
        <v>3033</v>
      </c>
      <c r="H1231" s="8" t="s">
        <v>3439</v>
      </c>
      <c r="I1231" s="22" t="s">
        <v>99</v>
      </c>
      <c r="J1231" s="73">
        <v>37.86</v>
      </c>
      <c r="K1231" s="73">
        <v>6.89</v>
      </c>
      <c r="L1231" s="73">
        <v>2.17</v>
      </c>
      <c r="N1231" s="318">
        <f t="shared" si="235"/>
        <v>46.92</v>
      </c>
      <c r="O1231" s="81">
        <f>IFERROR(VLOOKUP($G1231,'321買'!A:E,3,0),"'沒有資料'")</f>
        <v>31</v>
      </c>
      <c r="P1231" s="380">
        <f>IFERROR(VLOOKUP($G1231,'321買'!$A:$G,7,0),"'沒有資料'")</f>
        <v>156</v>
      </c>
      <c r="R1231" s="297">
        <f>IFERROR(RANK(VLOOKUP($G1231,連買!$A:$D,4,0),連買!$D:$D,0),"'沒有資料'")</f>
        <v>671</v>
      </c>
      <c r="S1231" s="34">
        <v>1.34</v>
      </c>
      <c r="T1231" s="353">
        <f t="shared" si="230"/>
        <v>4.2607313195548495E-2</v>
      </c>
      <c r="U1231" s="95">
        <v>1.9</v>
      </c>
      <c r="V1231" s="36">
        <f>RTD("money.excel",,"3033","Price")</f>
        <v>31.45</v>
      </c>
      <c r="W1231" s="66"/>
      <c r="X1231" s="15">
        <f t="shared" si="231"/>
        <v>31.45</v>
      </c>
      <c r="Y1231" s="3" t="e">
        <f t="shared" si="232"/>
        <v>#DIV/0!</v>
      </c>
      <c r="AA1231" s="161">
        <v>0</v>
      </c>
      <c r="AB1231" s="409">
        <v>0</v>
      </c>
      <c r="AC1231" s="259">
        <f t="shared" si="229"/>
        <v>0</v>
      </c>
      <c r="AD1231" s="22" t="s">
        <v>99</v>
      </c>
      <c r="AG1231" s="33">
        <f t="shared" si="233"/>
        <v>0</v>
      </c>
      <c r="AH1231" s="120" t="s">
        <v>3061</v>
      </c>
      <c r="AI1231" s="63">
        <f t="shared" si="234"/>
        <v>7.0408719346049045E-3</v>
      </c>
      <c r="AJ1231" s="307">
        <f>RTD("money.excel",,$G1231,"PredictVolume")</f>
        <v>2584</v>
      </c>
      <c r="AK1231" s="339"/>
    </row>
    <row r="1232" spans="1:37">
      <c r="A1232" s="416">
        <v>78.8</v>
      </c>
      <c r="B1232" s="79">
        <v>40</v>
      </c>
      <c r="C1232" s="80">
        <v>-3</v>
      </c>
      <c r="D1232" s="80">
        <v>-4</v>
      </c>
      <c r="E1232" s="80">
        <v>-4</v>
      </c>
      <c r="F1232" s="6">
        <v>1.54</v>
      </c>
      <c r="G1232" s="79">
        <v>3036</v>
      </c>
      <c r="H1232" s="8" t="s">
        <v>3439</v>
      </c>
      <c r="I1232" s="22" t="s">
        <v>268</v>
      </c>
      <c r="J1232" s="73">
        <v>76.83</v>
      </c>
      <c r="K1232" s="73">
        <v>16.57</v>
      </c>
      <c r="L1232" s="73">
        <v>0.61</v>
      </c>
      <c r="N1232" s="318">
        <f t="shared" si="235"/>
        <v>94.01</v>
      </c>
      <c r="O1232" s="81">
        <f>IFERROR(VLOOKUP($G1232,'321買'!A:E,3,0),"'沒有資料'")</f>
        <v>2</v>
      </c>
      <c r="P1232" s="380">
        <f>IFERROR(VLOOKUP($G1232,'321買'!$A:$G,7,0),"'沒有資料'")</f>
        <v>706</v>
      </c>
      <c r="R1232" s="297">
        <f>IFERROR(RANK(VLOOKUP($G1232,連買!$A:$D,4,0),連買!$D:$D,0),"'沒有資料'")</f>
        <v>282</v>
      </c>
      <c r="S1232" s="34">
        <v>2.09</v>
      </c>
      <c r="T1232" s="353">
        <f t="shared" si="230"/>
        <v>2.6223337515683811E-2</v>
      </c>
      <c r="U1232" s="95">
        <v>5.34</v>
      </c>
      <c r="V1232" s="36">
        <f>RTD("money.excel",,"3036","Price")</f>
        <v>79.7</v>
      </c>
      <c r="W1232" s="66"/>
      <c r="X1232" s="15">
        <f t="shared" si="231"/>
        <v>79.7</v>
      </c>
      <c r="Y1232" s="3" t="e">
        <f t="shared" si="232"/>
        <v>#DIV/0!</v>
      </c>
      <c r="Z1232" s="413" t="s">
        <v>1801</v>
      </c>
      <c r="AA1232" s="161">
        <v>0</v>
      </c>
      <c r="AB1232" s="409">
        <v>0</v>
      </c>
      <c r="AC1232" s="259">
        <f t="shared" si="229"/>
        <v>0</v>
      </c>
      <c r="AD1232" s="22" t="s">
        <v>268</v>
      </c>
      <c r="AG1232" s="33">
        <f t="shared" si="233"/>
        <v>0</v>
      </c>
      <c r="AH1232" s="120" t="s">
        <v>3062</v>
      </c>
      <c r="AI1232" s="63">
        <f t="shared" si="234"/>
        <v>4.3972081218274115E-3</v>
      </c>
      <c r="AJ1232" s="307">
        <f>RTD("money.excel",,$G1232,"PredictVolume")</f>
        <v>3465</v>
      </c>
      <c r="AK1232" s="339"/>
    </row>
    <row r="1233" spans="1:37">
      <c r="A1233" s="416">
        <v>24.8</v>
      </c>
      <c r="B1233" s="79">
        <v>78</v>
      </c>
      <c r="C1233" s="79">
        <v>27</v>
      </c>
      <c r="D1233" s="79">
        <v>16</v>
      </c>
      <c r="E1233" s="80">
        <v>-11</v>
      </c>
      <c r="F1233" s="6">
        <v>1.5</v>
      </c>
      <c r="G1233" s="79">
        <v>3048</v>
      </c>
      <c r="H1233" s="8" t="s">
        <v>3439</v>
      </c>
      <c r="I1233" s="22" t="s">
        <v>836</v>
      </c>
      <c r="J1233" s="323">
        <v>40.229999999999997</v>
      </c>
      <c r="K1233" s="323">
        <v>6.33</v>
      </c>
      <c r="L1233" s="73">
        <v>5.48</v>
      </c>
      <c r="N1233" s="318">
        <f t="shared" si="235"/>
        <v>52.039999999999992</v>
      </c>
      <c r="O1233" s="81">
        <f>IFERROR(VLOOKUP($G1233,'321買'!A:E,3,0),"'沒有資料'")</f>
        <v>9</v>
      </c>
      <c r="P1233" s="380">
        <f>IFERROR(VLOOKUP($G1233,'321買'!$A:$G,7,0),"'沒有資料'")</f>
        <v>448</v>
      </c>
      <c r="Q1233" s="245" t="s">
        <v>3815</v>
      </c>
      <c r="R1233" s="297">
        <f>IFERROR(RANK(VLOOKUP($G1233,連買!$A:$D,4,0),連買!$D:$D,0),"'沒有資料'")</f>
        <v>562</v>
      </c>
      <c r="S1233" s="34">
        <v>2.9</v>
      </c>
      <c r="T1233" s="353">
        <f t="shared" si="230"/>
        <v>7.9126875852660303E-2</v>
      </c>
      <c r="U1233" s="95">
        <v>4.5999999999999996</v>
      </c>
      <c r="V1233" s="36">
        <f>RTD("money.excel",,"3048","Price")</f>
        <v>36.65</v>
      </c>
      <c r="W1233" s="66"/>
      <c r="X1233" s="15">
        <f t="shared" si="231"/>
        <v>36.65</v>
      </c>
      <c r="Y1233" s="3" t="e">
        <f t="shared" si="232"/>
        <v>#DIV/0!</v>
      </c>
      <c r="Z1233" s="413" t="s">
        <v>1801</v>
      </c>
      <c r="AA1233" s="161">
        <v>0</v>
      </c>
      <c r="AB1233" s="409">
        <v>0</v>
      </c>
      <c r="AC1233" s="259">
        <f t="shared" si="229"/>
        <v>0</v>
      </c>
      <c r="AD1233" s="22" t="s">
        <v>836</v>
      </c>
      <c r="AG1233" s="33">
        <f t="shared" si="233"/>
        <v>0</v>
      </c>
      <c r="AH1233" s="43" t="s">
        <v>3061</v>
      </c>
      <c r="AI1233" s="63">
        <f t="shared" si="234"/>
        <v>2.2741935483870969E-3</v>
      </c>
      <c r="AJ1233" s="307">
        <f>RTD("money.excel",,$G1233,"PredictVolume")</f>
        <v>564</v>
      </c>
      <c r="AK1233" s="339"/>
    </row>
    <row r="1234" spans="1:37">
      <c r="A1234" s="416">
        <v>10.199999999999999</v>
      </c>
      <c r="B1234" s="80">
        <v>-214</v>
      </c>
      <c r="C1234" s="94">
        <v>-1501</v>
      </c>
      <c r="D1234" s="80">
        <v>-22</v>
      </c>
      <c r="E1234" s="79">
        <v>88</v>
      </c>
      <c r="F1234" s="6">
        <v>-3.6</v>
      </c>
      <c r="G1234" s="79">
        <v>3055</v>
      </c>
      <c r="H1234" s="8" t="s">
        <v>3439</v>
      </c>
      <c r="I1234" s="22" t="s">
        <v>837</v>
      </c>
      <c r="J1234" s="323">
        <v>72.319999999999993</v>
      </c>
      <c r="K1234" s="323">
        <v>1.99</v>
      </c>
      <c r="L1234" s="323">
        <v>27.85</v>
      </c>
      <c r="N1234" s="318">
        <f t="shared" si="235"/>
        <v>102.16</v>
      </c>
      <c r="O1234" s="81">
        <f>IFERROR(VLOOKUP($G1234,'321買'!A:E,3,0),"'沒有資料'")</f>
        <v>0</v>
      </c>
      <c r="P1234" s="380">
        <f>IFERROR(VLOOKUP($G1234,'321買'!$A:$G,7,0),"'沒有資料'")</f>
        <v>911</v>
      </c>
      <c r="R1234" s="297">
        <f>IFERROR(RANK(VLOOKUP($G1234,連買!$A:$D,4,0),連買!$D:$D,0),"'沒有資料'")</f>
        <v>834</v>
      </c>
      <c r="S1234" s="34">
        <v>0.2</v>
      </c>
      <c r="T1234" s="353">
        <f t="shared" si="230"/>
        <v>6.9686411149825793E-3</v>
      </c>
      <c r="U1234" s="95">
        <v>-0.48</v>
      </c>
      <c r="V1234" s="36">
        <f>RTD("money.excel",,"3055","Price")</f>
        <v>28.7</v>
      </c>
      <c r="W1234" s="66"/>
      <c r="X1234" s="15">
        <f t="shared" si="231"/>
        <v>28.7</v>
      </c>
      <c r="Y1234" s="3" t="e">
        <f t="shared" si="232"/>
        <v>#DIV/0!</v>
      </c>
      <c r="Z1234" s="413" t="s">
        <v>1801</v>
      </c>
      <c r="AA1234" s="161">
        <v>0</v>
      </c>
      <c r="AB1234" s="409">
        <v>0</v>
      </c>
      <c r="AC1234" s="259">
        <f t="shared" si="229"/>
        <v>0</v>
      </c>
      <c r="AD1234" s="22" t="s">
        <v>837</v>
      </c>
      <c r="AG1234" s="33">
        <f t="shared" si="233"/>
        <v>0</v>
      </c>
      <c r="AH1234" s="43" t="s">
        <v>3063</v>
      </c>
      <c r="AI1234" s="63">
        <f t="shared" si="234"/>
        <v>6.6666666666666664E-4</v>
      </c>
      <c r="AJ1234" s="307">
        <f>RTD("money.excel",,$G1234,"PredictVolume")</f>
        <v>68</v>
      </c>
      <c r="AK1234" s="339"/>
    </row>
    <row r="1235" spans="1:37">
      <c r="A1235" s="416">
        <v>18.899999999999999</v>
      </c>
      <c r="B1235" s="91">
        <v>57</v>
      </c>
      <c r="C1235" s="91">
        <v>6</v>
      </c>
      <c r="D1235" s="91">
        <v>40</v>
      </c>
      <c r="E1235" s="91">
        <v>39</v>
      </c>
      <c r="F1235" s="6">
        <v>1.54</v>
      </c>
      <c r="G1235" s="79">
        <v>3209</v>
      </c>
      <c r="H1235" s="8" t="s">
        <v>3439</v>
      </c>
      <c r="I1235" s="22" t="s">
        <v>838</v>
      </c>
      <c r="J1235" s="73">
        <v>40.46</v>
      </c>
      <c r="K1235" s="73">
        <v>1.34</v>
      </c>
      <c r="L1235" s="73">
        <v>2.4</v>
      </c>
      <c r="N1235" s="318">
        <f t="shared" si="235"/>
        <v>44.2</v>
      </c>
      <c r="O1235" s="81">
        <f>IFERROR(VLOOKUP($G1235,'321買'!A:E,3,0),"'沒有資料'")</f>
        <v>7</v>
      </c>
      <c r="P1235" s="380">
        <f>IFERROR(VLOOKUP($G1235,'321買'!$A:$G,7,0),"'沒有資料'")</f>
        <v>499</v>
      </c>
      <c r="R1235" s="297">
        <f>IFERROR(RANK(VLOOKUP($G1235,連買!$A:$D,4,0),連買!$D:$D,0),"'沒有資料'")</f>
        <v>683</v>
      </c>
      <c r="S1235" s="34">
        <v>2</v>
      </c>
      <c r="T1235" s="353">
        <f t="shared" si="230"/>
        <v>5.1880674448767837E-2</v>
      </c>
      <c r="U1235" s="95">
        <v>2.54</v>
      </c>
      <c r="V1235" s="36">
        <f>RTD("money.excel",,"3209","Price")</f>
        <v>38.549999999999997</v>
      </c>
      <c r="W1235" s="66"/>
      <c r="X1235" s="15">
        <f t="shared" si="231"/>
        <v>38.549999999999997</v>
      </c>
      <c r="Y1235" s="3" t="e">
        <f t="shared" si="232"/>
        <v>#DIV/0!</v>
      </c>
      <c r="AA1235" s="161">
        <v>0</v>
      </c>
      <c r="AB1235" s="409">
        <v>0</v>
      </c>
      <c r="AC1235" s="259">
        <f t="shared" si="229"/>
        <v>0</v>
      </c>
      <c r="AD1235" s="22" t="s">
        <v>838</v>
      </c>
      <c r="AG1235" s="33">
        <f t="shared" si="233"/>
        <v>0</v>
      </c>
      <c r="AH1235" s="43" t="s">
        <v>3064</v>
      </c>
      <c r="AI1235" s="63">
        <f t="shared" si="234"/>
        <v>8.7460317460317464E-3</v>
      </c>
      <c r="AJ1235" s="307">
        <f>RTD("money.excel",,$G1235,"PredictVolume")</f>
        <v>1653</v>
      </c>
      <c r="AK1235" s="339"/>
    </row>
    <row r="1236" spans="1:37">
      <c r="A1236" s="416">
        <v>6.8</v>
      </c>
      <c r="B1236" s="79">
        <v>14</v>
      </c>
      <c r="C1236" s="79">
        <v>22</v>
      </c>
      <c r="D1236" s="79">
        <v>63</v>
      </c>
      <c r="E1236" s="79">
        <v>120</v>
      </c>
      <c r="F1236" s="6">
        <v>-3.53</v>
      </c>
      <c r="G1236" s="79">
        <v>3224</v>
      </c>
      <c r="H1236" s="8" t="s">
        <v>3439</v>
      </c>
      <c r="I1236" s="16" t="s">
        <v>819</v>
      </c>
      <c r="J1236" s="323">
        <v>39.29</v>
      </c>
      <c r="K1236" s="73">
        <v>0.91</v>
      </c>
      <c r="L1236" s="73">
        <v>19.5</v>
      </c>
      <c r="N1236" s="318">
        <f t="shared" si="235"/>
        <v>59.699999999999996</v>
      </c>
      <c r="O1236" s="81">
        <f>IFERROR(VLOOKUP($G1236,'321買'!A:E,3,0),"'沒有資料'")</f>
        <v>5</v>
      </c>
      <c r="P1236" s="380">
        <f>IFERROR(VLOOKUP($G1236,'321買'!$A:$G,7,0),"'沒有資料'")</f>
        <v>521</v>
      </c>
      <c r="R1236" s="297">
        <f>IFERROR(RANK(VLOOKUP($G1236,連買!$A:$D,4,0),連買!$D:$D,0),"'沒有資料'")</f>
        <v>485</v>
      </c>
      <c r="S1236" s="34">
        <v>0</v>
      </c>
      <c r="T1236" s="353">
        <f t="shared" si="230"/>
        <v>0</v>
      </c>
      <c r="U1236" s="95">
        <v>-1.3</v>
      </c>
      <c r="V1236" s="36">
        <f>RTD("money.excel",,"3224","Price")</f>
        <v>50</v>
      </c>
      <c r="W1236" s="66"/>
      <c r="X1236" s="15">
        <f t="shared" si="231"/>
        <v>50</v>
      </c>
      <c r="Y1236" s="3" t="e">
        <f t="shared" si="232"/>
        <v>#DIV/0!</v>
      </c>
      <c r="Z1236" s="413" t="s">
        <v>1801</v>
      </c>
      <c r="AA1236" s="161">
        <v>0</v>
      </c>
      <c r="AB1236" s="409">
        <v>0</v>
      </c>
      <c r="AC1236" s="259">
        <f t="shared" si="229"/>
        <v>0</v>
      </c>
      <c r="AD1236" s="16" t="s">
        <v>819</v>
      </c>
      <c r="AG1236" s="33">
        <f t="shared" si="233"/>
        <v>0</v>
      </c>
      <c r="AH1236" s="43" t="s">
        <v>2836</v>
      </c>
      <c r="AI1236" s="63">
        <f t="shared" si="234"/>
        <v>3.3235294117647061E-3</v>
      </c>
      <c r="AJ1236" s="307">
        <f>RTD("money.excel",,$G1236,"PredictVolume")</f>
        <v>226</v>
      </c>
      <c r="AK1236" s="339"/>
    </row>
    <row r="1237" spans="1:37">
      <c r="A1237" s="416">
        <v>3.66</v>
      </c>
      <c r="B1237" s="79">
        <v>127</v>
      </c>
      <c r="C1237" s="79">
        <v>457</v>
      </c>
      <c r="D1237" s="79">
        <v>51</v>
      </c>
      <c r="E1237" s="79">
        <v>92</v>
      </c>
      <c r="F1237" s="6">
        <v>4.51</v>
      </c>
      <c r="G1237" s="79">
        <v>3232</v>
      </c>
      <c r="H1237" s="8" t="s">
        <v>331</v>
      </c>
      <c r="I1237" s="16" t="s">
        <v>820</v>
      </c>
      <c r="J1237" s="73">
        <v>31.59</v>
      </c>
      <c r="K1237" s="323">
        <v>4.4000000000000004</v>
      </c>
      <c r="L1237" s="73">
        <v>63.08</v>
      </c>
      <c r="M1237" s="323">
        <v>24.43</v>
      </c>
      <c r="N1237" s="318">
        <f t="shared" si="235"/>
        <v>123.5</v>
      </c>
      <c r="O1237" s="81">
        <f>IFERROR(VLOOKUP($G1237,'321買'!A:E,3,0),"'沒有資料'")</f>
        <v>49</v>
      </c>
      <c r="P1237" s="380">
        <f>IFERROR(VLOOKUP($G1237,'321買'!$A:$G,7,0),"'沒有資料'")</f>
        <v>77</v>
      </c>
      <c r="Q1237" s="245" t="s">
        <v>3815</v>
      </c>
      <c r="R1237" s="297">
        <f>IFERROR(RANK(VLOOKUP($G1237,連買!$A:$D,4,0),連買!$D:$D,0),"'沒有資料'")</f>
        <v>689</v>
      </c>
      <c r="S1237" s="34">
        <v>0.3</v>
      </c>
      <c r="T1237" s="353">
        <f t="shared" si="230"/>
        <v>9.3312597200622092E-3</v>
      </c>
      <c r="U1237" s="95">
        <v>0.79</v>
      </c>
      <c r="V1237" s="36">
        <f>RTD("money.excel",,"3232","Price")</f>
        <v>32.15</v>
      </c>
      <c r="W1237" s="66"/>
      <c r="X1237" s="15">
        <f t="shared" si="231"/>
        <v>32.15</v>
      </c>
      <c r="Y1237" s="3" t="e">
        <f t="shared" si="232"/>
        <v>#DIV/0!</v>
      </c>
      <c r="AA1237" s="161">
        <v>0</v>
      </c>
      <c r="AB1237" s="409">
        <v>0</v>
      </c>
      <c r="AC1237" s="259">
        <f t="shared" si="229"/>
        <v>0</v>
      </c>
      <c r="AD1237" s="16" t="s">
        <v>820</v>
      </c>
      <c r="AG1237" s="33">
        <f t="shared" si="233"/>
        <v>0</v>
      </c>
      <c r="AH1237" s="43" t="s">
        <v>2837</v>
      </c>
      <c r="AI1237" s="63">
        <f t="shared" si="234"/>
        <v>3.349726775956284E-2</v>
      </c>
      <c r="AJ1237" s="307">
        <f>RTD("money.excel",,$G1237,"PredictVolume")</f>
        <v>1226</v>
      </c>
      <c r="AK1237" s="339">
        <v>41.65</v>
      </c>
    </row>
    <row r="1238" spans="1:37">
      <c r="A1238" s="416">
        <v>12.5</v>
      </c>
      <c r="B1238" s="91">
        <v>-8</v>
      </c>
      <c r="C1238" s="91">
        <v>-1</v>
      </c>
      <c r="D1238" s="91">
        <v>8</v>
      </c>
      <c r="E1238" s="91">
        <v>54</v>
      </c>
      <c r="F1238" s="6">
        <v>1.61</v>
      </c>
      <c r="G1238" s="79">
        <v>3312</v>
      </c>
      <c r="H1238" s="8" t="s">
        <v>3439</v>
      </c>
      <c r="I1238" s="22" t="s">
        <v>839</v>
      </c>
      <c r="J1238" s="73">
        <v>59.58</v>
      </c>
      <c r="K1238" s="73">
        <v>18.100000000000001</v>
      </c>
      <c r="L1238" s="73">
        <v>19.809999999999999</v>
      </c>
      <c r="N1238" s="318">
        <f t="shared" si="235"/>
        <v>97.490000000000009</v>
      </c>
      <c r="O1238" s="81">
        <f>IFERROR(VLOOKUP($G1238,'321買'!A:E,3,0),"'沒有資料'")</f>
        <v>19</v>
      </c>
      <c r="P1238" s="380">
        <f>IFERROR(VLOOKUP($G1238,'321買'!$A:$G,7,0),"'沒有資料'")</f>
        <v>273</v>
      </c>
      <c r="R1238" s="297">
        <f>IFERROR(RANK(VLOOKUP($G1238,連買!$A:$D,4,0),連買!$D:$D,0),"'沒有資料'")</f>
        <v>781</v>
      </c>
      <c r="S1238" s="34">
        <v>1</v>
      </c>
      <c r="T1238" s="353">
        <f t="shared" si="230"/>
        <v>4.1666666666666664E-2</v>
      </c>
      <c r="U1238" s="95">
        <v>1.63</v>
      </c>
      <c r="V1238" s="13">
        <f>RTD("money.excel",,"3312","Price")</f>
        <v>24</v>
      </c>
      <c r="W1238" s="66"/>
      <c r="X1238" s="15">
        <f t="shared" si="231"/>
        <v>24</v>
      </c>
      <c r="Y1238" s="3" t="e">
        <f t="shared" si="232"/>
        <v>#DIV/0!</v>
      </c>
      <c r="Z1238" s="413" t="s">
        <v>1801</v>
      </c>
      <c r="AA1238" s="161">
        <v>0</v>
      </c>
      <c r="AB1238" s="409">
        <v>0</v>
      </c>
      <c r="AC1238" s="259">
        <f t="shared" si="229"/>
        <v>0</v>
      </c>
      <c r="AD1238" s="22" t="s">
        <v>839</v>
      </c>
      <c r="AG1238" s="33">
        <f t="shared" si="233"/>
        <v>0</v>
      </c>
      <c r="AH1238" s="43" t="s">
        <v>3065</v>
      </c>
      <c r="AI1238" s="63">
        <f t="shared" si="234"/>
        <v>3.712E-3</v>
      </c>
      <c r="AJ1238" s="307">
        <f>RTD("money.excel",,$G1238,"PredictVolume")</f>
        <v>464</v>
      </c>
      <c r="AK1238" s="339"/>
    </row>
    <row r="1239" spans="1:37">
      <c r="A1239" s="416">
        <v>6.87</v>
      </c>
      <c r="B1239" s="80">
        <v>-39</v>
      </c>
      <c r="C1239" s="80">
        <v>-43</v>
      </c>
      <c r="D1239" s="79">
        <v>4</v>
      </c>
      <c r="E1239" s="79">
        <v>106</v>
      </c>
      <c r="F1239" s="6">
        <v>1.23</v>
      </c>
      <c r="G1239" s="79">
        <v>3360</v>
      </c>
      <c r="H1239" s="8" t="s">
        <v>3439</v>
      </c>
      <c r="I1239" s="16" t="s">
        <v>330</v>
      </c>
      <c r="J1239" s="323">
        <v>15.11</v>
      </c>
      <c r="K1239" s="73">
        <v>0.87</v>
      </c>
      <c r="L1239" s="73">
        <v>16.87</v>
      </c>
      <c r="M1239" s="73">
        <v>8.69</v>
      </c>
      <c r="N1239" s="318">
        <f t="shared" si="235"/>
        <v>41.54</v>
      </c>
      <c r="O1239" s="81">
        <f>IFERROR(VLOOKUP($G1239,'321買'!A:E,3,0),"'沒有資料'")</f>
        <v>1</v>
      </c>
      <c r="P1239" s="380">
        <f>IFERROR(VLOOKUP($G1239,'321買'!$A:$G,7,0),"'沒有資料'")</f>
        <v>783</v>
      </c>
      <c r="Q1239" s="245" t="s">
        <v>3816</v>
      </c>
      <c r="R1239" s="297">
        <f>IFERROR(RANK(VLOOKUP($G1239,連買!$A:$D,4,0),連買!$D:$D,0),"'沒有資料'")</f>
        <v>1002</v>
      </c>
      <c r="S1239" s="34">
        <v>1</v>
      </c>
      <c r="T1239" s="353">
        <f t="shared" si="230"/>
        <v>5.5710306406685242E-2</v>
      </c>
      <c r="U1239" s="95">
        <v>0.55000000000000004</v>
      </c>
      <c r="V1239" s="13">
        <f>RTD("money.excel",,"3360","Price")</f>
        <v>17.95</v>
      </c>
      <c r="W1239" s="66"/>
      <c r="X1239" s="15">
        <f t="shared" si="231"/>
        <v>17.95</v>
      </c>
      <c r="Y1239" s="3" t="e">
        <f t="shared" si="232"/>
        <v>#DIV/0!</v>
      </c>
      <c r="Z1239" s="413" t="s">
        <v>1801</v>
      </c>
      <c r="AA1239" s="161">
        <v>0</v>
      </c>
      <c r="AB1239" s="409">
        <v>0</v>
      </c>
      <c r="AC1239" s="259">
        <f t="shared" si="229"/>
        <v>0</v>
      </c>
      <c r="AD1239" s="16" t="s">
        <v>330</v>
      </c>
      <c r="AG1239" s="33">
        <f t="shared" si="233"/>
        <v>0</v>
      </c>
      <c r="AH1239" s="43" t="s">
        <v>3197</v>
      </c>
      <c r="AI1239" s="63">
        <f t="shared" si="234"/>
        <v>3.5225618631732169E-3</v>
      </c>
      <c r="AJ1239" s="307">
        <f>RTD("money.excel",,$G1239,"PredictVolume")</f>
        <v>242</v>
      </c>
      <c r="AK1239" s="339"/>
    </row>
    <row r="1240" spans="1:37">
      <c r="A1240" s="415">
        <v>3.91</v>
      </c>
      <c r="B1240" s="91">
        <v>12</v>
      </c>
      <c r="C1240" s="91">
        <v>42</v>
      </c>
      <c r="D1240" s="91">
        <v>-5</v>
      </c>
      <c r="E1240" s="91">
        <v>61</v>
      </c>
      <c r="F1240" s="57">
        <v>12.86</v>
      </c>
      <c r="G1240" s="79">
        <v>3444</v>
      </c>
      <c r="H1240" s="8" t="s">
        <v>3439</v>
      </c>
      <c r="I1240" s="16" t="s">
        <v>821</v>
      </c>
      <c r="J1240" s="73">
        <v>55.71</v>
      </c>
      <c r="K1240" s="73">
        <v>9.02</v>
      </c>
      <c r="L1240" s="73">
        <v>13.12</v>
      </c>
      <c r="N1240" s="318">
        <f t="shared" si="235"/>
        <v>77.850000000000009</v>
      </c>
      <c r="O1240" s="81">
        <f>IFERROR(VLOOKUP($G1240,'321買'!A:E,3,0),"'沒有資料'")</f>
        <v>12</v>
      </c>
      <c r="P1240" s="380">
        <f>IFERROR(VLOOKUP($G1240,'321買'!$A:$G,7,0),"'沒有資料'")</f>
        <v>387</v>
      </c>
      <c r="R1240" s="297">
        <f>IFERROR(RANK(VLOOKUP($G1240,連買!$A:$D,4,0),連買!$D:$D,0),"'沒有資料'")</f>
        <v>1563</v>
      </c>
      <c r="S1240" s="34">
        <v>1.8</v>
      </c>
      <c r="T1240" s="353">
        <f t="shared" si="230"/>
        <v>3.0769230769230771E-2</v>
      </c>
      <c r="U1240" s="95">
        <v>2.72</v>
      </c>
      <c r="V1240" s="13">
        <f>RTD("money.excel",,"3444","Price")</f>
        <v>58.5</v>
      </c>
      <c r="W1240" s="66"/>
      <c r="X1240" s="15">
        <f t="shared" si="231"/>
        <v>58.5</v>
      </c>
      <c r="Y1240" s="3" t="e">
        <f t="shared" si="232"/>
        <v>#DIV/0!</v>
      </c>
      <c r="Z1240" s="413" t="s">
        <v>1801</v>
      </c>
      <c r="AA1240" s="161">
        <v>0</v>
      </c>
      <c r="AB1240" s="409">
        <v>0</v>
      </c>
      <c r="AC1240" s="259">
        <f t="shared" si="229"/>
        <v>0</v>
      </c>
      <c r="AD1240" s="16" t="s">
        <v>821</v>
      </c>
      <c r="AG1240" s="33">
        <f t="shared" si="233"/>
        <v>0</v>
      </c>
      <c r="AH1240" s="43" t="s">
        <v>2838</v>
      </c>
      <c r="AI1240" s="63">
        <f t="shared" si="234"/>
        <v>3.8721227621483376E-2</v>
      </c>
      <c r="AJ1240" s="307">
        <f>RTD("money.excel",,$G1240,"PredictVolume")</f>
        <v>1514</v>
      </c>
      <c r="AK1240" s="339"/>
    </row>
    <row r="1241" spans="1:37">
      <c r="A1241" s="416">
        <v>6.56</v>
      </c>
      <c r="B1241" s="80">
        <v>-5</v>
      </c>
      <c r="C1241" s="80">
        <v>-6</v>
      </c>
      <c r="D1241" s="80">
        <v>-11</v>
      </c>
      <c r="E1241" s="79">
        <v>75</v>
      </c>
      <c r="F1241" s="6">
        <v>6.24</v>
      </c>
      <c r="G1241" s="79">
        <v>3528</v>
      </c>
      <c r="H1241" s="8" t="s">
        <v>3439</v>
      </c>
      <c r="I1241" s="22" t="s">
        <v>840</v>
      </c>
      <c r="J1241" s="323">
        <v>70.16</v>
      </c>
      <c r="K1241" s="323">
        <v>8.6</v>
      </c>
      <c r="L1241" s="73">
        <v>0.35</v>
      </c>
      <c r="N1241" s="318">
        <f t="shared" si="235"/>
        <v>79.109999999999985</v>
      </c>
      <c r="O1241" s="81">
        <f>IFERROR(VLOOKUP($G1241,'321買'!A:E,3,0),"'沒有資料'")</f>
        <v>1</v>
      </c>
      <c r="P1241" s="380">
        <f>IFERROR(VLOOKUP($G1241,'321買'!$A:$G,7,0),"'沒有資料'")</f>
        <v>783</v>
      </c>
      <c r="R1241" s="297">
        <f>IFERROR(RANK(VLOOKUP($G1241,連買!$A:$D,4,0),連買!$D:$D,0),"'沒有資料'")</f>
        <v>524</v>
      </c>
      <c r="S1241" s="34">
        <v>2.9</v>
      </c>
      <c r="T1241" s="353">
        <f t="shared" si="230"/>
        <v>5.5984555984555984E-2</v>
      </c>
      <c r="U1241" s="57">
        <v>3.18</v>
      </c>
      <c r="V1241" s="36">
        <f>RTD("money.excel",,"3528","Price")</f>
        <v>51.8</v>
      </c>
      <c r="W1241" s="66"/>
      <c r="X1241" s="15">
        <f t="shared" si="231"/>
        <v>51.8</v>
      </c>
      <c r="Y1241" s="3" t="e">
        <f t="shared" si="232"/>
        <v>#DIV/0!</v>
      </c>
      <c r="Z1241" s="413" t="s">
        <v>1801</v>
      </c>
      <c r="AA1241" s="161">
        <v>0</v>
      </c>
      <c r="AB1241" s="409">
        <v>0</v>
      </c>
      <c r="AC1241" s="259">
        <f t="shared" si="229"/>
        <v>0</v>
      </c>
      <c r="AD1241" s="22" t="s">
        <v>840</v>
      </c>
      <c r="AG1241" s="33">
        <f t="shared" si="233"/>
        <v>0</v>
      </c>
      <c r="AH1241" s="43" t="s">
        <v>3062</v>
      </c>
      <c r="AI1241" s="63">
        <f t="shared" si="234"/>
        <v>1.371951219512195E-3</v>
      </c>
      <c r="AJ1241" s="307">
        <f>RTD("money.excel",,$G1241,"PredictVolume")</f>
        <v>90</v>
      </c>
      <c r="AK1241" s="339"/>
    </row>
    <row r="1242" spans="1:37">
      <c r="A1242" s="416">
        <v>167</v>
      </c>
      <c r="B1242" s="79">
        <v>46</v>
      </c>
      <c r="C1242" s="79">
        <v>39</v>
      </c>
      <c r="D1242" s="79">
        <v>16</v>
      </c>
      <c r="E1242" s="79">
        <v>28</v>
      </c>
      <c r="F1242" s="6">
        <v>1.82</v>
      </c>
      <c r="G1242" s="79">
        <v>3702</v>
      </c>
      <c r="H1242" s="8" t="s">
        <v>3439</v>
      </c>
      <c r="I1242" s="22" t="s">
        <v>4943</v>
      </c>
      <c r="J1242" s="323">
        <v>72.760000000000005</v>
      </c>
      <c r="K1242" s="323">
        <v>36.24</v>
      </c>
      <c r="L1242" s="73">
        <v>0.82</v>
      </c>
      <c r="N1242" s="318">
        <f t="shared" si="235"/>
        <v>109.82</v>
      </c>
      <c r="O1242" s="81">
        <f>IFERROR(VLOOKUP($G1242,'321買'!A:E,3,0),"'沒有資料'")</f>
        <v>3</v>
      </c>
      <c r="P1242" s="380">
        <f>IFERROR(VLOOKUP($G1242,'321買'!$A:$G,7,0),"'沒有資料'")</f>
        <v>636</v>
      </c>
      <c r="Q1242" s="245" t="s">
        <v>3816</v>
      </c>
      <c r="R1242" s="297">
        <f>IFERROR(RANK(VLOOKUP($G1242,連買!$A:$D,4,0),連買!$D:$D,0),"'沒有資料'")</f>
        <v>298</v>
      </c>
      <c r="S1242" s="66">
        <v>3.1</v>
      </c>
      <c r="T1242" s="353">
        <f t="shared" si="230"/>
        <v>5.4964539007092202E-2</v>
      </c>
      <c r="U1242" s="57">
        <v>6.48</v>
      </c>
      <c r="V1242" s="36">
        <f>RTD("money.excel",,"3702","Price")</f>
        <v>56.4</v>
      </c>
      <c r="W1242" s="66"/>
      <c r="X1242" s="15">
        <f t="shared" si="231"/>
        <v>56.4</v>
      </c>
      <c r="Y1242" s="3" t="e">
        <f t="shared" si="232"/>
        <v>#DIV/0!</v>
      </c>
      <c r="Z1242" s="413" t="s">
        <v>1997</v>
      </c>
      <c r="AA1242" s="161">
        <v>0</v>
      </c>
      <c r="AB1242" s="409">
        <v>0</v>
      </c>
      <c r="AC1242" s="259">
        <f t="shared" si="229"/>
        <v>0</v>
      </c>
      <c r="AD1242" s="22" t="s">
        <v>4943</v>
      </c>
      <c r="AG1242" s="33">
        <f t="shared" si="233"/>
        <v>0</v>
      </c>
      <c r="AH1242" s="120" t="s">
        <v>3062</v>
      </c>
      <c r="AI1242" s="63">
        <f t="shared" si="234"/>
        <v>1.8892215568862276E-3</v>
      </c>
      <c r="AJ1242" s="307">
        <f>RTD("money.excel",,$G1242,"PredictVolume")</f>
        <v>3155</v>
      </c>
      <c r="AK1242" s="339"/>
    </row>
    <row r="1243" spans="1:37">
      <c r="A1243" s="416">
        <v>18.100000000000001</v>
      </c>
      <c r="B1243" s="79">
        <v>15</v>
      </c>
      <c r="C1243" s="79">
        <v>8</v>
      </c>
      <c r="D1243" s="79">
        <v>1</v>
      </c>
      <c r="E1243" s="79">
        <v>1</v>
      </c>
      <c r="F1243" s="6">
        <v>5.63</v>
      </c>
      <c r="G1243" s="79">
        <v>5434</v>
      </c>
      <c r="H1243" s="8" t="s">
        <v>3439</v>
      </c>
      <c r="I1243" s="22" t="s">
        <v>4944</v>
      </c>
      <c r="J1243" s="323">
        <v>37.520000000000003</v>
      </c>
      <c r="K1243" s="323">
        <v>27.81</v>
      </c>
      <c r="L1243" s="323">
        <v>2.84</v>
      </c>
      <c r="N1243" s="318">
        <f t="shared" si="235"/>
        <v>68.17</v>
      </c>
      <c r="O1243" s="81">
        <f>IFERROR(VLOOKUP($G1243,'321買'!A:E,3,0),"'沒有資料'")</f>
        <v>1</v>
      </c>
      <c r="P1243" s="380">
        <f>IFERROR(VLOOKUP($G1243,'321買'!$A:$G,7,0),"'沒有資料'")</f>
        <v>783</v>
      </c>
      <c r="R1243" s="297">
        <f>IFERROR(RANK(VLOOKUP($G1243,連買!$A:$D,4,0),連買!$D:$D,0),"'沒有資料'")</f>
        <v>67</v>
      </c>
      <c r="S1243" s="66">
        <v>8</v>
      </c>
      <c r="T1243" s="353">
        <f t="shared" si="230"/>
        <v>4.49438202247191E-2</v>
      </c>
      <c r="U1243" s="95">
        <v>11.38</v>
      </c>
      <c r="V1243" s="36">
        <f>RTD("money.excel",,"5434","Price")</f>
        <v>178</v>
      </c>
      <c r="W1243" s="66"/>
      <c r="X1243" s="15">
        <f t="shared" si="231"/>
        <v>178</v>
      </c>
      <c r="Y1243" s="3" t="e">
        <f t="shared" si="232"/>
        <v>#DIV/0!</v>
      </c>
      <c r="Z1243" s="413" t="s">
        <v>1997</v>
      </c>
      <c r="AA1243" s="161">
        <v>0</v>
      </c>
      <c r="AB1243" s="409">
        <v>0</v>
      </c>
      <c r="AC1243" s="259">
        <f t="shared" si="229"/>
        <v>0</v>
      </c>
      <c r="AD1243" s="22" t="s">
        <v>4944</v>
      </c>
      <c r="AG1243" s="33">
        <f t="shared" si="233"/>
        <v>0</v>
      </c>
      <c r="AH1243" s="120" t="s">
        <v>3066</v>
      </c>
      <c r="AI1243" s="63">
        <f t="shared" si="234"/>
        <v>8.8397790055248626E-3</v>
      </c>
      <c r="AJ1243" s="307">
        <f>RTD("money.excel",,$G1243,"PredictVolume")</f>
        <v>1600</v>
      </c>
      <c r="AK1243" s="339"/>
    </row>
    <row r="1244" spans="1:37">
      <c r="A1244" s="416">
        <v>5</v>
      </c>
      <c r="B1244" s="91">
        <v>29</v>
      </c>
      <c r="C1244" s="91">
        <v>52</v>
      </c>
      <c r="D1244" s="91">
        <v>26</v>
      </c>
      <c r="E1244" s="91">
        <v>133</v>
      </c>
      <c r="F1244" s="6">
        <v>-2.85</v>
      </c>
      <c r="G1244" s="79">
        <v>6113</v>
      </c>
      <c r="H1244" s="8" t="s">
        <v>3439</v>
      </c>
      <c r="I1244" s="16" t="s">
        <v>822</v>
      </c>
      <c r="J1244" s="73">
        <v>52.28</v>
      </c>
      <c r="K1244" s="73">
        <v>8.1300000000000008</v>
      </c>
      <c r="L1244" s="73">
        <v>15.6</v>
      </c>
      <c r="N1244" s="318">
        <f t="shared" si="235"/>
        <v>76.010000000000005</v>
      </c>
      <c r="O1244" s="81">
        <f>IFERROR(VLOOKUP($G1244,'321買'!A:E,3,0),"'沒有資料'")</f>
        <v>0</v>
      </c>
      <c r="P1244" s="380">
        <f>IFERROR(VLOOKUP($G1244,'321買'!$A:$G,7,0),"'沒有資料'")</f>
        <v>911</v>
      </c>
      <c r="R1244" s="297">
        <f>IFERROR(RANK(VLOOKUP($G1244,連買!$A:$D,4,0),連買!$D:$D,0),"'沒有資料'")</f>
        <v>1157</v>
      </c>
      <c r="S1244" s="34">
        <v>0</v>
      </c>
      <c r="T1244" s="353">
        <f t="shared" si="230"/>
        <v>0</v>
      </c>
      <c r="U1244" s="95">
        <v>-0.27</v>
      </c>
      <c r="V1244" s="13">
        <f>RTD("money.excel",,"6113","Price")</f>
        <v>12.6</v>
      </c>
      <c r="W1244" s="66"/>
      <c r="X1244" s="15">
        <f t="shared" si="231"/>
        <v>12.6</v>
      </c>
      <c r="Y1244" s="3" t="e">
        <f t="shared" si="232"/>
        <v>#DIV/0!</v>
      </c>
      <c r="AA1244" s="161">
        <v>0</v>
      </c>
      <c r="AB1244" s="409">
        <v>0</v>
      </c>
      <c r="AC1244" s="259">
        <f t="shared" si="229"/>
        <v>0</v>
      </c>
      <c r="AD1244" s="16" t="s">
        <v>822</v>
      </c>
      <c r="AG1244" s="33">
        <f t="shared" si="233"/>
        <v>0</v>
      </c>
      <c r="AH1244" s="43" t="s">
        <v>2839</v>
      </c>
      <c r="AI1244" s="63">
        <f t="shared" si="234"/>
        <v>2.2000000000000001E-3</v>
      </c>
      <c r="AJ1244" s="307">
        <f>RTD("money.excel",,$G1244,"PredictVolume")</f>
        <v>110</v>
      </c>
      <c r="AK1244" s="339"/>
    </row>
    <row r="1245" spans="1:37">
      <c r="A1245" s="416">
        <v>9.09</v>
      </c>
      <c r="B1245" s="79">
        <v>260</v>
      </c>
      <c r="C1245" s="79">
        <v>157</v>
      </c>
      <c r="D1245" s="79">
        <v>37</v>
      </c>
      <c r="E1245" s="79">
        <v>50</v>
      </c>
      <c r="F1245" s="6">
        <v>0.69</v>
      </c>
      <c r="G1245" s="79">
        <v>6118</v>
      </c>
      <c r="H1245" s="8" t="s">
        <v>3439</v>
      </c>
      <c r="I1245" s="16" t="s">
        <v>823</v>
      </c>
      <c r="J1245" s="73">
        <v>64.69</v>
      </c>
      <c r="K1245" s="73">
        <v>2.2000000000000002</v>
      </c>
      <c r="L1245" s="323">
        <v>28.54</v>
      </c>
      <c r="M1245" s="323">
        <v>34.6</v>
      </c>
      <c r="N1245" s="73">
        <f t="shared" si="235"/>
        <v>130.03</v>
      </c>
      <c r="O1245" s="81">
        <f>IFERROR(VLOOKUP($G1245,'321買'!A:E,3,0),"'沒有資料'")</f>
        <v>25</v>
      </c>
      <c r="P1245" s="380">
        <f>IFERROR(VLOOKUP($G1245,'321買'!$A:$G,7,0),"'沒有資料'")</f>
        <v>196</v>
      </c>
      <c r="Q1245" s="245" t="s">
        <v>3815</v>
      </c>
      <c r="R1245" s="297">
        <f>IFERROR(RANK(VLOOKUP($G1245,連買!$A:$D,4,0),連買!$D:$D,0),"'沒有資料'")</f>
        <v>801</v>
      </c>
      <c r="S1245" s="34">
        <v>0</v>
      </c>
      <c r="T1245" s="353">
        <f t="shared" si="230"/>
        <v>0</v>
      </c>
      <c r="U1245" s="57">
        <v>0.76</v>
      </c>
      <c r="V1245" s="36">
        <f>RTD("money.excel",,"6118","Price")</f>
        <v>31.8</v>
      </c>
      <c r="W1245" s="66"/>
      <c r="X1245" s="15">
        <f t="shared" si="231"/>
        <v>31.8</v>
      </c>
      <c r="Y1245" s="3" t="e">
        <f t="shared" si="232"/>
        <v>#DIV/0!</v>
      </c>
      <c r="AA1245" s="161">
        <v>0</v>
      </c>
      <c r="AB1245" s="409">
        <v>0</v>
      </c>
      <c r="AC1245" s="259">
        <f t="shared" si="229"/>
        <v>0</v>
      </c>
      <c r="AD1245" s="16" t="s">
        <v>823</v>
      </c>
      <c r="AG1245" s="33">
        <f t="shared" si="233"/>
        <v>0</v>
      </c>
      <c r="AH1245" s="43" t="s">
        <v>2515</v>
      </c>
      <c r="AI1245" s="63">
        <f t="shared" si="234"/>
        <v>1.8272827282728273E-2</v>
      </c>
      <c r="AJ1245" s="307">
        <f>RTD("money.excel",,$G1245,"PredictVolume")</f>
        <v>1661</v>
      </c>
    </row>
    <row r="1246" spans="1:37">
      <c r="A1246" s="416">
        <v>8.01</v>
      </c>
      <c r="B1246" s="91">
        <v>25</v>
      </c>
      <c r="C1246" s="91">
        <v>26</v>
      </c>
      <c r="D1246" s="91">
        <v>-1</v>
      </c>
      <c r="E1246" s="91">
        <v>-10</v>
      </c>
      <c r="F1246" s="6">
        <v>1.96</v>
      </c>
      <c r="G1246" s="79">
        <v>6154</v>
      </c>
      <c r="H1246" s="8" t="s">
        <v>3439</v>
      </c>
      <c r="I1246" s="16" t="s">
        <v>824</v>
      </c>
      <c r="J1246" s="73">
        <v>63.47</v>
      </c>
      <c r="K1246" s="73">
        <v>0.01</v>
      </c>
      <c r="L1246" s="73">
        <v>0.25</v>
      </c>
      <c r="N1246" s="318">
        <f t="shared" si="235"/>
        <v>63.73</v>
      </c>
      <c r="O1246" s="81" t="str">
        <f>IFERROR(VLOOKUP($G1246,'321買'!A:E,3,0),"'沒有資料'")</f>
        <v>'沒有資料'</v>
      </c>
      <c r="P1246" s="380" t="str">
        <f>IFERROR(VLOOKUP($G1246,'321買'!$A:$G,7,0),"'沒有資料'")</f>
        <v>'沒有資料'</v>
      </c>
      <c r="R1246" s="297">
        <f>IFERROR(RANK(VLOOKUP($G1246,連買!$A:$D,4,0),連買!$D:$D,0),"'沒有資料'")</f>
        <v>882</v>
      </c>
      <c r="S1246" s="34">
        <v>0.55000000000000004</v>
      </c>
      <c r="T1246" s="353">
        <f t="shared" si="230"/>
        <v>3.081232492997199E-2</v>
      </c>
      <c r="U1246" s="95">
        <v>0.56000000000000005</v>
      </c>
      <c r="V1246" s="13">
        <f>RTD("money.excel",,"6154","Price")</f>
        <v>17.850000000000001</v>
      </c>
      <c r="W1246" s="66"/>
      <c r="X1246" s="15">
        <f t="shared" si="231"/>
        <v>17.850000000000001</v>
      </c>
      <c r="Y1246" s="3" t="e">
        <f t="shared" si="232"/>
        <v>#DIV/0!</v>
      </c>
      <c r="AA1246" s="161">
        <v>0</v>
      </c>
      <c r="AB1246" s="409">
        <v>0</v>
      </c>
      <c r="AC1246" s="259">
        <f t="shared" si="229"/>
        <v>0</v>
      </c>
      <c r="AD1246" s="16" t="s">
        <v>824</v>
      </c>
      <c r="AG1246" s="33">
        <f t="shared" si="233"/>
        <v>0</v>
      </c>
      <c r="AH1246" s="43" t="s">
        <v>2840</v>
      </c>
      <c r="AI1246" s="63">
        <f t="shared" si="234"/>
        <v>3.6204744069912612E-4</v>
      </c>
      <c r="AJ1246" s="307">
        <f>RTD("money.excel",,$G1246,"PredictVolume")</f>
        <v>29</v>
      </c>
      <c r="AK1246" s="339"/>
    </row>
    <row r="1247" spans="1:37">
      <c r="A1247" s="416">
        <v>17.899999999999999</v>
      </c>
      <c r="B1247" s="91">
        <v>4</v>
      </c>
      <c r="C1247" s="91">
        <v>19</v>
      </c>
      <c r="D1247" s="91">
        <v>13</v>
      </c>
      <c r="E1247" s="91">
        <v>71</v>
      </c>
      <c r="F1247" s="6">
        <v>3.93</v>
      </c>
      <c r="G1247" s="79">
        <v>6189</v>
      </c>
      <c r="H1247" s="8" t="s">
        <v>3439</v>
      </c>
      <c r="I1247" s="22" t="s">
        <v>841</v>
      </c>
      <c r="J1247" s="73">
        <v>33.14</v>
      </c>
      <c r="K1247" s="73">
        <v>4.72</v>
      </c>
      <c r="L1247" s="73">
        <v>0.53</v>
      </c>
      <c r="N1247" s="318">
        <f t="shared" si="235"/>
        <v>38.39</v>
      </c>
      <c r="O1247" s="81">
        <f>IFERROR(VLOOKUP($G1247,'321買'!A:E,3,0),"'沒有資料'")</f>
        <v>0</v>
      </c>
      <c r="P1247" s="380">
        <f>IFERROR(VLOOKUP($G1247,'321買'!$A:$G,7,0),"'沒有資料'")</f>
        <v>911</v>
      </c>
      <c r="R1247" s="297">
        <f>IFERROR(RANK(VLOOKUP($G1247,連買!$A:$D,4,0),連買!$D:$D,0),"'沒有資料'")</f>
        <v>500</v>
      </c>
      <c r="S1247" s="34">
        <v>2.8</v>
      </c>
      <c r="T1247" s="353">
        <f t="shared" si="230"/>
        <v>6.2992125984251954E-2</v>
      </c>
      <c r="U1247" s="95">
        <v>2.99</v>
      </c>
      <c r="V1247" s="36">
        <f>RTD("money.excel",,"6189","Price")</f>
        <v>44.45</v>
      </c>
      <c r="W1247" s="66"/>
      <c r="X1247" s="15">
        <f t="shared" si="231"/>
        <v>44.45</v>
      </c>
      <c r="Y1247" s="3" t="e">
        <f t="shared" si="232"/>
        <v>#DIV/0!</v>
      </c>
      <c r="AA1247" s="161">
        <v>0</v>
      </c>
      <c r="AB1247" s="409">
        <v>0</v>
      </c>
      <c r="AC1247" s="259">
        <f t="shared" si="229"/>
        <v>0</v>
      </c>
      <c r="AD1247" s="22" t="s">
        <v>841</v>
      </c>
      <c r="AG1247" s="33">
        <f t="shared" si="233"/>
        <v>0</v>
      </c>
      <c r="AH1247" s="43" t="s">
        <v>3061</v>
      </c>
      <c r="AI1247" s="63">
        <f t="shared" si="234"/>
        <v>1.3966480446927375E-3</v>
      </c>
      <c r="AJ1247" s="307">
        <f>RTD("money.excel",,$G1247,"PredictVolume")</f>
        <v>250</v>
      </c>
      <c r="AK1247" s="339"/>
    </row>
    <row r="1248" spans="1:37">
      <c r="A1248" s="416">
        <v>7.61</v>
      </c>
      <c r="B1248" s="91">
        <v>32</v>
      </c>
      <c r="C1248" s="91">
        <v>17</v>
      </c>
      <c r="D1248" s="91">
        <v>21</v>
      </c>
      <c r="E1248" s="91">
        <v>133</v>
      </c>
      <c r="F1248" s="6">
        <v>3.76</v>
      </c>
      <c r="G1248" s="79">
        <v>6227</v>
      </c>
      <c r="H1248" s="8" t="s">
        <v>3439</v>
      </c>
      <c r="I1248" s="16" t="s">
        <v>825</v>
      </c>
      <c r="J1248" s="73">
        <v>70.400000000000006</v>
      </c>
      <c r="K1248" s="73">
        <v>0.36</v>
      </c>
      <c r="L1248" s="73">
        <v>12.46</v>
      </c>
      <c r="N1248" s="318">
        <f t="shared" si="235"/>
        <v>83.22</v>
      </c>
      <c r="O1248" s="81">
        <f>IFERROR(VLOOKUP($G1248,'321買'!A:E,3,0),"'沒有資料'")</f>
        <v>5</v>
      </c>
      <c r="P1248" s="380">
        <f>IFERROR(VLOOKUP($G1248,'321買'!$A:$G,7,0),"'沒有資料'")</f>
        <v>558</v>
      </c>
      <c r="R1248" s="297">
        <f>IFERROR(RANK(VLOOKUP($G1248,連買!$A:$D,4,0),連買!$D:$D,0),"'沒有資料'")</f>
        <v>486</v>
      </c>
      <c r="S1248" s="34">
        <v>1.5</v>
      </c>
      <c r="T1248" s="353">
        <f t="shared" si="230"/>
        <v>4.0983606557377046E-2</v>
      </c>
      <c r="U1248" s="95">
        <v>2.61</v>
      </c>
      <c r="V1248" s="13">
        <f>RTD("money.excel",,"6227","Price")</f>
        <v>36.6</v>
      </c>
      <c r="W1248" s="66"/>
      <c r="X1248" s="15">
        <f t="shared" si="231"/>
        <v>36.6</v>
      </c>
      <c r="Y1248" s="3" t="e">
        <f t="shared" si="232"/>
        <v>#DIV/0!</v>
      </c>
      <c r="AA1248" s="161">
        <v>0</v>
      </c>
      <c r="AB1248" s="409">
        <v>0</v>
      </c>
      <c r="AC1248" s="259">
        <f t="shared" si="229"/>
        <v>0</v>
      </c>
      <c r="AD1248" s="16" t="s">
        <v>825</v>
      </c>
      <c r="AG1248" s="33">
        <f t="shared" si="233"/>
        <v>0</v>
      </c>
      <c r="AH1248" s="43" t="s">
        <v>2837</v>
      </c>
      <c r="AI1248" s="63">
        <f t="shared" si="234"/>
        <v>4.6254927726675429E-3</v>
      </c>
      <c r="AJ1248" s="307">
        <f>RTD("money.excel",,$G1248,"PredictVolume")</f>
        <v>352</v>
      </c>
      <c r="AK1248" s="339"/>
    </row>
    <row r="1249" spans="1:37">
      <c r="A1249" s="416">
        <v>11.8</v>
      </c>
      <c r="B1249" s="91">
        <v>-127</v>
      </c>
      <c r="C1249" s="91">
        <v>-143</v>
      </c>
      <c r="D1249" s="91">
        <v>-19</v>
      </c>
      <c r="E1249" s="91">
        <v>0</v>
      </c>
      <c r="F1249" s="6">
        <v>-8.65</v>
      </c>
      <c r="G1249" s="79">
        <v>6265</v>
      </c>
      <c r="H1249" s="8" t="s">
        <v>3439</v>
      </c>
      <c r="I1249" s="16" t="s">
        <v>826</v>
      </c>
      <c r="J1249" s="73">
        <v>59.6</v>
      </c>
      <c r="K1249" s="73">
        <v>2.08</v>
      </c>
      <c r="L1249" s="73">
        <v>10.08</v>
      </c>
      <c r="N1249" s="318">
        <f t="shared" si="235"/>
        <v>71.760000000000005</v>
      </c>
      <c r="O1249" s="81">
        <f>IFERROR(VLOOKUP($G1249,'321買'!A:E,3,0),"'沒有資料'")</f>
        <v>18</v>
      </c>
      <c r="P1249" s="380">
        <f>IFERROR(VLOOKUP($G1249,'321買'!$A:$G,7,0),"'沒有資料'")</f>
        <v>265</v>
      </c>
      <c r="R1249" s="297">
        <f>IFERROR(RANK(VLOOKUP($G1249,連買!$A:$D,4,0),連買!$D:$D,0),"'沒有資料'")</f>
        <v>1391</v>
      </c>
      <c r="S1249" s="34">
        <v>0</v>
      </c>
      <c r="T1249" s="353">
        <f t="shared" si="230"/>
        <v>0</v>
      </c>
      <c r="U1249" s="95">
        <v>-0.25</v>
      </c>
      <c r="V1249" s="13">
        <f>RTD("money.excel",,"6265","Price")</f>
        <v>12.1</v>
      </c>
      <c r="W1249" s="66"/>
      <c r="X1249" s="15">
        <f t="shared" si="231"/>
        <v>12.1</v>
      </c>
      <c r="Y1249" s="3" t="e">
        <f t="shared" si="232"/>
        <v>#DIV/0!</v>
      </c>
      <c r="AA1249" s="161">
        <v>0</v>
      </c>
      <c r="AB1249" s="409">
        <v>0</v>
      </c>
      <c r="AC1249" s="259">
        <f t="shared" si="229"/>
        <v>0</v>
      </c>
      <c r="AD1249" s="16" t="s">
        <v>826</v>
      </c>
      <c r="AG1249" s="33">
        <f t="shared" si="233"/>
        <v>0</v>
      </c>
      <c r="AH1249" s="43" t="s">
        <v>2837</v>
      </c>
      <c r="AI1249" s="63">
        <f t="shared" si="234"/>
        <v>4.4745762711864406E-3</v>
      </c>
      <c r="AJ1249" s="307">
        <f>RTD("money.excel",,$G1249,"PredictVolume")</f>
        <v>528</v>
      </c>
      <c r="AK1249" s="339"/>
    </row>
    <row r="1250" spans="1:37">
      <c r="A1250" s="416">
        <v>7.21</v>
      </c>
      <c r="B1250" s="79">
        <v>34</v>
      </c>
      <c r="C1250" s="79">
        <v>64</v>
      </c>
      <c r="D1250" s="79">
        <v>23</v>
      </c>
      <c r="E1250" s="79">
        <v>92</v>
      </c>
      <c r="F1250" s="6">
        <v>2.96</v>
      </c>
      <c r="G1250" s="79">
        <v>6270</v>
      </c>
      <c r="H1250" s="8" t="s">
        <v>3439</v>
      </c>
      <c r="I1250" s="16" t="s">
        <v>827</v>
      </c>
      <c r="J1250" s="323">
        <v>38.770000000000003</v>
      </c>
      <c r="K1250" s="323">
        <v>1.06</v>
      </c>
      <c r="L1250" s="73">
        <v>17.91</v>
      </c>
      <c r="N1250" s="318">
        <f t="shared" si="235"/>
        <v>57.740000000000009</v>
      </c>
      <c r="O1250" s="81">
        <f>IFERROR(VLOOKUP($G1250,'321買'!A:E,3,0),"'沒有資料'")</f>
        <v>1</v>
      </c>
      <c r="P1250" s="380">
        <f>IFERROR(VLOOKUP($G1250,'321買'!$A:$G,7,0),"'沒有資料'")</f>
        <v>783</v>
      </c>
      <c r="R1250" s="297">
        <f>IFERROR(RANK(VLOOKUP($G1250,連買!$A:$D,4,0),連買!$D:$D,0),"'沒有資料'")</f>
        <v>833</v>
      </c>
      <c r="S1250" s="34">
        <v>1.2</v>
      </c>
      <c r="T1250" s="353">
        <f t="shared" si="230"/>
        <v>4.7244094488188976E-2</v>
      </c>
      <c r="U1250" s="95">
        <v>1.28</v>
      </c>
      <c r="V1250" s="36">
        <f>RTD("money.excel",,"6270","Price")</f>
        <v>25.4</v>
      </c>
      <c r="W1250" s="66"/>
      <c r="X1250" s="15">
        <f t="shared" si="231"/>
        <v>25.4</v>
      </c>
      <c r="Y1250" s="3" t="e">
        <f t="shared" si="232"/>
        <v>#DIV/0!</v>
      </c>
      <c r="AA1250" s="161">
        <v>0</v>
      </c>
      <c r="AB1250" s="409">
        <v>0</v>
      </c>
      <c r="AC1250" s="259">
        <f t="shared" si="229"/>
        <v>0</v>
      </c>
      <c r="AD1250" s="16" t="s">
        <v>827</v>
      </c>
      <c r="AG1250" s="33">
        <f t="shared" si="233"/>
        <v>0</v>
      </c>
      <c r="AH1250" s="43" t="s">
        <v>2841</v>
      </c>
      <c r="AI1250" s="63">
        <f t="shared" si="234"/>
        <v>3.3841886269070733E-3</v>
      </c>
      <c r="AJ1250" s="307">
        <f>RTD("money.excel",,$G1250,"PredictVolume")</f>
        <v>244</v>
      </c>
      <c r="AK1250" s="339"/>
    </row>
    <row r="1251" spans="1:37">
      <c r="A1251" s="416">
        <v>9.92</v>
      </c>
      <c r="B1251" s="91">
        <v>31</v>
      </c>
      <c r="C1251" s="91">
        <v>31</v>
      </c>
      <c r="D1251" s="91">
        <v>27</v>
      </c>
      <c r="E1251" s="91">
        <v>11</v>
      </c>
      <c r="F1251" s="6">
        <v>3.57</v>
      </c>
      <c r="G1251" s="79">
        <v>6281</v>
      </c>
      <c r="H1251" s="8" t="s">
        <v>3439</v>
      </c>
      <c r="I1251" s="22" t="s">
        <v>842</v>
      </c>
      <c r="J1251" s="73">
        <v>62.98</v>
      </c>
      <c r="K1251" s="73">
        <v>4.04</v>
      </c>
      <c r="L1251" s="73">
        <v>0.01</v>
      </c>
      <c r="N1251" s="318">
        <f t="shared" si="235"/>
        <v>67.03</v>
      </c>
      <c r="O1251" s="81">
        <f>IFERROR(VLOOKUP($G1251,'321買'!A:E,3,0),"'沒有資料'")</f>
        <v>0</v>
      </c>
      <c r="P1251" s="380">
        <f>IFERROR(VLOOKUP($G1251,'321買'!$A:$G,7,0),"'沒有資料'")</f>
        <v>911</v>
      </c>
      <c r="R1251" s="297">
        <f>IFERROR(RANK(VLOOKUP($G1251,連買!$A:$D,4,0),連買!$D:$D,0),"'沒有資料'")</f>
        <v>271</v>
      </c>
      <c r="S1251" s="66">
        <v>5</v>
      </c>
      <c r="T1251" s="353">
        <f t="shared" si="230"/>
        <v>5.8411214953271035E-2</v>
      </c>
      <c r="U1251" s="95">
        <v>5.87</v>
      </c>
      <c r="V1251" s="13">
        <f>RTD("money.excel",,"6281","Price")</f>
        <v>85.6</v>
      </c>
      <c r="W1251" s="66"/>
      <c r="X1251" s="15">
        <f t="shared" si="231"/>
        <v>85.6</v>
      </c>
      <c r="Y1251" s="3" t="e">
        <f t="shared" si="232"/>
        <v>#DIV/0!</v>
      </c>
      <c r="Z1251" s="413" t="s">
        <v>1831</v>
      </c>
      <c r="AA1251" s="161">
        <v>0</v>
      </c>
      <c r="AB1251" s="409">
        <v>0</v>
      </c>
      <c r="AC1251" s="259">
        <f t="shared" si="229"/>
        <v>0</v>
      </c>
      <c r="AD1251" s="22" t="s">
        <v>842</v>
      </c>
      <c r="AG1251" s="33">
        <f t="shared" si="233"/>
        <v>0</v>
      </c>
      <c r="AH1251" s="43" t="s">
        <v>3067</v>
      </c>
      <c r="AI1251" s="63">
        <f t="shared" si="234"/>
        <v>3.6290322580645164E-4</v>
      </c>
      <c r="AJ1251" s="307">
        <f>RTD("money.excel",,$G1251,"PredictVolume")</f>
        <v>36</v>
      </c>
      <c r="AK1251" s="339"/>
    </row>
    <row r="1252" spans="1:37">
      <c r="A1252" s="416">
        <v>8.16</v>
      </c>
      <c r="B1252" s="79">
        <v>42</v>
      </c>
      <c r="C1252" s="79">
        <v>43</v>
      </c>
      <c r="D1252" s="79">
        <v>29</v>
      </c>
      <c r="E1252" s="79">
        <v>36</v>
      </c>
      <c r="F1252" s="6">
        <v>1.46</v>
      </c>
      <c r="G1252" s="79">
        <v>6776</v>
      </c>
      <c r="H1252" s="8" t="s">
        <v>3439</v>
      </c>
      <c r="I1252" s="22" t="s">
        <v>3308</v>
      </c>
      <c r="J1252" s="323">
        <v>74.31</v>
      </c>
      <c r="K1252" s="73">
        <v>0.23</v>
      </c>
      <c r="N1252" s="318">
        <f t="shared" si="235"/>
        <v>74.540000000000006</v>
      </c>
      <c r="O1252" s="81">
        <f>IFERROR(VLOOKUP($G1252,'321買'!A:E,3,0),"'沒有資料'")</f>
        <v>0</v>
      </c>
      <c r="P1252" s="380">
        <f>IFERROR(VLOOKUP($G1252,'321買'!$A:$G,7,0),"'沒有資料'")</f>
        <v>911</v>
      </c>
      <c r="R1252" s="297">
        <f>IFERROR(RANK(VLOOKUP($G1252,連買!$A:$D,4,0),連買!$D:$D,0),"'沒有資料'")</f>
        <v>387</v>
      </c>
      <c r="S1252" s="34">
        <v>2</v>
      </c>
      <c r="T1252" s="353">
        <f t="shared" si="230"/>
        <v>4.6403712296983757E-2</v>
      </c>
      <c r="U1252" s="57">
        <v>2.86</v>
      </c>
      <c r="V1252" s="36">
        <f>RTD("money.excel",,"6776","Price")</f>
        <v>43.1</v>
      </c>
      <c r="W1252" s="66"/>
      <c r="X1252" s="15">
        <f t="shared" si="231"/>
        <v>43.1</v>
      </c>
      <c r="Y1252" s="3" t="e">
        <f t="shared" si="232"/>
        <v>#DIV/0!</v>
      </c>
      <c r="Z1252" s="413" t="s">
        <v>1801</v>
      </c>
      <c r="AA1252" s="161">
        <v>0</v>
      </c>
      <c r="AB1252" s="409">
        <v>0</v>
      </c>
      <c r="AC1252" s="259">
        <f t="shared" si="229"/>
        <v>0</v>
      </c>
      <c r="AD1252" s="22" t="s">
        <v>3308</v>
      </c>
      <c r="AG1252" s="33">
        <f t="shared" si="233"/>
        <v>0</v>
      </c>
      <c r="AH1252" s="43" t="s">
        <v>1048</v>
      </c>
      <c r="AI1252" s="63">
        <f t="shared" si="234"/>
        <v>5.7598039215686278E-4</v>
      </c>
      <c r="AJ1252" s="307">
        <f>RTD("money.excel",,$G1252,"PredictVolume")</f>
        <v>47</v>
      </c>
      <c r="AK1252" s="339"/>
    </row>
    <row r="1253" spans="1:37">
      <c r="A1253" s="416">
        <v>5.18</v>
      </c>
      <c r="B1253" s="91">
        <v>-38</v>
      </c>
      <c r="C1253" s="91">
        <v>-59</v>
      </c>
      <c r="D1253" s="91">
        <v>21</v>
      </c>
      <c r="E1253" s="91">
        <v>88</v>
      </c>
      <c r="F1253" s="6">
        <v>1.31</v>
      </c>
      <c r="G1253" s="79">
        <v>8032</v>
      </c>
      <c r="H1253" s="8" t="s">
        <v>3439</v>
      </c>
      <c r="I1253" s="16" t="s">
        <v>828</v>
      </c>
      <c r="J1253" s="73">
        <v>85.35</v>
      </c>
      <c r="K1253" s="73">
        <v>0</v>
      </c>
      <c r="L1253" s="73">
        <v>1.06</v>
      </c>
      <c r="N1253" s="318">
        <f t="shared" si="235"/>
        <v>86.41</v>
      </c>
      <c r="O1253" s="81">
        <f>IFERROR(VLOOKUP($G1253,'321買'!A:E,3,0),"'沒有資料'")</f>
        <v>0</v>
      </c>
      <c r="P1253" s="380">
        <f>IFERROR(VLOOKUP($G1253,'321買'!$A:$G,7,0),"'沒有資料'")</f>
        <v>911</v>
      </c>
      <c r="R1253" s="297">
        <f>IFERROR(RANK(VLOOKUP($G1253,連買!$A:$D,4,0),連買!$D:$D,0),"'沒有資料'")</f>
        <v>782</v>
      </c>
      <c r="S1253" s="34">
        <v>1</v>
      </c>
      <c r="T1253" s="353">
        <f t="shared" si="230"/>
        <v>3.5335689045936397E-2</v>
      </c>
      <c r="U1253" s="95">
        <v>1.26</v>
      </c>
      <c r="V1253" s="13">
        <f>RTD("money.excel",,"8032","Price")</f>
        <v>28.3</v>
      </c>
      <c r="W1253" s="66"/>
      <c r="X1253" s="15">
        <f t="shared" si="231"/>
        <v>28.3</v>
      </c>
      <c r="Y1253" s="3" t="e">
        <f t="shared" si="232"/>
        <v>#DIV/0!</v>
      </c>
      <c r="AA1253" s="161">
        <v>0</v>
      </c>
      <c r="AB1253" s="409">
        <v>0</v>
      </c>
      <c r="AC1253" s="259">
        <f t="shared" si="229"/>
        <v>0</v>
      </c>
      <c r="AD1253" s="16" t="s">
        <v>828</v>
      </c>
      <c r="AG1253" s="33">
        <f t="shared" si="233"/>
        <v>0</v>
      </c>
      <c r="AH1253" s="43" t="s">
        <v>2842</v>
      </c>
      <c r="AI1253" s="63">
        <f t="shared" si="234"/>
        <v>3.8610038610038613E-5</v>
      </c>
      <c r="AJ1253" s="307">
        <f>RTD("money.excel",,$G1253,"PredictVolume")</f>
        <v>2</v>
      </c>
      <c r="AK1253" s="339"/>
    </row>
    <row r="1254" spans="1:37">
      <c r="A1254" s="416">
        <v>3</v>
      </c>
      <c r="B1254" s="206">
        <v>-3520</v>
      </c>
      <c r="C1254" s="91">
        <v>12</v>
      </c>
      <c r="D1254" s="91">
        <v>-30</v>
      </c>
      <c r="E1254" s="91">
        <v>47</v>
      </c>
      <c r="F1254" s="6">
        <v>-14.45</v>
      </c>
      <c r="G1254" s="79">
        <v>8067</v>
      </c>
      <c r="H1254" s="8" t="s">
        <v>3439</v>
      </c>
      <c r="I1254" s="16" t="s">
        <v>829</v>
      </c>
      <c r="J1254" s="73">
        <v>75.290000000000006</v>
      </c>
      <c r="K1254" s="73">
        <v>13.59</v>
      </c>
      <c r="N1254" s="318">
        <f t="shared" si="235"/>
        <v>88.88000000000001</v>
      </c>
      <c r="O1254" s="81" t="str">
        <f>IFERROR(VLOOKUP($G1254,'321買'!A:E,3,0),"'沒有資料'")</f>
        <v>'沒有資料'</v>
      </c>
      <c r="P1254" s="380" t="str">
        <f>IFERROR(VLOOKUP($G1254,'321買'!$A:$G,7,0),"'沒有資料'")</f>
        <v>'沒有資料'</v>
      </c>
      <c r="R1254" s="297">
        <f>IFERROR(RANK(VLOOKUP($G1254,連買!$A:$D,4,0),連買!$D:$D,0),"'沒有資料'")</f>
        <v>1374</v>
      </c>
      <c r="S1254" s="34">
        <v>0</v>
      </c>
      <c r="T1254" s="353">
        <f t="shared" si="230"/>
        <v>0</v>
      </c>
      <c r="U1254" s="95">
        <v>-1.1499999999999999</v>
      </c>
      <c r="V1254" s="13">
        <f>RTD("money.excel",,"8067","Price")</f>
        <v>9.4</v>
      </c>
      <c r="W1254" s="66"/>
      <c r="X1254" s="15">
        <f t="shared" si="231"/>
        <v>9.4</v>
      </c>
      <c r="Y1254" s="3" t="e">
        <f t="shared" si="232"/>
        <v>#DIV/0!</v>
      </c>
      <c r="AA1254" s="161">
        <v>0</v>
      </c>
      <c r="AB1254" s="409">
        <v>0</v>
      </c>
      <c r="AC1254" s="259">
        <f t="shared" si="229"/>
        <v>0</v>
      </c>
      <c r="AD1254" s="16" t="s">
        <v>829</v>
      </c>
      <c r="AG1254" s="33">
        <f t="shared" si="233"/>
        <v>0</v>
      </c>
      <c r="AH1254" s="43" t="s">
        <v>2843</v>
      </c>
      <c r="AI1254" s="63">
        <f t="shared" si="234"/>
        <v>2.6666666666666668E-4</v>
      </c>
      <c r="AJ1254" s="307">
        <f>RTD("money.excel",,$G1254,"PredictVolume")</f>
        <v>8</v>
      </c>
      <c r="AK1254" s="339"/>
    </row>
    <row r="1255" spans="1:37">
      <c r="A1255" s="416">
        <v>6.87</v>
      </c>
      <c r="B1255" s="91">
        <v>-192</v>
      </c>
      <c r="C1255" s="91">
        <v>-135</v>
      </c>
      <c r="D1255" s="91">
        <v>30</v>
      </c>
      <c r="E1255" s="91">
        <v>41</v>
      </c>
      <c r="F1255" s="6">
        <v>-0.18</v>
      </c>
      <c r="G1255" s="79">
        <v>8068</v>
      </c>
      <c r="H1255" s="8" t="s">
        <v>3439</v>
      </c>
      <c r="I1255" s="16" t="s">
        <v>830</v>
      </c>
      <c r="J1255" s="73">
        <v>84.18</v>
      </c>
      <c r="K1255" s="73">
        <v>36.69</v>
      </c>
      <c r="N1255" s="318">
        <f t="shared" si="235"/>
        <v>120.87</v>
      </c>
      <c r="O1255" s="81">
        <f>IFERROR(VLOOKUP($G1255,'321買'!A:E,3,0),"'沒有資料'")</f>
        <v>0</v>
      </c>
      <c r="P1255" s="380">
        <f>IFERROR(VLOOKUP($G1255,'321買'!$A:$G,7,0),"'沒有資料'")</f>
        <v>911</v>
      </c>
      <c r="R1255" s="297">
        <f>IFERROR(RANK(VLOOKUP($G1255,連買!$A:$D,4,0),連買!$D:$D,0),"'沒有資料'")</f>
        <v>765</v>
      </c>
      <c r="S1255" s="34">
        <v>0</v>
      </c>
      <c r="T1255" s="353">
        <f t="shared" si="230"/>
        <v>0</v>
      </c>
      <c r="U1255" s="95">
        <v>-0.36</v>
      </c>
      <c r="V1255" s="13">
        <f>RTD("money.excel",,"8068","Price")</f>
        <v>32.450000000000003</v>
      </c>
      <c r="W1255" s="66"/>
      <c r="X1255" s="15">
        <f t="shared" si="231"/>
        <v>32.450000000000003</v>
      </c>
      <c r="Y1255" s="3" t="e">
        <f t="shared" si="232"/>
        <v>#DIV/0!</v>
      </c>
      <c r="AA1255" s="161">
        <v>0</v>
      </c>
      <c r="AB1255" s="409">
        <v>0</v>
      </c>
      <c r="AC1255" s="259">
        <f t="shared" si="229"/>
        <v>0</v>
      </c>
      <c r="AD1255" s="16" t="s">
        <v>830</v>
      </c>
      <c r="AG1255" s="33">
        <f t="shared" si="233"/>
        <v>0</v>
      </c>
      <c r="AH1255" s="43" t="s">
        <v>2844</v>
      </c>
      <c r="AI1255" s="63">
        <f t="shared" si="234"/>
        <v>1.3682678311499271E-3</v>
      </c>
      <c r="AJ1255" s="307">
        <f>RTD("money.excel",,$G1255,"PredictVolume")</f>
        <v>94</v>
      </c>
      <c r="AK1255" s="339"/>
    </row>
    <row r="1256" spans="1:37">
      <c r="A1256" s="416">
        <v>6.82</v>
      </c>
      <c r="B1256" s="79">
        <v>59</v>
      </c>
      <c r="C1256" s="79">
        <v>48</v>
      </c>
      <c r="D1256" s="79">
        <v>11</v>
      </c>
      <c r="E1256" s="79">
        <v>29</v>
      </c>
      <c r="F1256" s="6">
        <v>8.77</v>
      </c>
      <c r="G1256" s="79">
        <v>8070</v>
      </c>
      <c r="H1256" s="8" t="s">
        <v>3439</v>
      </c>
      <c r="I1256" s="22" t="s">
        <v>225</v>
      </c>
      <c r="J1256" s="323">
        <v>72.47</v>
      </c>
      <c r="K1256" s="323">
        <v>12.19</v>
      </c>
      <c r="L1256" s="73">
        <v>4.57</v>
      </c>
      <c r="N1256" s="318">
        <f t="shared" si="235"/>
        <v>89.22999999999999</v>
      </c>
      <c r="O1256" s="81">
        <f>IFERROR(VLOOKUP($G1256,'321買'!A:E,3,0),"'沒有資料'")</f>
        <v>70</v>
      </c>
      <c r="P1256" s="380">
        <f>IFERROR(VLOOKUP($G1256,'321買'!$A:$G,7,0),"'沒有資料'")</f>
        <v>32</v>
      </c>
      <c r="R1256" s="297">
        <f>IFERROR(RANK(VLOOKUP($G1256,連買!$A:$D,4,0),連買!$D:$D,0),"'沒有資料'")</f>
        <v>536</v>
      </c>
      <c r="S1256" s="66">
        <v>1.04</v>
      </c>
      <c r="T1256" s="353">
        <f t="shared" si="230"/>
        <v>2.9009762900976292E-2</v>
      </c>
      <c r="U1256" s="57">
        <v>1.69</v>
      </c>
      <c r="V1256" s="36">
        <f>RTD("money.excel",,"8070","Price")</f>
        <v>35.85</v>
      </c>
      <c r="W1256" s="66"/>
      <c r="X1256" s="15">
        <f t="shared" si="231"/>
        <v>35.85</v>
      </c>
      <c r="Y1256" s="3" t="e">
        <f t="shared" si="232"/>
        <v>#DIV/0!</v>
      </c>
      <c r="Z1256" s="413" t="s">
        <v>1997</v>
      </c>
      <c r="AA1256" s="161">
        <v>0</v>
      </c>
      <c r="AB1256" s="409">
        <v>0</v>
      </c>
      <c r="AC1256" s="259">
        <f t="shared" si="229"/>
        <v>0</v>
      </c>
      <c r="AD1256" s="22" t="s">
        <v>225</v>
      </c>
      <c r="AG1256" s="33">
        <f t="shared" si="233"/>
        <v>0</v>
      </c>
      <c r="AH1256" s="120" t="s">
        <v>3068</v>
      </c>
      <c r="AI1256" s="63">
        <f t="shared" si="234"/>
        <v>1.718475073313783E-2</v>
      </c>
      <c r="AJ1256" s="307">
        <f>RTD("money.excel",,$G1256,"PredictVolume")</f>
        <v>1172</v>
      </c>
      <c r="AK1256" s="339"/>
    </row>
    <row r="1257" spans="1:37">
      <c r="A1257" s="416">
        <v>8</v>
      </c>
      <c r="B1257" s="79">
        <v>71</v>
      </c>
      <c r="C1257" s="79">
        <v>74</v>
      </c>
      <c r="D1257" s="79">
        <v>29</v>
      </c>
      <c r="E1257" s="79">
        <v>91</v>
      </c>
      <c r="F1257" s="6">
        <v>-4.38</v>
      </c>
      <c r="G1257" s="79">
        <v>8072</v>
      </c>
      <c r="H1257" s="8" t="s">
        <v>3439</v>
      </c>
      <c r="I1257" s="22" t="s">
        <v>843</v>
      </c>
      <c r="J1257" s="73">
        <v>69.87</v>
      </c>
      <c r="K1257" s="73">
        <v>1.26</v>
      </c>
      <c r="L1257" s="73">
        <v>6.43</v>
      </c>
      <c r="N1257" s="318">
        <f t="shared" si="235"/>
        <v>77.56</v>
      </c>
      <c r="O1257" s="81">
        <f>IFERROR(VLOOKUP($G1257,'321買'!A:E,3,0),"'沒有資料'")</f>
        <v>0</v>
      </c>
      <c r="P1257" s="380">
        <f>IFERROR(VLOOKUP($G1257,'321買'!$A:$G,7,0),"'沒有資料'")</f>
        <v>911</v>
      </c>
      <c r="R1257" s="297">
        <f>IFERROR(RANK(VLOOKUP($G1257,連買!$A:$D,4,0),連買!$D:$D,0),"'沒有資料'")</f>
        <v>936</v>
      </c>
      <c r="S1257" s="34">
        <v>0.2</v>
      </c>
      <c r="T1257" s="353">
        <f t="shared" si="230"/>
        <v>8.2815734989648039E-3</v>
      </c>
      <c r="U1257" s="95">
        <v>-0.15</v>
      </c>
      <c r="V1257" s="36">
        <f>RTD("money.excel",,"8072","Price")</f>
        <v>24.15</v>
      </c>
      <c r="W1257" s="66"/>
      <c r="X1257" s="15">
        <f t="shared" si="231"/>
        <v>24.15</v>
      </c>
      <c r="Y1257" s="3" t="e">
        <f t="shared" si="232"/>
        <v>#DIV/0!</v>
      </c>
      <c r="Z1257" s="413" t="s">
        <v>1801</v>
      </c>
      <c r="AA1257" s="161">
        <v>0</v>
      </c>
      <c r="AB1257" s="409">
        <v>0</v>
      </c>
      <c r="AC1257" s="259">
        <f t="shared" si="229"/>
        <v>0</v>
      </c>
      <c r="AD1257" s="22" t="s">
        <v>843</v>
      </c>
      <c r="AG1257" s="33">
        <f t="shared" si="233"/>
        <v>0</v>
      </c>
      <c r="AH1257" s="43" t="s">
        <v>3069</v>
      </c>
      <c r="AI1257" s="63">
        <f t="shared" si="234"/>
        <v>2.9999999999999997E-4</v>
      </c>
      <c r="AJ1257" s="307">
        <f>RTD("money.excel",,$G1257,"PredictVolume")</f>
        <v>24</v>
      </c>
      <c r="AK1257" s="339"/>
    </row>
    <row r="1258" spans="1:37">
      <c r="A1258" s="416">
        <v>6.95</v>
      </c>
      <c r="B1258" s="80">
        <v>-349</v>
      </c>
      <c r="C1258" s="80">
        <v>-241</v>
      </c>
      <c r="D1258" s="79">
        <v>13</v>
      </c>
      <c r="E1258" s="80">
        <v>-39</v>
      </c>
      <c r="F1258" s="6">
        <v>-18.77</v>
      </c>
      <c r="G1258" s="79">
        <v>8084</v>
      </c>
      <c r="H1258" s="8" t="s">
        <v>3439</v>
      </c>
      <c r="I1258" s="16" t="s">
        <v>831</v>
      </c>
      <c r="J1258" s="73">
        <v>72.430000000000007</v>
      </c>
      <c r="K1258" s="73">
        <v>0.55000000000000004</v>
      </c>
      <c r="N1258" s="318">
        <f t="shared" si="235"/>
        <v>72.98</v>
      </c>
      <c r="O1258" s="81" t="str">
        <f>IFERROR(VLOOKUP($G1258,'321買'!A:E,3,0),"'沒有資料'")</f>
        <v>'沒有資料'</v>
      </c>
      <c r="P1258" s="380" t="str">
        <f>IFERROR(VLOOKUP($G1258,'321買'!$A:$G,7,0),"'沒有資料'")</f>
        <v>'沒有資料'</v>
      </c>
      <c r="R1258" s="297">
        <f>IFERROR(RANK(VLOOKUP($G1258,連買!$A:$D,4,0),連買!$D:$D,0),"'沒有資料'")</f>
        <v>287</v>
      </c>
      <c r="S1258" s="34">
        <v>0</v>
      </c>
      <c r="T1258" s="353">
        <f t="shared" si="230"/>
        <v>0</v>
      </c>
      <c r="U1258" s="95">
        <v>-2.56</v>
      </c>
      <c r="V1258" s="36">
        <f>RTD("money.excel",,"8084","Price")</f>
        <v>76</v>
      </c>
      <c r="W1258" s="66"/>
      <c r="X1258" s="15">
        <f t="shared" si="231"/>
        <v>76</v>
      </c>
      <c r="Y1258" s="3" t="e">
        <f t="shared" si="232"/>
        <v>#DIV/0!</v>
      </c>
      <c r="AA1258" s="161">
        <v>0</v>
      </c>
      <c r="AB1258" s="409">
        <v>0</v>
      </c>
      <c r="AC1258" s="259">
        <f t="shared" si="229"/>
        <v>0</v>
      </c>
      <c r="AD1258" s="16" t="s">
        <v>831</v>
      </c>
      <c r="AG1258" s="33">
        <f t="shared" si="233"/>
        <v>0</v>
      </c>
      <c r="AH1258" s="43" t="s">
        <v>2187</v>
      </c>
      <c r="AI1258" s="63">
        <f t="shared" si="234"/>
        <v>1.2661870503597123E-3</v>
      </c>
      <c r="AJ1258" s="307">
        <f>RTD("money.excel",,$G1258,"PredictVolume")</f>
        <v>88</v>
      </c>
      <c r="AK1258" s="339"/>
    </row>
    <row r="1259" spans="1:37">
      <c r="A1259" s="416">
        <v>14.2</v>
      </c>
      <c r="B1259" s="79">
        <v>98</v>
      </c>
      <c r="C1259" s="79">
        <v>39</v>
      </c>
      <c r="D1259" s="79">
        <v>39</v>
      </c>
      <c r="E1259" s="79">
        <v>25</v>
      </c>
      <c r="F1259" s="6">
        <v>1.1000000000000001</v>
      </c>
      <c r="G1259" s="79">
        <v>8096</v>
      </c>
      <c r="H1259" s="8" t="s">
        <v>3439</v>
      </c>
      <c r="I1259" s="16" t="s">
        <v>832</v>
      </c>
      <c r="J1259" s="323">
        <v>22.53</v>
      </c>
      <c r="K1259" s="323">
        <v>23.09</v>
      </c>
      <c r="L1259" s="73">
        <v>23.17</v>
      </c>
      <c r="N1259" s="318">
        <f t="shared" si="235"/>
        <v>68.790000000000006</v>
      </c>
      <c r="O1259" s="81">
        <f>IFERROR(VLOOKUP($G1259,'321買'!A:E,3,0),"'沒有資料'")</f>
        <v>9</v>
      </c>
      <c r="P1259" s="380">
        <f>IFERROR(VLOOKUP($G1259,'321買'!$A:$G,7,0),"'沒有資料'")</f>
        <v>448</v>
      </c>
      <c r="R1259" s="297">
        <f>IFERROR(RANK(VLOOKUP($G1259,連買!$A:$D,4,0),連買!$D:$D,0),"'沒有資料'")</f>
        <v>1080</v>
      </c>
      <c r="S1259" s="34">
        <v>0.4</v>
      </c>
      <c r="T1259" s="353">
        <f t="shared" si="230"/>
        <v>3.0418250950570342E-2</v>
      </c>
      <c r="U1259" s="95">
        <v>0.72</v>
      </c>
      <c r="V1259" s="36">
        <f>RTD("money.excel",,"8096","Price")</f>
        <v>13.15</v>
      </c>
      <c r="W1259" s="66"/>
      <c r="X1259" s="15">
        <f t="shared" si="231"/>
        <v>13.15</v>
      </c>
      <c r="Y1259" s="3" t="e">
        <f t="shared" si="232"/>
        <v>#DIV/0!</v>
      </c>
      <c r="AA1259" s="161">
        <v>0</v>
      </c>
      <c r="AB1259" s="409">
        <v>0</v>
      </c>
      <c r="AC1259" s="259">
        <f t="shared" si="229"/>
        <v>0</v>
      </c>
      <c r="AD1259" s="16" t="s">
        <v>832</v>
      </c>
      <c r="AG1259" s="33">
        <f t="shared" si="233"/>
        <v>0</v>
      </c>
      <c r="AH1259" s="43" t="s">
        <v>2725</v>
      </c>
      <c r="AI1259" s="63">
        <f t="shared" si="234"/>
        <v>2.2535211267605635E-3</v>
      </c>
      <c r="AJ1259" s="307">
        <f>RTD("money.excel",,$G1259,"PredictVolume")</f>
        <v>320</v>
      </c>
      <c r="AK1259" s="339"/>
    </row>
    <row r="1260" spans="1:37">
      <c r="A1260" s="416">
        <v>42.8</v>
      </c>
      <c r="B1260" s="79">
        <v>95</v>
      </c>
      <c r="C1260" s="79">
        <v>112</v>
      </c>
      <c r="D1260" s="79">
        <v>73</v>
      </c>
      <c r="E1260" s="79">
        <v>48</v>
      </c>
      <c r="F1260" s="6">
        <v>2.17</v>
      </c>
      <c r="G1260" s="79">
        <v>8112</v>
      </c>
      <c r="H1260" s="8" t="s">
        <v>3439</v>
      </c>
      <c r="I1260" s="22" t="s">
        <v>120</v>
      </c>
      <c r="J1260" s="73">
        <v>30.99</v>
      </c>
      <c r="K1260" s="73">
        <v>23.51</v>
      </c>
      <c r="L1260" s="73">
        <v>8.32</v>
      </c>
      <c r="M1260" s="73">
        <v>6.61</v>
      </c>
      <c r="N1260" s="318">
        <f t="shared" si="235"/>
        <v>69.430000000000007</v>
      </c>
      <c r="O1260" s="81">
        <f>IFERROR(VLOOKUP($G1260,'321買'!A:E,3,0),"'沒有資料'")</f>
        <v>19</v>
      </c>
      <c r="P1260" s="380">
        <f>IFERROR(VLOOKUP($G1260,'321買'!$A:$G,7,0),"'沒有資料'")</f>
        <v>265</v>
      </c>
      <c r="Q1260" s="245" t="s">
        <v>3816</v>
      </c>
      <c r="R1260" s="297">
        <f>IFERROR(RANK(VLOOKUP($G1260,連買!$A:$D,4,0),連買!$D:$D,0),"'沒有資料'")</f>
        <v>393</v>
      </c>
      <c r="S1260" s="66">
        <v>3</v>
      </c>
      <c r="T1260" s="353">
        <f t="shared" si="230"/>
        <v>6.1601642710472276E-2</v>
      </c>
      <c r="U1260" s="95">
        <v>6.83</v>
      </c>
      <c r="V1260" s="36">
        <f>RTD("money.excel",,"8112","Price")</f>
        <v>48.7</v>
      </c>
      <c r="W1260" s="66"/>
      <c r="X1260" s="15">
        <f t="shared" si="231"/>
        <v>48.7</v>
      </c>
      <c r="Y1260" s="3" t="e">
        <f t="shared" si="232"/>
        <v>#DIV/0!</v>
      </c>
      <c r="Z1260" s="413" t="s">
        <v>1997</v>
      </c>
      <c r="AA1260" s="161">
        <v>0</v>
      </c>
      <c r="AB1260" s="409">
        <v>0</v>
      </c>
      <c r="AC1260" s="259">
        <f t="shared" si="229"/>
        <v>0</v>
      </c>
      <c r="AD1260" s="22" t="s">
        <v>120</v>
      </c>
      <c r="AG1260" s="33">
        <f t="shared" si="233"/>
        <v>0</v>
      </c>
      <c r="AH1260" s="120" t="s">
        <v>2090</v>
      </c>
      <c r="AI1260" s="63">
        <f t="shared" si="234"/>
        <v>4.7546728971962614E-3</v>
      </c>
      <c r="AJ1260" s="307">
        <f>RTD("money.excel",,$G1260,"PredictVolume")</f>
        <v>2035</v>
      </c>
      <c r="AK1260" s="339"/>
    </row>
    <row r="1261" spans="1:37">
      <c r="A1261" s="146"/>
      <c r="B1261" s="79"/>
      <c r="C1261" s="79"/>
      <c r="D1261" s="79"/>
      <c r="E1261" s="79"/>
      <c r="F1261" s="6"/>
      <c r="G1261" s="79"/>
      <c r="H1261" s="8"/>
      <c r="I1261" s="22"/>
      <c r="J1261" s="73"/>
      <c r="K1261" s="73"/>
      <c r="M1261" s="73"/>
      <c r="N1261" s="318"/>
      <c r="O1261" s="26"/>
      <c r="S1261" s="66"/>
      <c r="U1261" s="95"/>
      <c r="V1261" s="36"/>
      <c r="W1261" s="66"/>
      <c r="X1261" s="15"/>
      <c r="Y1261" s="3"/>
      <c r="AA1261" s="2"/>
      <c r="AD1261" s="22"/>
      <c r="AG1261" s="33"/>
      <c r="AH1261" s="120"/>
      <c r="AI1261" s="63"/>
      <c r="AJ1261" s="307"/>
      <c r="AK1261" s="339"/>
    </row>
    <row r="1262" spans="1:37">
      <c r="A1262" s="130" t="s">
        <v>1732</v>
      </c>
      <c r="B1262" s="91" t="s">
        <v>1588</v>
      </c>
      <c r="C1262" s="91" t="s">
        <v>1589</v>
      </c>
      <c r="D1262" s="91" t="s">
        <v>1590</v>
      </c>
      <c r="E1262" s="91" t="s">
        <v>1591</v>
      </c>
      <c r="F1262" s="8" t="s">
        <v>1066</v>
      </c>
      <c r="G1262" s="27" t="s">
        <v>996</v>
      </c>
      <c r="H1262" s="55" t="s">
        <v>322</v>
      </c>
      <c r="I1262" s="8" t="s">
        <v>315</v>
      </c>
      <c r="J1262" s="317" t="s">
        <v>1467</v>
      </c>
      <c r="K1262" s="317" t="s">
        <v>1157</v>
      </c>
      <c r="L1262" s="317" t="s">
        <v>284</v>
      </c>
      <c r="M1262" s="317" t="s">
        <v>1059</v>
      </c>
      <c r="N1262" s="317" t="s">
        <v>5048</v>
      </c>
      <c r="O1262" s="26" t="s">
        <v>5107</v>
      </c>
      <c r="P1262" s="373" t="s">
        <v>5059</v>
      </c>
      <c r="Q1262" s="245" t="s">
        <v>5087</v>
      </c>
      <c r="R1262" s="345" t="s">
        <v>5059</v>
      </c>
      <c r="S1262" s="10" t="s">
        <v>66</v>
      </c>
      <c r="T1262" s="351" t="s">
        <v>5076</v>
      </c>
      <c r="U1262" s="68" t="s">
        <v>3493</v>
      </c>
      <c r="V1262" s="28" t="s">
        <v>2</v>
      </c>
      <c r="W1262" s="17" t="s">
        <v>1405</v>
      </c>
      <c r="X1262" s="14" t="s">
        <v>5</v>
      </c>
      <c r="Y1262" s="21" t="s">
        <v>3</v>
      </c>
      <c r="Z1262" s="97" t="s">
        <v>6627</v>
      </c>
      <c r="AA1262" s="406" t="s">
        <v>8647</v>
      </c>
      <c r="AB1262" s="407" t="s">
        <v>8648</v>
      </c>
      <c r="AC1262" s="408" t="s">
        <v>8649</v>
      </c>
      <c r="AD1262" s="8" t="s">
        <v>315</v>
      </c>
      <c r="AE1262" s="71" t="s">
        <v>1406</v>
      </c>
      <c r="AF1262" s="72" t="s">
        <v>1163</v>
      </c>
      <c r="AG1262" s="32" t="s">
        <v>1164</v>
      </c>
      <c r="AH1262" s="25" t="s">
        <v>8650</v>
      </c>
      <c r="AI1262" s="8" t="s">
        <v>3852</v>
      </c>
      <c r="AJ1262" s="50" t="s">
        <v>3586</v>
      </c>
      <c r="AK1262" s="339" t="s">
        <v>5038</v>
      </c>
    </row>
    <row r="1263" spans="1:37">
      <c r="A1263" s="416">
        <v>18.399999999999999</v>
      </c>
      <c r="B1263" s="91">
        <v>50</v>
      </c>
      <c r="C1263" s="91">
        <v>184</v>
      </c>
      <c r="D1263" s="91">
        <v>-49</v>
      </c>
      <c r="E1263" s="91">
        <v>112</v>
      </c>
      <c r="F1263" s="6">
        <v>1.44</v>
      </c>
      <c r="G1263" s="79">
        <v>2427</v>
      </c>
      <c r="H1263" s="8" t="s">
        <v>315</v>
      </c>
      <c r="I1263" s="22" t="s">
        <v>1019</v>
      </c>
      <c r="J1263" s="73">
        <v>68.819999999999993</v>
      </c>
      <c r="K1263" s="73">
        <v>2.89</v>
      </c>
      <c r="L1263" s="73">
        <v>24.65</v>
      </c>
      <c r="N1263" s="318">
        <f>J1263+K1263+L1263+M1263</f>
        <v>96.359999999999985</v>
      </c>
      <c r="O1263" s="81">
        <f>IFERROR(VLOOKUP($G1263,'321買'!A:E,3,0),"'沒有資料'")</f>
        <v>1</v>
      </c>
      <c r="P1263" s="380">
        <f>IFERROR(VLOOKUP($G1263,'321買'!$A:$G,7,0),"'沒有資料'")</f>
        <v>783</v>
      </c>
      <c r="R1263" s="297">
        <f>IFERROR(RANK(VLOOKUP($G1263,連買!$A:$D,4,0),連買!$D:$D,0),"'沒有資料'")</f>
        <v>1034</v>
      </c>
      <c r="S1263" s="34">
        <v>0.3</v>
      </c>
      <c r="T1263" s="353">
        <f t="shared" ref="T1263:T1302" si="236">S1263/V1263</f>
        <v>2.3529411764705882E-2</v>
      </c>
      <c r="U1263" s="95">
        <v>0.63</v>
      </c>
      <c r="V1263" s="13">
        <f>RTD("money.excel",,"2427","Price")</f>
        <v>12.75</v>
      </c>
      <c r="W1263" s="66"/>
      <c r="X1263" s="15">
        <f t="shared" ref="X1263:X1302" si="237">V1263-W1263</f>
        <v>12.75</v>
      </c>
      <c r="Y1263" s="3" t="e">
        <f t="shared" ref="Y1263:Y1302" si="238">X1263/W1263</f>
        <v>#DIV/0!</v>
      </c>
      <c r="AA1263" s="161">
        <v>0</v>
      </c>
      <c r="AB1263" s="409">
        <v>0</v>
      </c>
      <c r="AC1263" s="259">
        <f t="shared" si="229"/>
        <v>0</v>
      </c>
      <c r="AD1263" s="22" t="s">
        <v>1019</v>
      </c>
      <c r="AG1263" s="33">
        <f t="shared" ref="AG1263:AG1302" si="239">AF1263-AE1263</f>
        <v>0</v>
      </c>
      <c r="AH1263" s="43" t="s">
        <v>306</v>
      </c>
      <c r="AI1263" s="63">
        <f t="shared" ref="AI1263:AI1302" si="240">AJ1263/(A1263*10000)</f>
        <v>9.7282608695652172E-4</v>
      </c>
      <c r="AJ1263" s="307">
        <f>RTD("money.excel",,$G1263,"PredictVolume")</f>
        <v>179</v>
      </c>
      <c r="AK1263" s="339"/>
    </row>
    <row r="1264" spans="1:37">
      <c r="A1264" s="416">
        <v>10</v>
      </c>
      <c r="B1264" s="79">
        <v>12</v>
      </c>
      <c r="C1264" s="79">
        <v>14</v>
      </c>
      <c r="D1264" s="79">
        <v>11</v>
      </c>
      <c r="E1264" s="79">
        <v>-22</v>
      </c>
      <c r="F1264" s="6">
        <v>1.84</v>
      </c>
      <c r="G1264" s="79">
        <v>2453</v>
      </c>
      <c r="H1264" s="8" t="s">
        <v>315</v>
      </c>
      <c r="I1264" s="22" t="s">
        <v>1020</v>
      </c>
      <c r="J1264" s="73">
        <v>52.74</v>
      </c>
      <c r="K1264" s="73">
        <v>1.39</v>
      </c>
      <c r="L1264" s="73">
        <v>11.26</v>
      </c>
      <c r="N1264" s="318">
        <f t="shared" ref="N1264:N1302" si="241">J1264+K1264+L1264+M1264</f>
        <v>65.39</v>
      </c>
      <c r="O1264" s="81">
        <f>IFERROR(VLOOKUP($G1264,'321買'!A:E,3,0),"'沒有資料'")</f>
        <v>7</v>
      </c>
      <c r="P1264" s="380">
        <f>IFERROR(VLOOKUP($G1264,'321買'!$A:$G,7,0),"'沒有資料'")</f>
        <v>475</v>
      </c>
      <c r="R1264" s="297">
        <f>IFERROR(RANK(VLOOKUP($G1264,連買!$A:$D,4,0),連買!$D:$D,0),"'沒有資料'")</f>
        <v>800</v>
      </c>
      <c r="S1264" s="34">
        <v>1.5</v>
      </c>
      <c r="T1264" s="353">
        <f t="shared" si="236"/>
        <v>5.2539404553415062E-2</v>
      </c>
      <c r="U1264" s="95">
        <v>1.7</v>
      </c>
      <c r="V1264" s="36">
        <f>RTD("money.excel",,"2453","Price")</f>
        <v>28.55</v>
      </c>
      <c r="W1264" s="66"/>
      <c r="X1264" s="15">
        <f t="shared" si="237"/>
        <v>28.55</v>
      </c>
      <c r="Y1264" s="3" t="e">
        <f t="shared" si="238"/>
        <v>#DIV/0!</v>
      </c>
      <c r="Z1264" s="413" t="s">
        <v>1801</v>
      </c>
      <c r="AA1264" s="161">
        <v>0</v>
      </c>
      <c r="AB1264" s="409">
        <v>0</v>
      </c>
      <c r="AC1264" s="259">
        <f t="shared" si="229"/>
        <v>0</v>
      </c>
      <c r="AD1264" s="22" t="s">
        <v>1020</v>
      </c>
      <c r="AG1264" s="33">
        <f t="shared" si="239"/>
        <v>0</v>
      </c>
      <c r="AH1264" s="43" t="s">
        <v>306</v>
      </c>
      <c r="AI1264" s="63">
        <f t="shared" si="240"/>
        <v>1.7799999999999999E-3</v>
      </c>
      <c r="AJ1264" s="307">
        <f>RTD("money.excel",,$G1264,"PredictVolume")</f>
        <v>178</v>
      </c>
    </row>
    <row r="1265" spans="1:37">
      <c r="A1265" s="416">
        <v>7</v>
      </c>
      <c r="B1265" s="91">
        <v>23</v>
      </c>
      <c r="C1265" s="91">
        <v>59</v>
      </c>
      <c r="D1265" s="91">
        <v>-7</v>
      </c>
      <c r="E1265" s="91">
        <v>1</v>
      </c>
      <c r="F1265" s="6">
        <v>2.2000000000000002</v>
      </c>
      <c r="G1265" s="79">
        <v>2468</v>
      </c>
      <c r="H1265" s="8" t="s">
        <v>315</v>
      </c>
      <c r="I1265" s="22" t="s">
        <v>1021</v>
      </c>
      <c r="J1265" s="73">
        <v>69.91</v>
      </c>
      <c r="K1265" s="73">
        <v>0.54</v>
      </c>
      <c r="L1265" s="73">
        <v>18.14</v>
      </c>
      <c r="N1265" s="318">
        <f t="shared" si="241"/>
        <v>88.59</v>
      </c>
      <c r="O1265" s="81">
        <f>IFERROR(VLOOKUP($G1265,'321買'!A:E,3,0),"'沒有資料'")</f>
        <v>0</v>
      </c>
      <c r="P1265" s="380">
        <f>IFERROR(VLOOKUP($G1265,'321買'!$A:$G,7,0),"'沒有資料'")</f>
        <v>911</v>
      </c>
      <c r="R1265" s="297">
        <f>IFERROR(RANK(VLOOKUP($G1265,連買!$A:$D,4,0),連買!$D:$D,0),"'沒有資料'")</f>
        <v>925</v>
      </c>
      <c r="S1265" s="34">
        <v>0.4</v>
      </c>
      <c r="T1265" s="353">
        <f t="shared" si="236"/>
        <v>2.9739776951672865E-2</v>
      </c>
      <c r="U1265" s="95">
        <v>0.55000000000000004</v>
      </c>
      <c r="V1265" s="13">
        <f>RTD("money.excel",,"2468","Price")</f>
        <v>13.45</v>
      </c>
      <c r="W1265" s="66"/>
      <c r="X1265" s="15">
        <f t="shared" si="237"/>
        <v>13.45</v>
      </c>
      <c r="Y1265" s="3" t="e">
        <f t="shared" si="238"/>
        <v>#DIV/0!</v>
      </c>
      <c r="AA1265" s="161">
        <v>0</v>
      </c>
      <c r="AB1265" s="409">
        <v>0</v>
      </c>
      <c r="AC1265" s="259">
        <f t="shared" si="229"/>
        <v>0</v>
      </c>
      <c r="AD1265" s="22" t="s">
        <v>1021</v>
      </c>
      <c r="AG1265" s="33">
        <f t="shared" si="239"/>
        <v>0</v>
      </c>
      <c r="AH1265" s="43" t="s">
        <v>2192</v>
      </c>
      <c r="AI1265" s="63">
        <f t="shared" si="240"/>
        <v>1.1428571428571428E-4</v>
      </c>
      <c r="AJ1265" s="307">
        <f>RTD("money.excel",,$G1265,"PredictVolume")</f>
        <v>8</v>
      </c>
      <c r="AK1265" s="339"/>
    </row>
    <row r="1266" spans="1:37">
      <c r="A1266" s="416">
        <v>4.7300000000000004</v>
      </c>
      <c r="B1266" s="80">
        <v>-78</v>
      </c>
      <c r="C1266" s="80">
        <v>-96</v>
      </c>
      <c r="D1266" s="80">
        <v>-3</v>
      </c>
      <c r="E1266" s="79">
        <v>8</v>
      </c>
      <c r="F1266" s="6">
        <v>0.41</v>
      </c>
      <c r="G1266" s="79">
        <v>2471</v>
      </c>
      <c r="H1266" s="8" t="s">
        <v>315</v>
      </c>
      <c r="I1266" s="22" t="s">
        <v>1022</v>
      </c>
      <c r="J1266" s="73">
        <v>21.41</v>
      </c>
      <c r="K1266" s="73">
        <v>1.1299999999999999</v>
      </c>
      <c r="L1266" s="73">
        <v>15.65</v>
      </c>
      <c r="N1266" s="318">
        <f t="shared" si="241"/>
        <v>38.19</v>
      </c>
      <c r="O1266" s="81">
        <f>IFERROR(VLOOKUP($G1266,'321買'!A:E,3,0),"'沒有資料'")</f>
        <v>2</v>
      </c>
      <c r="P1266" s="380">
        <f>IFERROR(VLOOKUP($G1266,'321買'!$A:$G,7,0),"'沒有資料'")</f>
        <v>706</v>
      </c>
      <c r="R1266" s="297">
        <f>IFERROR(RANK(VLOOKUP($G1266,連買!$A:$D,4,0),連買!$D:$D,0),"'沒有資料'")</f>
        <v>461</v>
      </c>
      <c r="S1266" s="34">
        <v>1.5</v>
      </c>
      <c r="T1266" s="353">
        <f t="shared" si="236"/>
        <v>5.3097345132743362E-2</v>
      </c>
      <c r="U1266" s="95">
        <v>2.0699999999999998</v>
      </c>
      <c r="V1266" s="36">
        <f>RTD("money.excel",,"2471","Price")</f>
        <v>28.25</v>
      </c>
      <c r="W1266" s="66"/>
      <c r="X1266" s="15">
        <f t="shared" si="237"/>
        <v>28.25</v>
      </c>
      <c r="Y1266" s="3" t="e">
        <f t="shared" si="238"/>
        <v>#DIV/0!</v>
      </c>
      <c r="Z1266" s="413" t="s">
        <v>1801</v>
      </c>
      <c r="AA1266" s="161">
        <v>0</v>
      </c>
      <c r="AB1266" s="409">
        <v>0</v>
      </c>
      <c r="AC1266" s="259">
        <f t="shared" si="229"/>
        <v>0</v>
      </c>
      <c r="AD1266" s="22" t="s">
        <v>1022</v>
      </c>
      <c r="AG1266" s="33">
        <f t="shared" si="239"/>
        <v>0</v>
      </c>
      <c r="AH1266" s="43" t="s">
        <v>306</v>
      </c>
      <c r="AI1266" s="63">
        <f t="shared" si="240"/>
        <v>4.0380549682875258E-3</v>
      </c>
      <c r="AJ1266" s="307">
        <f>RTD("money.excel",,$G1266,"PredictVolume")</f>
        <v>191</v>
      </c>
      <c r="AK1266" s="339"/>
    </row>
    <row r="1267" spans="1:37">
      <c r="A1267" s="415">
        <v>10.6</v>
      </c>
      <c r="B1267" s="79">
        <v>15</v>
      </c>
      <c r="C1267" s="79">
        <v>23</v>
      </c>
      <c r="D1267" s="79">
        <v>2</v>
      </c>
      <c r="E1267" s="79">
        <v>9</v>
      </c>
      <c r="F1267" s="57">
        <v>10.75</v>
      </c>
      <c r="G1267" s="79">
        <v>2480</v>
      </c>
      <c r="H1267" s="8" t="s">
        <v>315</v>
      </c>
      <c r="I1267" s="22" t="s">
        <v>1023</v>
      </c>
      <c r="J1267" s="323">
        <v>20.07</v>
      </c>
      <c r="K1267" s="323">
        <v>6.13</v>
      </c>
      <c r="L1267" s="323">
        <v>2.13</v>
      </c>
      <c r="N1267" s="318">
        <f t="shared" si="241"/>
        <v>28.33</v>
      </c>
      <c r="O1267" s="81">
        <f>IFERROR(VLOOKUP($G1267,'321買'!A:E,3,0),"'沒有資料'")</f>
        <v>0</v>
      </c>
      <c r="P1267" s="380">
        <f>IFERROR(VLOOKUP($G1267,'321買'!$A:$G,7,0),"'沒有資料'")</f>
        <v>911</v>
      </c>
      <c r="R1267" s="297">
        <f>IFERROR(RANK(VLOOKUP($G1267,連買!$A:$D,4,0),連買!$D:$D,0),"'沒有資料'")</f>
        <v>237</v>
      </c>
      <c r="S1267" s="66">
        <v>4.3</v>
      </c>
      <c r="T1267" s="353">
        <f t="shared" si="236"/>
        <v>4.7252747252747251E-2</v>
      </c>
      <c r="U1267" s="95">
        <v>5.2</v>
      </c>
      <c r="V1267" s="36">
        <f>RTD("money.excel",,"2480","Price")</f>
        <v>91</v>
      </c>
      <c r="W1267" s="66"/>
      <c r="X1267" s="15">
        <f t="shared" si="237"/>
        <v>91</v>
      </c>
      <c r="Y1267" s="3" t="e">
        <f t="shared" si="238"/>
        <v>#DIV/0!</v>
      </c>
      <c r="Z1267" s="413" t="s">
        <v>1997</v>
      </c>
      <c r="AA1267" s="161">
        <v>0</v>
      </c>
      <c r="AB1267" s="409">
        <v>0</v>
      </c>
      <c r="AC1267" s="259">
        <f t="shared" si="229"/>
        <v>0</v>
      </c>
      <c r="AD1267" s="22" t="s">
        <v>1023</v>
      </c>
      <c r="AG1267" s="33">
        <f t="shared" si="239"/>
        <v>0</v>
      </c>
      <c r="AH1267" s="43" t="s">
        <v>2872</v>
      </c>
      <c r="AI1267" s="63">
        <f t="shared" si="240"/>
        <v>1.3396226415094341E-3</v>
      </c>
      <c r="AJ1267" s="307">
        <f>RTD("money.excel",,$G1267,"PredictVolume")</f>
        <v>142</v>
      </c>
      <c r="AK1267" s="339"/>
    </row>
    <row r="1268" spans="1:37">
      <c r="A1268" s="416">
        <v>15.2</v>
      </c>
      <c r="B1268" s="79">
        <v>18</v>
      </c>
      <c r="C1268" s="79">
        <v>14</v>
      </c>
      <c r="D1268" s="80">
        <v>-17</v>
      </c>
      <c r="E1268" s="79">
        <v>39</v>
      </c>
      <c r="F1268" s="6">
        <v>4.76</v>
      </c>
      <c r="G1268" s="79">
        <v>3029</v>
      </c>
      <c r="H1268" s="8" t="s">
        <v>315</v>
      </c>
      <c r="I1268" s="22" t="s">
        <v>1024</v>
      </c>
      <c r="J1268" s="73">
        <v>28.73</v>
      </c>
      <c r="K1268" s="323">
        <v>4.3099999999999996</v>
      </c>
      <c r="L1268" s="73">
        <v>5.52</v>
      </c>
      <c r="M1268" s="323">
        <v>8.23</v>
      </c>
      <c r="N1268" s="318">
        <f>K1268+J1268+L1268+M1268</f>
        <v>46.790000000000006</v>
      </c>
      <c r="O1268" s="81">
        <f>IFERROR(VLOOKUP($G1268,'321買'!A:E,3,0),"'沒有資料'")</f>
        <v>4</v>
      </c>
      <c r="P1268" s="380">
        <f>IFERROR(VLOOKUP($G1268,'321買'!$A:$G,7,0),"'沒有資料'")</f>
        <v>592</v>
      </c>
      <c r="Q1268" s="245" t="s">
        <v>3817</v>
      </c>
      <c r="R1268" s="297">
        <f>IFERROR(RANK(VLOOKUP($G1268,連買!$A:$D,4,0),連買!$D:$D,0),"'沒有資料'")</f>
        <v>337</v>
      </c>
      <c r="S1268" s="66">
        <v>3</v>
      </c>
      <c r="T1268" s="353">
        <f t="shared" si="236"/>
        <v>6.9605568445475635E-2</v>
      </c>
      <c r="U1268" s="95">
        <v>4.0199999999999996</v>
      </c>
      <c r="V1268" s="36">
        <f>RTD("money.excel",,"3029","Price")</f>
        <v>43.1</v>
      </c>
      <c r="W1268" s="66"/>
      <c r="X1268" s="15">
        <f t="shared" si="237"/>
        <v>43.1</v>
      </c>
      <c r="Y1268" s="3" t="e">
        <f t="shared" si="238"/>
        <v>#DIV/0!</v>
      </c>
      <c r="Z1268" s="413" t="s">
        <v>1997</v>
      </c>
      <c r="AA1268" s="161">
        <v>0</v>
      </c>
      <c r="AB1268" s="409">
        <v>0</v>
      </c>
      <c r="AC1268" s="259">
        <f t="shared" si="229"/>
        <v>0</v>
      </c>
      <c r="AD1268" s="22" t="s">
        <v>1024</v>
      </c>
      <c r="AG1268" s="33">
        <f t="shared" si="239"/>
        <v>0</v>
      </c>
      <c r="AH1268" s="43" t="s">
        <v>1556</v>
      </c>
      <c r="AI1268" s="63">
        <f t="shared" si="240"/>
        <v>1.7039473684210527E-3</v>
      </c>
      <c r="AJ1268" s="307">
        <f>RTD("money.excel",,$G1268,"PredictVolume")</f>
        <v>259</v>
      </c>
      <c r="AK1268" s="339"/>
    </row>
    <row r="1269" spans="1:37">
      <c r="A1269" s="415">
        <v>3.32</v>
      </c>
      <c r="B1269" s="79">
        <v>7</v>
      </c>
      <c r="C1269" s="79">
        <v>14</v>
      </c>
      <c r="D1269" s="80">
        <v>-2</v>
      </c>
      <c r="E1269" s="80">
        <v>-7</v>
      </c>
      <c r="F1269" s="57">
        <v>18.04</v>
      </c>
      <c r="G1269" s="79">
        <v>3130</v>
      </c>
      <c r="H1269" s="8" t="s">
        <v>315</v>
      </c>
      <c r="I1269" s="22" t="s">
        <v>1025</v>
      </c>
      <c r="J1269" s="73">
        <v>78.22</v>
      </c>
      <c r="K1269" s="323">
        <v>42.45</v>
      </c>
      <c r="L1269" s="323">
        <v>0.02</v>
      </c>
      <c r="N1269" s="318">
        <f t="shared" si="241"/>
        <v>120.69</v>
      </c>
      <c r="O1269" s="81">
        <f>IFERROR(VLOOKUP($G1269,'321買'!A:E,3,0),"'沒有資料'")</f>
        <v>0</v>
      </c>
      <c r="P1269" s="380">
        <f>IFERROR(VLOOKUP($G1269,'321買'!$A:$G,7,0),"'沒有資料'")</f>
        <v>911</v>
      </c>
      <c r="R1269" s="297">
        <f>IFERROR(RANK(VLOOKUP($G1269,連買!$A:$D,4,0),連買!$D:$D,0),"'沒有資料'")</f>
        <v>353</v>
      </c>
      <c r="S1269" s="66">
        <v>7</v>
      </c>
      <c r="T1269" s="353">
        <f t="shared" si="236"/>
        <v>3.608247422680412E-2</v>
      </c>
      <c r="U1269" s="95">
        <v>7.8</v>
      </c>
      <c r="V1269" s="13">
        <f>RTD("money.excel",,"3130","Price")</f>
        <v>194</v>
      </c>
      <c r="W1269" s="66"/>
      <c r="X1269" s="15">
        <f t="shared" si="237"/>
        <v>194</v>
      </c>
      <c r="Y1269" s="3" t="e">
        <f t="shared" si="238"/>
        <v>#DIV/0!</v>
      </c>
      <c r="Z1269" s="413" t="s">
        <v>1831</v>
      </c>
      <c r="AA1269" s="161">
        <v>0</v>
      </c>
      <c r="AB1269" s="409">
        <v>0</v>
      </c>
      <c r="AC1269" s="259">
        <f t="shared" si="229"/>
        <v>0</v>
      </c>
      <c r="AD1269" s="22" t="s">
        <v>1025</v>
      </c>
      <c r="AG1269" s="33">
        <f t="shared" si="239"/>
        <v>0</v>
      </c>
      <c r="AH1269" s="43" t="s">
        <v>2962</v>
      </c>
      <c r="AI1269" s="63">
        <f t="shared" si="240"/>
        <v>2.108433734939759E-4</v>
      </c>
      <c r="AJ1269" s="307">
        <f>RTD("money.excel",,$G1269,"PredictVolume")</f>
        <v>7</v>
      </c>
      <c r="AK1269" s="339"/>
    </row>
    <row r="1270" spans="1:37">
      <c r="A1270" s="415">
        <v>1.71</v>
      </c>
      <c r="B1270" s="79">
        <v>-1</v>
      </c>
      <c r="C1270" s="79">
        <v>-5</v>
      </c>
      <c r="D1270" s="79">
        <v>13</v>
      </c>
      <c r="E1270" s="79">
        <v>17</v>
      </c>
      <c r="F1270" s="57">
        <v>14.06</v>
      </c>
      <c r="G1270" s="79">
        <v>3570</v>
      </c>
      <c r="H1270" s="8" t="s">
        <v>315</v>
      </c>
      <c r="I1270" s="16" t="s">
        <v>1000</v>
      </c>
      <c r="J1270" s="73">
        <v>66.040000000000006</v>
      </c>
      <c r="K1270" s="323">
        <v>41.95</v>
      </c>
      <c r="N1270" s="318">
        <f t="shared" si="241"/>
        <v>107.99000000000001</v>
      </c>
      <c r="O1270" s="81" t="str">
        <f>IFERROR(VLOOKUP($G1270,'321買'!A:E,3,0),"'沒有資料'")</f>
        <v>'沒有資料'</v>
      </c>
      <c r="P1270" s="380" t="str">
        <f>IFERROR(VLOOKUP($G1270,'321買'!$A:$G,7,0),"'沒有資料'")</f>
        <v>'沒有資料'</v>
      </c>
      <c r="R1270" s="297">
        <f>IFERROR(RANK(VLOOKUP($G1270,連買!$A:$D,4,0),連買!$D:$D,0),"'沒有資料'")</f>
        <v>898</v>
      </c>
      <c r="S1270" s="66">
        <v>5.2</v>
      </c>
      <c r="T1270" s="353">
        <f t="shared" si="236"/>
        <v>5.8890147225368068E-2</v>
      </c>
      <c r="U1270" s="95">
        <v>8</v>
      </c>
      <c r="V1270" s="13">
        <f>RTD("money.excel",,"3570","Price")</f>
        <v>88.3</v>
      </c>
      <c r="W1270" s="66"/>
      <c r="X1270" s="15">
        <f t="shared" si="237"/>
        <v>88.3</v>
      </c>
      <c r="Y1270" s="3" t="e">
        <f t="shared" si="238"/>
        <v>#DIV/0!</v>
      </c>
      <c r="Z1270" s="413" t="s">
        <v>1831</v>
      </c>
      <c r="AA1270" s="161">
        <v>0</v>
      </c>
      <c r="AB1270" s="409">
        <v>0</v>
      </c>
      <c r="AC1270" s="259">
        <f t="shared" si="229"/>
        <v>0</v>
      </c>
      <c r="AD1270" s="16" t="s">
        <v>1000</v>
      </c>
      <c r="AG1270" s="33">
        <f t="shared" si="239"/>
        <v>0</v>
      </c>
      <c r="AH1270" s="43" t="s">
        <v>3206</v>
      </c>
      <c r="AI1270" s="63">
        <f t="shared" si="240"/>
        <v>4.1520467836257307E-3</v>
      </c>
      <c r="AJ1270" s="307">
        <f>RTD("money.excel",,$G1270,"PredictVolume")</f>
        <v>71</v>
      </c>
      <c r="AK1270" s="339"/>
    </row>
    <row r="1271" spans="1:37">
      <c r="A1271" s="416">
        <v>6.67</v>
      </c>
      <c r="B1271" s="79">
        <v>12</v>
      </c>
      <c r="C1271" s="79">
        <v>7</v>
      </c>
      <c r="D1271" s="80">
        <v>-7</v>
      </c>
      <c r="E1271" s="79">
        <v>25</v>
      </c>
      <c r="F1271" s="6">
        <v>9.5</v>
      </c>
      <c r="G1271" s="79">
        <v>4953</v>
      </c>
      <c r="H1271" s="8" t="s">
        <v>315</v>
      </c>
      <c r="I1271" s="16" t="s">
        <v>1001</v>
      </c>
      <c r="J1271" s="323">
        <v>37.619999999999997</v>
      </c>
      <c r="K1271" s="73">
        <v>10.7</v>
      </c>
      <c r="L1271" s="73">
        <v>18.45</v>
      </c>
      <c r="N1271" s="318">
        <f t="shared" si="241"/>
        <v>66.77</v>
      </c>
      <c r="O1271" s="81">
        <f>IFERROR(VLOOKUP($G1271,'321買'!A:E,3,0),"'沒有資料'")</f>
        <v>1</v>
      </c>
      <c r="P1271" s="380">
        <f>IFERROR(VLOOKUP($G1271,'321買'!$A:$G,7,0),"'沒有資料'")</f>
        <v>783</v>
      </c>
      <c r="R1271" s="297">
        <f>IFERROR(RANK(VLOOKUP($G1271,連買!$A:$D,4,0),連買!$D:$D,0),"'沒有資料'")</f>
        <v>296</v>
      </c>
      <c r="S1271" s="66">
        <v>5</v>
      </c>
      <c r="T1271" s="353">
        <f t="shared" si="236"/>
        <v>5.2083333333333336E-2</v>
      </c>
      <c r="U1271" s="95">
        <v>7.05</v>
      </c>
      <c r="V1271" s="36">
        <f>RTD("money.excel",,"4953","Price")</f>
        <v>96</v>
      </c>
      <c r="W1271" s="66"/>
      <c r="X1271" s="15">
        <f t="shared" si="237"/>
        <v>96</v>
      </c>
      <c r="Y1271" s="3" t="e">
        <f t="shared" si="238"/>
        <v>#DIV/0!</v>
      </c>
      <c r="Z1271" s="413" t="s">
        <v>1997</v>
      </c>
      <c r="AA1271" s="161">
        <v>0</v>
      </c>
      <c r="AB1271" s="409">
        <v>0</v>
      </c>
      <c r="AC1271" s="259">
        <f t="shared" si="229"/>
        <v>0</v>
      </c>
      <c r="AD1271" s="16" t="s">
        <v>1001</v>
      </c>
      <c r="AG1271" s="33">
        <f t="shared" si="239"/>
        <v>0</v>
      </c>
      <c r="AH1271" s="43" t="s">
        <v>2082</v>
      </c>
      <c r="AI1271" s="63">
        <f t="shared" si="240"/>
        <v>4.0929535232383804E-3</v>
      </c>
      <c r="AJ1271" s="307">
        <f>RTD("money.excel",,$G1271,"PredictVolume")</f>
        <v>273</v>
      </c>
      <c r="AK1271" s="339"/>
    </row>
    <row r="1272" spans="1:37">
      <c r="A1272" s="415">
        <v>11</v>
      </c>
      <c r="B1272" s="91">
        <v>295</v>
      </c>
      <c r="C1272" s="91">
        <v>416</v>
      </c>
      <c r="D1272" s="91">
        <v>-17</v>
      </c>
      <c r="E1272" s="91">
        <v>303</v>
      </c>
      <c r="F1272" s="57">
        <v>16.23</v>
      </c>
      <c r="G1272" s="79">
        <v>4994</v>
      </c>
      <c r="H1272" s="8" t="s">
        <v>315</v>
      </c>
      <c r="I1272" s="22" t="s">
        <v>1026</v>
      </c>
      <c r="J1272" s="73">
        <v>82.27</v>
      </c>
      <c r="K1272" s="73">
        <v>2.4300000000000002</v>
      </c>
      <c r="L1272" s="73">
        <v>10.6</v>
      </c>
      <c r="N1272" s="318">
        <f t="shared" si="241"/>
        <v>95.3</v>
      </c>
      <c r="O1272" s="81">
        <f>IFERROR(VLOOKUP($G1272,'321買'!A:E,3,0),"'沒有資料'")</f>
        <v>1</v>
      </c>
      <c r="P1272" s="380">
        <f>IFERROR(VLOOKUP($G1272,'321買'!$A:$G,7,0),"'沒有資料'")</f>
        <v>783</v>
      </c>
      <c r="R1272" s="297">
        <f>IFERROR(RANK(VLOOKUP($G1272,連買!$A:$D,4,0),連買!$D:$D,0),"'沒有資料'")</f>
        <v>325</v>
      </c>
      <c r="S1272" s="66">
        <v>3</v>
      </c>
      <c r="T1272" s="353">
        <f t="shared" si="236"/>
        <v>5.6925996204933584E-2</v>
      </c>
      <c r="U1272" s="57">
        <v>3.91</v>
      </c>
      <c r="V1272" s="36">
        <f>RTD("money.excel",,"4994","Price")</f>
        <v>52.7</v>
      </c>
      <c r="W1272" s="66"/>
      <c r="X1272" s="15">
        <f t="shared" si="237"/>
        <v>52.7</v>
      </c>
      <c r="Y1272" s="3" t="e">
        <f t="shared" si="238"/>
        <v>#DIV/0!</v>
      </c>
      <c r="Z1272" s="413" t="s">
        <v>1997</v>
      </c>
      <c r="AA1272" s="161">
        <v>0</v>
      </c>
      <c r="AB1272" s="409">
        <v>0</v>
      </c>
      <c r="AC1272" s="259">
        <f t="shared" si="229"/>
        <v>0</v>
      </c>
      <c r="AD1272" s="22" t="s">
        <v>1026</v>
      </c>
      <c r="AG1272" s="33">
        <f t="shared" si="239"/>
        <v>0</v>
      </c>
      <c r="AH1272" s="43" t="s">
        <v>2502</v>
      </c>
      <c r="AI1272" s="63">
        <f t="shared" si="240"/>
        <v>1.9781818181818182E-2</v>
      </c>
      <c r="AJ1272" s="307">
        <f>RTD("money.excel",,$G1272,"PredictVolume")</f>
        <v>2176</v>
      </c>
      <c r="AK1272" s="339"/>
    </row>
    <row r="1273" spans="1:37">
      <c r="A1273" s="415">
        <v>3.07</v>
      </c>
      <c r="B1273" s="91">
        <v>146</v>
      </c>
      <c r="C1273" s="91">
        <v>634</v>
      </c>
      <c r="D1273" s="91">
        <v>-43</v>
      </c>
      <c r="E1273" s="91">
        <v>-6</v>
      </c>
      <c r="F1273" s="57">
        <v>25.17</v>
      </c>
      <c r="G1273" s="79">
        <v>5201</v>
      </c>
      <c r="H1273" s="8" t="s">
        <v>315</v>
      </c>
      <c r="I1273" s="16" t="s">
        <v>1002</v>
      </c>
      <c r="J1273" s="73">
        <v>48.56</v>
      </c>
      <c r="K1273" s="73">
        <v>2.42</v>
      </c>
      <c r="L1273" s="73">
        <v>69.98</v>
      </c>
      <c r="N1273" s="318">
        <f t="shared" si="241"/>
        <v>120.96000000000001</v>
      </c>
      <c r="O1273" s="81">
        <f>IFERROR(VLOOKUP($G1273,'321買'!A:E,3,0),"'沒有資料'")</f>
        <v>0</v>
      </c>
      <c r="P1273" s="380">
        <f>IFERROR(VLOOKUP($G1273,'321買'!$A:$G,7,0),"'沒有資料'")</f>
        <v>911</v>
      </c>
      <c r="R1273" s="297">
        <f>IFERROR(RANK(VLOOKUP($G1273,連買!$A:$D,4,0),連買!$D:$D,0),"'沒有資料'")</f>
        <v>565</v>
      </c>
      <c r="S1273" s="34">
        <v>2.8</v>
      </c>
      <c r="T1273" s="353">
        <f t="shared" si="236"/>
        <v>8.6687306501547989E-2</v>
      </c>
      <c r="U1273" s="95">
        <v>3.1</v>
      </c>
      <c r="V1273" s="36">
        <f>RTD("money.excel",,"5201","Price")</f>
        <v>32.299999999999997</v>
      </c>
      <c r="W1273" s="66"/>
      <c r="X1273" s="15">
        <f t="shared" si="237"/>
        <v>32.299999999999997</v>
      </c>
      <c r="Y1273" s="3" t="e">
        <f t="shared" si="238"/>
        <v>#DIV/0!</v>
      </c>
      <c r="AA1273" s="161">
        <v>0</v>
      </c>
      <c r="AB1273" s="409">
        <v>0</v>
      </c>
      <c r="AC1273" s="259">
        <f t="shared" si="229"/>
        <v>0</v>
      </c>
      <c r="AD1273" s="16" t="s">
        <v>1002</v>
      </c>
      <c r="AG1273" s="33">
        <f t="shared" si="239"/>
        <v>0</v>
      </c>
      <c r="AH1273" s="43" t="s">
        <v>2870</v>
      </c>
      <c r="AI1273" s="63">
        <f t="shared" si="240"/>
        <v>1.8566775244299675E-3</v>
      </c>
      <c r="AJ1273" s="307">
        <f>RTD("money.excel",,$G1273,"PredictVolume")</f>
        <v>57</v>
      </c>
      <c r="AK1273" s="339"/>
    </row>
    <row r="1274" spans="1:37">
      <c r="A1274" s="416">
        <v>5.91</v>
      </c>
      <c r="B1274" s="91">
        <v>-28</v>
      </c>
      <c r="C1274" s="91">
        <v>-38</v>
      </c>
      <c r="D1274" s="91">
        <v>-61</v>
      </c>
      <c r="E1274" s="91">
        <v>-19</v>
      </c>
      <c r="F1274" s="6">
        <v>-36.42</v>
      </c>
      <c r="G1274" s="79">
        <v>5202</v>
      </c>
      <c r="H1274" s="8" t="s">
        <v>315</v>
      </c>
      <c r="I1274" s="16" t="s">
        <v>1003</v>
      </c>
      <c r="J1274" s="73">
        <v>57.88</v>
      </c>
      <c r="K1274" s="73">
        <v>7.0000000000000007E-2</v>
      </c>
      <c r="N1274" s="318">
        <f t="shared" si="241"/>
        <v>57.95</v>
      </c>
      <c r="O1274" s="81">
        <f>IFERROR(VLOOKUP($G1274,'321買'!A:E,3,0),"'沒有資料'")</f>
        <v>4</v>
      </c>
      <c r="P1274" s="380">
        <f>IFERROR(VLOOKUP($G1274,'321買'!$A:$G,7,0),"'沒有資料'")</f>
        <v>592</v>
      </c>
      <c r="R1274" s="297">
        <f>IFERROR(RANK(VLOOKUP($G1274,連買!$A:$D,4,0),連買!$D:$D,0),"'沒有資料'")</f>
        <v>1253</v>
      </c>
      <c r="S1274" s="34">
        <v>0</v>
      </c>
      <c r="T1274" s="353">
        <f t="shared" si="236"/>
        <v>0</v>
      </c>
      <c r="U1274" s="95">
        <v>-0.55000000000000004</v>
      </c>
      <c r="V1274" s="13">
        <f>RTD("money.excel",,"5202","Price")</f>
        <v>19</v>
      </c>
      <c r="W1274" s="66"/>
      <c r="X1274" s="15">
        <f t="shared" si="237"/>
        <v>19</v>
      </c>
      <c r="Y1274" s="3" t="e">
        <f t="shared" si="238"/>
        <v>#DIV/0!</v>
      </c>
      <c r="AA1274" s="161">
        <v>0</v>
      </c>
      <c r="AB1274" s="409">
        <v>0</v>
      </c>
      <c r="AC1274" s="259">
        <f t="shared" si="229"/>
        <v>0</v>
      </c>
      <c r="AD1274" s="16" t="s">
        <v>1003</v>
      </c>
      <c r="AG1274" s="33">
        <f t="shared" si="239"/>
        <v>0</v>
      </c>
      <c r="AH1274" s="43" t="s">
        <v>2192</v>
      </c>
      <c r="AI1274" s="63">
        <f t="shared" si="240"/>
        <v>8.4602368866328257E-5</v>
      </c>
      <c r="AJ1274" s="307">
        <f>RTD("money.excel",,$G1274,"PredictVolume")</f>
        <v>5</v>
      </c>
      <c r="AK1274" s="339"/>
    </row>
    <row r="1275" spans="1:37">
      <c r="A1275" s="415">
        <v>8.06</v>
      </c>
      <c r="B1275" s="80">
        <v>-13</v>
      </c>
      <c r="C1275" s="80">
        <v>-16</v>
      </c>
      <c r="D1275" s="80">
        <v>-18</v>
      </c>
      <c r="E1275" s="80">
        <v>-15</v>
      </c>
      <c r="F1275" s="57">
        <v>13.44</v>
      </c>
      <c r="G1275" s="79">
        <v>5203</v>
      </c>
      <c r="H1275" s="8" t="s">
        <v>315</v>
      </c>
      <c r="I1275" s="22" t="s">
        <v>100</v>
      </c>
      <c r="J1275" s="323">
        <v>46.19</v>
      </c>
      <c r="K1275" s="73">
        <v>17.690000000000001</v>
      </c>
      <c r="L1275" s="73">
        <v>5.73</v>
      </c>
      <c r="N1275" s="318">
        <f t="shared" si="241"/>
        <v>69.61</v>
      </c>
      <c r="O1275" s="81">
        <f>IFERROR(VLOOKUP($G1275,'321買'!A:E,3,0),"'沒有資料'")</f>
        <v>1</v>
      </c>
      <c r="P1275" s="380">
        <f>IFERROR(VLOOKUP($G1275,'321買'!$A:$G,7,0),"'沒有資料'")</f>
        <v>783</v>
      </c>
      <c r="R1275" s="297">
        <f>IFERROR(RANK(VLOOKUP($G1275,連買!$A:$D,4,0),連買!$D:$D,0),"'沒有資料'")</f>
        <v>118</v>
      </c>
      <c r="S1275" s="34">
        <v>2.2599999999999998</v>
      </c>
      <c r="T1275" s="353">
        <f t="shared" si="236"/>
        <v>2.4807903402854006E-2</v>
      </c>
      <c r="U1275" s="95">
        <v>2.25</v>
      </c>
      <c r="V1275" s="36">
        <f>RTD("money.excel",,"5203","Price")</f>
        <v>91.1</v>
      </c>
      <c r="W1275" s="66"/>
      <c r="X1275" s="15">
        <f t="shared" si="237"/>
        <v>91.1</v>
      </c>
      <c r="Y1275" s="3" t="e">
        <f t="shared" si="238"/>
        <v>#DIV/0!</v>
      </c>
      <c r="Z1275" s="413" t="s">
        <v>1801</v>
      </c>
      <c r="AA1275" s="161">
        <v>0</v>
      </c>
      <c r="AB1275" s="409">
        <v>0</v>
      </c>
      <c r="AC1275" s="259">
        <f t="shared" si="229"/>
        <v>0</v>
      </c>
      <c r="AD1275" s="22" t="s">
        <v>100</v>
      </c>
      <c r="AG1275" s="33">
        <f t="shared" si="239"/>
        <v>0</v>
      </c>
      <c r="AH1275" s="120" t="s">
        <v>2195</v>
      </c>
      <c r="AI1275" s="63">
        <f t="shared" si="240"/>
        <v>9.0818858560794049E-3</v>
      </c>
      <c r="AJ1275" s="307">
        <f>RTD("money.excel",,$G1275,"PredictVolume")</f>
        <v>732</v>
      </c>
      <c r="AK1275" s="339"/>
    </row>
    <row r="1276" spans="1:37">
      <c r="A1276" s="416">
        <v>2.71</v>
      </c>
      <c r="B1276" s="80">
        <v>-15</v>
      </c>
      <c r="C1276" s="80">
        <v>-5</v>
      </c>
      <c r="D1276" s="79">
        <v>19</v>
      </c>
      <c r="E1276" s="79">
        <v>324</v>
      </c>
      <c r="F1276" s="6">
        <v>5.73</v>
      </c>
      <c r="G1276" s="79">
        <v>5209</v>
      </c>
      <c r="H1276" s="8" t="s">
        <v>315</v>
      </c>
      <c r="I1276" s="16" t="s">
        <v>1004</v>
      </c>
      <c r="J1276" s="323">
        <v>55.09</v>
      </c>
      <c r="K1276" s="323">
        <v>0.22</v>
      </c>
      <c r="L1276" s="323"/>
      <c r="N1276" s="318">
        <f t="shared" si="241"/>
        <v>55.31</v>
      </c>
      <c r="O1276" s="81" t="str">
        <f>IFERROR(VLOOKUP($G1276,'321買'!A:E,3,0),"'沒有資料'")</f>
        <v>'沒有資料'</v>
      </c>
      <c r="P1276" s="380" t="str">
        <f>IFERROR(VLOOKUP($G1276,'321買'!$A:$G,7,0),"'沒有資料'")</f>
        <v>'沒有資料'</v>
      </c>
      <c r="R1276" s="297">
        <f>IFERROR(RANK(VLOOKUP($G1276,連買!$A:$D,4,0),連買!$D:$D,0),"'沒有資料'")</f>
        <v>1339</v>
      </c>
      <c r="S1276" s="66">
        <v>4</v>
      </c>
      <c r="T1276" s="353">
        <f t="shared" si="236"/>
        <v>5.0505050505050504E-2</v>
      </c>
      <c r="U1276" s="95">
        <v>5.75</v>
      </c>
      <c r="V1276" s="36">
        <f>RTD("money.excel",,"5209","Price")</f>
        <v>79.2</v>
      </c>
      <c r="W1276" s="66"/>
      <c r="X1276" s="15">
        <f t="shared" si="237"/>
        <v>79.2</v>
      </c>
      <c r="Y1276" s="3" t="e">
        <f t="shared" si="238"/>
        <v>#DIV/0!</v>
      </c>
      <c r="Z1276" s="413" t="s">
        <v>1831</v>
      </c>
      <c r="AA1276" s="161">
        <v>0</v>
      </c>
      <c r="AB1276" s="409">
        <v>0</v>
      </c>
      <c r="AC1276" s="259">
        <f t="shared" si="229"/>
        <v>0</v>
      </c>
      <c r="AD1276" s="16" t="s">
        <v>1004</v>
      </c>
      <c r="AG1276" s="33">
        <f t="shared" si="239"/>
        <v>0</v>
      </c>
      <c r="AH1276" s="43" t="s">
        <v>2307</v>
      </c>
      <c r="AI1276" s="63">
        <f t="shared" si="240"/>
        <v>7.7490774907749082E-4</v>
      </c>
      <c r="AJ1276" s="307">
        <f>RTD("money.excel",,$G1276,"PredictVolume")</f>
        <v>21</v>
      </c>
      <c r="AK1276" s="339"/>
    </row>
    <row r="1277" spans="1:37">
      <c r="A1277" s="416">
        <v>6.22</v>
      </c>
      <c r="B1277" s="91">
        <v>-180</v>
      </c>
      <c r="C1277" s="91">
        <v>-107</v>
      </c>
      <c r="D1277" s="91">
        <v>-53</v>
      </c>
      <c r="E1277" s="91">
        <v>-7</v>
      </c>
      <c r="F1277" s="6">
        <v>-59.89</v>
      </c>
      <c r="G1277" s="79">
        <v>5210</v>
      </c>
      <c r="H1277" s="8" t="s">
        <v>315</v>
      </c>
      <c r="I1277" s="16" t="s">
        <v>1005</v>
      </c>
      <c r="J1277" s="73">
        <v>63.09</v>
      </c>
      <c r="K1277" s="73">
        <v>0.04</v>
      </c>
      <c r="L1277" s="73">
        <v>11.48</v>
      </c>
      <c r="N1277" s="318">
        <f t="shared" si="241"/>
        <v>74.61</v>
      </c>
      <c r="O1277" s="81">
        <f>IFERROR(VLOOKUP($G1277,'321買'!A:E,3,0),"'沒有資料'")</f>
        <v>10</v>
      </c>
      <c r="P1277" s="380">
        <f>IFERROR(VLOOKUP($G1277,'321買'!$A:$G,7,0),"'沒有資料'")</f>
        <v>433</v>
      </c>
      <c r="R1277" s="297">
        <f>IFERROR(RANK(VLOOKUP($G1277,連買!$A:$D,4,0),連買!$D:$D,0),"'沒有資料'")</f>
        <v>1488</v>
      </c>
      <c r="S1277" s="34">
        <v>0</v>
      </c>
      <c r="T1277" s="353">
        <f t="shared" si="236"/>
        <v>0</v>
      </c>
      <c r="U1277" s="95">
        <v>-1.26</v>
      </c>
      <c r="V1277" s="13">
        <f>RTD("money.excel",,"5210","Price")</f>
        <v>25.4</v>
      </c>
      <c r="W1277" s="66"/>
      <c r="X1277" s="15">
        <f t="shared" si="237"/>
        <v>25.4</v>
      </c>
      <c r="Y1277" s="3" t="e">
        <f t="shared" si="238"/>
        <v>#DIV/0!</v>
      </c>
      <c r="AA1277" s="161">
        <v>0</v>
      </c>
      <c r="AB1277" s="409">
        <v>0</v>
      </c>
      <c r="AC1277" s="259">
        <f t="shared" si="229"/>
        <v>0</v>
      </c>
      <c r="AD1277" s="16" t="s">
        <v>1005</v>
      </c>
      <c r="AG1277" s="33">
        <f t="shared" si="239"/>
        <v>0</v>
      </c>
      <c r="AH1277" s="43" t="s">
        <v>2870</v>
      </c>
      <c r="AI1277" s="63">
        <f t="shared" si="240"/>
        <v>8.315112540192926E-2</v>
      </c>
      <c r="AJ1277" s="307">
        <f>RTD("money.excel",,$G1277,"PredictVolume")</f>
        <v>5172</v>
      </c>
      <c r="AK1277" s="339"/>
    </row>
    <row r="1278" spans="1:37">
      <c r="A1278" s="416">
        <v>3.2</v>
      </c>
      <c r="B1278" s="91">
        <v>-130</v>
      </c>
      <c r="C1278" s="91">
        <v>-149</v>
      </c>
      <c r="D1278" s="91">
        <v>-6</v>
      </c>
      <c r="E1278" s="91">
        <v>-17</v>
      </c>
      <c r="F1278" s="6">
        <v>-11.15</v>
      </c>
      <c r="G1278" s="79">
        <v>5211</v>
      </c>
      <c r="H1278" s="8" t="s">
        <v>315</v>
      </c>
      <c r="I1278" s="16" t="s">
        <v>1006</v>
      </c>
      <c r="J1278" s="73">
        <v>46.35</v>
      </c>
      <c r="K1278" s="73">
        <v>11.55</v>
      </c>
      <c r="L1278" s="73">
        <v>13.04</v>
      </c>
      <c r="N1278" s="318">
        <f t="shared" si="241"/>
        <v>70.94</v>
      </c>
      <c r="O1278" s="81">
        <f>IFERROR(VLOOKUP($G1278,'321買'!A:E,3,0),"'沒有資料'")</f>
        <v>8</v>
      </c>
      <c r="P1278" s="380">
        <f>IFERROR(VLOOKUP($G1278,'321買'!$A:$G,7,0),"'沒有資料'")</f>
        <v>475</v>
      </c>
      <c r="R1278" s="297">
        <f>IFERROR(RANK(VLOOKUP($G1278,連買!$A:$D,4,0),連買!$D:$D,0),"'沒有資料'")</f>
        <v>892</v>
      </c>
      <c r="S1278" s="34">
        <v>0</v>
      </c>
      <c r="T1278" s="353">
        <f t="shared" si="236"/>
        <v>0</v>
      </c>
      <c r="U1278" s="95">
        <v>-0.31</v>
      </c>
      <c r="V1278" s="36">
        <f>RTD("money.excel",,"5211","Price")</f>
        <v>17.899999999999999</v>
      </c>
      <c r="W1278" s="66"/>
      <c r="X1278" s="15">
        <f t="shared" si="237"/>
        <v>17.899999999999999</v>
      </c>
      <c r="Y1278" s="3" t="e">
        <f t="shared" si="238"/>
        <v>#DIV/0!</v>
      </c>
      <c r="AA1278" s="161">
        <v>0</v>
      </c>
      <c r="AB1278" s="409">
        <v>0</v>
      </c>
      <c r="AC1278" s="259">
        <f t="shared" si="229"/>
        <v>0</v>
      </c>
      <c r="AD1278" s="16" t="s">
        <v>1006</v>
      </c>
      <c r="AG1278" s="33">
        <f t="shared" si="239"/>
        <v>0</v>
      </c>
      <c r="AH1278" s="43" t="s">
        <v>2871</v>
      </c>
      <c r="AI1278" s="63">
        <f t="shared" si="240"/>
        <v>1.8749999999999999E-3</v>
      </c>
      <c r="AJ1278" s="307">
        <f>RTD("money.excel",,$G1278,"PredictVolume")</f>
        <v>60</v>
      </c>
      <c r="AK1278" s="339"/>
    </row>
    <row r="1279" spans="1:37">
      <c r="A1279" s="415">
        <v>3.46</v>
      </c>
      <c r="B1279" s="80">
        <v>-17</v>
      </c>
      <c r="C1279" s="80">
        <v>-12</v>
      </c>
      <c r="D1279" s="80">
        <v>-72</v>
      </c>
      <c r="E1279" s="80">
        <v>-37</v>
      </c>
      <c r="F1279" s="57">
        <v>10.81</v>
      </c>
      <c r="G1279" s="79">
        <v>5212</v>
      </c>
      <c r="H1279" s="8" t="s">
        <v>315</v>
      </c>
      <c r="I1279" s="16" t="s">
        <v>1007</v>
      </c>
      <c r="J1279" s="73">
        <v>68.209999999999994</v>
      </c>
      <c r="K1279" s="73">
        <v>37.94</v>
      </c>
      <c r="L1279" s="323">
        <v>1.03</v>
      </c>
      <c r="M1279" s="73">
        <v>32.07</v>
      </c>
      <c r="N1279" s="73">
        <f t="shared" si="241"/>
        <v>139.25</v>
      </c>
      <c r="O1279" s="81">
        <f>IFERROR(VLOOKUP($G1279,'321買'!A:E,3,0),"'沒有資料'")</f>
        <v>2</v>
      </c>
      <c r="P1279" s="380">
        <f>IFERROR(VLOOKUP($G1279,'321買'!$A:$G,7,0),"'沒有資料'")</f>
        <v>706</v>
      </c>
      <c r="Q1279" s="245" t="s">
        <v>3816</v>
      </c>
      <c r="R1279" s="297">
        <f>IFERROR(RANK(VLOOKUP($G1279,連買!$A:$D,4,0),連買!$D:$D,0),"'沒有資料'")</f>
        <v>675</v>
      </c>
      <c r="S1279" s="34">
        <v>2.85</v>
      </c>
      <c r="T1279" s="353">
        <f t="shared" si="236"/>
        <v>6.0063224446786086E-2</v>
      </c>
      <c r="U1279" s="57">
        <v>2.87</v>
      </c>
      <c r="V1279" s="36">
        <f>RTD("money.excel",,"5212","Price")</f>
        <v>47.45</v>
      </c>
      <c r="W1279" s="66"/>
      <c r="X1279" s="15">
        <f t="shared" si="237"/>
        <v>47.45</v>
      </c>
      <c r="Y1279" s="3" t="e">
        <f t="shared" si="238"/>
        <v>#DIV/0!</v>
      </c>
      <c r="AA1279" s="161">
        <v>0</v>
      </c>
      <c r="AB1279" s="409">
        <v>0</v>
      </c>
      <c r="AC1279" s="259">
        <f t="shared" si="229"/>
        <v>0</v>
      </c>
      <c r="AD1279" s="16" t="s">
        <v>1007</v>
      </c>
      <c r="AG1279" s="33">
        <f t="shared" si="239"/>
        <v>0</v>
      </c>
      <c r="AH1279" s="43" t="s">
        <v>2872</v>
      </c>
      <c r="AI1279" s="63">
        <f t="shared" si="240"/>
        <v>1.7341040462427745E-4</v>
      </c>
      <c r="AJ1279" s="307">
        <f>RTD("money.excel",,$G1279,"PredictVolume")</f>
        <v>6</v>
      </c>
      <c r="AK1279" s="339">
        <v>5.2</v>
      </c>
    </row>
    <row r="1280" spans="1:37">
      <c r="A1280" s="416">
        <v>4.96</v>
      </c>
      <c r="B1280" s="91">
        <v>32</v>
      </c>
      <c r="C1280" s="91">
        <v>47</v>
      </c>
      <c r="D1280" s="91">
        <v>54</v>
      </c>
      <c r="E1280" s="91">
        <v>-92</v>
      </c>
      <c r="F1280" s="6">
        <v>-56.53</v>
      </c>
      <c r="G1280" s="79">
        <v>5310</v>
      </c>
      <c r="H1280" s="8" t="s">
        <v>315</v>
      </c>
      <c r="I1280" s="16" t="s">
        <v>1008</v>
      </c>
      <c r="J1280" s="73">
        <v>74.84</v>
      </c>
      <c r="K1280" s="73">
        <v>1.54</v>
      </c>
      <c r="L1280" s="73">
        <v>55.98</v>
      </c>
      <c r="N1280" s="318">
        <f t="shared" si="241"/>
        <v>132.36000000000001</v>
      </c>
      <c r="O1280" s="81">
        <f>IFERROR(VLOOKUP($G1280,'321買'!A:E,3,0),"'沒有資料'")</f>
        <v>0</v>
      </c>
      <c r="P1280" s="380">
        <f>IFERROR(VLOOKUP($G1280,'321買'!$A:$G,7,0),"'沒有資料'")</f>
        <v>911</v>
      </c>
      <c r="R1280" s="297">
        <f>IFERROR(RANK(VLOOKUP($G1280,連買!$A:$D,4,0),連買!$D:$D,0),"'沒有資料'")</f>
        <v>1408</v>
      </c>
      <c r="S1280" s="34">
        <v>0</v>
      </c>
      <c r="T1280" s="353">
        <f t="shared" si="236"/>
        <v>0</v>
      </c>
      <c r="U1280" s="95">
        <v>-2.61</v>
      </c>
      <c r="V1280" s="13">
        <f>RTD("money.excel",,"5310","Price")</f>
        <v>31.2</v>
      </c>
      <c r="W1280" s="66"/>
      <c r="X1280" s="15">
        <f t="shared" si="237"/>
        <v>31.2</v>
      </c>
      <c r="Y1280" s="3" t="e">
        <f t="shared" si="238"/>
        <v>#DIV/0!</v>
      </c>
      <c r="AA1280" s="161">
        <v>0</v>
      </c>
      <c r="AB1280" s="409">
        <v>0</v>
      </c>
      <c r="AC1280" s="259">
        <f t="shared" si="229"/>
        <v>0</v>
      </c>
      <c r="AD1280" s="16" t="s">
        <v>1008</v>
      </c>
      <c r="AG1280" s="33">
        <f t="shared" si="239"/>
        <v>0</v>
      </c>
      <c r="AH1280" s="43" t="s">
        <v>2502</v>
      </c>
      <c r="AI1280" s="63">
        <f t="shared" si="240"/>
        <v>2.4193548387096774E-4</v>
      </c>
      <c r="AJ1280" s="307">
        <f>RTD("money.excel",,$G1280,"PredictVolume")</f>
        <v>12</v>
      </c>
      <c r="AK1280" s="339"/>
    </row>
    <row r="1281" spans="1:37">
      <c r="A1281" s="415">
        <v>6.26</v>
      </c>
      <c r="B1281" s="79">
        <v>34</v>
      </c>
      <c r="C1281" s="79">
        <v>39</v>
      </c>
      <c r="D1281" s="79">
        <v>-54</v>
      </c>
      <c r="E1281" s="79">
        <v>131</v>
      </c>
      <c r="F1281" s="57">
        <v>16.88</v>
      </c>
      <c r="G1281" s="79">
        <v>5403</v>
      </c>
      <c r="H1281" s="8" t="s">
        <v>315</v>
      </c>
      <c r="I1281" s="16" t="s">
        <v>1009</v>
      </c>
      <c r="J1281" s="323">
        <v>44.57</v>
      </c>
      <c r="K1281" s="73">
        <v>6.71</v>
      </c>
      <c r="L1281" s="323">
        <v>4.24</v>
      </c>
      <c r="N1281" s="318">
        <f t="shared" si="241"/>
        <v>55.52</v>
      </c>
      <c r="O1281" s="81">
        <f>IFERROR(VLOOKUP($G1281,'321買'!A:E,3,0),"'沒有資料'")</f>
        <v>0</v>
      </c>
      <c r="P1281" s="380">
        <f>IFERROR(VLOOKUP($G1281,'321買'!$A:$G,7,0),"'沒有資料'")</f>
        <v>911</v>
      </c>
      <c r="R1281" s="297">
        <f>IFERROR(RANK(VLOOKUP($G1281,連買!$A:$D,4,0),連買!$D:$D,0),"'沒有資料'")</f>
        <v>200</v>
      </c>
      <c r="S1281" s="66">
        <v>4</v>
      </c>
      <c r="T1281" s="353">
        <f t="shared" si="236"/>
        <v>5.4869684499314127E-2</v>
      </c>
      <c r="U1281" s="95">
        <v>5.2</v>
      </c>
      <c r="V1281" s="36">
        <f>RTD("money.excel",,"5403","Price")</f>
        <v>72.900000000000006</v>
      </c>
      <c r="W1281" s="66"/>
      <c r="X1281" s="15">
        <f t="shared" si="237"/>
        <v>72.900000000000006</v>
      </c>
      <c r="Y1281" s="3" t="e">
        <f t="shared" si="238"/>
        <v>#DIV/0!</v>
      </c>
      <c r="Z1281" s="413" t="s">
        <v>1831</v>
      </c>
      <c r="AA1281" s="161">
        <v>0</v>
      </c>
      <c r="AB1281" s="409">
        <v>0</v>
      </c>
      <c r="AC1281" s="259">
        <f t="shared" si="229"/>
        <v>0</v>
      </c>
      <c r="AD1281" s="16" t="s">
        <v>1009</v>
      </c>
      <c r="AG1281" s="33">
        <f t="shared" si="239"/>
        <v>0</v>
      </c>
      <c r="AH1281" s="43" t="s">
        <v>306</v>
      </c>
      <c r="AI1281" s="63">
        <f t="shared" si="240"/>
        <v>2.7156549520766771E-4</v>
      </c>
      <c r="AJ1281" s="307">
        <f>RTD("money.excel",,$G1281,"PredictVolume")</f>
        <v>17</v>
      </c>
      <c r="AK1281" s="339"/>
    </row>
    <row r="1282" spans="1:37">
      <c r="A1282" s="416">
        <v>8.7799999999999994</v>
      </c>
      <c r="B1282" s="79">
        <v>8</v>
      </c>
      <c r="C1282" s="79">
        <v>21</v>
      </c>
      <c r="D1282" s="80">
        <v>-19</v>
      </c>
      <c r="E1282" s="80">
        <v>1</v>
      </c>
      <c r="F1282" s="6">
        <v>6</v>
      </c>
      <c r="G1282" s="79">
        <v>5410</v>
      </c>
      <c r="H1282" s="8" t="s">
        <v>315</v>
      </c>
      <c r="I1282" s="16" t="s">
        <v>1010</v>
      </c>
      <c r="J1282" s="323">
        <v>23.04</v>
      </c>
      <c r="K1282" s="73">
        <v>1.52</v>
      </c>
      <c r="L1282" s="323">
        <v>4.84</v>
      </c>
      <c r="M1282" s="323">
        <v>9.85</v>
      </c>
      <c r="N1282" s="318">
        <f t="shared" si="241"/>
        <v>39.25</v>
      </c>
      <c r="O1282" s="81">
        <f>IFERROR(VLOOKUP($G1282,'321買'!A:E,3,0),"'沒有資料'")</f>
        <v>2</v>
      </c>
      <c r="P1282" s="380">
        <f>IFERROR(VLOOKUP($G1282,'321買'!$A:$G,7,0),"'沒有資料'")</f>
        <v>706</v>
      </c>
      <c r="Q1282" s="245" t="s">
        <v>3816</v>
      </c>
      <c r="R1282" s="297">
        <f>IFERROR(RANK(VLOOKUP($G1282,連買!$A:$D,4,0),連買!$D:$D,0),"'沒有資料'")</f>
        <v>678</v>
      </c>
      <c r="S1282" s="34">
        <v>1.69</v>
      </c>
      <c r="T1282" s="353">
        <f t="shared" si="236"/>
        <v>6.5631067961165052E-2</v>
      </c>
      <c r="U1282" s="95">
        <v>2.13</v>
      </c>
      <c r="V1282" s="36">
        <f>RTD("money.excel",,"5410","Price")</f>
        <v>25.75</v>
      </c>
      <c r="W1282" s="66"/>
      <c r="X1282" s="15">
        <f t="shared" si="237"/>
        <v>25.75</v>
      </c>
      <c r="Y1282" s="3" t="e">
        <f t="shared" si="238"/>
        <v>#DIV/0!</v>
      </c>
      <c r="AA1282" s="161">
        <v>0</v>
      </c>
      <c r="AB1282" s="409">
        <v>0</v>
      </c>
      <c r="AC1282" s="259">
        <f t="shared" si="229"/>
        <v>0</v>
      </c>
      <c r="AD1282" s="16" t="s">
        <v>1010</v>
      </c>
      <c r="AG1282" s="33">
        <f t="shared" si="239"/>
        <v>0</v>
      </c>
      <c r="AH1282" s="43" t="s">
        <v>2873</v>
      </c>
      <c r="AI1282" s="63">
        <f t="shared" si="240"/>
        <v>7.8587699316628697E-4</v>
      </c>
      <c r="AJ1282" s="307">
        <f>RTD("money.excel",,$G1282,"PredictVolume")</f>
        <v>69</v>
      </c>
      <c r="AK1282" s="339"/>
    </row>
    <row r="1283" spans="1:37">
      <c r="A1283" s="416">
        <v>18.8</v>
      </c>
      <c r="B1283" s="79">
        <v>38</v>
      </c>
      <c r="C1283" s="79">
        <v>39</v>
      </c>
      <c r="D1283" s="79">
        <v>15</v>
      </c>
      <c r="E1283" s="80">
        <v>-15</v>
      </c>
      <c r="F1283" s="6">
        <v>4.8099999999999996</v>
      </c>
      <c r="G1283" s="79">
        <v>6112</v>
      </c>
      <c r="H1283" s="8" t="s">
        <v>315</v>
      </c>
      <c r="I1283" s="22" t="s">
        <v>1027</v>
      </c>
      <c r="J1283" s="323">
        <v>54.03</v>
      </c>
      <c r="K1283" s="73">
        <v>3.18</v>
      </c>
      <c r="L1283" s="73">
        <v>1.57</v>
      </c>
      <c r="N1283" s="318">
        <f t="shared" si="241"/>
        <v>58.78</v>
      </c>
      <c r="O1283" s="81">
        <f>IFERROR(VLOOKUP($G1283,'321買'!A:E,3,0),"'沒有資料'")</f>
        <v>0</v>
      </c>
      <c r="P1283" s="380">
        <f>IFERROR(VLOOKUP($G1283,'321買'!$A:$G,7,0),"'沒有資料'")</f>
        <v>911</v>
      </c>
      <c r="R1283" s="297">
        <f>IFERROR(RANK(VLOOKUP($G1283,連買!$A:$D,4,0),連買!$D:$D,0),"'沒有資料'")</f>
        <v>962</v>
      </c>
      <c r="S1283" s="34">
        <v>2.5</v>
      </c>
      <c r="T1283" s="353">
        <f t="shared" si="236"/>
        <v>6.3694267515923567E-2</v>
      </c>
      <c r="U1283" s="57">
        <v>2.92</v>
      </c>
      <c r="V1283" s="36">
        <f>RTD("money.excel",,"6112","Price")</f>
        <v>39.25</v>
      </c>
      <c r="W1283" s="66"/>
      <c r="X1283" s="15">
        <f t="shared" si="237"/>
        <v>39.25</v>
      </c>
      <c r="Y1283" s="3" t="e">
        <f t="shared" si="238"/>
        <v>#DIV/0!</v>
      </c>
      <c r="Z1283" s="413" t="s">
        <v>1801</v>
      </c>
      <c r="AA1283" s="161">
        <v>0</v>
      </c>
      <c r="AB1283" s="409">
        <v>0</v>
      </c>
      <c r="AC1283" s="259">
        <f t="shared" si="229"/>
        <v>0</v>
      </c>
      <c r="AD1283" s="22" t="s">
        <v>1027</v>
      </c>
      <c r="AG1283" s="33">
        <f t="shared" si="239"/>
        <v>0</v>
      </c>
      <c r="AH1283" s="43" t="s">
        <v>2139</v>
      </c>
      <c r="AI1283" s="63">
        <f t="shared" si="240"/>
        <v>5.0000000000000001E-4</v>
      </c>
      <c r="AJ1283" s="307">
        <f>RTD("money.excel",,$G1283,"PredictVolume")</f>
        <v>94</v>
      </c>
      <c r="AK1283" s="339"/>
    </row>
    <row r="1284" spans="1:37">
      <c r="A1284" s="416">
        <v>3.84</v>
      </c>
      <c r="B1284" s="140">
        <v>1035</v>
      </c>
      <c r="C1284" s="140">
        <v>1482</v>
      </c>
      <c r="D1284" s="91">
        <v>-12</v>
      </c>
      <c r="E1284" s="91">
        <v>41</v>
      </c>
      <c r="F1284" s="6">
        <v>3.38</v>
      </c>
      <c r="G1284" s="79">
        <v>6140</v>
      </c>
      <c r="H1284" s="8" t="s">
        <v>315</v>
      </c>
      <c r="I1284" s="16" t="s">
        <v>1011</v>
      </c>
      <c r="J1284" s="73">
        <v>80.02</v>
      </c>
      <c r="K1284" s="73">
        <v>0</v>
      </c>
      <c r="L1284" s="73">
        <v>5.95</v>
      </c>
      <c r="N1284" s="318">
        <f t="shared" si="241"/>
        <v>85.97</v>
      </c>
      <c r="O1284" s="81">
        <f>IFERROR(VLOOKUP($G1284,'321買'!A:E,3,0),"'沒有資料'")</f>
        <v>3</v>
      </c>
      <c r="P1284" s="380">
        <f>IFERROR(VLOOKUP($G1284,'321買'!$A:$G,7,0),"'沒有資料'")</f>
        <v>636</v>
      </c>
      <c r="R1284" s="297">
        <f>IFERROR(RANK(VLOOKUP($G1284,連買!$A:$D,4,0),連買!$D:$D,0),"'沒有資料'")</f>
        <v>1241</v>
      </c>
      <c r="S1284" s="34">
        <v>0</v>
      </c>
      <c r="T1284" s="353">
        <f t="shared" si="236"/>
        <v>0</v>
      </c>
      <c r="U1284" s="95">
        <v>1.44</v>
      </c>
      <c r="V1284" s="13">
        <f>RTD("money.excel",,"6140","Price")</f>
        <v>16.850000000000001</v>
      </c>
      <c r="W1284" s="66"/>
      <c r="X1284" s="15">
        <f t="shared" si="237"/>
        <v>16.850000000000001</v>
      </c>
      <c r="Y1284" s="3" t="e">
        <f t="shared" si="238"/>
        <v>#DIV/0!</v>
      </c>
      <c r="AA1284" s="161">
        <v>0</v>
      </c>
      <c r="AB1284" s="409">
        <v>0</v>
      </c>
      <c r="AC1284" s="259">
        <f t="shared" si="229"/>
        <v>0</v>
      </c>
      <c r="AD1284" s="16" t="s">
        <v>1011</v>
      </c>
      <c r="AG1284" s="33">
        <f t="shared" si="239"/>
        <v>0</v>
      </c>
      <c r="AH1284" s="43" t="s">
        <v>306</v>
      </c>
      <c r="AI1284" s="63">
        <f t="shared" si="240"/>
        <v>1.9791666666666668E-3</v>
      </c>
      <c r="AJ1284" s="307">
        <f>RTD("money.excel",,$G1284,"PredictVolume")</f>
        <v>76</v>
      </c>
      <c r="AK1284" s="339"/>
    </row>
    <row r="1285" spans="1:37">
      <c r="A1285" s="416">
        <v>4.7</v>
      </c>
      <c r="B1285" s="91">
        <v>155</v>
      </c>
      <c r="C1285" s="91">
        <v>256</v>
      </c>
      <c r="D1285" s="91">
        <v>-3</v>
      </c>
      <c r="E1285" s="91">
        <v>-21</v>
      </c>
      <c r="F1285" s="6">
        <v>5.72</v>
      </c>
      <c r="G1285" s="79">
        <v>6148</v>
      </c>
      <c r="H1285" s="8" t="s">
        <v>315</v>
      </c>
      <c r="I1285" s="16" t="s">
        <v>1012</v>
      </c>
      <c r="J1285" s="73">
        <v>55.07</v>
      </c>
      <c r="K1285" s="73">
        <v>0.11</v>
      </c>
      <c r="L1285" s="73">
        <v>3.48</v>
      </c>
      <c r="N1285" s="318">
        <f t="shared" si="241"/>
        <v>58.66</v>
      </c>
      <c r="O1285" s="81">
        <f>IFERROR(VLOOKUP($G1285,'321買'!A:E,3,0),"'沒有資料'")</f>
        <v>5</v>
      </c>
      <c r="P1285" s="380">
        <f>IFERROR(VLOOKUP($G1285,'321買'!$A:$G,7,0),"'沒有資料'")</f>
        <v>558</v>
      </c>
      <c r="R1285" s="297">
        <f>IFERROR(RANK(VLOOKUP($G1285,連買!$A:$D,4,0),連買!$D:$D,0),"'沒有資料'")</f>
        <v>1072</v>
      </c>
      <c r="S1285" s="34">
        <v>0.81</v>
      </c>
      <c r="T1285" s="353">
        <f t="shared" si="236"/>
        <v>5.7857142857142864E-2</v>
      </c>
      <c r="U1285" s="95">
        <v>1.1000000000000001</v>
      </c>
      <c r="V1285" s="13">
        <f>RTD("money.excel",,"6148","Price")</f>
        <v>14</v>
      </c>
      <c r="W1285" s="66"/>
      <c r="X1285" s="15">
        <f t="shared" si="237"/>
        <v>14</v>
      </c>
      <c r="Y1285" s="3" t="e">
        <f t="shared" si="238"/>
        <v>#DIV/0!</v>
      </c>
      <c r="AA1285" s="161">
        <v>0</v>
      </c>
      <c r="AB1285" s="409">
        <v>0</v>
      </c>
      <c r="AC1285" s="259">
        <f t="shared" ref="AC1285:AC1348" si="242">AA1285-AB1285</f>
        <v>0</v>
      </c>
      <c r="AD1285" s="16" t="s">
        <v>1012</v>
      </c>
      <c r="AG1285" s="33">
        <f t="shared" si="239"/>
        <v>0</v>
      </c>
      <c r="AH1285" s="43" t="s">
        <v>306</v>
      </c>
      <c r="AI1285" s="63">
        <f t="shared" si="240"/>
        <v>2.4255319148936169E-3</v>
      </c>
      <c r="AJ1285" s="307">
        <f>RTD("money.excel",,$G1285,"PredictVolume")</f>
        <v>114</v>
      </c>
      <c r="AK1285" s="339"/>
    </row>
    <row r="1286" spans="1:37">
      <c r="A1286" s="415">
        <v>15</v>
      </c>
      <c r="B1286" s="91">
        <v>18</v>
      </c>
      <c r="C1286" s="91">
        <v>27</v>
      </c>
      <c r="D1286" s="91">
        <v>11</v>
      </c>
      <c r="E1286" s="91">
        <v>40</v>
      </c>
      <c r="F1286" s="57">
        <v>24.42</v>
      </c>
      <c r="G1286" s="79">
        <v>6183</v>
      </c>
      <c r="H1286" s="8" t="s">
        <v>315</v>
      </c>
      <c r="I1286" s="22" t="s">
        <v>1028</v>
      </c>
      <c r="J1286" s="73">
        <v>79.63</v>
      </c>
      <c r="K1286" s="73">
        <v>2.02</v>
      </c>
      <c r="L1286" s="73">
        <v>1.38</v>
      </c>
      <c r="N1286" s="318">
        <f t="shared" si="241"/>
        <v>83.029999999999987</v>
      </c>
      <c r="O1286" s="81">
        <f>IFERROR(VLOOKUP($G1286,'321買'!A:E,3,0),"'沒有資料'")</f>
        <v>0</v>
      </c>
      <c r="P1286" s="380">
        <f>IFERROR(VLOOKUP($G1286,'321買'!$A:$G,7,0),"'沒有資料'")</f>
        <v>911</v>
      </c>
      <c r="R1286" s="297">
        <f>IFERROR(RANK(VLOOKUP($G1286,連買!$A:$D,4,0),連買!$D:$D,0),"'沒有資料'")</f>
        <v>656</v>
      </c>
      <c r="S1286" s="34">
        <v>1.81</v>
      </c>
      <c r="T1286" s="353">
        <f t="shared" si="236"/>
        <v>3.3768656716417912E-2</v>
      </c>
      <c r="U1286" s="95">
        <v>2.25</v>
      </c>
      <c r="V1286" s="13">
        <f>RTD("money.excel",,"6183","Price")</f>
        <v>53.6</v>
      </c>
      <c r="W1286" s="66"/>
      <c r="X1286" s="15">
        <f t="shared" si="237"/>
        <v>53.6</v>
      </c>
      <c r="Y1286" s="3" t="e">
        <f t="shared" si="238"/>
        <v>#DIV/0!</v>
      </c>
      <c r="AA1286" s="161">
        <v>0</v>
      </c>
      <c r="AB1286" s="409">
        <v>0</v>
      </c>
      <c r="AC1286" s="259">
        <f t="shared" si="242"/>
        <v>0</v>
      </c>
      <c r="AD1286" s="22" t="s">
        <v>1028</v>
      </c>
      <c r="AG1286" s="33">
        <f t="shared" si="239"/>
        <v>0</v>
      </c>
      <c r="AH1286" s="43" t="s">
        <v>2963</v>
      </c>
      <c r="AI1286" s="63">
        <f t="shared" si="240"/>
        <v>3.3333333333333335E-5</v>
      </c>
      <c r="AJ1286" s="307">
        <f>RTD("money.excel",,$G1286,"PredictVolume")</f>
        <v>5</v>
      </c>
      <c r="AK1286" s="339"/>
    </row>
    <row r="1287" spans="1:37">
      <c r="A1287" s="416">
        <v>26.9</v>
      </c>
      <c r="B1287" s="80">
        <v>-19</v>
      </c>
      <c r="C1287" s="79">
        <v>22</v>
      </c>
      <c r="D1287" s="80">
        <v>-4</v>
      </c>
      <c r="E1287" s="79">
        <v>52</v>
      </c>
      <c r="F1287" s="6">
        <v>4.0199999999999996</v>
      </c>
      <c r="G1287" s="79">
        <v>6214</v>
      </c>
      <c r="H1287" s="8" t="s">
        <v>315</v>
      </c>
      <c r="I1287" s="158" t="s">
        <v>281</v>
      </c>
      <c r="J1287" s="323">
        <v>51.41</v>
      </c>
      <c r="K1287" s="323">
        <v>15.01</v>
      </c>
      <c r="L1287" s="323">
        <v>0.36</v>
      </c>
      <c r="N1287" s="318">
        <f t="shared" si="241"/>
        <v>66.78</v>
      </c>
      <c r="O1287" s="81">
        <f>IFERROR(VLOOKUP($G1287,'321買'!A:E,3,0),"'沒有資料'")</f>
        <v>0</v>
      </c>
      <c r="P1287" s="380">
        <f>IFERROR(VLOOKUP($G1287,'321買'!$A:$G,7,0),"'沒有資料'")</f>
        <v>911</v>
      </c>
      <c r="Q1287" s="245" t="s">
        <v>3816</v>
      </c>
      <c r="R1287" s="297">
        <f>IFERROR(RANK(VLOOKUP($G1287,連買!$A:$D,4,0),連買!$D:$D,0),"'沒有資料'")</f>
        <v>1656</v>
      </c>
      <c r="S1287" s="65">
        <v>5</v>
      </c>
      <c r="T1287" s="353">
        <f t="shared" si="236"/>
        <v>6.1500615006150061E-2</v>
      </c>
      <c r="U1287" s="57">
        <v>5.69</v>
      </c>
      <c r="V1287" s="36">
        <f>RTD("money.excel",,"6214","Price")</f>
        <v>81.3</v>
      </c>
      <c r="W1287" s="66"/>
      <c r="X1287" s="15">
        <f t="shared" si="237"/>
        <v>81.3</v>
      </c>
      <c r="Y1287" s="3" t="e">
        <f t="shared" si="238"/>
        <v>#DIV/0!</v>
      </c>
      <c r="Z1287" s="413" t="s">
        <v>1997</v>
      </c>
      <c r="AA1287" s="161">
        <v>0</v>
      </c>
      <c r="AB1287" s="409">
        <v>0</v>
      </c>
      <c r="AC1287" s="259">
        <f t="shared" si="242"/>
        <v>0</v>
      </c>
      <c r="AD1287" s="22" t="s">
        <v>281</v>
      </c>
      <c r="AG1287" s="33">
        <f t="shared" si="239"/>
        <v>0</v>
      </c>
      <c r="AH1287" s="120" t="s">
        <v>1556</v>
      </c>
      <c r="AI1287" s="63">
        <f t="shared" si="240"/>
        <v>9.0334572490706315E-4</v>
      </c>
      <c r="AJ1287" s="307">
        <f>RTD("money.excel",,$G1287,"PredictVolume")</f>
        <v>243</v>
      </c>
      <c r="AK1287" s="339"/>
    </row>
    <row r="1288" spans="1:37">
      <c r="A1288" s="416">
        <v>7.16</v>
      </c>
      <c r="B1288" s="80">
        <v>-12</v>
      </c>
      <c r="C1288" s="80">
        <v>-16</v>
      </c>
      <c r="D1288" s="79">
        <v>40</v>
      </c>
      <c r="E1288" s="79">
        <v>27</v>
      </c>
      <c r="F1288" s="6">
        <v>7.46</v>
      </c>
      <c r="G1288" s="79">
        <v>6221</v>
      </c>
      <c r="H1288" s="8" t="s">
        <v>315</v>
      </c>
      <c r="I1288" s="16" t="s">
        <v>1013</v>
      </c>
      <c r="J1288" s="73">
        <v>71.95</v>
      </c>
      <c r="K1288" s="323">
        <v>0.76</v>
      </c>
      <c r="L1288" s="73">
        <v>13.32</v>
      </c>
      <c r="M1288" s="323">
        <v>9.5299999999999994</v>
      </c>
      <c r="N1288" s="318">
        <f t="shared" si="241"/>
        <v>95.56</v>
      </c>
      <c r="O1288" s="81" t="str">
        <f>IFERROR(VLOOKUP($G1288,'321買'!A:E,3,0),"'沒有資料'")</f>
        <v>'沒有資料'</v>
      </c>
      <c r="P1288" s="380" t="str">
        <f>IFERROR(VLOOKUP($G1288,'321買'!$A:$G,7,0),"'沒有資料'")</f>
        <v>'沒有資料'</v>
      </c>
      <c r="Q1288" s="245" t="s">
        <v>3815</v>
      </c>
      <c r="R1288" s="297">
        <f>IFERROR(RANK(VLOOKUP($G1288,連買!$A:$D,4,0),連買!$D:$D,0),"'沒有資料'")</f>
        <v>661</v>
      </c>
      <c r="S1288" s="66">
        <v>4</v>
      </c>
      <c r="T1288" s="353">
        <f t="shared" si="236"/>
        <v>8.2135523613963035E-2</v>
      </c>
      <c r="U1288" s="57">
        <v>3.85</v>
      </c>
      <c r="V1288" s="36">
        <f>RTD("money.excel",,"6221","Price")</f>
        <v>48.7</v>
      </c>
      <c r="W1288" s="66"/>
      <c r="X1288" s="15">
        <f t="shared" si="237"/>
        <v>48.7</v>
      </c>
      <c r="Y1288" s="3" t="e">
        <f t="shared" si="238"/>
        <v>#DIV/0!</v>
      </c>
      <c r="Z1288" s="413" t="s">
        <v>1831</v>
      </c>
      <c r="AA1288" s="161">
        <v>0</v>
      </c>
      <c r="AB1288" s="409">
        <v>0</v>
      </c>
      <c r="AC1288" s="259">
        <f t="shared" si="242"/>
        <v>0</v>
      </c>
      <c r="AD1288" s="16" t="s">
        <v>1013</v>
      </c>
      <c r="AG1288" s="33">
        <f t="shared" si="239"/>
        <v>0</v>
      </c>
      <c r="AH1288" s="43" t="s">
        <v>2874</v>
      </c>
      <c r="AI1288" s="63">
        <f t="shared" si="240"/>
        <v>2.2346368715083799E-4</v>
      </c>
      <c r="AJ1288" s="307">
        <f>RTD("money.excel",,$G1288,"PredictVolume")</f>
        <v>16</v>
      </c>
      <c r="AK1288" s="339"/>
    </row>
    <row r="1289" spans="1:37">
      <c r="A1289" s="415">
        <v>3.8</v>
      </c>
      <c r="B1289" s="79">
        <v>46</v>
      </c>
      <c r="C1289" s="79">
        <v>43</v>
      </c>
      <c r="D1289" s="80">
        <v>-14</v>
      </c>
      <c r="E1289" s="79">
        <v>50</v>
      </c>
      <c r="F1289" s="57">
        <v>22.68</v>
      </c>
      <c r="G1289" s="79">
        <v>6231</v>
      </c>
      <c r="H1289" s="8" t="s">
        <v>315</v>
      </c>
      <c r="I1289" s="16" t="s">
        <v>1014</v>
      </c>
      <c r="J1289" s="73">
        <v>24</v>
      </c>
      <c r="K1289" s="73">
        <v>17.25</v>
      </c>
      <c r="L1289" s="73">
        <v>29.25</v>
      </c>
      <c r="M1289" s="73">
        <v>27.03</v>
      </c>
      <c r="N1289" s="318">
        <f t="shared" si="241"/>
        <v>97.53</v>
      </c>
      <c r="O1289" s="81">
        <f>IFERROR(VLOOKUP($G1289,'321買'!A:E,3,0),"'沒有資料'")</f>
        <v>17</v>
      </c>
      <c r="P1289" s="380">
        <f>IFERROR(VLOOKUP($G1289,'321買'!$A:$G,7,0),"'沒有資料'")</f>
        <v>258</v>
      </c>
      <c r="Q1289" s="245" t="s">
        <v>5088</v>
      </c>
      <c r="R1289" s="297">
        <f>IFERROR(RANK(VLOOKUP($G1289,連買!$A:$D,4,0),連買!$D:$D,0),"'沒有資料'")</f>
        <v>190</v>
      </c>
      <c r="S1289" s="45">
        <v>5.2</v>
      </c>
      <c r="T1289" s="353">
        <f t="shared" si="236"/>
        <v>5.0485436893203887E-2</v>
      </c>
      <c r="U1289" s="95">
        <v>5.94</v>
      </c>
      <c r="V1289" s="36">
        <f>RTD("money.excel",,"6231","Price")</f>
        <v>103</v>
      </c>
      <c r="W1289" s="66"/>
      <c r="X1289" s="15">
        <f t="shared" si="237"/>
        <v>103</v>
      </c>
      <c r="Y1289" s="3" t="e">
        <f t="shared" si="238"/>
        <v>#DIV/0!</v>
      </c>
      <c r="Z1289" s="413" t="s">
        <v>6641</v>
      </c>
      <c r="AA1289" s="161">
        <v>0</v>
      </c>
      <c r="AB1289" s="409">
        <v>0</v>
      </c>
      <c r="AC1289" s="259">
        <f t="shared" si="242"/>
        <v>0</v>
      </c>
      <c r="AD1289" s="16" t="s">
        <v>1014</v>
      </c>
      <c r="AG1289" s="33">
        <f t="shared" si="239"/>
        <v>0</v>
      </c>
      <c r="AH1289" s="43" t="s">
        <v>2329</v>
      </c>
      <c r="AI1289" s="63">
        <f t="shared" si="240"/>
        <v>3.1473684210526313E-2</v>
      </c>
      <c r="AJ1289" s="307">
        <f>RTD("money.excel",,$G1289,"PredictVolume")</f>
        <v>1196</v>
      </c>
      <c r="AK1289" s="339">
        <v>21.39</v>
      </c>
    </row>
    <row r="1290" spans="1:37">
      <c r="A1290" s="416">
        <v>2.29</v>
      </c>
      <c r="B1290" s="91">
        <v>-87</v>
      </c>
      <c r="C1290" s="91">
        <v>-127</v>
      </c>
      <c r="D1290" s="91">
        <v>-3</v>
      </c>
      <c r="E1290" s="91">
        <v>0</v>
      </c>
      <c r="F1290" s="6">
        <v>-11.1</v>
      </c>
      <c r="G1290" s="79">
        <v>6240</v>
      </c>
      <c r="H1290" s="8" t="s">
        <v>315</v>
      </c>
      <c r="I1290" s="16" t="s">
        <v>1015</v>
      </c>
      <c r="J1290" s="73">
        <v>74.58</v>
      </c>
      <c r="K1290" s="73">
        <v>0.09</v>
      </c>
      <c r="L1290" s="73">
        <v>24.13</v>
      </c>
      <c r="N1290" s="318">
        <f t="shared" si="241"/>
        <v>98.8</v>
      </c>
      <c r="O1290" s="81" t="str">
        <f>IFERROR(VLOOKUP($G1290,'321買'!A:E,3,0),"'沒有資料'")</f>
        <v>'沒有資料'</v>
      </c>
      <c r="P1290" s="380" t="str">
        <f>IFERROR(VLOOKUP($G1290,'321買'!$A:$G,7,0),"'沒有資料'")</f>
        <v>'沒有資料'</v>
      </c>
      <c r="R1290" s="297">
        <f>IFERROR(RANK(VLOOKUP($G1290,連買!$A:$D,4,0),連買!$D:$D,0),"'沒有資料'")</f>
        <v>1123</v>
      </c>
      <c r="S1290" s="34">
        <v>0</v>
      </c>
      <c r="T1290" s="353">
        <f t="shared" si="236"/>
        <v>0</v>
      </c>
      <c r="U1290" s="95">
        <v>0.04</v>
      </c>
      <c r="V1290" s="13">
        <f>RTD("money.excel",,"6240","Price")</f>
        <v>26.65</v>
      </c>
      <c r="W1290" s="66"/>
      <c r="X1290" s="15">
        <f t="shared" si="237"/>
        <v>26.65</v>
      </c>
      <c r="Y1290" s="3" t="e">
        <f t="shared" si="238"/>
        <v>#DIV/0!</v>
      </c>
      <c r="AA1290" s="161">
        <v>0</v>
      </c>
      <c r="AB1290" s="409">
        <v>0</v>
      </c>
      <c r="AC1290" s="259">
        <f t="shared" si="242"/>
        <v>0</v>
      </c>
      <c r="AD1290" s="16" t="s">
        <v>1015</v>
      </c>
      <c r="AG1290" s="33">
        <f t="shared" si="239"/>
        <v>0</v>
      </c>
      <c r="AH1290" s="43" t="s">
        <v>2875</v>
      </c>
      <c r="AI1290" s="63">
        <f t="shared" si="240"/>
        <v>1.3187772925764191E-2</v>
      </c>
      <c r="AJ1290" s="307">
        <f>RTD("money.excel",,$G1290,"PredictVolume")</f>
        <v>302</v>
      </c>
      <c r="AK1290" s="339"/>
    </row>
    <row r="1291" spans="1:37">
      <c r="A1291" s="416">
        <v>3.74</v>
      </c>
      <c r="B1291" s="91">
        <v>73</v>
      </c>
      <c r="C1291" s="91">
        <v>40</v>
      </c>
      <c r="D1291" s="91">
        <v>-42</v>
      </c>
      <c r="E1291" s="91">
        <v>-7</v>
      </c>
      <c r="F1291" s="6">
        <v>-79.94</v>
      </c>
      <c r="G1291" s="79">
        <v>6404</v>
      </c>
      <c r="H1291" s="8" t="s">
        <v>315</v>
      </c>
      <c r="I1291" s="16" t="s">
        <v>1016</v>
      </c>
      <c r="J1291" s="73">
        <v>44.58</v>
      </c>
      <c r="K1291" s="323">
        <v>38.01</v>
      </c>
      <c r="L1291" s="73">
        <v>15.6</v>
      </c>
      <c r="N1291" s="318">
        <f t="shared" si="241"/>
        <v>98.19</v>
      </c>
      <c r="O1291" s="81" t="str">
        <f>IFERROR(VLOOKUP($G1291,'321買'!A:E,3,0),"'沒有資料'")</f>
        <v>'沒有資料'</v>
      </c>
      <c r="P1291" s="380" t="str">
        <f>IFERROR(VLOOKUP($G1291,'321買'!$A:$G,7,0),"'沒有資料'")</f>
        <v>'沒有資料'</v>
      </c>
      <c r="R1291" s="297">
        <f>IFERROR(RANK(VLOOKUP($G1291,連買!$A:$D,4,0),連買!$D:$D,0),"'沒有資料'")</f>
        <v>1393</v>
      </c>
      <c r="S1291" s="34">
        <v>0</v>
      </c>
      <c r="T1291" s="353" t="e">
        <f t="shared" si="236"/>
        <v>#VALUE!</v>
      </c>
      <c r="U1291" s="95">
        <v>-1.4</v>
      </c>
      <c r="V1291" s="36" t="str">
        <f>RTD("money.excel",,"6404","Price")</f>
        <v>無資料</v>
      </c>
      <c r="W1291" s="66"/>
      <c r="X1291" s="15" t="e">
        <f t="shared" si="237"/>
        <v>#VALUE!</v>
      </c>
      <c r="Y1291" s="3" t="e">
        <f t="shared" si="238"/>
        <v>#VALUE!</v>
      </c>
      <c r="AA1291" s="161">
        <v>0</v>
      </c>
      <c r="AB1291" s="409">
        <v>0</v>
      </c>
      <c r="AC1291" s="259">
        <f t="shared" si="242"/>
        <v>0</v>
      </c>
      <c r="AD1291" s="16" t="s">
        <v>1016</v>
      </c>
      <c r="AG1291" s="33">
        <f t="shared" si="239"/>
        <v>0</v>
      </c>
      <c r="AH1291" s="43" t="s">
        <v>2502</v>
      </c>
      <c r="AI1291" s="63">
        <f t="shared" si="240"/>
        <v>0</v>
      </c>
      <c r="AJ1291" s="307">
        <f>RTD("money.excel",,$G1291,"PredictVolume")</f>
        <v>0</v>
      </c>
      <c r="AK1291" s="339"/>
    </row>
    <row r="1292" spans="1:37">
      <c r="A1292" s="415">
        <v>4.24</v>
      </c>
      <c r="B1292" s="79">
        <v>204</v>
      </c>
      <c r="C1292" s="79">
        <v>172</v>
      </c>
      <c r="D1292" s="79">
        <v>92</v>
      </c>
      <c r="E1292" s="79">
        <v>9</v>
      </c>
      <c r="F1292" s="57">
        <v>11.44</v>
      </c>
      <c r="G1292" s="79">
        <v>6516</v>
      </c>
      <c r="H1292" s="8" t="s">
        <v>315</v>
      </c>
      <c r="I1292" s="16" t="s">
        <v>1889</v>
      </c>
      <c r="J1292" s="73">
        <v>39.07</v>
      </c>
      <c r="K1292" s="73">
        <v>0.37</v>
      </c>
      <c r="L1292" s="323">
        <v>17.41</v>
      </c>
      <c r="M1292" s="323">
        <v>41.42</v>
      </c>
      <c r="N1292" s="318">
        <f t="shared" si="241"/>
        <v>98.27</v>
      </c>
      <c r="O1292" s="81">
        <f>IFERROR(VLOOKUP($G1292,'321買'!A:E,3,0),"'沒有資料'")</f>
        <v>0</v>
      </c>
      <c r="P1292" s="380">
        <f>IFERROR(VLOOKUP($G1292,'321買'!$A:$G,7,0),"'沒有資料'")</f>
        <v>911</v>
      </c>
      <c r="Q1292" s="245" t="s">
        <v>3815</v>
      </c>
      <c r="R1292" s="297">
        <f>IFERROR(RANK(VLOOKUP($G1292,連買!$A:$D,4,0),連買!$D:$D,0),"'沒有資料'")</f>
        <v>150</v>
      </c>
      <c r="S1292" s="34">
        <v>1.1299999999999999</v>
      </c>
      <c r="T1292" s="353">
        <f t="shared" si="236"/>
        <v>1.2486187845303866E-2</v>
      </c>
      <c r="U1292" s="95">
        <v>1.49</v>
      </c>
      <c r="V1292" s="36">
        <f>RTD("money.excel",,"6516","Price")</f>
        <v>90.5</v>
      </c>
      <c r="W1292" s="66"/>
      <c r="X1292" s="15">
        <f t="shared" si="237"/>
        <v>90.5</v>
      </c>
      <c r="Y1292" s="3" t="e">
        <f t="shared" si="238"/>
        <v>#DIV/0!</v>
      </c>
      <c r="Z1292" s="413" t="s">
        <v>1801</v>
      </c>
      <c r="AA1292" s="161">
        <v>0</v>
      </c>
      <c r="AB1292" s="409">
        <v>0</v>
      </c>
      <c r="AC1292" s="259">
        <f t="shared" si="242"/>
        <v>0</v>
      </c>
      <c r="AD1292" s="16" t="s">
        <v>1889</v>
      </c>
      <c r="AG1292" s="33">
        <f t="shared" si="239"/>
        <v>0</v>
      </c>
      <c r="AH1292" s="43" t="s">
        <v>1890</v>
      </c>
      <c r="AI1292" s="63">
        <f t="shared" si="240"/>
        <v>3.7735849056603772E-4</v>
      </c>
      <c r="AJ1292" s="307">
        <f>RTD("money.excel",,$G1292,"PredictVolume")</f>
        <v>16</v>
      </c>
      <c r="AK1292" s="339"/>
    </row>
    <row r="1293" spans="1:37">
      <c r="A1293" s="415">
        <v>1.83</v>
      </c>
      <c r="B1293" s="79">
        <v>175</v>
      </c>
      <c r="C1293" s="79">
        <v>154</v>
      </c>
      <c r="D1293" s="80">
        <v>-23</v>
      </c>
      <c r="E1293" s="79">
        <v>18</v>
      </c>
      <c r="F1293" s="57">
        <v>19.95</v>
      </c>
      <c r="G1293" s="79">
        <v>6590</v>
      </c>
      <c r="H1293" s="8" t="s">
        <v>315</v>
      </c>
      <c r="I1293" s="16" t="s">
        <v>2169</v>
      </c>
      <c r="J1293" s="73">
        <v>54.22</v>
      </c>
      <c r="K1293" s="73">
        <v>7.0000000000000007E-2</v>
      </c>
      <c r="N1293" s="318">
        <f t="shared" si="241"/>
        <v>54.29</v>
      </c>
      <c r="O1293" s="81" t="str">
        <f>IFERROR(VLOOKUP($G1293,'321買'!A:E,3,0),"'沒有資料'")</f>
        <v>'沒有資料'</v>
      </c>
      <c r="P1293" s="380" t="str">
        <f>IFERROR(VLOOKUP($G1293,'321買'!$A:$G,7,0),"'沒有資料'")</f>
        <v>'沒有資料'</v>
      </c>
      <c r="R1293" s="297">
        <f>IFERROR(RANK(VLOOKUP($G1293,連買!$A:$D,4,0),連買!$D:$D,0),"'沒有資料'")</f>
        <v>955</v>
      </c>
      <c r="S1293" s="66">
        <v>3.5</v>
      </c>
      <c r="T1293" s="353">
        <f t="shared" si="236"/>
        <v>9.2838196286472136E-2</v>
      </c>
      <c r="U1293" s="95">
        <v>4.09</v>
      </c>
      <c r="V1293" s="36">
        <f>RTD("money.excel",,"6593","Price")</f>
        <v>37.700000000000003</v>
      </c>
      <c r="W1293" s="66"/>
      <c r="X1293" s="15">
        <f t="shared" si="237"/>
        <v>37.700000000000003</v>
      </c>
      <c r="Y1293" s="3" t="e">
        <f t="shared" si="238"/>
        <v>#DIV/0!</v>
      </c>
      <c r="Z1293" s="413" t="s">
        <v>1997</v>
      </c>
      <c r="AA1293" s="161">
        <v>0</v>
      </c>
      <c r="AB1293" s="409">
        <v>0</v>
      </c>
      <c r="AC1293" s="259">
        <f t="shared" si="242"/>
        <v>0</v>
      </c>
      <c r="AD1293" s="16" t="s">
        <v>2169</v>
      </c>
      <c r="AG1293" s="33">
        <f t="shared" si="239"/>
        <v>0</v>
      </c>
      <c r="AH1293" s="43" t="s">
        <v>2170</v>
      </c>
      <c r="AI1293" s="63">
        <f t="shared" si="240"/>
        <v>2.185792349726776E-4</v>
      </c>
      <c r="AJ1293" s="307">
        <f>RTD("money.excel",,$G1293,"PredictVolume")</f>
        <v>4</v>
      </c>
      <c r="AK1293" s="339"/>
    </row>
    <row r="1294" spans="1:37">
      <c r="A1294" s="416">
        <v>2.02</v>
      </c>
      <c r="B1294" s="91">
        <v>-946</v>
      </c>
      <c r="C1294" s="206">
        <v>-1220</v>
      </c>
      <c r="D1294" s="91">
        <v>5</v>
      </c>
      <c r="E1294" s="91">
        <v>39</v>
      </c>
      <c r="F1294" s="6">
        <v>-6.6</v>
      </c>
      <c r="G1294" s="79">
        <v>6593</v>
      </c>
      <c r="H1294" s="8" t="s">
        <v>315</v>
      </c>
      <c r="I1294" s="16" t="s">
        <v>1017</v>
      </c>
      <c r="J1294" s="73">
        <v>63.37</v>
      </c>
      <c r="K1294" s="73">
        <v>2.65</v>
      </c>
      <c r="N1294" s="318">
        <f t="shared" si="241"/>
        <v>66.02</v>
      </c>
      <c r="O1294" s="81" t="str">
        <f>IFERROR(VLOOKUP($G1294,'321買'!A:E,3,0),"'沒有資料'")</f>
        <v>'沒有資料'</v>
      </c>
      <c r="P1294" s="380" t="str">
        <f>IFERROR(VLOOKUP($G1294,'321買'!$A:$G,7,0),"'沒有資料'")</f>
        <v>'沒有資料'</v>
      </c>
      <c r="R1294" s="297">
        <f>IFERROR(RANK(VLOOKUP($G1294,連買!$A:$D,4,0),連買!$D:$D,0),"'沒有資料'")</f>
        <v>1219</v>
      </c>
      <c r="S1294" s="34">
        <v>0.5</v>
      </c>
      <c r="T1294" s="353">
        <f t="shared" si="236"/>
        <v>1.326259946949602E-2</v>
      </c>
      <c r="U1294" s="95">
        <v>-0.23</v>
      </c>
      <c r="V1294" s="13">
        <f>RTD("money.excel",,"6593","Price")</f>
        <v>37.700000000000003</v>
      </c>
      <c r="W1294" s="66"/>
      <c r="X1294" s="15">
        <f t="shared" si="237"/>
        <v>37.700000000000003</v>
      </c>
      <c r="Y1294" s="3" t="e">
        <f t="shared" si="238"/>
        <v>#DIV/0!</v>
      </c>
      <c r="AA1294" s="161">
        <v>0</v>
      </c>
      <c r="AB1294" s="409">
        <v>0</v>
      </c>
      <c r="AC1294" s="259">
        <f t="shared" si="242"/>
        <v>0</v>
      </c>
      <c r="AD1294" s="16" t="s">
        <v>1017</v>
      </c>
      <c r="AG1294" s="33">
        <f t="shared" si="239"/>
        <v>0</v>
      </c>
      <c r="AH1294" s="43" t="s">
        <v>2876</v>
      </c>
      <c r="AI1294" s="63">
        <f t="shared" si="240"/>
        <v>1.7326732673267327E-3</v>
      </c>
      <c r="AJ1294" s="307">
        <f>RTD("money.excel",,$G1294,"PredictVolume")</f>
        <v>35</v>
      </c>
      <c r="AK1294" s="339"/>
    </row>
    <row r="1295" spans="1:37">
      <c r="A1295" s="415">
        <v>1.7</v>
      </c>
      <c r="B1295" s="79">
        <v>10</v>
      </c>
      <c r="C1295" s="79">
        <v>11</v>
      </c>
      <c r="D1295" s="79">
        <v>4</v>
      </c>
      <c r="E1295" s="79">
        <v>5</v>
      </c>
      <c r="F1295" s="57">
        <v>11.86</v>
      </c>
      <c r="G1295" s="79">
        <v>6690</v>
      </c>
      <c r="H1295" s="8" t="s">
        <v>315</v>
      </c>
      <c r="I1295" s="16" t="s">
        <v>2017</v>
      </c>
      <c r="J1295" s="323">
        <v>64.540000000000006</v>
      </c>
      <c r="K1295" s="323">
        <v>0.34</v>
      </c>
      <c r="L1295" s="323"/>
      <c r="N1295" s="318">
        <f t="shared" si="241"/>
        <v>64.88000000000001</v>
      </c>
      <c r="O1295" s="81" t="str">
        <f>IFERROR(VLOOKUP($G1295,'321買'!A:E,3,0),"'沒有資料'")</f>
        <v>'沒有資料'</v>
      </c>
      <c r="P1295" s="380" t="str">
        <f>IFERROR(VLOOKUP($G1295,'321買'!$A:$G,7,0),"'沒有資料'")</f>
        <v>'沒有資料'</v>
      </c>
      <c r="R1295" s="297">
        <f>IFERROR(RANK(VLOOKUP($G1295,連買!$A:$D,4,0),連買!$D:$D,0),"'沒有資料'")</f>
        <v>1239</v>
      </c>
      <c r="S1295" s="66">
        <v>3.5</v>
      </c>
      <c r="T1295" s="353">
        <f t="shared" si="236"/>
        <v>2.8571428571428571E-2</v>
      </c>
      <c r="U1295" s="57">
        <v>5</v>
      </c>
      <c r="V1295" s="36">
        <f>RTD("money.excel",,"6690","Price")</f>
        <v>122.5</v>
      </c>
      <c r="W1295" s="66"/>
      <c r="X1295" s="15">
        <f t="shared" si="237"/>
        <v>122.5</v>
      </c>
      <c r="Y1295" s="3" t="e">
        <f t="shared" si="238"/>
        <v>#DIV/0!</v>
      </c>
      <c r="Z1295" s="413" t="s">
        <v>1997</v>
      </c>
      <c r="AA1295" s="161">
        <v>0</v>
      </c>
      <c r="AB1295" s="409">
        <v>0</v>
      </c>
      <c r="AC1295" s="259">
        <f t="shared" si="242"/>
        <v>0</v>
      </c>
      <c r="AD1295" s="16" t="s">
        <v>2017</v>
      </c>
      <c r="AG1295" s="33">
        <f t="shared" si="239"/>
        <v>0</v>
      </c>
      <c r="AH1295" s="43" t="s">
        <v>2018</v>
      </c>
      <c r="AI1295" s="63">
        <f t="shared" si="240"/>
        <v>6.4705882352941182E-4</v>
      </c>
      <c r="AJ1295" s="307">
        <f>RTD("money.excel",,$G1295,"PredictVolume")</f>
        <v>11</v>
      </c>
      <c r="AK1295" s="339"/>
    </row>
    <row r="1296" spans="1:37">
      <c r="A1296" s="416">
        <v>2.73</v>
      </c>
      <c r="B1296" s="79">
        <v>10</v>
      </c>
      <c r="C1296" s="80">
        <v>-1</v>
      </c>
      <c r="D1296" s="80">
        <v>-12</v>
      </c>
      <c r="E1296" s="80">
        <v>-18</v>
      </c>
      <c r="F1296" s="6">
        <v>5.7</v>
      </c>
      <c r="G1296" s="79">
        <v>6697</v>
      </c>
      <c r="H1296" s="8" t="s">
        <v>315</v>
      </c>
      <c r="I1296" s="16" t="s">
        <v>2254</v>
      </c>
      <c r="J1296" s="323">
        <v>70.83</v>
      </c>
      <c r="K1296" s="73">
        <v>0</v>
      </c>
      <c r="N1296" s="318">
        <f t="shared" si="241"/>
        <v>70.83</v>
      </c>
      <c r="O1296" s="81" t="str">
        <f>IFERROR(VLOOKUP($G1296,'321買'!A:E,3,0),"'沒有資料'")</f>
        <v>'沒有資料'</v>
      </c>
      <c r="P1296" s="380" t="str">
        <f>IFERROR(VLOOKUP($G1296,'321買'!$A:$G,7,0),"'沒有資料'")</f>
        <v>'沒有資料'</v>
      </c>
      <c r="R1296" s="297">
        <f>IFERROR(RANK(VLOOKUP($G1296,連買!$A:$D,4,0),連買!$D:$D,0),"'沒有資料'")</f>
        <v>1334</v>
      </c>
      <c r="S1296" s="34">
        <v>2</v>
      </c>
      <c r="T1296" s="353">
        <f t="shared" si="236"/>
        <v>5.2631578947368418E-2</v>
      </c>
      <c r="U1296" s="95">
        <v>2.41</v>
      </c>
      <c r="V1296" s="36">
        <f>RTD("money.excel",,"6697","Price")</f>
        <v>38</v>
      </c>
      <c r="W1296" s="66"/>
      <c r="X1296" s="15">
        <f t="shared" si="237"/>
        <v>38</v>
      </c>
      <c r="Y1296" s="3" t="e">
        <f t="shared" si="238"/>
        <v>#DIV/0!</v>
      </c>
      <c r="AA1296" s="161">
        <v>0</v>
      </c>
      <c r="AB1296" s="409">
        <v>0</v>
      </c>
      <c r="AC1296" s="259">
        <f t="shared" si="242"/>
        <v>0</v>
      </c>
      <c r="AD1296" s="16" t="s">
        <v>2254</v>
      </c>
      <c r="AG1296" s="33">
        <f t="shared" si="239"/>
        <v>0</v>
      </c>
      <c r="AH1296" s="43" t="s">
        <v>2255</v>
      </c>
      <c r="AI1296" s="63">
        <f t="shared" si="240"/>
        <v>3.663003663003663E-5</v>
      </c>
      <c r="AJ1296" s="307">
        <f>RTD("money.excel",,$G1296,"PredictVolume")</f>
        <v>1</v>
      </c>
      <c r="AK1296" s="339"/>
    </row>
    <row r="1297" spans="1:37">
      <c r="A1297" s="416">
        <v>2</v>
      </c>
      <c r="B1297" s="79">
        <v>3</v>
      </c>
      <c r="C1297" s="80">
        <v>-4</v>
      </c>
      <c r="D1297" s="80">
        <v>-24</v>
      </c>
      <c r="E1297" s="80">
        <v>-26</v>
      </c>
      <c r="F1297" s="6">
        <v>3.12</v>
      </c>
      <c r="G1297" s="79">
        <v>6751</v>
      </c>
      <c r="H1297" s="8" t="s">
        <v>315</v>
      </c>
      <c r="I1297" s="16" t="s">
        <v>2301</v>
      </c>
      <c r="J1297" s="73">
        <v>56.75</v>
      </c>
      <c r="K1297" s="73">
        <v>0.04</v>
      </c>
      <c r="L1297" s="323"/>
      <c r="M1297" s="323">
        <v>58.99</v>
      </c>
      <c r="N1297" s="318">
        <f t="shared" si="241"/>
        <v>115.78</v>
      </c>
      <c r="O1297" s="81" t="str">
        <f>IFERROR(VLOOKUP($G1297,'321買'!A:E,3,0),"'沒有資料'")</f>
        <v>'沒有資料'</v>
      </c>
      <c r="P1297" s="380" t="str">
        <f>IFERROR(VLOOKUP($G1297,'321買'!$A:$G,7,0),"'沒有資料'")</f>
        <v>'沒有資料'</v>
      </c>
      <c r="R1297" s="297">
        <f>IFERROR(RANK(VLOOKUP($G1297,連買!$A:$D,4,0),連買!$D:$D,0),"'沒有資料'")</f>
        <v>1559</v>
      </c>
      <c r="S1297" s="34">
        <v>2.1</v>
      </c>
      <c r="T1297" s="353">
        <f t="shared" si="236"/>
        <v>4.703247480403136E-2</v>
      </c>
      <c r="U1297" s="57">
        <v>2.44</v>
      </c>
      <c r="V1297" s="36">
        <f>RTD("money.excel",,"6751","Price")</f>
        <v>44.65</v>
      </c>
      <c r="W1297" s="66"/>
      <c r="X1297" s="15">
        <f t="shared" si="237"/>
        <v>44.65</v>
      </c>
      <c r="Y1297" s="3" t="e">
        <f t="shared" si="238"/>
        <v>#DIV/0!</v>
      </c>
      <c r="AA1297" s="161">
        <v>0</v>
      </c>
      <c r="AB1297" s="409">
        <v>0</v>
      </c>
      <c r="AC1297" s="259">
        <f t="shared" si="242"/>
        <v>0</v>
      </c>
      <c r="AD1297" s="16" t="s">
        <v>2301</v>
      </c>
      <c r="AG1297" s="33">
        <f t="shared" si="239"/>
        <v>0</v>
      </c>
      <c r="AH1297" s="43" t="s">
        <v>2302</v>
      </c>
      <c r="AI1297" s="63">
        <f t="shared" si="240"/>
        <v>6.2500000000000003E-3</v>
      </c>
      <c r="AJ1297" s="307">
        <f>RTD("money.excel",,$G1297,"PredictVolume")</f>
        <v>125</v>
      </c>
      <c r="AK1297" s="339">
        <v>3.88</v>
      </c>
    </row>
    <row r="1298" spans="1:37">
      <c r="A1298" s="415">
        <v>2.67</v>
      </c>
      <c r="B1298" s="79">
        <v>69</v>
      </c>
      <c r="C1298" s="79">
        <v>74</v>
      </c>
      <c r="D1298" s="79">
        <v>11</v>
      </c>
      <c r="E1298" s="79">
        <v>10</v>
      </c>
      <c r="F1298" s="57">
        <v>10.81</v>
      </c>
      <c r="G1298" s="79">
        <v>6752</v>
      </c>
      <c r="H1298" s="8" t="s">
        <v>315</v>
      </c>
      <c r="I1298" s="16" t="s">
        <v>3207</v>
      </c>
      <c r="J1298" s="323">
        <v>20.99</v>
      </c>
      <c r="K1298" s="73">
        <v>0.02</v>
      </c>
      <c r="L1298" s="323"/>
      <c r="N1298" s="318">
        <f t="shared" si="241"/>
        <v>21.009999999999998</v>
      </c>
      <c r="O1298" s="81" t="str">
        <f>IFERROR(VLOOKUP($G1298,'321買'!A:E,3,0),"'沒有資料'")</f>
        <v>'沒有資料'</v>
      </c>
      <c r="P1298" s="380" t="str">
        <f>IFERROR(VLOOKUP($G1298,'321買'!$A:$G,7,0),"'沒有資料'")</f>
        <v>'沒有資料'</v>
      </c>
      <c r="R1298" s="297">
        <f>IFERROR(RANK(VLOOKUP($G1298,連買!$A:$D,4,0),連買!$D:$D,0),"'沒有資料'")</f>
        <v>1234</v>
      </c>
      <c r="S1298" s="34">
        <v>2.8</v>
      </c>
      <c r="T1298" s="353">
        <f t="shared" si="236"/>
        <v>4.9999999999999996E-2</v>
      </c>
      <c r="U1298" s="95">
        <v>4.91</v>
      </c>
      <c r="V1298" s="36">
        <f>RTD("money.excel",,"6752","Price")</f>
        <v>56</v>
      </c>
      <c r="W1298" s="66"/>
      <c r="X1298" s="15">
        <f t="shared" si="237"/>
        <v>56</v>
      </c>
      <c r="Y1298" s="3" t="e">
        <f t="shared" si="238"/>
        <v>#DIV/0!</v>
      </c>
      <c r="AA1298" s="161">
        <v>0</v>
      </c>
      <c r="AB1298" s="409">
        <v>0</v>
      </c>
      <c r="AC1298" s="259">
        <f t="shared" si="242"/>
        <v>0</v>
      </c>
      <c r="AD1298" s="16" t="s">
        <v>3207</v>
      </c>
      <c r="AG1298" s="33">
        <f t="shared" si="239"/>
        <v>0</v>
      </c>
      <c r="AH1298" s="43" t="s">
        <v>2280</v>
      </c>
      <c r="AI1298" s="63">
        <f t="shared" si="240"/>
        <v>7.8651685393258427E-4</v>
      </c>
      <c r="AJ1298" s="307">
        <f>RTD("money.excel",,$G1298,"PredictVolume")</f>
        <v>21</v>
      </c>
      <c r="AK1298" s="339"/>
    </row>
    <row r="1299" spans="1:37">
      <c r="A1299" s="416">
        <v>8.86</v>
      </c>
      <c r="B1299" s="79">
        <v>33</v>
      </c>
      <c r="C1299" s="79">
        <v>24</v>
      </c>
      <c r="D1299" s="79">
        <v>0</v>
      </c>
      <c r="E1299" s="80">
        <v>-30</v>
      </c>
      <c r="F1299" s="6">
        <v>4.38</v>
      </c>
      <c r="G1299" s="79">
        <v>8099</v>
      </c>
      <c r="H1299" s="8" t="s">
        <v>315</v>
      </c>
      <c r="I1299" s="16" t="s">
        <v>1018</v>
      </c>
      <c r="J1299" s="73">
        <v>68.349999999999994</v>
      </c>
      <c r="K1299" s="323">
        <v>2.0699999999999998</v>
      </c>
      <c r="L1299" s="73">
        <v>38.93</v>
      </c>
      <c r="N1299" s="318">
        <f t="shared" si="241"/>
        <v>109.35</v>
      </c>
      <c r="O1299" s="81">
        <f>IFERROR(VLOOKUP($G1299,'321買'!A:E,3,0),"'沒有資料'")</f>
        <v>4</v>
      </c>
      <c r="P1299" s="380">
        <f>IFERROR(VLOOKUP($G1299,'321買'!$A:$G,7,0),"'沒有資料'")</f>
        <v>592</v>
      </c>
      <c r="R1299" s="297">
        <f>IFERROR(RANK(VLOOKUP($G1299,連買!$A:$D,4,0),連買!$D:$D,0),"'沒有資料'")</f>
        <v>872</v>
      </c>
      <c r="S1299" s="34">
        <v>1.35</v>
      </c>
      <c r="T1299" s="353">
        <f t="shared" si="236"/>
        <v>3.2687651331719129E-2</v>
      </c>
      <c r="U1299" s="57">
        <v>1.64</v>
      </c>
      <c r="V1299" s="36">
        <f>RTD("money.excel",,"8099","Price")</f>
        <v>41.3</v>
      </c>
      <c r="W1299" s="66"/>
      <c r="X1299" s="15">
        <f t="shared" si="237"/>
        <v>41.3</v>
      </c>
      <c r="Y1299" s="3" t="e">
        <f t="shared" si="238"/>
        <v>#DIV/0!</v>
      </c>
      <c r="AA1299" s="161">
        <v>0</v>
      </c>
      <c r="AB1299" s="409">
        <v>0</v>
      </c>
      <c r="AC1299" s="259">
        <f t="shared" si="242"/>
        <v>0</v>
      </c>
      <c r="AD1299" s="16" t="s">
        <v>1018</v>
      </c>
      <c r="AG1299" s="33">
        <f t="shared" si="239"/>
        <v>0</v>
      </c>
      <c r="AH1299" s="43" t="s">
        <v>2454</v>
      </c>
      <c r="AI1299" s="63">
        <f t="shared" si="240"/>
        <v>4.1760722347629797E-4</v>
      </c>
      <c r="AJ1299" s="307">
        <f>RTD("money.excel",,$G1299,"PredictVolume")</f>
        <v>37</v>
      </c>
      <c r="AK1299" s="339"/>
    </row>
    <row r="1300" spans="1:37">
      <c r="A1300" s="416">
        <v>4.63</v>
      </c>
      <c r="B1300" s="79">
        <v>48</v>
      </c>
      <c r="C1300" s="79">
        <v>44</v>
      </c>
      <c r="D1300" s="79">
        <v>11</v>
      </c>
      <c r="E1300" s="79">
        <v>15</v>
      </c>
      <c r="F1300" s="6">
        <v>7.73</v>
      </c>
      <c r="G1300" s="79">
        <v>8284</v>
      </c>
      <c r="H1300" s="8" t="s">
        <v>315</v>
      </c>
      <c r="I1300" s="16" t="s">
        <v>2010</v>
      </c>
      <c r="J1300" s="73">
        <v>63.55</v>
      </c>
      <c r="K1300" s="73">
        <v>0.24</v>
      </c>
      <c r="N1300" s="318">
        <f t="shared" si="241"/>
        <v>63.79</v>
      </c>
      <c r="O1300" s="81">
        <f>IFERROR(VLOOKUP($G1300,'321買'!A:E,3,0),"'沒有資料'")</f>
        <v>2</v>
      </c>
      <c r="P1300" s="380">
        <f>IFERROR(VLOOKUP($G1300,'321買'!$A:$G,7,0),"'沒有資料'")</f>
        <v>706</v>
      </c>
      <c r="R1300" s="297">
        <f>IFERROR(RANK(VLOOKUP($G1300,連買!$A:$D,4,0),連買!$D:$D,0),"'沒有資料'")</f>
        <v>467</v>
      </c>
      <c r="S1300" s="34">
        <v>2.36</v>
      </c>
      <c r="T1300" s="353">
        <f t="shared" si="236"/>
        <v>4.176991150442478E-2</v>
      </c>
      <c r="U1300" s="95">
        <v>2.78</v>
      </c>
      <c r="V1300" s="36">
        <f>RTD("money.excel",,"8284","Price")</f>
        <v>56.5</v>
      </c>
      <c r="W1300" s="66"/>
      <c r="X1300" s="15">
        <f t="shared" si="237"/>
        <v>56.5</v>
      </c>
      <c r="Y1300" s="3" t="e">
        <f t="shared" si="238"/>
        <v>#DIV/0!</v>
      </c>
      <c r="AA1300" s="161">
        <v>0</v>
      </c>
      <c r="AB1300" s="409">
        <v>0</v>
      </c>
      <c r="AC1300" s="259">
        <f t="shared" si="242"/>
        <v>0</v>
      </c>
      <c r="AD1300" s="16" t="s">
        <v>2010</v>
      </c>
      <c r="AG1300" s="33">
        <f t="shared" si="239"/>
        <v>0</v>
      </c>
      <c r="AH1300" s="43" t="s">
        <v>306</v>
      </c>
      <c r="AI1300" s="63">
        <f t="shared" si="240"/>
        <v>4.5356371490280776E-3</v>
      </c>
      <c r="AJ1300" s="307">
        <f>RTD("money.excel",,$G1300,"PredictVolume")</f>
        <v>210</v>
      </c>
      <c r="AK1300" s="339"/>
    </row>
    <row r="1301" spans="1:37">
      <c r="A1301" s="415">
        <v>2.82</v>
      </c>
      <c r="B1301" s="79">
        <v>24</v>
      </c>
      <c r="C1301" s="79">
        <v>21</v>
      </c>
      <c r="D1301" s="80">
        <v>-1</v>
      </c>
      <c r="E1301" s="80">
        <v>-5</v>
      </c>
      <c r="F1301" s="57">
        <v>24.17</v>
      </c>
      <c r="G1301" s="79">
        <v>8416</v>
      </c>
      <c r="H1301" s="149" t="s">
        <v>315</v>
      </c>
      <c r="I1301" s="16" t="s">
        <v>151</v>
      </c>
      <c r="J1301" s="73">
        <v>77.03</v>
      </c>
      <c r="K1301" s="323">
        <v>2.87</v>
      </c>
      <c r="N1301" s="318">
        <f t="shared" si="241"/>
        <v>79.900000000000006</v>
      </c>
      <c r="O1301" s="81" t="str">
        <f>IFERROR(VLOOKUP($G1301,'321買'!A:E,3,0),"'沒有資料'")</f>
        <v>'沒有資料'</v>
      </c>
      <c r="P1301" s="380" t="str">
        <f>IFERROR(VLOOKUP($G1301,'321買'!$A:$G,7,0),"'沒有資料'")</f>
        <v>'沒有資料'</v>
      </c>
      <c r="R1301" s="297">
        <f>IFERROR(RANK(VLOOKUP($G1301,連買!$A:$D,4,0),連買!$D:$D,0),"'沒有資料'")</f>
        <v>1022</v>
      </c>
      <c r="S1301" s="66">
        <v>7</v>
      </c>
      <c r="T1301" s="353">
        <f t="shared" si="236"/>
        <v>5.3639846743295021E-2</v>
      </c>
      <c r="U1301" s="95">
        <v>9.9499999999999993</v>
      </c>
      <c r="V1301" s="36">
        <f>RTD("money.excel",,"8416","Price")</f>
        <v>130.5</v>
      </c>
      <c r="W1301" s="66"/>
      <c r="X1301" s="15">
        <f t="shared" si="237"/>
        <v>130.5</v>
      </c>
      <c r="Y1301" s="3" t="e">
        <f t="shared" si="238"/>
        <v>#DIV/0!</v>
      </c>
      <c r="Z1301" s="413" t="s">
        <v>1831</v>
      </c>
      <c r="AA1301" s="161">
        <v>0</v>
      </c>
      <c r="AB1301" s="409">
        <v>0</v>
      </c>
      <c r="AC1301" s="259">
        <f t="shared" si="242"/>
        <v>0</v>
      </c>
      <c r="AD1301" s="16" t="s">
        <v>151</v>
      </c>
      <c r="AG1301" s="33">
        <f t="shared" si="239"/>
        <v>0</v>
      </c>
      <c r="AH1301" s="120" t="s">
        <v>2877</v>
      </c>
      <c r="AI1301" s="63">
        <f t="shared" si="240"/>
        <v>2.8368794326241134E-4</v>
      </c>
      <c r="AJ1301" s="307">
        <f>RTD("money.excel",,$G1301,"PredictVolume")</f>
        <v>8</v>
      </c>
      <c r="AK1301" s="339"/>
    </row>
    <row r="1302" spans="1:37">
      <c r="A1302" s="416">
        <v>3.9</v>
      </c>
      <c r="B1302" s="79">
        <v>54</v>
      </c>
      <c r="C1302" s="79">
        <v>93</v>
      </c>
      <c r="D1302" s="80">
        <v>-10</v>
      </c>
      <c r="E1302" s="80">
        <v>-29</v>
      </c>
      <c r="F1302" s="6">
        <v>5.26</v>
      </c>
      <c r="G1302" s="41" t="s">
        <v>998</v>
      </c>
      <c r="H1302" s="8" t="s">
        <v>315</v>
      </c>
      <c r="I1302" s="16" t="s">
        <v>999</v>
      </c>
      <c r="J1302" s="323">
        <v>38.299999999999997</v>
      </c>
      <c r="K1302" s="73">
        <v>0.48</v>
      </c>
      <c r="M1302" s="73">
        <v>14.7</v>
      </c>
      <c r="N1302" s="318">
        <f t="shared" si="241"/>
        <v>53.47999999999999</v>
      </c>
      <c r="O1302" s="81" t="str">
        <f>IFERROR(VLOOKUP($G1302,'321買'!A:E,3,0),"'沒有資料'")</f>
        <v>'沒有資料'</v>
      </c>
      <c r="P1302" s="380" t="str">
        <f>IFERROR(VLOOKUP($G1302,'321買'!$A:$G,7,0),"'沒有資料'")</f>
        <v>'沒有資料'</v>
      </c>
      <c r="Q1302" s="388" t="s">
        <v>3816</v>
      </c>
      <c r="R1302" s="297" t="str">
        <f>IFERROR(RANK(VLOOKUP($G1302,連買!$A:$D,4,0),連買!$D:$D,0),"'沒有資料'")</f>
        <v>'沒有資料'</v>
      </c>
      <c r="S1302" s="45">
        <v>4</v>
      </c>
      <c r="T1302" s="353">
        <f t="shared" si="236"/>
        <v>8.7912087912087919E-2</v>
      </c>
      <c r="U1302" s="95">
        <v>5.07</v>
      </c>
      <c r="V1302" s="36">
        <f>RTD("money.excel",,"3147","Price")</f>
        <v>45.5</v>
      </c>
      <c r="W1302" s="66"/>
      <c r="X1302" s="15">
        <f t="shared" si="237"/>
        <v>45.5</v>
      </c>
      <c r="Y1302" s="3" t="e">
        <f t="shared" si="238"/>
        <v>#DIV/0!</v>
      </c>
      <c r="Z1302" s="413" t="s">
        <v>8574</v>
      </c>
      <c r="AA1302" s="161">
        <v>0</v>
      </c>
      <c r="AB1302" s="409">
        <v>0</v>
      </c>
      <c r="AC1302" s="259">
        <f t="shared" si="242"/>
        <v>0</v>
      </c>
      <c r="AD1302" s="16" t="s">
        <v>999</v>
      </c>
      <c r="AG1302" s="33">
        <f t="shared" si="239"/>
        <v>0</v>
      </c>
      <c r="AH1302" s="43" t="s">
        <v>2869</v>
      </c>
      <c r="AI1302" s="63">
        <f t="shared" si="240"/>
        <v>1.2307692307692308E-3</v>
      </c>
      <c r="AJ1302" s="307">
        <f>RTD("money.excel",,$G1302,"PredictVolume")</f>
        <v>48</v>
      </c>
      <c r="AK1302" s="339">
        <v>10.76</v>
      </c>
    </row>
    <row r="1303" spans="1:37">
      <c r="A1303" s="146"/>
      <c r="B1303" s="79"/>
      <c r="C1303" s="79"/>
      <c r="D1303" s="79"/>
      <c r="E1303" s="79"/>
      <c r="F1303" s="6"/>
      <c r="H1303" s="8"/>
      <c r="I1303" s="16"/>
      <c r="J1303" s="73"/>
      <c r="K1303" s="323"/>
      <c r="N1303" s="318"/>
      <c r="O1303" s="26"/>
      <c r="S1303" s="34"/>
      <c r="U1303" s="95"/>
      <c r="V1303" s="36"/>
      <c r="W1303" s="66"/>
      <c r="X1303" s="15"/>
      <c r="Y1303" s="3"/>
      <c r="AA1303" s="2"/>
      <c r="AD1303" s="16"/>
      <c r="AG1303" s="33"/>
      <c r="AH1303" s="43"/>
      <c r="AI1303" s="63"/>
      <c r="AJ1303" s="307"/>
      <c r="AK1303" s="339"/>
    </row>
    <row r="1304" spans="1:37">
      <c r="A1304" s="130" t="s">
        <v>1732</v>
      </c>
      <c r="B1304" s="91" t="s">
        <v>1588</v>
      </c>
      <c r="C1304" s="91" t="s">
        <v>1589</v>
      </c>
      <c r="D1304" s="91" t="s">
        <v>1590</v>
      </c>
      <c r="E1304" s="91" t="s">
        <v>1591</v>
      </c>
      <c r="F1304" s="8" t="s">
        <v>1066</v>
      </c>
      <c r="G1304" s="27" t="s">
        <v>5055</v>
      </c>
      <c r="H1304" s="55" t="s">
        <v>322</v>
      </c>
      <c r="I1304" s="8" t="s">
        <v>235</v>
      </c>
      <c r="J1304" s="317" t="s">
        <v>1467</v>
      </c>
      <c r="K1304" s="317" t="s">
        <v>1157</v>
      </c>
      <c r="L1304" s="317" t="s">
        <v>284</v>
      </c>
      <c r="M1304" s="317" t="s">
        <v>1059</v>
      </c>
      <c r="N1304" s="317" t="s">
        <v>5048</v>
      </c>
      <c r="O1304" s="26" t="s">
        <v>5107</v>
      </c>
      <c r="P1304" s="373" t="s">
        <v>5059</v>
      </c>
      <c r="Q1304" s="245" t="s">
        <v>5087</v>
      </c>
      <c r="R1304" s="345" t="s">
        <v>5059</v>
      </c>
      <c r="S1304" s="10" t="s">
        <v>66</v>
      </c>
      <c r="T1304" s="351" t="s">
        <v>5076</v>
      </c>
      <c r="U1304" s="68" t="s">
        <v>3493</v>
      </c>
      <c r="V1304" s="28" t="s">
        <v>2</v>
      </c>
      <c r="W1304" s="17" t="s">
        <v>1405</v>
      </c>
      <c r="X1304" s="14" t="s">
        <v>5</v>
      </c>
      <c r="Y1304" s="21" t="s">
        <v>3</v>
      </c>
      <c r="Z1304" s="97" t="s">
        <v>6627</v>
      </c>
      <c r="AA1304" s="406" t="s">
        <v>8647</v>
      </c>
      <c r="AB1304" s="407" t="s">
        <v>8648</v>
      </c>
      <c r="AC1304" s="408" t="s">
        <v>8649</v>
      </c>
      <c r="AD1304" s="8" t="s">
        <v>235</v>
      </c>
      <c r="AE1304" s="71" t="s">
        <v>1406</v>
      </c>
      <c r="AF1304" s="72" t="s">
        <v>1163</v>
      </c>
      <c r="AG1304" s="32" t="s">
        <v>1164</v>
      </c>
      <c r="AH1304" s="25" t="s">
        <v>8650</v>
      </c>
      <c r="AI1304" s="8" t="s">
        <v>3852</v>
      </c>
      <c r="AJ1304" s="50" t="s">
        <v>3586</v>
      </c>
      <c r="AK1304" s="339" t="s">
        <v>5038</v>
      </c>
    </row>
    <row r="1305" spans="1:37">
      <c r="A1305" s="415">
        <v>6.78</v>
      </c>
      <c r="B1305" s="80">
        <v>-13</v>
      </c>
      <c r="C1305" s="80">
        <v>-8</v>
      </c>
      <c r="D1305" s="80">
        <v>-1</v>
      </c>
      <c r="E1305" s="79">
        <v>18</v>
      </c>
      <c r="F1305" s="57">
        <v>17.32</v>
      </c>
      <c r="G1305" s="79">
        <v>1342</v>
      </c>
      <c r="H1305" s="8" t="s">
        <v>2084</v>
      </c>
      <c r="I1305" s="22" t="s">
        <v>2228</v>
      </c>
      <c r="J1305" s="323">
        <v>80.02</v>
      </c>
      <c r="K1305" s="73">
        <v>53.49</v>
      </c>
      <c r="L1305" s="323">
        <v>0.38</v>
      </c>
      <c r="N1305" s="318">
        <f>J1305+K1305+L1305+M1305</f>
        <v>133.88999999999999</v>
      </c>
      <c r="O1305" s="81">
        <f>IFERROR(VLOOKUP($G1305,'321買'!A:E,3,0),"'沒有資料'")</f>
        <v>0</v>
      </c>
      <c r="P1305" s="380">
        <f>IFERROR(VLOOKUP($G1305,'321買'!$A:$G,7,0),"'沒有資料'")</f>
        <v>911</v>
      </c>
      <c r="R1305" s="297">
        <f>IFERROR(RANK(VLOOKUP($G1305,連買!$A:$D,4,0),連買!$D:$D,0),"'沒有資料'")</f>
        <v>569</v>
      </c>
      <c r="S1305" s="34">
        <v>2.5</v>
      </c>
      <c r="T1305" s="353">
        <f t="shared" ref="T1305:T1336" si="243">S1305/V1305</f>
        <v>3.8819875776397512E-2</v>
      </c>
      <c r="U1305" s="57">
        <v>2.97</v>
      </c>
      <c r="V1305" s="13">
        <f>RTD("money.excel",,"1342","Price")</f>
        <v>64.400000000000006</v>
      </c>
      <c r="W1305" s="66"/>
      <c r="X1305" s="15">
        <f t="shared" ref="X1305:X1369" si="244">V1305-W1305</f>
        <v>64.400000000000006</v>
      </c>
      <c r="Y1305" s="3" t="e">
        <f t="shared" ref="Y1305:Y1369" si="245">X1305/W1305</f>
        <v>#DIV/0!</v>
      </c>
      <c r="Z1305" s="413" t="s">
        <v>1801</v>
      </c>
      <c r="AA1305" s="161">
        <v>0</v>
      </c>
      <c r="AB1305" s="409">
        <v>0</v>
      </c>
      <c r="AC1305" s="259">
        <f t="shared" si="242"/>
        <v>0</v>
      </c>
      <c r="AD1305" s="22" t="s">
        <v>2228</v>
      </c>
      <c r="AG1305" s="33">
        <f t="shared" ref="AG1305:AG1369" si="246">AF1305-AE1305</f>
        <v>0</v>
      </c>
      <c r="AH1305" s="43" t="s">
        <v>3576</v>
      </c>
      <c r="AI1305" s="63">
        <f t="shared" ref="AI1305:AI1336" si="247">AJ1305/(A1305*10000)</f>
        <v>4.4247787610619468E-4</v>
      </c>
      <c r="AJ1305" s="307">
        <f>RTD("money.excel",,$G1305,"PredictVolume")</f>
        <v>30</v>
      </c>
      <c r="AK1305" s="339"/>
    </row>
    <row r="1306" spans="1:37">
      <c r="A1306" s="416">
        <v>18.5</v>
      </c>
      <c r="B1306" s="91">
        <v>-379</v>
      </c>
      <c r="C1306" s="91">
        <v>-315</v>
      </c>
      <c r="D1306" s="91">
        <v>98</v>
      </c>
      <c r="E1306" s="91">
        <v>10</v>
      </c>
      <c r="F1306" s="6">
        <v>2.0099999999999998</v>
      </c>
      <c r="G1306" s="79">
        <v>1416</v>
      </c>
      <c r="H1306" s="8" t="s">
        <v>2084</v>
      </c>
      <c r="I1306" s="22" t="s">
        <v>724</v>
      </c>
      <c r="J1306" s="73">
        <v>59.12</v>
      </c>
      <c r="K1306" s="73">
        <v>0.1</v>
      </c>
      <c r="L1306" s="73">
        <v>32.32</v>
      </c>
      <c r="N1306" s="318">
        <f t="shared" ref="N1306:N1344" si="248">J1306+K1306+L1306+M1306</f>
        <v>91.539999999999992</v>
      </c>
      <c r="O1306" s="81">
        <f>IFERROR(VLOOKUP($G1306,'321買'!A:E,3,0),"'沒有資料'")</f>
        <v>1</v>
      </c>
      <c r="P1306" s="380">
        <f>IFERROR(VLOOKUP($G1306,'321買'!$A:$G,7,0),"'沒有資料'")</f>
        <v>783</v>
      </c>
      <c r="R1306" s="297">
        <f>IFERROR(RANK(VLOOKUP($G1306,連買!$A:$D,4,0),連買!$D:$D,0),"'沒有資料'")</f>
        <v>1043</v>
      </c>
      <c r="S1306" s="34">
        <v>0.5</v>
      </c>
      <c r="T1306" s="353">
        <f t="shared" si="243"/>
        <v>1.7006802721088437E-2</v>
      </c>
      <c r="U1306" s="95">
        <v>-1.86</v>
      </c>
      <c r="V1306" s="13">
        <f>RTD("money.excel",,"1516","Price")</f>
        <v>29.4</v>
      </c>
      <c r="W1306" s="66"/>
      <c r="X1306" s="15">
        <f t="shared" si="244"/>
        <v>29.4</v>
      </c>
      <c r="Y1306" s="3" t="e">
        <f t="shared" si="245"/>
        <v>#DIV/0!</v>
      </c>
      <c r="AA1306" s="161">
        <v>0</v>
      </c>
      <c r="AB1306" s="409">
        <v>0</v>
      </c>
      <c r="AC1306" s="259">
        <f t="shared" si="242"/>
        <v>0</v>
      </c>
      <c r="AD1306" s="22" t="s">
        <v>724</v>
      </c>
      <c r="AG1306" s="33">
        <f t="shared" si="246"/>
        <v>0</v>
      </c>
      <c r="AH1306" s="43" t="s">
        <v>3219</v>
      </c>
      <c r="AI1306" s="63">
        <f t="shared" si="247"/>
        <v>7.6216216216216221E-4</v>
      </c>
      <c r="AJ1306" s="307">
        <f>RTD("money.excel",,$G1306,"PredictVolume")</f>
        <v>141</v>
      </c>
      <c r="AK1306" s="339"/>
    </row>
    <row r="1307" spans="1:37">
      <c r="A1307" s="416">
        <v>13.9</v>
      </c>
      <c r="B1307" s="91">
        <v>-275</v>
      </c>
      <c r="C1307" s="91">
        <v>-11</v>
      </c>
      <c r="D1307" s="91">
        <v>-5</v>
      </c>
      <c r="E1307" s="91">
        <v>-3</v>
      </c>
      <c r="F1307" s="6">
        <v>-25</v>
      </c>
      <c r="G1307" s="79">
        <v>1435</v>
      </c>
      <c r="H1307" s="8" t="s">
        <v>2084</v>
      </c>
      <c r="I1307" s="22" t="s">
        <v>672</v>
      </c>
      <c r="J1307" s="73">
        <v>61.81</v>
      </c>
      <c r="K1307" s="73">
        <v>0.09</v>
      </c>
      <c r="N1307" s="318">
        <f t="shared" si="248"/>
        <v>61.900000000000006</v>
      </c>
      <c r="O1307" s="81">
        <f>IFERROR(VLOOKUP($G1307,'321買'!A:E,3,0),"'沒有資料'")</f>
        <v>0</v>
      </c>
      <c r="P1307" s="380">
        <f>IFERROR(VLOOKUP($G1307,'321買'!$A:$G,7,0),"'沒有資料'")</f>
        <v>911</v>
      </c>
      <c r="R1307" s="297">
        <f>IFERROR(RANK(VLOOKUP($G1307,連買!$A:$D,4,0),連買!$D:$D,0),"'沒有資料'")</f>
        <v>927</v>
      </c>
      <c r="S1307" s="34">
        <v>0</v>
      </c>
      <c r="T1307" s="353">
        <f t="shared" si="243"/>
        <v>0</v>
      </c>
      <c r="U1307" s="95">
        <v>-0.17</v>
      </c>
      <c r="V1307" s="13">
        <f>RTD("money.excel",,"1435","Price")</f>
        <v>63.4</v>
      </c>
      <c r="W1307" s="66"/>
      <c r="X1307" s="15">
        <f t="shared" si="244"/>
        <v>63.4</v>
      </c>
      <c r="Y1307" s="3" t="e">
        <f t="shared" si="245"/>
        <v>#DIV/0!</v>
      </c>
      <c r="AA1307" s="161">
        <v>0</v>
      </c>
      <c r="AB1307" s="409">
        <v>0</v>
      </c>
      <c r="AC1307" s="259">
        <f t="shared" si="242"/>
        <v>0</v>
      </c>
      <c r="AD1307" s="22" t="s">
        <v>672</v>
      </c>
      <c r="AG1307" s="33">
        <f t="shared" si="246"/>
        <v>0</v>
      </c>
      <c r="AH1307" s="43" t="s">
        <v>2996</v>
      </c>
      <c r="AI1307" s="63">
        <f t="shared" si="247"/>
        <v>3.2589928057553956E-3</v>
      </c>
      <c r="AJ1307" s="307">
        <f>RTD("money.excel",,$G1307,"PredictVolume")</f>
        <v>453</v>
      </c>
      <c r="AK1307" s="339"/>
    </row>
    <row r="1308" spans="1:37">
      <c r="A1308" s="415">
        <v>20.3</v>
      </c>
      <c r="B1308" s="91">
        <v>-71</v>
      </c>
      <c r="C1308" s="91">
        <v>12</v>
      </c>
      <c r="D1308" s="91">
        <v>87</v>
      </c>
      <c r="E1308" s="91">
        <v>-4</v>
      </c>
      <c r="F1308" s="57">
        <v>60.31</v>
      </c>
      <c r="G1308" s="79">
        <v>1437</v>
      </c>
      <c r="H1308" s="8" t="s">
        <v>2084</v>
      </c>
      <c r="I1308" s="22" t="s">
        <v>673</v>
      </c>
      <c r="J1308" s="73">
        <v>68.239999999999995</v>
      </c>
      <c r="K1308" s="73">
        <v>6.74</v>
      </c>
      <c r="L1308" s="73">
        <v>2.13</v>
      </c>
      <c r="N1308" s="318">
        <f t="shared" si="248"/>
        <v>77.109999999999985</v>
      </c>
      <c r="O1308" s="81">
        <f>IFERROR(VLOOKUP($G1308,'321買'!A:E,3,0),"'沒有資料'")</f>
        <v>0</v>
      </c>
      <c r="P1308" s="380">
        <f>IFERROR(VLOOKUP($G1308,'321買'!$A:$G,7,0),"'沒有資料'")</f>
        <v>911</v>
      </c>
      <c r="R1308" s="297">
        <f>IFERROR(RANK(VLOOKUP($G1308,連買!$A:$D,4,0),連買!$D:$D,0),"'沒有資料'")</f>
        <v>830</v>
      </c>
      <c r="S1308" s="34">
        <v>0.7</v>
      </c>
      <c r="T1308" s="353">
        <f t="shared" si="243"/>
        <v>2.5134649910233391E-2</v>
      </c>
      <c r="U1308" s="95">
        <v>1.76</v>
      </c>
      <c r="V1308" s="13">
        <f>RTD("money.excel",,"1437","Price")</f>
        <v>27.85</v>
      </c>
      <c r="W1308" s="66"/>
      <c r="X1308" s="15">
        <f t="shared" si="244"/>
        <v>27.85</v>
      </c>
      <c r="Y1308" s="3" t="e">
        <f t="shared" si="245"/>
        <v>#DIV/0!</v>
      </c>
      <c r="AA1308" s="161">
        <v>0</v>
      </c>
      <c r="AB1308" s="409">
        <v>0</v>
      </c>
      <c r="AC1308" s="259">
        <f t="shared" si="242"/>
        <v>0</v>
      </c>
      <c r="AD1308" s="22" t="s">
        <v>673</v>
      </c>
      <c r="AG1308" s="33">
        <f t="shared" si="246"/>
        <v>0</v>
      </c>
      <c r="AH1308" s="43" t="s">
        <v>2997</v>
      </c>
      <c r="AI1308" s="63">
        <f t="shared" si="247"/>
        <v>3.2118226600985223E-3</v>
      </c>
      <c r="AJ1308" s="307">
        <f>RTD("money.excel",,$G1308,"PredictVolume")</f>
        <v>652</v>
      </c>
      <c r="AK1308" s="339"/>
    </row>
    <row r="1309" spans="1:37">
      <c r="A1309" s="416">
        <v>3.44</v>
      </c>
      <c r="B1309" s="91">
        <v>174</v>
      </c>
      <c r="C1309" s="91">
        <v>156</v>
      </c>
      <c r="D1309" s="91">
        <v>12</v>
      </c>
      <c r="E1309" s="91">
        <v>-15</v>
      </c>
      <c r="F1309" s="6">
        <v>2.0099999999999998</v>
      </c>
      <c r="G1309" s="79">
        <v>1516</v>
      </c>
      <c r="H1309" s="8" t="s">
        <v>2084</v>
      </c>
      <c r="I1309" s="22" t="s">
        <v>674</v>
      </c>
      <c r="J1309" s="73">
        <v>59.12</v>
      </c>
      <c r="K1309" s="73">
        <v>0.1</v>
      </c>
      <c r="L1309" s="73">
        <v>32.32</v>
      </c>
      <c r="N1309" s="318">
        <f t="shared" si="248"/>
        <v>91.539999999999992</v>
      </c>
      <c r="O1309" s="81">
        <f>IFERROR(VLOOKUP($G1309,'321買'!A:E,3,0),"'沒有資料'")</f>
        <v>6</v>
      </c>
      <c r="P1309" s="380">
        <f>IFERROR(VLOOKUP($G1309,'321買'!$A:$G,7,0),"'沒有資料'")</f>
        <v>499</v>
      </c>
      <c r="R1309" s="297">
        <f>IFERROR(RANK(VLOOKUP($G1309,連買!$A:$D,4,0),連買!$D:$D,0),"'沒有資料'")</f>
        <v>828</v>
      </c>
      <c r="S1309" s="34">
        <v>0.75</v>
      </c>
      <c r="T1309" s="353">
        <f t="shared" si="243"/>
        <v>2.5510204081632654E-2</v>
      </c>
      <c r="U1309" s="95">
        <v>0.85</v>
      </c>
      <c r="V1309" s="13">
        <f>RTD("money.excel",,"1516","Price")</f>
        <v>29.4</v>
      </c>
      <c r="W1309" s="66"/>
      <c r="X1309" s="15">
        <f t="shared" si="244"/>
        <v>29.4</v>
      </c>
      <c r="Y1309" s="3" t="e">
        <f t="shared" si="245"/>
        <v>#DIV/0!</v>
      </c>
      <c r="AA1309" s="161">
        <v>0</v>
      </c>
      <c r="AB1309" s="409">
        <v>0</v>
      </c>
      <c r="AC1309" s="259">
        <f t="shared" si="242"/>
        <v>0</v>
      </c>
      <c r="AD1309" s="22" t="s">
        <v>674</v>
      </c>
      <c r="AG1309" s="33">
        <f t="shared" si="246"/>
        <v>0</v>
      </c>
      <c r="AH1309" s="43" t="s">
        <v>2998</v>
      </c>
      <c r="AI1309" s="63">
        <f t="shared" si="247"/>
        <v>6.5813953488372087E-2</v>
      </c>
      <c r="AJ1309" s="307">
        <f>RTD("money.excel",,$G1309,"PredictVolume")</f>
        <v>2264</v>
      </c>
      <c r="AK1309" s="339"/>
    </row>
    <row r="1310" spans="1:37">
      <c r="A1310" s="416">
        <v>12.2</v>
      </c>
      <c r="B1310" s="91">
        <v>179</v>
      </c>
      <c r="C1310" s="91">
        <v>99</v>
      </c>
      <c r="D1310" s="91">
        <v>-6</v>
      </c>
      <c r="E1310" s="91">
        <v>-15</v>
      </c>
      <c r="F1310" s="6">
        <v>-0.05</v>
      </c>
      <c r="G1310" s="79">
        <v>1584</v>
      </c>
      <c r="H1310" s="8" t="s">
        <v>2084</v>
      </c>
      <c r="I1310" s="16" t="s">
        <v>639</v>
      </c>
      <c r="J1310" s="73">
        <v>44.66</v>
      </c>
      <c r="K1310" s="73">
        <v>0.03</v>
      </c>
      <c r="L1310" s="73">
        <v>11.05</v>
      </c>
      <c r="N1310" s="318">
        <f t="shared" si="248"/>
        <v>55.739999999999995</v>
      </c>
      <c r="O1310" s="81">
        <f>IFERROR(VLOOKUP($G1310,'321買'!A:E,3,0),"'沒有資料'")</f>
        <v>8</v>
      </c>
      <c r="P1310" s="380">
        <f>IFERROR(VLOOKUP($G1310,'321買'!$A:$G,7,0),"'沒有資料'")</f>
        <v>475</v>
      </c>
      <c r="R1310" s="297">
        <f>IFERROR(RANK(VLOOKUP($G1310,連買!$A:$D,4,0),連買!$D:$D,0),"'沒有資料'")</f>
        <v>1013</v>
      </c>
      <c r="S1310" s="34">
        <v>0</v>
      </c>
      <c r="T1310" s="353">
        <f t="shared" si="243"/>
        <v>0</v>
      </c>
      <c r="U1310" s="95">
        <v>0.41</v>
      </c>
      <c r="V1310" s="36">
        <f>RTD("money.excel",,"1584","Price")</f>
        <v>20.3</v>
      </c>
      <c r="W1310" s="66"/>
      <c r="X1310" s="15">
        <f t="shared" si="244"/>
        <v>20.3</v>
      </c>
      <c r="Y1310" s="3" t="e">
        <f t="shared" si="245"/>
        <v>#DIV/0!</v>
      </c>
      <c r="Z1310" s="413" t="s">
        <v>1801</v>
      </c>
      <c r="AA1310" s="161">
        <v>0</v>
      </c>
      <c r="AB1310" s="409">
        <v>0</v>
      </c>
      <c r="AC1310" s="259">
        <f t="shared" si="242"/>
        <v>0</v>
      </c>
      <c r="AD1310" s="16" t="s">
        <v>639</v>
      </c>
      <c r="AG1310" s="33">
        <f t="shared" si="246"/>
        <v>0</v>
      </c>
      <c r="AH1310" s="43" t="s">
        <v>2642</v>
      </c>
      <c r="AI1310" s="63">
        <f t="shared" si="247"/>
        <v>4.757377049180328E-2</v>
      </c>
      <c r="AJ1310" s="307">
        <f>RTD("money.excel",,$G1310,"PredictVolume")</f>
        <v>5804</v>
      </c>
      <c r="AK1310" s="339"/>
    </row>
    <row r="1311" spans="1:37">
      <c r="A1311" s="416">
        <v>20</v>
      </c>
      <c r="B1311" s="79">
        <v>181</v>
      </c>
      <c r="C1311" s="79">
        <v>200</v>
      </c>
      <c r="D1311" s="79">
        <v>17</v>
      </c>
      <c r="E1311" s="79">
        <v>47</v>
      </c>
      <c r="F1311" s="6">
        <v>4.3</v>
      </c>
      <c r="G1311" s="79">
        <v>2062</v>
      </c>
      <c r="H1311" s="8" t="s">
        <v>2084</v>
      </c>
      <c r="I1311" s="22" t="s">
        <v>675</v>
      </c>
      <c r="J1311" s="323">
        <v>59.11</v>
      </c>
      <c r="K1311" s="323">
        <v>10.35</v>
      </c>
      <c r="L1311" s="73">
        <v>7.13</v>
      </c>
      <c r="N1311" s="318">
        <f t="shared" si="248"/>
        <v>76.589999999999989</v>
      </c>
      <c r="O1311" s="81">
        <f>IFERROR(VLOOKUP($G1311,'321買'!A:E,3,0),"'沒有資料'")</f>
        <v>2</v>
      </c>
      <c r="P1311" s="380">
        <f>IFERROR(VLOOKUP($G1311,'321買'!$A:$G,7,0),"'沒有資料'")</f>
        <v>706</v>
      </c>
      <c r="R1311" s="297">
        <f>IFERROR(RANK(VLOOKUP($G1311,連買!$A:$D,4,0),連買!$D:$D,0),"'沒有資料'")</f>
        <v>736</v>
      </c>
      <c r="S1311" s="34">
        <v>0.1</v>
      </c>
      <c r="T1311" s="353">
        <f t="shared" si="243"/>
        <v>3.7523452157598503E-3</v>
      </c>
      <c r="U1311" s="57">
        <v>1.73</v>
      </c>
      <c r="V1311" s="36">
        <f>RTD("money.excel",,"2062","Price")</f>
        <v>26.65</v>
      </c>
      <c r="W1311" s="66"/>
      <c r="X1311" s="15">
        <f t="shared" si="244"/>
        <v>26.65</v>
      </c>
      <c r="Y1311" s="3" t="e">
        <f t="shared" si="245"/>
        <v>#DIV/0!</v>
      </c>
      <c r="AA1311" s="161">
        <v>0</v>
      </c>
      <c r="AB1311" s="409">
        <v>0</v>
      </c>
      <c r="AC1311" s="259">
        <f t="shared" si="242"/>
        <v>0</v>
      </c>
      <c r="AD1311" s="22" t="s">
        <v>675</v>
      </c>
      <c r="AG1311" s="33">
        <f t="shared" si="246"/>
        <v>0</v>
      </c>
      <c r="AH1311" s="43" t="s">
        <v>2999</v>
      </c>
      <c r="AI1311" s="63">
        <f t="shared" si="247"/>
        <v>6.7000000000000002E-4</v>
      </c>
      <c r="AJ1311" s="307">
        <f>RTD("money.excel",,$G1311,"PredictVolume")</f>
        <v>134</v>
      </c>
      <c r="AK1311" s="339"/>
    </row>
    <row r="1312" spans="1:37">
      <c r="A1312" s="416">
        <v>4.2300000000000004</v>
      </c>
      <c r="B1312" s="91">
        <v>-42</v>
      </c>
      <c r="C1312" s="91">
        <v>-38</v>
      </c>
      <c r="D1312" s="91">
        <v>224</v>
      </c>
      <c r="E1312" s="91">
        <v>-1</v>
      </c>
      <c r="F1312" s="6">
        <v>9.0299999999999994</v>
      </c>
      <c r="G1312" s="79">
        <v>2221</v>
      </c>
      <c r="H1312" s="8" t="s">
        <v>2084</v>
      </c>
      <c r="I1312" s="16" t="s">
        <v>529</v>
      </c>
      <c r="J1312" s="73">
        <v>65.41</v>
      </c>
      <c r="K1312" s="323">
        <v>0.53</v>
      </c>
      <c r="L1312" s="73">
        <v>13.65</v>
      </c>
      <c r="N1312" s="318">
        <f t="shared" si="248"/>
        <v>79.59</v>
      </c>
      <c r="O1312" s="81">
        <f>IFERROR(VLOOKUP($G1312,'321買'!A:E,3,0),"'沒有資料'")</f>
        <v>13</v>
      </c>
      <c r="P1312" s="380">
        <f>IFERROR(VLOOKUP($G1312,'321買'!$A:$G,7,0),"'沒有資料'")</f>
        <v>336</v>
      </c>
      <c r="R1312" s="297">
        <f>IFERROR(RANK(VLOOKUP($G1312,連買!$A:$D,4,0),連買!$D:$D,0),"'沒有資料'")</f>
        <v>1076</v>
      </c>
      <c r="S1312" s="34">
        <v>1</v>
      </c>
      <c r="T1312" s="353">
        <f t="shared" si="243"/>
        <v>2.4509803921568631E-2</v>
      </c>
      <c r="U1312" s="95">
        <v>1.5</v>
      </c>
      <c r="V1312" s="13">
        <f>RTD("money.excel",,"2221","Price")</f>
        <v>40.799999999999997</v>
      </c>
      <c r="W1312" s="66"/>
      <c r="X1312" s="15">
        <f t="shared" si="244"/>
        <v>40.799999999999997</v>
      </c>
      <c r="Y1312" s="3" t="e">
        <f t="shared" si="245"/>
        <v>#DIV/0!</v>
      </c>
      <c r="AA1312" s="161">
        <v>0</v>
      </c>
      <c r="AB1312" s="409">
        <v>0</v>
      </c>
      <c r="AC1312" s="259">
        <f t="shared" si="242"/>
        <v>0</v>
      </c>
      <c r="AD1312" s="16" t="s">
        <v>529</v>
      </c>
      <c r="AG1312" s="33">
        <f t="shared" si="246"/>
        <v>0</v>
      </c>
      <c r="AH1312" s="43" t="s">
        <v>2641</v>
      </c>
      <c r="AI1312" s="63">
        <f t="shared" si="247"/>
        <v>6.0283687943262403E-3</v>
      </c>
      <c r="AJ1312" s="307">
        <f>RTD("money.excel",,$G1312,"PredictVolume")</f>
        <v>255</v>
      </c>
      <c r="AK1312" s="339"/>
    </row>
    <row r="1313" spans="1:37">
      <c r="A1313" s="415">
        <v>10.6</v>
      </c>
      <c r="B1313" s="79">
        <v>38</v>
      </c>
      <c r="C1313" s="79">
        <v>53</v>
      </c>
      <c r="D1313" s="79">
        <v>71</v>
      </c>
      <c r="E1313" s="79">
        <v>146</v>
      </c>
      <c r="F1313" s="57">
        <v>44.29</v>
      </c>
      <c r="G1313" s="79">
        <v>2348</v>
      </c>
      <c r="H1313" s="8" t="s">
        <v>2084</v>
      </c>
      <c r="I1313" s="22" t="s">
        <v>676</v>
      </c>
      <c r="J1313" s="73">
        <v>73.63</v>
      </c>
      <c r="K1313" s="323">
        <v>2.58</v>
      </c>
      <c r="L1313" s="323">
        <v>7.04</v>
      </c>
      <c r="M1313" s="323">
        <v>54.11</v>
      </c>
      <c r="N1313" s="73">
        <f t="shared" si="248"/>
        <v>137.36000000000001</v>
      </c>
      <c r="O1313" s="81">
        <f>IFERROR(VLOOKUP($G1313,'321買'!A:E,3,0),"'沒有資料'")</f>
        <v>0</v>
      </c>
      <c r="P1313" s="380">
        <f>IFERROR(VLOOKUP($G1313,'321買'!$A:$G,7,0),"'沒有資料'")</f>
        <v>911</v>
      </c>
      <c r="Q1313" s="245" t="s">
        <v>3816</v>
      </c>
      <c r="R1313" s="297">
        <f>IFERROR(RANK(VLOOKUP($G1313,連買!$A:$D,4,0),連買!$D:$D,0),"'沒有資料'")</f>
        <v>272</v>
      </c>
      <c r="S1313" s="66">
        <v>8</v>
      </c>
      <c r="T1313" s="353">
        <f t="shared" si="243"/>
        <v>7.8431372549019607E-2</v>
      </c>
      <c r="U1313" s="57">
        <v>16.97</v>
      </c>
      <c r="V1313" s="36">
        <f>RTD("money.excel",,"2348","Price")</f>
        <v>102</v>
      </c>
      <c r="W1313" s="66"/>
      <c r="X1313" s="15">
        <f t="shared" si="244"/>
        <v>102</v>
      </c>
      <c r="Y1313" s="3" t="e">
        <f t="shared" si="245"/>
        <v>#DIV/0!</v>
      </c>
      <c r="Z1313" s="413" t="s">
        <v>1997</v>
      </c>
      <c r="AA1313" s="161">
        <v>0</v>
      </c>
      <c r="AB1313" s="409">
        <v>0</v>
      </c>
      <c r="AC1313" s="259">
        <f t="shared" si="242"/>
        <v>0</v>
      </c>
      <c r="AD1313" s="22" t="s">
        <v>676</v>
      </c>
      <c r="AG1313" s="33">
        <f t="shared" si="246"/>
        <v>0</v>
      </c>
      <c r="AH1313" s="43" t="s">
        <v>2572</v>
      </c>
      <c r="AI1313" s="63">
        <f t="shared" si="247"/>
        <v>1.3490566037735849E-3</v>
      </c>
      <c r="AJ1313" s="307">
        <f>RTD("money.excel",,$G1313,"PredictVolume")</f>
        <v>143</v>
      </c>
      <c r="AK1313" s="339"/>
    </row>
    <row r="1314" spans="1:37">
      <c r="A1314" s="416">
        <v>12.4</v>
      </c>
      <c r="B1314" s="80">
        <v>-194</v>
      </c>
      <c r="C1314" s="80">
        <v>-48</v>
      </c>
      <c r="D1314" s="80">
        <v>-1</v>
      </c>
      <c r="E1314" s="80">
        <v>-3</v>
      </c>
      <c r="F1314" s="6">
        <v>1.82</v>
      </c>
      <c r="G1314" s="79">
        <v>2358</v>
      </c>
      <c r="H1314" s="8" t="s">
        <v>2084</v>
      </c>
      <c r="I1314" s="22" t="s">
        <v>677</v>
      </c>
      <c r="J1314" s="73">
        <v>35.56</v>
      </c>
      <c r="K1314" s="323">
        <v>0.79</v>
      </c>
      <c r="L1314" s="73">
        <v>24.74</v>
      </c>
      <c r="N1314" s="318">
        <f t="shared" si="248"/>
        <v>61.09</v>
      </c>
      <c r="O1314" s="81">
        <f>IFERROR(VLOOKUP($G1314,'321買'!A:E,3,0),"'沒有資料'")</f>
        <v>37</v>
      </c>
      <c r="P1314" s="380">
        <f>IFERROR(VLOOKUP($G1314,'321買'!$A:$G,7,0),"'沒有資料'")</f>
        <v>113</v>
      </c>
      <c r="R1314" s="297">
        <f>IFERROR(RANK(VLOOKUP($G1314,連買!$A:$D,4,0),連買!$D:$D,0),"'沒有資料'")</f>
        <v>888</v>
      </c>
      <c r="S1314" s="34">
        <v>0.1</v>
      </c>
      <c r="T1314" s="353">
        <f t="shared" si="243"/>
        <v>4.2918454935622317E-3</v>
      </c>
      <c r="U1314" s="95">
        <v>0.04</v>
      </c>
      <c r="V1314" s="36">
        <f>RTD("money.excel",,"2358","Price")</f>
        <v>23.3</v>
      </c>
      <c r="W1314" s="66"/>
      <c r="X1314" s="15">
        <f t="shared" si="244"/>
        <v>23.3</v>
      </c>
      <c r="Y1314" s="3" t="e">
        <f t="shared" si="245"/>
        <v>#DIV/0!</v>
      </c>
      <c r="Z1314" s="413" t="s">
        <v>1801</v>
      </c>
      <c r="AA1314" s="161">
        <v>0</v>
      </c>
      <c r="AB1314" s="409">
        <v>0</v>
      </c>
      <c r="AC1314" s="259">
        <f t="shared" si="242"/>
        <v>0</v>
      </c>
      <c r="AD1314" s="22" t="s">
        <v>677</v>
      </c>
      <c r="AG1314" s="33">
        <f t="shared" si="246"/>
        <v>0</v>
      </c>
      <c r="AH1314" s="43" t="s">
        <v>3000</v>
      </c>
      <c r="AI1314" s="63">
        <f t="shared" si="247"/>
        <v>8.758064516129033E-3</v>
      </c>
      <c r="AJ1314" s="307">
        <f>RTD("money.excel",,$G1314,"PredictVolume")</f>
        <v>1086</v>
      </c>
      <c r="AK1314" s="339"/>
    </row>
    <row r="1315" spans="1:37">
      <c r="A1315" s="416">
        <v>14.5</v>
      </c>
      <c r="B1315" s="91">
        <v>-34</v>
      </c>
      <c r="C1315" s="91">
        <v>8</v>
      </c>
      <c r="D1315" s="91">
        <v>-20</v>
      </c>
      <c r="E1315" s="91">
        <v>73</v>
      </c>
      <c r="F1315" s="6">
        <v>-66.930000000000007</v>
      </c>
      <c r="G1315" s="79">
        <v>2443</v>
      </c>
      <c r="H1315" s="8" t="s">
        <v>2084</v>
      </c>
      <c r="I1315" s="22" t="s">
        <v>3431</v>
      </c>
      <c r="J1315" s="73">
        <v>51.97</v>
      </c>
      <c r="K1315" s="73">
        <v>0.14000000000000001</v>
      </c>
      <c r="L1315" s="73">
        <v>0</v>
      </c>
      <c r="N1315" s="318">
        <f t="shared" si="248"/>
        <v>52.11</v>
      </c>
      <c r="O1315" s="81">
        <f>IFERROR(VLOOKUP($G1315,'321買'!A:E,3,0),"'沒有資料'")</f>
        <v>0</v>
      </c>
      <c r="P1315" s="380">
        <f>IFERROR(VLOOKUP($G1315,'321買'!$A:$G,7,0),"'沒有資料'")</f>
        <v>911</v>
      </c>
      <c r="R1315" s="297">
        <f>IFERROR(RANK(VLOOKUP($G1315,連買!$A:$D,4,0),連買!$D:$D,0),"'沒有資料'")</f>
        <v>1434</v>
      </c>
      <c r="S1315" s="34">
        <v>0</v>
      </c>
      <c r="T1315" s="353">
        <f t="shared" si="243"/>
        <v>0</v>
      </c>
      <c r="U1315" s="95">
        <v>-3.09</v>
      </c>
      <c r="V1315" s="13">
        <f>RTD("money.excel",,"2443","Price")</f>
        <v>3.2</v>
      </c>
      <c r="W1315" s="66"/>
      <c r="X1315" s="15">
        <f t="shared" si="244"/>
        <v>3.2</v>
      </c>
      <c r="Y1315" s="3" t="e">
        <f t="shared" si="245"/>
        <v>#DIV/0!</v>
      </c>
      <c r="AA1315" s="161">
        <v>0</v>
      </c>
      <c r="AB1315" s="409">
        <v>0</v>
      </c>
      <c r="AC1315" s="259">
        <f t="shared" si="242"/>
        <v>0</v>
      </c>
      <c r="AD1315" s="22" t="s">
        <v>3431</v>
      </c>
      <c r="AG1315" s="33">
        <f t="shared" si="246"/>
        <v>0</v>
      </c>
      <c r="AH1315" s="43" t="s">
        <v>3001</v>
      </c>
      <c r="AI1315" s="63">
        <f t="shared" si="247"/>
        <v>2.2068965517241379E-4</v>
      </c>
      <c r="AJ1315" s="307">
        <f>RTD("money.excel",,$G1315,"PredictVolume")</f>
        <v>32</v>
      </c>
      <c r="AK1315" s="339"/>
    </row>
    <row r="1316" spans="1:37">
      <c r="A1316" s="415">
        <v>1.75</v>
      </c>
      <c r="B1316" s="91">
        <v>-46</v>
      </c>
      <c r="C1316" s="91">
        <v>-53</v>
      </c>
      <c r="D1316" s="91">
        <v>-10</v>
      </c>
      <c r="E1316" s="91">
        <v>-6</v>
      </c>
      <c r="F1316" s="6">
        <v>8.02</v>
      </c>
      <c r="G1316" s="79">
        <v>2496</v>
      </c>
      <c r="H1316" s="8" t="s">
        <v>2084</v>
      </c>
      <c r="I1316" s="22" t="s">
        <v>524</v>
      </c>
      <c r="J1316" s="323">
        <v>66.55</v>
      </c>
      <c r="K1316" s="73">
        <v>58.36</v>
      </c>
      <c r="L1316" s="323">
        <v>14.59</v>
      </c>
      <c r="N1316" s="318">
        <f t="shared" si="248"/>
        <v>139.5</v>
      </c>
      <c r="O1316" s="81">
        <f>IFERROR(VLOOKUP($G1316,'321買'!A:E,3,0),"'沒有資料'")</f>
        <v>0</v>
      </c>
      <c r="P1316" s="380">
        <f>IFERROR(VLOOKUP($G1316,'321買'!$A:$G,7,0),"'沒有資料'")</f>
        <v>911</v>
      </c>
      <c r="R1316" s="297">
        <f>IFERROR(RANK(VLOOKUP($G1316,連買!$A:$D,4,0),連買!$D:$D,0),"'沒有資料'")</f>
        <v>1600</v>
      </c>
      <c r="S1316" s="66">
        <v>4.5</v>
      </c>
      <c r="T1316" s="353">
        <f t="shared" si="243"/>
        <v>9.202453987730061E-2</v>
      </c>
      <c r="U1316" s="95">
        <v>3.37</v>
      </c>
      <c r="V1316" s="13">
        <f>RTD("money.excel",,"2496","Price")</f>
        <v>48.9</v>
      </c>
      <c r="W1316" s="66"/>
      <c r="X1316" s="15">
        <f t="shared" si="244"/>
        <v>48.9</v>
      </c>
      <c r="Y1316" s="3" t="e">
        <f t="shared" si="245"/>
        <v>#DIV/0!</v>
      </c>
      <c r="Z1316" s="413" t="s">
        <v>1831</v>
      </c>
      <c r="AA1316" s="161">
        <v>0</v>
      </c>
      <c r="AB1316" s="409">
        <v>0</v>
      </c>
      <c r="AC1316" s="259">
        <f t="shared" si="242"/>
        <v>0</v>
      </c>
      <c r="AD1316" s="22" t="s">
        <v>524</v>
      </c>
      <c r="AG1316" s="33">
        <f t="shared" si="246"/>
        <v>0</v>
      </c>
      <c r="AH1316" s="43" t="s">
        <v>3002</v>
      </c>
      <c r="AI1316" s="63">
        <f t="shared" si="247"/>
        <v>8.571428571428571E-4</v>
      </c>
      <c r="AJ1316" s="307">
        <f>RTD("money.excel",,$G1316,"PredictVolume")</f>
        <v>15</v>
      </c>
      <c r="AK1316" s="339"/>
    </row>
    <row r="1317" spans="1:37">
      <c r="A1317" s="416">
        <v>39.4</v>
      </c>
      <c r="B1317" s="79">
        <v>-138</v>
      </c>
      <c r="C1317" s="79">
        <v>457</v>
      </c>
      <c r="D1317" s="91">
        <v>-59</v>
      </c>
      <c r="E1317" s="79">
        <v>75</v>
      </c>
      <c r="F1317" s="6">
        <v>3.43</v>
      </c>
      <c r="G1317" s="79">
        <v>2514</v>
      </c>
      <c r="H1317" s="8" t="s">
        <v>2084</v>
      </c>
      <c r="I1317" s="22" t="s">
        <v>678</v>
      </c>
      <c r="J1317" s="323">
        <v>91.4</v>
      </c>
      <c r="K1317" s="323">
        <v>7.24</v>
      </c>
      <c r="L1317" s="323">
        <v>13.56</v>
      </c>
      <c r="N1317" s="318">
        <f t="shared" si="248"/>
        <v>112.2</v>
      </c>
      <c r="O1317" s="81">
        <f>IFERROR(VLOOKUP($G1317,'321買'!A:E,3,0),"'沒有資料'")</f>
        <v>0</v>
      </c>
      <c r="P1317" s="380">
        <f>IFERROR(VLOOKUP($G1317,'321買'!$A:$G,7,0),"'沒有資料'")</f>
        <v>911</v>
      </c>
      <c r="R1317" s="297">
        <f>IFERROR(RANK(VLOOKUP($G1317,連買!$A:$D,4,0),連買!$D:$D,0),"'沒有資料'")</f>
        <v>1067</v>
      </c>
      <c r="S1317" s="34">
        <v>0</v>
      </c>
      <c r="T1317" s="353">
        <f t="shared" si="243"/>
        <v>0</v>
      </c>
      <c r="U1317" s="95">
        <v>3.05</v>
      </c>
      <c r="V1317" s="36">
        <f>RTD("money.excel",,"2514","Price")</f>
        <v>17.2</v>
      </c>
      <c r="W1317" s="66"/>
      <c r="X1317" s="15">
        <f t="shared" si="244"/>
        <v>17.2</v>
      </c>
      <c r="Y1317" s="3" t="e">
        <f t="shared" si="245"/>
        <v>#DIV/0!</v>
      </c>
      <c r="Z1317" s="413" t="s">
        <v>1801</v>
      </c>
      <c r="AA1317" s="161">
        <v>0</v>
      </c>
      <c r="AB1317" s="409">
        <v>0</v>
      </c>
      <c r="AC1317" s="259">
        <f t="shared" si="242"/>
        <v>0</v>
      </c>
      <c r="AD1317" s="22" t="s">
        <v>678</v>
      </c>
      <c r="AG1317" s="33">
        <f t="shared" si="246"/>
        <v>0</v>
      </c>
      <c r="AH1317" s="43" t="s">
        <v>4327</v>
      </c>
      <c r="AI1317" s="63">
        <f t="shared" si="247"/>
        <v>1.3959390862944163E-4</v>
      </c>
      <c r="AJ1317" s="307">
        <f>RTD("money.excel",,$G1317,"PredictVolume")</f>
        <v>55</v>
      </c>
      <c r="AK1317" s="339"/>
    </row>
    <row r="1318" spans="1:37">
      <c r="A1318" s="415">
        <v>5.93</v>
      </c>
      <c r="B1318" s="80">
        <v>-30</v>
      </c>
      <c r="C1318" s="80">
        <v>-34</v>
      </c>
      <c r="D1318" s="79">
        <v>7</v>
      </c>
      <c r="E1318" s="79">
        <v>16</v>
      </c>
      <c r="F1318" s="57">
        <v>13.78</v>
      </c>
      <c r="G1318" s="79">
        <v>2640</v>
      </c>
      <c r="H1318" s="8" t="s">
        <v>2084</v>
      </c>
      <c r="I1318" s="16" t="s">
        <v>4945</v>
      </c>
      <c r="J1318" s="323">
        <v>58.16</v>
      </c>
      <c r="K1318" s="73">
        <v>4.04</v>
      </c>
      <c r="L1318" s="323">
        <v>10.7</v>
      </c>
      <c r="M1318" s="73">
        <v>30.18</v>
      </c>
      <c r="N1318" s="318">
        <f t="shared" si="248"/>
        <v>103.07999999999998</v>
      </c>
      <c r="O1318" s="81">
        <f>IFERROR(VLOOKUP($G1318,'321買'!A:E,3,0),"'沒有資料'")</f>
        <v>1</v>
      </c>
      <c r="P1318" s="380">
        <f>IFERROR(VLOOKUP($G1318,'321買'!$A:$G,7,0),"'沒有資料'")</f>
        <v>783</v>
      </c>
      <c r="Q1318" s="245" t="s">
        <v>3816</v>
      </c>
      <c r="R1318" s="297">
        <f>IFERROR(RANK(VLOOKUP($G1318,連買!$A:$D,4,0),連買!$D:$D,0),"'沒有資料'")</f>
        <v>195</v>
      </c>
      <c r="S1318" s="66">
        <v>4.4000000000000004</v>
      </c>
      <c r="T1318" s="353">
        <f t="shared" si="243"/>
        <v>5.3987730061349701E-2</v>
      </c>
      <c r="U1318" s="57">
        <v>4.0199999999999996</v>
      </c>
      <c r="V1318" s="13">
        <f>RTD("money.excel",,"2640","Price")</f>
        <v>81.5</v>
      </c>
      <c r="W1318" s="66"/>
      <c r="X1318" s="15">
        <f t="shared" si="244"/>
        <v>81.5</v>
      </c>
      <c r="Y1318" s="3" t="e">
        <f t="shared" si="245"/>
        <v>#DIV/0!</v>
      </c>
      <c r="Z1318" s="413" t="s">
        <v>1831</v>
      </c>
      <c r="AA1318" s="161">
        <v>0</v>
      </c>
      <c r="AB1318" s="409">
        <v>0</v>
      </c>
      <c r="AC1318" s="259">
        <f t="shared" si="242"/>
        <v>0</v>
      </c>
      <c r="AD1318" s="16" t="s">
        <v>4945</v>
      </c>
      <c r="AG1318" s="33">
        <f t="shared" si="246"/>
        <v>0</v>
      </c>
      <c r="AH1318" s="120" t="s">
        <v>2639</v>
      </c>
      <c r="AI1318" s="63">
        <f t="shared" si="247"/>
        <v>1.3490725126475548E-4</v>
      </c>
      <c r="AJ1318" s="307">
        <f>RTD("money.excel",,$G1318,"PredictVolume")</f>
        <v>8</v>
      </c>
      <c r="AK1318" s="339"/>
    </row>
    <row r="1319" spans="1:37">
      <c r="A1319" s="415">
        <v>6.9</v>
      </c>
      <c r="B1319" s="91">
        <v>21</v>
      </c>
      <c r="C1319" s="91">
        <v>3</v>
      </c>
      <c r="D1319" s="91">
        <v>-17</v>
      </c>
      <c r="E1319" s="91">
        <v>4</v>
      </c>
      <c r="F1319" s="57">
        <v>30.23</v>
      </c>
      <c r="G1319" s="79">
        <v>2904</v>
      </c>
      <c r="H1319" s="8" t="s">
        <v>2084</v>
      </c>
      <c r="I1319" s="22" t="s">
        <v>679</v>
      </c>
      <c r="J1319" s="73">
        <v>50.83</v>
      </c>
      <c r="K1319" s="73">
        <v>0.11</v>
      </c>
      <c r="L1319" s="73">
        <v>0.34</v>
      </c>
      <c r="N1319" s="318">
        <f t="shared" si="248"/>
        <v>51.28</v>
      </c>
      <c r="O1319" s="81">
        <f>IFERROR(VLOOKUP($G1319,'321買'!A:E,3,0),"'沒有資料'")</f>
        <v>0</v>
      </c>
      <c r="P1319" s="380">
        <f>IFERROR(VLOOKUP($G1319,'321買'!$A:$G,7,0),"'沒有資料'")</f>
        <v>911</v>
      </c>
      <c r="R1319" s="297">
        <f>IFERROR(RANK(VLOOKUP($G1319,連買!$A:$D,4,0),連買!$D:$D,0),"'沒有資料'")</f>
        <v>1626</v>
      </c>
      <c r="S1319" s="34">
        <v>2</v>
      </c>
      <c r="T1319" s="353">
        <f t="shared" si="243"/>
        <v>8.9285714285714288E-2</v>
      </c>
      <c r="U1319" s="95">
        <v>2.31</v>
      </c>
      <c r="V1319" s="13">
        <f>RTD("money.excel",,"2904","Price")</f>
        <v>22.4</v>
      </c>
      <c r="W1319" s="66"/>
      <c r="X1319" s="15">
        <f t="shared" si="244"/>
        <v>22.4</v>
      </c>
      <c r="Y1319" s="3" t="e">
        <f t="shared" si="245"/>
        <v>#DIV/0!</v>
      </c>
      <c r="AA1319" s="161">
        <v>0</v>
      </c>
      <c r="AB1319" s="409">
        <v>0</v>
      </c>
      <c r="AC1319" s="259">
        <f t="shared" si="242"/>
        <v>0</v>
      </c>
      <c r="AD1319" s="22" t="s">
        <v>679</v>
      </c>
      <c r="AG1319" s="33">
        <f t="shared" si="246"/>
        <v>0</v>
      </c>
      <c r="AH1319" s="43" t="s">
        <v>3003</v>
      </c>
      <c r="AI1319" s="63">
        <f t="shared" si="247"/>
        <v>6.6666666666666664E-4</v>
      </c>
      <c r="AJ1319" s="307">
        <f>RTD("money.excel",,$G1319,"PredictVolume")</f>
        <v>46</v>
      </c>
      <c r="AK1319" s="339"/>
    </row>
    <row r="1320" spans="1:37">
      <c r="A1320" s="415">
        <v>6.3</v>
      </c>
      <c r="B1320" s="91">
        <v>445</v>
      </c>
      <c r="C1320" s="91">
        <v>-57</v>
      </c>
      <c r="D1320" s="91">
        <v>2</v>
      </c>
      <c r="E1320" s="91">
        <v>27</v>
      </c>
      <c r="F1320" s="57">
        <v>37.83</v>
      </c>
      <c r="G1320" s="79">
        <v>3040</v>
      </c>
      <c r="H1320" s="8" t="s">
        <v>2084</v>
      </c>
      <c r="I1320" s="22" t="s">
        <v>680</v>
      </c>
      <c r="J1320" s="323">
        <v>54.3</v>
      </c>
      <c r="K1320" s="323">
        <v>17.3</v>
      </c>
      <c r="L1320" s="323">
        <v>2.63</v>
      </c>
      <c r="N1320" s="318">
        <f t="shared" si="248"/>
        <v>74.22999999999999</v>
      </c>
      <c r="O1320" s="81">
        <f>IFERROR(VLOOKUP($G1320,'321買'!A:E,3,0),"'沒有資料'")</f>
        <v>0</v>
      </c>
      <c r="P1320" s="380">
        <f>IFERROR(VLOOKUP($G1320,'321買'!$A:$G,7,0),"'沒有資料'")</f>
        <v>911</v>
      </c>
      <c r="R1320" s="297">
        <f>IFERROR(RANK(VLOOKUP($G1320,連買!$A:$D,4,0),連買!$D:$D,0),"'沒有資料'")</f>
        <v>1557</v>
      </c>
      <c r="S1320" s="66">
        <v>5.7</v>
      </c>
      <c r="T1320" s="353">
        <f t="shared" si="243"/>
        <v>0.15616438356164383</v>
      </c>
      <c r="U1320" s="95">
        <v>6.34</v>
      </c>
      <c r="V1320" s="13">
        <f>RTD("money.excel",,"3040","Price")</f>
        <v>36.5</v>
      </c>
      <c r="W1320" s="66"/>
      <c r="X1320" s="15">
        <f t="shared" si="244"/>
        <v>36.5</v>
      </c>
      <c r="Y1320" s="3" t="e">
        <f t="shared" si="245"/>
        <v>#DIV/0!</v>
      </c>
      <c r="Z1320" s="413" t="s">
        <v>1831</v>
      </c>
      <c r="AA1320" s="161">
        <v>0</v>
      </c>
      <c r="AB1320" s="409">
        <v>0</v>
      </c>
      <c r="AC1320" s="259">
        <f t="shared" si="242"/>
        <v>0</v>
      </c>
      <c r="AD1320" s="22" t="s">
        <v>680</v>
      </c>
      <c r="AG1320" s="33">
        <f t="shared" si="246"/>
        <v>0</v>
      </c>
      <c r="AH1320" s="43" t="s">
        <v>3004</v>
      </c>
      <c r="AI1320" s="63">
        <f t="shared" si="247"/>
        <v>9.0476190476190474E-4</v>
      </c>
      <c r="AJ1320" s="307">
        <f>RTD("money.excel",,$G1320,"PredictVolume")</f>
        <v>57</v>
      </c>
      <c r="AK1320" s="339"/>
    </row>
    <row r="1321" spans="1:37">
      <c r="A1321" s="416">
        <v>5.6</v>
      </c>
      <c r="B1321" s="80">
        <v>-142</v>
      </c>
      <c r="C1321" s="80">
        <v>-104</v>
      </c>
      <c r="D1321" s="80">
        <v>-10</v>
      </c>
      <c r="E1321" s="80">
        <v>-16</v>
      </c>
      <c r="F1321" s="6">
        <v>-5.22</v>
      </c>
      <c r="G1321" s="79">
        <v>3284</v>
      </c>
      <c r="H1321" s="8" t="s">
        <v>2084</v>
      </c>
      <c r="I1321" s="16" t="s">
        <v>640</v>
      </c>
      <c r="J1321" s="323">
        <v>46.78</v>
      </c>
      <c r="K1321" s="323">
        <v>0.51</v>
      </c>
      <c r="L1321" s="323">
        <v>35.700000000000003</v>
      </c>
      <c r="N1321" s="318">
        <f t="shared" si="248"/>
        <v>82.990000000000009</v>
      </c>
      <c r="O1321" s="81" t="str">
        <f>IFERROR(VLOOKUP($G1321,'321買'!A:E,3,0),"'沒有資料'")</f>
        <v>'沒有資料'</v>
      </c>
      <c r="P1321" s="380" t="str">
        <f>IFERROR(VLOOKUP($G1321,'321買'!$A:$G,7,0),"'沒有資料'")</f>
        <v>'沒有資料'</v>
      </c>
      <c r="R1321" s="297">
        <f>IFERROR(RANK(VLOOKUP($G1321,連買!$A:$D,4,0),連買!$D:$D,0),"'沒有資料'")</f>
        <v>1161</v>
      </c>
      <c r="S1321" s="34">
        <v>0</v>
      </c>
      <c r="T1321" s="353">
        <f t="shared" si="243"/>
        <v>0</v>
      </c>
      <c r="U1321" s="95">
        <v>-1.49</v>
      </c>
      <c r="V1321" s="36">
        <f>RTD("money.excel",,"3284","Price")</f>
        <v>13.55</v>
      </c>
      <c r="W1321" s="66"/>
      <c r="X1321" s="15">
        <f t="shared" si="244"/>
        <v>13.55</v>
      </c>
      <c r="Y1321" s="3" t="e">
        <f t="shared" si="245"/>
        <v>#DIV/0!</v>
      </c>
      <c r="AA1321" s="161">
        <v>0</v>
      </c>
      <c r="AB1321" s="409">
        <v>0</v>
      </c>
      <c r="AC1321" s="259">
        <f t="shared" si="242"/>
        <v>0</v>
      </c>
      <c r="AD1321" s="16" t="s">
        <v>640</v>
      </c>
      <c r="AG1321" s="33">
        <f t="shared" si="246"/>
        <v>0</v>
      </c>
      <c r="AH1321" s="43" t="s">
        <v>2640</v>
      </c>
      <c r="AI1321" s="63">
        <f t="shared" si="247"/>
        <v>3.2142857142857141E-4</v>
      </c>
      <c r="AJ1321" s="307">
        <f>RTD("money.excel",,$G1321,"PredictVolume")</f>
        <v>18</v>
      </c>
      <c r="AK1321" s="339"/>
    </row>
    <row r="1322" spans="1:37">
      <c r="A1322" s="415">
        <v>8.0299999999999994</v>
      </c>
      <c r="B1322" s="80">
        <v>-19</v>
      </c>
      <c r="C1322" s="80">
        <v>-19</v>
      </c>
      <c r="D1322" s="80">
        <v>-47</v>
      </c>
      <c r="E1322" s="79">
        <v>5</v>
      </c>
      <c r="F1322" s="57">
        <v>11.85</v>
      </c>
      <c r="G1322" s="79">
        <v>3557</v>
      </c>
      <c r="H1322" s="8" t="s">
        <v>235</v>
      </c>
      <c r="I1322" s="22" t="s">
        <v>447</v>
      </c>
      <c r="J1322" s="323">
        <v>52.1</v>
      </c>
      <c r="K1322" s="73">
        <v>18.66</v>
      </c>
      <c r="L1322" s="323">
        <v>19.829999999999998</v>
      </c>
      <c r="M1322" s="73">
        <v>21.05</v>
      </c>
      <c r="N1322" s="318">
        <f t="shared" si="248"/>
        <v>111.64</v>
      </c>
      <c r="O1322" s="81">
        <f>IFERROR(VLOOKUP($G1322,'321買'!A:E,3,0),"'沒有資料'")</f>
        <v>0</v>
      </c>
      <c r="P1322" s="380">
        <f>IFERROR(VLOOKUP($G1322,'321買'!$A:$G,7,0),"'沒有資料'")</f>
        <v>911</v>
      </c>
      <c r="Q1322" s="388" t="s">
        <v>3816</v>
      </c>
      <c r="R1322" s="297">
        <f>IFERROR(RANK(VLOOKUP($G1322,連買!$A:$D,4,0),連買!$D:$D,0),"'沒有資料'")</f>
        <v>192</v>
      </c>
      <c r="S1322" s="45">
        <v>3</v>
      </c>
      <c r="T1322" s="353">
        <f t="shared" si="243"/>
        <v>4.1436464088397788E-2</v>
      </c>
      <c r="U1322" s="57">
        <v>7.88</v>
      </c>
      <c r="V1322" s="36">
        <f>RTD("money.excel",,"3557","Price")</f>
        <v>72.400000000000006</v>
      </c>
      <c r="W1322" s="66"/>
      <c r="X1322" s="15">
        <f t="shared" si="244"/>
        <v>72.400000000000006</v>
      </c>
      <c r="Y1322" s="3" t="e">
        <f t="shared" si="245"/>
        <v>#DIV/0!</v>
      </c>
      <c r="Z1322" s="413" t="s">
        <v>6645</v>
      </c>
      <c r="AA1322" s="161">
        <v>0</v>
      </c>
      <c r="AB1322" s="409">
        <v>0</v>
      </c>
      <c r="AC1322" s="259">
        <f t="shared" si="242"/>
        <v>0</v>
      </c>
      <c r="AD1322" s="22" t="s">
        <v>447</v>
      </c>
      <c r="AG1322" s="33">
        <f t="shared" si="246"/>
        <v>0</v>
      </c>
      <c r="AH1322" s="43" t="s">
        <v>3637</v>
      </c>
      <c r="AI1322" s="63">
        <f t="shared" si="247"/>
        <v>8.592777085927771E-4</v>
      </c>
      <c r="AJ1322" s="307">
        <f>RTD("money.excel",,$G1322,"PredictVolume")</f>
        <v>69</v>
      </c>
      <c r="AK1322" s="339">
        <v>2.84</v>
      </c>
    </row>
    <row r="1323" spans="1:37">
      <c r="A1323" s="416">
        <v>5.63</v>
      </c>
      <c r="B1323" s="91">
        <v>-111</v>
      </c>
      <c r="C1323" s="91">
        <v>-539</v>
      </c>
      <c r="D1323" s="91">
        <v>14</v>
      </c>
      <c r="E1323" s="91">
        <v>81</v>
      </c>
      <c r="F1323" s="6">
        <v>7.45</v>
      </c>
      <c r="G1323" s="79">
        <v>4430</v>
      </c>
      <c r="H1323" s="8" t="s">
        <v>2084</v>
      </c>
      <c r="I1323" s="16" t="s">
        <v>641</v>
      </c>
      <c r="J1323" s="73">
        <v>65.459999999999994</v>
      </c>
      <c r="K1323" s="73">
        <v>2.2200000000000002</v>
      </c>
      <c r="L1323" s="73">
        <v>3.41</v>
      </c>
      <c r="N1323" s="318">
        <f t="shared" si="248"/>
        <v>71.089999999999989</v>
      </c>
      <c r="O1323" s="81" t="str">
        <f>IFERROR(VLOOKUP($G1323,'321買'!A:E,3,0),"'沒有資料'")</f>
        <v>'沒有資料'</v>
      </c>
      <c r="P1323" s="380" t="str">
        <f>IFERROR(VLOOKUP($G1323,'321買'!$A:$G,7,0),"'沒有資料'")</f>
        <v>'沒有資料'</v>
      </c>
      <c r="R1323" s="297">
        <f>IFERROR(RANK(VLOOKUP($G1323,連買!$A:$D,4,0),連買!$D:$D,0),"'沒有資料'")</f>
        <v>1145</v>
      </c>
      <c r="S1323" s="34">
        <v>0.5</v>
      </c>
      <c r="T1323" s="353">
        <f t="shared" si="243"/>
        <v>2.1367521367521368E-2</v>
      </c>
      <c r="U1323" s="95">
        <v>-0.24</v>
      </c>
      <c r="V1323" s="13">
        <f>RTD("money.excel",,"4430","Price")</f>
        <v>23.4</v>
      </c>
      <c r="W1323" s="66"/>
      <c r="X1323" s="15">
        <f t="shared" si="244"/>
        <v>23.4</v>
      </c>
      <c r="Y1323" s="3" t="e">
        <f t="shared" si="245"/>
        <v>#DIV/0!</v>
      </c>
      <c r="AA1323" s="161">
        <v>0</v>
      </c>
      <c r="AB1323" s="409">
        <v>0</v>
      </c>
      <c r="AC1323" s="259">
        <f t="shared" si="242"/>
        <v>0</v>
      </c>
      <c r="AD1323" s="16" t="s">
        <v>641</v>
      </c>
      <c r="AG1323" s="33">
        <f t="shared" si="246"/>
        <v>0</v>
      </c>
      <c r="AH1323" s="43" t="s">
        <v>2643</v>
      </c>
      <c r="AI1323" s="63">
        <f t="shared" si="247"/>
        <v>8.8809946714031967E-5</v>
      </c>
      <c r="AJ1323" s="307">
        <f>RTD("money.excel",,$G1323,"PredictVolume")</f>
        <v>5</v>
      </c>
      <c r="AK1323" s="339"/>
    </row>
    <row r="1324" spans="1:37">
      <c r="A1324" s="416">
        <v>8.66</v>
      </c>
      <c r="B1324" s="79">
        <v>51</v>
      </c>
      <c r="C1324" s="80">
        <v>-20</v>
      </c>
      <c r="D1324" s="80">
        <v>-31</v>
      </c>
      <c r="E1324" s="80">
        <v>-45</v>
      </c>
      <c r="F1324" s="47">
        <v>-1960</v>
      </c>
      <c r="G1324" s="79">
        <v>4529</v>
      </c>
      <c r="H1324" s="8" t="s">
        <v>2084</v>
      </c>
      <c r="I1324" s="16" t="s">
        <v>642</v>
      </c>
      <c r="J1324" s="73">
        <v>54.18</v>
      </c>
      <c r="K1324" s="73">
        <v>10.17</v>
      </c>
      <c r="L1324" s="323">
        <v>0</v>
      </c>
      <c r="N1324" s="318">
        <f t="shared" si="248"/>
        <v>64.349999999999994</v>
      </c>
      <c r="O1324" s="81">
        <f>IFERROR(VLOOKUP($G1324,'321買'!A:E,3,0),"'沒有資料'")</f>
        <v>0</v>
      </c>
      <c r="P1324" s="380">
        <f>IFERROR(VLOOKUP($G1324,'321買'!$A:$G,7,0),"'沒有資料'")</f>
        <v>911</v>
      </c>
      <c r="R1324" s="297">
        <f>IFERROR(RANK(VLOOKUP($G1324,連買!$A:$D,4,0),連買!$D:$D,0),"'沒有資料'")</f>
        <v>1336</v>
      </c>
      <c r="S1324" s="34">
        <v>0</v>
      </c>
      <c r="T1324" s="353">
        <f t="shared" si="243"/>
        <v>0</v>
      </c>
      <c r="U1324" s="57">
        <v>-3.15</v>
      </c>
      <c r="V1324" s="36">
        <f>RTD("money.excel",,"4529","Price")</f>
        <v>12.25</v>
      </c>
      <c r="W1324" s="66"/>
      <c r="X1324" s="15">
        <f t="shared" si="244"/>
        <v>12.25</v>
      </c>
      <c r="Y1324" s="3" t="e">
        <f t="shared" si="245"/>
        <v>#DIV/0!</v>
      </c>
      <c r="AA1324" s="161">
        <v>0</v>
      </c>
      <c r="AB1324" s="409">
        <v>0</v>
      </c>
      <c r="AC1324" s="259">
        <f t="shared" si="242"/>
        <v>0</v>
      </c>
      <c r="AD1324" s="16" t="s">
        <v>642</v>
      </c>
      <c r="AG1324" s="33">
        <f t="shared" si="246"/>
        <v>0</v>
      </c>
      <c r="AH1324" s="43" t="s">
        <v>2644</v>
      </c>
      <c r="AI1324" s="63">
        <f t="shared" si="247"/>
        <v>1.4896073903002309E-3</v>
      </c>
      <c r="AJ1324" s="307">
        <f>RTD("money.excel",,$G1324,"PredictVolume")</f>
        <v>129</v>
      </c>
      <c r="AK1324" s="339"/>
    </row>
    <row r="1325" spans="1:37">
      <c r="A1325" s="415">
        <v>9.08</v>
      </c>
      <c r="B1325" s="79">
        <v>45</v>
      </c>
      <c r="C1325" s="79">
        <v>9</v>
      </c>
      <c r="D1325" s="79">
        <v>22</v>
      </c>
      <c r="E1325" s="79">
        <v>28</v>
      </c>
      <c r="F1325" s="57">
        <v>14.06</v>
      </c>
      <c r="G1325" s="79">
        <v>4536</v>
      </c>
      <c r="H1325" s="8" t="s">
        <v>2084</v>
      </c>
      <c r="I1325" s="22" t="s">
        <v>681</v>
      </c>
      <c r="J1325" s="323">
        <v>45.44</v>
      </c>
      <c r="K1325" s="323">
        <v>17.12</v>
      </c>
      <c r="L1325" s="323">
        <v>2.59</v>
      </c>
      <c r="N1325" s="318">
        <f t="shared" si="248"/>
        <v>65.150000000000006</v>
      </c>
      <c r="O1325" s="81">
        <f>IFERROR(VLOOKUP($G1325,'321買'!A:E,3,0),"'沒有資料'")</f>
        <v>0</v>
      </c>
      <c r="P1325" s="380">
        <f>IFERROR(VLOOKUP($G1325,'321買'!$A:$G,7,0),"'沒有資料'")</f>
        <v>911</v>
      </c>
      <c r="R1325" s="297">
        <f>IFERROR(RANK(VLOOKUP($G1325,連買!$A:$D,4,0),連買!$D:$D,0),"'沒有資料'")</f>
        <v>178</v>
      </c>
      <c r="S1325" s="66">
        <v>5</v>
      </c>
      <c r="T1325" s="353">
        <f t="shared" si="243"/>
        <v>3.875968992248062E-2</v>
      </c>
      <c r="U1325" s="95">
        <v>8.9</v>
      </c>
      <c r="V1325" s="36">
        <f>RTD("money.excel",,"4536","Price")</f>
        <v>129</v>
      </c>
      <c r="W1325" s="66"/>
      <c r="X1325" s="15">
        <f t="shared" si="244"/>
        <v>129</v>
      </c>
      <c r="Y1325" s="3" t="e">
        <f t="shared" si="245"/>
        <v>#DIV/0!</v>
      </c>
      <c r="Z1325" s="413" t="s">
        <v>1997</v>
      </c>
      <c r="AA1325" s="161">
        <v>0</v>
      </c>
      <c r="AB1325" s="409">
        <v>0</v>
      </c>
      <c r="AC1325" s="259">
        <f t="shared" si="242"/>
        <v>0</v>
      </c>
      <c r="AD1325" s="22" t="s">
        <v>681</v>
      </c>
      <c r="AG1325" s="33">
        <f t="shared" si="246"/>
        <v>0</v>
      </c>
      <c r="AH1325" s="43" t="s">
        <v>2264</v>
      </c>
      <c r="AI1325" s="63">
        <f t="shared" si="247"/>
        <v>3.4140969162995593E-4</v>
      </c>
      <c r="AJ1325" s="307">
        <f>RTD("money.excel",,$G1325,"PredictVolume")</f>
        <v>31</v>
      </c>
      <c r="AK1325" s="339"/>
    </row>
    <row r="1326" spans="1:37">
      <c r="A1326" s="416">
        <v>6.76</v>
      </c>
      <c r="B1326" s="80">
        <v>-40</v>
      </c>
      <c r="C1326" s="79">
        <v>7</v>
      </c>
      <c r="D1326" s="79">
        <v>33</v>
      </c>
      <c r="E1326" s="80">
        <v>-8</v>
      </c>
      <c r="F1326" s="6">
        <v>6.44</v>
      </c>
      <c r="G1326" s="79">
        <v>4541</v>
      </c>
      <c r="H1326" s="8" t="s">
        <v>2084</v>
      </c>
      <c r="I1326" s="16" t="s">
        <v>643</v>
      </c>
      <c r="J1326" s="323">
        <v>50.8</v>
      </c>
      <c r="K1326" s="323">
        <v>2.37</v>
      </c>
      <c r="L1326" s="323">
        <v>6.42</v>
      </c>
      <c r="N1326" s="318">
        <f t="shared" si="248"/>
        <v>59.589999999999996</v>
      </c>
      <c r="O1326" s="81">
        <f>IFERROR(VLOOKUP($G1326,'321買'!A:E,3,0),"'沒有資料'")</f>
        <v>0</v>
      </c>
      <c r="P1326" s="380">
        <f>IFERROR(VLOOKUP($G1326,'321買'!$A:$G,7,0),"'沒有資料'")</f>
        <v>911</v>
      </c>
      <c r="R1326" s="297">
        <f>IFERROR(RANK(VLOOKUP($G1326,連買!$A:$D,4,0),連買!$D:$D,0),"'沒有資料'")</f>
        <v>1015</v>
      </c>
      <c r="S1326" s="34">
        <v>0.2</v>
      </c>
      <c r="T1326" s="353">
        <f t="shared" si="243"/>
        <v>8.0971659919028341E-3</v>
      </c>
      <c r="U1326" s="95">
        <v>-1.1299999999999999</v>
      </c>
      <c r="V1326" s="36">
        <f>RTD("money.excel",,"4541","Price")</f>
        <v>24.7</v>
      </c>
      <c r="W1326" s="66"/>
      <c r="X1326" s="15">
        <f t="shared" si="244"/>
        <v>24.7</v>
      </c>
      <c r="Y1326" s="3" t="e">
        <f t="shared" si="245"/>
        <v>#DIV/0!</v>
      </c>
      <c r="Z1326" s="413" t="s">
        <v>1801</v>
      </c>
      <c r="AA1326" s="161">
        <v>0</v>
      </c>
      <c r="AB1326" s="409">
        <v>0</v>
      </c>
      <c r="AC1326" s="259">
        <f t="shared" si="242"/>
        <v>0</v>
      </c>
      <c r="AD1326" s="16" t="s">
        <v>643</v>
      </c>
      <c r="AG1326" s="33">
        <f t="shared" si="246"/>
        <v>0</v>
      </c>
      <c r="AH1326" s="43" t="s">
        <v>2645</v>
      </c>
      <c r="AI1326" s="63">
        <f t="shared" si="247"/>
        <v>2.2766272189349113E-2</v>
      </c>
      <c r="AJ1326" s="307">
        <f>RTD("money.excel",,$G1326,"PredictVolume")</f>
        <v>1539</v>
      </c>
      <c r="AK1326" s="339"/>
    </row>
    <row r="1327" spans="1:37">
      <c r="A1327" s="416">
        <v>4.1900000000000004</v>
      </c>
      <c r="B1327" s="79">
        <v>32</v>
      </c>
      <c r="C1327" s="79">
        <v>21</v>
      </c>
      <c r="D1327" s="80">
        <v>-11</v>
      </c>
      <c r="E1327" s="80">
        <v>-10</v>
      </c>
      <c r="F1327" s="6">
        <v>7.15</v>
      </c>
      <c r="G1327" s="79">
        <v>4556</v>
      </c>
      <c r="H1327" s="8" t="s">
        <v>2084</v>
      </c>
      <c r="I1327" s="16" t="s">
        <v>644</v>
      </c>
      <c r="J1327" s="73">
        <v>81.510000000000005</v>
      </c>
      <c r="K1327" s="73">
        <v>11.6</v>
      </c>
      <c r="L1327" s="73">
        <v>2.2799999999999998</v>
      </c>
      <c r="N1327" s="318">
        <f t="shared" si="248"/>
        <v>95.39</v>
      </c>
      <c r="O1327" s="81" t="str">
        <f>IFERROR(VLOOKUP($G1327,'321買'!A:E,3,0),"'沒有資料'")</f>
        <v>'沒有資料'</v>
      </c>
      <c r="P1327" s="380" t="str">
        <f>IFERROR(VLOOKUP($G1327,'321買'!$A:$G,7,0),"'沒有資料'")</f>
        <v>'沒有資料'</v>
      </c>
      <c r="R1327" s="297">
        <f>IFERROR(RANK(VLOOKUP($G1327,連買!$A:$D,4,0),連買!$D:$D,0),"'沒有資料'")</f>
        <v>1581</v>
      </c>
      <c r="S1327" s="34">
        <v>0.45</v>
      </c>
      <c r="T1327" s="353">
        <f t="shared" si="243"/>
        <v>1.4563106796116505E-2</v>
      </c>
      <c r="U1327" s="95">
        <v>0.5</v>
      </c>
      <c r="V1327" s="36">
        <f>RTD("money.excel",,"4556","Price")</f>
        <v>30.9</v>
      </c>
      <c r="W1327" s="66"/>
      <c r="X1327" s="15">
        <f t="shared" si="244"/>
        <v>30.9</v>
      </c>
      <c r="Y1327" s="3" t="e">
        <f t="shared" si="245"/>
        <v>#DIV/0!</v>
      </c>
      <c r="Z1327" s="413" t="s">
        <v>1801</v>
      </c>
      <c r="AA1327" s="161">
        <v>0</v>
      </c>
      <c r="AB1327" s="409">
        <v>0</v>
      </c>
      <c r="AC1327" s="259">
        <f t="shared" si="242"/>
        <v>0</v>
      </c>
      <c r="AD1327" s="16" t="s">
        <v>644</v>
      </c>
      <c r="AG1327" s="33">
        <f t="shared" si="246"/>
        <v>0</v>
      </c>
      <c r="AH1327" s="43" t="s">
        <v>2646</v>
      </c>
      <c r="AI1327" s="63">
        <f t="shared" si="247"/>
        <v>3.1026252983293551E-4</v>
      </c>
      <c r="AJ1327" s="307">
        <f>RTD("money.excel",,$G1327,"PredictVolume")</f>
        <v>13</v>
      </c>
      <c r="AK1327" s="339"/>
    </row>
    <row r="1328" spans="1:37">
      <c r="A1328" s="416">
        <v>4.58</v>
      </c>
      <c r="B1328" s="79">
        <v>25</v>
      </c>
      <c r="C1328" s="79">
        <v>59</v>
      </c>
      <c r="D1328" s="80">
        <v>-24</v>
      </c>
      <c r="E1328" s="80">
        <v>-41</v>
      </c>
      <c r="F1328" s="6">
        <v>-76.11</v>
      </c>
      <c r="G1328" s="79">
        <v>4950</v>
      </c>
      <c r="H1328" s="8" t="s">
        <v>2084</v>
      </c>
      <c r="I1328" s="16" t="s">
        <v>645</v>
      </c>
      <c r="J1328" s="73">
        <v>54.87</v>
      </c>
      <c r="K1328" s="73">
        <v>32.229999999999997</v>
      </c>
      <c r="N1328" s="318">
        <f t="shared" si="248"/>
        <v>87.1</v>
      </c>
      <c r="O1328" s="81" t="str">
        <f>IFERROR(VLOOKUP($G1328,'321買'!A:E,3,0),"'沒有資料'")</f>
        <v>'沒有資料'</v>
      </c>
      <c r="P1328" s="380" t="str">
        <f>IFERROR(VLOOKUP($G1328,'321買'!$A:$G,7,0),"'沒有資料'")</f>
        <v>'沒有資料'</v>
      </c>
      <c r="R1328" s="297">
        <f>IFERROR(RANK(VLOOKUP($G1328,連買!$A:$D,4,0),連買!$D:$D,0),"'沒有資料'")</f>
        <v>968</v>
      </c>
      <c r="S1328" s="34">
        <v>0</v>
      </c>
      <c r="T1328" s="353">
        <f t="shared" si="243"/>
        <v>0</v>
      </c>
      <c r="U1328" s="95">
        <v>-4.18</v>
      </c>
      <c r="V1328" s="36">
        <f>RTD("money.excel",,"4950","Price")</f>
        <v>26.8</v>
      </c>
      <c r="W1328" s="66"/>
      <c r="X1328" s="15">
        <f t="shared" si="244"/>
        <v>26.8</v>
      </c>
      <c r="Y1328" s="3" t="e">
        <f t="shared" si="245"/>
        <v>#DIV/0!</v>
      </c>
      <c r="Z1328" s="413" t="s">
        <v>1801</v>
      </c>
      <c r="AA1328" s="161">
        <v>0</v>
      </c>
      <c r="AB1328" s="409">
        <v>0</v>
      </c>
      <c r="AC1328" s="259">
        <f t="shared" si="242"/>
        <v>0</v>
      </c>
      <c r="AD1328" s="16" t="s">
        <v>645</v>
      </c>
      <c r="AG1328" s="33">
        <f t="shared" si="246"/>
        <v>0</v>
      </c>
      <c r="AH1328" s="43" t="s">
        <v>2647</v>
      </c>
      <c r="AI1328" s="63">
        <f t="shared" si="247"/>
        <v>1.0349344978165939E-2</v>
      </c>
      <c r="AJ1328" s="307">
        <f>RTD("money.excel",,$G1328,"PredictVolume")</f>
        <v>474</v>
      </c>
      <c r="AK1328" s="339"/>
    </row>
    <row r="1329" spans="1:37">
      <c r="A1329" s="416">
        <v>3.95</v>
      </c>
      <c r="B1329" s="91">
        <v>8</v>
      </c>
      <c r="C1329" s="91">
        <v>-21</v>
      </c>
      <c r="D1329" s="91">
        <v>-16</v>
      </c>
      <c r="E1329" s="91">
        <v>60</v>
      </c>
      <c r="F1329" s="6">
        <v>-4.0999999999999996</v>
      </c>
      <c r="G1329" s="79">
        <v>5276</v>
      </c>
      <c r="H1329" s="8" t="s">
        <v>2084</v>
      </c>
      <c r="I1329" s="16" t="s">
        <v>646</v>
      </c>
      <c r="J1329" s="73">
        <v>85.3</v>
      </c>
      <c r="K1329" s="73">
        <v>76.98</v>
      </c>
      <c r="N1329" s="318">
        <f t="shared" si="248"/>
        <v>162.28</v>
      </c>
      <c r="O1329" s="81" t="str">
        <f>IFERROR(VLOOKUP($G1329,'321買'!A:E,3,0),"'沒有資料'")</f>
        <v>'沒有資料'</v>
      </c>
      <c r="P1329" s="380" t="str">
        <f>IFERROR(VLOOKUP($G1329,'321買'!$A:$G,7,0),"'沒有資料'")</f>
        <v>'沒有資料'</v>
      </c>
      <c r="R1329" s="297">
        <f>IFERROR(RANK(VLOOKUP($G1329,連買!$A:$D,4,0),連買!$D:$D,0),"'沒有資料'")</f>
        <v>1381</v>
      </c>
      <c r="S1329" s="34">
        <v>0</v>
      </c>
      <c r="T1329" s="353">
        <f t="shared" si="243"/>
        <v>0</v>
      </c>
      <c r="U1329" s="57">
        <v>0.19</v>
      </c>
      <c r="V1329" s="13">
        <f>RTD("money.excel",,"5276","Price")</f>
        <v>13.25</v>
      </c>
      <c r="W1329" s="66"/>
      <c r="X1329" s="15">
        <f t="shared" si="244"/>
        <v>13.25</v>
      </c>
      <c r="Y1329" s="3" t="e">
        <f t="shared" si="245"/>
        <v>#DIV/0!</v>
      </c>
      <c r="AA1329" s="161">
        <v>0</v>
      </c>
      <c r="AB1329" s="409">
        <v>0</v>
      </c>
      <c r="AC1329" s="259">
        <f t="shared" si="242"/>
        <v>0</v>
      </c>
      <c r="AD1329" s="16" t="s">
        <v>646</v>
      </c>
      <c r="AG1329" s="33">
        <f t="shared" si="246"/>
        <v>0</v>
      </c>
      <c r="AH1329" s="43" t="s">
        <v>2648</v>
      </c>
      <c r="AI1329" s="63">
        <f t="shared" si="247"/>
        <v>4.3037974683544304E-4</v>
      </c>
      <c r="AJ1329" s="307">
        <f>RTD("money.excel",,$G1329,"PredictVolume")</f>
        <v>17</v>
      </c>
      <c r="AK1329" s="339"/>
    </row>
    <row r="1330" spans="1:37">
      <c r="A1330" s="416">
        <v>4.37</v>
      </c>
      <c r="B1330" s="91">
        <v>9</v>
      </c>
      <c r="C1330" s="91">
        <v>-32</v>
      </c>
      <c r="D1330" s="91">
        <v>8</v>
      </c>
      <c r="E1330" s="91">
        <v>6</v>
      </c>
      <c r="F1330" s="6">
        <v>7.97</v>
      </c>
      <c r="G1330" s="79">
        <v>5284</v>
      </c>
      <c r="H1330" s="8" t="s">
        <v>2084</v>
      </c>
      <c r="I1330" s="22" t="s">
        <v>144</v>
      </c>
      <c r="J1330" s="73">
        <v>63.57</v>
      </c>
      <c r="K1330" s="73">
        <v>63.54</v>
      </c>
      <c r="L1330" s="73">
        <v>7.36</v>
      </c>
      <c r="N1330" s="318">
        <f t="shared" si="248"/>
        <v>134.47</v>
      </c>
      <c r="O1330" s="81">
        <f>IFERROR(VLOOKUP($G1330,'321買'!A:E,3,0),"'沒有資料'")</f>
        <v>0</v>
      </c>
      <c r="P1330" s="380">
        <f>IFERROR(VLOOKUP($G1330,'321買'!$A:$G,7,0),"'沒有資料'")</f>
        <v>911</v>
      </c>
      <c r="R1330" s="297">
        <f>IFERROR(RANK(VLOOKUP($G1330,連買!$A:$D,4,0),連買!$D:$D,0),"'沒有資料'")</f>
        <v>529</v>
      </c>
      <c r="S1330" s="34">
        <v>2.1</v>
      </c>
      <c r="T1330" s="353">
        <f t="shared" si="243"/>
        <v>4.6460176991150438E-2</v>
      </c>
      <c r="U1330" s="57">
        <v>2.65</v>
      </c>
      <c r="V1330" s="13">
        <f>RTD("money.excel",,"5284","Price")</f>
        <v>45.2</v>
      </c>
      <c r="W1330" s="66"/>
      <c r="X1330" s="15">
        <f t="shared" si="244"/>
        <v>45.2</v>
      </c>
      <c r="Y1330" s="3" t="e">
        <f t="shared" si="245"/>
        <v>#DIV/0!</v>
      </c>
      <c r="Z1330" s="413" t="s">
        <v>1801</v>
      </c>
      <c r="AA1330" s="161">
        <v>0</v>
      </c>
      <c r="AB1330" s="409">
        <v>0</v>
      </c>
      <c r="AC1330" s="259">
        <f t="shared" si="242"/>
        <v>0</v>
      </c>
      <c r="AD1330" s="22" t="s">
        <v>144</v>
      </c>
      <c r="AG1330" s="33">
        <f t="shared" si="246"/>
        <v>0</v>
      </c>
      <c r="AH1330" s="120" t="s">
        <v>3005</v>
      </c>
      <c r="AI1330" s="63">
        <f t="shared" si="247"/>
        <v>4.8054919908466817E-4</v>
      </c>
      <c r="AJ1330" s="307">
        <f>RTD("money.excel",,$G1330,"PredictVolume")</f>
        <v>21</v>
      </c>
      <c r="AK1330" s="339"/>
    </row>
    <row r="1331" spans="1:37">
      <c r="A1331" s="415">
        <v>12.6</v>
      </c>
      <c r="B1331" s="79">
        <v>40</v>
      </c>
      <c r="C1331" s="79">
        <v>41</v>
      </c>
      <c r="D1331" s="80">
        <v>-26</v>
      </c>
      <c r="E1331" s="79">
        <v>101</v>
      </c>
      <c r="F1331" s="57">
        <v>32.200000000000003</v>
      </c>
      <c r="G1331" s="79">
        <v>5306</v>
      </c>
      <c r="H1331" s="8" t="s">
        <v>2084</v>
      </c>
      <c r="I1331" s="16" t="s">
        <v>39</v>
      </c>
      <c r="J1331" s="73">
        <v>72.86</v>
      </c>
      <c r="K1331" s="73">
        <v>23.8</v>
      </c>
      <c r="L1331" s="73">
        <v>2.39</v>
      </c>
      <c r="N1331" s="318">
        <f t="shared" si="248"/>
        <v>99.05</v>
      </c>
      <c r="O1331" s="81">
        <f>IFERROR(VLOOKUP($G1331,'321買'!A:E,3,0),"'沒有資料'")</f>
        <v>0</v>
      </c>
      <c r="P1331" s="380">
        <f>IFERROR(VLOOKUP($G1331,'321買'!$A:$G,7,0),"'沒有資料'")</f>
        <v>911</v>
      </c>
      <c r="R1331" s="297">
        <f>IFERROR(RANK(VLOOKUP($G1331,連買!$A:$D,4,0),連買!$D:$D,0),"'沒有資料'")</f>
        <v>1692</v>
      </c>
      <c r="S1331" s="66">
        <v>7.2</v>
      </c>
      <c r="T1331" s="353">
        <f t="shared" si="243"/>
        <v>4.0909090909090909E-2</v>
      </c>
      <c r="U1331" s="57">
        <v>12.02</v>
      </c>
      <c r="V1331" s="36">
        <f>RTD("money.excel",,"5306","Price")</f>
        <v>176</v>
      </c>
      <c r="W1331" s="66"/>
      <c r="X1331" s="15">
        <f t="shared" si="244"/>
        <v>176</v>
      </c>
      <c r="Y1331" s="3" t="e">
        <f t="shared" si="245"/>
        <v>#DIV/0!</v>
      </c>
      <c r="Z1331" s="413" t="s">
        <v>1997</v>
      </c>
      <c r="AA1331" s="161">
        <v>0</v>
      </c>
      <c r="AB1331" s="409">
        <v>0</v>
      </c>
      <c r="AC1331" s="259">
        <f t="shared" si="242"/>
        <v>0</v>
      </c>
      <c r="AD1331" s="16" t="s">
        <v>39</v>
      </c>
      <c r="AG1331" s="33">
        <f t="shared" si="246"/>
        <v>0</v>
      </c>
      <c r="AH1331" s="120" t="s">
        <v>2649</v>
      </c>
      <c r="AI1331" s="63">
        <f t="shared" si="247"/>
        <v>9.5238095238095238E-4</v>
      </c>
      <c r="AJ1331" s="307">
        <f>RTD("money.excel",,$G1331,"PredictVolume")</f>
        <v>120</v>
      </c>
      <c r="AK1331" s="339"/>
    </row>
    <row r="1332" spans="1:37">
      <c r="A1332" s="416">
        <v>5</v>
      </c>
      <c r="B1332" s="91">
        <v>66</v>
      </c>
      <c r="C1332" s="91">
        <v>164</v>
      </c>
      <c r="D1332" s="91">
        <v>36</v>
      </c>
      <c r="E1332" s="91">
        <v>25</v>
      </c>
      <c r="F1332" s="6">
        <v>2.19</v>
      </c>
      <c r="G1332" s="79">
        <v>5398</v>
      </c>
      <c r="H1332" s="8" t="s">
        <v>2084</v>
      </c>
      <c r="I1332" s="16" t="s">
        <v>3190</v>
      </c>
      <c r="J1332" s="73">
        <v>84.19</v>
      </c>
      <c r="K1332" s="73">
        <v>0.05</v>
      </c>
      <c r="N1332" s="318">
        <f t="shared" si="248"/>
        <v>84.24</v>
      </c>
      <c r="O1332" s="81">
        <f>IFERROR(VLOOKUP($G1332,'321買'!A:E,3,0),"'沒有資料'")</f>
        <v>0</v>
      </c>
      <c r="P1332" s="380">
        <f>IFERROR(VLOOKUP($G1332,'321買'!$A:$G,7,0),"'沒有資料'")</f>
        <v>911</v>
      </c>
      <c r="R1332" s="297">
        <f>IFERROR(RANK(VLOOKUP($G1332,連買!$A:$D,4,0),連買!$D:$D,0),"'沒有資料'")</f>
        <v>1169</v>
      </c>
      <c r="S1332" s="34">
        <v>0.25</v>
      </c>
      <c r="T1332" s="353">
        <f t="shared" si="243"/>
        <v>1.2886597938144331E-2</v>
      </c>
      <c r="U1332" s="95">
        <v>0.34</v>
      </c>
      <c r="V1332" s="36">
        <f>RTD("money.excel",,"5398","Price")</f>
        <v>19.399999999999999</v>
      </c>
      <c r="W1332" s="66"/>
      <c r="X1332" s="15">
        <f t="shared" si="244"/>
        <v>19.399999999999999</v>
      </c>
      <c r="Y1332" s="3" t="e">
        <f t="shared" si="245"/>
        <v>#DIV/0!</v>
      </c>
      <c r="AA1332" s="161">
        <v>0</v>
      </c>
      <c r="AB1332" s="409">
        <v>0</v>
      </c>
      <c r="AC1332" s="259">
        <f t="shared" si="242"/>
        <v>0</v>
      </c>
      <c r="AD1332" s="16" t="s">
        <v>3190</v>
      </c>
      <c r="AG1332" s="33">
        <f t="shared" si="246"/>
        <v>0</v>
      </c>
      <c r="AH1332" s="43" t="s">
        <v>3193</v>
      </c>
      <c r="AI1332" s="63">
        <f t="shared" si="247"/>
        <v>5.0000000000000001E-4</v>
      </c>
      <c r="AJ1332" s="307">
        <f>RTD("money.excel",,$G1332,"PredictVolume")</f>
        <v>25</v>
      </c>
      <c r="AK1332" s="339"/>
    </row>
    <row r="1333" spans="1:37">
      <c r="A1333" s="416">
        <v>12.2</v>
      </c>
      <c r="B1333" s="91">
        <v>-61</v>
      </c>
      <c r="C1333" s="91">
        <v>-32</v>
      </c>
      <c r="D1333" s="91">
        <v>9</v>
      </c>
      <c r="E1333" s="91">
        <v>67</v>
      </c>
      <c r="F1333" s="6">
        <v>3.76</v>
      </c>
      <c r="G1333" s="79">
        <v>5450</v>
      </c>
      <c r="H1333" s="8" t="s">
        <v>2084</v>
      </c>
      <c r="I1333" s="16" t="s">
        <v>3191</v>
      </c>
      <c r="J1333" s="73">
        <v>84.19</v>
      </c>
      <c r="K1333" s="73">
        <v>0.05</v>
      </c>
      <c r="N1333" s="318">
        <f t="shared" si="248"/>
        <v>84.24</v>
      </c>
      <c r="O1333" s="81">
        <f>IFERROR(VLOOKUP($G1333,'321買'!A:E,3,0),"'沒有資料'")</f>
        <v>0</v>
      </c>
      <c r="P1333" s="380">
        <f>IFERROR(VLOOKUP($G1333,'321買'!$A:$G,7,0),"'沒有資料'")</f>
        <v>911</v>
      </c>
      <c r="R1333" s="297">
        <f>IFERROR(RANK(VLOOKUP($G1333,連買!$A:$D,4,0),連買!$D:$D,0),"'沒有資料'")</f>
        <v>1200</v>
      </c>
      <c r="S1333" s="34">
        <v>0</v>
      </c>
      <c r="T1333" s="353">
        <f t="shared" si="243"/>
        <v>0</v>
      </c>
      <c r="U1333" s="95">
        <v>0.54</v>
      </c>
      <c r="V1333" s="36">
        <f>RTD("money.excel",,"5450","Price")</f>
        <v>18.850000000000001</v>
      </c>
      <c r="W1333" s="66"/>
      <c r="X1333" s="15">
        <f t="shared" si="244"/>
        <v>18.850000000000001</v>
      </c>
      <c r="Y1333" s="3" t="e">
        <f t="shared" si="245"/>
        <v>#DIV/0!</v>
      </c>
      <c r="AA1333" s="161">
        <v>0</v>
      </c>
      <c r="AB1333" s="409">
        <v>0</v>
      </c>
      <c r="AC1333" s="259">
        <f t="shared" si="242"/>
        <v>0</v>
      </c>
      <c r="AD1333" s="16" t="s">
        <v>3191</v>
      </c>
      <c r="AG1333" s="33">
        <f t="shared" si="246"/>
        <v>0</v>
      </c>
      <c r="AH1333" s="43" t="s">
        <v>3194</v>
      </c>
      <c r="AI1333" s="63">
        <f t="shared" si="247"/>
        <v>8.8524590163934424E-4</v>
      </c>
      <c r="AJ1333" s="307">
        <f>RTD("money.excel",,$G1333,"PredictVolume")</f>
        <v>108</v>
      </c>
      <c r="AK1333" s="339"/>
    </row>
    <row r="1334" spans="1:37">
      <c r="A1334" s="416">
        <v>7.34</v>
      </c>
      <c r="B1334" s="79">
        <v>342</v>
      </c>
      <c r="C1334" s="79">
        <v>13</v>
      </c>
      <c r="D1334" s="79">
        <v>7</v>
      </c>
      <c r="E1334" s="80">
        <v>-1</v>
      </c>
      <c r="F1334" s="6">
        <v>-39.19</v>
      </c>
      <c r="G1334" s="79">
        <v>5481</v>
      </c>
      <c r="H1334" s="8" t="s">
        <v>2084</v>
      </c>
      <c r="I1334" s="16" t="s">
        <v>3192</v>
      </c>
      <c r="J1334" s="323">
        <v>44.29</v>
      </c>
      <c r="K1334" s="73">
        <v>26.71</v>
      </c>
      <c r="L1334" s="73">
        <v>29.6</v>
      </c>
      <c r="N1334" s="318">
        <f t="shared" si="248"/>
        <v>100.6</v>
      </c>
      <c r="O1334" s="81" t="str">
        <f>IFERROR(VLOOKUP($G1334,'321買'!A:E,3,0),"'沒有資料'")</f>
        <v>'沒有資料'</v>
      </c>
      <c r="P1334" s="380" t="str">
        <f>IFERROR(VLOOKUP($G1334,'321買'!$A:$G,7,0),"'沒有資料'")</f>
        <v>'沒有資料'</v>
      </c>
      <c r="R1334" s="297">
        <f>IFERROR(RANK(VLOOKUP($G1334,連買!$A:$D,4,0),連買!$D:$D,0),"'沒有資料'")</f>
        <v>1133</v>
      </c>
      <c r="S1334" s="34">
        <v>0.4</v>
      </c>
      <c r="T1334" s="353">
        <f t="shared" si="243"/>
        <v>3.0303030303030307E-2</v>
      </c>
      <c r="U1334" s="95">
        <v>6.18</v>
      </c>
      <c r="V1334" s="36">
        <f>RTD("money.excel",,"5481","Price")</f>
        <v>13.2</v>
      </c>
      <c r="W1334" s="66"/>
      <c r="X1334" s="15">
        <f t="shared" si="244"/>
        <v>13.2</v>
      </c>
      <c r="Y1334" s="3" t="e">
        <f t="shared" si="245"/>
        <v>#DIV/0!</v>
      </c>
      <c r="AA1334" s="161">
        <v>0</v>
      </c>
      <c r="AB1334" s="409">
        <v>0</v>
      </c>
      <c r="AC1334" s="259">
        <f t="shared" si="242"/>
        <v>0</v>
      </c>
      <c r="AD1334" s="16" t="s">
        <v>3192</v>
      </c>
      <c r="AG1334" s="33">
        <f t="shared" si="246"/>
        <v>0</v>
      </c>
      <c r="AH1334" s="43" t="s">
        <v>3195</v>
      </c>
      <c r="AI1334" s="63">
        <f t="shared" si="247"/>
        <v>6.6757493188010898E-4</v>
      </c>
      <c r="AJ1334" s="307">
        <f>RTD("money.excel",,$G1334,"PredictVolume")</f>
        <v>49</v>
      </c>
      <c r="AK1334" s="339"/>
    </row>
    <row r="1335" spans="1:37">
      <c r="A1335" s="415">
        <v>42</v>
      </c>
      <c r="B1335" s="80">
        <v>-48</v>
      </c>
      <c r="C1335" s="80">
        <v>-36</v>
      </c>
      <c r="D1335" s="80">
        <v>-1</v>
      </c>
      <c r="E1335" s="79">
        <v>20</v>
      </c>
      <c r="F1335" s="57">
        <v>38.14</v>
      </c>
      <c r="G1335" s="79">
        <v>5530</v>
      </c>
      <c r="H1335" s="8" t="s">
        <v>2084</v>
      </c>
      <c r="I1335" s="16" t="s">
        <v>146</v>
      </c>
      <c r="J1335" s="323">
        <v>82.22</v>
      </c>
      <c r="K1335" s="73">
        <v>55.86</v>
      </c>
      <c r="L1335" s="323">
        <v>1.18</v>
      </c>
      <c r="N1335" s="318">
        <f t="shared" si="248"/>
        <v>139.26</v>
      </c>
      <c r="O1335" s="81">
        <f>IFERROR(VLOOKUP($G1335,'321買'!A:E,3,0),"'沒有資料'")</f>
        <v>0</v>
      </c>
      <c r="P1335" s="380">
        <f>IFERROR(VLOOKUP($G1335,'321買'!$A:$G,7,0),"'沒有資料'")</f>
        <v>911</v>
      </c>
      <c r="R1335" s="297">
        <f>IFERROR(RANK(VLOOKUP($G1335,連買!$A:$D,4,0),連買!$D:$D,0),"'沒有資料'")</f>
        <v>1645</v>
      </c>
      <c r="S1335" s="66">
        <v>3</v>
      </c>
      <c r="T1335" s="353">
        <f t="shared" si="243"/>
        <v>6.3492063492063489E-2</v>
      </c>
      <c r="U1335" s="57">
        <v>2.96</v>
      </c>
      <c r="V1335" s="13">
        <f>RTD("money.excel",,"5530","Price")</f>
        <v>47.25</v>
      </c>
      <c r="W1335" s="66"/>
      <c r="X1335" s="15">
        <f t="shared" si="244"/>
        <v>47.25</v>
      </c>
      <c r="Y1335" s="3" t="e">
        <f t="shared" si="245"/>
        <v>#DIV/0!</v>
      </c>
      <c r="Z1335" s="413" t="s">
        <v>1831</v>
      </c>
      <c r="AA1335" s="161">
        <v>0</v>
      </c>
      <c r="AB1335" s="409">
        <v>0</v>
      </c>
      <c r="AC1335" s="259">
        <f t="shared" si="242"/>
        <v>0</v>
      </c>
      <c r="AD1335" s="16" t="s">
        <v>146</v>
      </c>
      <c r="AG1335" s="33">
        <f t="shared" si="246"/>
        <v>0</v>
      </c>
      <c r="AH1335" s="120" t="s">
        <v>2650</v>
      </c>
      <c r="AI1335" s="63">
        <f t="shared" si="247"/>
        <v>1.3380952380952381E-3</v>
      </c>
      <c r="AJ1335" s="307">
        <f>RTD("money.excel",,$G1335,"PredictVolume")</f>
        <v>562</v>
      </c>
      <c r="AK1335" s="339"/>
    </row>
    <row r="1336" spans="1:37">
      <c r="A1336" s="415">
        <v>145</v>
      </c>
      <c r="B1336" s="79">
        <v>29</v>
      </c>
      <c r="C1336" s="79">
        <v>41</v>
      </c>
      <c r="D1336" s="80">
        <v>-6</v>
      </c>
      <c r="E1336" s="79">
        <v>16</v>
      </c>
      <c r="F1336" s="57">
        <v>46.4</v>
      </c>
      <c r="G1336" s="79">
        <v>5871</v>
      </c>
      <c r="H1336" s="8" t="s">
        <v>235</v>
      </c>
      <c r="I1336" s="22" t="s">
        <v>257</v>
      </c>
      <c r="J1336" s="73">
        <v>84.72</v>
      </c>
      <c r="K1336" s="323">
        <v>77.95</v>
      </c>
      <c r="L1336" s="73">
        <v>0.38</v>
      </c>
      <c r="M1336" s="73">
        <v>5.07</v>
      </c>
      <c r="N1336" s="73">
        <f t="shared" si="248"/>
        <v>168.12</v>
      </c>
      <c r="O1336" s="81">
        <f>IFERROR(VLOOKUP($G1336,'321買'!A:E,3,0),"'沒有資料'")</f>
        <v>0</v>
      </c>
      <c r="P1336" s="380">
        <f>IFERROR(VLOOKUP($G1336,'321買'!$A:$G,7,0),"'沒有資料'")</f>
        <v>911</v>
      </c>
      <c r="Q1336" s="245" t="s">
        <v>3817</v>
      </c>
      <c r="R1336" s="297">
        <f>IFERROR(RANK(VLOOKUP($G1336,連買!$A:$D,4,0),連買!$D:$D,0),"'沒有資料'")</f>
        <v>61</v>
      </c>
      <c r="S1336" s="45">
        <v>6.5</v>
      </c>
      <c r="T1336" s="353">
        <f t="shared" si="243"/>
        <v>2.5590551181102362E-2</v>
      </c>
      <c r="U1336" s="57">
        <v>15.1</v>
      </c>
      <c r="V1336" s="13">
        <f>RTD("money.excel",,"5871","Price")</f>
        <v>254</v>
      </c>
      <c r="W1336" s="66"/>
      <c r="X1336" s="15">
        <f t="shared" si="244"/>
        <v>254</v>
      </c>
      <c r="Y1336" s="3" t="e">
        <f t="shared" si="245"/>
        <v>#DIV/0!</v>
      </c>
      <c r="Z1336" s="413" t="s">
        <v>8630</v>
      </c>
      <c r="AA1336" s="161">
        <v>0</v>
      </c>
      <c r="AB1336" s="409">
        <v>0</v>
      </c>
      <c r="AC1336" s="259">
        <f t="shared" si="242"/>
        <v>0</v>
      </c>
      <c r="AD1336" s="22" t="s">
        <v>257</v>
      </c>
      <c r="AG1336" s="33">
        <f t="shared" si="246"/>
        <v>0</v>
      </c>
      <c r="AH1336" s="120" t="s">
        <v>3006</v>
      </c>
      <c r="AI1336" s="63">
        <f t="shared" si="247"/>
        <v>1.113103448275862E-3</v>
      </c>
      <c r="AJ1336" s="307">
        <f>RTD("money.excel",,$G1336,"PredictVolume")</f>
        <v>1614</v>
      </c>
      <c r="AK1336" s="339">
        <v>3.08</v>
      </c>
    </row>
    <row r="1337" spans="1:37">
      <c r="A1337" s="416">
        <v>8.81</v>
      </c>
      <c r="B1337" s="79">
        <v>24</v>
      </c>
      <c r="C1337" s="80">
        <v>-19</v>
      </c>
      <c r="D1337" s="79">
        <v>14</v>
      </c>
      <c r="E1337" s="80">
        <v>-11</v>
      </c>
      <c r="F1337" s="6">
        <v>5.91</v>
      </c>
      <c r="G1337" s="79">
        <v>6179</v>
      </c>
      <c r="H1337" s="8" t="s">
        <v>2084</v>
      </c>
      <c r="I1337" s="16" t="s">
        <v>647</v>
      </c>
      <c r="J1337" s="323">
        <v>43.95</v>
      </c>
      <c r="K1337" s="323">
        <v>0.53</v>
      </c>
      <c r="L1337" s="73">
        <v>23.53</v>
      </c>
      <c r="N1337" s="318">
        <f t="shared" si="248"/>
        <v>68.010000000000005</v>
      </c>
      <c r="O1337" s="81">
        <f>IFERROR(VLOOKUP($G1337,'321買'!A:E,3,0),"'沒有資料'")</f>
        <v>1</v>
      </c>
      <c r="P1337" s="380">
        <f>IFERROR(VLOOKUP($G1337,'321買'!$A:$G,7,0),"'沒有資料'")</f>
        <v>783</v>
      </c>
      <c r="Q1337" s="245" t="s">
        <v>3815</v>
      </c>
      <c r="R1337" s="297">
        <f>IFERROR(RANK(VLOOKUP($G1337,連買!$A:$D,4,0),連買!$D:$D,0),"'沒有資料'")</f>
        <v>810</v>
      </c>
      <c r="S1337" s="34">
        <v>1.88</v>
      </c>
      <c r="T1337" s="353">
        <f t="shared" ref="T1337:T1369" si="249">S1337/V1337</f>
        <v>5.949367088607594E-2</v>
      </c>
      <c r="U1337" s="95">
        <v>2.72</v>
      </c>
      <c r="V1337" s="36">
        <f>RTD("money.excel",,"6179","Price")</f>
        <v>31.6</v>
      </c>
      <c r="W1337" s="66"/>
      <c r="X1337" s="15">
        <f t="shared" si="244"/>
        <v>31.6</v>
      </c>
      <c r="Y1337" s="3" t="e">
        <f t="shared" si="245"/>
        <v>#DIV/0!</v>
      </c>
      <c r="Z1337" s="413" t="s">
        <v>1801</v>
      </c>
      <c r="AA1337" s="161">
        <v>0</v>
      </c>
      <c r="AB1337" s="409">
        <v>0</v>
      </c>
      <c r="AC1337" s="259">
        <f t="shared" si="242"/>
        <v>0</v>
      </c>
      <c r="AD1337" s="16" t="s">
        <v>647</v>
      </c>
      <c r="AG1337" s="33">
        <f t="shared" si="246"/>
        <v>0</v>
      </c>
      <c r="AH1337" s="43" t="s">
        <v>2651</v>
      </c>
      <c r="AI1337" s="63">
        <f t="shared" ref="AI1337:AI1368" si="250">AJ1337/(A1337*10000)</f>
        <v>7.5822928490351877E-3</v>
      </c>
      <c r="AJ1337" s="307">
        <f>RTD("money.excel",,$G1337,"PredictVolume")</f>
        <v>668</v>
      </c>
      <c r="AK1337" s="339"/>
    </row>
    <row r="1338" spans="1:37">
      <c r="A1338" s="415">
        <v>15.8</v>
      </c>
      <c r="B1338" s="91">
        <v>2</v>
      </c>
      <c r="C1338" s="91">
        <v>13</v>
      </c>
      <c r="D1338" s="91">
        <v>-4</v>
      </c>
      <c r="E1338" s="91">
        <v>-1</v>
      </c>
      <c r="F1338" s="57">
        <v>35.47</v>
      </c>
      <c r="G1338" s="79">
        <v>6184</v>
      </c>
      <c r="H1338" s="8" t="s">
        <v>2084</v>
      </c>
      <c r="I1338" s="22" t="s">
        <v>682</v>
      </c>
      <c r="J1338" s="73">
        <v>78.94</v>
      </c>
      <c r="K1338" s="73">
        <v>2.48</v>
      </c>
      <c r="L1338" s="73">
        <v>0.66</v>
      </c>
      <c r="N1338" s="318">
        <f t="shared" si="248"/>
        <v>82.08</v>
      </c>
      <c r="O1338" s="81">
        <f>IFERROR(VLOOKUP($G1338,'321買'!A:E,3,0),"'沒有資料'")</f>
        <v>0</v>
      </c>
      <c r="P1338" s="380">
        <f>IFERROR(VLOOKUP($G1338,'321買'!$A:$G,7,0),"'沒有資料'")</f>
        <v>911</v>
      </c>
      <c r="R1338" s="297">
        <f>IFERROR(RANK(VLOOKUP($G1338,連買!$A:$D,4,0),連買!$D:$D,0),"'沒有資料'")</f>
        <v>630</v>
      </c>
      <c r="S1338" s="66">
        <v>3</v>
      </c>
      <c r="T1338" s="353">
        <f t="shared" si="249"/>
        <v>6.3694267515923567E-2</v>
      </c>
      <c r="U1338" s="95">
        <v>3.38</v>
      </c>
      <c r="V1338" s="13">
        <f>RTD("money.excel",,"6184","Price")</f>
        <v>47.1</v>
      </c>
      <c r="W1338" s="66"/>
      <c r="X1338" s="15">
        <f t="shared" si="244"/>
        <v>47.1</v>
      </c>
      <c r="Y1338" s="3" t="e">
        <f t="shared" si="245"/>
        <v>#DIV/0!</v>
      </c>
      <c r="Z1338" s="413" t="s">
        <v>1831</v>
      </c>
      <c r="AA1338" s="161">
        <v>0</v>
      </c>
      <c r="AB1338" s="409">
        <v>0</v>
      </c>
      <c r="AC1338" s="259">
        <f t="shared" si="242"/>
        <v>0</v>
      </c>
      <c r="AD1338" s="22" t="s">
        <v>682</v>
      </c>
      <c r="AG1338" s="33">
        <f t="shared" si="246"/>
        <v>0</v>
      </c>
      <c r="AH1338" s="43" t="s">
        <v>3007</v>
      </c>
      <c r="AI1338" s="63">
        <f t="shared" si="250"/>
        <v>1.8987341772151899E-4</v>
      </c>
      <c r="AJ1338" s="307">
        <f>RTD("money.excel",,$G1338,"PredictVolume")</f>
        <v>30</v>
      </c>
      <c r="AK1338" s="339"/>
    </row>
    <row r="1339" spans="1:37">
      <c r="A1339" s="415">
        <v>6.18</v>
      </c>
      <c r="B1339" s="91">
        <v>127</v>
      </c>
      <c r="C1339" s="91">
        <v>8</v>
      </c>
      <c r="D1339" s="91">
        <v>-13</v>
      </c>
      <c r="E1339" s="91">
        <v>15</v>
      </c>
      <c r="F1339" s="57">
        <v>21.18</v>
      </c>
      <c r="G1339" s="79">
        <v>6199</v>
      </c>
      <c r="H1339" s="8" t="s">
        <v>2084</v>
      </c>
      <c r="I1339" s="16" t="s">
        <v>648</v>
      </c>
      <c r="J1339" s="73">
        <v>92.63</v>
      </c>
      <c r="K1339" s="73">
        <v>4.6500000000000004</v>
      </c>
      <c r="N1339" s="318">
        <f t="shared" si="248"/>
        <v>97.28</v>
      </c>
      <c r="O1339" s="81" t="str">
        <f>IFERROR(VLOOKUP($G1339,'321買'!A:E,3,0),"'沒有資料'")</f>
        <v>'沒有資料'</v>
      </c>
      <c r="P1339" s="380" t="str">
        <f>IFERROR(VLOOKUP($G1339,'321買'!$A:$G,7,0),"'沒有資料'")</f>
        <v>'沒有資料'</v>
      </c>
      <c r="R1339" s="297">
        <f>IFERROR(RANK(VLOOKUP($G1339,連買!$A:$D,4,0),連買!$D:$D,0),"'沒有資料'")</f>
        <v>1481</v>
      </c>
      <c r="S1339" s="34">
        <v>0</v>
      </c>
      <c r="T1339" s="353">
        <f t="shared" si="249"/>
        <v>0</v>
      </c>
      <c r="U1339" s="95">
        <v>0.46</v>
      </c>
      <c r="V1339" s="13">
        <f>RTD("money.excel",,"6199","Price")</f>
        <v>17.100000000000001</v>
      </c>
      <c r="W1339" s="66"/>
      <c r="X1339" s="15">
        <f t="shared" si="244"/>
        <v>17.100000000000001</v>
      </c>
      <c r="Y1339" s="3" t="e">
        <f t="shared" si="245"/>
        <v>#DIV/0!</v>
      </c>
      <c r="AA1339" s="161">
        <v>0</v>
      </c>
      <c r="AB1339" s="409">
        <v>0</v>
      </c>
      <c r="AC1339" s="259">
        <f t="shared" si="242"/>
        <v>0</v>
      </c>
      <c r="AD1339" s="16" t="s">
        <v>648</v>
      </c>
      <c r="AG1339" s="33">
        <f t="shared" si="246"/>
        <v>0</v>
      </c>
      <c r="AH1339" s="43" t="s">
        <v>2652</v>
      </c>
      <c r="AI1339" s="63">
        <f t="shared" si="250"/>
        <v>1.6181229773462783E-4</v>
      </c>
      <c r="AJ1339" s="307">
        <f>RTD("money.excel",,$G1339,"PredictVolume")</f>
        <v>10</v>
      </c>
      <c r="AK1339" s="339"/>
    </row>
    <row r="1340" spans="1:37">
      <c r="A1340" s="416">
        <v>3.17</v>
      </c>
      <c r="B1340" s="91">
        <v>54</v>
      </c>
      <c r="C1340" s="91">
        <v>61</v>
      </c>
      <c r="D1340" s="91">
        <v>183</v>
      </c>
      <c r="E1340" s="91">
        <v>29</v>
      </c>
      <c r="F1340" s="6">
        <v>-52</v>
      </c>
      <c r="G1340" s="79">
        <v>6236</v>
      </c>
      <c r="H1340" s="8" t="s">
        <v>2084</v>
      </c>
      <c r="I1340" s="16" t="s">
        <v>649</v>
      </c>
      <c r="J1340" s="73">
        <v>84.19</v>
      </c>
      <c r="K1340" s="73">
        <v>0.05</v>
      </c>
      <c r="N1340" s="318">
        <f t="shared" si="248"/>
        <v>84.24</v>
      </c>
      <c r="O1340" s="81" t="str">
        <f>IFERROR(VLOOKUP($G1340,'321買'!A:E,3,0),"'沒有資料'")</f>
        <v>'沒有資料'</v>
      </c>
      <c r="P1340" s="380" t="str">
        <f>IFERROR(VLOOKUP($G1340,'321買'!$A:$G,7,0),"'沒有資料'")</f>
        <v>'沒有資料'</v>
      </c>
      <c r="R1340" s="297">
        <f>IFERROR(RANK(VLOOKUP($G1340,連買!$A:$D,4,0),連買!$D:$D,0),"'沒有資料'")</f>
        <v>1408</v>
      </c>
      <c r="S1340" s="34">
        <v>0</v>
      </c>
      <c r="T1340" s="353" t="e">
        <f t="shared" si="249"/>
        <v>#VALUE!</v>
      </c>
      <c r="U1340" s="95">
        <v>-0.34</v>
      </c>
      <c r="V1340" s="13" t="str">
        <f>RTD("money.excel",,"6236","Price")</f>
        <v>無資料</v>
      </c>
      <c r="W1340" s="66"/>
      <c r="X1340" s="15" t="e">
        <f t="shared" si="244"/>
        <v>#VALUE!</v>
      </c>
      <c r="Y1340" s="3" t="e">
        <f t="shared" si="245"/>
        <v>#VALUE!</v>
      </c>
      <c r="AA1340" s="161">
        <v>0</v>
      </c>
      <c r="AB1340" s="409">
        <v>0</v>
      </c>
      <c r="AC1340" s="259">
        <f t="shared" si="242"/>
        <v>0</v>
      </c>
      <c r="AD1340" s="16" t="s">
        <v>649</v>
      </c>
      <c r="AG1340" s="33">
        <f t="shared" si="246"/>
        <v>0</v>
      </c>
      <c r="AH1340" s="43" t="s">
        <v>2636</v>
      </c>
      <c r="AI1340" s="63">
        <f t="shared" si="250"/>
        <v>0</v>
      </c>
      <c r="AJ1340" s="307">
        <f>RTD("money.excel",,$G1340,"PredictVolume")</f>
        <v>0</v>
      </c>
      <c r="AK1340" s="339"/>
    </row>
    <row r="1341" spans="1:37">
      <c r="A1341" s="415">
        <v>12.4</v>
      </c>
      <c r="B1341" s="91">
        <v>-2</v>
      </c>
      <c r="C1341" s="91">
        <v>-4</v>
      </c>
      <c r="D1341" s="91">
        <v>10</v>
      </c>
      <c r="E1341" s="91">
        <v>12</v>
      </c>
      <c r="F1341" s="57">
        <v>26.56</v>
      </c>
      <c r="G1341" s="79">
        <v>6464</v>
      </c>
      <c r="H1341" s="8" t="s">
        <v>2084</v>
      </c>
      <c r="I1341" s="22" t="s">
        <v>683</v>
      </c>
      <c r="J1341" s="73">
        <v>84.2</v>
      </c>
      <c r="K1341" s="323">
        <v>0.47</v>
      </c>
      <c r="L1341" s="73">
        <v>0.02</v>
      </c>
      <c r="N1341" s="318">
        <f t="shared" si="248"/>
        <v>84.69</v>
      </c>
      <c r="O1341" s="81">
        <f>IFERROR(VLOOKUP($G1341,'321買'!A:E,3,0),"'沒有資料'")</f>
        <v>0</v>
      </c>
      <c r="P1341" s="380">
        <f>IFERROR(VLOOKUP($G1341,'321買'!$A:$G,7,0),"'沒有資料'")</f>
        <v>911</v>
      </c>
      <c r="R1341" s="297">
        <f>IFERROR(RANK(VLOOKUP($G1341,連買!$A:$D,4,0),連買!$D:$D,0),"'沒有資料'")</f>
        <v>1702</v>
      </c>
      <c r="S1341" s="66">
        <v>3.2</v>
      </c>
      <c r="T1341" s="353">
        <f t="shared" si="249"/>
        <v>3.6363636363636369E-2</v>
      </c>
      <c r="U1341" s="95">
        <v>8.6300000000000008</v>
      </c>
      <c r="V1341" s="13">
        <f>RTD("money.excel",,"6464","Price")</f>
        <v>88</v>
      </c>
      <c r="W1341" s="66"/>
      <c r="X1341" s="15">
        <f t="shared" si="244"/>
        <v>88</v>
      </c>
      <c r="Y1341" s="3" t="e">
        <f t="shared" si="245"/>
        <v>#DIV/0!</v>
      </c>
      <c r="Z1341" s="413" t="s">
        <v>1831</v>
      </c>
      <c r="AA1341" s="161">
        <v>0</v>
      </c>
      <c r="AB1341" s="409">
        <v>0</v>
      </c>
      <c r="AC1341" s="259">
        <f t="shared" si="242"/>
        <v>0</v>
      </c>
      <c r="AD1341" s="22" t="s">
        <v>683</v>
      </c>
      <c r="AG1341" s="33">
        <f t="shared" si="246"/>
        <v>0</v>
      </c>
      <c r="AH1341" s="43" t="s">
        <v>3007</v>
      </c>
      <c r="AI1341" s="63">
        <f t="shared" si="250"/>
        <v>9.6774193548387094E-5</v>
      </c>
      <c r="AJ1341" s="307">
        <f>RTD("money.excel",,$G1341,"PredictVolume")</f>
        <v>12</v>
      </c>
      <c r="AK1341" s="339"/>
    </row>
    <row r="1342" spans="1:37">
      <c r="A1342" s="416">
        <v>7.26</v>
      </c>
      <c r="B1342" s="80">
        <v>-84</v>
      </c>
      <c r="C1342" s="80">
        <v>-84</v>
      </c>
      <c r="D1342" s="80">
        <v>-13</v>
      </c>
      <c r="E1342" s="80">
        <v>-18</v>
      </c>
      <c r="F1342" s="6">
        <v>4.57</v>
      </c>
      <c r="G1342" s="79">
        <v>6504</v>
      </c>
      <c r="H1342" s="8" t="s">
        <v>2084</v>
      </c>
      <c r="I1342" s="22" t="s">
        <v>684</v>
      </c>
      <c r="J1342" s="73">
        <v>54.3</v>
      </c>
      <c r="K1342" s="323">
        <v>5.26</v>
      </c>
      <c r="L1342" s="73">
        <v>3.44</v>
      </c>
      <c r="M1342" s="73">
        <v>29.89</v>
      </c>
      <c r="N1342" s="318">
        <f t="shared" si="248"/>
        <v>92.889999999999986</v>
      </c>
      <c r="O1342" s="81">
        <f>IFERROR(VLOOKUP($G1342,'321買'!A:E,3,0),"'沒有資料'")</f>
        <v>1</v>
      </c>
      <c r="P1342" s="380">
        <f>IFERROR(VLOOKUP($G1342,'321買'!$A:$G,7,0),"'沒有資料'")</f>
        <v>783</v>
      </c>
      <c r="Q1342" s="245" t="s">
        <v>3816</v>
      </c>
      <c r="R1342" s="297">
        <f>IFERROR(RANK(VLOOKUP($G1342,連買!$A:$D,4,0),連買!$D:$D,0),"'沒有資料'")</f>
        <v>1734</v>
      </c>
      <c r="S1342" s="66">
        <v>12</v>
      </c>
      <c r="T1342" s="353">
        <f t="shared" si="249"/>
        <v>0.12671594508975711</v>
      </c>
      <c r="U1342" s="57">
        <v>8.06</v>
      </c>
      <c r="V1342" s="36">
        <f>RTD("money.excel",,"6504","Price")</f>
        <v>94.7</v>
      </c>
      <c r="W1342" s="66"/>
      <c r="X1342" s="15">
        <f t="shared" si="244"/>
        <v>94.7</v>
      </c>
      <c r="Y1342" s="3" t="e">
        <f t="shared" si="245"/>
        <v>#DIV/0!</v>
      </c>
      <c r="Z1342" s="413" t="s">
        <v>1997</v>
      </c>
      <c r="AA1342" s="161">
        <v>0</v>
      </c>
      <c r="AB1342" s="409">
        <v>0</v>
      </c>
      <c r="AC1342" s="259">
        <f t="shared" si="242"/>
        <v>0</v>
      </c>
      <c r="AD1342" s="22" t="s">
        <v>684</v>
      </c>
      <c r="AG1342" s="33">
        <f t="shared" si="246"/>
        <v>0</v>
      </c>
      <c r="AH1342" s="43" t="s">
        <v>2718</v>
      </c>
      <c r="AI1342" s="63">
        <f t="shared" si="250"/>
        <v>4.1322314049586776E-4</v>
      </c>
      <c r="AJ1342" s="307">
        <f>RTD("money.excel",,$G1342,"PredictVolume")</f>
        <v>30</v>
      </c>
      <c r="AK1342" s="339">
        <v>15.16</v>
      </c>
    </row>
    <row r="1343" spans="1:37">
      <c r="A1343" s="415">
        <v>11.1</v>
      </c>
      <c r="B1343" s="91">
        <v>-27</v>
      </c>
      <c r="C1343" s="91">
        <v>-24</v>
      </c>
      <c r="D1343" s="91">
        <v>96</v>
      </c>
      <c r="E1343" s="91">
        <v>36</v>
      </c>
      <c r="F1343" s="57">
        <v>43.73</v>
      </c>
      <c r="G1343" s="79">
        <v>6581</v>
      </c>
      <c r="H1343" s="8" t="s">
        <v>2084</v>
      </c>
      <c r="I1343" s="22" t="s">
        <v>685</v>
      </c>
      <c r="J1343" s="323">
        <v>91.04</v>
      </c>
      <c r="K1343" s="73">
        <v>0.34</v>
      </c>
      <c r="L1343" s="73">
        <v>0.23</v>
      </c>
      <c r="N1343" s="318">
        <f t="shared" si="248"/>
        <v>91.610000000000014</v>
      </c>
      <c r="O1343" s="81">
        <f>IFERROR(VLOOKUP($G1343,'321買'!A:E,3,0),"'沒有資料'")</f>
        <v>0</v>
      </c>
      <c r="P1343" s="380">
        <f>IFERROR(VLOOKUP($G1343,'321買'!$A:$G,7,0),"'沒有資料'")</f>
        <v>911</v>
      </c>
      <c r="R1343" s="297">
        <f>IFERROR(RANK(VLOOKUP($G1343,連買!$A:$D,4,0),連買!$D:$D,0),"'沒有資料'")</f>
        <v>256</v>
      </c>
      <c r="S1343" s="66">
        <v>3</v>
      </c>
      <c r="T1343" s="353">
        <f t="shared" si="249"/>
        <v>2.9702970297029702E-2</v>
      </c>
      <c r="U1343" s="57">
        <v>3.66</v>
      </c>
      <c r="V1343" s="36">
        <f>RTD("money.excel",,"6581","Price")</f>
        <v>101</v>
      </c>
      <c r="W1343" s="66"/>
      <c r="X1343" s="15">
        <f t="shared" si="244"/>
        <v>101</v>
      </c>
      <c r="Y1343" s="3" t="e">
        <f t="shared" si="245"/>
        <v>#DIV/0!</v>
      </c>
      <c r="Z1343" s="413" t="s">
        <v>1831</v>
      </c>
      <c r="AA1343" s="161">
        <v>0</v>
      </c>
      <c r="AB1343" s="409">
        <v>0</v>
      </c>
      <c r="AC1343" s="259">
        <f t="shared" si="242"/>
        <v>0</v>
      </c>
      <c r="AD1343" s="22" t="s">
        <v>685</v>
      </c>
      <c r="AG1343" s="33">
        <f t="shared" si="246"/>
        <v>0</v>
      </c>
      <c r="AH1343" s="43" t="s">
        <v>3008</v>
      </c>
      <c r="AI1343" s="63">
        <f t="shared" si="250"/>
        <v>2.2945945945945945E-2</v>
      </c>
      <c r="AJ1343" s="307">
        <f>RTD("money.excel",,$G1343,"PredictVolume")</f>
        <v>2547</v>
      </c>
      <c r="AK1343" s="339"/>
    </row>
    <row r="1344" spans="1:37">
      <c r="A1344" s="415">
        <v>51.5</v>
      </c>
      <c r="B1344" s="79">
        <v>11</v>
      </c>
      <c r="C1344" s="80">
        <v>-2</v>
      </c>
      <c r="D1344" s="79">
        <v>7</v>
      </c>
      <c r="E1344" s="79">
        <v>7</v>
      </c>
      <c r="F1344" s="57">
        <v>21.29</v>
      </c>
      <c r="G1344" s="79">
        <v>6592</v>
      </c>
      <c r="H1344" s="8" t="s">
        <v>2084</v>
      </c>
      <c r="I1344" s="158" t="s">
        <v>1819</v>
      </c>
      <c r="J1344" s="323">
        <v>76.680000000000007</v>
      </c>
      <c r="K1344" s="73">
        <v>26.69</v>
      </c>
      <c r="L1344" s="73">
        <v>0.7</v>
      </c>
      <c r="N1344" s="318">
        <f t="shared" si="248"/>
        <v>104.07000000000001</v>
      </c>
      <c r="O1344" s="81">
        <f>IFERROR(VLOOKUP($G1344,'321買'!A:E,3,0),"'沒有資料'")</f>
        <v>0</v>
      </c>
      <c r="P1344" s="380">
        <f>IFERROR(VLOOKUP($G1344,'321買'!$A:$G,7,0),"'沒有資料'")</f>
        <v>911</v>
      </c>
      <c r="R1344" s="297">
        <f>IFERROR(RANK(VLOOKUP($G1344,連買!$A:$D,4,0),連買!$D:$D,0),"'沒有資料'")</f>
        <v>183</v>
      </c>
      <c r="S1344" s="65">
        <v>3.5</v>
      </c>
      <c r="T1344" s="353">
        <f t="shared" si="249"/>
        <v>3.0837004405286344E-2</v>
      </c>
      <c r="U1344" s="95">
        <v>5.0199999999999996</v>
      </c>
      <c r="V1344" s="36">
        <f>RTD("money.excel",,"6592","Price")</f>
        <v>113.5</v>
      </c>
      <c r="W1344" s="66"/>
      <c r="X1344" s="15">
        <f t="shared" si="244"/>
        <v>113.5</v>
      </c>
      <c r="Y1344" s="3" t="e">
        <f t="shared" si="245"/>
        <v>#DIV/0!</v>
      </c>
      <c r="Z1344" s="413" t="s">
        <v>3822</v>
      </c>
      <c r="AA1344" s="161">
        <v>0</v>
      </c>
      <c r="AB1344" s="409">
        <v>0</v>
      </c>
      <c r="AC1344" s="259">
        <f t="shared" si="242"/>
        <v>0</v>
      </c>
      <c r="AD1344" s="22" t="s">
        <v>1819</v>
      </c>
      <c r="AE1344" s="118"/>
      <c r="AF1344" s="129"/>
      <c r="AG1344" s="33">
        <f t="shared" si="246"/>
        <v>0</v>
      </c>
      <c r="AH1344" s="122" t="s">
        <v>1858</v>
      </c>
      <c r="AI1344" s="63">
        <f t="shared" si="250"/>
        <v>8.1941747572815535E-4</v>
      </c>
      <c r="AJ1344" s="307">
        <f>RTD("money.excel",,$G1344,"PredictVolume")</f>
        <v>422</v>
      </c>
      <c r="AK1344" s="339"/>
    </row>
    <row r="1345" spans="1:37">
      <c r="A1345" s="416">
        <v>2.86</v>
      </c>
      <c r="B1345" s="80">
        <v>-178</v>
      </c>
      <c r="C1345" s="80">
        <v>-102</v>
      </c>
      <c r="D1345" s="80">
        <v>-3</v>
      </c>
      <c r="E1345" s="80">
        <v>-31</v>
      </c>
      <c r="F1345" s="6">
        <v>-0.28000000000000003</v>
      </c>
      <c r="G1345" s="79">
        <v>6616</v>
      </c>
      <c r="H1345" s="8" t="s">
        <v>2084</v>
      </c>
      <c r="I1345" s="16" t="s">
        <v>650</v>
      </c>
      <c r="J1345" s="323">
        <v>71.069999999999993</v>
      </c>
      <c r="K1345" s="323">
        <v>77.08</v>
      </c>
      <c r="L1345" s="323"/>
      <c r="M1345" s="323">
        <v>58.62</v>
      </c>
      <c r="N1345" s="318">
        <f>K1345+J1345+L1345+M1345</f>
        <v>206.76999999999998</v>
      </c>
      <c r="O1345" s="81" t="str">
        <f>IFERROR(VLOOKUP($G1345,'321買'!A:E,3,0),"'沒有資料'")</f>
        <v>'沒有資料'</v>
      </c>
      <c r="P1345" s="380" t="str">
        <f>IFERROR(VLOOKUP($G1345,'321買'!$A:$G,7,0),"'沒有資料'")</f>
        <v>'沒有資料'</v>
      </c>
      <c r="R1345" s="297">
        <f>IFERROR(RANK(VLOOKUP($G1345,連買!$A:$D,4,0),連買!$D:$D,0),"'沒有資料'")</f>
        <v>1544</v>
      </c>
      <c r="S1345" s="34">
        <v>2</v>
      </c>
      <c r="T1345" s="353">
        <f t="shared" si="249"/>
        <v>9.9750623441396499E-2</v>
      </c>
      <c r="U1345" s="57">
        <v>0.25</v>
      </c>
      <c r="V1345" s="13">
        <f>RTD("money.excel",,"6616","Price")</f>
        <v>20.05</v>
      </c>
      <c r="W1345" s="66"/>
      <c r="X1345" s="15">
        <f t="shared" si="244"/>
        <v>20.05</v>
      </c>
      <c r="Y1345" s="3" t="e">
        <f t="shared" si="245"/>
        <v>#DIV/0!</v>
      </c>
      <c r="Z1345" s="413" t="s">
        <v>1801</v>
      </c>
      <c r="AA1345" s="161">
        <v>0</v>
      </c>
      <c r="AB1345" s="409">
        <v>0</v>
      </c>
      <c r="AC1345" s="259">
        <f t="shared" si="242"/>
        <v>0</v>
      </c>
      <c r="AD1345" s="16" t="s">
        <v>650</v>
      </c>
      <c r="AG1345" s="33">
        <f t="shared" si="246"/>
        <v>0</v>
      </c>
      <c r="AH1345" s="43" t="s">
        <v>2653</v>
      </c>
      <c r="AI1345" s="63">
        <f t="shared" si="250"/>
        <v>1.3286713286713287E-3</v>
      </c>
      <c r="AJ1345" s="307">
        <f>RTD("money.excel",,$G1345,"PredictVolume")</f>
        <v>38</v>
      </c>
      <c r="AK1345" s="339"/>
    </row>
    <row r="1346" spans="1:37">
      <c r="A1346" s="416">
        <v>1.8</v>
      </c>
      <c r="B1346" s="80">
        <v>-133</v>
      </c>
      <c r="C1346" s="80">
        <v>-127</v>
      </c>
      <c r="D1346" s="80">
        <v>-52</v>
      </c>
      <c r="E1346" s="80">
        <v>-37</v>
      </c>
      <c r="F1346" s="6">
        <v>-7.57</v>
      </c>
      <c r="G1346" s="79">
        <v>6624</v>
      </c>
      <c r="H1346" s="8" t="s">
        <v>2084</v>
      </c>
      <c r="I1346" s="16" t="s">
        <v>2248</v>
      </c>
      <c r="J1346" s="73">
        <v>26.24</v>
      </c>
      <c r="K1346" s="73">
        <v>0</v>
      </c>
      <c r="N1346" s="318">
        <f t="shared" ref="N1346:N1382" si="251">J1346+K1346+L1346+M1346</f>
        <v>26.24</v>
      </c>
      <c r="O1346" s="81" t="str">
        <f>IFERROR(VLOOKUP($G1346,'321買'!A:E,3,0),"'沒有資料'")</f>
        <v>'沒有資料'</v>
      </c>
      <c r="P1346" s="380" t="str">
        <f>IFERROR(VLOOKUP($G1346,'321買'!$A:$G,7,0),"'沒有資料'")</f>
        <v>'沒有資料'</v>
      </c>
      <c r="R1346" s="297">
        <f>IFERROR(RANK(VLOOKUP($G1346,連買!$A:$D,4,0),連買!$D:$D,0),"'沒有資料'")</f>
        <v>1303</v>
      </c>
      <c r="S1346" s="34">
        <v>0</v>
      </c>
      <c r="T1346" s="353">
        <f t="shared" si="249"/>
        <v>0</v>
      </c>
      <c r="U1346" s="95">
        <v>-0.86</v>
      </c>
      <c r="V1346" s="13">
        <f>RTD("money.excel",,"6624","Price")</f>
        <v>40.299999999999997</v>
      </c>
      <c r="W1346" s="66"/>
      <c r="X1346" s="15">
        <f t="shared" si="244"/>
        <v>40.299999999999997</v>
      </c>
      <c r="Y1346" s="3" t="e">
        <f t="shared" si="245"/>
        <v>#DIV/0!</v>
      </c>
      <c r="AA1346" s="161">
        <v>0</v>
      </c>
      <c r="AB1346" s="409">
        <v>0</v>
      </c>
      <c r="AC1346" s="259">
        <f t="shared" si="242"/>
        <v>0</v>
      </c>
      <c r="AD1346" s="16" t="s">
        <v>2248</v>
      </c>
      <c r="AG1346" s="33">
        <f t="shared" si="246"/>
        <v>0</v>
      </c>
      <c r="AH1346" s="43" t="s">
        <v>2249</v>
      </c>
      <c r="AI1346" s="63">
        <f t="shared" si="250"/>
        <v>7.2222222222222219E-4</v>
      </c>
      <c r="AJ1346" s="307">
        <f>RTD("money.excel",,$G1346,"PredictVolume")</f>
        <v>13</v>
      </c>
      <c r="AK1346" s="339"/>
    </row>
    <row r="1347" spans="1:37">
      <c r="A1347" s="416">
        <v>4.49</v>
      </c>
      <c r="B1347" s="80">
        <v>-112</v>
      </c>
      <c r="C1347" s="80">
        <v>-126</v>
      </c>
      <c r="D1347" s="80">
        <v>-39</v>
      </c>
      <c r="E1347" s="79">
        <v>45</v>
      </c>
      <c r="F1347" s="6">
        <v>-27.96</v>
      </c>
      <c r="G1347" s="79">
        <v>6625</v>
      </c>
      <c r="H1347" s="8" t="s">
        <v>2084</v>
      </c>
      <c r="I1347" s="22" t="s">
        <v>686</v>
      </c>
      <c r="J1347" s="323">
        <v>56.24</v>
      </c>
      <c r="K1347" s="73">
        <v>0.21</v>
      </c>
      <c r="L1347" s="323">
        <v>0.78</v>
      </c>
      <c r="N1347" s="318">
        <f t="shared" si="251"/>
        <v>57.230000000000004</v>
      </c>
      <c r="O1347" s="81">
        <f>IFERROR(VLOOKUP($G1347,'321買'!A:E,3,0),"'沒有資料'")</f>
        <v>0</v>
      </c>
      <c r="P1347" s="380">
        <f>IFERROR(VLOOKUP($G1347,'321買'!$A:$G,7,0),"'沒有資料'")</f>
        <v>911</v>
      </c>
      <c r="R1347" s="297">
        <f>IFERROR(RANK(VLOOKUP($G1347,連買!$A:$D,4,0),連買!$D:$D,0),"'沒有資料'")</f>
        <v>790</v>
      </c>
      <c r="S1347" s="34">
        <v>0</v>
      </c>
      <c r="T1347" s="353">
        <f t="shared" si="249"/>
        <v>0</v>
      </c>
      <c r="U1347" s="95">
        <v>-3.43</v>
      </c>
      <c r="V1347" s="36">
        <f>RTD("money.excel",,"6625","Price")</f>
        <v>28.5</v>
      </c>
      <c r="W1347" s="66"/>
      <c r="X1347" s="15">
        <f t="shared" si="244"/>
        <v>28.5</v>
      </c>
      <c r="Y1347" s="3" t="e">
        <f t="shared" si="245"/>
        <v>#DIV/0!</v>
      </c>
      <c r="Z1347" s="413" t="s">
        <v>1801</v>
      </c>
      <c r="AA1347" s="161">
        <v>0</v>
      </c>
      <c r="AB1347" s="409">
        <v>0</v>
      </c>
      <c r="AC1347" s="259">
        <f t="shared" si="242"/>
        <v>0</v>
      </c>
      <c r="AD1347" s="22" t="s">
        <v>686</v>
      </c>
      <c r="AG1347" s="33">
        <f t="shared" si="246"/>
        <v>0</v>
      </c>
      <c r="AH1347" s="43" t="s">
        <v>3009</v>
      </c>
      <c r="AI1347" s="63">
        <f t="shared" si="250"/>
        <v>5.1224944320712692E-4</v>
      </c>
      <c r="AJ1347" s="307">
        <f>RTD("money.excel",,$G1347,"PredictVolume")</f>
        <v>23</v>
      </c>
      <c r="AK1347" s="339"/>
    </row>
    <row r="1348" spans="1:37">
      <c r="A1348" s="415">
        <v>3.56</v>
      </c>
      <c r="B1348" s="79">
        <v>59</v>
      </c>
      <c r="C1348" s="79">
        <v>73</v>
      </c>
      <c r="D1348" s="79">
        <v>17</v>
      </c>
      <c r="E1348" s="79">
        <v>29</v>
      </c>
      <c r="F1348" s="57">
        <v>19.2</v>
      </c>
      <c r="G1348" s="79">
        <v>6629</v>
      </c>
      <c r="H1348" s="8" t="s">
        <v>2084</v>
      </c>
      <c r="I1348" s="16" t="s">
        <v>2250</v>
      </c>
      <c r="J1348" s="323">
        <v>83.58</v>
      </c>
      <c r="K1348" s="73">
        <v>85.25</v>
      </c>
      <c r="N1348" s="318">
        <f t="shared" si="251"/>
        <v>168.82999999999998</v>
      </c>
      <c r="O1348" s="81" t="str">
        <f>IFERROR(VLOOKUP($G1348,'321買'!A:E,3,0),"'沒有資料'")</f>
        <v>'沒有資料'</v>
      </c>
      <c r="P1348" s="380" t="str">
        <f>IFERROR(VLOOKUP($G1348,'321買'!$A:$G,7,0),"'沒有資料'")</f>
        <v>'沒有資料'</v>
      </c>
      <c r="R1348" s="297">
        <f>IFERROR(RANK(VLOOKUP($G1348,連買!$A:$D,4,0),連買!$D:$D,0),"'沒有資料'")</f>
        <v>1579</v>
      </c>
      <c r="S1348" s="66">
        <v>4.49</v>
      </c>
      <c r="T1348" s="353">
        <f t="shared" si="249"/>
        <v>7.5972927241962779E-2</v>
      </c>
      <c r="U1348" s="57">
        <v>6.66</v>
      </c>
      <c r="V1348" s="13">
        <f>RTD("money.excel",,"6629","Price")</f>
        <v>59.1</v>
      </c>
      <c r="W1348" s="66"/>
      <c r="X1348" s="15">
        <f t="shared" si="244"/>
        <v>59.1</v>
      </c>
      <c r="Y1348" s="3" t="e">
        <f t="shared" si="245"/>
        <v>#DIV/0!</v>
      </c>
      <c r="Z1348" s="413" t="s">
        <v>1831</v>
      </c>
      <c r="AA1348" s="161">
        <v>0</v>
      </c>
      <c r="AB1348" s="409">
        <v>0</v>
      </c>
      <c r="AC1348" s="259">
        <f t="shared" si="242"/>
        <v>0</v>
      </c>
      <c r="AD1348" s="16" t="s">
        <v>2250</v>
      </c>
      <c r="AG1348" s="33">
        <f t="shared" si="246"/>
        <v>0</v>
      </c>
      <c r="AH1348" s="43" t="s">
        <v>2252</v>
      </c>
      <c r="AI1348" s="63">
        <f t="shared" si="250"/>
        <v>2.8089887640449439E-5</v>
      </c>
      <c r="AJ1348" s="307">
        <f>RTD("money.excel",,$G1348,"PredictVolume")</f>
        <v>1</v>
      </c>
      <c r="AK1348" s="339"/>
    </row>
    <row r="1349" spans="1:37">
      <c r="A1349" s="415">
        <v>3.7</v>
      </c>
      <c r="B1349" s="80">
        <v>-2</v>
      </c>
      <c r="C1349" s="80">
        <v>-1</v>
      </c>
      <c r="D1349" s="79">
        <v>58</v>
      </c>
      <c r="E1349" s="79">
        <v>8</v>
      </c>
      <c r="F1349" s="57">
        <v>10.69</v>
      </c>
      <c r="G1349" s="79">
        <v>6641</v>
      </c>
      <c r="H1349" s="8" t="s">
        <v>2084</v>
      </c>
      <c r="I1349" s="22" t="s">
        <v>1095</v>
      </c>
      <c r="J1349" s="323">
        <v>62.05</v>
      </c>
      <c r="K1349" s="73">
        <v>30.81</v>
      </c>
      <c r="L1349" s="323">
        <v>2.13</v>
      </c>
      <c r="N1349" s="318">
        <f t="shared" si="251"/>
        <v>94.99</v>
      </c>
      <c r="O1349" s="81">
        <f>IFERROR(VLOOKUP($G1349,'321買'!A:E,3,0),"'沒有資料'")</f>
        <v>0</v>
      </c>
      <c r="P1349" s="380">
        <f>IFERROR(VLOOKUP($G1349,'321買'!$A:$G,7,0),"'沒有資料'")</f>
        <v>911</v>
      </c>
      <c r="R1349" s="297">
        <f>IFERROR(RANK(VLOOKUP($G1349,連買!$A:$D,4,0),連買!$D:$D,0),"'沒有資料'")</f>
        <v>304</v>
      </c>
      <c r="S1349" s="66">
        <v>4.5</v>
      </c>
      <c r="T1349" s="353">
        <f t="shared" si="249"/>
        <v>7.0866141732283464E-2</v>
      </c>
      <c r="U1349" s="95">
        <v>6.49</v>
      </c>
      <c r="V1349" s="36">
        <f>RTD("money.excel",,"6641","Price")</f>
        <v>63.5</v>
      </c>
      <c r="W1349" s="66"/>
      <c r="X1349" s="15">
        <f t="shared" si="244"/>
        <v>63.5</v>
      </c>
      <c r="Y1349" s="3" t="e">
        <f t="shared" si="245"/>
        <v>#DIV/0!</v>
      </c>
      <c r="Z1349" s="413" t="s">
        <v>1831</v>
      </c>
      <c r="AA1349" s="161">
        <v>0</v>
      </c>
      <c r="AB1349" s="409">
        <v>0</v>
      </c>
      <c r="AC1349" s="259">
        <f t="shared" ref="AC1349:AC1411" si="252">AA1349-AB1349</f>
        <v>0</v>
      </c>
      <c r="AD1349" s="22" t="s">
        <v>1095</v>
      </c>
      <c r="AG1349" s="33">
        <f t="shared" si="246"/>
        <v>0</v>
      </c>
      <c r="AH1349" s="43" t="s">
        <v>3010</v>
      </c>
      <c r="AI1349" s="63">
        <f t="shared" si="250"/>
        <v>1.891891891891892E-4</v>
      </c>
      <c r="AJ1349" s="307">
        <f>RTD("money.excel",,$G1349,"PredictVolume")</f>
        <v>7</v>
      </c>
      <c r="AK1349" s="339"/>
    </row>
    <row r="1350" spans="1:37">
      <c r="A1350" s="415">
        <v>7.4</v>
      </c>
      <c r="B1350" s="79">
        <v>28</v>
      </c>
      <c r="C1350" s="79">
        <v>1</v>
      </c>
      <c r="D1350" s="79">
        <v>6</v>
      </c>
      <c r="E1350" s="80">
        <v>-14</v>
      </c>
      <c r="F1350" s="57">
        <v>12.26</v>
      </c>
      <c r="G1350" s="79">
        <v>6655</v>
      </c>
      <c r="H1350" s="8" t="s">
        <v>2084</v>
      </c>
      <c r="I1350" s="22" t="s">
        <v>1096</v>
      </c>
      <c r="J1350" s="73">
        <v>78.349999999999994</v>
      </c>
      <c r="K1350" s="73">
        <v>0.28000000000000003</v>
      </c>
      <c r="L1350" s="73">
        <v>0.12</v>
      </c>
      <c r="N1350" s="318">
        <f t="shared" si="251"/>
        <v>78.75</v>
      </c>
      <c r="O1350" s="81">
        <f>IFERROR(VLOOKUP($G1350,'321買'!A:E,3,0),"'沒有資料'")</f>
        <v>0</v>
      </c>
      <c r="P1350" s="380">
        <f>IFERROR(VLOOKUP($G1350,'321買'!$A:$G,7,0),"'沒有資料'")</f>
        <v>911</v>
      </c>
      <c r="R1350" s="297">
        <f>IFERROR(RANK(VLOOKUP($G1350,連買!$A:$D,4,0),連買!$D:$D,0),"'沒有資料'")</f>
        <v>391</v>
      </c>
      <c r="S1350" s="34">
        <v>2</v>
      </c>
      <c r="T1350" s="353">
        <f t="shared" si="249"/>
        <v>1.7937219730941704E-2</v>
      </c>
      <c r="U1350" s="95">
        <v>4.0599999999999996</v>
      </c>
      <c r="V1350" s="36">
        <f>RTD("money.excel",,"6655","Price")</f>
        <v>111.5</v>
      </c>
      <c r="W1350" s="66"/>
      <c r="X1350" s="15">
        <f t="shared" si="244"/>
        <v>111.5</v>
      </c>
      <c r="Y1350" s="3" t="e">
        <f t="shared" si="245"/>
        <v>#DIV/0!</v>
      </c>
      <c r="Z1350" s="413" t="s">
        <v>1801</v>
      </c>
      <c r="AA1350" s="161">
        <v>0</v>
      </c>
      <c r="AB1350" s="409">
        <v>0</v>
      </c>
      <c r="AC1350" s="259">
        <f t="shared" si="252"/>
        <v>0</v>
      </c>
      <c r="AD1350" s="22" t="s">
        <v>1096</v>
      </c>
      <c r="AG1350" s="33">
        <f t="shared" si="246"/>
        <v>0</v>
      </c>
      <c r="AH1350" s="43" t="s">
        <v>3011</v>
      </c>
      <c r="AI1350" s="63">
        <f t="shared" si="250"/>
        <v>5.8918918918918917E-3</v>
      </c>
      <c r="AJ1350" s="307">
        <f>RTD("money.excel",,$G1350,"PredictVolume")</f>
        <v>436</v>
      </c>
      <c r="AK1350" s="339"/>
    </row>
    <row r="1351" spans="1:37">
      <c r="A1351" s="415">
        <v>13.1</v>
      </c>
      <c r="B1351" s="79">
        <v>108</v>
      </c>
      <c r="C1351" s="79">
        <v>91</v>
      </c>
      <c r="D1351" s="80">
        <v>-38</v>
      </c>
      <c r="E1351" s="79">
        <v>29</v>
      </c>
      <c r="F1351" s="57">
        <v>13.53</v>
      </c>
      <c r="G1351" s="79">
        <v>6670</v>
      </c>
      <c r="H1351" s="8" t="s">
        <v>235</v>
      </c>
      <c r="I1351" s="22" t="s">
        <v>1097</v>
      </c>
      <c r="J1351" s="323">
        <v>73.209999999999994</v>
      </c>
      <c r="K1351" s="73">
        <v>21.37</v>
      </c>
      <c r="L1351" s="73">
        <v>1.48</v>
      </c>
      <c r="M1351" s="323">
        <v>8.18</v>
      </c>
      <c r="N1351" s="318">
        <f t="shared" si="251"/>
        <v>104.24000000000001</v>
      </c>
      <c r="O1351" s="81">
        <f>IFERROR(VLOOKUP($G1351,'321買'!A:E,3,0),"'沒有資料'")</f>
        <v>0</v>
      </c>
      <c r="P1351" s="380">
        <f>IFERROR(VLOOKUP($G1351,'321買'!$A:$G,7,0),"'沒有資料'")</f>
        <v>911</v>
      </c>
      <c r="Q1351" s="388" t="s">
        <v>6631</v>
      </c>
      <c r="R1351" s="297">
        <f>IFERROR(RANK(VLOOKUP($G1351,連買!$A:$D,4,0),連買!$D:$D,0),"'沒有資料'")</f>
        <v>78</v>
      </c>
      <c r="S1351" s="66">
        <v>12</v>
      </c>
      <c r="T1351" s="353">
        <f t="shared" si="249"/>
        <v>5.6338028169014086E-2</v>
      </c>
      <c r="U1351" s="57">
        <v>14.92</v>
      </c>
      <c r="V1351" s="36">
        <f>RTD("money.excel",,"6670","Price")</f>
        <v>213</v>
      </c>
      <c r="W1351" s="66"/>
      <c r="X1351" s="15">
        <f t="shared" si="244"/>
        <v>213</v>
      </c>
      <c r="Y1351" s="3" t="e">
        <f t="shared" si="245"/>
        <v>#DIV/0!</v>
      </c>
      <c r="Z1351" s="413" t="s">
        <v>6630</v>
      </c>
      <c r="AA1351" s="161">
        <v>0</v>
      </c>
      <c r="AB1351" s="409">
        <v>0</v>
      </c>
      <c r="AC1351" s="259">
        <f t="shared" si="252"/>
        <v>0</v>
      </c>
      <c r="AD1351" s="22" t="s">
        <v>1097</v>
      </c>
      <c r="AG1351" s="33">
        <f t="shared" si="246"/>
        <v>0</v>
      </c>
      <c r="AH1351" s="43" t="s">
        <v>3275</v>
      </c>
      <c r="AI1351" s="63">
        <f t="shared" si="250"/>
        <v>6.4656488549618323E-3</v>
      </c>
      <c r="AJ1351" s="307">
        <f>RTD("money.excel",,$G1351,"PredictVolume")</f>
        <v>847</v>
      </c>
      <c r="AK1351" s="339">
        <v>3.9</v>
      </c>
    </row>
    <row r="1352" spans="1:37">
      <c r="A1352" s="415">
        <v>6.08</v>
      </c>
      <c r="B1352" s="91">
        <v>32</v>
      </c>
      <c r="C1352" s="91">
        <v>37</v>
      </c>
      <c r="D1352" s="91">
        <v>-21</v>
      </c>
      <c r="E1352" s="91">
        <v>91</v>
      </c>
      <c r="F1352" s="57">
        <v>14.3</v>
      </c>
      <c r="G1352" s="79">
        <v>6671</v>
      </c>
      <c r="H1352" s="8" t="s">
        <v>2084</v>
      </c>
      <c r="I1352" s="22" t="s">
        <v>1098</v>
      </c>
      <c r="J1352" s="73">
        <v>83.71</v>
      </c>
      <c r="K1352" s="73">
        <v>62.56</v>
      </c>
      <c r="N1352" s="318">
        <f t="shared" si="251"/>
        <v>146.26999999999998</v>
      </c>
      <c r="O1352" s="81">
        <f>IFERROR(VLOOKUP($G1352,'321買'!A:E,3,0),"'沒有資料'")</f>
        <v>0</v>
      </c>
      <c r="P1352" s="380">
        <f>IFERROR(VLOOKUP($G1352,'321買'!$A:$G,7,0),"'沒有資料'")</f>
        <v>911</v>
      </c>
      <c r="R1352" s="297">
        <f>IFERROR(RANK(VLOOKUP($G1352,連買!$A:$D,4,0),連買!$D:$D,0),"'沒有資料'")</f>
        <v>600</v>
      </c>
      <c r="S1352" s="66">
        <v>3</v>
      </c>
      <c r="T1352" s="353">
        <f t="shared" si="249"/>
        <v>6.2630480167014613E-2</v>
      </c>
      <c r="U1352" s="57">
        <v>3.66</v>
      </c>
      <c r="V1352" s="13">
        <f>RTD("money.excel",,"6671","Price")</f>
        <v>47.9</v>
      </c>
      <c r="W1352" s="66"/>
      <c r="X1352" s="15">
        <f t="shared" si="244"/>
        <v>47.9</v>
      </c>
      <c r="Y1352" s="3" t="e">
        <f t="shared" si="245"/>
        <v>#DIV/0!</v>
      </c>
      <c r="Z1352" s="413" t="s">
        <v>1831</v>
      </c>
      <c r="AA1352" s="161">
        <v>0</v>
      </c>
      <c r="AB1352" s="409">
        <v>0</v>
      </c>
      <c r="AC1352" s="259">
        <f t="shared" si="252"/>
        <v>0</v>
      </c>
      <c r="AD1352" s="22" t="s">
        <v>1098</v>
      </c>
      <c r="AG1352" s="33">
        <f t="shared" si="246"/>
        <v>0</v>
      </c>
      <c r="AH1352" s="43" t="s">
        <v>3012</v>
      </c>
      <c r="AI1352" s="63">
        <f t="shared" si="250"/>
        <v>1.4802631578947369E-4</v>
      </c>
      <c r="AJ1352" s="307">
        <f>RTD("money.excel",,$G1352,"PredictVolume")</f>
        <v>9</v>
      </c>
      <c r="AK1352" s="339"/>
    </row>
    <row r="1353" spans="1:37">
      <c r="A1353" s="415">
        <v>6.6</v>
      </c>
      <c r="B1353" s="80">
        <v>-21</v>
      </c>
      <c r="C1353" s="80">
        <v>-26</v>
      </c>
      <c r="D1353" s="79">
        <v>9</v>
      </c>
      <c r="E1353" s="80">
        <v>-45</v>
      </c>
      <c r="F1353" s="57">
        <v>10.35</v>
      </c>
      <c r="G1353" s="79">
        <v>6754</v>
      </c>
      <c r="H1353" s="8" t="s">
        <v>2084</v>
      </c>
      <c r="I1353" s="22" t="s">
        <v>2083</v>
      </c>
      <c r="J1353" s="323">
        <v>85.42</v>
      </c>
      <c r="K1353" s="323">
        <v>24.31</v>
      </c>
      <c r="L1353" s="323"/>
      <c r="N1353" s="318">
        <f t="shared" si="251"/>
        <v>109.73</v>
      </c>
      <c r="O1353" s="81">
        <f>IFERROR(VLOOKUP($G1353,'321買'!A:E,3,0),"'沒有資料'")</f>
        <v>1</v>
      </c>
      <c r="P1353" s="380">
        <f>IFERROR(VLOOKUP($G1353,'321買'!$A:$G,7,0),"'沒有資料'")</f>
        <v>783</v>
      </c>
      <c r="R1353" s="297">
        <f>IFERROR(RANK(VLOOKUP($G1353,連買!$A:$D,4,0),連買!$D:$D,0),"'沒有資料'")</f>
        <v>1556</v>
      </c>
      <c r="S1353" s="34">
        <v>2.8</v>
      </c>
      <c r="T1353" s="353">
        <f t="shared" si="249"/>
        <v>6.2084257206208422E-2</v>
      </c>
      <c r="U1353" s="95">
        <v>3.48</v>
      </c>
      <c r="V1353" s="36">
        <f>RTD("money.excel",,"6754","Price")</f>
        <v>45.1</v>
      </c>
      <c r="W1353" s="66"/>
      <c r="X1353" s="15">
        <f t="shared" si="244"/>
        <v>45.1</v>
      </c>
      <c r="Y1353" s="35" t="e">
        <f t="shared" si="245"/>
        <v>#DIV/0!</v>
      </c>
      <c r="AA1353" s="161">
        <v>0</v>
      </c>
      <c r="AB1353" s="409">
        <v>0</v>
      </c>
      <c r="AC1353" s="259">
        <f t="shared" si="252"/>
        <v>0</v>
      </c>
      <c r="AD1353" s="22" t="s">
        <v>2083</v>
      </c>
      <c r="AG1353" s="33">
        <f t="shared" si="246"/>
        <v>0</v>
      </c>
      <c r="AH1353" s="59" t="s">
        <v>2085</v>
      </c>
      <c r="AI1353" s="63">
        <f t="shared" si="250"/>
        <v>1.0303030303030303E-3</v>
      </c>
      <c r="AJ1353" s="307">
        <f>RTD("money.excel",,$G1353,"PredictVolume")</f>
        <v>68</v>
      </c>
      <c r="AK1353" s="81"/>
    </row>
    <row r="1354" spans="1:37">
      <c r="A1354" s="416">
        <v>19.600000000000001</v>
      </c>
      <c r="B1354" s="80">
        <v>-60</v>
      </c>
      <c r="C1354" s="80">
        <v>-50</v>
      </c>
      <c r="D1354" s="79">
        <v>13</v>
      </c>
      <c r="E1354" s="80">
        <v>-3</v>
      </c>
      <c r="F1354" s="6">
        <v>5.84</v>
      </c>
      <c r="G1354" s="79">
        <v>6768</v>
      </c>
      <c r="H1354" s="8" t="s">
        <v>2084</v>
      </c>
      <c r="I1354" s="22" t="s">
        <v>3432</v>
      </c>
      <c r="J1354" s="323">
        <v>87.21</v>
      </c>
      <c r="K1354" s="73">
        <v>76</v>
      </c>
      <c r="N1354" s="318">
        <f t="shared" si="251"/>
        <v>163.20999999999998</v>
      </c>
      <c r="O1354" s="81">
        <f>IFERROR(VLOOKUP($G1354,'321買'!A:E,3,0),"'沒有資料'")</f>
        <v>0</v>
      </c>
      <c r="P1354" s="380">
        <f>IFERROR(VLOOKUP($G1354,'321買'!$A:$G,7,0),"'沒有資料'")</f>
        <v>911</v>
      </c>
      <c r="R1354" s="297">
        <f>IFERROR(RANK(VLOOKUP($G1354,連買!$A:$D,4,0),連買!$D:$D,0),"'沒有資料'")</f>
        <v>365</v>
      </c>
      <c r="S1354" s="66">
        <v>3.38</v>
      </c>
      <c r="T1354" s="353">
        <f t="shared" si="249"/>
        <v>4.7807637906647805E-2</v>
      </c>
      <c r="U1354" s="57" t="s">
        <v>3500</v>
      </c>
      <c r="V1354" s="13">
        <f>RTD("money.excel",,"6768","Price")</f>
        <v>70.7</v>
      </c>
      <c r="W1354" s="66"/>
      <c r="X1354" s="15">
        <f t="shared" si="244"/>
        <v>70.7</v>
      </c>
      <c r="Y1354" s="3" t="e">
        <f t="shared" si="245"/>
        <v>#DIV/0!</v>
      </c>
      <c r="Z1354" s="413" t="s">
        <v>1997</v>
      </c>
      <c r="AA1354" s="161">
        <v>0</v>
      </c>
      <c r="AB1354" s="409">
        <v>0</v>
      </c>
      <c r="AC1354" s="259">
        <f t="shared" si="252"/>
        <v>0</v>
      </c>
      <c r="AD1354" s="22" t="s">
        <v>3432</v>
      </c>
      <c r="AG1354" s="33">
        <f t="shared" si="246"/>
        <v>0</v>
      </c>
      <c r="AH1354" s="43" t="s">
        <v>3433</v>
      </c>
      <c r="AI1354" s="63">
        <f t="shared" si="250"/>
        <v>4.7959183673469387E-4</v>
      </c>
      <c r="AJ1354" s="307">
        <f>RTD("money.excel",,$G1354,"PredictVolume")</f>
        <v>94</v>
      </c>
      <c r="AK1354" s="339"/>
    </row>
    <row r="1355" spans="1:37">
      <c r="A1355" s="415">
        <v>26.7</v>
      </c>
      <c r="B1355" s="79">
        <v>4</v>
      </c>
      <c r="C1355" s="80">
        <v>-4</v>
      </c>
      <c r="D1355" s="79">
        <v>11</v>
      </c>
      <c r="E1355" s="80">
        <v>-12</v>
      </c>
      <c r="F1355" s="57">
        <v>15.6</v>
      </c>
      <c r="G1355" s="79">
        <v>6790</v>
      </c>
      <c r="H1355" s="8" t="s">
        <v>2084</v>
      </c>
      <c r="I1355" s="22" t="s">
        <v>3685</v>
      </c>
      <c r="J1355" s="73">
        <v>81.87</v>
      </c>
      <c r="K1355" s="323">
        <v>2.91</v>
      </c>
      <c r="L1355" s="323"/>
      <c r="N1355" s="318">
        <f t="shared" si="251"/>
        <v>84.78</v>
      </c>
      <c r="O1355" s="81">
        <f>IFERROR(VLOOKUP($G1355,'321買'!A:E,3,0),"'沒有資料'")</f>
        <v>0</v>
      </c>
      <c r="P1355" s="380">
        <f>IFERROR(VLOOKUP($G1355,'321買'!$A:$G,7,0),"'沒有資料'")</f>
        <v>911</v>
      </c>
      <c r="R1355" s="297">
        <f>IFERROR(RANK(VLOOKUP($G1355,連買!$A:$D,4,0),連買!$D:$D,0),"'沒有資料'")</f>
        <v>1156</v>
      </c>
      <c r="S1355" s="66">
        <v>4</v>
      </c>
      <c r="T1355" s="353">
        <f t="shared" si="249"/>
        <v>8.3769633507853408E-2</v>
      </c>
      <c r="U1355" s="57" t="s">
        <v>3500</v>
      </c>
      <c r="V1355" s="13">
        <f>RTD("money.excel",,"6790","Price")</f>
        <v>47.75</v>
      </c>
      <c r="W1355" s="66"/>
      <c r="X1355" s="15">
        <f t="shared" si="244"/>
        <v>47.75</v>
      </c>
      <c r="Y1355" s="3" t="e">
        <f t="shared" si="245"/>
        <v>#DIV/0!</v>
      </c>
      <c r="Z1355" s="413" t="s">
        <v>1997</v>
      </c>
      <c r="AA1355" s="161">
        <v>0</v>
      </c>
      <c r="AB1355" s="409">
        <v>0</v>
      </c>
      <c r="AC1355" s="259">
        <f t="shared" si="252"/>
        <v>0</v>
      </c>
      <c r="AD1355" s="22" t="s">
        <v>3685</v>
      </c>
      <c r="AG1355" s="33">
        <f t="shared" si="246"/>
        <v>0</v>
      </c>
      <c r="AH1355" s="43" t="s">
        <v>3687</v>
      </c>
      <c r="AI1355" s="63">
        <f t="shared" si="250"/>
        <v>2.4719101123595505E-4</v>
      </c>
      <c r="AJ1355" s="307">
        <f>RTD("money.excel",,$G1355,"PredictVolume")</f>
        <v>66</v>
      </c>
      <c r="AK1355" s="339"/>
    </row>
    <row r="1356" spans="1:37">
      <c r="A1356" s="415">
        <v>6.9</v>
      </c>
      <c r="B1356" s="79">
        <v>0</v>
      </c>
      <c r="C1356" s="79">
        <v>1</v>
      </c>
      <c r="D1356" s="79">
        <v>1</v>
      </c>
      <c r="E1356" s="79">
        <v>11</v>
      </c>
      <c r="F1356" s="57">
        <v>22.51</v>
      </c>
      <c r="G1356" s="79">
        <v>6803</v>
      </c>
      <c r="H1356" s="8" t="s">
        <v>2084</v>
      </c>
      <c r="I1356" s="16" t="s">
        <v>41</v>
      </c>
      <c r="J1356" s="323">
        <v>63.85</v>
      </c>
      <c r="K1356" s="323">
        <v>2.68</v>
      </c>
      <c r="L1356" s="73">
        <v>0.06</v>
      </c>
      <c r="N1356" s="318">
        <f t="shared" si="251"/>
        <v>66.59</v>
      </c>
      <c r="O1356" s="81">
        <f>IFERROR(VLOOKUP($G1356,'321買'!A:E,3,0),"'沒有資料'")</f>
        <v>0</v>
      </c>
      <c r="P1356" s="380">
        <f>IFERROR(VLOOKUP($G1356,'321買'!$A:$G,7,0),"'沒有資料'")</f>
        <v>911</v>
      </c>
      <c r="R1356" s="297">
        <f>IFERROR(RANK(VLOOKUP($G1356,連買!$A:$D,4,0),連買!$D:$D,0),"'沒有資料'")</f>
        <v>86</v>
      </c>
      <c r="S1356" s="66">
        <v>11</v>
      </c>
      <c r="T1356" s="353">
        <f t="shared" si="249"/>
        <v>4.4444444444444446E-2</v>
      </c>
      <c r="U1356" s="57">
        <v>12.54</v>
      </c>
      <c r="V1356" s="36">
        <f>RTD("money.excel",,"6803","Price")</f>
        <v>247.5</v>
      </c>
      <c r="W1356" s="66"/>
      <c r="X1356" s="15">
        <f t="shared" si="244"/>
        <v>247.5</v>
      </c>
      <c r="Y1356" s="3" t="e">
        <f t="shared" si="245"/>
        <v>#DIV/0!</v>
      </c>
      <c r="Z1356" s="413" t="s">
        <v>1997</v>
      </c>
      <c r="AA1356" s="161">
        <v>0</v>
      </c>
      <c r="AB1356" s="409">
        <v>0</v>
      </c>
      <c r="AC1356" s="259">
        <f t="shared" si="252"/>
        <v>0</v>
      </c>
      <c r="AD1356" s="16" t="s">
        <v>41</v>
      </c>
      <c r="AG1356" s="33">
        <f t="shared" si="246"/>
        <v>0</v>
      </c>
      <c r="AH1356" s="120" t="s">
        <v>1421</v>
      </c>
      <c r="AI1356" s="63">
        <f t="shared" si="250"/>
        <v>4.9275362318840579E-4</v>
      </c>
      <c r="AJ1356" s="307">
        <f>RTD("money.excel",,$G1356,"PredictVolume")</f>
        <v>34</v>
      </c>
      <c r="AK1356" s="339"/>
    </row>
    <row r="1357" spans="1:37">
      <c r="A1357" s="416">
        <v>3</v>
      </c>
      <c r="B1357" s="79">
        <v>91</v>
      </c>
      <c r="C1357" s="79">
        <v>74</v>
      </c>
      <c r="D1357" s="79">
        <v>8</v>
      </c>
      <c r="E1357" s="79">
        <v>56</v>
      </c>
      <c r="F1357" s="6">
        <v>4</v>
      </c>
      <c r="G1357" s="79">
        <v>6804</v>
      </c>
      <c r="H1357" s="8" t="s">
        <v>235</v>
      </c>
      <c r="I1357" s="16" t="s">
        <v>6567</v>
      </c>
      <c r="J1357" s="73">
        <v>72.75</v>
      </c>
      <c r="K1357" s="323">
        <v>8.6999999999999993</v>
      </c>
      <c r="L1357" s="323"/>
      <c r="M1357" s="73">
        <v>27.56</v>
      </c>
      <c r="N1357" s="318">
        <f t="shared" si="251"/>
        <v>109.01</v>
      </c>
      <c r="O1357" s="81" t="str">
        <f>IFERROR(VLOOKUP($G1357,'321買'!A:E,3,0),"'沒有資料'")</f>
        <v>'沒有資料'</v>
      </c>
      <c r="P1357" s="380" t="str">
        <f>IFERROR(VLOOKUP($G1357,'321買'!$A:$G,7,0),"'沒有資料'")</f>
        <v>'沒有資料'</v>
      </c>
      <c r="R1357" s="297" t="str">
        <f>IFERROR(RANK(VLOOKUP($G1357,連買!$A:$D,4,0),連買!$D:$D,0),"'沒有資料'")</f>
        <v>'沒有資料'</v>
      </c>
      <c r="S1357" s="34">
        <v>0.65</v>
      </c>
      <c r="T1357" s="353">
        <f t="shared" si="249"/>
        <v>1.344364012409514E-2</v>
      </c>
      <c r="U1357" s="57" t="s">
        <v>3500</v>
      </c>
      <c r="V1357" s="36">
        <f>RTD("money.excel",,"6804","Price")</f>
        <v>48.35</v>
      </c>
      <c r="W1357" s="66"/>
      <c r="X1357" s="15">
        <f t="shared" ref="X1357" si="253">V1357-W1357</f>
        <v>48.35</v>
      </c>
      <c r="Y1357" s="3" t="e">
        <f t="shared" ref="Y1357" si="254">X1357/W1357</f>
        <v>#DIV/0!</v>
      </c>
      <c r="Z1357" s="413" t="s">
        <v>8641</v>
      </c>
      <c r="AA1357" s="161">
        <v>0</v>
      </c>
      <c r="AB1357" s="409">
        <v>0</v>
      </c>
      <c r="AC1357" s="259">
        <f t="shared" si="252"/>
        <v>0</v>
      </c>
      <c r="AD1357" s="16" t="s">
        <v>6567</v>
      </c>
      <c r="AG1357" s="33">
        <f t="shared" ref="AG1357" si="255">AF1357-AE1357</f>
        <v>0</v>
      </c>
      <c r="AH1357" s="120" t="s">
        <v>6568</v>
      </c>
      <c r="AI1357" s="63">
        <f t="shared" si="250"/>
        <v>5.9999999999999995E-4</v>
      </c>
      <c r="AJ1357" s="307">
        <f>RTD("money.excel",,$G1357,"PredictVolume")</f>
        <v>18</v>
      </c>
      <c r="AK1357" s="339">
        <v>2.3199999999999998</v>
      </c>
    </row>
    <row r="1358" spans="1:37">
      <c r="A1358" s="415">
        <v>14.6</v>
      </c>
      <c r="B1358" s="93">
        <v>3079</v>
      </c>
      <c r="C1358" s="93">
        <v>1960</v>
      </c>
      <c r="D1358" s="79">
        <v>59</v>
      </c>
      <c r="E1358" s="93">
        <v>2788</v>
      </c>
      <c r="F1358" s="57">
        <v>23.5</v>
      </c>
      <c r="G1358" s="79">
        <v>6806</v>
      </c>
      <c r="H1358" s="8" t="s">
        <v>2084</v>
      </c>
      <c r="I1358" s="22" t="s">
        <v>3774</v>
      </c>
      <c r="J1358" s="323">
        <v>65.989999999999995</v>
      </c>
      <c r="K1358" s="73">
        <v>0.62</v>
      </c>
      <c r="L1358" s="323"/>
      <c r="M1358" s="323">
        <v>51.52</v>
      </c>
      <c r="N1358" s="318">
        <f t="shared" si="251"/>
        <v>118.13</v>
      </c>
      <c r="O1358" s="81" t="str">
        <f>IFERROR(VLOOKUP($G1358,'321買'!A:E,3,0),"'沒有資料'")</f>
        <v>'沒有資料'</v>
      </c>
      <c r="P1358" s="380" t="str">
        <f>IFERROR(VLOOKUP($G1358,'321買'!$A:$G,7,0),"'沒有資料'")</f>
        <v>'沒有資料'</v>
      </c>
      <c r="R1358" s="297">
        <f>IFERROR(RANK(VLOOKUP($G1358,連買!$A:$D,4,0),連買!$D:$D,0),"'沒有資料'")</f>
        <v>1460</v>
      </c>
      <c r="S1358" s="34">
        <v>1</v>
      </c>
      <c r="T1358" s="353">
        <f t="shared" si="249"/>
        <v>1.020408163265306E-2</v>
      </c>
      <c r="U1358" s="57">
        <v>5.07</v>
      </c>
      <c r="V1358" s="36">
        <f>RTD("money.excel",,"6806","Price")</f>
        <v>98</v>
      </c>
      <c r="W1358" s="66"/>
      <c r="X1358" s="15">
        <f t="shared" si="244"/>
        <v>98</v>
      </c>
      <c r="Y1358" s="3" t="e">
        <f t="shared" si="245"/>
        <v>#DIV/0!</v>
      </c>
      <c r="AA1358" s="161">
        <v>0</v>
      </c>
      <c r="AB1358" s="409">
        <v>0</v>
      </c>
      <c r="AC1358" s="259">
        <f t="shared" si="252"/>
        <v>0</v>
      </c>
      <c r="AD1358" s="22" t="s">
        <v>3774</v>
      </c>
      <c r="AG1358" s="33">
        <f t="shared" si="246"/>
        <v>0</v>
      </c>
      <c r="AH1358" s="43" t="s">
        <v>3775</v>
      </c>
      <c r="AI1358" s="63">
        <f t="shared" si="250"/>
        <v>3.054794520547945E-3</v>
      </c>
      <c r="AJ1358" s="307">
        <f>RTD("money.excel",,$G1358,"PredictVolume")</f>
        <v>446</v>
      </c>
      <c r="AK1358" s="339"/>
    </row>
    <row r="1359" spans="1:37">
      <c r="A1359" s="416">
        <v>13.2</v>
      </c>
      <c r="B1359" s="80">
        <v>-99</v>
      </c>
      <c r="C1359" s="93">
        <v>1351</v>
      </c>
      <c r="D1359" s="80">
        <v>-5</v>
      </c>
      <c r="E1359" s="79">
        <v>4</v>
      </c>
      <c r="F1359" s="6">
        <v>3.95</v>
      </c>
      <c r="G1359" s="79">
        <v>8033</v>
      </c>
      <c r="H1359" s="8" t="s">
        <v>2084</v>
      </c>
      <c r="I1359" s="22" t="s">
        <v>687</v>
      </c>
      <c r="J1359" s="73">
        <v>19.600000000000001</v>
      </c>
      <c r="K1359" s="323">
        <v>0.66</v>
      </c>
      <c r="N1359" s="318">
        <f t="shared" si="251"/>
        <v>20.260000000000002</v>
      </c>
      <c r="O1359" s="81">
        <f>IFERROR(VLOOKUP($G1359,'321買'!A:E,3,0),"'沒有資料'")</f>
        <v>3</v>
      </c>
      <c r="P1359" s="380">
        <f>IFERROR(VLOOKUP($G1359,'321買'!$A:$G,7,0),"'沒有資料'")</f>
        <v>636</v>
      </c>
      <c r="R1359" s="297">
        <f>IFERROR(RANK(VLOOKUP($G1359,連買!$A:$D,4,0),連買!$D:$D,0),"'沒有資料'")</f>
        <v>915</v>
      </c>
      <c r="S1359" s="34">
        <v>0</v>
      </c>
      <c r="T1359" s="353">
        <f t="shared" si="249"/>
        <v>0</v>
      </c>
      <c r="U1359" s="95">
        <v>-0.11</v>
      </c>
      <c r="V1359" s="36">
        <f>RTD("money.excel",,"8033","Price")</f>
        <v>16.55</v>
      </c>
      <c r="W1359" s="66"/>
      <c r="X1359" s="15">
        <f t="shared" si="244"/>
        <v>16.55</v>
      </c>
      <c r="Y1359" s="3" t="e">
        <f t="shared" si="245"/>
        <v>#DIV/0!</v>
      </c>
      <c r="Z1359" s="413" t="s">
        <v>1801</v>
      </c>
      <c r="AA1359" s="161">
        <v>0</v>
      </c>
      <c r="AB1359" s="409">
        <v>0</v>
      </c>
      <c r="AC1359" s="259">
        <f t="shared" si="252"/>
        <v>0</v>
      </c>
      <c r="AD1359" s="22" t="s">
        <v>687</v>
      </c>
      <c r="AG1359" s="33">
        <f t="shared" si="246"/>
        <v>0</v>
      </c>
      <c r="AH1359" s="43" t="s">
        <v>2365</v>
      </c>
      <c r="AI1359" s="63">
        <f t="shared" si="250"/>
        <v>4.3484848484848489E-3</v>
      </c>
      <c r="AJ1359" s="307">
        <f>RTD("money.excel",,$G1359,"PredictVolume")</f>
        <v>574</v>
      </c>
      <c r="AK1359" s="339"/>
    </row>
    <row r="1360" spans="1:37">
      <c r="A1360" s="415">
        <v>11.1</v>
      </c>
      <c r="B1360" s="80">
        <v>-3</v>
      </c>
      <c r="C1360" s="79">
        <v>5</v>
      </c>
      <c r="D1360" s="79">
        <v>11</v>
      </c>
      <c r="E1360" s="79">
        <v>17</v>
      </c>
      <c r="F1360" s="57">
        <v>43.26</v>
      </c>
      <c r="G1360" s="79">
        <v>8341</v>
      </c>
      <c r="H1360" s="8" t="s">
        <v>2084</v>
      </c>
      <c r="I1360" s="22" t="s">
        <v>688</v>
      </c>
      <c r="J1360" s="73">
        <v>55.84</v>
      </c>
      <c r="K1360" s="323">
        <v>23.44</v>
      </c>
      <c r="L1360" s="323">
        <v>2.2400000000000002</v>
      </c>
      <c r="N1360" s="318">
        <f t="shared" si="251"/>
        <v>81.52</v>
      </c>
      <c r="O1360" s="81">
        <f>IFERROR(VLOOKUP($G1360,'321買'!A:E,3,0),"'沒有資料'")</f>
        <v>0</v>
      </c>
      <c r="P1360" s="380">
        <f>IFERROR(VLOOKUP($G1360,'321買'!$A:$G,7,0),"'沒有資料'")</f>
        <v>911</v>
      </c>
      <c r="R1360" s="297">
        <f>IFERROR(RANK(VLOOKUP($G1360,連買!$A:$D,4,0),連買!$D:$D,0),"'沒有資料'")</f>
        <v>1698</v>
      </c>
      <c r="S1360" s="66">
        <v>8.1999999999999993</v>
      </c>
      <c r="T1360" s="353">
        <f t="shared" si="249"/>
        <v>3.6771300448430487E-2</v>
      </c>
      <c r="U1360" s="95">
        <v>8.91</v>
      </c>
      <c r="V1360" s="36">
        <f>RTD("money.excel",,"8341","Price")</f>
        <v>223</v>
      </c>
      <c r="W1360" s="66"/>
      <c r="X1360" s="15">
        <f t="shared" si="244"/>
        <v>223</v>
      </c>
      <c r="Y1360" s="3" t="e">
        <f t="shared" si="245"/>
        <v>#DIV/0!</v>
      </c>
      <c r="Z1360" s="413" t="s">
        <v>1831</v>
      </c>
      <c r="AA1360" s="161">
        <v>0</v>
      </c>
      <c r="AB1360" s="409">
        <v>0</v>
      </c>
      <c r="AC1360" s="259">
        <f t="shared" si="252"/>
        <v>0</v>
      </c>
      <c r="AD1360" s="22" t="s">
        <v>688</v>
      </c>
      <c r="AG1360" s="33">
        <f t="shared" si="246"/>
        <v>0</v>
      </c>
      <c r="AH1360" s="43" t="s">
        <v>1455</v>
      </c>
      <c r="AI1360" s="63">
        <f t="shared" si="250"/>
        <v>3.1351351351351351E-3</v>
      </c>
      <c r="AJ1360" s="307">
        <f>RTD("money.excel",,$G1360,"PredictVolume")</f>
        <v>348</v>
      </c>
      <c r="AK1360" s="339"/>
    </row>
    <row r="1361" spans="1:37">
      <c r="A1361" s="416">
        <v>3.35</v>
      </c>
      <c r="B1361" s="79">
        <v>77</v>
      </c>
      <c r="C1361" s="79">
        <v>39</v>
      </c>
      <c r="D1361" s="79">
        <v>35</v>
      </c>
      <c r="E1361" s="80">
        <v>-11</v>
      </c>
      <c r="F1361" s="6">
        <v>9.1199999999999992</v>
      </c>
      <c r="G1361" s="79">
        <v>8342</v>
      </c>
      <c r="H1361" s="8" t="s">
        <v>2084</v>
      </c>
      <c r="I1361" s="16" t="s">
        <v>651</v>
      </c>
      <c r="J1361" s="73">
        <v>56.88</v>
      </c>
      <c r="K1361" s="73">
        <v>0.27</v>
      </c>
      <c r="L1361" s="323">
        <v>0.31</v>
      </c>
      <c r="N1361" s="318">
        <f t="shared" si="251"/>
        <v>57.460000000000008</v>
      </c>
      <c r="O1361" s="81">
        <f>IFERROR(VLOOKUP($G1361,'321買'!A:E,3,0),"'沒有資料'")</f>
        <v>0</v>
      </c>
      <c r="P1361" s="380">
        <f>IFERROR(VLOOKUP($G1361,'321買'!$A:$G,7,0),"'沒有資料'")</f>
        <v>911</v>
      </c>
      <c r="R1361" s="297">
        <f>IFERROR(RANK(VLOOKUP($G1361,連買!$A:$D,4,0),連買!$D:$D,0),"'沒有資料'")</f>
        <v>616</v>
      </c>
      <c r="S1361" s="66">
        <v>4</v>
      </c>
      <c r="T1361" s="353">
        <f t="shared" si="249"/>
        <v>7.5901328273244778E-2</v>
      </c>
      <c r="U1361" s="57">
        <v>5.63</v>
      </c>
      <c r="V1361" s="36">
        <f>RTD("money.excel",,"8342","Price")</f>
        <v>52.7</v>
      </c>
      <c r="W1361" s="66"/>
      <c r="X1361" s="15">
        <f t="shared" si="244"/>
        <v>52.7</v>
      </c>
      <c r="Y1361" s="3" t="e">
        <f t="shared" si="245"/>
        <v>#DIV/0!</v>
      </c>
      <c r="Z1361" s="413" t="s">
        <v>1831</v>
      </c>
      <c r="AA1361" s="161">
        <v>0</v>
      </c>
      <c r="AB1361" s="409">
        <v>0</v>
      </c>
      <c r="AC1361" s="259">
        <f t="shared" si="252"/>
        <v>0</v>
      </c>
      <c r="AD1361" s="16" t="s">
        <v>651</v>
      </c>
      <c r="AG1361" s="33">
        <f t="shared" si="246"/>
        <v>0</v>
      </c>
      <c r="AH1361" s="43" t="s">
        <v>2654</v>
      </c>
      <c r="AI1361" s="63">
        <f t="shared" si="250"/>
        <v>2.6865671641791044E-4</v>
      </c>
      <c r="AJ1361" s="307">
        <f>RTD("money.excel",,$G1361,"PredictVolume")</f>
        <v>9</v>
      </c>
      <c r="AK1361" s="339"/>
    </row>
    <row r="1362" spans="1:37">
      <c r="A1362" s="415">
        <v>11.9</v>
      </c>
      <c r="B1362" s="79">
        <v>285</v>
      </c>
      <c r="C1362" s="79">
        <v>305</v>
      </c>
      <c r="D1362" s="80">
        <v>-15</v>
      </c>
      <c r="E1362" s="79">
        <v>40</v>
      </c>
      <c r="F1362" s="57">
        <v>18.61</v>
      </c>
      <c r="G1362" s="79">
        <v>8390</v>
      </c>
      <c r="H1362" s="8" t="s">
        <v>2084</v>
      </c>
      <c r="I1362" s="16" t="s">
        <v>652</v>
      </c>
      <c r="J1362" s="323">
        <v>41.17</v>
      </c>
      <c r="K1362" s="323">
        <v>18.28</v>
      </c>
      <c r="L1362" s="323">
        <v>19.34</v>
      </c>
      <c r="N1362" s="318">
        <f t="shared" si="251"/>
        <v>78.790000000000006</v>
      </c>
      <c r="O1362" s="81">
        <f>IFERROR(VLOOKUP($G1362,'321買'!A:E,3,0),"'沒有資料'")</f>
        <v>10</v>
      </c>
      <c r="P1362" s="380">
        <f>IFERROR(VLOOKUP($G1362,'321買'!$A:$G,7,0),"'沒有資料'")</f>
        <v>408</v>
      </c>
      <c r="R1362" s="297">
        <f>IFERROR(RANK(VLOOKUP($G1362,連買!$A:$D,4,0),連買!$D:$D,0),"'沒有資料'")</f>
        <v>535</v>
      </c>
      <c r="S1362" s="34">
        <v>1.6</v>
      </c>
      <c r="T1362" s="353">
        <f t="shared" si="249"/>
        <v>4.2160737812911728E-2</v>
      </c>
      <c r="U1362" s="95">
        <v>3.37</v>
      </c>
      <c r="V1362" s="36">
        <f>RTD("money.excel",,"8390","Price")</f>
        <v>37.950000000000003</v>
      </c>
      <c r="W1362" s="66"/>
      <c r="X1362" s="15">
        <f t="shared" si="244"/>
        <v>37.950000000000003</v>
      </c>
      <c r="Y1362" s="3" t="e">
        <f t="shared" si="245"/>
        <v>#DIV/0!</v>
      </c>
      <c r="AA1362" s="161">
        <v>0</v>
      </c>
      <c r="AB1362" s="409">
        <v>0</v>
      </c>
      <c r="AC1362" s="259">
        <f t="shared" si="252"/>
        <v>0</v>
      </c>
      <c r="AD1362" s="16" t="s">
        <v>652</v>
      </c>
      <c r="AG1362" s="33">
        <f t="shared" si="246"/>
        <v>0</v>
      </c>
      <c r="AH1362" s="43" t="s">
        <v>3260</v>
      </c>
      <c r="AI1362" s="63">
        <f t="shared" si="250"/>
        <v>3.8672268907563027E-2</v>
      </c>
      <c r="AJ1362" s="307">
        <f>RTD("money.excel",,$G1362,"PredictVolume")</f>
        <v>4602</v>
      </c>
      <c r="AK1362" s="339"/>
    </row>
    <row r="1363" spans="1:37">
      <c r="A1363" s="416">
        <v>6</v>
      </c>
      <c r="B1363" s="91">
        <v>600</v>
      </c>
      <c r="C1363" s="91">
        <v>259</v>
      </c>
      <c r="D1363" s="91">
        <v>-13</v>
      </c>
      <c r="E1363" s="91">
        <v>60</v>
      </c>
      <c r="F1363" s="6">
        <v>1.24</v>
      </c>
      <c r="G1363" s="79">
        <v>8401</v>
      </c>
      <c r="H1363" s="8" t="s">
        <v>2084</v>
      </c>
      <c r="I1363" s="16" t="s">
        <v>653</v>
      </c>
      <c r="J1363" s="73">
        <v>50.71</v>
      </c>
      <c r="K1363" s="73">
        <v>1.07</v>
      </c>
      <c r="L1363" s="73">
        <v>8.81</v>
      </c>
      <c r="N1363" s="318">
        <f t="shared" si="251"/>
        <v>60.59</v>
      </c>
      <c r="O1363" s="81">
        <f>IFERROR(VLOOKUP($G1363,'321買'!A:E,3,0),"'沒有資料'")</f>
        <v>3</v>
      </c>
      <c r="P1363" s="380">
        <f>IFERROR(VLOOKUP($G1363,'321買'!$A:$G,7,0),"'沒有資料'")</f>
        <v>636</v>
      </c>
      <c r="R1363" s="297">
        <f>IFERROR(RANK(VLOOKUP($G1363,連買!$A:$D,4,0),連買!$D:$D,0),"'沒有資料'")</f>
        <v>1026</v>
      </c>
      <c r="S1363" s="34">
        <v>0.67</v>
      </c>
      <c r="T1363" s="353">
        <f t="shared" si="249"/>
        <v>3.9644970414201189E-2</v>
      </c>
      <c r="U1363" s="95">
        <v>0.75</v>
      </c>
      <c r="V1363" s="13">
        <f>RTD("money.excel",,"8401","Price")</f>
        <v>16.899999999999999</v>
      </c>
      <c r="W1363" s="66"/>
      <c r="X1363" s="15">
        <f t="shared" si="244"/>
        <v>16.899999999999999</v>
      </c>
      <c r="Y1363" s="3" t="e">
        <f t="shared" si="245"/>
        <v>#DIV/0!</v>
      </c>
      <c r="AA1363" s="161">
        <v>0</v>
      </c>
      <c r="AB1363" s="409">
        <v>0</v>
      </c>
      <c r="AC1363" s="259">
        <f t="shared" si="252"/>
        <v>0</v>
      </c>
      <c r="AD1363" s="16" t="s">
        <v>653</v>
      </c>
      <c r="AG1363" s="33">
        <f t="shared" si="246"/>
        <v>0</v>
      </c>
      <c r="AH1363" s="43" t="s">
        <v>2655</v>
      </c>
      <c r="AI1363" s="63">
        <f t="shared" si="250"/>
        <v>3.1833333333333332E-3</v>
      </c>
      <c r="AJ1363" s="307">
        <f>RTD("money.excel",,$G1363,"PredictVolume")</f>
        <v>191</v>
      </c>
    </row>
    <row r="1364" spans="1:37">
      <c r="A1364" s="415">
        <v>31.5</v>
      </c>
      <c r="B1364" s="79">
        <v>186</v>
      </c>
      <c r="C1364" s="79">
        <v>131</v>
      </c>
      <c r="D1364" s="80">
        <v>-14</v>
      </c>
      <c r="E1364" s="79">
        <v>43</v>
      </c>
      <c r="F1364" s="57">
        <v>25.9</v>
      </c>
      <c r="G1364" s="79">
        <v>8404</v>
      </c>
      <c r="H1364" s="8" t="s">
        <v>2084</v>
      </c>
      <c r="I1364" s="22" t="s">
        <v>1099</v>
      </c>
      <c r="J1364" s="323">
        <v>73.790000000000006</v>
      </c>
      <c r="K1364" s="323">
        <v>58.43</v>
      </c>
      <c r="L1364" s="323">
        <v>3.02</v>
      </c>
      <c r="N1364" s="318">
        <f t="shared" si="251"/>
        <v>135.24</v>
      </c>
      <c r="O1364" s="81">
        <f>IFERROR(VLOOKUP($G1364,'321買'!A:E,3,0),"'沒有資料'")</f>
        <v>0</v>
      </c>
      <c r="P1364" s="380">
        <f>IFERROR(VLOOKUP($G1364,'321買'!$A:$G,7,0),"'沒有資料'")</f>
        <v>911</v>
      </c>
      <c r="R1364" s="297">
        <f>IFERROR(RANK(VLOOKUP($G1364,連買!$A:$D,4,0),連買!$D:$D,0),"'沒有資料'")</f>
        <v>1634</v>
      </c>
      <c r="S1364" s="34">
        <v>1</v>
      </c>
      <c r="T1364" s="353">
        <f t="shared" si="249"/>
        <v>2.7510316368638238E-2</v>
      </c>
      <c r="U1364" s="57">
        <v>3.65</v>
      </c>
      <c r="V1364" s="13">
        <f>RTD("money.excel",,"8404","Price")</f>
        <v>36.35</v>
      </c>
      <c r="W1364" s="66"/>
      <c r="X1364" s="15">
        <f t="shared" si="244"/>
        <v>36.35</v>
      </c>
      <c r="Y1364" s="3" t="e">
        <f t="shared" si="245"/>
        <v>#DIV/0!</v>
      </c>
      <c r="Z1364" s="413" t="s">
        <v>1801</v>
      </c>
      <c r="AA1364" s="161">
        <v>0</v>
      </c>
      <c r="AB1364" s="409">
        <v>0</v>
      </c>
      <c r="AC1364" s="259">
        <f t="shared" si="252"/>
        <v>0</v>
      </c>
      <c r="AD1364" s="22" t="s">
        <v>1099</v>
      </c>
      <c r="AG1364" s="33">
        <f t="shared" si="246"/>
        <v>0</v>
      </c>
      <c r="AH1364" s="122" t="s">
        <v>3013</v>
      </c>
      <c r="AI1364" s="63">
        <f t="shared" si="250"/>
        <v>9.1111111111111113E-4</v>
      </c>
      <c r="AJ1364" s="307">
        <f>RTD("money.excel",,$G1364,"PredictVolume")</f>
        <v>287</v>
      </c>
      <c r="AK1364" s="339"/>
    </row>
    <row r="1365" spans="1:37">
      <c r="A1365" s="416">
        <v>17.5</v>
      </c>
      <c r="B1365" s="91">
        <v>150</v>
      </c>
      <c r="C1365" s="91">
        <v>308</v>
      </c>
      <c r="D1365" s="91">
        <v>13</v>
      </c>
      <c r="E1365" s="91">
        <v>65</v>
      </c>
      <c r="F1365" s="6">
        <v>-1.46</v>
      </c>
      <c r="G1365" s="79">
        <v>8411</v>
      </c>
      <c r="H1365" s="8" t="s">
        <v>2084</v>
      </c>
      <c r="I1365" s="22" t="s">
        <v>689</v>
      </c>
      <c r="J1365" s="73">
        <v>80.239999999999995</v>
      </c>
      <c r="K1365" s="73">
        <v>62.35</v>
      </c>
      <c r="L1365" s="73">
        <v>2.0699999999999998</v>
      </c>
      <c r="N1365" s="318">
        <f t="shared" si="251"/>
        <v>144.66</v>
      </c>
      <c r="O1365" s="81">
        <f>IFERROR(VLOOKUP($G1365,'321買'!A:E,3,0),"'沒有資料'")</f>
        <v>0</v>
      </c>
      <c r="P1365" s="380">
        <f>IFERROR(VLOOKUP($G1365,'321買'!$A:$G,7,0),"'沒有資料'")</f>
        <v>911</v>
      </c>
      <c r="R1365" s="297">
        <f>IFERROR(RANK(VLOOKUP($G1365,連買!$A:$D,4,0),連買!$D:$D,0),"'沒有資料'")</f>
        <v>1189</v>
      </c>
      <c r="S1365" s="34">
        <v>0.17</v>
      </c>
      <c r="T1365" s="353">
        <f t="shared" si="249"/>
        <v>9.8265895953757228E-3</v>
      </c>
      <c r="U1365" s="57">
        <v>0.38</v>
      </c>
      <c r="V1365" s="13">
        <f>RTD("money.excel",,"8411","Price")</f>
        <v>17.3</v>
      </c>
      <c r="W1365" s="66"/>
      <c r="X1365" s="15">
        <f t="shared" si="244"/>
        <v>17.3</v>
      </c>
      <c r="Y1365" s="3" t="e">
        <f t="shared" si="245"/>
        <v>#DIV/0!</v>
      </c>
      <c r="Z1365" s="413" t="s">
        <v>1801</v>
      </c>
      <c r="AA1365" s="161">
        <v>0</v>
      </c>
      <c r="AB1365" s="409">
        <v>0</v>
      </c>
      <c r="AC1365" s="259">
        <f t="shared" si="252"/>
        <v>0</v>
      </c>
      <c r="AD1365" s="22" t="s">
        <v>689</v>
      </c>
      <c r="AG1365" s="33">
        <f t="shared" si="246"/>
        <v>0</v>
      </c>
      <c r="AH1365" s="43" t="s">
        <v>3014</v>
      </c>
      <c r="AI1365" s="63">
        <f t="shared" si="250"/>
        <v>7.1428571428571429E-4</v>
      </c>
      <c r="AJ1365" s="307">
        <f>RTD("money.excel",,$G1365,"PredictVolume")</f>
        <v>125</v>
      </c>
      <c r="AK1365" s="81"/>
    </row>
    <row r="1366" spans="1:37">
      <c r="A1366" s="416">
        <v>7.84</v>
      </c>
      <c r="B1366" s="80">
        <v>-58</v>
      </c>
      <c r="C1366" s="80">
        <v>-94</v>
      </c>
      <c r="D1366" s="79">
        <v>27</v>
      </c>
      <c r="E1366" s="80">
        <v>-21</v>
      </c>
      <c r="F1366" s="6">
        <v>-8.56</v>
      </c>
      <c r="G1366" s="79">
        <v>8418</v>
      </c>
      <c r="H1366" s="8" t="s">
        <v>2084</v>
      </c>
      <c r="I1366" s="16" t="s">
        <v>1104</v>
      </c>
      <c r="J1366" s="73">
        <v>87.47</v>
      </c>
      <c r="K1366" s="73">
        <v>89.59</v>
      </c>
      <c r="L1366" s="323">
        <v>0.14000000000000001</v>
      </c>
      <c r="N1366" s="318">
        <f t="shared" si="251"/>
        <v>177.2</v>
      </c>
      <c r="O1366" s="81">
        <f>IFERROR(VLOOKUP($G1366,'321買'!A:E,3,0),"'沒有資料'")</f>
        <v>0</v>
      </c>
      <c r="P1366" s="380">
        <f>IFERROR(VLOOKUP($G1366,'321買'!$A:$G,7,0),"'沒有資料'")</f>
        <v>911</v>
      </c>
      <c r="R1366" s="297">
        <f>IFERROR(RANK(VLOOKUP($G1366,連買!$A:$D,4,0),連買!$D:$D,0),"'沒有資料'")</f>
        <v>1486</v>
      </c>
      <c r="S1366" s="34">
        <v>0</v>
      </c>
      <c r="T1366" s="353">
        <f t="shared" si="249"/>
        <v>0</v>
      </c>
      <c r="U1366" s="57">
        <v>-1.7</v>
      </c>
      <c r="V1366" s="13">
        <f>RTD("money.excel",,"8418","Price")</f>
        <v>10.35</v>
      </c>
      <c r="W1366" s="66"/>
      <c r="X1366" s="15">
        <f t="shared" si="244"/>
        <v>10.35</v>
      </c>
      <c r="Y1366" s="3" t="e">
        <f t="shared" si="245"/>
        <v>#DIV/0!</v>
      </c>
      <c r="AA1366" s="161">
        <v>0</v>
      </c>
      <c r="AB1366" s="409">
        <v>0</v>
      </c>
      <c r="AC1366" s="259">
        <f t="shared" si="252"/>
        <v>0</v>
      </c>
      <c r="AD1366" s="16" t="s">
        <v>1104</v>
      </c>
      <c r="AG1366" s="33">
        <f t="shared" si="246"/>
        <v>0</v>
      </c>
      <c r="AH1366" s="43" t="s">
        <v>2656</v>
      </c>
      <c r="AI1366" s="63">
        <f t="shared" si="250"/>
        <v>8.4183673469387756E-4</v>
      </c>
      <c r="AJ1366" s="307">
        <f>RTD("money.excel",,$G1366,"PredictVolume")</f>
        <v>66</v>
      </c>
      <c r="AK1366" s="339"/>
    </row>
    <row r="1367" spans="1:37">
      <c r="A1367" s="416">
        <v>5.0999999999999996</v>
      </c>
      <c r="B1367" s="79">
        <v>-68</v>
      </c>
      <c r="C1367" s="79">
        <v>-84</v>
      </c>
      <c r="D1367" s="79">
        <v>-15</v>
      </c>
      <c r="E1367" s="79">
        <v>51</v>
      </c>
      <c r="F1367" s="6">
        <v>1.84</v>
      </c>
      <c r="G1367" s="79">
        <v>8420</v>
      </c>
      <c r="H1367" s="8" t="s">
        <v>2084</v>
      </c>
      <c r="I1367" s="16" t="s">
        <v>4946</v>
      </c>
      <c r="J1367" s="73">
        <v>78.760000000000005</v>
      </c>
      <c r="K1367" s="73">
        <v>0.01</v>
      </c>
      <c r="L1367" s="73">
        <v>3.32</v>
      </c>
      <c r="N1367" s="318">
        <f t="shared" si="251"/>
        <v>82.09</v>
      </c>
      <c r="O1367" s="81">
        <f>IFERROR(VLOOKUP($G1367,'321買'!A:E,3,0),"'沒有資料'")</f>
        <v>1</v>
      </c>
      <c r="P1367" s="380">
        <f>IFERROR(VLOOKUP($G1367,'321買'!$A:$G,7,0),"'沒有資料'")</f>
        <v>783</v>
      </c>
      <c r="R1367" s="297">
        <f>IFERROR(RANK(VLOOKUP($G1367,連買!$A:$D,4,0),連買!$D:$D,0),"'沒有資料'")</f>
        <v>726</v>
      </c>
      <c r="S1367" s="34">
        <v>0.8</v>
      </c>
      <c r="T1367" s="353">
        <f t="shared" si="249"/>
        <v>1.8912529550827426E-2</v>
      </c>
      <c r="U1367" s="57">
        <v>1.48</v>
      </c>
      <c r="V1367" s="36">
        <f>RTD("money.excel",,"8420","Price")</f>
        <v>42.3</v>
      </c>
      <c r="W1367" s="66"/>
      <c r="X1367" s="15">
        <f t="shared" si="244"/>
        <v>42.3</v>
      </c>
      <c r="Y1367" s="3" t="e">
        <f t="shared" si="245"/>
        <v>#DIV/0!</v>
      </c>
      <c r="Z1367" s="413" t="s">
        <v>1801</v>
      </c>
      <c r="AA1367" s="161">
        <v>0</v>
      </c>
      <c r="AB1367" s="409">
        <v>0</v>
      </c>
      <c r="AC1367" s="259">
        <f t="shared" si="252"/>
        <v>0</v>
      </c>
      <c r="AD1367" s="16" t="s">
        <v>4946</v>
      </c>
      <c r="AG1367" s="33">
        <f t="shared" si="246"/>
        <v>0</v>
      </c>
      <c r="AH1367" s="120" t="s">
        <v>1814</v>
      </c>
      <c r="AI1367" s="63">
        <f t="shared" si="250"/>
        <v>1.5098039215686275E-3</v>
      </c>
      <c r="AJ1367" s="307">
        <f>RTD("money.excel",,$G1367,"PredictVolume")</f>
        <v>77</v>
      </c>
      <c r="AK1367" s="339"/>
    </row>
    <row r="1368" spans="1:37">
      <c r="A1368" s="416">
        <v>5.48</v>
      </c>
      <c r="B1368" s="206">
        <v>-5310</v>
      </c>
      <c r="C1368" s="91">
        <v>-282</v>
      </c>
      <c r="D1368" s="91">
        <v>-7</v>
      </c>
      <c r="E1368" s="91">
        <v>24</v>
      </c>
      <c r="F1368" s="6">
        <v>-1.76</v>
      </c>
      <c r="G1368" s="79">
        <v>8421</v>
      </c>
      <c r="H1368" s="8" t="s">
        <v>2084</v>
      </c>
      <c r="I1368" s="16" t="s">
        <v>654</v>
      </c>
      <c r="J1368" s="73">
        <v>62.42</v>
      </c>
      <c r="K1368" s="73">
        <v>0.35</v>
      </c>
      <c r="L1368" s="73">
        <v>41.25</v>
      </c>
      <c r="N1368" s="318">
        <f t="shared" si="251"/>
        <v>104.02000000000001</v>
      </c>
      <c r="O1368" s="81">
        <f>IFERROR(VLOOKUP($G1368,'321買'!A:E,3,0),"'沒有資料'")</f>
        <v>0</v>
      </c>
      <c r="P1368" s="380">
        <f>IFERROR(VLOOKUP($G1368,'321買'!$A:$G,7,0),"'沒有資料'")</f>
        <v>911</v>
      </c>
      <c r="R1368" s="297">
        <f>IFERROR(RANK(VLOOKUP($G1368,連買!$A:$D,4,0),連買!$D:$D,0),"'沒有資料'")</f>
        <v>1306</v>
      </c>
      <c r="S1368" s="34">
        <v>0</v>
      </c>
      <c r="T1368" s="353">
        <f t="shared" si="249"/>
        <v>0</v>
      </c>
      <c r="U1368" s="95">
        <v>-1.87</v>
      </c>
      <c r="V1368" s="13">
        <f>RTD("money.excel",,"8421","Price")</f>
        <v>13.75</v>
      </c>
      <c r="W1368" s="66"/>
      <c r="X1368" s="15">
        <f t="shared" si="244"/>
        <v>13.75</v>
      </c>
      <c r="Y1368" s="3" t="e">
        <f t="shared" si="245"/>
        <v>#DIV/0!</v>
      </c>
      <c r="AA1368" s="161">
        <v>0</v>
      </c>
      <c r="AB1368" s="409">
        <v>0</v>
      </c>
      <c r="AC1368" s="259">
        <f t="shared" si="252"/>
        <v>0</v>
      </c>
      <c r="AD1368" s="16" t="s">
        <v>654</v>
      </c>
      <c r="AG1368" s="33">
        <f t="shared" si="246"/>
        <v>0</v>
      </c>
      <c r="AH1368" s="43" t="s">
        <v>2657</v>
      </c>
      <c r="AI1368" s="63">
        <f t="shared" si="250"/>
        <v>1.1131386861313868E-3</v>
      </c>
      <c r="AJ1368" s="307">
        <f>RTD("money.excel",,$G1368,"PredictVolume")</f>
        <v>61</v>
      </c>
      <c r="AK1368" s="339"/>
    </row>
    <row r="1369" spans="1:37">
      <c r="A1369" s="415">
        <v>10.8</v>
      </c>
      <c r="B1369" s="79">
        <v>7</v>
      </c>
      <c r="C1369" s="79">
        <v>10</v>
      </c>
      <c r="D1369" s="79">
        <v>10</v>
      </c>
      <c r="E1369" s="79">
        <v>33</v>
      </c>
      <c r="F1369" s="57">
        <v>53.69</v>
      </c>
      <c r="G1369" s="79">
        <v>8422</v>
      </c>
      <c r="H1369" s="8" t="s">
        <v>2084</v>
      </c>
      <c r="I1369" s="22" t="s">
        <v>690</v>
      </c>
      <c r="J1369" s="73">
        <v>44.57</v>
      </c>
      <c r="K1369" s="73">
        <v>27.75</v>
      </c>
      <c r="L1369" s="73">
        <v>18.93</v>
      </c>
      <c r="M1369" s="323">
        <v>17.32</v>
      </c>
      <c r="N1369" s="318">
        <f t="shared" si="251"/>
        <v>108.57</v>
      </c>
      <c r="O1369" s="81">
        <f>IFERROR(VLOOKUP($G1369,'321買'!A:E,3,0),"'沒有資料'")</f>
        <v>3</v>
      </c>
      <c r="P1369" s="380">
        <f>IFERROR(VLOOKUP($G1369,'321買'!$A:$G,7,0),"'沒有資料'")</f>
        <v>636</v>
      </c>
      <c r="Q1369" s="245" t="s">
        <v>3816</v>
      </c>
      <c r="R1369" s="297">
        <f>IFERROR(RANK(VLOOKUP($G1369,連買!$A:$D,4,0),連買!$D:$D,0),"'沒有資料'")</f>
        <v>1092</v>
      </c>
      <c r="S1369" s="66">
        <v>10</v>
      </c>
      <c r="T1369" s="353">
        <f t="shared" si="249"/>
        <v>0.05</v>
      </c>
      <c r="U1369" s="95">
        <v>11.4</v>
      </c>
      <c r="V1369" s="36">
        <f>RTD("money.excel",,"8422","Price")</f>
        <v>200</v>
      </c>
      <c r="W1369" s="66"/>
      <c r="X1369" s="15">
        <f t="shared" si="244"/>
        <v>200</v>
      </c>
      <c r="Y1369" s="3" t="e">
        <f t="shared" si="245"/>
        <v>#DIV/0!</v>
      </c>
      <c r="Z1369" s="413" t="s">
        <v>1997</v>
      </c>
      <c r="AA1369" s="161">
        <v>0</v>
      </c>
      <c r="AB1369" s="409">
        <v>0</v>
      </c>
      <c r="AC1369" s="259">
        <f t="shared" si="252"/>
        <v>0</v>
      </c>
      <c r="AD1369" s="22" t="s">
        <v>690</v>
      </c>
      <c r="AG1369" s="33">
        <f t="shared" si="246"/>
        <v>0</v>
      </c>
      <c r="AH1369" s="43" t="s">
        <v>3015</v>
      </c>
      <c r="AI1369" s="63">
        <f t="shared" ref="AI1369:AI1399" si="256">AJ1369/(A1369*10000)</f>
        <v>1.3425925925925925E-3</v>
      </c>
      <c r="AJ1369" s="307">
        <f>RTD("money.excel",,$G1369,"PredictVolume")</f>
        <v>145</v>
      </c>
      <c r="AK1369" s="339"/>
    </row>
    <row r="1370" spans="1:37">
      <c r="A1370" s="416">
        <v>2.2999999999999998</v>
      </c>
      <c r="B1370" s="91">
        <v>-49</v>
      </c>
      <c r="C1370" s="91">
        <v>-41</v>
      </c>
      <c r="D1370" s="91">
        <v>-8</v>
      </c>
      <c r="E1370" s="91">
        <v>35</v>
      </c>
      <c r="F1370" s="6">
        <v>8.6300000000000008</v>
      </c>
      <c r="G1370" s="79">
        <v>8423</v>
      </c>
      <c r="H1370" s="8" t="s">
        <v>2084</v>
      </c>
      <c r="I1370" s="16" t="s">
        <v>655</v>
      </c>
      <c r="J1370" s="73">
        <v>72.819999999999993</v>
      </c>
      <c r="K1370" s="73">
        <v>38.26</v>
      </c>
      <c r="N1370" s="318">
        <f t="shared" si="251"/>
        <v>111.07999999999998</v>
      </c>
      <c r="O1370" s="81" t="str">
        <f>IFERROR(VLOOKUP($G1370,'321買'!A:E,3,0),"'沒有資料'")</f>
        <v>'沒有資料'</v>
      </c>
      <c r="P1370" s="380" t="str">
        <f>IFERROR(VLOOKUP($G1370,'321買'!$A:$G,7,0),"'沒有資料'")</f>
        <v>'沒有資料'</v>
      </c>
      <c r="R1370" s="297">
        <f>IFERROR(RANK(VLOOKUP($G1370,連買!$A:$D,4,0),連買!$D:$D,0),"'沒有資料'")</f>
        <v>1380</v>
      </c>
      <c r="S1370" s="34">
        <v>0.9</v>
      </c>
      <c r="T1370" s="353">
        <f t="shared" ref="T1370:T1400" si="257">S1370/V1370</f>
        <v>4.9315068493150684E-2</v>
      </c>
      <c r="U1370" s="95">
        <v>0.94</v>
      </c>
      <c r="V1370" s="13">
        <f>RTD("money.excel",,"8423","Price")</f>
        <v>18.25</v>
      </c>
      <c r="W1370" s="66"/>
      <c r="X1370" s="15">
        <f t="shared" ref="X1370:X1431" si="258">V1370-W1370</f>
        <v>18.25</v>
      </c>
      <c r="Y1370" s="3" t="e">
        <f t="shared" ref="Y1370:Y1431" si="259">X1370/W1370</f>
        <v>#DIV/0!</v>
      </c>
      <c r="AA1370" s="161">
        <v>0</v>
      </c>
      <c r="AB1370" s="409">
        <v>0</v>
      </c>
      <c r="AC1370" s="259">
        <f t="shared" si="252"/>
        <v>0</v>
      </c>
      <c r="AD1370" s="16" t="s">
        <v>655</v>
      </c>
      <c r="AG1370" s="33">
        <f t="shared" ref="AG1370:AG1431" si="260">AF1370-AE1370</f>
        <v>0</v>
      </c>
      <c r="AH1370" s="43" t="s">
        <v>2658</v>
      </c>
      <c r="AI1370" s="63">
        <f t="shared" si="256"/>
        <v>2.173913043478261E-4</v>
      </c>
      <c r="AJ1370" s="307">
        <f>RTD("money.excel",,$G1370,"PredictVolume")</f>
        <v>5</v>
      </c>
      <c r="AK1370" s="339"/>
    </row>
    <row r="1371" spans="1:37">
      <c r="A1371" s="416">
        <v>5.0199999999999996</v>
      </c>
      <c r="B1371" s="91">
        <v>-231</v>
      </c>
      <c r="C1371" s="91">
        <v>-581</v>
      </c>
      <c r="D1371" s="91">
        <v>58</v>
      </c>
      <c r="E1371" s="91">
        <v>58</v>
      </c>
      <c r="F1371" s="6">
        <v>-9.09</v>
      </c>
      <c r="G1371" s="79">
        <v>8426</v>
      </c>
      <c r="H1371" s="8" t="s">
        <v>2084</v>
      </c>
      <c r="I1371" s="16" t="s">
        <v>656</v>
      </c>
      <c r="J1371" s="73">
        <v>75.39</v>
      </c>
      <c r="K1371" s="73">
        <v>66.37</v>
      </c>
      <c r="L1371" s="73">
        <v>2.0699999999999998</v>
      </c>
      <c r="N1371" s="318">
        <f t="shared" si="251"/>
        <v>143.82999999999998</v>
      </c>
      <c r="O1371" s="81">
        <f>IFERROR(VLOOKUP($G1371,'321買'!A:E,3,0),"'沒有資料'")</f>
        <v>1</v>
      </c>
      <c r="P1371" s="380">
        <f>IFERROR(VLOOKUP($G1371,'321買'!$A:$G,7,0),"'沒有資料'")</f>
        <v>783</v>
      </c>
      <c r="R1371" s="297">
        <f>IFERROR(RANK(VLOOKUP($G1371,連買!$A:$D,4,0),連買!$D:$D,0),"'沒有資料'")</f>
        <v>1094</v>
      </c>
      <c r="S1371" s="34">
        <v>0</v>
      </c>
      <c r="T1371" s="353">
        <f t="shared" si="257"/>
        <v>0</v>
      </c>
      <c r="U1371" s="57">
        <v>-2.52</v>
      </c>
      <c r="V1371" s="13">
        <f>RTD("money.excel",,"8426","Price")</f>
        <v>16.25</v>
      </c>
      <c r="W1371" s="66"/>
      <c r="X1371" s="15">
        <f t="shared" si="258"/>
        <v>16.25</v>
      </c>
      <c r="Y1371" s="3" t="e">
        <f t="shared" si="259"/>
        <v>#DIV/0!</v>
      </c>
      <c r="AA1371" s="161">
        <v>0</v>
      </c>
      <c r="AB1371" s="409">
        <v>0</v>
      </c>
      <c r="AC1371" s="259">
        <f t="shared" si="252"/>
        <v>0</v>
      </c>
      <c r="AD1371" s="16" t="s">
        <v>656</v>
      </c>
      <c r="AG1371" s="33">
        <f t="shared" si="260"/>
        <v>0</v>
      </c>
      <c r="AH1371" s="43" t="s">
        <v>2659</v>
      </c>
      <c r="AI1371" s="63">
        <f t="shared" si="256"/>
        <v>4.1832669322709168E-4</v>
      </c>
      <c r="AJ1371" s="307">
        <f>RTD("money.excel",,$G1371,"PredictVolume")</f>
        <v>21</v>
      </c>
      <c r="AK1371" s="339"/>
    </row>
    <row r="1372" spans="1:37">
      <c r="A1372" s="415">
        <v>3.17</v>
      </c>
      <c r="B1372" s="80">
        <v>-28</v>
      </c>
      <c r="C1372" s="80">
        <v>-19</v>
      </c>
      <c r="D1372" s="80">
        <v>-4</v>
      </c>
      <c r="E1372" s="80">
        <v>-5</v>
      </c>
      <c r="F1372" s="57">
        <v>17.14</v>
      </c>
      <c r="G1372" s="79">
        <v>8435</v>
      </c>
      <c r="H1372" s="8" t="s">
        <v>2084</v>
      </c>
      <c r="I1372" s="16" t="s">
        <v>657</v>
      </c>
      <c r="J1372" s="323">
        <v>45.19</v>
      </c>
      <c r="K1372" s="323">
        <v>0.12</v>
      </c>
      <c r="L1372" s="323">
        <v>2.9</v>
      </c>
      <c r="N1372" s="318">
        <f t="shared" si="251"/>
        <v>48.209999999999994</v>
      </c>
      <c r="O1372" s="81">
        <f>IFERROR(VLOOKUP($G1372,'321買'!A:E,3,0),"'沒有資料'")</f>
        <v>0</v>
      </c>
      <c r="P1372" s="380">
        <f>IFERROR(VLOOKUP($G1372,'321買'!$A:$G,7,0),"'沒有資料'")</f>
        <v>911</v>
      </c>
      <c r="R1372" s="297">
        <f>IFERROR(RANK(VLOOKUP($G1372,連買!$A:$D,4,0),連買!$D:$D,0),"'沒有資料'")</f>
        <v>317</v>
      </c>
      <c r="S1372" s="66">
        <v>3.5</v>
      </c>
      <c r="T1372" s="353">
        <f t="shared" si="257"/>
        <v>5.4263565891472867E-2</v>
      </c>
      <c r="U1372" s="95">
        <v>3.54</v>
      </c>
      <c r="V1372" s="36">
        <f>RTD("money.excel",,"8435","Price")</f>
        <v>64.5</v>
      </c>
      <c r="W1372" s="66"/>
      <c r="X1372" s="15">
        <f t="shared" si="258"/>
        <v>64.5</v>
      </c>
      <c r="Y1372" s="3" t="e">
        <f t="shared" si="259"/>
        <v>#DIV/0!</v>
      </c>
      <c r="Z1372" s="413" t="s">
        <v>1831</v>
      </c>
      <c r="AA1372" s="161">
        <v>0</v>
      </c>
      <c r="AB1372" s="409">
        <v>0</v>
      </c>
      <c r="AC1372" s="259">
        <f t="shared" si="252"/>
        <v>0</v>
      </c>
      <c r="AD1372" s="16" t="s">
        <v>657</v>
      </c>
      <c r="AG1372" s="33">
        <f t="shared" si="260"/>
        <v>0</v>
      </c>
      <c r="AH1372" s="43" t="s">
        <v>2660</v>
      </c>
      <c r="AI1372" s="63">
        <f t="shared" si="256"/>
        <v>1.2618296529968455E-3</v>
      </c>
      <c r="AJ1372" s="307">
        <f>RTD("money.excel",,$G1372,"PredictVolume")</f>
        <v>40</v>
      </c>
      <c r="AK1372" s="339"/>
    </row>
    <row r="1373" spans="1:37">
      <c r="A1373" s="415">
        <v>4.79</v>
      </c>
      <c r="B1373" s="80">
        <v>-76</v>
      </c>
      <c r="C1373" s="80">
        <v>-80</v>
      </c>
      <c r="D1373" s="79">
        <v>-17</v>
      </c>
      <c r="E1373" s="80">
        <v>-68</v>
      </c>
      <c r="F1373" s="57">
        <v>38.020000000000003</v>
      </c>
      <c r="G1373" s="79">
        <v>8437</v>
      </c>
      <c r="H1373" s="8" t="s">
        <v>2084</v>
      </c>
      <c r="I1373" s="16" t="s">
        <v>658</v>
      </c>
      <c r="J1373" s="323">
        <v>59.89</v>
      </c>
      <c r="K1373" s="323">
        <v>49.92</v>
      </c>
      <c r="L1373" s="323">
        <v>0.48</v>
      </c>
      <c r="N1373" s="318">
        <f t="shared" si="251"/>
        <v>110.29</v>
      </c>
      <c r="O1373" s="81">
        <f>IFERROR(VLOOKUP($G1373,'321買'!A:E,3,0),"'沒有資料'")</f>
        <v>0</v>
      </c>
      <c r="P1373" s="380">
        <f>IFERROR(VLOOKUP($G1373,'321買'!$A:$G,7,0),"'沒有資料'")</f>
        <v>911</v>
      </c>
      <c r="R1373" s="297">
        <f>IFERROR(RANK(VLOOKUP($G1373,連買!$A:$D,4,0),連買!$D:$D,0),"'沒有資料'")</f>
        <v>1730</v>
      </c>
      <c r="S1373" s="66">
        <v>3</v>
      </c>
      <c r="T1373" s="353">
        <f t="shared" si="257"/>
        <v>2.6086956521739129E-2</v>
      </c>
      <c r="U1373" s="95">
        <v>2.72</v>
      </c>
      <c r="V1373" s="13">
        <f>RTD("money.excel",,"8437","Price")</f>
        <v>115</v>
      </c>
      <c r="W1373" s="66"/>
      <c r="X1373" s="15">
        <f t="shared" si="258"/>
        <v>115</v>
      </c>
      <c r="Y1373" s="3" t="e">
        <f t="shared" si="259"/>
        <v>#DIV/0!</v>
      </c>
      <c r="Z1373" s="413" t="s">
        <v>1831</v>
      </c>
      <c r="AA1373" s="161">
        <v>0</v>
      </c>
      <c r="AB1373" s="409">
        <v>0</v>
      </c>
      <c r="AC1373" s="259">
        <f t="shared" si="252"/>
        <v>0</v>
      </c>
      <c r="AD1373" s="16" t="s">
        <v>658</v>
      </c>
      <c r="AG1373" s="33">
        <f t="shared" si="260"/>
        <v>0</v>
      </c>
      <c r="AH1373" s="43" t="s">
        <v>2661</v>
      </c>
      <c r="AI1373" s="63">
        <f t="shared" si="256"/>
        <v>2.9227557411273488E-4</v>
      </c>
      <c r="AJ1373" s="307">
        <f>RTD("money.excel",,$G1373,"PredictVolume")</f>
        <v>14</v>
      </c>
      <c r="AK1373" s="339"/>
    </row>
    <row r="1374" spans="1:37">
      <c r="A1374" s="416">
        <v>7.08</v>
      </c>
      <c r="B1374" s="79">
        <v>307</v>
      </c>
      <c r="C1374" s="79">
        <v>189</v>
      </c>
      <c r="D1374" s="79">
        <v>5</v>
      </c>
      <c r="E1374" s="79">
        <v>22</v>
      </c>
      <c r="F1374" s="6">
        <v>6.56</v>
      </c>
      <c r="G1374" s="79">
        <v>8438</v>
      </c>
      <c r="H1374" s="8" t="s">
        <v>2084</v>
      </c>
      <c r="I1374" s="22" t="s">
        <v>5151</v>
      </c>
      <c r="J1374" s="323">
        <v>83.25</v>
      </c>
      <c r="K1374" s="73">
        <v>0.02</v>
      </c>
      <c r="L1374" s="323"/>
      <c r="M1374" s="73">
        <v>56.9</v>
      </c>
      <c r="N1374" s="73">
        <f t="shared" si="251"/>
        <v>140.16999999999999</v>
      </c>
      <c r="O1374" s="81" t="str">
        <f>IFERROR(VLOOKUP($G1374,'321買'!A:E,3,0),"'沒有資料'")</f>
        <v>'沒有資料'</v>
      </c>
      <c r="P1374" s="380" t="str">
        <f>IFERROR(VLOOKUP($G1374,'321買'!$A:$G,7,0),"'沒有資料'")</f>
        <v>'沒有資料'</v>
      </c>
      <c r="R1374" s="297">
        <f>IFERROR(RANK(VLOOKUP($G1374,連買!$A:$D,4,0),連買!$D:$D,0),"'沒有資料'")</f>
        <v>1428</v>
      </c>
      <c r="S1374" s="34">
        <v>2</v>
      </c>
      <c r="T1374" s="353">
        <f t="shared" si="257"/>
        <v>5.3191489361702128E-2</v>
      </c>
      <c r="U1374" s="57" t="s">
        <v>3500</v>
      </c>
      <c r="V1374" s="13">
        <f>RTD("money.excel",,"8438","Price")</f>
        <v>37.6</v>
      </c>
      <c r="W1374" s="66"/>
      <c r="X1374" s="15">
        <f>V1374-W1374</f>
        <v>37.6</v>
      </c>
      <c r="Y1374" s="3" t="e">
        <f>X1374/W1374</f>
        <v>#DIV/0!</v>
      </c>
      <c r="Z1374" s="413" t="s">
        <v>1801</v>
      </c>
      <c r="AA1374" s="161">
        <v>0</v>
      </c>
      <c r="AB1374" s="409">
        <v>0</v>
      </c>
      <c r="AC1374" s="259">
        <f t="shared" si="252"/>
        <v>0</v>
      </c>
      <c r="AD1374" s="22" t="s">
        <v>5151</v>
      </c>
      <c r="AG1374" s="33">
        <f>AF1374-AE1374</f>
        <v>0</v>
      </c>
      <c r="AH1374" s="126" t="s">
        <v>5156</v>
      </c>
      <c r="AI1374" s="63">
        <f t="shared" si="256"/>
        <v>6.4971751412429377E-4</v>
      </c>
      <c r="AJ1374" s="307">
        <f>RTD("money.excel",,$G1374,"PredictVolume")</f>
        <v>46</v>
      </c>
      <c r="AK1374" s="339"/>
    </row>
    <row r="1375" spans="1:37">
      <c r="A1375" s="416">
        <v>3.8</v>
      </c>
      <c r="B1375" s="91">
        <v>6</v>
      </c>
      <c r="C1375" s="91">
        <v>-13</v>
      </c>
      <c r="D1375" s="91">
        <v>-14</v>
      </c>
      <c r="E1375" s="91">
        <v>30</v>
      </c>
      <c r="F1375" s="6">
        <v>1.62</v>
      </c>
      <c r="G1375" s="79">
        <v>8440</v>
      </c>
      <c r="H1375" s="8" t="s">
        <v>2084</v>
      </c>
      <c r="I1375" s="16" t="s">
        <v>659</v>
      </c>
      <c r="J1375" s="73">
        <v>73.5</v>
      </c>
      <c r="K1375" s="73">
        <v>0</v>
      </c>
      <c r="L1375" s="73">
        <v>7.0000000000000007E-2</v>
      </c>
      <c r="N1375" s="318">
        <f t="shared" si="251"/>
        <v>73.569999999999993</v>
      </c>
      <c r="O1375" s="81">
        <f>IFERROR(VLOOKUP($G1375,'321買'!A:E,3,0),"'沒有資料'")</f>
        <v>30</v>
      </c>
      <c r="P1375" s="380">
        <f>IFERROR(VLOOKUP($G1375,'321買'!$A:$G,7,0),"'沒有資料'")</f>
        <v>151</v>
      </c>
      <c r="R1375" s="297">
        <f>IFERROR(RANK(VLOOKUP($G1375,連買!$A:$D,4,0),連買!$D:$D,0),"'沒有資料'")</f>
        <v>860</v>
      </c>
      <c r="S1375" s="34">
        <v>0.3</v>
      </c>
      <c r="T1375" s="353">
        <f t="shared" si="257"/>
        <v>3.7359900373599006E-3</v>
      </c>
      <c r="U1375" s="95">
        <v>0.6</v>
      </c>
      <c r="V1375" s="13">
        <f>RTD("money.excel",,"8440","Price")</f>
        <v>80.3</v>
      </c>
      <c r="W1375" s="66"/>
      <c r="X1375" s="15">
        <f t="shared" si="258"/>
        <v>80.3</v>
      </c>
      <c r="Y1375" s="3" t="e">
        <f t="shared" si="259"/>
        <v>#DIV/0!</v>
      </c>
      <c r="AA1375" s="161">
        <v>0</v>
      </c>
      <c r="AB1375" s="409">
        <v>0</v>
      </c>
      <c r="AC1375" s="259">
        <f t="shared" si="252"/>
        <v>0</v>
      </c>
      <c r="AD1375" s="16" t="s">
        <v>659</v>
      </c>
      <c r="AG1375" s="33">
        <f t="shared" si="260"/>
        <v>0</v>
      </c>
      <c r="AH1375" s="43" t="s">
        <v>2662</v>
      </c>
      <c r="AI1375" s="63">
        <f t="shared" si="256"/>
        <v>7.0999999999999994E-2</v>
      </c>
      <c r="AJ1375" s="307">
        <f>RTD("money.excel",,$G1375,"PredictVolume")</f>
        <v>2698</v>
      </c>
      <c r="AK1375" s="339"/>
    </row>
    <row r="1376" spans="1:37">
      <c r="A1376" s="416">
        <v>6</v>
      </c>
      <c r="B1376" s="80">
        <v>-136</v>
      </c>
      <c r="C1376" s="80">
        <v>-117</v>
      </c>
      <c r="D1376" s="79">
        <v>50</v>
      </c>
      <c r="E1376" s="80">
        <v>-32</v>
      </c>
      <c r="F1376" s="6">
        <v>-1.1100000000000001</v>
      </c>
      <c r="G1376" s="79">
        <v>8442</v>
      </c>
      <c r="H1376" s="8" t="s">
        <v>2084</v>
      </c>
      <c r="I1376" s="22" t="s">
        <v>711</v>
      </c>
      <c r="J1376" s="73">
        <v>68.22</v>
      </c>
      <c r="K1376" s="73">
        <v>63.72</v>
      </c>
      <c r="N1376" s="318">
        <f t="shared" si="251"/>
        <v>131.94</v>
      </c>
      <c r="O1376" s="81">
        <f>IFERROR(VLOOKUP($G1376,'321買'!A:E,3,0),"'沒有資料'")</f>
        <v>0</v>
      </c>
      <c r="P1376" s="380">
        <f>IFERROR(VLOOKUP($G1376,'321買'!$A:$G,7,0),"'沒有資料'")</f>
        <v>911</v>
      </c>
      <c r="R1376" s="297">
        <f>IFERROR(RANK(VLOOKUP($G1376,連買!$A:$D,4,0),連買!$D:$D,0),"'沒有資料'")</f>
        <v>389</v>
      </c>
      <c r="S1376" s="34">
        <v>0.3</v>
      </c>
      <c r="T1376" s="353">
        <f t="shared" si="257"/>
        <v>5.9523809523809521E-3</v>
      </c>
      <c r="U1376" s="57">
        <v>-2.56</v>
      </c>
      <c r="V1376" s="13">
        <f>RTD("money.excel",,"8442","Price")</f>
        <v>50.4</v>
      </c>
      <c r="W1376" s="66"/>
      <c r="X1376" s="15">
        <f t="shared" si="258"/>
        <v>50.4</v>
      </c>
      <c r="Y1376" s="3" t="e">
        <f t="shared" si="259"/>
        <v>#DIV/0!</v>
      </c>
      <c r="Z1376" s="413" t="s">
        <v>1801</v>
      </c>
      <c r="AA1376" s="161">
        <v>0</v>
      </c>
      <c r="AB1376" s="409">
        <v>0</v>
      </c>
      <c r="AC1376" s="259">
        <f t="shared" si="252"/>
        <v>0</v>
      </c>
      <c r="AD1376" s="22" t="s">
        <v>711</v>
      </c>
      <c r="AG1376" s="33">
        <f t="shared" si="260"/>
        <v>0</v>
      </c>
      <c r="AH1376" s="43" t="s">
        <v>2335</v>
      </c>
      <c r="AI1376" s="63">
        <f t="shared" si="256"/>
        <v>3.5E-4</v>
      </c>
      <c r="AJ1376" s="307">
        <f>RTD("money.excel",,$G1376,"PredictVolume")</f>
        <v>21</v>
      </c>
      <c r="AK1376" s="106"/>
    </row>
    <row r="1377" spans="1:37">
      <c r="A1377" s="416">
        <v>8.98</v>
      </c>
      <c r="B1377" s="79">
        <v>300</v>
      </c>
      <c r="C1377" s="79">
        <v>229</v>
      </c>
      <c r="D1377" s="79">
        <v>35</v>
      </c>
      <c r="E1377" s="79">
        <v>10</v>
      </c>
      <c r="F1377" s="6">
        <v>4.12</v>
      </c>
      <c r="G1377" s="79">
        <v>8444</v>
      </c>
      <c r="H1377" s="8" t="s">
        <v>2084</v>
      </c>
      <c r="I1377" s="16" t="s">
        <v>4947</v>
      </c>
      <c r="J1377" s="323">
        <v>76.13</v>
      </c>
      <c r="K1377" s="323">
        <v>65.7</v>
      </c>
      <c r="L1377" s="323">
        <v>9.34</v>
      </c>
      <c r="N1377" s="318">
        <f t="shared" si="251"/>
        <v>151.16999999999999</v>
      </c>
      <c r="O1377" s="81">
        <f>IFERROR(VLOOKUP($G1377,'321買'!A:E,3,0),"'沒有資料'")</f>
        <v>0</v>
      </c>
      <c r="P1377" s="380">
        <f>IFERROR(VLOOKUP($G1377,'321買'!$A:$G,7,0),"'沒有資料'")</f>
        <v>911</v>
      </c>
      <c r="R1377" s="297">
        <f>IFERROR(RANK(VLOOKUP($G1377,連買!$A:$D,4,0),連買!$D:$D,0),"'沒有資料'")</f>
        <v>1640</v>
      </c>
      <c r="S1377" s="34">
        <v>0</v>
      </c>
      <c r="T1377" s="353">
        <f t="shared" si="257"/>
        <v>0</v>
      </c>
      <c r="U1377" s="57">
        <v>1.71</v>
      </c>
      <c r="V1377" s="13">
        <f>RTD("money.excel",,"8444","Price")</f>
        <v>92.6</v>
      </c>
      <c r="W1377" s="66"/>
      <c r="X1377" s="15">
        <f t="shared" si="258"/>
        <v>92.6</v>
      </c>
      <c r="Y1377" s="3" t="e">
        <f t="shared" si="259"/>
        <v>#DIV/0!</v>
      </c>
      <c r="AA1377" s="161">
        <v>0</v>
      </c>
      <c r="AB1377" s="409">
        <v>0</v>
      </c>
      <c r="AC1377" s="259">
        <f t="shared" si="252"/>
        <v>0</v>
      </c>
      <c r="AD1377" s="16" t="s">
        <v>4947</v>
      </c>
      <c r="AG1377" s="33">
        <f t="shared" si="260"/>
        <v>0</v>
      </c>
      <c r="AH1377" s="120" t="s">
        <v>2663</v>
      </c>
      <c r="AI1377" s="63">
        <f t="shared" si="256"/>
        <v>5.5679287305122496E-5</v>
      </c>
      <c r="AJ1377" s="307">
        <f>RTD("money.excel",,$G1377,"PredictVolume")</f>
        <v>5</v>
      </c>
      <c r="AK1377" s="339"/>
    </row>
    <row r="1378" spans="1:37">
      <c r="A1378" s="416">
        <v>15</v>
      </c>
      <c r="B1378" s="91">
        <v>-17</v>
      </c>
      <c r="C1378" s="91">
        <v>-9</v>
      </c>
      <c r="D1378" s="91">
        <v>22</v>
      </c>
      <c r="E1378" s="91">
        <v>11</v>
      </c>
      <c r="F1378" s="6">
        <v>3.36</v>
      </c>
      <c r="G1378" s="79">
        <v>8463</v>
      </c>
      <c r="H1378" s="8" t="s">
        <v>2084</v>
      </c>
      <c r="I1378" s="22" t="s">
        <v>691</v>
      </c>
      <c r="J1378" s="73">
        <v>81.260000000000005</v>
      </c>
      <c r="K1378" s="73">
        <v>0.74</v>
      </c>
      <c r="L1378" s="73">
        <v>10.52</v>
      </c>
      <c r="N1378" s="318">
        <f t="shared" si="251"/>
        <v>92.52</v>
      </c>
      <c r="O1378" s="81">
        <f>IFERROR(VLOOKUP($G1378,'321買'!A:E,3,0),"'沒有資料'")</f>
        <v>0</v>
      </c>
      <c r="P1378" s="380">
        <f>IFERROR(VLOOKUP($G1378,'321買'!$A:$G,7,0),"'沒有資料'")</f>
        <v>911</v>
      </c>
      <c r="R1378" s="297">
        <f>IFERROR(RANK(VLOOKUP($G1378,連買!$A:$D,4,0),連買!$D:$D,0),"'沒有資料'")</f>
        <v>1658</v>
      </c>
      <c r="S1378" s="34">
        <v>0.77</v>
      </c>
      <c r="T1378" s="353">
        <f t="shared" si="257"/>
        <v>2.764811490125673E-2</v>
      </c>
      <c r="U1378" s="57">
        <v>0.87</v>
      </c>
      <c r="V1378" s="36">
        <f>RTD("money.excel",,"8463","Price")</f>
        <v>27.85</v>
      </c>
      <c r="W1378" s="66"/>
      <c r="X1378" s="15">
        <f t="shared" si="258"/>
        <v>27.85</v>
      </c>
      <c r="Y1378" s="3" t="e">
        <f t="shared" si="259"/>
        <v>#DIV/0!</v>
      </c>
      <c r="AA1378" s="161">
        <v>0</v>
      </c>
      <c r="AB1378" s="409">
        <v>0</v>
      </c>
      <c r="AC1378" s="259">
        <f t="shared" si="252"/>
        <v>0</v>
      </c>
      <c r="AD1378" s="22" t="s">
        <v>691</v>
      </c>
      <c r="AG1378" s="33">
        <f t="shared" si="260"/>
        <v>0</v>
      </c>
      <c r="AH1378" s="43" t="s">
        <v>3016</v>
      </c>
      <c r="AI1378" s="63">
        <f t="shared" si="256"/>
        <v>1.2666666666666666E-4</v>
      </c>
      <c r="AJ1378" s="307">
        <f>RTD("money.excel",,$G1378,"PredictVolume")</f>
        <v>19</v>
      </c>
      <c r="AK1378" s="339"/>
    </row>
    <row r="1379" spans="1:37">
      <c r="A1379" s="415">
        <v>29.3</v>
      </c>
      <c r="B1379" s="79">
        <v>11</v>
      </c>
      <c r="C1379" s="79">
        <v>11</v>
      </c>
      <c r="D1379" s="79">
        <v>11</v>
      </c>
      <c r="E1379" s="80">
        <v>-7</v>
      </c>
      <c r="F1379" s="57">
        <v>26.71</v>
      </c>
      <c r="G1379" s="79">
        <v>8464</v>
      </c>
      <c r="H1379" s="204" t="s">
        <v>235</v>
      </c>
      <c r="I1379" s="22" t="s">
        <v>259</v>
      </c>
      <c r="J1379" s="73">
        <v>85.57</v>
      </c>
      <c r="K1379" s="323">
        <v>46.4</v>
      </c>
      <c r="L1379" s="73">
        <v>7.63</v>
      </c>
      <c r="M1379" s="323">
        <v>36.950000000000003</v>
      </c>
      <c r="N1379" s="73">
        <f t="shared" si="251"/>
        <v>176.55</v>
      </c>
      <c r="O1379" s="81">
        <f>IFERROR(VLOOKUP($G1379,'321買'!A:E,3,0),"'沒有資料'")</f>
        <v>0</v>
      </c>
      <c r="P1379" s="380">
        <f>IFERROR(VLOOKUP($G1379,'321買'!$A:$G,7,0),"'沒有資料'")</f>
        <v>911</v>
      </c>
      <c r="Q1379" s="388" t="s">
        <v>6636</v>
      </c>
      <c r="R1379" s="297">
        <f>IFERROR(RANK(VLOOKUP($G1379,連買!$A:$D,4,0),連買!$D:$D,0),"'沒有資料'")</f>
        <v>1697</v>
      </c>
      <c r="S1379" s="45">
        <v>11</v>
      </c>
      <c r="T1379" s="353">
        <f t="shared" si="257"/>
        <v>3.5031847133757961E-2</v>
      </c>
      <c r="U1379" s="57">
        <v>18.16</v>
      </c>
      <c r="V1379" s="13">
        <f>RTD("money.excel",,"8464","Price")</f>
        <v>314</v>
      </c>
      <c r="W1379" s="66"/>
      <c r="X1379" s="15">
        <f t="shared" si="258"/>
        <v>314</v>
      </c>
      <c r="Y1379" s="3" t="e">
        <f t="shared" si="259"/>
        <v>#DIV/0!</v>
      </c>
      <c r="Z1379" s="413" t="s">
        <v>8653</v>
      </c>
      <c r="AA1379" s="2">
        <v>2</v>
      </c>
      <c r="AB1379" s="409">
        <v>1</v>
      </c>
      <c r="AC1379" s="259">
        <f t="shared" si="252"/>
        <v>1</v>
      </c>
      <c r="AD1379" s="22" t="s">
        <v>259</v>
      </c>
      <c r="AG1379" s="33">
        <f t="shared" si="260"/>
        <v>0</v>
      </c>
      <c r="AH1379" s="120" t="s">
        <v>1424</v>
      </c>
      <c r="AI1379" s="63">
        <f t="shared" si="256"/>
        <v>1.7508532423208191E-3</v>
      </c>
      <c r="AJ1379" s="307">
        <f>RTD("money.excel",,$G1379,"PredictVolume")</f>
        <v>513</v>
      </c>
      <c r="AK1379" s="339"/>
    </row>
    <row r="1380" spans="1:37">
      <c r="A1380" s="415">
        <v>6.61</v>
      </c>
      <c r="B1380" s="79">
        <v>29</v>
      </c>
      <c r="C1380" s="79">
        <v>69</v>
      </c>
      <c r="D1380" s="80">
        <v>-18</v>
      </c>
      <c r="E1380" s="80">
        <v>-25</v>
      </c>
      <c r="F1380" s="57">
        <v>12.65</v>
      </c>
      <c r="G1380" s="79">
        <v>8466</v>
      </c>
      <c r="H1380" s="8" t="s">
        <v>2084</v>
      </c>
      <c r="I1380" s="22" t="s">
        <v>1100</v>
      </c>
      <c r="J1380" s="73">
        <v>80.92</v>
      </c>
      <c r="K1380" s="73">
        <v>61.33</v>
      </c>
      <c r="L1380" s="73">
        <v>3.91</v>
      </c>
      <c r="N1380" s="318">
        <f t="shared" si="251"/>
        <v>146.16</v>
      </c>
      <c r="O1380" s="81">
        <f>IFERROR(VLOOKUP($G1380,'321買'!A:E,3,0),"'沒有資料'")</f>
        <v>0</v>
      </c>
      <c r="P1380" s="380">
        <f>IFERROR(VLOOKUP($G1380,'321買'!$A:$G,7,0),"'沒有資料'")</f>
        <v>911</v>
      </c>
      <c r="R1380" s="297">
        <f>IFERROR(RANK(VLOOKUP($G1380,連買!$A:$D,4,0),連買!$D:$D,0),"'沒有資料'")</f>
        <v>1455</v>
      </c>
      <c r="S1380" s="66">
        <v>3</v>
      </c>
      <c r="T1380" s="353">
        <f t="shared" si="257"/>
        <v>6.1855670103092786E-2</v>
      </c>
      <c r="U1380" s="57">
        <v>4.22</v>
      </c>
      <c r="V1380" s="13">
        <f>RTD("money.excel",,"8466","Price")</f>
        <v>48.5</v>
      </c>
      <c r="W1380" s="66"/>
      <c r="X1380" s="15">
        <f t="shared" si="258"/>
        <v>48.5</v>
      </c>
      <c r="Y1380" s="3" t="e">
        <f t="shared" si="259"/>
        <v>#DIV/0!</v>
      </c>
      <c r="Z1380" s="413" t="s">
        <v>1831</v>
      </c>
      <c r="AA1380" s="161">
        <v>0</v>
      </c>
      <c r="AB1380" s="409">
        <v>0</v>
      </c>
      <c r="AC1380" s="259">
        <f t="shared" si="252"/>
        <v>0</v>
      </c>
      <c r="AD1380" s="22" t="s">
        <v>1100</v>
      </c>
      <c r="AG1380" s="33">
        <f t="shared" si="260"/>
        <v>0</v>
      </c>
      <c r="AH1380" s="43" t="s">
        <v>3017</v>
      </c>
      <c r="AI1380" s="63">
        <f t="shared" si="256"/>
        <v>9.0771558245083205E-5</v>
      </c>
      <c r="AJ1380" s="307">
        <f>RTD("money.excel",,$G1380,"PredictVolume")</f>
        <v>6</v>
      </c>
      <c r="AK1380" s="81"/>
    </row>
    <row r="1381" spans="1:37">
      <c r="A1381" s="416">
        <v>4.95</v>
      </c>
      <c r="B1381" s="91">
        <v>-51</v>
      </c>
      <c r="C1381" s="91">
        <v>-43</v>
      </c>
      <c r="D1381" s="91">
        <v>-24</v>
      </c>
      <c r="E1381" s="91">
        <v>-35</v>
      </c>
      <c r="F1381" s="6">
        <v>6.69</v>
      </c>
      <c r="G1381" s="79">
        <v>8467</v>
      </c>
      <c r="H1381" s="8" t="s">
        <v>2084</v>
      </c>
      <c r="I1381" s="22" t="s">
        <v>692</v>
      </c>
      <c r="J1381" s="73">
        <v>84.73</v>
      </c>
      <c r="K1381" s="73">
        <v>43.1</v>
      </c>
      <c r="L1381" s="73">
        <v>0.77</v>
      </c>
      <c r="N1381" s="318">
        <f t="shared" si="251"/>
        <v>128.60000000000002</v>
      </c>
      <c r="O1381" s="81">
        <f>IFERROR(VLOOKUP($G1381,'321買'!A:E,3,0),"'沒有資料'")</f>
        <v>0</v>
      </c>
      <c r="P1381" s="380">
        <f>IFERROR(VLOOKUP($G1381,'321買'!$A:$G,7,0),"'沒有資料'")</f>
        <v>911</v>
      </c>
      <c r="R1381" s="297">
        <f>IFERROR(RANK(VLOOKUP($G1381,連買!$A:$D,4,0),連買!$D:$D,0),"'沒有資料'")</f>
        <v>428</v>
      </c>
      <c r="S1381" s="34">
        <v>0</v>
      </c>
      <c r="T1381" s="353">
        <f t="shared" si="257"/>
        <v>0</v>
      </c>
      <c r="U1381" s="95">
        <v>0.48</v>
      </c>
      <c r="V1381" s="13">
        <f>RTD("money.excel",,"8467","Price")</f>
        <v>37.85</v>
      </c>
      <c r="W1381" s="66"/>
      <c r="X1381" s="15">
        <f t="shared" si="258"/>
        <v>37.85</v>
      </c>
      <c r="Y1381" s="3" t="e">
        <f t="shared" si="259"/>
        <v>#DIV/0!</v>
      </c>
      <c r="Z1381" s="413" t="s">
        <v>1801</v>
      </c>
      <c r="AA1381" s="161">
        <v>0</v>
      </c>
      <c r="AB1381" s="409">
        <v>0</v>
      </c>
      <c r="AC1381" s="259">
        <f t="shared" si="252"/>
        <v>0</v>
      </c>
      <c r="AD1381" s="22" t="s">
        <v>692</v>
      </c>
      <c r="AG1381" s="33">
        <f t="shared" si="260"/>
        <v>0</v>
      </c>
      <c r="AH1381" s="43" t="s">
        <v>3546</v>
      </c>
      <c r="AI1381" s="63">
        <f t="shared" si="256"/>
        <v>2.0202020202020203E-5</v>
      </c>
      <c r="AJ1381" s="307">
        <f>RTD("money.excel",,$G1381,"PredictVolume")</f>
        <v>1</v>
      </c>
      <c r="AK1381" s="339"/>
    </row>
    <row r="1382" spans="1:37">
      <c r="A1382" s="415">
        <v>13.4</v>
      </c>
      <c r="B1382" s="80">
        <v>-35</v>
      </c>
      <c r="C1382" s="80">
        <v>-20</v>
      </c>
      <c r="D1382" s="79">
        <v>46</v>
      </c>
      <c r="E1382" s="79">
        <v>2</v>
      </c>
      <c r="F1382" s="57">
        <v>12.52</v>
      </c>
      <c r="G1382" s="79">
        <v>8473</v>
      </c>
      <c r="H1382" s="8" t="s">
        <v>2084</v>
      </c>
      <c r="I1382" s="22" t="s">
        <v>693</v>
      </c>
      <c r="J1382" s="73">
        <v>74.010000000000005</v>
      </c>
      <c r="K1382" s="73">
        <v>0.9</v>
      </c>
      <c r="L1382" s="73">
        <v>1.32</v>
      </c>
      <c r="N1382" s="318">
        <f t="shared" si="251"/>
        <v>76.23</v>
      </c>
      <c r="O1382" s="81">
        <f>IFERROR(VLOOKUP($G1382,'321買'!A:E,3,0),"'沒有資料'")</f>
        <v>0</v>
      </c>
      <c r="P1382" s="380">
        <f>IFERROR(VLOOKUP($G1382,'321買'!$A:$G,7,0),"'沒有資料'")</f>
        <v>911</v>
      </c>
      <c r="R1382" s="297">
        <f>IFERROR(RANK(VLOOKUP($G1382,連買!$A:$D,4,0),連買!$D:$D,0),"'沒有資料'")</f>
        <v>1632</v>
      </c>
      <c r="S1382" s="34">
        <v>1.7</v>
      </c>
      <c r="T1382" s="353">
        <f t="shared" si="257"/>
        <v>5.3124999999999999E-2</v>
      </c>
      <c r="U1382" s="57">
        <v>1.1499999999999999</v>
      </c>
      <c r="V1382" s="36">
        <f>RTD("money.excel",,"8473","Price")</f>
        <v>32</v>
      </c>
      <c r="W1382" s="66"/>
      <c r="X1382" s="15">
        <f t="shared" si="258"/>
        <v>32</v>
      </c>
      <c r="Y1382" s="3" t="e">
        <f t="shared" si="259"/>
        <v>#DIV/0!</v>
      </c>
      <c r="AA1382" s="161">
        <v>0</v>
      </c>
      <c r="AB1382" s="409">
        <v>0</v>
      </c>
      <c r="AC1382" s="259">
        <f t="shared" si="252"/>
        <v>0</v>
      </c>
      <c r="AD1382" s="22" t="s">
        <v>693</v>
      </c>
      <c r="AG1382" s="33">
        <f t="shared" si="260"/>
        <v>0</v>
      </c>
      <c r="AH1382" s="43" t="s">
        <v>3018</v>
      </c>
      <c r="AI1382" s="63">
        <f t="shared" si="256"/>
        <v>2.537313432835821E-4</v>
      </c>
      <c r="AJ1382" s="307">
        <f>RTD("money.excel",,$G1382,"PredictVolume")</f>
        <v>34</v>
      </c>
      <c r="AK1382" s="339"/>
    </row>
    <row r="1383" spans="1:37">
      <c r="A1383" s="416">
        <v>7.05</v>
      </c>
      <c r="B1383" s="79">
        <v>56</v>
      </c>
      <c r="C1383" s="79">
        <v>85</v>
      </c>
      <c r="D1383" s="80">
        <v>-12</v>
      </c>
      <c r="E1383" s="79">
        <v>88</v>
      </c>
      <c r="F1383" s="6">
        <v>-2.2599999999999998</v>
      </c>
      <c r="G1383" s="79">
        <v>8476</v>
      </c>
      <c r="H1383" s="8" t="s">
        <v>2084</v>
      </c>
      <c r="I1383" s="16" t="s">
        <v>660</v>
      </c>
      <c r="J1383" s="323">
        <v>62.97</v>
      </c>
      <c r="K1383" s="323">
        <v>0.41</v>
      </c>
      <c r="L1383" s="323"/>
      <c r="M1383" s="323">
        <v>39.08</v>
      </c>
      <c r="N1383" s="318">
        <f>K1383+J1383+L1383+M1383</f>
        <v>102.46</v>
      </c>
      <c r="O1383" s="81">
        <f>IFERROR(VLOOKUP($G1383,'321買'!A:E,3,0),"'沒有資料'")</f>
        <v>0</v>
      </c>
      <c r="P1383" s="380">
        <f>IFERROR(VLOOKUP($G1383,'321買'!$A:$G,7,0),"'沒有資料'")</f>
        <v>911</v>
      </c>
      <c r="R1383" s="297">
        <f>IFERROR(RANK(VLOOKUP($G1383,連買!$A:$D,4,0),連買!$D:$D,0),"'沒有資料'")</f>
        <v>674</v>
      </c>
      <c r="S1383" s="34">
        <v>0</v>
      </c>
      <c r="T1383" s="353">
        <f t="shared" si="257"/>
        <v>0</v>
      </c>
      <c r="U1383" s="57">
        <v>-0.35</v>
      </c>
      <c r="V1383" s="36">
        <f>RTD("money.excel",,"8476","Price")</f>
        <v>60.3</v>
      </c>
      <c r="W1383" s="66"/>
      <c r="X1383" s="15">
        <f t="shared" si="258"/>
        <v>60.3</v>
      </c>
      <c r="Y1383" s="3" t="e">
        <f t="shared" si="259"/>
        <v>#DIV/0!</v>
      </c>
      <c r="AA1383" s="161">
        <v>0</v>
      </c>
      <c r="AB1383" s="409">
        <v>0</v>
      </c>
      <c r="AC1383" s="259">
        <f t="shared" si="252"/>
        <v>0</v>
      </c>
      <c r="AD1383" s="16" t="s">
        <v>660</v>
      </c>
      <c r="AG1383" s="33">
        <f t="shared" si="260"/>
        <v>0</v>
      </c>
      <c r="AH1383" s="43" t="s">
        <v>2664</v>
      </c>
      <c r="AI1383" s="63">
        <f t="shared" si="256"/>
        <v>1.4326241134751774E-3</v>
      </c>
      <c r="AJ1383" s="307">
        <f>RTD("money.excel",,$G1383,"PredictVolume")</f>
        <v>101</v>
      </c>
      <c r="AK1383" s="339"/>
    </row>
    <row r="1384" spans="1:37">
      <c r="A1384" s="415">
        <v>8.89</v>
      </c>
      <c r="B1384" s="79">
        <v>804</v>
      </c>
      <c r="C1384" s="79">
        <v>317</v>
      </c>
      <c r="D1384" s="79">
        <v>7</v>
      </c>
      <c r="E1384" s="79">
        <v>81</v>
      </c>
      <c r="F1384" s="57">
        <v>20.85</v>
      </c>
      <c r="G1384" s="79">
        <v>8478</v>
      </c>
      <c r="H1384" s="8" t="s">
        <v>235</v>
      </c>
      <c r="I1384" s="22" t="s">
        <v>1101</v>
      </c>
      <c r="J1384" s="323">
        <v>82.46</v>
      </c>
      <c r="K1384" s="73">
        <v>42.91</v>
      </c>
      <c r="L1384" s="73">
        <v>6.91</v>
      </c>
      <c r="M1384" s="323">
        <v>20.079999999999998</v>
      </c>
      <c r="N1384" s="73">
        <f t="shared" ref="N1384" si="261">J1384+K1384+L1384+M1384</f>
        <v>152.36000000000001</v>
      </c>
      <c r="O1384" s="81">
        <f>IFERROR(VLOOKUP($G1384,'321買'!A:E,3,0),"'沒有資料'")</f>
        <v>5</v>
      </c>
      <c r="P1384" s="380">
        <f>IFERROR(VLOOKUP($G1384,'321買'!$A:$G,7,0),"'沒有資料'")</f>
        <v>558</v>
      </c>
      <c r="Q1384" s="388" t="s">
        <v>5063</v>
      </c>
      <c r="R1384" s="297">
        <f>IFERROR(RANK(VLOOKUP($G1384,連買!$A:$D,4,0),連買!$D:$D,0),"'沒有資料'")</f>
        <v>145</v>
      </c>
      <c r="S1384" s="45">
        <v>5</v>
      </c>
      <c r="T1384" s="353">
        <f t="shared" si="257"/>
        <v>2.865329512893983E-2</v>
      </c>
      <c r="U1384" s="57">
        <v>9.5500000000000007</v>
      </c>
      <c r="V1384" s="13">
        <f>RTD("money.excel",,"8478","Price")</f>
        <v>174.5</v>
      </c>
      <c r="W1384" s="66"/>
      <c r="X1384" s="15">
        <f t="shared" si="258"/>
        <v>174.5</v>
      </c>
      <c r="Y1384" s="3" t="e">
        <f t="shared" si="259"/>
        <v>#DIV/0!</v>
      </c>
      <c r="Z1384" s="413" t="s">
        <v>6642</v>
      </c>
      <c r="AA1384" s="161">
        <v>0</v>
      </c>
      <c r="AB1384" s="409">
        <v>0</v>
      </c>
      <c r="AC1384" s="259">
        <f t="shared" si="252"/>
        <v>0</v>
      </c>
      <c r="AD1384" s="22" t="s">
        <v>1101</v>
      </c>
      <c r="AG1384" s="33">
        <f t="shared" si="260"/>
        <v>0</v>
      </c>
      <c r="AH1384" s="43" t="s">
        <v>3019</v>
      </c>
      <c r="AI1384" s="63">
        <f t="shared" si="256"/>
        <v>0.10545556805399325</v>
      </c>
      <c r="AJ1384" s="307">
        <f>RTD("money.excel",,$G1384,"PredictVolume")</f>
        <v>9375</v>
      </c>
      <c r="AK1384" s="339">
        <v>12.97</v>
      </c>
    </row>
    <row r="1385" spans="1:37">
      <c r="A1385" s="415">
        <v>3.93</v>
      </c>
      <c r="B1385" s="79">
        <v>41</v>
      </c>
      <c r="C1385" s="79">
        <v>41</v>
      </c>
      <c r="D1385" s="79">
        <v>1</v>
      </c>
      <c r="E1385" s="80">
        <v>-12</v>
      </c>
      <c r="F1385" s="57">
        <v>18.920000000000002</v>
      </c>
      <c r="G1385" s="79">
        <v>8480</v>
      </c>
      <c r="H1385" s="8" t="s">
        <v>2084</v>
      </c>
      <c r="I1385" s="22" t="s">
        <v>694</v>
      </c>
      <c r="J1385" s="323">
        <v>89.49</v>
      </c>
      <c r="K1385" s="73">
        <v>87.28</v>
      </c>
      <c r="L1385" s="323">
        <v>0.19</v>
      </c>
      <c r="N1385" s="318">
        <f t="shared" ref="N1385:N1431" si="262">J1385+K1385+L1385+M1385</f>
        <v>176.95999999999998</v>
      </c>
      <c r="O1385" s="81">
        <f>IFERROR(VLOOKUP($G1385,'321買'!A:E,3,0),"'沒有資料'")</f>
        <v>0</v>
      </c>
      <c r="P1385" s="380">
        <f>IFERROR(VLOOKUP($G1385,'321買'!$A:$G,7,0),"'沒有資料'")</f>
        <v>911</v>
      </c>
      <c r="R1385" s="297">
        <f>IFERROR(RANK(VLOOKUP($G1385,連買!$A:$D,4,0),連買!$D:$D,0),"'沒有資料'")</f>
        <v>1742</v>
      </c>
      <c r="S1385" s="66">
        <v>6</v>
      </c>
      <c r="T1385" s="353">
        <f t="shared" si="257"/>
        <v>8.7209302325581398E-2</v>
      </c>
      <c r="U1385" s="95">
        <v>9.9600000000000009</v>
      </c>
      <c r="V1385" s="13">
        <f>RTD("money.excel",,"8480","Price")</f>
        <v>68.8</v>
      </c>
      <c r="W1385" s="66"/>
      <c r="X1385" s="15">
        <f t="shared" si="258"/>
        <v>68.8</v>
      </c>
      <c r="Y1385" s="3" t="e">
        <f t="shared" si="259"/>
        <v>#DIV/0!</v>
      </c>
      <c r="Z1385" s="413" t="s">
        <v>1997</v>
      </c>
      <c r="AA1385" s="161">
        <v>0</v>
      </c>
      <c r="AB1385" s="409">
        <v>0</v>
      </c>
      <c r="AC1385" s="259">
        <f t="shared" si="252"/>
        <v>0</v>
      </c>
      <c r="AD1385" s="22" t="s">
        <v>694</v>
      </c>
      <c r="AG1385" s="33">
        <f t="shared" si="260"/>
        <v>0</v>
      </c>
      <c r="AH1385" s="43" t="s">
        <v>2718</v>
      </c>
      <c r="AI1385" s="63">
        <f t="shared" si="256"/>
        <v>7.1246819338422395E-4</v>
      </c>
      <c r="AJ1385" s="307">
        <f>RTD("money.excel",,$G1385,"PredictVolume")</f>
        <v>28</v>
      </c>
      <c r="AK1385" s="339"/>
    </row>
    <row r="1386" spans="1:37">
      <c r="A1386" s="415">
        <v>6.66</v>
      </c>
      <c r="B1386" s="91">
        <v>332</v>
      </c>
      <c r="C1386" s="91">
        <v>-22</v>
      </c>
      <c r="D1386" s="91">
        <v>7</v>
      </c>
      <c r="E1386" s="91">
        <v>62</v>
      </c>
      <c r="F1386" s="57">
        <v>16.2</v>
      </c>
      <c r="G1386" s="79">
        <v>8481</v>
      </c>
      <c r="H1386" s="8" t="s">
        <v>2084</v>
      </c>
      <c r="I1386" s="22" t="s">
        <v>695</v>
      </c>
      <c r="J1386" s="73">
        <v>68.98</v>
      </c>
      <c r="K1386" s="323">
        <v>2.39</v>
      </c>
      <c r="L1386" s="73">
        <v>0.4</v>
      </c>
      <c r="N1386" s="318">
        <f t="shared" si="262"/>
        <v>71.77000000000001</v>
      </c>
      <c r="O1386" s="81">
        <f>IFERROR(VLOOKUP($G1386,'321買'!A:E,3,0),"'沒有資料'")</f>
        <v>0</v>
      </c>
      <c r="P1386" s="380">
        <f>IFERROR(VLOOKUP($G1386,'321買'!$A:$G,7,0),"'沒有資料'")</f>
        <v>911</v>
      </c>
      <c r="R1386" s="297">
        <f>IFERROR(RANK(VLOOKUP($G1386,連買!$A:$D,4,0),連買!$D:$D,0),"'沒有資料'")</f>
        <v>1677</v>
      </c>
      <c r="S1386" s="66">
        <v>7</v>
      </c>
      <c r="T1386" s="353">
        <f t="shared" si="257"/>
        <v>0.10204081632653061</v>
      </c>
      <c r="U1386" s="95">
        <v>12.51</v>
      </c>
      <c r="V1386" s="13">
        <f>RTD("money.excel",,"8481","Price")</f>
        <v>68.599999999999994</v>
      </c>
      <c r="W1386" s="66"/>
      <c r="X1386" s="15">
        <f t="shared" si="258"/>
        <v>68.599999999999994</v>
      </c>
      <c r="Y1386" s="3" t="e">
        <f t="shared" si="259"/>
        <v>#DIV/0!</v>
      </c>
      <c r="Z1386" s="413" t="s">
        <v>1831</v>
      </c>
      <c r="AA1386" s="161">
        <v>0</v>
      </c>
      <c r="AB1386" s="409">
        <v>0</v>
      </c>
      <c r="AC1386" s="259">
        <f t="shared" si="252"/>
        <v>0</v>
      </c>
      <c r="AD1386" s="22" t="s">
        <v>695</v>
      </c>
      <c r="AG1386" s="33">
        <f t="shared" si="260"/>
        <v>0</v>
      </c>
      <c r="AH1386" s="43" t="s">
        <v>3020</v>
      </c>
      <c r="AI1386" s="63">
        <f t="shared" si="256"/>
        <v>9.3093093093093093E-4</v>
      </c>
      <c r="AJ1386" s="307">
        <f>RTD("money.excel",,$G1386,"PredictVolume")</f>
        <v>62</v>
      </c>
      <c r="AK1386" s="339"/>
    </row>
    <row r="1387" spans="1:37">
      <c r="A1387" s="416">
        <v>11</v>
      </c>
      <c r="B1387" s="79">
        <v>53</v>
      </c>
      <c r="C1387" s="79">
        <v>51</v>
      </c>
      <c r="D1387" s="79">
        <v>10</v>
      </c>
      <c r="E1387" s="79">
        <v>8</v>
      </c>
      <c r="F1387" s="6">
        <v>15.11</v>
      </c>
      <c r="G1387" s="79">
        <v>8482</v>
      </c>
      <c r="H1387" s="8" t="s">
        <v>2084</v>
      </c>
      <c r="I1387" s="22" t="s">
        <v>1083</v>
      </c>
      <c r="J1387" s="73">
        <v>93.24</v>
      </c>
      <c r="K1387" s="323">
        <v>90.6</v>
      </c>
      <c r="L1387" s="323">
        <v>0.89</v>
      </c>
      <c r="N1387" s="318">
        <f t="shared" si="262"/>
        <v>184.72999999999996</v>
      </c>
      <c r="O1387" s="81">
        <f>IFERROR(VLOOKUP($G1387,'321買'!A:E,3,0),"'沒有資料'")</f>
        <v>0</v>
      </c>
      <c r="P1387" s="380">
        <f>IFERROR(VLOOKUP($G1387,'321買'!$A:$G,7,0),"'沒有資料'")</f>
        <v>911</v>
      </c>
      <c r="R1387" s="297">
        <f>IFERROR(RANK(VLOOKUP($G1387,連買!$A:$D,4,0),連買!$D:$D,0),"'沒有資料'")</f>
        <v>340</v>
      </c>
      <c r="S1387" s="66">
        <v>4.8</v>
      </c>
      <c r="T1387" s="353">
        <f t="shared" si="257"/>
        <v>6.4343163538873996E-2</v>
      </c>
      <c r="U1387" s="95">
        <v>7.23</v>
      </c>
      <c r="V1387" s="13">
        <f>RTD("money.excel",,"8482","Price")</f>
        <v>74.599999999999994</v>
      </c>
      <c r="W1387" s="66"/>
      <c r="X1387" s="15">
        <f t="shared" si="258"/>
        <v>74.599999999999994</v>
      </c>
      <c r="Y1387" s="3" t="e">
        <f t="shared" si="259"/>
        <v>#DIV/0!</v>
      </c>
      <c r="Z1387" s="413" t="s">
        <v>1831</v>
      </c>
      <c r="AA1387" s="161">
        <v>0</v>
      </c>
      <c r="AB1387" s="409">
        <v>0</v>
      </c>
      <c r="AC1387" s="259">
        <f t="shared" si="252"/>
        <v>0</v>
      </c>
      <c r="AD1387" s="22" t="s">
        <v>1083</v>
      </c>
      <c r="AG1387" s="33">
        <f t="shared" si="260"/>
        <v>0</v>
      </c>
      <c r="AH1387" s="43" t="s">
        <v>2653</v>
      </c>
      <c r="AI1387" s="63">
        <f t="shared" si="256"/>
        <v>1.1818181818181818E-4</v>
      </c>
      <c r="AJ1387" s="307">
        <f>RTD("money.excel",,$G1387,"PredictVolume")</f>
        <v>13</v>
      </c>
      <c r="AK1387" s="339"/>
    </row>
    <row r="1388" spans="1:37">
      <c r="A1388" s="416">
        <v>6.75</v>
      </c>
      <c r="B1388" s="91">
        <v>-231</v>
      </c>
      <c r="C1388" s="91">
        <v>-117</v>
      </c>
      <c r="D1388" s="91">
        <v>-31</v>
      </c>
      <c r="E1388" s="91">
        <v>31</v>
      </c>
      <c r="F1388" s="6">
        <v>-1.1200000000000001</v>
      </c>
      <c r="G1388" s="79">
        <v>8488</v>
      </c>
      <c r="H1388" s="8" t="s">
        <v>2084</v>
      </c>
      <c r="I1388" s="22" t="s">
        <v>696</v>
      </c>
      <c r="J1388" s="73">
        <v>87.88</v>
      </c>
      <c r="K1388" s="73">
        <v>77.650000000000006</v>
      </c>
      <c r="L1388" s="73">
        <v>1.49</v>
      </c>
      <c r="N1388" s="318">
        <f t="shared" si="262"/>
        <v>167.02</v>
      </c>
      <c r="O1388" s="81">
        <f>IFERROR(VLOOKUP($G1388,'321買'!A:E,3,0),"'沒有資料'")</f>
        <v>0</v>
      </c>
      <c r="P1388" s="380">
        <f>IFERROR(VLOOKUP($G1388,'321買'!$A:$G,7,0),"'沒有資料'")</f>
        <v>911</v>
      </c>
      <c r="R1388" s="297">
        <f>IFERROR(RANK(VLOOKUP($G1388,連買!$A:$D,4,0),連買!$D:$D,0),"'沒有資料'")</f>
        <v>1001</v>
      </c>
      <c r="S1388" s="34">
        <v>0.3</v>
      </c>
      <c r="T1388" s="353">
        <f t="shared" si="257"/>
        <v>1.7241379310344827E-2</v>
      </c>
      <c r="U1388" s="57">
        <v>0.75</v>
      </c>
      <c r="V1388" s="13">
        <f>RTD("money.excel",,"8488","Price")</f>
        <v>17.399999999999999</v>
      </c>
      <c r="W1388" s="66"/>
      <c r="X1388" s="15">
        <f t="shared" si="258"/>
        <v>17.399999999999999</v>
      </c>
      <c r="Y1388" s="3" t="e">
        <f t="shared" si="259"/>
        <v>#DIV/0!</v>
      </c>
      <c r="Z1388" s="413" t="s">
        <v>1801</v>
      </c>
      <c r="AA1388" s="161">
        <v>0</v>
      </c>
      <c r="AB1388" s="409">
        <v>0</v>
      </c>
      <c r="AC1388" s="259">
        <f t="shared" si="252"/>
        <v>0</v>
      </c>
      <c r="AD1388" s="22" t="s">
        <v>696</v>
      </c>
      <c r="AG1388" s="33">
        <f t="shared" si="260"/>
        <v>0</v>
      </c>
      <c r="AH1388" s="43" t="s">
        <v>3021</v>
      </c>
      <c r="AI1388" s="63">
        <f t="shared" si="256"/>
        <v>5.925925925925926E-5</v>
      </c>
      <c r="AJ1388" s="307">
        <f>RTD("money.excel",,$G1388,"PredictVolume")</f>
        <v>4</v>
      </c>
      <c r="AK1388" s="339"/>
    </row>
    <row r="1389" spans="1:37">
      <c r="A1389" s="415">
        <v>5.19</v>
      </c>
      <c r="B1389" s="79">
        <v>25</v>
      </c>
      <c r="C1389" s="79">
        <v>38</v>
      </c>
      <c r="D1389" s="79">
        <v>7</v>
      </c>
      <c r="E1389" s="79">
        <v>7</v>
      </c>
      <c r="F1389" s="57">
        <v>39.340000000000003</v>
      </c>
      <c r="G1389" s="79">
        <v>8499</v>
      </c>
      <c r="H1389" s="208" t="s">
        <v>2084</v>
      </c>
      <c r="I1389" s="22" t="s">
        <v>4948</v>
      </c>
      <c r="J1389" s="323">
        <v>72.11</v>
      </c>
      <c r="K1389" s="323">
        <v>69.83</v>
      </c>
      <c r="L1389" s="323">
        <v>6.1</v>
      </c>
      <c r="N1389" s="318">
        <f t="shared" si="262"/>
        <v>148.04</v>
      </c>
      <c r="O1389" s="81">
        <f>IFERROR(VLOOKUP($G1389,'321買'!A:E,3,0),"'沒有資料'")</f>
        <v>0</v>
      </c>
      <c r="P1389" s="380">
        <f>IFERROR(VLOOKUP($G1389,'321買'!$A:$G,7,0),"'沒有資料'")</f>
        <v>911</v>
      </c>
      <c r="R1389" s="297">
        <f>IFERROR(RANK(VLOOKUP($G1389,連買!$A:$D,4,0),連買!$D:$D,0),"'沒有資料'")</f>
        <v>75</v>
      </c>
      <c r="S1389" s="66">
        <v>8</v>
      </c>
      <c r="T1389" s="353">
        <f t="shared" si="257"/>
        <v>6.9264069264069264E-2</v>
      </c>
      <c r="U1389" s="57">
        <v>13.09</v>
      </c>
      <c r="V1389" s="13">
        <f>RTD("money.excel",,"8499","Price")</f>
        <v>115.5</v>
      </c>
      <c r="W1389" s="66"/>
      <c r="X1389" s="15">
        <f t="shared" si="258"/>
        <v>115.5</v>
      </c>
      <c r="Y1389" s="3" t="e">
        <f t="shared" si="259"/>
        <v>#DIV/0!</v>
      </c>
      <c r="Z1389" s="413" t="s">
        <v>1997</v>
      </c>
      <c r="AA1389" s="161">
        <v>0</v>
      </c>
      <c r="AB1389" s="409">
        <v>0</v>
      </c>
      <c r="AC1389" s="259">
        <f t="shared" si="252"/>
        <v>0</v>
      </c>
      <c r="AD1389" s="22" t="s">
        <v>4948</v>
      </c>
      <c r="AG1389" s="33">
        <f t="shared" si="260"/>
        <v>0</v>
      </c>
      <c r="AH1389" s="122" t="s">
        <v>1989</v>
      </c>
      <c r="AI1389" s="63">
        <f t="shared" si="256"/>
        <v>6.3583815028901724E-4</v>
      </c>
      <c r="AJ1389" s="307">
        <f>RTD("money.excel",,$G1389,"PredictVolume")</f>
        <v>33</v>
      </c>
      <c r="AK1389" s="339"/>
    </row>
    <row r="1390" spans="1:37">
      <c r="A1390" s="415">
        <v>11.9</v>
      </c>
      <c r="B1390" s="91">
        <v>-98</v>
      </c>
      <c r="C1390" s="91">
        <v>-97</v>
      </c>
      <c r="D1390" s="91">
        <v>2</v>
      </c>
      <c r="E1390" s="91">
        <v>41</v>
      </c>
      <c r="F1390" s="6">
        <v>0.2</v>
      </c>
      <c r="G1390" s="79">
        <v>8905</v>
      </c>
      <c r="H1390" s="8" t="s">
        <v>2084</v>
      </c>
      <c r="I1390" s="16" t="s">
        <v>661</v>
      </c>
      <c r="J1390" s="73">
        <v>67.92</v>
      </c>
      <c r="K1390" s="73">
        <v>0.17</v>
      </c>
      <c r="L1390" s="73">
        <v>3.23</v>
      </c>
      <c r="N1390" s="318">
        <f t="shared" si="262"/>
        <v>71.320000000000007</v>
      </c>
      <c r="O1390" s="81">
        <f>IFERROR(VLOOKUP($G1390,'321買'!A:E,3,0),"'沒有資料'")</f>
        <v>4</v>
      </c>
      <c r="P1390" s="380">
        <f>IFERROR(VLOOKUP($G1390,'321買'!$A:$G,7,0),"'沒有資料'")</f>
        <v>592</v>
      </c>
      <c r="R1390" s="297">
        <f>IFERROR(RANK(VLOOKUP($G1390,連買!$A:$D,4,0),連買!$D:$D,0),"'沒有資料'")</f>
        <v>871</v>
      </c>
      <c r="S1390" s="34">
        <v>0.3</v>
      </c>
      <c r="T1390" s="353">
        <f t="shared" si="257"/>
        <v>1.2096774193548387E-2</v>
      </c>
      <c r="U1390" s="95">
        <v>-1.24</v>
      </c>
      <c r="V1390" s="13">
        <f>RTD("money.excel",,"8905","Price")</f>
        <v>24.8</v>
      </c>
      <c r="W1390" s="66"/>
      <c r="X1390" s="15">
        <f t="shared" si="258"/>
        <v>24.8</v>
      </c>
      <c r="Y1390" s="3" t="e">
        <f t="shared" si="259"/>
        <v>#DIV/0!</v>
      </c>
      <c r="AA1390" s="161">
        <v>0</v>
      </c>
      <c r="AB1390" s="409">
        <v>0</v>
      </c>
      <c r="AC1390" s="259">
        <f t="shared" si="252"/>
        <v>0</v>
      </c>
      <c r="AD1390" s="16" t="s">
        <v>661</v>
      </c>
      <c r="AG1390" s="33">
        <f t="shared" si="260"/>
        <v>0</v>
      </c>
      <c r="AH1390" s="43" t="s">
        <v>2665</v>
      </c>
      <c r="AI1390" s="63">
        <f t="shared" si="256"/>
        <v>1.184873949579832E-3</v>
      </c>
      <c r="AJ1390" s="307">
        <f>RTD("money.excel",,$G1390,"PredictVolume")</f>
        <v>141</v>
      </c>
      <c r="AK1390" s="339"/>
    </row>
    <row r="1391" spans="1:37">
      <c r="A1391" s="416">
        <v>3.4</v>
      </c>
      <c r="B1391" s="91">
        <v>-100</v>
      </c>
      <c r="C1391" s="91">
        <v>-264</v>
      </c>
      <c r="D1391" s="91">
        <v>-5</v>
      </c>
      <c r="E1391" s="91">
        <v>2</v>
      </c>
      <c r="F1391" s="6">
        <v>-5.56</v>
      </c>
      <c r="G1391" s="79">
        <v>8906</v>
      </c>
      <c r="H1391" s="8" t="s">
        <v>2084</v>
      </c>
      <c r="I1391" s="16" t="s">
        <v>662</v>
      </c>
      <c r="J1391" s="323">
        <v>83.38</v>
      </c>
      <c r="K1391" s="323">
        <v>0</v>
      </c>
      <c r="N1391" s="318">
        <f t="shared" si="262"/>
        <v>83.38</v>
      </c>
      <c r="O1391" s="81">
        <f>IFERROR(VLOOKUP($G1391,'321買'!A:E,3,0),"'沒有資料'")</f>
        <v>1</v>
      </c>
      <c r="P1391" s="380">
        <f>IFERROR(VLOOKUP($G1391,'321買'!$A:$G,7,0),"'沒有資料'")</f>
        <v>783</v>
      </c>
      <c r="R1391" s="297">
        <f>IFERROR(RANK(VLOOKUP($G1391,連買!$A:$D,4,0),連買!$D:$D,0),"'沒有資料'")</f>
        <v>1204</v>
      </c>
      <c r="S1391" s="34">
        <v>0.1</v>
      </c>
      <c r="T1391" s="353">
        <f t="shared" si="257"/>
        <v>5.2219321148825075E-3</v>
      </c>
      <c r="U1391" s="95">
        <v>0.08</v>
      </c>
      <c r="V1391" s="13">
        <f>RTD("money.excel",,"8906","Price")</f>
        <v>19.149999999999999</v>
      </c>
      <c r="W1391" s="66"/>
      <c r="X1391" s="15">
        <f t="shared" si="258"/>
        <v>19.149999999999999</v>
      </c>
      <c r="Y1391" s="3" t="e">
        <f t="shared" si="259"/>
        <v>#DIV/0!</v>
      </c>
      <c r="Z1391" s="413" t="s">
        <v>1801</v>
      </c>
      <c r="AA1391" s="161">
        <v>0</v>
      </c>
      <c r="AB1391" s="409">
        <v>0</v>
      </c>
      <c r="AC1391" s="259">
        <f t="shared" si="252"/>
        <v>0</v>
      </c>
      <c r="AD1391" s="16" t="s">
        <v>662</v>
      </c>
      <c r="AG1391" s="33">
        <f t="shared" si="260"/>
        <v>0</v>
      </c>
      <c r="AH1391" s="43" t="s">
        <v>2666</v>
      </c>
      <c r="AI1391" s="63">
        <f t="shared" si="256"/>
        <v>2.3529411764705883E-4</v>
      </c>
      <c r="AJ1391" s="307">
        <f>RTD("money.excel",,$G1391,"PredictVolume")</f>
        <v>8</v>
      </c>
      <c r="AK1391" s="339"/>
    </row>
    <row r="1392" spans="1:37">
      <c r="A1392" s="416">
        <v>13.1</v>
      </c>
      <c r="B1392" s="80">
        <v>-28</v>
      </c>
      <c r="C1392" s="80">
        <v>-18</v>
      </c>
      <c r="D1392" s="79">
        <v>49</v>
      </c>
      <c r="E1392" s="79">
        <v>6</v>
      </c>
      <c r="F1392" s="6">
        <v>6.06</v>
      </c>
      <c r="G1392" s="79">
        <v>8916</v>
      </c>
      <c r="H1392" s="8" t="s">
        <v>2084</v>
      </c>
      <c r="I1392" s="16" t="s">
        <v>153</v>
      </c>
      <c r="J1392" s="323">
        <v>55.58</v>
      </c>
      <c r="K1392" s="323">
        <v>2.29</v>
      </c>
      <c r="L1392" s="323">
        <v>1.5</v>
      </c>
      <c r="N1392" s="318">
        <f t="shared" si="262"/>
        <v>59.37</v>
      </c>
      <c r="O1392" s="81">
        <f>IFERROR(VLOOKUP($G1392,'321買'!A:E,3,0),"'沒有資料'")</f>
        <v>0</v>
      </c>
      <c r="P1392" s="380">
        <f>IFERROR(VLOOKUP($G1392,'321買'!$A:$G,7,0),"'沒有資料'")</f>
        <v>911</v>
      </c>
      <c r="R1392" s="297">
        <f>IFERROR(RANK(VLOOKUP($G1392,連買!$A:$D,4,0),連買!$D:$D,0),"'沒有資料'")</f>
        <v>314</v>
      </c>
      <c r="S1392" s="66">
        <v>3</v>
      </c>
      <c r="T1392" s="353">
        <f t="shared" si="257"/>
        <v>6.9284064665127029E-2</v>
      </c>
      <c r="U1392" s="57">
        <v>2.63</v>
      </c>
      <c r="V1392" s="36">
        <f>RTD("money.excel",,"8916","Price")</f>
        <v>43.3</v>
      </c>
      <c r="W1392" s="66"/>
      <c r="X1392" s="15">
        <f t="shared" si="258"/>
        <v>43.3</v>
      </c>
      <c r="Y1392" s="3" t="e">
        <f t="shared" si="259"/>
        <v>#DIV/0!</v>
      </c>
      <c r="Z1392" s="413" t="s">
        <v>1997</v>
      </c>
      <c r="AA1392" s="161">
        <v>0</v>
      </c>
      <c r="AB1392" s="409">
        <v>0</v>
      </c>
      <c r="AC1392" s="259">
        <f t="shared" si="252"/>
        <v>0</v>
      </c>
      <c r="AD1392" s="16" t="s">
        <v>153</v>
      </c>
      <c r="AG1392" s="33">
        <f t="shared" si="260"/>
        <v>0</v>
      </c>
      <c r="AH1392" s="120" t="s">
        <v>1425</v>
      </c>
      <c r="AI1392" s="63">
        <f t="shared" si="256"/>
        <v>8.473282442748092E-4</v>
      </c>
      <c r="AJ1392" s="307">
        <f>RTD("money.excel",,$G1392,"PredictVolume")</f>
        <v>111</v>
      </c>
      <c r="AK1392" s="339"/>
    </row>
    <row r="1393" spans="1:37">
      <c r="A1393" s="416">
        <v>4.66</v>
      </c>
      <c r="B1393" s="91">
        <v>-6</v>
      </c>
      <c r="C1393" s="91">
        <v>-21</v>
      </c>
      <c r="D1393" s="91">
        <v>-18</v>
      </c>
      <c r="E1393" s="91">
        <v>5</v>
      </c>
      <c r="F1393" s="6">
        <v>0.54</v>
      </c>
      <c r="G1393" s="79">
        <v>8921</v>
      </c>
      <c r="H1393" s="8" t="s">
        <v>2084</v>
      </c>
      <c r="I1393" s="16" t="s">
        <v>663</v>
      </c>
      <c r="J1393" s="73">
        <v>84.84</v>
      </c>
      <c r="K1393" s="73">
        <v>0.32</v>
      </c>
      <c r="N1393" s="318">
        <f t="shared" si="262"/>
        <v>85.16</v>
      </c>
      <c r="O1393" s="81" t="str">
        <f>IFERROR(VLOOKUP($G1393,'321買'!A:E,3,0),"'沒有資料'")</f>
        <v>'沒有資料'</v>
      </c>
      <c r="P1393" s="380" t="str">
        <f>IFERROR(VLOOKUP($G1393,'321買'!$A:$G,7,0),"'沒有資料'")</f>
        <v>'沒有資料'</v>
      </c>
      <c r="R1393" s="297">
        <f>IFERROR(RANK(VLOOKUP($G1393,連買!$A:$D,4,0),連買!$D:$D,0),"'沒有資料'")</f>
        <v>1439</v>
      </c>
      <c r="S1393" s="34">
        <v>0.42</v>
      </c>
      <c r="T1393" s="353">
        <f t="shared" si="257"/>
        <v>2.6332288401253918E-2</v>
      </c>
      <c r="U1393" s="95">
        <v>0.42</v>
      </c>
      <c r="V1393" s="13">
        <f>RTD("money.excel",,"8921","Price")</f>
        <v>15.95</v>
      </c>
      <c r="W1393" s="66"/>
      <c r="X1393" s="15">
        <f t="shared" si="258"/>
        <v>15.95</v>
      </c>
      <c r="Y1393" s="3" t="e">
        <f t="shared" si="259"/>
        <v>#DIV/0!</v>
      </c>
      <c r="AA1393" s="161">
        <v>0</v>
      </c>
      <c r="AB1393" s="409">
        <v>0</v>
      </c>
      <c r="AC1393" s="259">
        <f t="shared" si="252"/>
        <v>0</v>
      </c>
      <c r="AD1393" s="16" t="s">
        <v>663</v>
      </c>
      <c r="AG1393" s="33">
        <f t="shared" si="260"/>
        <v>0</v>
      </c>
      <c r="AH1393" s="43" t="s">
        <v>2667</v>
      </c>
      <c r="AI1393" s="63">
        <f t="shared" si="256"/>
        <v>3.4334763948497857E-4</v>
      </c>
      <c r="AJ1393" s="307">
        <f>RTD("money.excel",,$G1393,"PredictVolume")</f>
        <v>16</v>
      </c>
      <c r="AK1393" s="339"/>
    </row>
    <row r="1394" spans="1:37">
      <c r="A1394" s="415">
        <v>8.3800000000000008</v>
      </c>
      <c r="B1394" s="79">
        <v>299</v>
      </c>
      <c r="C1394" s="79">
        <v>207</v>
      </c>
      <c r="D1394" s="80">
        <v>-18</v>
      </c>
      <c r="E1394" s="79">
        <v>8</v>
      </c>
      <c r="F1394" s="57">
        <v>25.92</v>
      </c>
      <c r="G1394" s="79">
        <v>8924</v>
      </c>
      <c r="H1394" s="8" t="s">
        <v>2084</v>
      </c>
      <c r="I1394" s="16" t="s">
        <v>664</v>
      </c>
      <c r="J1394" s="323">
        <v>31.25</v>
      </c>
      <c r="K1394" s="73">
        <v>6.34</v>
      </c>
      <c r="L1394" s="73">
        <v>16.989999999999998</v>
      </c>
      <c r="M1394" s="323">
        <v>21.81</v>
      </c>
      <c r="N1394" s="318">
        <f t="shared" si="262"/>
        <v>76.39</v>
      </c>
      <c r="O1394" s="81">
        <f>IFERROR(VLOOKUP($G1394,'321買'!A:E,3,0),"'沒有資料'")</f>
        <v>50</v>
      </c>
      <c r="P1394" s="380">
        <f>IFERROR(VLOOKUP($G1394,'321買'!$A:$G,7,0),"'沒有資料'")</f>
        <v>67</v>
      </c>
      <c r="Q1394" s="245" t="s">
        <v>3816</v>
      </c>
      <c r="R1394" s="297">
        <f>IFERROR(RANK(VLOOKUP($G1394,連買!$A:$D,4,0),連買!$D:$D,0),"'沒有資料'")</f>
        <v>97</v>
      </c>
      <c r="S1394" s="66">
        <v>5</v>
      </c>
      <c r="T1394" s="353">
        <f t="shared" si="257"/>
        <v>3.4129692832764506E-2</v>
      </c>
      <c r="U1394" s="95">
        <v>17.37</v>
      </c>
      <c r="V1394" s="36">
        <f>RTD("money.excel",,"8924","Price")</f>
        <v>146.5</v>
      </c>
      <c r="W1394" s="66"/>
      <c r="X1394" s="15">
        <f t="shared" si="258"/>
        <v>146.5</v>
      </c>
      <c r="Y1394" s="3" t="e">
        <f t="shared" si="259"/>
        <v>#DIV/0!</v>
      </c>
      <c r="Z1394" s="413" t="s">
        <v>1997</v>
      </c>
      <c r="AA1394" s="161">
        <v>0</v>
      </c>
      <c r="AB1394" s="409">
        <v>0</v>
      </c>
      <c r="AC1394" s="259">
        <f t="shared" si="252"/>
        <v>0</v>
      </c>
      <c r="AD1394" s="16" t="s">
        <v>664</v>
      </c>
      <c r="AG1394" s="33">
        <f t="shared" si="260"/>
        <v>0</v>
      </c>
      <c r="AH1394" s="43" t="s">
        <v>3275</v>
      </c>
      <c r="AI1394" s="63">
        <f t="shared" si="256"/>
        <v>6.4916467780429584E-3</v>
      </c>
      <c r="AJ1394" s="307">
        <f>RTD("money.excel",,$G1394,"PredictVolume")</f>
        <v>544</v>
      </c>
      <c r="AK1394" s="339">
        <v>32.590000000000003</v>
      </c>
    </row>
    <row r="1395" spans="1:37">
      <c r="A1395" s="416">
        <v>5.09</v>
      </c>
      <c r="B1395" s="80">
        <v>-24</v>
      </c>
      <c r="C1395" s="80">
        <v>-23</v>
      </c>
      <c r="D1395" s="80">
        <v>-33</v>
      </c>
      <c r="E1395" s="79">
        <v>22</v>
      </c>
      <c r="F1395" s="6">
        <v>6.6</v>
      </c>
      <c r="G1395" s="79">
        <v>8928</v>
      </c>
      <c r="H1395" s="8" t="s">
        <v>2084</v>
      </c>
      <c r="I1395" s="16" t="s">
        <v>665</v>
      </c>
      <c r="J1395" s="73">
        <v>38.130000000000003</v>
      </c>
      <c r="K1395" s="73">
        <v>0.94</v>
      </c>
      <c r="L1395" s="323">
        <v>5.37</v>
      </c>
      <c r="N1395" s="318">
        <f t="shared" si="262"/>
        <v>44.44</v>
      </c>
      <c r="O1395" s="81">
        <f>IFERROR(VLOOKUP($G1395,'321買'!A:E,3,0),"'沒有資料'")</f>
        <v>0</v>
      </c>
      <c r="P1395" s="380">
        <f>IFERROR(VLOOKUP($G1395,'321買'!$A:$G,7,0),"'沒有資料'")</f>
        <v>911</v>
      </c>
      <c r="R1395" s="297">
        <f>IFERROR(RANK(VLOOKUP($G1395,連買!$A:$D,4,0),連買!$D:$D,0),"'沒有資料'")</f>
        <v>633</v>
      </c>
      <c r="S1395" s="34">
        <v>1.6</v>
      </c>
      <c r="T1395" s="353">
        <f t="shared" si="257"/>
        <v>4.2666666666666672E-2</v>
      </c>
      <c r="U1395" s="95">
        <v>2.5</v>
      </c>
      <c r="V1395" s="36">
        <f>RTD("money.excel",,"8928","Price")</f>
        <v>37.5</v>
      </c>
      <c r="W1395" s="66"/>
      <c r="X1395" s="15">
        <f t="shared" si="258"/>
        <v>37.5</v>
      </c>
      <c r="Y1395" s="3" t="e">
        <f t="shared" si="259"/>
        <v>#DIV/0!</v>
      </c>
      <c r="Z1395" s="413" t="s">
        <v>1801</v>
      </c>
      <c r="AA1395" s="161">
        <v>0</v>
      </c>
      <c r="AB1395" s="409">
        <v>0</v>
      </c>
      <c r="AC1395" s="259">
        <f t="shared" si="252"/>
        <v>0</v>
      </c>
      <c r="AD1395" s="16" t="s">
        <v>665</v>
      </c>
      <c r="AG1395" s="33">
        <f t="shared" si="260"/>
        <v>0</v>
      </c>
      <c r="AH1395" s="43" t="s">
        <v>3275</v>
      </c>
      <c r="AI1395" s="63">
        <f t="shared" si="256"/>
        <v>3.2416502946954811E-3</v>
      </c>
      <c r="AJ1395" s="307">
        <f>RTD("money.excel",,$G1395,"PredictVolume")</f>
        <v>165</v>
      </c>
      <c r="AK1395" s="339"/>
    </row>
    <row r="1396" spans="1:37">
      <c r="A1396" s="416">
        <v>5.0599999999999996</v>
      </c>
      <c r="B1396" s="79">
        <v>144</v>
      </c>
      <c r="C1396" s="79">
        <v>289</v>
      </c>
      <c r="D1396" s="79">
        <v>29</v>
      </c>
      <c r="E1396" s="79">
        <v>0</v>
      </c>
      <c r="F1396" s="6">
        <v>3.18</v>
      </c>
      <c r="G1396" s="79">
        <v>8929</v>
      </c>
      <c r="H1396" s="8" t="s">
        <v>2084</v>
      </c>
      <c r="I1396" s="16" t="s">
        <v>666</v>
      </c>
      <c r="J1396" s="323">
        <v>41.82</v>
      </c>
      <c r="K1396" s="73">
        <v>0.17</v>
      </c>
      <c r="L1396" s="73">
        <v>5.33</v>
      </c>
      <c r="N1396" s="318">
        <f t="shared" si="262"/>
        <v>47.32</v>
      </c>
      <c r="O1396" s="81">
        <f>IFERROR(VLOOKUP($G1396,'321買'!A:E,3,0),"'沒有資料'")</f>
        <v>0</v>
      </c>
      <c r="P1396" s="380">
        <f>IFERROR(VLOOKUP($G1396,'321買'!$A:$G,7,0),"'沒有資料'")</f>
        <v>911</v>
      </c>
      <c r="R1396" s="297">
        <f>IFERROR(RANK(VLOOKUP($G1396,連買!$A:$D,4,0),連買!$D:$D,0),"'沒有資料'")</f>
        <v>1125</v>
      </c>
      <c r="S1396" s="34">
        <v>0.5</v>
      </c>
      <c r="T1396" s="353">
        <f t="shared" si="257"/>
        <v>2.4154589371980676E-2</v>
      </c>
      <c r="U1396" s="95">
        <v>0.51</v>
      </c>
      <c r="V1396" s="36">
        <f>RTD("money.excel",,"8929","Price")</f>
        <v>20.7</v>
      </c>
      <c r="W1396" s="66"/>
      <c r="X1396" s="15">
        <f t="shared" si="258"/>
        <v>20.7</v>
      </c>
      <c r="Y1396" s="3" t="e">
        <f t="shared" si="259"/>
        <v>#DIV/0!</v>
      </c>
      <c r="AA1396" s="161">
        <v>0</v>
      </c>
      <c r="AB1396" s="409">
        <v>0</v>
      </c>
      <c r="AC1396" s="259">
        <f t="shared" si="252"/>
        <v>0</v>
      </c>
      <c r="AD1396" s="16" t="s">
        <v>666</v>
      </c>
      <c r="AG1396" s="33">
        <f t="shared" si="260"/>
        <v>0</v>
      </c>
      <c r="AH1396" s="43" t="s">
        <v>2668</v>
      </c>
      <c r="AI1396" s="63">
        <f t="shared" si="256"/>
        <v>4.7430830039525701E-4</v>
      </c>
      <c r="AJ1396" s="307">
        <f>RTD("money.excel",,$G1396,"PredictVolume")</f>
        <v>24</v>
      </c>
      <c r="AK1396" s="339"/>
    </row>
    <row r="1397" spans="1:37">
      <c r="A1397" s="416">
        <v>6.01</v>
      </c>
      <c r="B1397" s="79">
        <v>63</v>
      </c>
      <c r="C1397" s="79">
        <v>84</v>
      </c>
      <c r="D1397" s="80">
        <v>-5</v>
      </c>
      <c r="E1397" s="79">
        <v>18</v>
      </c>
      <c r="F1397" s="6">
        <v>-1.84</v>
      </c>
      <c r="G1397" s="79">
        <v>8932</v>
      </c>
      <c r="H1397" s="8" t="s">
        <v>2084</v>
      </c>
      <c r="I1397" s="16" t="s">
        <v>667</v>
      </c>
      <c r="J1397" s="73">
        <v>51.26</v>
      </c>
      <c r="K1397" s="73">
        <v>17.71</v>
      </c>
      <c r="N1397" s="318">
        <f t="shared" si="262"/>
        <v>68.97</v>
      </c>
      <c r="O1397" s="81">
        <f>IFERROR(VLOOKUP($G1397,'321買'!A:E,3,0),"'沒有資料'")</f>
        <v>5</v>
      </c>
      <c r="P1397" s="380">
        <f>IFERROR(VLOOKUP($G1397,'321買'!$A:$G,7,0),"'沒有資料'")</f>
        <v>558</v>
      </c>
      <c r="R1397" s="297">
        <f>IFERROR(RANK(VLOOKUP($G1397,連買!$A:$D,4,0),連買!$D:$D,0),"'沒有資料'")</f>
        <v>1047</v>
      </c>
      <c r="S1397" s="34">
        <v>0</v>
      </c>
      <c r="T1397" s="353">
        <f t="shared" si="257"/>
        <v>0</v>
      </c>
      <c r="U1397" s="57">
        <v>-0.67</v>
      </c>
      <c r="V1397" s="36">
        <f>RTD("money.excel",,"8932","Price")</f>
        <v>27</v>
      </c>
      <c r="W1397" s="66"/>
      <c r="X1397" s="15">
        <f t="shared" si="258"/>
        <v>27</v>
      </c>
      <c r="Y1397" s="3" t="e">
        <f t="shared" si="259"/>
        <v>#DIV/0!</v>
      </c>
      <c r="AA1397" s="161">
        <v>0</v>
      </c>
      <c r="AB1397" s="409">
        <v>0</v>
      </c>
      <c r="AC1397" s="259">
        <f t="shared" si="252"/>
        <v>0</v>
      </c>
      <c r="AD1397" s="16" t="s">
        <v>667</v>
      </c>
      <c r="AG1397" s="33">
        <f t="shared" si="260"/>
        <v>0</v>
      </c>
      <c r="AH1397" s="43" t="s">
        <v>2669</v>
      </c>
      <c r="AI1397" s="63">
        <f t="shared" si="256"/>
        <v>2.9950083194675543E-4</v>
      </c>
      <c r="AJ1397" s="307">
        <f>RTD("money.excel",,$G1397,"PredictVolume")</f>
        <v>18</v>
      </c>
      <c r="AK1397" s="339"/>
    </row>
    <row r="1398" spans="1:37">
      <c r="A1398" s="416">
        <v>29.3</v>
      </c>
      <c r="B1398" s="79">
        <v>104</v>
      </c>
      <c r="C1398" s="79">
        <v>96</v>
      </c>
      <c r="D1398" s="80">
        <v>-8</v>
      </c>
      <c r="E1398" s="79">
        <v>12</v>
      </c>
      <c r="F1398" s="6">
        <v>-0.21</v>
      </c>
      <c r="G1398" s="79">
        <v>8933</v>
      </c>
      <c r="H1398" s="8" t="s">
        <v>2084</v>
      </c>
      <c r="I1398" s="16" t="s">
        <v>668</v>
      </c>
      <c r="J1398" s="323">
        <v>46.92</v>
      </c>
      <c r="K1398" s="323">
        <v>1.4</v>
      </c>
      <c r="L1398" s="323"/>
      <c r="N1398" s="318">
        <f t="shared" si="262"/>
        <v>48.32</v>
      </c>
      <c r="O1398" s="81">
        <f>IFERROR(VLOOKUP($G1398,'321買'!A:E,3,0),"'沒有資料'")</f>
        <v>0</v>
      </c>
      <c r="P1398" s="380">
        <f>IFERROR(VLOOKUP($G1398,'321買'!$A:$G,7,0),"'沒有資料'")</f>
        <v>911</v>
      </c>
      <c r="R1398" s="297">
        <f>IFERROR(RANK(VLOOKUP($G1398,連買!$A:$D,4,0),連買!$D:$D,0),"'沒有資料'")</f>
        <v>1178</v>
      </c>
      <c r="S1398" s="34">
        <v>0</v>
      </c>
      <c r="T1398" s="353">
        <f t="shared" si="257"/>
        <v>0</v>
      </c>
      <c r="U1398" s="95">
        <v>0.05</v>
      </c>
      <c r="V1398" s="36">
        <f>RTD("money.excel",,"8933","Price")</f>
        <v>12.6</v>
      </c>
      <c r="W1398" s="66"/>
      <c r="X1398" s="15">
        <f t="shared" si="258"/>
        <v>12.6</v>
      </c>
      <c r="Y1398" s="3" t="e">
        <f t="shared" si="259"/>
        <v>#DIV/0!</v>
      </c>
      <c r="Z1398" s="413" t="s">
        <v>1801</v>
      </c>
      <c r="AA1398" s="161">
        <v>0</v>
      </c>
      <c r="AB1398" s="409">
        <v>0</v>
      </c>
      <c r="AC1398" s="259">
        <f t="shared" si="252"/>
        <v>0</v>
      </c>
      <c r="AD1398" s="16" t="s">
        <v>668</v>
      </c>
      <c r="AG1398" s="33">
        <f t="shared" si="260"/>
        <v>0</v>
      </c>
      <c r="AH1398" s="43" t="s">
        <v>2555</v>
      </c>
      <c r="AI1398" s="63">
        <f t="shared" si="256"/>
        <v>1.6825938566552901E-3</v>
      </c>
      <c r="AJ1398" s="307">
        <f>RTD("money.excel",,$G1398,"PredictVolume")</f>
        <v>493</v>
      </c>
      <c r="AK1398" s="339"/>
    </row>
    <row r="1399" spans="1:37">
      <c r="A1399" s="415">
        <v>8.43</v>
      </c>
      <c r="B1399" s="91">
        <v>-130</v>
      </c>
      <c r="C1399" s="91">
        <v>-77</v>
      </c>
      <c r="D1399" s="91">
        <v>-11</v>
      </c>
      <c r="E1399" s="91">
        <v>25</v>
      </c>
      <c r="F1399" s="57">
        <v>0.45</v>
      </c>
      <c r="G1399" s="79">
        <v>8935</v>
      </c>
      <c r="H1399" s="8" t="s">
        <v>2084</v>
      </c>
      <c r="I1399" s="16" t="s">
        <v>669</v>
      </c>
      <c r="J1399" s="73">
        <v>37.19</v>
      </c>
      <c r="K1399" s="73">
        <v>0.97</v>
      </c>
      <c r="N1399" s="318">
        <f t="shared" si="262"/>
        <v>38.159999999999997</v>
      </c>
      <c r="O1399" s="81">
        <f>IFERROR(VLOOKUP($G1399,'321買'!A:E,3,0),"'沒有資料'")</f>
        <v>1</v>
      </c>
      <c r="P1399" s="380">
        <f>IFERROR(VLOOKUP($G1399,'321買'!$A:$G,7,0),"'沒有資料'")</f>
        <v>783</v>
      </c>
      <c r="R1399" s="297">
        <f>IFERROR(RANK(VLOOKUP($G1399,連買!$A:$D,4,0),連買!$D:$D,0),"'沒有資料'")</f>
        <v>1198</v>
      </c>
      <c r="S1399" s="34">
        <v>0</v>
      </c>
      <c r="T1399" s="353">
        <f t="shared" si="257"/>
        <v>0</v>
      </c>
      <c r="U1399" s="95">
        <v>-0.27</v>
      </c>
      <c r="V1399" s="36">
        <f>RTD("money.excel",,"8935","Price")</f>
        <v>13.7</v>
      </c>
      <c r="W1399" s="66"/>
      <c r="X1399" s="15">
        <f t="shared" si="258"/>
        <v>13.7</v>
      </c>
      <c r="Y1399" s="3" t="e">
        <f t="shared" si="259"/>
        <v>#DIV/0!</v>
      </c>
      <c r="AA1399" s="161">
        <v>0</v>
      </c>
      <c r="AB1399" s="409">
        <v>0</v>
      </c>
      <c r="AC1399" s="259">
        <f t="shared" si="252"/>
        <v>0</v>
      </c>
      <c r="AD1399" s="16" t="s">
        <v>669</v>
      </c>
      <c r="AG1399" s="33">
        <f t="shared" si="260"/>
        <v>0</v>
      </c>
      <c r="AH1399" s="43" t="s">
        <v>2670</v>
      </c>
      <c r="AI1399" s="63">
        <f t="shared" si="256"/>
        <v>1.3285883748517201E-3</v>
      </c>
      <c r="AJ1399" s="307">
        <f>RTD("money.excel",,$G1399,"PredictVolume")</f>
        <v>112</v>
      </c>
      <c r="AK1399" s="339"/>
    </row>
    <row r="1400" spans="1:37">
      <c r="A1400" s="415">
        <v>24.8</v>
      </c>
      <c r="B1400" s="79">
        <v>170</v>
      </c>
      <c r="C1400" s="79">
        <v>127</v>
      </c>
      <c r="D1400" s="79">
        <v>12</v>
      </c>
      <c r="E1400" s="79">
        <v>38</v>
      </c>
      <c r="F1400" s="57">
        <v>13.36</v>
      </c>
      <c r="G1400" s="79">
        <v>8936</v>
      </c>
      <c r="H1400" s="8" t="s">
        <v>2084</v>
      </c>
      <c r="I1400" s="16" t="s">
        <v>670</v>
      </c>
      <c r="J1400" s="73">
        <v>37.35</v>
      </c>
      <c r="K1400" s="73">
        <v>7.01</v>
      </c>
      <c r="L1400" s="73">
        <v>29.02</v>
      </c>
      <c r="N1400" s="318">
        <f t="shared" si="262"/>
        <v>73.38</v>
      </c>
      <c r="O1400" s="81">
        <f>IFERROR(VLOOKUP($G1400,'321買'!A:E,3,0),"'沒有資料'")</f>
        <v>6</v>
      </c>
      <c r="P1400" s="380">
        <f>IFERROR(VLOOKUP($G1400,'321買'!$A:$G,7,0),"'沒有資料'")</f>
        <v>521</v>
      </c>
      <c r="R1400" s="297">
        <f>IFERROR(RANK(VLOOKUP($G1400,連買!$A:$D,4,0),連買!$D:$D,0),"'沒有資料'")</f>
        <v>1663</v>
      </c>
      <c r="S1400" s="34">
        <v>0.25</v>
      </c>
      <c r="T1400" s="353">
        <f t="shared" si="257"/>
        <v>1.1286681715575621E-2</v>
      </c>
      <c r="U1400" s="95">
        <v>1.1499999999999999</v>
      </c>
      <c r="V1400" s="36">
        <f>RTD("money.excel",,"8936","Price")</f>
        <v>22.15</v>
      </c>
      <c r="W1400" s="66"/>
      <c r="X1400" s="15">
        <f t="shared" si="258"/>
        <v>22.15</v>
      </c>
      <c r="Y1400" s="3" t="e">
        <f t="shared" si="259"/>
        <v>#DIV/0!</v>
      </c>
      <c r="Z1400" s="413" t="s">
        <v>1801</v>
      </c>
      <c r="AA1400" s="161">
        <v>0</v>
      </c>
      <c r="AB1400" s="409">
        <v>0</v>
      </c>
      <c r="AC1400" s="259">
        <f t="shared" si="252"/>
        <v>0</v>
      </c>
      <c r="AD1400" s="16" t="s">
        <v>670</v>
      </c>
      <c r="AG1400" s="33">
        <f t="shared" si="260"/>
        <v>0</v>
      </c>
      <c r="AH1400" s="43" t="s">
        <v>3259</v>
      </c>
      <c r="AI1400" s="63">
        <f t="shared" ref="AI1400:AI1431" si="263">AJ1400/(A1400*10000)</f>
        <v>1.6814516129032258E-3</v>
      </c>
      <c r="AJ1400" s="307">
        <f>RTD("money.excel",,$G1400,"PredictVolume")</f>
        <v>417</v>
      </c>
      <c r="AK1400" s="339"/>
    </row>
    <row r="1401" spans="1:37">
      <c r="A1401" s="416">
        <v>7.25</v>
      </c>
      <c r="B1401" s="91">
        <v>-665</v>
      </c>
      <c r="C1401" s="91">
        <v>-30</v>
      </c>
      <c r="D1401" s="91">
        <v>-1</v>
      </c>
      <c r="E1401" s="91">
        <v>-38</v>
      </c>
      <c r="F1401" s="6">
        <v>-12.38</v>
      </c>
      <c r="G1401" s="79">
        <v>8937</v>
      </c>
      <c r="H1401" s="8" t="s">
        <v>2084</v>
      </c>
      <c r="I1401" s="16" t="s">
        <v>671</v>
      </c>
      <c r="J1401" s="73">
        <v>68.739999999999995</v>
      </c>
      <c r="K1401" s="73">
        <v>0.23</v>
      </c>
      <c r="L1401" s="73">
        <v>6.72</v>
      </c>
      <c r="N1401" s="318">
        <f t="shared" si="262"/>
        <v>75.69</v>
      </c>
      <c r="O1401" s="81">
        <f>IFERROR(VLOOKUP($G1401,'321買'!A:E,3,0),"'沒有資料'")</f>
        <v>0</v>
      </c>
      <c r="P1401" s="380">
        <f>IFERROR(VLOOKUP($G1401,'321買'!$A:$G,7,0),"'沒有資料'")</f>
        <v>911</v>
      </c>
      <c r="R1401" s="297">
        <f>IFERROR(RANK(VLOOKUP($G1401,連買!$A:$D,4,0),連買!$D:$D,0),"'沒有資料'")</f>
        <v>1569</v>
      </c>
      <c r="S1401" s="34">
        <v>0</v>
      </c>
      <c r="T1401" s="353">
        <f t="shared" ref="T1401:T1431" si="264">S1401/V1401</f>
        <v>0</v>
      </c>
      <c r="U1401" s="95">
        <v>-0.05</v>
      </c>
      <c r="V1401" s="13">
        <f>RTD("money.excel",,"8937","Price")</f>
        <v>13.7</v>
      </c>
      <c r="W1401" s="66"/>
      <c r="X1401" s="15">
        <f t="shared" si="258"/>
        <v>13.7</v>
      </c>
      <c r="Y1401" s="3" t="e">
        <f t="shared" si="259"/>
        <v>#DIV/0!</v>
      </c>
      <c r="AA1401" s="161">
        <v>0</v>
      </c>
      <c r="AB1401" s="409">
        <v>0</v>
      </c>
      <c r="AC1401" s="259">
        <f t="shared" si="252"/>
        <v>0</v>
      </c>
      <c r="AD1401" s="16" t="s">
        <v>671</v>
      </c>
      <c r="AG1401" s="33">
        <f t="shared" si="260"/>
        <v>0</v>
      </c>
      <c r="AH1401" s="43" t="s">
        <v>2671</v>
      </c>
      <c r="AI1401" s="63">
        <f t="shared" si="263"/>
        <v>3.3379310344827588E-3</v>
      </c>
      <c r="AJ1401" s="307">
        <f>RTD("money.excel",,$G1401,"PredictVolume")</f>
        <v>242</v>
      </c>
      <c r="AK1401" s="339"/>
    </row>
    <row r="1402" spans="1:37">
      <c r="A1402" s="415">
        <v>13.5</v>
      </c>
      <c r="B1402" s="79">
        <v>144</v>
      </c>
      <c r="C1402" s="79">
        <v>119</v>
      </c>
      <c r="D1402" s="79">
        <v>0</v>
      </c>
      <c r="E1402" s="79">
        <v>13</v>
      </c>
      <c r="F1402" s="57">
        <v>11.15</v>
      </c>
      <c r="G1402" s="79">
        <v>8938</v>
      </c>
      <c r="H1402" s="8" t="s">
        <v>2084</v>
      </c>
      <c r="I1402" s="16" t="s">
        <v>86</v>
      </c>
      <c r="J1402" s="73">
        <v>52.06</v>
      </c>
      <c r="K1402" s="73">
        <v>11.41</v>
      </c>
      <c r="L1402" s="73">
        <v>5.09</v>
      </c>
      <c r="M1402" s="73">
        <v>15.15</v>
      </c>
      <c r="N1402" s="318">
        <f t="shared" si="262"/>
        <v>83.710000000000008</v>
      </c>
      <c r="O1402" s="81">
        <f>IFERROR(VLOOKUP($G1402,'321買'!A:E,3,0),"'沒有資料'")</f>
        <v>22</v>
      </c>
      <c r="P1402" s="380">
        <f>IFERROR(VLOOKUP($G1402,'321買'!$A:$G,7,0),"'沒有資料'")</f>
        <v>222</v>
      </c>
      <c r="Q1402" s="245" t="s">
        <v>5088</v>
      </c>
      <c r="R1402" s="297">
        <f>IFERROR(RANK(VLOOKUP($G1402,連買!$A:$D,4,0),連買!$D:$D,0),"'沒有資料'")</f>
        <v>313</v>
      </c>
      <c r="S1402" s="34">
        <v>2.7</v>
      </c>
      <c r="T1402" s="353">
        <f t="shared" si="264"/>
        <v>3.2490974729241881E-2</v>
      </c>
      <c r="U1402" s="57">
        <v>9</v>
      </c>
      <c r="V1402" s="36">
        <f>RTD("money.excel",,"8938","Price")</f>
        <v>83.1</v>
      </c>
      <c r="W1402" s="66"/>
      <c r="X1402" s="15">
        <f t="shared" si="258"/>
        <v>83.1</v>
      </c>
      <c r="Y1402" s="3" t="e">
        <f t="shared" si="259"/>
        <v>#DIV/0!</v>
      </c>
      <c r="Z1402" s="413" t="s">
        <v>1801</v>
      </c>
      <c r="AA1402" s="161">
        <v>0</v>
      </c>
      <c r="AB1402" s="409">
        <v>0</v>
      </c>
      <c r="AC1402" s="259">
        <f t="shared" si="252"/>
        <v>0</v>
      </c>
      <c r="AD1402" s="16" t="s">
        <v>86</v>
      </c>
      <c r="AG1402" s="33">
        <f t="shared" si="260"/>
        <v>0</v>
      </c>
      <c r="AH1402" s="43" t="s">
        <v>3275</v>
      </c>
      <c r="AI1402" s="63">
        <f t="shared" si="263"/>
        <v>4.4518518518518518E-3</v>
      </c>
      <c r="AJ1402" s="307">
        <f>RTD("money.excel",,$G1402,"PredictVolume")</f>
        <v>601</v>
      </c>
      <c r="AK1402" s="339">
        <v>15.38</v>
      </c>
    </row>
    <row r="1403" spans="1:37">
      <c r="A1403" s="415">
        <v>16.5</v>
      </c>
      <c r="B1403" s="80">
        <v>-13</v>
      </c>
      <c r="C1403" s="80">
        <v>-65</v>
      </c>
      <c r="D1403" s="79">
        <v>16</v>
      </c>
      <c r="E1403" s="79">
        <v>22</v>
      </c>
      <c r="F1403" s="57">
        <v>15.62</v>
      </c>
      <c r="G1403" s="79">
        <v>8942</v>
      </c>
      <c r="H1403" s="8" t="s">
        <v>2084</v>
      </c>
      <c r="I1403" s="16" t="s">
        <v>4949</v>
      </c>
      <c r="J1403" s="323">
        <v>47.62</v>
      </c>
      <c r="K1403" s="323">
        <v>21.84</v>
      </c>
      <c r="L1403" s="73">
        <v>3.84</v>
      </c>
      <c r="N1403" s="318">
        <f t="shared" si="262"/>
        <v>73.3</v>
      </c>
      <c r="O1403" s="81">
        <f>IFERROR(VLOOKUP($G1403,'321買'!A:E,3,0),"'沒有資料'")</f>
        <v>2</v>
      </c>
      <c r="P1403" s="380">
        <f>IFERROR(VLOOKUP($G1403,'321買'!$A:$G,7,0),"'沒有資料'")</f>
        <v>706</v>
      </c>
      <c r="R1403" s="297">
        <f>IFERROR(RANK(VLOOKUP($G1403,連買!$A:$D,4,0),連買!$D:$D,0),"'沒有資料'")</f>
        <v>324</v>
      </c>
      <c r="S1403" s="66">
        <v>3</v>
      </c>
      <c r="T1403" s="353">
        <f t="shared" si="264"/>
        <v>4.5180722891566258E-2</v>
      </c>
      <c r="U1403" s="95">
        <v>5.77</v>
      </c>
      <c r="V1403" s="36">
        <f>RTD("money.excel",,"8942","Price")</f>
        <v>66.400000000000006</v>
      </c>
      <c r="W1403" s="66"/>
      <c r="X1403" s="15">
        <f t="shared" si="258"/>
        <v>66.400000000000006</v>
      </c>
      <c r="Y1403" s="3" t="e">
        <f t="shared" si="259"/>
        <v>#DIV/0!</v>
      </c>
      <c r="Z1403" s="413" t="s">
        <v>1831</v>
      </c>
      <c r="AA1403" s="161">
        <v>0</v>
      </c>
      <c r="AB1403" s="409">
        <v>0</v>
      </c>
      <c r="AC1403" s="259">
        <f t="shared" si="252"/>
        <v>0</v>
      </c>
      <c r="AD1403" s="16" t="s">
        <v>4949</v>
      </c>
      <c r="AG1403" s="33">
        <f t="shared" si="260"/>
        <v>0</v>
      </c>
      <c r="AH1403" s="120" t="s">
        <v>2672</v>
      </c>
      <c r="AI1403" s="63">
        <f t="shared" si="263"/>
        <v>9.8181818181818179E-4</v>
      </c>
      <c r="AJ1403" s="307">
        <f>RTD("money.excel",,$G1403,"PredictVolume")</f>
        <v>162</v>
      </c>
      <c r="AK1403" s="339"/>
    </row>
    <row r="1404" spans="1:37">
      <c r="A1404" s="415">
        <v>18.600000000000001</v>
      </c>
      <c r="B1404" s="80">
        <v>-7</v>
      </c>
      <c r="C1404" s="79">
        <v>7</v>
      </c>
      <c r="D1404" s="80">
        <v>-10</v>
      </c>
      <c r="E1404" s="79">
        <v>1</v>
      </c>
      <c r="F1404" s="57">
        <v>11.18</v>
      </c>
      <c r="G1404" s="79">
        <v>9802</v>
      </c>
      <c r="H1404" s="8" t="s">
        <v>2084</v>
      </c>
      <c r="I1404" s="22" t="s">
        <v>1102</v>
      </c>
      <c r="J1404" s="323">
        <v>66.52</v>
      </c>
      <c r="K1404" s="323">
        <v>42.97</v>
      </c>
      <c r="L1404" s="323">
        <v>4.1900000000000004</v>
      </c>
      <c r="N1404" s="318">
        <f t="shared" si="262"/>
        <v>113.67999999999999</v>
      </c>
      <c r="O1404" s="81">
        <f>IFERROR(VLOOKUP($G1404,'321買'!A:E,3,0),"'沒有資料'")</f>
        <v>8</v>
      </c>
      <c r="P1404" s="380">
        <f>IFERROR(VLOOKUP($G1404,'321買'!$A:$G,7,0),"'沒有資料'")</f>
        <v>475</v>
      </c>
      <c r="R1404" s="297">
        <f>IFERROR(RANK(VLOOKUP($G1404,連買!$A:$D,4,0),連買!$D:$D,0),"'沒有資料'")</f>
        <v>107</v>
      </c>
      <c r="S1404" s="34">
        <v>1.7</v>
      </c>
      <c r="T1404" s="353">
        <f t="shared" si="264"/>
        <v>1.2830188679245283E-2</v>
      </c>
      <c r="U1404" s="57">
        <v>4.88</v>
      </c>
      <c r="V1404" s="13">
        <f>RTD("money.excel",,"9802","Price")</f>
        <v>132.5</v>
      </c>
      <c r="W1404" s="66"/>
      <c r="X1404" s="15">
        <f t="shared" si="258"/>
        <v>132.5</v>
      </c>
      <c r="Y1404" s="3" t="e">
        <f t="shared" si="259"/>
        <v>#DIV/0!</v>
      </c>
      <c r="Z1404" s="413" t="s">
        <v>1801</v>
      </c>
      <c r="AA1404" s="161">
        <v>0</v>
      </c>
      <c r="AB1404" s="409">
        <v>0</v>
      </c>
      <c r="AC1404" s="259">
        <f t="shared" si="252"/>
        <v>0</v>
      </c>
      <c r="AD1404" s="22" t="s">
        <v>1102</v>
      </c>
      <c r="AG1404" s="33">
        <f t="shared" si="260"/>
        <v>0</v>
      </c>
      <c r="AH1404" s="43" t="s">
        <v>2073</v>
      </c>
      <c r="AI1404" s="63">
        <f t="shared" si="263"/>
        <v>5.5107526881720426E-3</v>
      </c>
      <c r="AJ1404" s="307">
        <f>RTD("money.excel",,$G1404,"PredictVolume")</f>
        <v>1025</v>
      </c>
      <c r="AK1404" s="339"/>
    </row>
    <row r="1405" spans="1:37">
      <c r="A1405" s="416">
        <v>9.8000000000000007</v>
      </c>
      <c r="B1405" s="91">
        <v>-19</v>
      </c>
      <c r="C1405" s="91">
        <v>36</v>
      </c>
      <c r="D1405" s="91">
        <v>-85</v>
      </c>
      <c r="E1405" s="91">
        <v>965</v>
      </c>
      <c r="F1405" s="6">
        <v>-2.92</v>
      </c>
      <c r="G1405" s="79">
        <v>9902</v>
      </c>
      <c r="H1405" s="8" t="s">
        <v>2084</v>
      </c>
      <c r="I1405" s="22" t="s">
        <v>697</v>
      </c>
      <c r="J1405" s="73">
        <v>44.88</v>
      </c>
      <c r="K1405" s="73">
        <v>0.15</v>
      </c>
      <c r="L1405" s="73">
        <v>10.09</v>
      </c>
      <c r="N1405" s="318">
        <f t="shared" si="262"/>
        <v>55.120000000000005</v>
      </c>
      <c r="O1405" s="81">
        <f>IFERROR(VLOOKUP($G1405,'321買'!A:E,3,0),"'沒有資料'")</f>
        <v>2</v>
      </c>
      <c r="P1405" s="380">
        <f>IFERROR(VLOOKUP($G1405,'321買'!$A:$G,7,0),"'沒有資料'")</f>
        <v>706</v>
      </c>
      <c r="R1405" s="297">
        <f>IFERROR(RANK(VLOOKUP($G1405,連買!$A:$D,4,0),連買!$D:$D,0),"'沒有資料'")</f>
        <v>1175</v>
      </c>
      <c r="S1405" s="34">
        <v>0.3</v>
      </c>
      <c r="T1405" s="353">
        <f t="shared" si="264"/>
        <v>2.4590163934426229E-2</v>
      </c>
      <c r="U1405" s="95">
        <v>0.33</v>
      </c>
      <c r="V1405" s="36">
        <f>RTD("money.excel",,"9902","Price")</f>
        <v>12.2</v>
      </c>
      <c r="W1405" s="66"/>
      <c r="X1405" s="15">
        <f t="shared" si="258"/>
        <v>12.2</v>
      </c>
      <c r="Y1405" s="3" t="e">
        <f t="shared" si="259"/>
        <v>#DIV/0!</v>
      </c>
      <c r="AA1405" s="161">
        <v>0</v>
      </c>
      <c r="AB1405" s="409">
        <v>0</v>
      </c>
      <c r="AC1405" s="259">
        <f t="shared" si="252"/>
        <v>0</v>
      </c>
      <c r="AD1405" s="22" t="s">
        <v>697</v>
      </c>
      <c r="AG1405" s="33">
        <f t="shared" si="260"/>
        <v>0</v>
      </c>
      <c r="AH1405" s="43" t="s">
        <v>3022</v>
      </c>
      <c r="AI1405" s="63">
        <f t="shared" si="263"/>
        <v>4.2857142857142855E-4</v>
      </c>
      <c r="AJ1405" s="307">
        <f>RTD("money.excel",,$G1405,"PredictVolume")</f>
        <v>42</v>
      </c>
      <c r="AK1405" s="339"/>
    </row>
    <row r="1406" spans="1:37">
      <c r="A1406" s="416">
        <v>294</v>
      </c>
      <c r="B1406" s="80">
        <v>-87</v>
      </c>
      <c r="C1406" s="80">
        <v>-143</v>
      </c>
      <c r="D1406" s="80">
        <v>-6</v>
      </c>
      <c r="E1406" s="80">
        <v>-17</v>
      </c>
      <c r="F1406" s="6">
        <v>-2.44</v>
      </c>
      <c r="G1406" s="79">
        <v>9904</v>
      </c>
      <c r="H1406" s="8" t="s">
        <v>2084</v>
      </c>
      <c r="I1406" s="22" t="s">
        <v>270</v>
      </c>
      <c r="J1406" s="73">
        <v>75.48</v>
      </c>
      <c r="K1406" s="323">
        <v>53.86</v>
      </c>
      <c r="L1406" s="323">
        <v>1.63</v>
      </c>
      <c r="N1406" s="318">
        <f t="shared" si="262"/>
        <v>130.97</v>
      </c>
      <c r="O1406" s="81">
        <f>IFERROR(VLOOKUP($G1406,'321買'!A:E,3,0),"'沒有資料'")</f>
        <v>0</v>
      </c>
      <c r="P1406" s="380">
        <f>IFERROR(VLOOKUP($G1406,'321買'!$A:$G,7,0),"'沒有資料'")</f>
        <v>911</v>
      </c>
      <c r="R1406" s="297">
        <f>IFERROR(RANK(VLOOKUP($G1406,連買!$A:$D,4,0),連買!$D:$D,0),"'沒有資料'")</f>
        <v>1547</v>
      </c>
      <c r="S1406" s="34">
        <v>1.25</v>
      </c>
      <c r="T1406" s="353">
        <f t="shared" si="264"/>
        <v>3.9936102236421724E-2</v>
      </c>
      <c r="U1406" s="95">
        <v>1.64</v>
      </c>
      <c r="V1406" s="13">
        <f>RTD("money.excel",,"9904","Price")</f>
        <v>31.3</v>
      </c>
      <c r="W1406" s="66"/>
      <c r="X1406" s="15">
        <f t="shared" si="258"/>
        <v>31.3</v>
      </c>
      <c r="Y1406" s="3" t="e">
        <f t="shared" si="259"/>
        <v>#DIV/0!</v>
      </c>
      <c r="Z1406" s="413" t="s">
        <v>1801</v>
      </c>
      <c r="AA1406" s="161">
        <v>0</v>
      </c>
      <c r="AB1406" s="409">
        <v>0</v>
      </c>
      <c r="AC1406" s="259">
        <f t="shared" si="252"/>
        <v>0</v>
      </c>
      <c r="AD1406" s="22" t="s">
        <v>270</v>
      </c>
      <c r="AG1406" s="33">
        <f t="shared" si="260"/>
        <v>0</v>
      </c>
      <c r="AH1406" s="120" t="s">
        <v>1426</v>
      </c>
      <c r="AI1406" s="63">
        <f t="shared" si="263"/>
        <v>7.7414965986394562E-4</v>
      </c>
      <c r="AJ1406" s="307">
        <f>RTD("money.excel",,$G1406,"PredictVolume")</f>
        <v>2276</v>
      </c>
      <c r="AK1406" s="339"/>
    </row>
    <row r="1407" spans="1:37">
      <c r="A1407" s="416">
        <v>30.5</v>
      </c>
      <c r="B1407" s="91">
        <v>28</v>
      </c>
      <c r="C1407" s="91">
        <v>24</v>
      </c>
      <c r="D1407" s="91">
        <v>3</v>
      </c>
      <c r="E1407" s="91">
        <v>47</v>
      </c>
      <c r="F1407" s="6">
        <v>9.7200000000000006</v>
      </c>
      <c r="G1407" s="79">
        <v>9905</v>
      </c>
      <c r="H1407" s="8" t="s">
        <v>2084</v>
      </c>
      <c r="I1407" s="22" t="s">
        <v>698</v>
      </c>
      <c r="J1407" s="73">
        <v>79.31</v>
      </c>
      <c r="K1407" s="73">
        <v>3.42</v>
      </c>
      <c r="L1407" s="73">
        <v>0.03</v>
      </c>
      <c r="N1407" s="318">
        <f t="shared" si="262"/>
        <v>82.76</v>
      </c>
      <c r="O1407" s="81">
        <f>IFERROR(VLOOKUP($G1407,'321買'!A:E,3,0),"'沒有資料'")</f>
        <v>0</v>
      </c>
      <c r="P1407" s="380">
        <f>IFERROR(VLOOKUP($G1407,'321買'!$A:$G,7,0),"'沒有資料'")</f>
        <v>911</v>
      </c>
      <c r="R1407" s="297">
        <f>IFERROR(RANK(VLOOKUP($G1407,連買!$A:$D,4,0),連買!$D:$D,0),"'沒有資料'")</f>
        <v>840</v>
      </c>
      <c r="S1407" s="34">
        <v>1.5</v>
      </c>
      <c r="T1407" s="353">
        <f t="shared" si="264"/>
        <v>5.5865921787709494E-2</v>
      </c>
      <c r="U1407" s="95">
        <v>1.83</v>
      </c>
      <c r="V1407" s="13">
        <f>RTD("money.excel",,"9905","Price")</f>
        <v>26.85</v>
      </c>
      <c r="W1407" s="66"/>
      <c r="X1407" s="15">
        <f t="shared" si="258"/>
        <v>26.85</v>
      </c>
      <c r="Y1407" s="3" t="e">
        <f t="shared" si="259"/>
        <v>#DIV/0!</v>
      </c>
      <c r="AA1407" s="161">
        <v>0</v>
      </c>
      <c r="AB1407" s="409">
        <v>0</v>
      </c>
      <c r="AC1407" s="259">
        <f t="shared" si="252"/>
        <v>0</v>
      </c>
      <c r="AD1407" s="22" t="s">
        <v>698</v>
      </c>
      <c r="AG1407" s="33">
        <f t="shared" si="260"/>
        <v>0</v>
      </c>
      <c r="AH1407" s="43" t="s">
        <v>3023</v>
      </c>
      <c r="AI1407" s="63">
        <f t="shared" si="263"/>
        <v>1.5081967213114754E-4</v>
      </c>
      <c r="AJ1407" s="307">
        <f>RTD("money.excel",,$G1407,"PredictVolume")</f>
        <v>46</v>
      </c>
      <c r="AK1407" s="339"/>
    </row>
    <row r="1408" spans="1:37">
      <c r="A1408" s="416">
        <v>157</v>
      </c>
      <c r="B1408" s="79">
        <v>83</v>
      </c>
      <c r="C1408" s="79">
        <v>26</v>
      </c>
      <c r="D1408" s="80">
        <v>-8</v>
      </c>
      <c r="E1408" s="80">
        <v>-9</v>
      </c>
      <c r="F1408" s="6">
        <v>4.8</v>
      </c>
      <c r="G1408" s="79">
        <v>9907</v>
      </c>
      <c r="H1408" s="17" t="s">
        <v>2084</v>
      </c>
      <c r="I1408" s="158" t="s">
        <v>65</v>
      </c>
      <c r="J1408" s="323">
        <v>72.72</v>
      </c>
      <c r="K1408" s="73">
        <v>14.51</v>
      </c>
      <c r="L1408" s="323">
        <v>1.22</v>
      </c>
      <c r="N1408" s="318">
        <f t="shared" si="262"/>
        <v>88.45</v>
      </c>
      <c r="O1408" s="81">
        <f>IFERROR(VLOOKUP($G1408,'321買'!A:E,3,0),"'沒有資料'")</f>
        <v>0</v>
      </c>
      <c r="P1408" s="380">
        <f>IFERROR(VLOOKUP($G1408,'321買'!$A:$G,7,0),"'沒有資料'")</f>
        <v>911</v>
      </c>
      <c r="R1408" s="297">
        <f>IFERROR(RANK(VLOOKUP($G1408,連買!$A:$D,4,0),連買!$D:$D,0),"'沒有資料'")</f>
        <v>942</v>
      </c>
      <c r="S1408" s="197">
        <v>0.53</v>
      </c>
      <c r="T1408" s="353">
        <f t="shared" si="264"/>
        <v>3.1085043988269796E-2</v>
      </c>
      <c r="U1408" s="95">
        <v>0.57999999999999996</v>
      </c>
      <c r="V1408" s="13">
        <f>RTD("money.excel",,"9907","Price")</f>
        <v>17.05</v>
      </c>
      <c r="W1408" s="66"/>
      <c r="X1408" s="15">
        <f t="shared" si="258"/>
        <v>17.05</v>
      </c>
      <c r="Y1408" s="3" t="e">
        <f t="shared" si="259"/>
        <v>#DIV/0!</v>
      </c>
      <c r="AA1408" s="161">
        <v>0</v>
      </c>
      <c r="AB1408" s="409">
        <v>0</v>
      </c>
      <c r="AC1408" s="259">
        <f t="shared" si="252"/>
        <v>0</v>
      </c>
      <c r="AD1408" s="22" t="s">
        <v>65</v>
      </c>
      <c r="AG1408" s="33">
        <f t="shared" si="260"/>
        <v>0</v>
      </c>
      <c r="AH1408" s="120" t="s">
        <v>3024</v>
      </c>
      <c r="AI1408" s="63">
        <f t="shared" si="263"/>
        <v>6.3707006369426748E-3</v>
      </c>
      <c r="AJ1408" s="307">
        <f>RTD("money.excel",,$G1408,"PredictVolume")</f>
        <v>10002</v>
      </c>
      <c r="AK1408" s="339"/>
    </row>
    <row r="1409" spans="1:37">
      <c r="A1409" s="416">
        <v>88.1</v>
      </c>
      <c r="B1409" s="80">
        <v>-23</v>
      </c>
      <c r="C1409" s="80">
        <v>-21</v>
      </c>
      <c r="D1409" s="79">
        <v>10</v>
      </c>
      <c r="E1409" s="80">
        <v>-1</v>
      </c>
      <c r="F1409" s="6">
        <v>9.98</v>
      </c>
      <c r="G1409" s="79">
        <v>9910</v>
      </c>
      <c r="H1409" s="8" t="s">
        <v>2084</v>
      </c>
      <c r="I1409" s="22" t="s">
        <v>4950</v>
      </c>
      <c r="J1409" s="323">
        <v>87.45</v>
      </c>
      <c r="K1409" s="323">
        <v>18.88</v>
      </c>
      <c r="L1409" s="323">
        <v>0.11</v>
      </c>
      <c r="N1409" s="318">
        <f t="shared" si="262"/>
        <v>106.44</v>
      </c>
      <c r="O1409" s="81">
        <f>IFERROR(VLOOKUP($G1409,'321買'!A:E,3,0),"'沒有資料'")</f>
        <v>0</v>
      </c>
      <c r="P1409" s="380">
        <f>IFERROR(VLOOKUP($G1409,'321買'!$A:$G,7,0),"'沒有資料'")</f>
        <v>911</v>
      </c>
      <c r="R1409" s="297">
        <f>IFERROR(RANK(VLOOKUP($G1409,連買!$A:$D,4,0),連買!$D:$D,0),"'沒有資料'")</f>
        <v>440</v>
      </c>
      <c r="S1409" s="66">
        <v>3.7</v>
      </c>
      <c r="T1409" s="353">
        <f t="shared" si="264"/>
        <v>1.8829516539440205E-2</v>
      </c>
      <c r="U1409" s="57">
        <v>5.77</v>
      </c>
      <c r="V1409" s="36">
        <f>RTD("money.excel",,"9910","Price")</f>
        <v>196.5</v>
      </c>
      <c r="W1409" s="66"/>
      <c r="X1409" s="15">
        <f t="shared" si="258"/>
        <v>196.5</v>
      </c>
      <c r="Y1409" s="3" t="e">
        <f t="shared" si="259"/>
        <v>#DIV/0!</v>
      </c>
      <c r="Z1409" s="413" t="s">
        <v>1997</v>
      </c>
      <c r="AA1409" s="161">
        <v>0</v>
      </c>
      <c r="AB1409" s="409">
        <v>0</v>
      </c>
      <c r="AC1409" s="259">
        <f t="shared" si="252"/>
        <v>0</v>
      </c>
      <c r="AD1409" s="22" t="s">
        <v>4950</v>
      </c>
      <c r="AG1409" s="33">
        <f t="shared" si="260"/>
        <v>0</v>
      </c>
      <c r="AH1409" s="120" t="s">
        <v>1426</v>
      </c>
      <c r="AI1409" s="63">
        <f t="shared" si="263"/>
        <v>7.389330306469921E-4</v>
      </c>
      <c r="AJ1409" s="307">
        <f>RTD("money.excel",,$G1409,"PredictVolume")</f>
        <v>651</v>
      </c>
      <c r="AK1409" s="339"/>
    </row>
    <row r="1410" spans="1:37">
      <c r="A1410" s="415">
        <v>22.1</v>
      </c>
      <c r="B1410" s="79">
        <v>11</v>
      </c>
      <c r="C1410" s="79">
        <v>15</v>
      </c>
      <c r="D1410" s="80">
        <v>-17</v>
      </c>
      <c r="E1410" s="79">
        <v>40</v>
      </c>
      <c r="F1410" s="57">
        <v>15.2</v>
      </c>
      <c r="G1410" s="79">
        <v>9911</v>
      </c>
      <c r="H1410" s="8" t="s">
        <v>2084</v>
      </c>
      <c r="I1410" s="22" t="s">
        <v>699</v>
      </c>
      <c r="J1410" s="323">
        <v>75.599999999999994</v>
      </c>
      <c r="K1410" s="73">
        <v>22.86</v>
      </c>
      <c r="L1410" s="323">
        <v>1.69</v>
      </c>
      <c r="N1410" s="318">
        <f t="shared" si="262"/>
        <v>100.14999999999999</v>
      </c>
      <c r="O1410" s="81">
        <f>IFERROR(VLOOKUP($G1410,'321買'!A:E,3,0),"'沒有資料'")</f>
        <v>0</v>
      </c>
      <c r="P1410" s="380">
        <f>IFERROR(VLOOKUP($G1410,'321買'!$A:$G,7,0),"'沒有資料'")</f>
        <v>911</v>
      </c>
      <c r="R1410" s="297">
        <f>IFERROR(RANK(VLOOKUP($G1410,連買!$A:$D,4,0),連買!$D:$D,0),"'沒有資料'")</f>
        <v>637</v>
      </c>
      <c r="S1410" s="34">
        <v>2.65</v>
      </c>
      <c r="T1410" s="353">
        <f t="shared" si="264"/>
        <v>4.0958268933539412E-2</v>
      </c>
      <c r="U1410" s="95">
        <v>4.08</v>
      </c>
      <c r="V1410" s="13">
        <f>RTD("money.excel",,"9911","Price")</f>
        <v>64.7</v>
      </c>
      <c r="W1410" s="66"/>
      <c r="X1410" s="15">
        <f t="shared" si="258"/>
        <v>64.7</v>
      </c>
      <c r="Y1410" s="3" t="e">
        <f t="shared" si="259"/>
        <v>#DIV/0!</v>
      </c>
      <c r="Z1410" s="413" t="s">
        <v>1801</v>
      </c>
      <c r="AA1410" s="161">
        <v>0</v>
      </c>
      <c r="AB1410" s="409">
        <v>0</v>
      </c>
      <c r="AC1410" s="259">
        <f t="shared" si="252"/>
        <v>0</v>
      </c>
      <c r="AD1410" s="22" t="s">
        <v>699</v>
      </c>
      <c r="AG1410" s="33">
        <f t="shared" si="260"/>
        <v>0</v>
      </c>
      <c r="AH1410" s="43" t="s">
        <v>3025</v>
      </c>
      <c r="AI1410" s="63">
        <f t="shared" si="263"/>
        <v>4.253393665158371E-4</v>
      </c>
      <c r="AJ1410" s="307">
        <f>RTD("money.excel",,$G1410,"PredictVolume")</f>
        <v>94</v>
      </c>
      <c r="AK1410" s="339"/>
    </row>
    <row r="1411" spans="1:37">
      <c r="A1411" s="416">
        <v>29.9</v>
      </c>
      <c r="B1411" s="79">
        <v>58</v>
      </c>
      <c r="C1411" s="79">
        <v>16</v>
      </c>
      <c r="D1411" s="79">
        <v>6</v>
      </c>
      <c r="E1411" s="79">
        <v>0</v>
      </c>
      <c r="F1411" s="6">
        <v>0.55000000000000004</v>
      </c>
      <c r="G1411" s="79">
        <v>9914</v>
      </c>
      <c r="H1411" s="8" t="s">
        <v>2084</v>
      </c>
      <c r="I1411" s="22" t="s">
        <v>31</v>
      </c>
      <c r="J1411" s="73">
        <v>72.7</v>
      </c>
      <c r="K1411" s="73">
        <v>45.95</v>
      </c>
      <c r="L1411" s="323">
        <v>0.51</v>
      </c>
      <c r="N1411" s="318">
        <f t="shared" si="262"/>
        <v>119.16000000000001</v>
      </c>
      <c r="O1411" s="81">
        <f>IFERROR(VLOOKUP($G1411,'321買'!A:E,3,0),"'沒有資料'")</f>
        <v>4</v>
      </c>
      <c r="P1411" s="380">
        <f>IFERROR(VLOOKUP($G1411,'321買'!$A:$G,7,0),"'沒有資料'")</f>
        <v>592</v>
      </c>
      <c r="R1411" s="297">
        <f>IFERROR(RANK(VLOOKUP($G1411,連買!$A:$D,4,0),連買!$D:$D,0),"'沒有資料'")</f>
        <v>293</v>
      </c>
      <c r="S1411" s="66">
        <v>7</v>
      </c>
      <c r="T1411" s="353">
        <f t="shared" si="264"/>
        <v>2.681992337164751E-2</v>
      </c>
      <c r="U1411" s="95">
        <v>13.36</v>
      </c>
      <c r="V1411" s="13">
        <f>RTD("money.excel",,"9914","Price")</f>
        <v>261</v>
      </c>
      <c r="W1411" s="66"/>
      <c r="X1411" s="15">
        <f t="shared" si="258"/>
        <v>261</v>
      </c>
      <c r="Y1411" s="3" t="e">
        <f t="shared" si="259"/>
        <v>#DIV/0!</v>
      </c>
      <c r="Z1411" s="413" t="s">
        <v>1997</v>
      </c>
      <c r="AA1411" s="161">
        <v>0</v>
      </c>
      <c r="AB1411" s="409">
        <v>0</v>
      </c>
      <c r="AC1411" s="259">
        <f t="shared" si="252"/>
        <v>0</v>
      </c>
      <c r="AD1411" s="22" t="s">
        <v>31</v>
      </c>
      <c r="AG1411" s="33">
        <f t="shared" si="260"/>
        <v>0</v>
      </c>
      <c r="AH1411" s="120" t="s">
        <v>2555</v>
      </c>
      <c r="AI1411" s="63">
        <f t="shared" si="263"/>
        <v>9.6321070234113711E-4</v>
      </c>
      <c r="AJ1411" s="307">
        <f>RTD("money.excel",,$G1411,"PredictVolume")</f>
        <v>288</v>
      </c>
      <c r="AK1411" s="339"/>
    </row>
    <row r="1412" spans="1:37">
      <c r="A1412" s="415">
        <v>45.1</v>
      </c>
      <c r="B1412" s="79">
        <v>3</v>
      </c>
      <c r="C1412" s="79">
        <v>0</v>
      </c>
      <c r="D1412" s="80">
        <v>-4</v>
      </c>
      <c r="E1412" s="79">
        <v>4</v>
      </c>
      <c r="F1412" s="57">
        <v>19.100000000000001</v>
      </c>
      <c r="G1412" s="79">
        <v>9917</v>
      </c>
      <c r="H1412" s="8" t="s">
        <v>2084</v>
      </c>
      <c r="I1412" s="22" t="s">
        <v>1813</v>
      </c>
      <c r="J1412" s="323">
        <v>78.45</v>
      </c>
      <c r="K1412" s="73">
        <v>41.91</v>
      </c>
      <c r="L1412" s="73">
        <v>0.01</v>
      </c>
      <c r="N1412" s="318">
        <f t="shared" si="262"/>
        <v>120.37</v>
      </c>
      <c r="O1412" s="81">
        <f>IFERROR(VLOOKUP($G1412,'321買'!A:E,3,0),"'沒有資料'")</f>
        <v>0</v>
      </c>
      <c r="P1412" s="380">
        <f>IFERROR(VLOOKUP($G1412,'321買'!$A:$G,7,0),"'沒有資料'")</f>
        <v>911</v>
      </c>
      <c r="R1412" s="297">
        <f>IFERROR(RANK(VLOOKUP($G1412,連買!$A:$D,4,0),連買!$D:$D,0),"'沒有資料'")</f>
        <v>225</v>
      </c>
      <c r="S1412" s="66">
        <v>5</v>
      </c>
      <c r="T1412" s="353">
        <f t="shared" si="264"/>
        <v>4.405286343612335E-2</v>
      </c>
      <c r="U1412" s="95">
        <v>5.42</v>
      </c>
      <c r="V1412" s="13">
        <f>RTD("money.excel",,"9917","Price")</f>
        <v>113.5</v>
      </c>
      <c r="W1412" s="66"/>
      <c r="X1412" s="15">
        <f t="shared" si="258"/>
        <v>113.5</v>
      </c>
      <c r="Y1412" s="3" t="e">
        <f t="shared" si="259"/>
        <v>#DIV/0!</v>
      </c>
      <c r="Z1412" s="413" t="s">
        <v>1997</v>
      </c>
      <c r="AA1412" s="161">
        <v>0</v>
      </c>
      <c r="AB1412" s="409">
        <v>0</v>
      </c>
      <c r="AC1412" s="259">
        <f t="shared" ref="AC1412:AC1475" si="265">AA1412-AB1412</f>
        <v>0</v>
      </c>
      <c r="AD1412" s="22" t="s">
        <v>1813</v>
      </c>
      <c r="AG1412" s="33">
        <f t="shared" si="260"/>
        <v>0</v>
      </c>
      <c r="AH1412" s="120" t="s">
        <v>3026</v>
      </c>
      <c r="AI1412" s="63">
        <f t="shared" si="263"/>
        <v>5.4101995565410197E-4</v>
      </c>
      <c r="AJ1412" s="307">
        <f>RTD("money.excel",,$G1412,"PredictVolume")</f>
        <v>244</v>
      </c>
      <c r="AK1412" s="339"/>
    </row>
    <row r="1413" spans="1:37">
      <c r="A1413" s="416">
        <v>19.5</v>
      </c>
      <c r="B1413" s="80">
        <v>-85</v>
      </c>
      <c r="C1413" s="80">
        <v>-75</v>
      </c>
      <c r="D1413" s="79">
        <v>6</v>
      </c>
      <c r="E1413" s="80">
        <v>-15</v>
      </c>
      <c r="F1413" s="6">
        <v>5.15</v>
      </c>
      <c r="G1413" s="79">
        <v>9919</v>
      </c>
      <c r="H1413" s="8" t="s">
        <v>2084</v>
      </c>
      <c r="I1413" s="22" t="s">
        <v>700</v>
      </c>
      <c r="J1413" s="73">
        <v>44.29</v>
      </c>
      <c r="K1413" s="323">
        <v>4.58</v>
      </c>
      <c r="L1413" s="323">
        <v>17.3</v>
      </c>
      <c r="M1413" s="323">
        <v>27.12</v>
      </c>
      <c r="N1413" s="318">
        <f t="shared" si="262"/>
        <v>93.29</v>
      </c>
      <c r="O1413" s="81">
        <f>IFERROR(VLOOKUP($G1413,'321買'!A:E,3,0),"'沒有資料'")</f>
        <v>8</v>
      </c>
      <c r="P1413" s="380">
        <f>IFERROR(VLOOKUP($G1413,'321買'!$A:$G,7,0),"'沒有資料'")</f>
        <v>448</v>
      </c>
      <c r="Q1413" s="245" t="s">
        <v>3815</v>
      </c>
      <c r="R1413" s="297">
        <f>IFERROR(RANK(VLOOKUP($G1413,連買!$A:$D,4,0),連買!$D:$D,0),"'沒有資料'")</f>
        <v>558</v>
      </c>
      <c r="S1413" s="66">
        <v>3</v>
      </c>
      <c r="T1413" s="353">
        <f t="shared" si="264"/>
        <v>0.12396694214876033</v>
      </c>
      <c r="U1413" s="95">
        <v>1.51</v>
      </c>
      <c r="V1413" s="36">
        <f>RTD("money.excel",,"9919","Price")</f>
        <v>24.2</v>
      </c>
      <c r="W1413" s="66"/>
      <c r="X1413" s="15">
        <f t="shared" si="258"/>
        <v>24.2</v>
      </c>
      <c r="Y1413" s="3" t="e">
        <f t="shared" si="259"/>
        <v>#DIV/0!</v>
      </c>
      <c r="Z1413" s="413" t="s">
        <v>1997</v>
      </c>
      <c r="AA1413" s="161">
        <v>0</v>
      </c>
      <c r="AB1413" s="409">
        <v>0</v>
      </c>
      <c r="AC1413" s="259">
        <f t="shared" si="265"/>
        <v>0</v>
      </c>
      <c r="AD1413" s="22" t="s">
        <v>700</v>
      </c>
      <c r="AG1413" s="33">
        <f t="shared" si="260"/>
        <v>0</v>
      </c>
      <c r="AH1413" s="43" t="s">
        <v>2721</v>
      </c>
      <c r="AI1413" s="63">
        <f t="shared" si="263"/>
        <v>2.2815384615384616E-2</v>
      </c>
      <c r="AJ1413" s="307">
        <f>RTD("money.excel",,$G1413,"PredictVolume")</f>
        <v>4449</v>
      </c>
      <c r="AK1413" s="22">
        <v>62.6</v>
      </c>
    </row>
    <row r="1414" spans="1:37">
      <c r="A1414" s="416">
        <v>37.5</v>
      </c>
      <c r="B1414" s="79">
        <v>30</v>
      </c>
      <c r="C1414" s="79">
        <v>37</v>
      </c>
      <c r="D1414" s="80">
        <v>-4</v>
      </c>
      <c r="E1414" s="79">
        <v>19</v>
      </c>
      <c r="F1414" s="6">
        <v>9.93</v>
      </c>
      <c r="G1414" s="79">
        <v>9921</v>
      </c>
      <c r="H1414" s="8" t="s">
        <v>2084</v>
      </c>
      <c r="I1414" s="22" t="s">
        <v>4951</v>
      </c>
      <c r="J1414" s="73">
        <v>68.37</v>
      </c>
      <c r="K1414" s="73">
        <v>51.34</v>
      </c>
      <c r="L1414" s="73">
        <v>0.48</v>
      </c>
      <c r="N1414" s="318">
        <f t="shared" si="262"/>
        <v>120.19000000000001</v>
      </c>
      <c r="O1414" s="81">
        <f>IFERROR(VLOOKUP($G1414,'321買'!A:E,3,0),"'沒有資料'")</f>
        <v>0</v>
      </c>
      <c r="P1414" s="380">
        <f>IFERROR(VLOOKUP($G1414,'321買'!$A:$G,7,0),"'沒有資料'")</f>
        <v>911</v>
      </c>
      <c r="R1414" s="297">
        <f>IFERROR(RANK(VLOOKUP($G1414,連買!$A:$D,4,0),連買!$D:$D,0),"'沒有資料'")</f>
        <v>211</v>
      </c>
      <c r="S1414" s="66">
        <v>8</v>
      </c>
      <c r="T1414" s="353">
        <f t="shared" si="264"/>
        <v>3.0303030303030304E-2</v>
      </c>
      <c r="U1414" s="95">
        <v>13.2</v>
      </c>
      <c r="V1414" s="13">
        <f>RTD("money.excel",,"9921","Price")</f>
        <v>264</v>
      </c>
      <c r="W1414" s="66"/>
      <c r="X1414" s="15">
        <f t="shared" si="258"/>
        <v>264</v>
      </c>
      <c r="Y1414" s="3" t="e">
        <f t="shared" si="259"/>
        <v>#DIV/0!</v>
      </c>
      <c r="Z1414" s="413" t="s">
        <v>1997</v>
      </c>
      <c r="AA1414" s="161">
        <v>0</v>
      </c>
      <c r="AB1414" s="409">
        <v>0</v>
      </c>
      <c r="AC1414" s="259">
        <f t="shared" si="265"/>
        <v>0</v>
      </c>
      <c r="AD1414" s="22" t="s">
        <v>4951</v>
      </c>
      <c r="AG1414" s="33">
        <f t="shared" si="260"/>
        <v>0</v>
      </c>
      <c r="AH1414" s="120" t="s">
        <v>2555</v>
      </c>
      <c r="AI1414" s="63">
        <f t="shared" si="263"/>
        <v>2.6933333333333332E-3</v>
      </c>
      <c r="AJ1414" s="307">
        <f>RTD("money.excel",,$G1414,"PredictVolume")</f>
        <v>1010</v>
      </c>
      <c r="AK1414" s="339"/>
    </row>
    <row r="1415" spans="1:37">
      <c r="A1415" s="416">
        <v>18.8</v>
      </c>
      <c r="B1415" s="91">
        <v>-2</v>
      </c>
      <c r="C1415" s="91">
        <v>2</v>
      </c>
      <c r="D1415" s="91">
        <v>-1</v>
      </c>
      <c r="E1415" s="91">
        <v>24</v>
      </c>
      <c r="F1415" s="6">
        <v>14.03</v>
      </c>
      <c r="G1415" s="79">
        <v>9924</v>
      </c>
      <c r="H1415" s="8" t="s">
        <v>2084</v>
      </c>
      <c r="I1415" s="22" t="s">
        <v>701</v>
      </c>
      <c r="J1415" s="73">
        <v>66.2</v>
      </c>
      <c r="K1415" s="73">
        <v>11.7</v>
      </c>
      <c r="L1415" s="73">
        <v>1.52</v>
      </c>
      <c r="N1415" s="318">
        <f t="shared" si="262"/>
        <v>79.42</v>
      </c>
      <c r="O1415" s="81">
        <f>IFERROR(VLOOKUP($G1415,'321買'!A:E,3,0),"'沒有資料'")</f>
        <v>1</v>
      </c>
      <c r="P1415" s="380">
        <f>IFERROR(VLOOKUP($G1415,'321買'!$A:$G,7,0),"'沒有資料'")</f>
        <v>783</v>
      </c>
      <c r="R1415" s="297">
        <f>IFERROR(RANK(VLOOKUP($G1415,連買!$A:$D,4,0),連買!$D:$D,0),"'沒有資料'")</f>
        <v>934</v>
      </c>
      <c r="S1415" s="34">
        <v>2.6</v>
      </c>
      <c r="T1415" s="353">
        <f t="shared" si="264"/>
        <v>6.1611374407582936E-2</v>
      </c>
      <c r="U1415" s="95">
        <v>4.37</v>
      </c>
      <c r="V1415" s="13">
        <f>RTD("money.excel",,"9924","Price")</f>
        <v>42.2</v>
      </c>
      <c r="W1415" s="66"/>
      <c r="X1415" s="15">
        <f t="shared" si="258"/>
        <v>42.2</v>
      </c>
      <c r="Y1415" s="3" t="e">
        <f t="shared" si="259"/>
        <v>#DIV/0!</v>
      </c>
      <c r="AA1415" s="161">
        <v>0</v>
      </c>
      <c r="AB1415" s="409">
        <v>0</v>
      </c>
      <c r="AC1415" s="259">
        <f t="shared" si="265"/>
        <v>0</v>
      </c>
      <c r="AD1415" s="22" t="s">
        <v>701</v>
      </c>
      <c r="AG1415" s="33">
        <f t="shared" si="260"/>
        <v>0</v>
      </c>
      <c r="AH1415" s="43" t="s">
        <v>3027</v>
      </c>
      <c r="AI1415" s="63">
        <f t="shared" si="263"/>
        <v>2.9255319148936172E-4</v>
      </c>
      <c r="AJ1415" s="307">
        <f>RTD("money.excel",,$G1415,"PredictVolume")</f>
        <v>55</v>
      </c>
      <c r="AK1415" s="339"/>
    </row>
    <row r="1416" spans="1:37">
      <c r="A1416" s="415">
        <v>38.700000000000003</v>
      </c>
      <c r="B1416" s="91">
        <v>17</v>
      </c>
      <c r="C1416" s="91">
        <v>17</v>
      </c>
      <c r="D1416" s="91">
        <v>5</v>
      </c>
      <c r="E1416" s="91">
        <v>10</v>
      </c>
      <c r="F1416" s="57">
        <v>12.04</v>
      </c>
      <c r="G1416" s="79">
        <v>9925</v>
      </c>
      <c r="H1416" s="8" t="s">
        <v>2084</v>
      </c>
      <c r="I1416" s="22" t="s">
        <v>4952</v>
      </c>
      <c r="J1416" s="73">
        <v>73.760000000000005</v>
      </c>
      <c r="K1416" s="73">
        <v>17.170000000000002</v>
      </c>
      <c r="L1416" s="73">
        <v>0.15</v>
      </c>
      <c r="N1416" s="318">
        <f t="shared" si="262"/>
        <v>91.080000000000013</v>
      </c>
      <c r="O1416" s="81">
        <f>IFERROR(VLOOKUP($G1416,'321買'!A:E,3,0),"'沒有資料'")</f>
        <v>0</v>
      </c>
      <c r="P1416" s="380">
        <f>IFERROR(VLOOKUP($G1416,'321買'!$A:$G,7,0),"'沒有資料'")</f>
        <v>911</v>
      </c>
      <c r="R1416" s="297">
        <f>IFERROR(RANK(VLOOKUP($G1416,連買!$A:$D,4,0),連買!$D:$D,0),"'沒有資料'")</f>
        <v>627</v>
      </c>
      <c r="S1416" s="34">
        <v>2</v>
      </c>
      <c r="T1416" s="353">
        <f t="shared" si="264"/>
        <v>4.9689440993788817E-2</v>
      </c>
      <c r="U1416" s="95">
        <v>2.31</v>
      </c>
      <c r="V1416" s="13">
        <f>RTD("money.excel",,"9925","Price")</f>
        <v>40.25</v>
      </c>
      <c r="W1416" s="66"/>
      <c r="X1416" s="15">
        <f t="shared" si="258"/>
        <v>40.25</v>
      </c>
      <c r="Y1416" s="3" t="e">
        <f t="shared" si="259"/>
        <v>#DIV/0!</v>
      </c>
      <c r="AA1416" s="161">
        <v>0</v>
      </c>
      <c r="AB1416" s="409">
        <v>0</v>
      </c>
      <c r="AC1416" s="259">
        <f t="shared" si="265"/>
        <v>0</v>
      </c>
      <c r="AD1416" s="22" t="s">
        <v>4952</v>
      </c>
      <c r="AG1416" s="33">
        <f t="shared" si="260"/>
        <v>0</v>
      </c>
      <c r="AH1416" s="120" t="s">
        <v>3028</v>
      </c>
      <c r="AI1416" s="63">
        <f t="shared" si="263"/>
        <v>2.6614987080103358E-4</v>
      </c>
      <c r="AJ1416" s="307">
        <f>RTD("money.excel",,$G1416,"PredictVolume")</f>
        <v>103</v>
      </c>
      <c r="AK1416" s="339"/>
    </row>
    <row r="1417" spans="1:37">
      <c r="A1417" s="416">
        <v>20.9</v>
      </c>
      <c r="B1417" s="80">
        <v>-54</v>
      </c>
      <c r="C1417" s="80">
        <v>-38</v>
      </c>
      <c r="D1417" s="79">
        <v>4</v>
      </c>
      <c r="E1417" s="80">
        <v>-26</v>
      </c>
      <c r="F1417" s="6">
        <v>4.26</v>
      </c>
      <c r="G1417" s="79">
        <v>9927</v>
      </c>
      <c r="H1417" s="8" t="s">
        <v>2084</v>
      </c>
      <c r="I1417" s="22" t="s">
        <v>702</v>
      </c>
      <c r="J1417" s="73">
        <v>49</v>
      </c>
      <c r="K1417" s="73">
        <v>10.48</v>
      </c>
      <c r="L1417" s="73">
        <v>0.3</v>
      </c>
      <c r="N1417" s="318">
        <f t="shared" si="262"/>
        <v>59.78</v>
      </c>
      <c r="O1417" s="81">
        <f>IFERROR(VLOOKUP($G1417,'321買'!A:E,3,0),"'沒有資料'")</f>
        <v>3</v>
      </c>
      <c r="P1417" s="380">
        <f>IFERROR(VLOOKUP($G1417,'321買'!$A:$G,7,0),"'沒有資料'")</f>
        <v>636</v>
      </c>
      <c r="R1417" s="297">
        <f>IFERROR(RANK(VLOOKUP($G1417,連買!$A:$D,4,0),連買!$D:$D,0),"'沒有資料'")</f>
        <v>1446</v>
      </c>
      <c r="S1417" s="34">
        <v>1</v>
      </c>
      <c r="T1417" s="353">
        <f t="shared" si="264"/>
        <v>2.1052631578947368E-2</v>
      </c>
      <c r="U1417" s="95">
        <v>1.68</v>
      </c>
      <c r="V1417" s="36">
        <f>RTD("money.excel",,"9927","Price")</f>
        <v>47.5</v>
      </c>
      <c r="W1417" s="66"/>
      <c r="X1417" s="15">
        <f t="shared" si="258"/>
        <v>47.5</v>
      </c>
      <c r="Y1417" s="3" t="e">
        <f t="shared" si="259"/>
        <v>#DIV/0!</v>
      </c>
      <c r="Z1417" s="413" t="s">
        <v>1801</v>
      </c>
      <c r="AA1417" s="161">
        <v>0</v>
      </c>
      <c r="AB1417" s="409">
        <v>0</v>
      </c>
      <c r="AC1417" s="259">
        <f t="shared" si="265"/>
        <v>0</v>
      </c>
      <c r="AD1417" s="22" t="s">
        <v>702</v>
      </c>
      <c r="AG1417" s="33">
        <f t="shared" si="260"/>
        <v>0</v>
      </c>
      <c r="AH1417" s="43" t="s">
        <v>3029</v>
      </c>
      <c r="AI1417" s="63">
        <f t="shared" si="263"/>
        <v>1.971291866028708E-3</v>
      </c>
      <c r="AJ1417" s="307">
        <f>RTD("money.excel",,$G1417,"PredictVolume")</f>
        <v>412</v>
      </c>
      <c r="AK1417" s="339"/>
    </row>
    <row r="1418" spans="1:37">
      <c r="A1418" s="416">
        <v>15</v>
      </c>
      <c r="B1418" s="91">
        <v>67</v>
      </c>
      <c r="C1418" s="91">
        <v>46</v>
      </c>
      <c r="D1418" s="91">
        <v>4</v>
      </c>
      <c r="E1418" s="91">
        <v>2</v>
      </c>
      <c r="F1418" s="6">
        <v>-39</v>
      </c>
      <c r="G1418" s="79">
        <v>9928</v>
      </c>
      <c r="H1418" s="8" t="s">
        <v>2084</v>
      </c>
      <c r="I1418" s="22" t="s">
        <v>703</v>
      </c>
      <c r="J1418" s="73">
        <v>84.8</v>
      </c>
      <c r="K1418" s="73">
        <v>0</v>
      </c>
      <c r="N1418" s="318">
        <f t="shared" si="262"/>
        <v>84.8</v>
      </c>
      <c r="O1418" s="81">
        <f>IFERROR(VLOOKUP($G1418,'321買'!A:E,3,0),"'沒有資料'")</f>
        <v>0</v>
      </c>
      <c r="P1418" s="380">
        <f>IFERROR(VLOOKUP($G1418,'321買'!$A:$G,7,0),"'沒有資料'")</f>
        <v>911</v>
      </c>
      <c r="R1418" s="297" t="str">
        <f>IFERROR(RANK(VLOOKUP($G1418,連買!$A:$D,4,0),連買!$D:$D,0),"'沒有資料'")</f>
        <v>'沒有資料'</v>
      </c>
      <c r="S1418" s="34">
        <v>0</v>
      </c>
      <c r="T1418" s="353">
        <f t="shared" si="264"/>
        <v>0</v>
      </c>
      <c r="U1418" s="95">
        <v>-0.18</v>
      </c>
      <c r="V1418" s="13">
        <f>RTD("money.excel",,"9928","Price")</f>
        <v>16.600000000000001</v>
      </c>
      <c r="W1418" s="66"/>
      <c r="X1418" s="15">
        <f t="shared" si="258"/>
        <v>16.600000000000001</v>
      </c>
      <c r="Y1418" s="3" t="e">
        <f t="shared" si="259"/>
        <v>#DIV/0!</v>
      </c>
      <c r="AA1418" s="161">
        <v>0</v>
      </c>
      <c r="AB1418" s="409">
        <v>0</v>
      </c>
      <c r="AC1418" s="259">
        <f t="shared" si="265"/>
        <v>0</v>
      </c>
      <c r="AD1418" s="22" t="s">
        <v>703</v>
      </c>
      <c r="AG1418" s="33">
        <f t="shared" si="260"/>
        <v>0</v>
      </c>
      <c r="AH1418" s="43" t="s">
        <v>3030</v>
      </c>
      <c r="AI1418" s="63">
        <f t="shared" si="263"/>
        <v>1.6066666666666666E-3</v>
      </c>
      <c r="AJ1418" s="307">
        <f>RTD("money.excel",,$G1418,"PredictVolume")</f>
        <v>241</v>
      </c>
      <c r="AK1418" s="339"/>
    </row>
    <row r="1419" spans="1:37">
      <c r="A1419" s="416">
        <v>10.1</v>
      </c>
      <c r="B1419" s="91">
        <v>594</v>
      </c>
      <c r="C1419" s="91">
        <v>100</v>
      </c>
      <c r="D1419" s="91">
        <v>-5</v>
      </c>
      <c r="E1419" s="91">
        <v>-51</v>
      </c>
      <c r="F1419" s="6">
        <v>-0.52</v>
      </c>
      <c r="G1419" s="79">
        <v>9929</v>
      </c>
      <c r="H1419" s="8" t="s">
        <v>2084</v>
      </c>
      <c r="I1419" s="22" t="s">
        <v>704</v>
      </c>
      <c r="J1419" s="73">
        <v>87.42</v>
      </c>
      <c r="K1419" s="73">
        <v>8.3699999999999992</v>
      </c>
      <c r="N1419" s="318">
        <f t="shared" si="262"/>
        <v>95.79</v>
      </c>
      <c r="O1419" s="81">
        <f>IFERROR(VLOOKUP($G1419,'321買'!A:E,3,0),"'沒有資料'")</f>
        <v>0</v>
      </c>
      <c r="P1419" s="380">
        <f>IFERROR(VLOOKUP($G1419,'321買'!$A:$G,7,0),"'沒有資料'")</f>
        <v>911</v>
      </c>
      <c r="R1419" s="297">
        <f>IFERROR(RANK(VLOOKUP($G1419,連買!$A:$D,4,0),連買!$D:$D,0),"'沒有資料'")</f>
        <v>1585</v>
      </c>
      <c r="S1419" s="34">
        <v>0.4</v>
      </c>
      <c r="T1419" s="353">
        <f t="shared" si="264"/>
        <v>4.4444444444444446E-2</v>
      </c>
      <c r="U1419" s="95">
        <v>5.42</v>
      </c>
      <c r="V1419" s="13">
        <f>RTD("money.excel",,"9929","Price")</f>
        <v>9</v>
      </c>
      <c r="W1419" s="66"/>
      <c r="X1419" s="15">
        <f t="shared" si="258"/>
        <v>9</v>
      </c>
      <c r="Y1419" s="3" t="e">
        <f t="shared" si="259"/>
        <v>#DIV/0!</v>
      </c>
      <c r="AA1419" s="161">
        <v>0</v>
      </c>
      <c r="AB1419" s="409">
        <v>0</v>
      </c>
      <c r="AC1419" s="259">
        <f t="shared" si="265"/>
        <v>0</v>
      </c>
      <c r="AD1419" s="22" t="s">
        <v>704</v>
      </c>
      <c r="AG1419" s="33">
        <f t="shared" si="260"/>
        <v>0</v>
      </c>
      <c r="AH1419" s="43" t="s">
        <v>2655</v>
      </c>
      <c r="AI1419" s="63">
        <f t="shared" si="263"/>
        <v>1.9801980198019803E-4</v>
      </c>
      <c r="AJ1419" s="307">
        <f>RTD("money.excel",,$G1419,"PredictVolume")</f>
        <v>20</v>
      </c>
      <c r="AK1419" s="339"/>
    </row>
    <row r="1420" spans="1:37">
      <c r="A1420" s="416">
        <v>24.8</v>
      </c>
      <c r="B1420" s="91">
        <v>-11</v>
      </c>
      <c r="C1420" s="91">
        <v>-15</v>
      </c>
      <c r="D1420" s="91">
        <v>8</v>
      </c>
      <c r="E1420" s="91">
        <v>44</v>
      </c>
      <c r="F1420" s="6">
        <v>9.6199999999999992</v>
      </c>
      <c r="G1420" s="79">
        <v>9930</v>
      </c>
      <c r="H1420" s="8" t="s">
        <v>2084</v>
      </c>
      <c r="I1420" s="22" t="s">
        <v>1103</v>
      </c>
      <c r="J1420" s="73">
        <v>79.510000000000005</v>
      </c>
      <c r="K1420" s="73">
        <v>1.95</v>
      </c>
      <c r="L1420" s="73">
        <v>0.04</v>
      </c>
      <c r="N1420" s="318">
        <f t="shared" si="262"/>
        <v>81.500000000000014</v>
      </c>
      <c r="O1420" s="81">
        <f>IFERROR(VLOOKUP($G1420,'321買'!A:E,3,0),"'沒有資料'")</f>
        <v>0</v>
      </c>
      <c r="P1420" s="380">
        <f>IFERROR(VLOOKUP($G1420,'321買'!$A:$G,7,0),"'沒有資料'")</f>
        <v>911</v>
      </c>
      <c r="R1420" s="297">
        <f>IFERROR(RANK(VLOOKUP($G1420,連買!$A:$D,4,0),連買!$D:$D,0),"'沒有資料'")</f>
        <v>368</v>
      </c>
      <c r="S1420" s="34">
        <v>2</v>
      </c>
      <c r="T1420" s="353">
        <f t="shared" si="264"/>
        <v>4.1025641025641026E-2</v>
      </c>
      <c r="U1420" s="95">
        <v>3.07</v>
      </c>
      <c r="V1420" s="13">
        <f>RTD("money.excel",,"9930","Price")</f>
        <v>48.75</v>
      </c>
      <c r="W1420" s="66"/>
      <c r="X1420" s="15">
        <f t="shared" si="258"/>
        <v>48.75</v>
      </c>
      <c r="Y1420" s="3" t="e">
        <f t="shared" si="259"/>
        <v>#DIV/0!</v>
      </c>
      <c r="AA1420" s="161">
        <v>0</v>
      </c>
      <c r="AB1420" s="409">
        <v>0</v>
      </c>
      <c r="AC1420" s="259">
        <f t="shared" si="265"/>
        <v>0</v>
      </c>
      <c r="AD1420" s="22" t="s">
        <v>1103</v>
      </c>
      <c r="AG1420" s="33">
        <f t="shared" si="260"/>
        <v>0</v>
      </c>
      <c r="AH1420" s="43" t="s">
        <v>3031</v>
      </c>
      <c r="AI1420" s="63">
        <f t="shared" si="263"/>
        <v>6.6532258064516128E-4</v>
      </c>
      <c r="AJ1420" s="307">
        <f>RTD("money.excel",,$G1420,"PredictVolume")</f>
        <v>165</v>
      </c>
      <c r="AK1420" s="339"/>
    </row>
    <row r="1421" spans="1:37">
      <c r="A1421" s="416">
        <v>76.3</v>
      </c>
      <c r="B1421" s="79">
        <v>5</v>
      </c>
      <c r="C1421" s="79">
        <v>41</v>
      </c>
      <c r="D1421" s="80">
        <v>-12</v>
      </c>
      <c r="E1421" s="79">
        <v>7</v>
      </c>
      <c r="F1421" s="6">
        <v>3.64</v>
      </c>
      <c r="G1421" s="79">
        <v>9933</v>
      </c>
      <c r="H1421" s="8" t="s">
        <v>2084</v>
      </c>
      <c r="I1421" s="22" t="s">
        <v>122</v>
      </c>
      <c r="J1421" s="323">
        <v>69.31</v>
      </c>
      <c r="K1421" s="323">
        <v>22.58</v>
      </c>
      <c r="L1421" s="323">
        <v>0.93</v>
      </c>
      <c r="N1421" s="318">
        <f t="shared" si="262"/>
        <v>92.820000000000007</v>
      </c>
      <c r="O1421" s="81">
        <f>IFERROR(VLOOKUP($G1421,'321買'!A:E,3,0),"'沒有資料'")</f>
        <v>1</v>
      </c>
      <c r="P1421" s="380">
        <f>IFERROR(VLOOKUP($G1421,'321買'!$A:$G,7,0),"'沒有資料'")</f>
        <v>783</v>
      </c>
      <c r="R1421" s="297">
        <f>IFERROR(RANK(VLOOKUP($G1421,連買!$A:$D,4,0),連買!$D:$D,0),"'沒有資料'")</f>
        <v>412</v>
      </c>
      <c r="S1421" s="34">
        <v>2</v>
      </c>
      <c r="T1421" s="353">
        <f t="shared" si="264"/>
        <v>4.2964554242749732E-2</v>
      </c>
      <c r="U1421" s="95">
        <v>1.01</v>
      </c>
      <c r="V1421" s="36">
        <f>RTD("money.excel",,"9933","Price")</f>
        <v>46.55</v>
      </c>
      <c r="W1421" s="66"/>
      <c r="X1421" s="15">
        <f t="shared" si="258"/>
        <v>46.55</v>
      </c>
      <c r="Y1421" s="3" t="e">
        <f t="shared" si="259"/>
        <v>#DIV/0!</v>
      </c>
      <c r="Z1421" s="413" t="s">
        <v>1801</v>
      </c>
      <c r="AA1421" s="161">
        <v>0</v>
      </c>
      <c r="AB1421" s="409">
        <v>0</v>
      </c>
      <c r="AC1421" s="259">
        <f t="shared" si="265"/>
        <v>0</v>
      </c>
      <c r="AD1421" s="22" t="s">
        <v>122</v>
      </c>
      <c r="AG1421" s="33">
        <f t="shared" si="260"/>
        <v>0</v>
      </c>
      <c r="AH1421" s="120" t="s">
        <v>3032</v>
      </c>
      <c r="AI1421" s="63">
        <f t="shared" si="263"/>
        <v>2.3748361730013107E-3</v>
      </c>
      <c r="AJ1421" s="307">
        <f>RTD("money.excel",,$G1421,"PredictVolume")</f>
        <v>1812</v>
      </c>
      <c r="AK1421" s="339"/>
    </row>
    <row r="1422" spans="1:37">
      <c r="A1422" s="416">
        <v>35.799999999999997</v>
      </c>
      <c r="B1422" s="80">
        <v>-73</v>
      </c>
      <c r="C1422" s="80">
        <v>-30</v>
      </c>
      <c r="D1422" s="80">
        <v>-5</v>
      </c>
      <c r="E1422" s="79">
        <v>9</v>
      </c>
      <c r="F1422" s="6">
        <v>2.93</v>
      </c>
      <c r="G1422" s="79">
        <v>9934</v>
      </c>
      <c r="H1422" s="8" t="s">
        <v>2084</v>
      </c>
      <c r="I1422" s="22" t="s">
        <v>705</v>
      </c>
      <c r="J1422" s="73">
        <v>59.19</v>
      </c>
      <c r="K1422" s="73">
        <v>18.96</v>
      </c>
      <c r="L1422" s="73">
        <v>4.51</v>
      </c>
      <c r="N1422" s="318">
        <f t="shared" si="262"/>
        <v>82.660000000000011</v>
      </c>
      <c r="O1422" s="81">
        <f>IFERROR(VLOOKUP($G1422,'321買'!A:E,3,0),"'沒有資料'")</f>
        <v>0</v>
      </c>
      <c r="P1422" s="380">
        <f>IFERROR(VLOOKUP($G1422,'321買'!$A:$G,7,0),"'沒有資料'")</f>
        <v>911</v>
      </c>
      <c r="R1422" s="297">
        <f>IFERROR(RANK(VLOOKUP($G1422,連買!$A:$D,4,0),連買!$D:$D,0),"'沒有資料'")</f>
        <v>1595</v>
      </c>
      <c r="S1422" s="34">
        <v>0.6</v>
      </c>
      <c r="T1422" s="353">
        <f t="shared" si="264"/>
        <v>4.8387096774193547E-2</v>
      </c>
      <c r="U1422" s="95">
        <v>0.81</v>
      </c>
      <c r="V1422" s="36">
        <f>RTD("money.excel",,"9934","Price")</f>
        <v>12.4</v>
      </c>
      <c r="W1422" s="66"/>
      <c r="X1422" s="15">
        <f t="shared" si="258"/>
        <v>12.4</v>
      </c>
      <c r="Y1422" s="3" t="e">
        <f t="shared" si="259"/>
        <v>#DIV/0!</v>
      </c>
      <c r="Z1422" s="413" t="s">
        <v>1801</v>
      </c>
      <c r="AA1422" s="161">
        <v>0</v>
      </c>
      <c r="AB1422" s="409">
        <v>0</v>
      </c>
      <c r="AC1422" s="259">
        <f t="shared" si="265"/>
        <v>0</v>
      </c>
      <c r="AD1422" s="22" t="s">
        <v>705</v>
      </c>
      <c r="AG1422" s="33">
        <f t="shared" si="260"/>
        <v>0</v>
      </c>
      <c r="AH1422" s="43" t="s">
        <v>3033</v>
      </c>
      <c r="AI1422" s="63">
        <f t="shared" si="263"/>
        <v>5.4469273743016754E-4</v>
      </c>
      <c r="AJ1422" s="307">
        <f>RTD("money.excel",,$G1422,"PredictVolume")</f>
        <v>195</v>
      </c>
      <c r="AK1422" s="339"/>
    </row>
    <row r="1423" spans="1:37">
      <c r="A1423" s="416">
        <v>16.899999999999999</v>
      </c>
      <c r="B1423" s="79">
        <v>921</v>
      </c>
      <c r="C1423" s="93">
        <v>2050</v>
      </c>
      <c r="D1423" s="80">
        <v>-23</v>
      </c>
      <c r="E1423" s="80">
        <v>-30</v>
      </c>
      <c r="F1423" s="6">
        <v>7.92</v>
      </c>
      <c r="G1423" s="79">
        <v>9935</v>
      </c>
      <c r="H1423" s="8" t="s">
        <v>2084</v>
      </c>
      <c r="I1423" s="22" t="s">
        <v>706</v>
      </c>
      <c r="J1423" s="323">
        <v>46.4</v>
      </c>
      <c r="K1423" s="73">
        <v>4.91</v>
      </c>
      <c r="L1423" s="73">
        <v>10.31</v>
      </c>
      <c r="N1423" s="318">
        <f t="shared" si="262"/>
        <v>61.620000000000005</v>
      </c>
      <c r="O1423" s="81">
        <f>IFERROR(VLOOKUP($G1423,'321買'!A:E,3,0),"'沒有資料'")</f>
        <v>0</v>
      </c>
      <c r="P1423" s="380">
        <f>IFERROR(VLOOKUP($G1423,'321買'!$A:$G,7,0),"'沒有資料'")</f>
        <v>911</v>
      </c>
      <c r="R1423" s="297">
        <f>IFERROR(RANK(VLOOKUP($G1423,連買!$A:$D,4,0),連買!$D:$D,0),"'沒有資料'")</f>
        <v>1436</v>
      </c>
      <c r="S1423" s="34">
        <v>0.88</v>
      </c>
      <c r="T1423" s="353">
        <f t="shared" si="264"/>
        <v>5.0285714285714288E-2</v>
      </c>
      <c r="U1423" s="95">
        <v>2.56</v>
      </c>
      <c r="V1423" s="36">
        <f>RTD("money.excel",,"9935","Price")</f>
        <v>17.5</v>
      </c>
      <c r="W1423" s="66"/>
      <c r="X1423" s="15">
        <f t="shared" si="258"/>
        <v>17.5</v>
      </c>
      <c r="Y1423" s="3" t="e">
        <f t="shared" si="259"/>
        <v>#DIV/0!</v>
      </c>
      <c r="AA1423" s="161">
        <v>0</v>
      </c>
      <c r="AB1423" s="409">
        <v>0</v>
      </c>
      <c r="AC1423" s="259">
        <f t="shared" si="265"/>
        <v>0</v>
      </c>
      <c r="AD1423" s="22" t="s">
        <v>706</v>
      </c>
      <c r="AG1423" s="33">
        <f t="shared" si="260"/>
        <v>0</v>
      </c>
      <c r="AH1423" s="43" t="s">
        <v>1424</v>
      </c>
      <c r="AI1423" s="63">
        <f t="shared" si="263"/>
        <v>3.5502958579881655E-4</v>
      </c>
      <c r="AJ1423" s="307">
        <f>RTD("money.excel",,$G1423,"PredictVolume")</f>
        <v>60</v>
      </c>
      <c r="AK1423" s="339"/>
    </row>
    <row r="1424" spans="1:37">
      <c r="A1424" s="415">
        <v>29.8</v>
      </c>
      <c r="B1424" s="79">
        <v>48</v>
      </c>
      <c r="C1424" s="79">
        <v>41</v>
      </c>
      <c r="D1424" s="79">
        <v>65</v>
      </c>
      <c r="E1424" s="80">
        <v>-23</v>
      </c>
      <c r="F1424" s="57">
        <v>21.75</v>
      </c>
      <c r="G1424" s="79">
        <v>9938</v>
      </c>
      <c r="H1424" s="8" t="s">
        <v>235</v>
      </c>
      <c r="I1424" s="22" t="s">
        <v>136</v>
      </c>
      <c r="J1424" s="73">
        <v>75.989999999999995</v>
      </c>
      <c r="K1424" s="73">
        <v>32.42</v>
      </c>
      <c r="L1424" s="323">
        <v>2.23</v>
      </c>
      <c r="M1424" s="73">
        <v>11.39</v>
      </c>
      <c r="N1424" s="318">
        <f t="shared" si="262"/>
        <v>122.03</v>
      </c>
      <c r="O1424" s="81">
        <f>IFERROR(VLOOKUP($G1424,'321買'!A:E,3,0),"'沒有資料'")</f>
        <v>3</v>
      </c>
      <c r="P1424" s="380">
        <f>IFERROR(VLOOKUP($G1424,'321買'!$A:$G,7,0),"'沒有資料'")</f>
        <v>636</v>
      </c>
      <c r="Q1424" s="388" t="s">
        <v>3816</v>
      </c>
      <c r="R1424" s="297">
        <f>IFERROR(RANK(VLOOKUP($G1424,連買!$A:$D,4,0),連買!$D:$D,0),"'沒有資料'")</f>
        <v>1720</v>
      </c>
      <c r="S1424" s="45">
        <v>3.5</v>
      </c>
      <c r="T1424" s="353">
        <f t="shared" si="264"/>
        <v>4.8209366391184574E-2</v>
      </c>
      <c r="U1424" s="57">
        <v>6.91</v>
      </c>
      <c r="V1424" s="36">
        <f>RTD("money.excel",,"9938","Price")</f>
        <v>72.599999999999994</v>
      </c>
      <c r="W1424" s="66"/>
      <c r="X1424" s="15">
        <f t="shared" si="258"/>
        <v>72.599999999999994</v>
      </c>
      <c r="Y1424" s="3" t="e">
        <f t="shared" si="259"/>
        <v>#DIV/0!</v>
      </c>
      <c r="Z1424" s="413" t="s">
        <v>8654</v>
      </c>
      <c r="AA1424" s="2">
        <v>1</v>
      </c>
      <c r="AB1424" s="409">
        <v>2</v>
      </c>
      <c r="AC1424" s="259">
        <f t="shared" si="265"/>
        <v>-1</v>
      </c>
      <c r="AD1424" s="22" t="s">
        <v>136</v>
      </c>
      <c r="AG1424" s="33">
        <f t="shared" si="260"/>
        <v>0</v>
      </c>
      <c r="AH1424" s="120" t="s">
        <v>3034</v>
      </c>
      <c r="AI1424" s="63">
        <f t="shared" si="263"/>
        <v>1.8120805369127517E-3</v>
      </c>
      <c r="AJ1424" s="307">
        <f>RTD("money.excel",,$G1424,"PredictVolume")</f>
        <v>540</v>
      </c>
      <c r="AK1424" s="339">
        <v>5.57</v>
      </c>
    </row>
    <row r="1425" spans="1:37">
      <c r="A1425" s="415">
        <v>28.7</v>
      </c>
      <c r="B1425" s="79">
        <v>19</v>
      </c>
      <c r="C1425" s="80">
        <v>-5</v>
      </c>
      <c r="D1425" s="79">
        <v>6</v>
      </c>
      <c r="E1425" s="80">
        <v>-3</v>
      </c>
      <c r="F1425" s="57">
        <v>12.51</v>
      </c>
      <c r="G1425" s="79">
        <v>9939</v>
      </c>
      <c r="H1425" s="8" t="s">
        <v>2084</v>
      </c>
      <c r="I1425" s="22" t="s">
        <v>707</v>
      </c>
      <c r="J1425" s="323">
        <v>51.78</v>
      </c>
      <c r="K1425" s="323">
        <v>26.05</v>
      </c>
      <c r="L1425" s="323">
        <v>3.44</v>
      </c>
      <c r="N1425" s="318">
        <f t="shared" si="262"/>
        <v>81.27</v>
      </c>
      <c r="O1425" s="81">
        <f>IFERROR(VLOOKUP($G1425,'321買'!A:E,3,0),"'沒有資料'")</f>
        <v>4</v>
      </c>
      <c r="P1425" s="380">
        <f>IFERROR(VLOOKUP($G1425,'321買'!$A:$G,7,0),"'沒有資料'")</f>
        <v>592</v>
      </c>
      <c r="R1425" s="297">
        <f>IFERROR(RANK(VLOOKUP($G1425,連買!$A:$D,4,0),連買!$D:$D,0),"'沒有資料'")</f>
        <v>232</v>
      </c>
      <c r="S1425" s="66">
        <v>3.6</v>
      </c>
      <c r="T1425" s="353">
        <f t="shared" si="264"/>
        <v>4.6936114732724903E-2</v>
      </c>
      <c r="U1425" s="95">
        <v>5.71</v>
      </c>
      <c r="V1425" s="36">
        <f>RTD("money.excel",,"9939","Price")</f>
        <v>76.7</v>
      </c>
      <c r="W1425" s="66"/>
      <c r="X1425" s="15">
        <f t="shared" si="258"/>
        <v>76.7</v>
      </c>
      <c r="Y1425" s="3" t="e">
        <f t="shared" si="259"/>
        <v>#DIV/0!</v>
      </c>
      <c r="Z1425" s="413" t="s">
        <v>1997</v>
      </c>
      <c r="AA1425" s="161">
        <v>0</v>
      </c>
      <c r="AB1425" s="409">
        <v>0</v>
      </c>
      <c r="AC1425" s="259">
        <f t="shared" si="265"/>
        <v>0</v>
      </c>
      <c r="AD1425" s="22" t="s">
        <v>707</v>
      </c>
      <c r="AG1425" s="33">
        <f t="shared" si="260"/>
        <v>0</v>
      </c>
      <c r="AH1425" s="43" t="s">
        <v>3021</v>
      </c>
      <c r="AI1425" s="63">
        <f t="shared" si="263"/>
        <v>1.8989547038327527E-3</v>
      </c>
      <c r="AJ1425" s="307">
        <f>RTD("money.excel",,$G1425,"PredictVolume")</f>
        <v>545</v>
      </c>
      <c r="AK1425" s="339"/>
    </row>
    <row r="1426" spans="1:37">
      <c r="A1426" s="415">
        <v>73.599999999999994</v>
      </c>
      <c r="B1426" s="80">
        <v>-53</v>
      </c>
      <c r="C1426" s="80">
        <v>-52</v>
      </c>
      <c r="D1426" s="79">
        <v>6</v>
      </c>
      <c r="E1426" s="79">
        <v>44</v>
      </c>
      <c r="F1426" s="57">
        <v>11.02</v>
      </c>
      <c r="G1426" s="79">
        <v>9940</v>
      </c>
      <c r="H1426" s="8" t="s">
        <v>2084</v>
      </c>
      <c r="I1426" s="22" t="s">
        <v>92</v>
      </c>
      <c r="J1426" s="73">
        <v>81.31</v>
      </c>
      <c r="K1426" s="323">
        <v>5.07</v>
      </c>
      <c r="L1426" s="323">
        <v>0.22</v>
      </c>
      <c r="N1426" s="318">
        <f t="shared" si="262"/>
        <v>86.6</v>
      </c>
      <c r="O1426" s="81">
        <f>IFERROR(VLOOKUP($G1426,'321買'!A:E,3,0),"'沒有資料'")</f>
        <v>0</v>
      </c>
      <c r="P1426" s="380">
        <f>IFERROR(VLOOKUP($G1426,'321買'!$A:$G,7,0),"'沒有資料'")</f>
        <v>911</v>
      </c>
      <c r="R1426" s="297">
        <f>IFERROR(RANK(VLOOKUP($G1426,連買!$A:$D,4,0),連買!$D:$D,0),"'沒有資料'")</f>
        <v>488</v>
      </c>
      <c r="S1426" s="34">
        <v>1.7</v>
      </c>
      <c r="T1426" s="353">
        <f t="shared" si="264"/>
        <v>4.7419804741980473E-2</v>
      </c>
      <c r="U1426" s="95">
        <v>2.11</v>
      </c>
      <c r="V1426" s="36">
        <f>RTD("money.excel",,"9940","Price")</f>
        <v>35.85</v>
      </c>
      <c r="W1426" s="66"/>
      <c r="X1426" s="15">
        <f t="shared" si="258"/>
        <v>35.85</v>
      </c>
      <c r="Y1426" s="3" t="e">
        <f t="shared" si="259"/>
        <v>#DIV/0!</v>
      </c>
      <c r="Z1426" s="413" t="s">
        <v>1801</v>
      </c>
      <c r="AA1426" s="161">
        <v>0</v>
      </c>
      <c r="AB1426" s="409">
        <v>0</v>
      </c>
      <c r="AC1426" s="259">
        <f t="shared" si="265"/>
        <v>0</v>
      </c>
      <c r="AD1426" s="22" t="s">
        <v>92</v>
      </c>
      <c r="AG1426" s="33">
        <f t="shared" si="260"/>
        <v>0</v>
      </c>
      <c r="AH1426" s="120" t="s">
        <v>1427</v>
      </c>
      <c r="AI1426" s="63">
        <f t="shared" si="263"/>
        <v>2.703804347826087E-4</v>
      </c>
      <c r="AJ1426" s="307">
        <f>RTD("money.excel",,$G1426,"PredictVolume")</f>
        <v>199</v>
      </c>
      <c r="AK1426" s="339"/>
    </row>
    <row r="1427" spans="1:37">
      <c r="A1427" s="415">
        <v>33.200000000000003</v>
      </c>
      <c r="B1427" s="80">
        <v>-4</v>
      </c>
      <c r="C1427" s="80">
        <v>-7</v>
      </c>
      <c r="D1427" s="79">
        <v>4</v>
      </c>
      <c r="E1427" s="79">
        <v>3</v>
      </c>
      <c r="F1427" s="57">
        <v>13.29</v>
      </c>
      <c r="G1427" s="79">
        <v>9941</v>
      </c>
      <c r="H1427" s="8" t="s">
        <v>2084</v>
      </c>
      <c r="I1427" s="22" t="s">
        <v>123</v>
      </c>
      <c r="J1427" s="323">
        <v>67.97</v>
      </c>
      <c r="K1427" s="323">
        <v>5.48</v>
      </c>
      <c r="L1427" s="323">
        <v>1.08</v>
      </c>
      <c r="N1427" s="318">
        <f t="shared" si="262"/>
        <v>74.53</v>
      </c>
      <c r="O1427" s="81">
        <f>IFERROR(VLOOKUP($G1427,'321買'!A:E,3,0),"'沒有資料'")</f>
        <v>0</v>
      </c>
      <c r="P1427" s="380">
        <f>IFERROR(VLOOKUP($G1427,'321買'!$A:$G,7,0),"'沒有資料'")</f>
        <v>911</v>
      </c>
      <c r="R1427" s="297">
        <f>IFERROR(RANK(VLOOKUP($G1427,連買!$A:$D,4,0),連買!$D:$D,0),"'沒有資料'")</f>
        <v>87</v>
      </c>
      <c r="S1427" s="66">
        <v>6.2</v>
      </c>
      <c r="T1427" s="353">
        <f t="shared" si="264"/>
        <v>2.5833333333333333E-2</v>
      </c>
      <c r="U1427" s="95">
        <v>9.9</v>
      </c>
      <c r="V1427" s="36">
        <f>RTD("money.excel",,"9941","Price")</f>
        <v>240</v>
      </c>
      <c r="W1427" s="66"/>
      <c r="X1427" s="15">
        <f t="shared" si="258"/>
        <v>240</v>
      </c>
      <c r="Y1427" s="3" t="e">
        <f t="shared" si="259"/>
        <v>#DIV/0!</v>
      </c>
      <c r="Z1427" s="413" t="s">
        <v>1997</v>
      </c>
      <c r="AA1427" s="161">
        <v>0</v>
      </c>
      <c r="AB1427" s="409">
        <v>0</v>
      </c>
      <c r="AC1427" s="259">
        <f t="shared" si="265"/>
        <v>0</v>
      </c>
      <c r="AD1427" s="22" t="s">
        <v>123</v>
      </c>
      <c r="AG1427" s="33">
        <f t="shared" si="260"/>
        <v>0</v>
      </c>
      <c r="AH1427" s="120" t="s">
        <v>2265</v>
      </c>
      <c r="AI1427" s="63">
        <f t="shared" si="263"/>
        <v>2.5000000000000001E-3</v>
      </c>
      <c r="AJ1427" s="307">
        <f>RTD("money.excel",,$G1427,"PredictVolume")</f>
        <v>830</v>
      </c>
      <c r="AK1427" s="339"/>
    </row>
    <row r="1428" spans="1:37">
      <c r="A1428" s="415">
        <v>8.32</v>
      </c>
      <c r="B1428" s="91">
        <v>7</v>
      </c>
      <c r="C1428" s="91">
        <v>-14</v>
      </c>
      <c r="D1428" s="91">
        <v>-3</v>
      </c>
      <c r="E1428" s="91">
        <v>-7</v>
      </c>
      <c r="F1428" s="57">
        <v>19.37</v>
      </c>
      <c r="G1428" s="79">
        <v>9942</v>
      </c>
      <c r="H1428" s="8" t="s">
        <v>2084</v>
      </c>
      <c r="I1428" s="22" t="s">
        <v>708</v>
      </c>
      <c r="J1428" s="73">
        <v>58.75</v>
      </c>
      <c r="K1428" s="73">
        <v>5.04</v>
      </c>
      <c r="L1428" s="73">
        <v>1.23</v>
      </c>
      <c r="N1428" s="318">
        <f t="shared" si="262"/>
        <v>65.02</v>
      </c>
      <c r="O1428" s="81">
        <f>IFERROR(VLOOKUP($G1428,'321買'!A:E,3,0),"'沒有資料'")</f>
        <v>3</v>
      </c>
      <c r="P1428" s="380">
        <f>IFERROR(VLOOKUP($G1428,'321買'!$A:$G,7,0),"'沒有資料'")</f>
        <v>636</v>
      </c>
      <c r="R1428" s="297">
        <f>IFERROR(RANK(VLOOKUP($G1428,連買!$A:$D,4,0),連買!$D:$D,0),"'沒有資料'")</f>
        <v>376</v>
      </c>
      <c r="S1428" s="66">
        <v>4.2</v>
      </c>
      <c r="T1428" s="353">
        <f t="shared" si="264"/>
        <v>4.7511312217194568E-2</v>
      </c>
      <c r="U1428" s="95">
        <v>4.6399999999999997</v>
      </c>
      <c r="V1428" s="13">
        <f>RTD("money.excel",,"9942","Price")</f>
        <v>88.4</v>
      </c>
      <c r="W1428" s="66"/>
      <c r="X1428" s="15">
        <f t="shared" si="258"/>
        <v>88.4</v>
      </c>
      <c r="Y1428" s="3" t="e">
        <f t="shared" si="259"/>
        <v>#DIV/0!</v>
      </c>
      <c r="Z1428" s="413" t="s">
        <v>1831</v>
      </c>
      <c r="AA1428" s="161">
        <v>0</v>
      </c>
      <c r="AB1428" s="409">
        <v>0</v>
      </c>
      <c r="AC1428" s="259">
        <f t="shared" si="265"/>
        <v>0</v>
      </c>
      <c r="AD1428" s="22" t="s">
        <v>708</v>
      </c>
      <c r="AG1428" s="33">
        <f t="shared" si="260"/>
        <v>0</v>
      </c>
      <c r="AH1428" s="43" t="s">
        <v>3035</v>
      </c>
      <c r="AI1428" s="63">
        <f t="shared" si="263"/>
        <v>8.6538461538461541E-4</v>
      </c>
      <c r="AJ1428" s="307">
        <f>RTD("money.excel",,$G1428,"PredictVolume")</f>
        <v>72</v>
      </c>
      <c r="AK1428" s="339"/>
    </row>
    <row r="1429" spans="1:37">
      <c r="A1429" s="416">
        <v>10.9</v>
      </c>
      <c r="B1429" s="91">
        <v>504</v>
      </c>
      <c r="C1429" s="91">
        <v>57</v>
      </c>
      <c r="D1429" s="91">
        <v>24</v>
      </c>
      <c r="E1429" s="91">
        <v>34</v>
      </c>
      <c r="F1429" s="6">
        <v>6.27</v>
      </c>
      <c r="G1429" s="79">
        <v>9944</v>
      </c>
      <c r="H1429" s="8" t="s">
        <v>2084</v>
      </c>
      <c r="I1429" s="22" t="s">
        <v>709</v>
      </c>
      <c r="J1429" s="73">
        <v>79.97</v>
      </c>
      <c r="K1429" s="73">
        <v>5.73</v>
      </c>
      <c r="L1429" s="73">
        <v>24.03</v>
      </c>
      <c r="N1429" s="318">
        <f t="shared" si="262"/>
        <v>109.73</v>
      </c>
      <c r="O1429" s="81">
        <f>IFERROR(VLOOKUP($G1429,'321買'!A:E,3,0),"'沒有資料'")</f>
        <v>0</v>
      </c>
      <c r="P1429" s="380">
        <f>IFERROR(VLOOKUP($G1429,'321買'!$A:$G,7,0),"'沒有資料'")</f>
        <v>911</v>
      </c>
      <c r="R1429" s="297">
        <f>IFERROR(RANK(VLOOKUP($G1429,連買!$A:$D,4,0),連買!$D:$D,0),"'沒有資料'")</f>
        <v>1096</v>
      </c>
      <c r="S1429" s="34">
        <v>0.4</v>
      </c>
      <c r="T1429" s="353">
        <f t="shared" si="264"/>
        <v>1.9047619047619049E-2</v>
      </c>
      <c r="U1429" s="95">
        <v>0.69</v>
      </c>
      <c r="V1429" s="13">
        <f>RTD("money.excel",,"9944","Price")</f>
        <v>21</v>
      </c>
      <c r="W1429" s="66"/>
      <c r="X1429" s="15">
        <f t="shared" si="258"/>
        <v>21</v>
      </c>
      <c r="Y1429" s="3" t="e">
        <f t="shared" si="259"/>
        <v>#DIV/0!</v>
      </c>
      <c r="AA1429" s="161">
        <v>0</v>
      </c>
      <c r="AB1429" s="409">
        <v>0</v>
      </c>
      <c r="AC1429" s="259">
        <f t="shared" si="265"/>
        <v>0</v>
      </c>
      <c r="AD1429" s="22" t="s">
        <v>709</v>
      </c>
      <c r="AG1429" s="33">
        <f t="shared" si="260"/>
        <v>0</v>
      </c>
      <c r="AH1429" s="43" t="s">
        <v>3036</v>
      </c>
      <c r="AI1429" s="63">
        <f t="shared" si="263"/>
        <v>1.8073394495412844E-3</v>
      </c>
      <c r="AJ1429" s="307">
        <f>RTD("money.excel",,$G1429,"PredictVolume")</f>
        <v>197</v>
      </c>
      <c r="AK1429" s="339"/>
    </row>
    <row r="1430" spans="1:37">
      <c r="A1430" s="415">
        <v>210</v>
      </c>
      <c r="B1430" s="79">
        <v>79</v>
      </c>
      <c r="C1430" s="79">
        <v>122</v>
      </c>
      <c r="D1430" s="79">
        <v>1</v>
      </c>
      <c r="E1430" s="79">
        <v>30</v>
      </c>
      <c r="F1430" s="57">
        <v>13.8</v>
      </c>
      <c r="G1430" s="79">
        <v>9945</v>
      </c>
      <c r="H1430" s="8" t="s">
        <v>2084</v>
      </c>
      <c r="I1430" s="22" t="s">
        <v>29</v>
      </c>
      <c r="J1430" s="73">
        <v>62.76</v>
      </c>
      <c r="K1430" s="323">
        <v>15.02</v>
      </c>
      <c r="L1430" s="323">
        <v>2.06</v>
      </c>
      <c r="N1430" s="318">
        <f t="shared" si="262"/>
        <v>79.84</v>
      </c>
      <c r="O1430" s="81">
        <f>IFERROR(VLOOKUP($G1430,'321買'!A:E,3,0),"'沒有資料'")</f>
        <v>0</v>
      </c>
      <c r="P1430" s="380">
        <f>IFERROR(VLOOKUP($G1430,'321買'!$A:$G,7,0),"'沒有資料'")</f>
        <v>911</v>
      </c>
      <c r="R1430" s="297">
        <f>IFERROR(RANK(VLOOKUP($G1430,連買!$A:$D,4,0),連買!$D:$D,0),"'沒有資料'")</f>
        <v>255</v>
      </c>
      <c r="S1430" s="66">
        <v>5</v>
      </c>
      <c r="T1430" s="353">
        <f t="shared" si="264"/>
        <v>6.7750677506775075E-2</v>
      </c>
      <c r="U1430" s="57">
        <v>9.3000000000000007</v>
      </c>
      <c r="V1430" s="36">
        <f>RTD("money.excel",,"9945","Price")</f>
        <v>73.8</v>
      </c>
      <c r="W1430" s="66"/>
      <c r="X1430" s="15">
        <f t="shared" si="258"/>
        <v>73.8</v>
      </c>
      <c r="Y1430" s="3" t="e">
        <f t="shared" si="259"/>
        <v>#DIV/0!</v>
      </c>
      <c r="Z1430" s="413" t="s">
        <v>1997</v>
      </c>
      <c r="AA1430" s="161">
        <v>0</v>
      </c>
      <c r="AB1430" s="409">
        <v>0</v>
      </c>
      <c r="AC1430" s="259">
        <f t="shared" si="265"/>
        <v>0</v>
      </c>
      <c r="AD1430" s="22" t="s">
        <v>29</v>
      </c>
      <c r="AG1430" s="33">
        <f t="shared" si="260"/>
        <v>0</v>
      </c>
      <c r="AH1430" s="120" t="s">
        <v>1452</v>
      </c>
      <c r="AI1430" s="63">
        <f t="shared" si="263"/>
        <v>1.9571428571428569E-3</v>
      </c>
      <c r="AJ1430" s="307">
        <f>RTD("money.excel",,$G1430,"PredictVolume")</f>
        <v>4110</v>
      </c>
      <c r="AK1430" s="339"/>
    </row>
    <row r="1431" spans="1:37">
      <c r="A1431" s="416">
        <v>10.3</v>
      </c>
      <c r="B1431" s="91">
        <v>-343</v>
      </c>
      <c r="C1431" s="91">
        <v>-505</v>
      </c>
      <c r="D1431" s="91">
        <v>-43</v>
      </c>
      <c r="E1431" s="91">
        <v>107</v>
      </c>
      <c r="F1431" s="6">
        <v>-5.24</v>
      </c>
      <c r="G1431" s="79">
        <v>9955</v>
      </c>
      <c r="H1431" s="8" t="s">
        <v>2084</v>
      </c>
      <c r="I1431" s="22" t="s">
        <v>710</v>
      </c>
      <c r="J1431" s="73">
        <v>62.7</v>
      </c>
      <c r="K1431" s="73">
        <v>0.36</v>
      </c>
      <c r="L1431" s="73">
        <v>5.31</v>
      </c>
      <c r="N1431" s="318">
        <f t="shared" si="262"/>
        <v>68.37</v>
      </c>
      <c r="O1431" s="81">
        <f>IFERROR(VLOOKUP($G1431,'321買'!A:E,3,0),"'沒有資料'")</f>
        <v>4</v>
      </c>
      <c r="P1431" s="380">
        <f>IFERROR(VLOOKUP($G1431,'321買'!$A:$G,7,0),"'沒有資料'")</f>
        <v>592</v>
      </c>
      <c r="R1431" s="297">
        <f>IFERROR(RANK(VLOOKUP($G1431,連買!$A:$D,4,0),連買!$D:$D,0),"'沒有資料'")</f>
        <v>945</v>
      </c>
      <c r="S1431" s="34">
        <v>0</v>
      </c>
      <c r="T1431" s="353">
        <f t="shared" si="264"/>
        <v>0</v>
      </c>
      <c r="U1431" s="95">
        <v>-1.2</v>
      </c>
      <c r="V1431" s="13">
        <f>RTD("money.excel",,"9955","Price")</f>
        <v>32.549999999999997</v>
      </c>
      <c r="W1431" s="66"/>
      <c r="X1431" s="15">
        <f t="shared" si="258"/>
        <v>32.549999999999997</v>
      </c>
      <c r="Y1431" s="3" t="e">
        <f t="shared" si="259"/>
        <v>#DIV/0!</v>
      </c>
      <c r="AA1431" s="161">
        <v>0</v>
      </c>
      <c r="AB1431" s="409">
        <v>0</v>
      </c>
      <c r="AC1431" s="259">
        <f t="shared" si="265"/>
        <v>0</v>
      </c>
      <c r="AD1431" s="22" t="s">
        <v>710</v>
      </c>
      <c r="AG1431" s="33">
        <f t="shared" si="260"/>
        <v>0</v>
      </c>
      <c r="AH1431" s="43" t="s">
        <v>3015</v>
      </c>
      <c r="AI1431" s="63">
        <f t="shared" si="263"/>
        <v>0.10007766990291263</v>
      </c>
      <c r="AJ1431" s="307">
        <f>RTD("money.excel",,$G1431,"PredictVolume")</f>
        <v>10308</v>
      </c>
      <c r="AK1431" s="339"/>
    </row>
    <row r="1432" spans="1:37">
      <c r="A1432" s="146"/>
      <c r="B1432" s="91"/>
      <c r="C1432" s="91"/>
      <c r="D1432" s="91"/>
      <c r="E1432" s="91"/>
      <c r="F1432" s="6"/>
      <c r="G1432" s="79"/>
      <c r="H1432" s="8"/>
      <c r="I1432" s="22"/>
      <c r="J1432" s="73"/>
      <c r="K1432" s="73"/>
      <c r="N1432" s="318"/>
      <c r="O1432" s="26"/>
      <c r="S1432" s="34"/>
      <c r="U1432" s="95"/>
      <c r="V1432" s="13"/>
      <c r="W1432" s="66"/>
      <c r="X1432" s="15"/>
      <c r="Y1432" s="3"/>
      <c r="AA1432" s="2"/>
      <c r="AD1432" s="22"/>
      <c r="AG1432" s="33"/>
      <c r="AH1432" s="43"/>
      <c r="AI1432" s="8"/>
      <c r="AJ1432" s="50"/>
      <c r="AK1432" s="339"/>
    </row>
    <row r="1433" spans="1:37">
      <c r="A1433" s="130" t="s">
        <v>1732</v>
      </c>
      <c r="B1433" s="91" t="s">
        <v>1588</v>
      </c>
      <c r="C1433" s="91" t="s">
        <v>1589</v>
      </c>
      <c r="D1433" s="91" t="s">
        <v>1590</v>
      </c>
      <c r="E1433" s="91" t="s">
        <v>1591</v>
      </c>
      <c r="F1433" s="8" t="s">
        <v>1066</v>
      </c>
      <c r="G1433" s="27" t="s">
        <v>882</v>
      </c>
      <c r="H1433" s="55" t="s">
        <v>322</v>
      </c>
      <c r="I1433" s="8" t="s">
        <v>881</v>
      </c>
      <c r="J1433" s="317" t="s">
        <v>1467</v>
      </c>
      <c r="K1433" s="317" t="s">
        <v>1157</v>
      </c>
      <c r="L1433" s="317" t="s">
        <v>284</v>
      </c>
      <c r="M1433" s="317" t="s">
        <v>1059</v>
      </c>
      <c r="N1433" s="317" t="s">
        <v>5048</v>
      </c>
      <c r="O1433" s="26" t="s">
        <v>5107</v>
      </c>
      <c r="P1433" s="373" t="s">
        <v>5059</v>
      </c>
      <c r="Q1433" s="245" t="s">
        <v>5087</v>
      </c>
      <c r="R1433" s="345" t="s">
        <v>5059</v>
      </c>
      <c r="S1433" s="10" t="s">
        <v>66</v>
      </c>
      <c r="T1433" s="351" t="s">
        <v>5076</v>
      </c>
      <c r="U1433" s="68" t="s">
        <v>3493</v>
      </c>
      <c r="V1433" s="28" t="s">
        <v>2</v>
      </c>
      <c r="W1433" s="17" t="s">
        <v>1405</v>
      </c>
      <c r="X1433" s="14" t="s">
        <v>5</v>
      </c>
      <c r="Y1433" s="21" t="s">
        <v>3</v>
      </c>
      <c r="Z1433" s="97" t="s">
        <v>6627</v>
      </c>
      <c r="AA1433" s="406" t="s">
        <v>8647</v>
      </c>
      <c r="AB1433" s="407" t="s">
        <v>8648</v>
      </c>
      <c r="AC1433" s="408" t="s">
        <v>8649</v>
      </c>
      <c r="AD1433" s="8" t="s">
        <v>881</v>
      </c>
      <c r="AE1433" s="71" t="s">
        <v>1406</v>
      </c>
      <c r="AF1433" s="72" t="s">
        <v>1163</v>
      </c>
      <c r="AG1433" s="32" t="s">
        <v>1164</v>
      </c>
      <c r="AH1433" s="25" t="s">
        <v>8650</v>
      </c>
      <c r="AI1433" s="8" t="s">
        <v>3852</v>
      </c>
      <c r="AJ1433" s="50" t="s">
        <v>3586</v>
      </c>
      <c r="AK1433" s="339" t="s">
        <v>5038</v>
      </c>
    </row>
    <row r="1434" spans="1:37">
      <c r="A1434" s="415">
        <v>23.2</v>
      </c>
      <c r="B1434" s="79">
        <v>33</v>
      </c>
      <c r="C1434" s="79">
        <v>48</v>
      </c>
      <c r="D1434" s="79">
        <v>4</v>
      </c>
      <c r="E1434" s="79">
        <v>57</v>
      </c>
      <c r="F1434" s="57">
        <v>-4.49</v>
      </c>
      <c r="G1434" s="79">
        <v>1316</v>
      </c>
      <c r="H1434" s="8" t="s">
        <v>881</v>
      </c>
      <c r="I1434" s="22" t="s">
        <v>759</v>
      </c>
      <c r="J1434" s="73">
        <v>46.07</v>
      </c>
      <c r="K1434" s="73">
        <v>10.130000000000001</v>
      </c>
      <c r="L1434" s="323">
        <v>73.209999999999994</v>
      </c>
      <c r="M1434" s="323">
        <v>12.23</v>
      </c>
      <c r="N1434" s="73">
        <f>J1434+K1434+L1434+M1434</f>
        <v>141.63999999999999</v>
      </c>
      <c r="O1434" s="81">
        <f>IFERROR(VLOOKUP($G1434,'321買'!A:E,3,0),"'沒有資料'")</f>
        <v>40</v>
      </c>
      <c r="P1434" s="380">
        <f>IFERROR(VLOOKUP($G1434,'321買'!$A:$G,7,0),"'沒有資料'")</f>
        <v>104</v>
      </c>
      <c r="Q1434" s="245" t="s">
        <v>3816</v>
      </c>
      <c r="R1434" s="297">
        <f>IFERROR(RANK(VLOOKUP($G1434,連買!$A:$D,4,0),連買!$D:$D,0),"'沒有資料'")</f>
        <v>1055</v>
      </c>
      <c r="S1434" s="34">
        <v>0</v>
      </c>
      <c r="T1434" s="353">
        <f t="shared" ref="T1434:T1465" si="266">S1434/V1434</f>
        <v>0</v>
      </c>
      <c r="U1434" s="95">
        <v>-0.2</v>
      </c>
      <c r="V1434" s="36">
        <f>RTD("money.excel",,"1316","Price")</f>
        <v>19.95</v>
      </c>
      <c r="W1434" s="66"/>
      <c r="X1434" s="15">
        <f>V1434-W1434</f>
        <v>19.95</v>
      </c>
      <c r="Y1434" s="3" t="e">
        <f>X1434/W1434</f>
        <v>#DIV/0!</v>
      </c>
      <c r="Z1434" s="413" t="s">
        <v>1801</v>
      </c>
      <c r="AA1434" s="161">
        <v>0</v>
      </c>
      <c r="AB1434" s="409">
        <v>0</v>
      </c>
      <c r="AC1434" s="259">
        <f t="shared" si="265"/>
        <v>0</v>
      </c>
      <c r="AD1434" s="22" t="s">
        <v>759</v>
      </c>
      <c r="AG1434" s="33">
        <f>AF1434-AE1434</f>
        <v>0</v>
      </c>
      <c r="AH1434" s="43" t="s">
        <v>2564</v>
      </c>
      <c r="AI1434" s="63">
        <f t="shared" ref="AI1434:AI1465" si="267">AJ1434/(A1434*10000)</f>
        <v>6.7112068965517243E-3</v>
      </c>
      <c r="AJ1434" s="307">
        <f>RTD("money.excel",,$G1434,"PredictVolume")</f>
        <v>1557</v>
      </c>
      <c r="AK1434" s="339">
        <v>51.04</v>
      </c>
    </row>
    <row r="1435" spans="1:37">
      <c r="A1435" s="415">
        <v>9.56</v>
      </c>
      <c r="B1435" s="91">
        <v>-69</v>
      </c>
      <c r="C1435" s="91">
        <v>-51</v>
      </c>
      <c r="D1435" s="91">
        <v>463</v>
      </c>
      <c r="E1435" s="91">
        <v>-19</v>
      </c>
      <c r="F1435" s="57">
        <v>20.010000000000002</v>
      </c>
      <c r="G1435" s="79">
        <v>1436</v>
      </c>
      <c r="H1435" s="8" t="s">
        <v>881</v>
      </c>
      <c r="I1435" s="22" t="s">
        <v>903</v>
      </c>
      <c r="J1435" s="73">
        <v>89.17</v>
      </c>
      <c r="K1435" s="73">
        <v>7.0000000000000007E-2</v>
      </c>
      <c r="L1435" s="73">
        <v>1.2</v>
      </c>
      <c r="N1435" s="318">
        <f t="shared" ref="N1435:N1497" si="268">J1435+K1435+L1435+M1435</f>
        <v>90.44</v>
      </c>
      <c r="O1435" s="81">
        <f>IFERROR(VLOOKUP($G1435,'321買'!A:E,3,0),"'沒有資料'")</f>
        <v>0</v>
      </c>
      <c r="P1435" s="380">
        <f>IFERROR(VLOOKUP($G1435,'321買'!$A:$G,7,0),"'沒有資料'")</f>
        <v>911</v>
      </c>
      <c r="R1435" s="297">
        <f>IFERROR(RANK(VLOOKUP($G1435,連買!$A:$D,4,0),連買!$D:$D,0),"'沒有資料'")</f>
        <v>646</v>
      </c>
      <c r="S1435" s="34">
        <v>2</v>
      </c>
      <c r="T1435" s="353">
        <f t="shared" si="266"/>
        <v>2.9895366218236172E-2</v>
      </c>
      <c r="U1435" s="95">
        <v>1.88</v>
      </c>
      <c r="V1435" s="36">
        <f>RTD("money.excel",,"1436","Price")</f>
        <v>66.900000000000006</v>
      </c>
      <c r="W1435" s="66"/>
      <c r="X1435" s="15">
        <f t="shared" ref="X1435:X1497" si="269">V1435-W1435</f>
        <v>66.900000000000006</v>
      </c>
      <c r="Y1435" s="3" t="e">
        <f t="shared" ref="Y1435:Y1497" si="270">X1435/W1435</f>
        <v>#DIV/0!</v>
      </c>
      <c r="AA1435" s="161">
        <v>0</v>
      </c>
      <c r="AB1435" s="409">
        <v>0</v>
      </c>
      <c r="AC1435" s="259">
        <f t="shared" si="265"/>
        <v>0</v>
      </c>
      <c r="AD1435" s="22" t="s">
        <v>903</v>
      </c>
      <c r="AG1435" s="33">
        <f t="shared" ref="AG1435:AG1497" si="271">AF1435-AE1435</f>
        <v>0</v>
      </c>
      <c r="AH1435" s="43" t="s">
        <v>1545</v>
      </c>
      <c r="AI1435" s="63">
        <f t="shared" si="267"/>
        <v>8.3682008368200832E-4</v>
      </c>
      <c r="AJ1435" s="307">
        <f>RTD("money.excel",,$G1435,"PredictVolume")</f>
        <v>80</v>
      </c>
      <c r="AK1435" s="339"/>
    </row>
    <row r="1436" spans="1:37">
      <c r="A1436" s="415">
        <v>7.12</v>
      </c>
      <c r="B1436" s="80">
        <v>-81</v>
      </c>
      <c r="C1436" s="80">
        <v>-121</v>
      </c>
      <c r="D1436" s="234">
        <v>61868</v>
      </c>
      <c r="E1436" s="93"/>
      <c r="F1436" s="297">
        <v>-2147</v>
      </c>
      <c r="G1436" s="79">
        <v>1438</v>
      </c>
      <c r="H1436" s="8" t="s">
        <v>881</v>
      </c>
      <c r="I1436" s="22" t="s">
        <v>3226</v>
      </c>
      <c r="J1436" s="73">
        <v>64.11</v>
      </c>
      <c r="K1436" s="323">
        <v>0.57999999999999996</v>
      </c>
      <c r="L1436" s="73">
        <v>4.3899999999999997</v>
      </c>
      <c r="N1436" s="318">
        <f t="shared" si="268"/>
        <v>69.08</v>
      </c>
      <c r="O1436" s="81">
        <f>IFERROR(VLOOKUP($G1436,'321買'!A:E,3,0),"'沒有資料'")</f>
        <v>0</v>
      </c>
      <c r="P1436" s="380">
        <f>IFERROR(VLOOKUP($G1436,'321買'!$A:$G,7,0),"'沒有資料'")</f>
        <v>911</v>
      </c>
      <c r="Q1436" s="245" t="s">
        <v>3815</v>
      </c>
      <c r="R1436" s="297">
        <f>IFERROR(RANK(VLOOKUP($G1436,連買!$A:$D,4,0),連買!$D:$D,0),"'沒有資料'")</f>
        <v>1181</v>
      </c>
      <c r="S1436" s="34">
        <v>0</v>
      </c>
      <c r="T1436" s="353">
        <f t="shared" si="266"/>
        <v>0</v>
      </c>
      <c r="U1436" s="57">
        <v>0.08</v>
      </c>
      <c r="V1436" s="36">
        <f>RTD("money.excel",,"1438","Price")</f>
        <v>32.549999999999997</v>
      </c>
      <c r="W1436" s="66"/>
      <c r="X1436" s="15">
        <f t="shared" si="269"/>
        <v>32.549999999999997</v>
      </c>
      <c r="Y1436" s="3" t="e">
        <f t="shared" si="270"/>
        <v>#DIV/0!</v>
      </c>
      <c r="AA1436" s="161">
        <v>0</v>
      </c>
      <c r="AB1436" s="409">
        <v>0</v>
      </c>
      <c r="AC1436" s="259">
        <f t="shared" si="265"/>
        <v>0</v>
      </c>
      <c r="AD1436" s="22" t="s">
        <v>3226</v>
      </c>
      <c r="AG1436" s="33">
        <f t="shared" si="271"/>
        <v>0</v>
      </c>
      <c r="AH1436" s="43" t="s">
        <v>4327</v>
      </c>
      <c r="AI1436" s="63">
        <f t="shared" si="267"/>
        <v>3.98876404494382E-3</v>
      </c>
      <c r="AJ1436" s="307">
        <f>RTD("money.excel",,$G1436,"PredictVolume")</f>
        <v>284</v>
      </c>
      <c r="AK1436" s="339"/>
    </row>
    <row r="1437" spans="1:37">
      <c r="A1437" s="416">
        <v>36.6</v>
      </c>
      <c r="B1437" s="91">
        <v>-53</v>
      </c>
      <c r="C1437" s="91">
        <v>312</v>
      </c>
      <c r="D1437" s="91">
        <v>-36</v>
      </c>
      <c r="E1437" s="91">
        <v>79</v>
      </c>
      <c r="F1437" s="6">
        <v>4.54</v>
      </c>
      <c r="G1437" s="79">
        <v>1442</v>
      </c>
      <c r="H1437" s="8" t="s">
        <v>881</v>
      </c>
      <c r="I1437" s="22" t="s">
        <v>904</v>
      </c>
      <c r="J1437" s="73">
        <v>68.900000000000006</v>
      </c>
      <c r="K1437" s="73">
        <v>3.36</v>
      </c>
      <c r="L1437" s="73">
        <v>2.27</v>
      </c>
      <c r="N1437" s="318">
        <f t="shared" si="268"/>
        <v>74.53</v>
      </c>
      <c r="O1437" s="81">
        <f>IFERROR(VLOOKUP($G1437,'321買'!A:E,3,0),"'沒有資料'")</f>
        <v>1</v>
      </c>
      <c r="P1437" s="380">
        <f>IFERROR(VLOOKUP($G1437,'321買'!$A:$G,7,0),"'沒有資料'")</f>
        <v>783</v>
      </c>
      <c r="R1437" s="297">
        <f>IFERROR(RANK(VLOOKUP($G1437,連買!$A:$D,4,0),連買!$D:$D,0),"'沒有資料'")</f>
        <v>1179</v>
      </c>
      <c r="S1437" s="34">
        <v>0.5</v>
      </c>
      <c r="T1437" s="353">
        <f t="shared" si="266"/>
        <v>2.1691973969631236E-2</v>
      </c>
      <c r="U1437" s="95">
        <v>0.25</v>
      </c>
      <c r="V1437" s="36">
        <f>RTD("money.excel",,"1442","Price")</f>
        <v>23.05</v>
      </c>
      <c r="W1437" s="66"/>
      <c r="X1437" s="15">
        <f t="shared" si="269"/>
        <v>23.05</v>
      </c>
      <c r="Y1437" s="3" t="e">
        <f t="shared" si="270"/>
        <v>#DIV/0!</v>
      </c>
      <c r="Z1437" s="413" t="s">
        <v>1801</v>
      </c>
      <c r="AA1437" s="161">
        <v>0</v>
      </c>
      <c r="AB1437" s="409">
        <v>0</v>
      </c>
      <c r="AC1437" s="259">
        <f t="shared" si="265"/>
        <v>0</v>
      </c>
      <c r="AD1437" s="22" t="s">
        <v>904</v>
      </c>
      <c r="AG1437" s="33">
        <f t="shared" si="271"/>
        <v>0</v>
      </c>
      <c r="AH1437" s="43" t="s">
        <v>2500</v>
      </c>
      <c r="AI1437" s="63">
        <f t="shared" si="267"/>
        <v>3.1693989071038254E-4</v>
      </c>
      <c r="AJ1437" s="307">
        <f>RTD("money.excel",,$G1437,"PredictVolume")</f>
        <v>116</v>
      </c>
      <c r="AK1437" s="339"/>
    </row>
    <row r="1438" spans="1:37">
      <c r="A1438" s="416">
        <v>10</v>
      </c>
      <c r="B1438" s="91">
        <v>21</v>
      </c>
      <c r="C1438" s="91">
        <v>17</v>
      </c>
      <c r="D1438" s="91">
        <v>-98</v>
      </c>
      <c r="E1438" s="140">
        <v>1297</v>
      </c>
      <c r="F1438" s="6">
        <v>-99.99</v>
      </c>
      <c r="G1438" s="79">
        <v>1805</v>
      </c>
      <c r="H1438" s="8" t="s">
        <v>881</v>
      </c>
      <c r="I1438" s="22" t="s">
        <v>905</v>
      </c>
      <c r="J1438" s="73">
        <v>70.67</v>
      </c>
      <c r="K1438" s="73">
        <v>0.13</v>
      </c>
      <c r="N1438" s="318">
        <f t="shared" si="268"/>
        <v>70.8</v>
      </c>
      <c r="O1438" s="81">
        <f>IFERROR(VLOOKUP($G1438,'321買'!A:E,3,0),"'沒有資料'")</f>
        <v>0</v>
      </c>
      <c r="P1438" s="380">
        <f>IFERROR(VLOOKUP($G1438,'321買'!$A:$G,7,0),"'沒有資料'")</f>
        <v>911</v>
      </c>
      <c r="R1438" s="297">
        <f>IFERROR(RANK(VLOOKUP($G1438,連買!$A:$D,4,0),連買!$D:$D,0),"'沒有資料'")</f>
        <v>1205</v>
      </c>
      <c r="S1438" s="34">
        <v>0</v>
      </c>
      <c r="T1438" s="353">
        <f t="shared" si="266"/>
        <v>0</v>
      </c>
      <c r="U1438" s="95">
        <v>-0.62</v>
      </c>
      <c r="V1438" s="13">
        <f>RTD("money.excel",,"1805","Price")</f>
        <v>13.5</v>
      </c>
      <c r="W1438" s="66"/>
      <c r="X1438" s="15">
        <f t="shared" si="269"/>
        <v>13.5</v>
      </c>
      <c r="Y1438" s="3" t="e">
        <f t="shared" si="270"/>
        <v>#DIV/0!</v>
      </c>
      <c r="AA1438" s="161">
        <v>0</v>
      </c>
      <c r="AB1438" s="409">
        <v>0</v>
      </c>
      <c r="AC1438" s="259">
        <f t="shared" si="265"/>
        <v>0</v>
      </c>
      <c r="AD1438" s="22" t="s">
        <v>905</v>
      </c>
      <c r="AG1438" s="33">
        <f t="shared" si="271"/>
        <v>0</v>
      </c>
      <c r="AH1438" s="43" t="s">
        <v>1546</v>
      </c>
      <c r="AI1438" s="63">
        <f t="shared" si="267"/>
        <v>1.24E-3</v>
      </c>
      <c r="AJ1438" s="307">
        <f>RTD("money.excel",,$G1438,"PredictVolume")</f>
        <v>124</v>
      </c>
      <c r="AK1438" s="339"/>
    </row>
    <row r="1439" spans="1:37">
      <c r="A1439" s="416">
        <v>37</v>
      </c>
      <c r="B1439" s="80">
        <v>-82</v>
      </c>
      <c r="C1439" s="79">
        <v>623</v>
      </c>
      <c r="D1439" s="79">
        <v>65</v>
      </c>
      <c r="E1439" s="79">
        <v>418</v>
      </c>
      <c r="F1439" s="6">
        <v>5.28</v>
      </c>
      <c r="G1439" s="79">
        <v>1808</v>
      </c>
      <c r="H1439" s="8" t="s">
        <v>881</v>
      </c>
      <c r="I1439" s="22" t="s">
        <v>906</v>
      </c>
      <c r="J1439" s="323">
        <v>83.03</v>
      </c>
      <c r="K1439" s="73">
        <v>4.8899999999999997</v>
      </c>
      <c r="L1439" s="323">
        <v>4.8</v>
      </c>
      <c r="N1439" s="318">
        <f t="shared" si="268"/>
        <v>92.72</v>
      </c>
      <c r="O1439" s="81">
        <f>IFERROR(VLOOKUP($G1439,'321買'!A:E,3,0),"'沒有資料'")</f>
        <v>0</v>
      </c>
      <c r="P1439" s="380">
        <f>IFERROR(VLOOKUP($G1439,'321買'!$A:$G,7,0),"'沒有資料'")</f>
        <v>911</v>
      </c>
      <c r="R1439" s="297">
        <f>IFERROR(RANK(VLOOKUP($G1439,連買!$A:$D,4,0),連買!$D:$D,0),"'沒有資料'")</f>
        <v>795</v>
      </c>
      <c r="S1439" s="34">
        <v>0.8</v>
      </c>
      <c r="T1439" s="353">
        <f t="shared" si="266"/>
        <v>1.3769363166953529E-2</v>
      </c>
      <c r="U1439" s="57">
        <v>0.35</v>
      </c>
      <c r="V1439" s="36">
        <f>RTD("money.excel",,"1808","Price")</f>
        <v>58.1</v>
      </c>
      <c r="W1439" s="66"/>
      <c r="X1439" s="15">
        <f t="shared" si="269"/>
        <v>58.1</v>
      </c>
      <c r="Y1439" s="3" t="e">
        <f t="shared" si="270"/>
        <v>#DIV/0!</v>
      </c>
      <c r="Z1439" s="413" t="s">
        <v>1801</v>
      </c>
      <c r="AA1439" s="161">
        <v>0</v>
      </c>
      <c r="AB1439" s="409">
        <v>0</v>
      </c>
      <c r="AC1439" s="259">
        <f t="shared" si="265"/>
        <v>0</v>
      </c>
      <c r="AD1439" s="22" t="s">
        <v>906</v>
      </c>
      <c r="AG1439" s="33">
        <f t="shared" si="271"/>
        <v>0</v>
      </c>
      <c r="AH1439" s="43" t="s">
        <v>3499</v>
      </c>
      <c r="AI1439" s="63">
        <f t="shared" si="267"/>
        <v>2.3243243243243245E-4</v>
      </c>
      <c r="AJ1439" s="307">
        <f>RTD("money.excel",,$G1439,"PredictVolume")</f>
        <v>86</v>
      </c>
      <c r="AK1439" s="339"/>
    </row>
    <row r="1440" spans="1:37">
      <c r="A1440" s="416">
        <v>115</v>
      </c>
      <c r="B1440" s="80">
        <v>-85</v>
      </c>
      <c r="C1440" s="80">
        <v>-109</v>
      </c>
      <c r="D1440" s="80">
        <v>-7</v>
      </c>
      <c r="E1440" s="79">
        <v>257</v>
      </c>
      <c r="F1440" s="6">
        <v>-1.69</v>
      </c>
      <c r="G1440" s="79">
        <v>2501</v>
      </c>
      <c r="H1440" s="8" t="s">
        <v>881</v>
      </c>
      <c r="I1440" s="22" t="s">
        <v>907</v>
      </c>
      <c r="J1440" s="73">
        <v>82.94</v>
      </c>
      <c r="K1440" s="73">
        <v>8.6</v>
      </c>
      <c r="L1440" s="73">
        <v>0.69</v>
      </c>
      <c r="N1440" s="318">
        <f t="shared" si="268"/>
        <v>92.22999999999999</v>
      </c>
      <c r="O1440" s="81">
        <f>IFERROR(VLOOKUP($G1440,'321買'!A:E,3,0),"'沒有資料'")</f>
        <v>0</v>
      </c>
      <c r="P1440" s="380">
        <f>IFERROR(VLOOKUP($G1440,'321買'!$A:$G,7,0),"'沒有資料'")</f>
        <v>911</v>
      </c>
      <c r="R1440" s="297">
        <f>IFERROR(RANK(VLOOKUP($G1440,連買!$A:$D,4,0),連買!$D:$D,0),"'沒有資料'")</f>
        <v>1490</v>
      </c>
      <c r="S1440" s="34">
        <v>1</v>
      </c>
      <c r="T1440" s="353">
        <f t="shared" si="266"/>
        <v>5.3333333333333337E-2</v>
      </c>
      <c r="U1440" s="95">
        <v>1.28</v>
      </c>
      <c r="V1440" s="36">
        <f>RTD("money.excel",,"2501","Price")</f>
        <v>18.75</v>
      </c>
      <c r="W1440" s="66"/>
      <c r="X1440" s="15">
        <f t="shared" si="269"/>
        <v>18.75</v>
      </c>
      <c r="Y1440" s="3" t="e">
        <f t="shared" si="270"/>
        <v>#DIV/0!</v>
      </c>
      <c r="Z1440" s="413" t="s">
        <v>1801</v>
      </c>
      <c r="AA1440" s="161">
        <v>0</v>
      </c>
      <c r="AB1440" s="409">
        <v>0</v>
      </c>
      <c r="AC1440" s="259">
        <f t="shared" si="265"/>
        <v>0</v>
      </c>
      <c r="AD1440" s="22" t="s">
        <v>907</v>
      </c>
      <c r="AG1440" s="33">
        <f t="shared" si="271"/>
        <v>0</v>
      </c>
      <c r="AH1440" s="43" t="s">
        <v>1428</v>
      </c>
      <c r="AI1440" s="63">
        <f t="shared" si="267"/>
        <v>9.2173913043478266E-5</v>
      </c>
      <c r="AJ1440" s="307">
        <f>RTD("money.excel",,$G1440,"PredictVolume")</f>
        <v>106</v>
      </c>
      <c r="AK1440" s="339"/>
    </row>
    <row r="1441" spans="1:37">
      <c r="A1441" s="415">
        <v>118</v>
      </c>
      <c r="B1441" s="79">
        <v>25</v>
      </c>
      <c r="C1441" s="79">
        <v>60</v>
      </c>
      <c r="D1441" s="79">
        <v>8</v>
      </c>
      <c r="E1441" s="79">
        <v>8</v>
      </c>
      <c r="F1441" s="57">
        <v>13.91</v>
      </c>
      <c r="G1441" s="79">
        <v>2504</v>
      </c>
      <c r="H1441" s="8" t="s">
        <v>881</v>
      </c>
      <c r="I1441" s="22" t="s">
        <v>908</v>
      </c>
      <c r="J1441" s="73">
        <v>65.290000000000006</v>
      </c>
      <c r="K1441" s="73">
        <v>11.68</v>
      </c>
      <c r="L1441" s="73">
        <v>7.34</v>
      </c>
      <c r="N1441" s="318">
        <f t="shared" si="268"/>
        <v>84.31</v>
      </c>
      <c r="O1441" s="81">
        <f>IFERROR(VLOOKUP($G1441,'321買'!A:E,3,0),"'沒有資料'")</f>
        <v>1</v>
      </c>
      <c r="P1441" s="380">
        <f>IFERROR(VLOOKUP($G1441,'321買'!$A:$G,7,0),"'沒有資料'")</f>
        <v>783</v>
      </c>
      <c r="R1441" s="297">
        <f>IFERROR(RANK(VLOOKUP($G1441,連買!$A:$D,4,0),連買!$D:$D,0),"'沒有資料'")</f>
        <v>505</v>
      </c>
      <c r="S1441" s="34">
        <v>1.5</v>
      </c>
      <c r="T1441" s="353">
        <f t="shared" si="266"/>
        <v>4.6801872074882997E-2</v>
      </c>
      <c r="U1441" s="57">
        <v>2.23</v>
      </c>
      <c r="V1441" s="36">
        <f>RTD("money.excel",,"2504","Price")</f>
        <v>32.049999999999997</v>
      </c>
      <c r="W1441" s="66"/>
      <c r="X1441" s="15">
        <f t="shared" si="269"/>
        <v>32.049999999999997</v>
      </c>
      <c r="Y1441" s="3" t="e">
        <f t="shared" si="270"/>
        <v>#DIV/0!</v>
      </c>
      <c r="Z1441" s="413" t="s">
        <v>1801</v>
      </c>
      <c r="AA1441" s="161">
        <v>0</v>
      </c>
      <c r="AB1441" s="409">
        <v>0</v>
      </c>
      <c r="AC1441" s="259">
        <f t="shared" si="265"/>
        <v>0</v>
      </c>
      <c r="AD1441" s="22" t="s">
        <v>908</v>
      </c>
      <c r="AG1441" s="33">
        <f t="shared" si="271"/>
        <v>0</v>
      </c>
      <c r="AH1441" s="43" t="s">
        <v>2081</v>
      </c>
      <c r="AI1441" s="63">
        <f t="shared" si="267"/>
        <v>7.3576271186440679E-3</v>
      </c>
      <c r="AJ1441" s="307">
        <f>RTD("money.excel",,$G1441,"PredictVolume")</f>
        <v>8682</v>
      </c>
      <c r="AK1441" s="339"/>
    </row>
    <row r="1442" spans="1:37">
      <c r="A1442" s="415">
        <v>38</v>
      </c>
      <c r="B1442" s="93">
        <v>1204</v>
      </c>
      <c r="C1442" s="93">
        <v>2288</v>
      </c>
      <c r="D1442" s="80">
        <v>-65</v>
      </c>
      <c r="E1442" s="79">
        <v>849</v>
      </c>
      <c r="F1442" s="57">
        <v>18.52</v>
      </c>
      <c r="G1442" s="79">
        <v>2505</v>
      </c>
      <c r="H1442" s="8" t="s">
        <v>881</v>
      </c>
      <c r="I1442" s="22" t="s">
        <v>909</v>
      </c>
      <c r="J1442" s="323">
        <v>65.02</v>
      </c>
      <c r="K1442" s="323">
        <v>6.29</v>
      </c>
      <c r="L1442" s="323">
        <v>8.3000000000000007</v>
      </c>
      <c r="N1442" s="318">
        <f t="shared" si="268"/>
        <v>79.61</v>
      </c>
      <c r="O1442" s="81">
        <f>IFERROR(VLOOKUP($G1442,'321買'!A:E,3,0),"'沒有資料'")</f>
        <v>0</v>
      </c>
      <c r="P1442" s="380">
        <f>IFERROR(VLOOKUP($G1442,'321買'!$A:$G,7,0),"'沒有資料'")</f>
        <v>911</v>
      </c>
      <c r="R1442" s="297">
        <f>IFERROR(RANK(VLOOKUP($G1442,連買!$A:$D,4,0),連買!$D:$D,0),"'沒有資料'")</f>
        <v>1669</v>
      </c>
      <c r="S1442" s="34">
        <v>0.5</v>
      </c>
      <c r="T1442" s="353">
        <f t="shared" si="266"/>
        <v>2.247191011235955E-2</v>
      </c>
      <c r="U1442" s="57">
        <v>8.76</v>
      </c>
      <c r="V1442" s="36">
        <f>RTD("money.excel",,"2505","Price")</f>
        <v>22.25</v>
      </c>
      <c r="W1442" s="66"/>
      <c r="X1442" s="15">
        <f t="shared" si="269"/>
        <v>22.25</v>
      </c>
      <c r="Y1442" s="3" t="e">
        <f t="shared" si="270"/>
        <v>#DIV/0!</v>
      </c>
      <c r="Z1442" s="413" t="s">
        <v>1801</v>
      </c>
      <c r="AA1442" s="161">
        <v>0</v>
      </c>
      <c r="AB1442" s="409">
        <v>0</v>
      </c>
      <c r="AC1442" s="259">
        <f t="shared" si="265"/>
        <v>0</v>
      </c>
      <c r="AD1442" s="22" t="s">
        <v>909</v>
      </c>
      <c r="AG1442" s="33">
        <f t="shared" si="271"/>
        <v>0</v>
      </c>
      <c r="AH1442" s="43" t="s">
        <v>2150</v>
      </c>
      <c r="AI1442" s="63">
        <f t="shared" si="267"/>
        <v>4.5789473684210527E-4</v>
      </c>
      <c r="AJ1442" s="307">
        <f>RTD("money.excel",,$G1442,"PredictVolume")</f>
        <v>174</v>
      </c>
      <c r="AK1442" s="339"/>
    </row>
    <row r="1443" spans="1:37">
      <c r="A1443" s="416">
        <v>38.700000000000003</v>
      </c>
      <c r="B1443" s="206">
        <v>-1822</v>
      </c>
      <c r="C1443" s="91">
        <v>-870</v>
      </c>
      <c r="D1443" s="91">
        <v>224</v>
      </c>
      <c r="E1443" s="91">
        <v>858</v>
      </c>
      <c r="F1443" s="6">
        <v>-9.3800000000000008</v>
      </c>
      <c r="G1443" s="79">
        <v>2506</v>
      </c>
      <c r="H1443" s="8" t="s">
        <v>881</v>
      </c>
      <c r="I1443" s="22" t="s">
        <v>910</v>
      </c>
      <c r="J1443" s="73">
        <v>79.41</v>
      </c>
      <c r="K1443" s="73">
        <v>3.33</v>
      </c>
      <c r="L1443" s="73">
        <v>3.22</v>
      </c>
      <c r="N1443" s="318">
        <f t="shared" si="268"/>
        <v>85.96</v>
      </c>
      <c r="O1443" s="81">
        <f>IFERROR(VLOOKUP($G1443,'321買'!A:E,3,0),"'沒有資料'")</f>
        <v>0</v>
      </c>
      <c r="P1443" s="380">
        <f>IFERROR(VLOOKUP($G1443,'321買'!$A:$G,7,0),"'沒有資料'")</f>
        <v>911</v>
      </c>
      <c r="R1443" s="297">
        <f>IFERROR(RANK(VLOOKUP($G1443,連買!$A:$D,4,0),連買!$D:$D,0),"'沒有資料'")</f>
        <v>1523</v>
      </c>
      <c r="S1443" s="34">
        <v>0.4</v>
      </c>
      <c r="T1443" s="353">
        <f t="shared" si="266"/>
        <v>4.3149946062567425E-2</v>
      </c>
      <c r="U1443" s="95">
        <v>-0.15</v>
      </c>
      <c r="V1443" s="13">
        <f>RTD("money.excel",,"2506","Price")</f>
        <v>9.27</v>
      </c>
      <c r="W1443" s="66"/>
      <c r="X1443" s="15">
        <f t="shared" si="269"/>
        <v>9.27</v>
      </c>
      <c r="Y1443" s="3" t="e">
        <f t="shared" si="270"/>
        <v>#DIV/0!</v>
      </c>
      <c r="AA1443" s="161">
        <v>0</v>
      </c>
      <c r="AB1443" s="409">
        <v>0</v>
      </c>
      <c r="AC1443" s="259">
        <f t="shared" si="265"/>
        <v>0</v>
      </c>
      <c r="AD1443" s="22" t="s">
        <v>910</v>
      </c>
      <c r="AG1443" s="33">
        <f t="shared" si="271"/>
        <v>0</v>
      </c>
      <c r="AH1443" s="43" t="s">
        <v>1547</v>
      </c>
      <c r="AI1443" s="63">
        <f t="shared" si="267"/>
        <v>1.2919896640826872E-4</v>
      </c>
      <c r="AJ1443" s="307">
        <f>RTD("money.excel",,$G1443,"PredictVolume")</f>
        <v>50</v>
      </c>
      <c r="AK1443" s="339"/>
    </row>
    <row r="1444" spans="1:37">
      <c r="A1444" s="415">
        <v>22.4</v>
      </c>
      <c r="B1444" s="91">
        <v>-83</v>
      </c>
      <c r="C1444" s="91">
        <v>-67</v>
      </c>
      <c r="D1444" s="91">
        <v>-84</v>
      </c>
      <c r="E1444" s="91">
        <v>39</v>
      </c>
      <c r="F1444" s="57">
        <v>21.26</v>
      </c>
      <c r="G1444" s="79">
        <v>2509</v>
      </c>
      <c r="H1444" s="8" t="s">
        <v>881</v>
      </c>
      <c r="I1444" s="22" t="s">
        <v>911</v>
      </c>
      <c r="J1444" s="73">
        <v>83.69</v>
      </c>
      <c r="K1444" s="73">
        <v>1.61</v>
      </c>
      <c r="L1444" s="73">
        <v>20.170000000000002</v>
      </c>
      <c r="N1444" s="318">
        <f t="shared" si="268"/>
        <v>105.47</v>
      </c>
      <c r="O1444" s="81">
        <f>IFERROR(VLOOKUP($G1444,'321買'!A:E,3,0),"'沒有資料'")</f>
        <v>0</v>
      </c>
      <c r="P1444" s="380">
        <f>IFERROR(VLOOKUP($G1444,'321買'!$A:$G,7,0),"'沒有資料'")</f>
        <v>911</v>
      </c>
      <c r="R1444" s="297">
        <f>IFERROR(RANK(VLOOKUP($G1444,連買!$A:$D,4,0),連買!$D:$D,0),"'沒有資料'")</f>
        <v>1112</v>
      </c>
      <c r="S1444" s="34">
        <v>1.2</v>
      </c>
      <c r="T1444" s="353">
        <f t="shared" si="266"/>
        <v>7.29483282674772E-2</v>
      </c>
      <c r="U1444" s="95">
        <v>1.08</v>
      </c>
      <c r="V1444" s="13">
        <f>RTD("money.excel",,"2509","Price")</f>
        <v>16.45</v>
      </c>
      <c r="W1444" s="66"/>
      <c r="X1444" s="15">
        <f t="shared" si="269"/>
        <v>16.45</v>
      </c>
      <c r="Y1444" s="3" t="e">
        <f t="shared" si="270"/>
        <v>#DIV/0!</v>
      </c>
      <c r="AA1444" s="161">
        <v>0</v>
      </c>
      <c r="AB1444" s="409">
        <v>0</v>
      </c>
      <c r="AC1444" s="259">
        <f t="shared" si="265"/>
        <v>0</v>
      </c>
      <c r="AD1444" s="22" t="s">
        <v>911</v>
      </c>
      <c r="AG1444" s="33">
        <f t="shared" si="271"/>
        <v>0</v>
      </c>
      <c r="AH1444" s="43" t="s">
        <v>2150</v>
      </c>
      <c r="AI1444" s="63">
        <f t="shared" si="267"/>
        <v>3.7946428571428571E-4</v>
      </c>
      <c r="AJ1444" s="307">
        <f>RTD("money.excel",,$G1444,"PredictVolume")</f>
        <v>85</v>
      </c>
      <c r="AK1444" s="339"/>
    </row>
    <row r="1445" spans="1:37">
      <c r="A1445" s="416">
        <v>162</v>
      </c>
      <c r="B1445" s="80">
        <v>-90</v>
      </c>
      <c r="C1445" s="80">
        <v>-125</v>
      </c>
      <c r="D1445" s="80">
        <v>-13</v>
      </c>
      <c r="E1445" s="79">
        <v>19</v>
      </c>
      <c r="F1445" s="6">
        <v>-2.97</v>
      </c>
      <c r="G1445" s="79">
        <v>2511</v>
      </c>
      <c r="H1445" s="8" t="s">
        <v>881</v>
      </c>
      <c r="I1445" s="22" t="s">
        <v>912</v>
      </c>
      <c r="J1445" s="73">
        <v>73.34</v>
      </c>
      <c r="K1445" s="73">
        <v>8.49</v>
      </c>
      <c r="L1445" s="73">
        <v>1.08</v>
      </c>
      <c r="N1445" s="318">
        <f t="shared" si="268"/>
        <v>82.91</v>
      </c>
      <c r="O1445" s="81">
        <f>IFERROR(VLOOKUP($G1445,'321買'!A:E,3,0),"'沒有資料'")</f>
        <v>0</v>
      </c>
      <c r="P1445" s="380">
        <f>IFERROR(VLOOKUP($G1445,'321買'!$A:$G,7,0),"'沒有資料'")</f>
        <v>911</v>
      </c>
      <c r="R1445" s="297">
        <f>IFERROR(RANK(VLOOKUP($G1445,連買!$A:$D,4,0),連買!$D:$D,0),"'沒有資料'")</f>
        <v>1064</v>
      </c>
      <c r="S1445" s="34">
        <v>0.4</v>
      </c>
      <c r="T1445" s="353">
        <f t="shared" si="266"/>
        <v>3.0651340996168581E-2</v>
      </c>
      <c r="U1445" s="95">
        <v>0.49</v>
      </c>
      <c r="V1445" s="36">
        <f>RTD("money.excel",,"2511","Price")</f>
        <v>13.05</v>
      </c>
      <c r="W1445" s="66"/>
      <c r="X1445" s="15">
        <f t="shared" si="269"/>
        <v>13.05</v>
      </c>
      <c r="Y1445" s="3" t="e">
        <f t="shared" si="270"/>
        <v>#DIV/0!</v>
      </c>
      <c r="Z1445" s="413" t="s">
        <v>1801</v>
      </c>
      <c r="AA1445" s="161">
        <v>0</v>
      </c>
      <c r="AB1445" s="409">
        <v>0</v>
      </c>
      <c r="AC1445" s="259">
        <f t="shared" si="265"/>
        <v>0</v>
      </c>
      <c r="AD1445" s="22" t="s">
        <v>912</v>
      </c>
      <c r="AG1445" s="33">
        <f t="shared" si="271"/>
        <v>0</v>
      </c>
      <c r="AH1445" s="43" t="s">
        <v>1549</v>
      </c>
      <c r="AI1445" s="63">
        <f t="shared" si="267"/>
        <v>3.1172839506172839E-4</v>
      </c>
      <c r="AJ1445" s="307">
        <f>RTD("money.excel",,$G1445,"PredictVolume")</f>
        <v>505</v>
      </c>
      <c r="AK1445" s="339"/>
    </row>
    <row r="1446" spans="1:37">
      <c r="A1446" s="416">
        <v>22.6</v>
      </c>
      <c r="B1446" s="206">
        <v>-3703</v>
      </c>
      <c r="C1446" s="206">
        <v>-1739</v>
      </c>
      <c r="D1446" s="91">
        <v>-4</v>
      </c>
      <c r="E1446" s="91">
        <v>177</v>
      </c>
      <c r="F1446" s="6">
        <v>-0.52</v>
      </c>
      <c r="G1446" s="79">
        <v>2516</v>
      </c>
      <c r="H1446" s="8" t="s">
        <v>881</v>
      </c>
      <c r="I1446" s="22" t="s">
        <v>913</v>
      </c>
      <c r="J1446" s="73">
        <v>61.08</v>
      </c>
      <c r="K1446" s="73">
        <v>2.15</v>
      </c>
      <c r="L1446" s="73">
        <v>14.64</v>
      </c>
      <c r="N1446" s="318">
        <f t="shared" si="268"/>
        <v>77.87</v>
      </c>
      <c r="O1446" s="81">
        <f>IFERROR(VLOOKUP($G1446,'321買'!A:E,3,0),"'沒有資料'")</f>
        <v>0</v>
      </c>
      <c r="P1446" s="380">
        <f>IFERROR(VLOOKUP($G1446,'321買'!$A:$G,7,0),"'沒有資料'")</f>
        <v>911</v>
      </c>
      <c r="R1446" s="297">
        <f>IFERROR(RANK(VLOOKUP($G1446,連買!$A:$D,4,0),連買!$D:$D,0),"'沒有資料'")</f>
        <v>1349</v>
      </c>
      <c r="S1446" s="34">
        <v>0</v>
      </c>
      <c r="T1446" s="353">
        <f t="shared" si="266"/>
        <v>0</v>
      </c>
      <c r="U1446" s="95">
        <v>-3.11</v>
      </c>
      <c r="V1446" s="13">
        <f>RTD("money.excel",,"2516","Price")</f>
        <v>5.88</v>
      </c>
      <c r="W1446" s="66"/>
      <c r="X1446" s="15">
        <f t="shared" si="269"/>
        <v>5.88</v>
      </c>
      <c r="Y1446" s="3" t="e">
        <f t="shared" si="270"/>
        <v>#DIV/0!</v>
      </c>
      <c r="AA1446" s="161">
        <v>0</v>
      </c>
      <c r="AB1446" s="409">
        <v>0</v>
      </c>
      <c r="AC1446" s="259">
        <f t="shared" si="265"/>
        <v>0</v>
      </c>
      <c r="AD1446" s="22" t="s">
        <v>913</v>
      </c>
      <c r="AG1446" s="33">
        <f t="shared" si="271"/>
        <v>0</v>
      </c>
      <c r="AH1446" s="43" t="s">
        <v>1551</v>
      </c>
      <c r="AI1446" s="63">
        <f t="shared" si="267"/>
        <v>5.8849557522123899E-4</v>
      </c>
      <c r="AJ1446" s="307">
        <f>RTD("money.excel",,$G1446,"PredictVolume")</f>
        <v>133</v>
      </c>
      <c r="AK1446" s="339"/>
    </row>
    <row r="1447" spans="1:37">
      <c r="A1447" s="415">
        <v>55.4</v>
      </c>
      <c r="B1447" s="79">
        <v>91</v>
      </c>
      <c r="C1447" s="79">
        <v>80</v>
      </c>
      <c r="D1447" s="80">
        <v>-11</v>
      </c>
      <c r="E1447" s="80">
        <v>-51</v>
      </c>
      <c r="F1447" s="57">
        <v>19.5</v>
      </c>
      <c r="G1447" s="79">
        <v>2520</v>
      </c>
      <c r="H1447" s="8" t="s">
        <v>881</v>
      </c>
      <c r="I1447" s="22" t="s">
        <v>914</v>
      </c>
      <c r="J1447" s="323">
        <v>64.7</v>
      </c>
      <c r="K1447" s="73">
        <v>21.31</v>
      </c>
      <c r="L1447" s="323">
        <v>5.65</v>
      </c>
      <c r="N1447" s="318">
        <f t="shared" si="268"/>
        <v>91.660000000000011</v>
      </c>
      <c r="O1447" s="81">
        <f>IFERROR(VLOOKUP($G1447,'321買'!A:E,3,0),"'沒有資料'")</f>
        <v>3</v>
      </c>
      <c r="P1447" s="380">
        <f>IFERROR(VLOOKUP($G1447,'321買'!$A:$G,7,0),"'沒有資料'")</f>
        <v>636</v>
      </c>
      <c r="R1447" s="297">
        <f>IFERROR(RANK(VLOOKUP($G1447,連買!$A:$D,4,0),連買!$D:$D,0),"'沒有資料'")</f>
        <v>1136</v>
      </c>
      <c r="S1447" s="66">
        <v>3.4</v>
      </c>
      <c r="T1447" s="353">
        <f t="shared" si="266"/>
        <v>9.7281831187410572E-2</v>
      </c>
      <c r="U1447" s="57">
        <v>9.1300000000000008</v>
      </c>
      <c r="V1447" s="36">
        <f>RTD("money.excel",,"2520","Price")</f>
        <v>34.950000000000003</v>
      </c>
      <c r="W1447" s="66"/>
      <c r="X1447" s="15">
        <f t="shared" si="269"/>
        <v>34.950000000000003</v>
      </c>
      <c r="Y1447" s="3" t="e">
        <f t="shared" si="270"/>
        <v>#DIV/0!</v>
      </c>
      <c r="Z1447" s="413" t="s">
        <v>1997</v>
      </c>
      <c r="AA1447" s="161">
        <v>0</v>
      </c>
      <c r="AB1447" s="409">
        <v>0</v>
      </c>
      <c r="AC1447" s="259">
        <f t="shared" si="265"/>
        <v>0</v>
      </c>
      <c r="AD1447" s="22" t="s">
        <v>914</v>
      </c>
      <c r="AG1447" s="33">
        <f t="shared" si="271"/>
        <v>0</v>
      </c>
      <c r="AH1447" s="43" t="s">
        <v>2150</v>
      </c>
      <c r="AI1447" s="63">
        <f t="shared" si="267"/>
        <v>9.458483754512635E-4</v>
      </c>
      <c r="AJ1447" s="307">
        <f>RTD("money.excel",,$G1447,"PredictVolume")</f>
        <v>524</v>
      </c>
      <c r="AK1447" s="339"/>
    </row>
    <row r="1448" spans="1:37">
      <c r="A1448" s="415">
        <v>37.1</v>
      </c>
      <c r="B1448" s="79">
        <v>4</v>
      </c>
      <c r="C1448" s="79">
        <v>15</v>
      </c>
      <c r="D1448" s="80">
        <v>-19</v>
      </c>
      <c r="E1448" s="80">
        <v>-1</v>
      </c>
      <c r="F1448" s="57">
        <v>25.57</v>
      </c>
      <c r="G1448" s="79">
        <v>2524</v>
      </c>
      <c r="H1448" s="8" t="s">
        <v>881</v>
      </c>
      <c r="I1448" s="22" t="s">
        <v>915</v>
      </c>
      <c r="J1448" s="323">
        <v>89.48</v>
      </c>
      <c r="K1448" s="73">
        <v>1.91</v>
      </c>
      <c r="L1448" s="73">
        <v>7.63</v>
      </c>
      <c r="N1448" s="318">
        <f t="shared" si="268"/>
        <v>99.02</v>
      </c>
      <c r="O1448" s="81">
        <f>IFERROR(VLOOKUP($G1448,'321買'!A:E,3,0),"'沒有資料'")</f>
        <v>0</v>
      </c>
      <c r="P1448" s="380">
        <f>IFERROR(VLOOKUP($G1448,'321買'!$A:$G,7,0),"'沒有資料'")</f>
        <v>911</v>
      </c>
      <c r="R1448" s="297">
        <f>IFERROR(RANK(VLOOKUP($G1448,連買!$A:$D,4,0),連買!$D:$D,0),"'沒有資料'")</f>
        <v>1305</v>
      </c>
      <c r="S1448" s="34">
        <v>0</v>
      </c>
      <c r="T1448" s="353">
        <f t="shared" si="266"/>
        <v>0</v>
      </c>
      <c r="U1448" s="95">
        <v>4.46</v>
      </c>
      <c r="V1448" s="36">
        <f>RTD("money.excel",,"2524","Price")</f>
        <v>35.549999999999997</v>
      </c>
      <c r="W1448" s="66"/>
      <c r="X1448" s="15">
        <f t="shared" si="269"/>
        <v>35.549999999999997</v>
      </c>
      <c r="Y1448" s="3" t="e">
        <f t="shared" si="270"/>
        <v>#DIV/0!</v>
      </c>
      <c r="AA1448" s="161">
        <v>0</v>
      </c>
      <c r="AB1448" s="409">
        <v>0</v>
      </c>
      <c r="AC1448" s="259">
        <f t="shared" si="265"/>
        <v>0</v>
      </c>
      <c r="AD1448" s="22" t="s">
        <v>915</v>
      </c>
      <c r="AG1448" s="33">
        <f t="shared" si="271"/>
        <v>0</v>
      </c>
      <c r="AH1448" s="43" t="s">
        <v>2150</v>
      </c>
      <c r="AI1448" s="63">
        <f t="shared" si="267"/>
        <v>2.5067385444743937E-4</v>
      </c>
      <c r="AJ1448" s="307">
        <f>RTD("money.excel",,$G1448,"PredictVolume")</f>
        <v>93</v>
      </c>
      <c r="AK1448" s="339"/>
    </row>
    <row r="1449" spans="1:37">
      <c r="A1449" s="415">
        <v>27</v>
      </c>
      <c r="B1449" s="91">
        <v>-65</v>
      </c>
      <c r="C1449" s="91">
        <v>-71</v>
      </c>
      <c r="D1449" s="91">
        <v>13</v>
      </c>
      <c r="E1449" s="91">
        <v>233</v>
      </c>
      <c r="F1449" s="57">
        <v>10.59</v>
      </c>
      <c r="G1449" s="79">
        <v>2527</v>
      </c>
      <c r="H1449" s="8" t="s">
        <v>881</v>
      </c>
      <c r="I1449" s="22" t="s">
        <v>916</v>
      </c>
      <c r="J1449" s="73">
        <v>84.14</v>
      </c>
      <c r="K1449" s="73">
        <v>26.09</v>
      </c>
      <c r="L1449" s="73">
        <v>10.029999999999999</v>
      </c>
      <c r="N1449" s="318">
        <f t="shared" si="268"/>
        <v>120.26</v>
      </c>
      <c r="O1449" s="81">
        <f>IFERROR(VLOOKUP($G1449,'321買'!A:E,3,0),"'沒有資料'")</f>
        <v>4</v>
      </c>
      <c r="P1449" s="380">
        <f>IFERROR(VLOOKUP($G1449,'321買'!$A:$G,7,0),"'沒有資料'")</f>
        <v>592</v>
      </c>
      <c r="R1449" s="297">
        <f>IFERROR(RANK(VLOOKUP($G1449,連買!$A:$D,4,0),連買!$D:$D,0),"'沒有資料'")</f>
        <v>610</v>
      </c>
      <c r="S1449" s="34">
        <v>1.4</v>
      </c>
      <c r="T1449" s="353">
        <f t="shared" si="266"/>
        <v>4.7781569965870303E-2</v>
      </c>
      <c r="U1449" s="95">
        <v>1.49</v>
      </c>
      <c r="V1449" s="13">
        <f>RTD("money.excel",,"2527","Price")</f>
        <v>29.3</v>
      </c>
      <c r="W1449" s="66"/>
      <c r="X1449" s="15">
        <f t="shared" si="269"/>
        <v>29.3</v>
      </c>
      <c r="Y1449" s="3" t="e">
        <f t="shared" si="270"/>
        <v>#DIV/0!</v>
      </c>
      <c r="AA1449" s="161">
        <v>0</v>
      </c>
      <c r="AB1449" s="409">
        <v>0</v>
      </c>
      <c r="AC1449" s="259">
        <f t="shared" si="265"/>
        <v>0</v>
      </c>
      <c r="AD1449" s="22" t="s">
        <v>916</v>
      </c>
      <c r="AG1449" s="33">
        <f t="shared" si="271"/>
        <v>0</v>
      </c>
      <c r="AH1449" s="43" t="s">
        <v>1552</v>
      </c>
      <c r="AI1449" s="63">
        <f t="shared" si="267"/>
        <v>6.9999999999999999E-4</v>
      </c>
      <c r="AJ1449" s="307">
        <f>RTD("money.excel",,$G1449,"PredictVolume")</f>
        <v>189</v>
      </c>
      <c r="AK1449" s="339"/>
    </row>
    <row r="1450" spans="1:37">
      <c r="A1450" s="416">
        <v>33</v>
      </c>
      <c r="B1450" s="91">
        <v>-638</v>
      </c>
      <c r="C1450" s="91">
        <v>-202</v>
      </c>
      <c r="D1450" s="91">
        <v>-62</v>
      </c>
      <c r="E1450" s="140">
        <v>1242</v>
      </c>
      <c r="F1450" s="6">
        <v>-11.73</v>
      </c>
      <c r="G1450" s="79">
        <v>2528</v>
      </c>
      <c r="H1450" s="8" t="s">
        <v>881</v>
      </c>
      <c r="I1450" s="22" t="s">
        <v>917</v>
      </c>
      <c r="J1450" s="73">
        <v>85.14</v>
      </c>
      <c r="K1450" s="73">
        <v>0.04</v>
      </c>
      <c r="L1450" s="73">
        <v>1.68</v>
      </c>
      <c r="N1450" s="318">
        <f t="shared" si="268"/>
        <v>86.860000000000014</v>
      </c>
      <c r="O1450" s="81">
        <f>IFERROR(VLOOKUP($G1450,'321買'!A:E,3,0),"'沒有資料'")</f>
        <v>0</v>
      </c>
      <c r="P1450" s="380">
        <f>IFERROR(VLOOKUP($G1450,'321買'!$A:$G,7,0),"'沒有資料'")</f>
        <v>911</v>
      </c>
      <c r="R1450" s="297">
        <f>IFERROR(RANK(VLOOKUP($G1450,連買!$A:$D,4,0),連買!$D:$D,0),"'沒有資料'")</f>
        <v>1493</v>
      </c>
      <c r="S1450" s="34">
        <v>0</v>
      </c>
      <c r="T1450" s="353">
        <f t="shared" si="266"/>
        <v>0</v>
      </c>
      <c r="U1450" s="95">
        <v>-0.75</v>
      </c>
      <c r="V1450" s="13">
        <f>RTD("money.excel",,"2528","Price")</f>
        <v>19.600000000000001</v>
      </c>
      <c r="W1450" s="66"/>
      <c r="X1450" s="15">
        <f t="shared" si="269"/>
        <v>19.600000000000001</v>
      </c>
      <c r="Y1450" s="3" t="e">
        <f t="shared" si="270"/>
        <v>#DIV/0!</v>
      </c>
      <c r="AA1450" s="161">
        <v>0</v>
      </c>
      <c r="AB1450" s="409">
        <v>0</v>
      </c>
      <c r="AC1450" s="259">
        <f t="shared" si="265"/>
        <v>0</v>
      </c>
      <c r="AD1450" s="22" t="s">
        <v>917</v>
      </c>
      <c r="AG1450" s="33">
        <f t="shared" si="271"/>
        <v>0</v>
      </c>
      <c r="AH1450" s="43" t="s">
        <v>1548</v>
      </c>
      <c r="AI1450" s="63">
        <f t="shared" si="267"/>
        <v>3.4545454545454544E-4</v>
      </c>
      <c r="AJ1450" s="307">
        <f>RTD("money.excel",,$G1450,"PredictVolume")</f>
        <v>114</v>
      </c>
      <c r="AK1450" s="339"/>
    </row>
    <row r="1451" spans="1:37">
      <c r="A1451" s="416">
        <v>52</v>
      </c>
      <c r="B1451" s="80">
        <v>-27</v>
      </c>
      <c r="C1451" s="79">
        <v>5</v>
      </c>
      <c r="D1451" s="79">
        <v>4</v>
      </c>
      <c r="E1451" s="79">
        <v>7</v>
      </c>
      <c r="F1451" s="73">
        <v>-73.180000000000007</v>
      </c>
      <c r="G1451" s="79">
        <v>2530</v>
      </c>
      <c r="H1451" s="8" t="s">
        <v>881</v>
      </c>
      <c r="I1451" s="22" t="s">
        <v>918</v>
      </c>
      <c r="J1451" s="323">
        <v>71.48</v>
      </c>
      <c r="K1451" s="73">
        <v>0.59</v>
      </c>
      <c r="L1451" s="73">
        <v>6.09</v>
      </c>
      <c r="N1451" s="318">
        <f t="shared" si="268"/>
        <v>78.160000000000011</v>
      </c>
      <c r="O1451" s="81">
        <f>IFERROR(VLOOKUP($G1451,'321買'!A:E,3,0),"'沒有資料'")</f>
        <v>0</v>
      </c>
      <c r="P1451" s="380">
        <f>IFERROR(VLOOKUP($G1451,'321買'!$A:$G,7,0),"'沒有資料'")</f>
        <v>911</v>
      </c>
      <c r="R1451" s="297">
        <f>IFERROR(RANK(VLOOKUP($G1451,連買!$A:$D,4,0),連買!$D:$D,0),"'沒有資料'")</f>
        <v>1069</v>
      </c>
      <c r="S1451" s="34">
        <v>0</v>
      </c>
      <c r="T1451" s="353">
        <f t="shared" si="266"/>
        <v>0</v>
      </c>
      <c r="U1451" s="57">
        <v>-0.33</v>
      </c>
      <c r="V1451" s="36">
        <f>RTD("money.excel",,"2530","Price")</f>
        <v>14.7</v>
      </c>
      <c r="W1451" s="66"/>
      <c r="X1451" s="15">
        <f t="shared" si="269"/>
        <v>14.7</v>
      </c>
      <c r="Y1451" s="3" t="e">
        <f t="shared" si="270"/>
        <v>#DIV/0!</v>
      </c>
      <c r="Z1451" s="413" t="s">
        <v>1801</v>
      </c>
      <c r="AA1451" s="161">
        <v>0</v>
      </c>
      <c r="AB1451" s="409">
        <v>0</v>
      </c>
      <c r="AC1451" s="259">
        <f t="shared" si="265"/>
        <v>0</v>
      </c>
      <c r="AD1451" s="22" t="s">
        <v>918</v>
      </c>
      <c r="AG1451" s="33">
        <f t="shared" si="271"/>
        <v>0</v>
      </c>
      <c r="AH1451" s="43" t="s">
        <v>2150</v>
      </c>
      <c r="AI1451" s="63">
        <f t="shared" si="267"/>
        <v>4.6923076923076926E-4</v>
      </c>
      <c r="AJ1451" s="307">
        <f>RTD("money.excel",,$G1451,"PredictVolume")</f>
        <v>244</v>
      </c>
      <c r="AK1451" s="339"/>
    </row>
    <row r="1452" spans="1:37">
      <c r="A1452" s="415">
        <v>47.4</v>
      </c>
      <c r="B1452" s="91">
        <v>-68</v>
      </c>
      <c r="C1452" s="91">
        <v>-64</v>
      </c>
      <c r="D1452" s="91">
        <v>-9</v>
      </c>
      <c r="E1452" s="91">
        <v>160</v>
      </c>
      <c r="F1452" s="57">
        <v>25.61</v>
      </c>
      <c r="G1452" s="79">
        <v>2534</v>
      </c>
      <c r="H1452" s="8" t="s">
        <v>881</v>
      </c>
      <c r="I1452" s="22" t="s">
        <v>919</v>
      </c>
      <c r="J1452" s="73">
        <v>68.349999999999994</v>
      </c>
      <c r="K1452" s="73">
        <v>19.760000000000002</v>
      </c>
      <c r="L1452" s="73">
        <v>13.12</v>
      </c>
      <c r="N1452" s="318">
        <f t="shared" si="268"/>
        <v>101.23</v>
      </c>
      <c r="O1452" s="81">
        <f>IFERROR(VLOOKUP($G1452,'321買'!A:E,3,0),"'沒有資料'")</f>
        <v>0</v>
      </c>
      <c r="P1452" s="380">
        <f>IFERROR(VLOOKUP($G1452,'321買'!$A:$G,7,0),"'沒有資料'")</f>
        <v>911</v>
      </c>
      <c r="R1452" s="297">
        <f>IFERROR(RANK(VLOOKUP($G1452,連買!$A:$D,4,0),連買!$D:$D,0),"'沒有資料'")</f>
        <v>757</v>
      </c>
      <c r="S1452" s="34">
        <v>1</v>
      </c>
      <c r="T1452" s="353">
        <f t="shared" si="266"/>
        <v>3.9447731755424063E-2</v>
      </c>
      <c r="U1452" s="95">
        <v>1.08</v>
      </c>
      <c r="V1452" s="13">
        <f>RTD("money.excel",,"2534","Price")</f>
        <v>25.35</v>
      </c>
      <c r="W1452" s="66"/>
      <c r="X1452" s="15">
        <f t="shared" si="269"/>
        <v>25.35</v>
      </c>
      <c r="Y1452" s="3" t="e">
        <f t="shared" si="270"/>
        <v>#DIV/0!</v>
      </c>
      <c r="AA1452" s="161">
        <v>0</v>
      </c>
      <c r="AB1452" s="409">
        <v>0</v>
      </c>
      <c r="AC1452" s="259">
        <f t="shared" si="265"/>
        <v>0</v>
      </c>
      <c r="AD1452" s="22" t="s">
        <v>919</v>
      </c>
      <c r="AG1452" s="33">
        <f t="shared" si="271"/>
        <v>0</v>
      </c>
      <c r="AH1452" s="43" t="s">
        <v>3232</v>
      </c>
      <c r="AI1452" s="63">
        <f t="shared" si="267"/>
        <v>1.478902953586498E-3</v>
      </c>
      <c r="AJ1452" s="307">
        <f>RTD("money.excel",,$G1452,"PredictVolume")</f>
        <v>701</v>
      </c>
      <c r="AK1452" s="339"/>
    </row>
    <row r="1453" spans="1:37">
      <c r="A1453" s="416">
        <v>33.4</v>
      </c>
      <c r="B1453" s="79">
        <v>61</v>
      </c>
      <c r="C1453" s="79">
        <v>55</v>
      </c>
      <c r="D1453" s="79">
        <v>26</v>
      </c>
      <c r="E1453" s="79">
        <v>57</v>
      </c>
      <c r="F1453" s="6">
        <v>8.23</v>
      </c>
      <c r="G1453" s="79">
        <v>2535</v>
      </c>
      <c r="H1453" s="8" t="s">
        <v>881</v>
      </c>
      <c r="I1453" s="22" t="s">
        <v>920</v>
      </c>
      <c r="J1453" s="323">
        <v>40.56</v>
      </c>
      <c r="K1453" s="323">
        <v>13.85</v>
      </c>
      <c r="L1453" s="323">
        <v>2.29</v>
      </c>
      <c r="N1453" s="318">
        <f t="shared" si="268"/>
        <v>56.7</v>
      </c>
      <c r="O1453" s="81">
        <f>IFERROR(VLOOKUP($G1453,'321買'!A:E,3,0),"'沒有資料'")</f>
        <v>1</v>
      </c>
      <c r="P1453" s="380">
        <f>IFERROR(VLOOKUP($G1453,'321買'!$A:$G,7,0),"'沒有資料'")</f>
        <v>783</v>
      </c>
      <c r="R1453" s="297">
        <f>IFERROR(RANK(VLOOKUP($G1453,連買!$A:$D,4,0),連買!$D:$D,0),"'沒有資料'")</f>
        <v>574</v>
      </c>
      <c r="S1453" s="34">
        <v>2.5099999999999998</v>
      </c>
      <c r="T1453" s="353">
        <f t="shared" si="266"/>
        <v>8.019169329073482E-2</v>
      </c>
      <c r="U1453" s="95">
        <v>3.77</v>
      </c>
      <c r="V1453" s="36">
        <f>RTD("money.excel",,"2535","Price")</f>
        <v>31.3</v>
      </c>
      <c r="W1453" s="66"/>
      <c r="X1453" s="15">
        <f t="shared" si="269"/>
        <v>31.3</v>
      </c>
      <c r="Y1453" s="3" t="e">
        <f t="shared" si="270"/>
        <v>#DIV/0!</v>
      </c>
      <c r="Z1453" s="413" t="s">
        <v>1801</v>
      </c>
      <c r="AA1453" s="161">
        <v>0</v>
      </c>
      <c r="AB1453" s="409">
        <v>0</v>
      </c>
      <c r="AC1453" s="259">
        <f t="shared" si="265"/>
        <v>0</v>
      </c>
      <c r="AD1453" s="22" t="s">
        <v>920</v>
      </c>
      <c r="AG1453" s="33">
        <f t="shared" si="271"/>
        <v>0</v>
      </c>
      <c r="AH1453" s="43" t="s">
        <v>2212</v>
      </c>
      <c r="AI1453" s="63">
        <f t="shared" si="267"/>
        <v>1.8053892215568862E-3</v>
      </c>
      <c r="AJ1453" s="307">
        <f>RTD("money.excel",,$G1453,"PredictVolume")</f>
        <v>603</v>
      </c>
      <c r="AK1453" s="339"/>
    </row>
    <row r="1454" spans="1:37">
      <c r="A1454" s="415">
        <v>33.200000000000003</v>
      </c>
      <c r="B1454" s="91">
        <v>21</v>
      </c>
      <c r="C1454" s="91">
        <v>40</v>
      </c>
      <c r="D1454" s="91">
        <v>10</v>
      </c>
      <c r="E1454" s="91">
        <v>-73</v>
      </c>
      <c r="F1454" s="57">
        <v>19.239999999999998</v>
      </c>
      <c r="G1454" s="79">
        <v>2536</v>
      </c>
      <c r="H1454" s="8" t="s">
        <v>881</v>
      </c>
      <c r="I1454" s="22" t="s">
        <v>921</v>
      </c>
      <c r="J1454" s="73">
        <v>76.09</v>
      </c>
      <c r="K1454" s="73">
        <v>19.350000000000001</v>
      </c>
      <c r="L1454" s="323">
        <v>1.79</v>
      </c>
      <c r="N1454" s="318">
        <f t="shared" si="268"/>
        <v>97.23</v>
      </c>
      <c r="O1454" s="81">
        <f>IFERROR(VLOOKUP($G1454,'321買'!A:E,3,0),"'沒有資料'")</f>
        <v>0</v>
      </c>
      <c r="P1454" s="380">
        <f>IFERROR(VLOOKUP($G1454,'321買'!$A:$G,7,0),"'沒有資料'")</f>
        <v>911</v>
      </c>
      <c r="R1454" s="297">
        <f>IFERROR(RANK(VLOOKUP($G1454,連買!$A:$D,4,0),連買!$D:$D,0),"'沒有資料'")</f>
        <v>640</v>
      </c>
      <c r="S1454" s="34">
        <v>1.2</v>
      </c>
      <c r="T1454" s="353">
        <f t="shared" si="266"/>
        <v>5.5944055944055944E-2</v>
      </c>
      <c r="U1454" s="95">
        <v>1.85</v>
      </c>
      <c r="V1454" s="13">
        <f>RTD("money.excel",,"2536","Price")</f>
        <v>21.45</v>
      </c>
      <c r="W1454" s="66"/>
      <c r="X1454" s="15">
        <f t="shared" si="269"/>
        <v>21.45</v>
      </c>
      <c r="Y1454" s="3" t="e">
        <f t="shared" si="270"/>
        <v>#DIV/0!</v>
      </c>
      <c r="AA1454" s="161">
        <v>0</v>
      </c>
      <c r="AB1454" s="409">
        <v>0</v>
      </c>
      <c r="AC1454" s="259">
        <f t="shared" si="265"/>
        <v>0</v>
      </c>
      <c r="AD1454" s="22" t="s">
        <v>921</v>
      </c>
      <c r="AG1454" s="33">
        <f t="shared" si="271"/>
        <v>0</v>
      </c>
      <c r="AH1454" s="43" t="s">
        <v>2150</v>
      </c>
      <c r="AI1454" s="63">
        <f t="shared" si="267"/>
        <v>1.2048192771084337E-4</v>
      </c>
      <c r="AJ1454" s="307">
        <f>RTD("money.excel",,$G1454,"PredictVolume")</f>
        <v>40</v>
      </c>
      <c r="AK1454" s="339"/>
    </row>
    <row r="1455" spans="1:37">
      <c r="A1455" s="415">
        <v>30</v>
      </c>
      <c r="B1455" s="91">
        <v>325</v>
      </c>
      <c r="C1455" s="91">
        <v>424</v>
      </c>
      <c r="D1455" s="91">
        <v>-1</v>
      </c>
      <c r="E1455" s="91">
        <v>-99</v>
      </c>
      <c r="F1455" s="57">
        <v>16.190000000000001</v>
      </c>
      <c r="G1455" s="79">
        <v>2537</v>
      </c>
      <c r="H1455" s="8" t="s">
        <v>881</v>
      </c>
      <c r="I1455" s="22" t="s">
        <v>922</v>
      </c>
      <c r="J1455" s="73">
        <v>64.03</v>
      </c>
      <c r="K1455" s="73">
        <v>0.77</v>
      </c>
      <c r="L1455" s="73">
        <v>14.69</v>
      </c>
      <c r="N1455" s="318">
        <f t="shared" si="268"/>
        <v>79.489999999999995</v>
      </c>
      <c r="O1455" s="81">
        <f>IFERROR(VLOOKUP($G1455,'321買'!A:E,3,0),"'沒有資料'")</f>
        <v>3</v>
      </c>
      <c r="P1455" s="380">
        <f>IFERROR(VLOOKUP($G1455,'321買'!$A:$G,7,0),"'沒有資料'")</f>
        <v>636</v>
      </c>
      <c r="R1455" s="297">
        <f>IFERROR(RANK(VLOOKUP($G1455,連買!$A:$D,4,0),連買!$D:$D,0),"'沒有資料'")</f>
        <v>1184</v>
      </c>
      <c r="S1455" s="34">
        <v>0.4</v>
      </c>
      <c r="T1455" s="353">
        <f t="shared" si="266"/>
        <v>3.7209302325581395E-2</v>
      </c>
      <c r="U1455" s="95">
        <v>0.59</v>
      </c>
      <c r="V1455" s="13">
        <f>RTD("money.excel",,"2537","Price")</f>
        <v>10.75</v>
      </c>
      <c r="W1455" s="66"/>
      <c r="X1455" s="15">
        <f t="shared" si="269"/>
        <v>10.75</v>
      </c>
      <c r="Y1455" s="3" t="e">
        <f t="shared" si="270"/>
        <v>#DIV/0!</v>
      </c>
      <c r="AA1455" s="161">
        <v>0</v>
      </c>
      <c r="AB1455" s="409">
        <v>0</v>
      </c>
      <c r="AC1455" s="259">
        <f t="shared" si="265"/>
        <v>0</v>
      </c>
      <c r="AD1455" s="22" t="s">
        <v>922</v>
      </c>
      <c r="AG1455" s="33">
        <f t="shared" si="271"/>
        <v>0</v>
      </c>
      <c r="AH1455" s="43" t="s">
        <v>2275</v>
      </c>
      <c r="AI1455" s="63">
        <f t="shared" si="267"/>
        <v>5.4099999999999999E-3</v>
      </c>
      <c r="AJ1455" s="307">
        <f>RTD("money.excel",,$G1455,"PredictVolume")</f>
        <v>1623</v>
      </c>
      <c r="AK1455" s="339"/>
    </row>
    <row r="1456" spans="1:37">
      <c r="A1456" s="416">
        <v>43.8</v>
      </c>
      <c r="B1456" s="206">
        <v>-1581</v>
      </c>
      <c r="C1456" s="91">
        <v>70</v>
      </c>
      <c r="D1456" s="91">
        <v>-95</v>
      </c>
      <c r="E1456" s="91">
        <v>-65</v>
      </c>
      <c r="F1456" s="6">
        <v>-11.32</v>
      </c>
      <c r="G1456" s="79">
        <v>2538</v>
      </c>
      <c r="H1456" s="8" t="s">
        <v>881</v>
      </c>
      <c r="I1456" s="22" t="s">
        <v>923</v>
      </c>
      <c r="J1456" s="73">
        <v>62.68</v>
      </c>
      <c r="K1456" s="73">
        <v>14.1</v>
      </c>
      <c r="L1456" s="73">
        <v>3.78</v>
      </c>
      <c r="N1456" s="318">
        <f t="shared" si="268"/>
        <v>80.56</v>
      </c>
      <c r="O1456" s="81">
        <f>IFERROR(VLOOKUP($G1456,'321買'!A:E,3,0),"'沒有資料'")</f>
        <v>4</v>
      </c>
      <c r="P1456" s="380">
        <f>IFERROR(VLOOKUP($G1456,'321買'!$A:$G,7,0),"'沒有資料'")</f>
        <v>592</v>
      </c>
      <c r="R1456" s="297">
        <f>IFERROR(RANK(VLOOKUP($G1456,連買!$A:$D,4,0),連買!$D:$D,0),"'沒有資料'")</f>
        <v>1093</v>
      </c>
      <c r="S1456" s="34">
        <v>0.5</v>
      </c>
      <c r="T1456" s="353">
        <f t="shared" si="266"/>
        <v>3.937007874015748E-2</v>
      </c>
      <c r="U1456" s="95">
        <v>-0.32</v>
      </c>
      <c r="V1456" s="13">
        <f>RTD("money.excel",,"2538","Price")</f>
        <v>12.7</v>
      </c>
      <c r="W1456" s="66"/>
      <c r="X1456" s="15">
        <f t="shared" si="269"/>
        <v>12.7</v>
      </c>
      <c r="Y1456" s="3" t="e">
        <f t="shared" si="270"/>
        <v>#DIV/0!</v>
      </c>
      <c r="AA1456" s="161">
        <v>0</v>
      </c>
      <c r="AB1456" s="409">
        <v>0</v>
      </c>
      <c r="AC1456" s="259">
        <f t="shared" si="265"/>
        <v>0</v>
      </c>
      <c r="AD1456" s="22" t="s">
        <v>923</v>
      </c>
      <c r="AG1456" s="33">
        <f t="shared" si="271"/>
        <v>0</v>
      </c>
      <c r="AH1456" s="43" t="s">
        <v>2150</v>
      </c>
      <c r="AI1456" s="63">
        <f t="shared" si="267"/>
        <v>1.5730593607305935E-3</v>
      </c>
      <c r="AJ1456" s="307">
        <f>RTD("money.excel",,$G1456,"PredictVolume")</f>
        <v>689</v>
      </c>
      <c r="AK1456" s="339"/>
    </row>
    <row r="1457" spans="1:37">
      <c r="A1457" s="415">
        <v>55.9</v>
      </c>
      <c r="B1457" s="91">
        <v>-35</v>
      </c>
      <c r="C1457" s="91">
        <v>-26</v>
      </c>
      <c r="D1457" s="91">
        <v>-91</v>
      </c>
      <c r="E1457" s="91">
        <v>-51</v>
      </c>
      <c r="F1457" s="57">
        <v>18.739999999999998</v>
      </c>
      <c r="G1457" s="79">
        <v>2539</v>
      </c>
      <c r="H1457" s="8" t="s">
        <v>881</v>
      </c>
      <c r="I1457" s="22" t="s">
        <v>924</v>
      </c>
      <c r="J1457" s="73">
        <v>93.38</v>
      </c>
      <c r="K1457" s="73">
        <v>0.09</v>
      </c>
      <c r="L1457" s="73">
        <v>0.12</v>
      </c>
      <c r="N1457" s="318">
        <f t="shared" si="268"/>
        <v>93.59</v>
      </c>
      <c r="O1457" s="81">
        <f>IFERROR(VLOOKUP($G1457,'321買'!A:E,3,0),"'沒有資料'")</f>
        <v>0</v>
      </c>
      <c r="P1457" s="380">
        <f>IFERROR(VLOOKUP($G1457,'321買'!$A:$G,7,0),"'沒有資料'")</f>
        <v>911</v>
      </c>
      <c r="R1457" s="297">
        <f>IFERROR(RANK(VLOOKUP($G1457,連買!$A:$D,4,0),連買!$D:$D,0),"'沒有資料'")</f>
        <v>937</v>
      </c>
      <c r="S1457" s="34">
        <v>1.6</v>
      </c>
      <c r="T1457" s="353">
        <f t="shared" si="266"/>
        <v>4.9004594180704443E-2</v>
      </c>
      <c r="U1457" s="95">
        <v>1.61</v>
      </c>
      <c r="V1457" s="13">
        <f>RTD("money.excel",,"2539","Price")</f>
        <v>32.65</v>
      </c>
      <c r="W1457" s="66"/>
      <c r="X1457" s="15">
        <f t="shared" si="269"/>
        <v>32.65</v>
      </c>
      <c r="Y1457" s="3" t="e">
        <f t="shared" si="270"/>
        <v>#DIV/0!</v>
      </c>
      <c r="AA1457" s="161">
        <v>0</v>
      </c>
      <c r="AB1457" s="409">
        <v>0</v>
      </c>
      <c r="AC1457" s="259">
        <f t="shared" si="265"/>
        <v>0</v>
      </c>
      <c r="AD1457" s="22" t="s">
        <v>924</v>
      </c>
      <c r="AG1457" s="33">
        <f t="shared" si="271"/>
        <v>0</v>
      </c>
      <c r="AH1457" s="43" t="s">
        <v>2150</v>
      </c>
      <c r="AI1457" s="63">
        <f t="shared" si="267"/>
        <v>1.9856887298747765E-4</v>
      </c>
      <c r="AJ1457" s="307">
        <f>RTD("money.excel",,$G1457,"PredictVolume")</f>
        <v>111</v>
      </c>
      <c r="AK1457" s="339"/>
    </row>
    <row r="1458" spans="1:37">
      <c r="A1458" s="415">
        <v>14.6</v>
      </c>
      <c r="B1458" s="79">
        <v>353</v>
      </c>
      <c r="C1458" s="79">
        <v>195</v>
      </c>
      <c r="D1458" s="80">
        <v>-11</v>
      </c>
      <c r="E1458" s="79">
        <v>213</v>
      </c>
      <c r="F1458" s="57">
        <v>27.62</v>
      </c>
      <c r="G1458" s="79">
        <v>2540</v>
      </c>
      <c r="H1458" s="8" t="s">
        <v>881</v>
      </c>
      <c r="I1458" s="22" t="s">
        <v>925</v>
      </c>
      <c r="J1458" s="73">
        <v>95.8</v>
      </c>
      <c r="K1458" s="73">
        <v>0.24</v>
      </c>
      <c r="L1458" s="73">
        <v>0.9</v>
      </c>
      <c r="N1458" s="318">
        <f t="shared" si="268"/>
        <v>96.94</v>
      </c>
      <c r="O1458" s="81">
        <f>IFERROR(VLOOKUP($G1458,'321買'!A:E,3,0),"'沒有資料'")</f>
        <v>0</v>
      </c>
      <c r="P1458" s="380">
        <f>IFERROR(VLOOKUP($G1458,'321買'!$A:$G,7,0),"'沒有資料'")</f>
        <v>911</v>
      </c>
      <c r="R1458" s="297">
        <f>IFERROR(RANK(VLOOKUP($G1458,連買!$A:$D,4,0),連買!$D:$D,0),"'沒有資料'")</f>
        <v>357</v>
      </c>
      <c r="S1458" s="34">
        <v>2</v>
      </c>
      <c r="T1458" s="353">
        <f t="shared" si="266"/>
        <v>1.6E-2</v>
      </c>
      <c r="U1458" s="95">
        <v>6.18</v>
      </c>
      <c r="V1458" s="36">
        <f>RTD("money.excel",,"2540","Price")</f>
        <v>125</v>
      </c>
      <c r="W1458" s="66"/>
      <c r="X1458" s="15">
        <f t="shared" si="269"/>
        <v>125</v>
      </c>
      <c r="Y1458" s="3" t="e">
        <f t="shared" si="270"/>
        <v>#DIV/0!</v>
      </c>
      <c r="Z1458" s="413" t="s">
        <v>1801</v>
      </c>
      <c r="AA1458" s="161">
        <v>0</v>
      </c>
      <c r="AB1458" s="409">
        <v>0</v>
      </c>
      <c r="AC1458" s="259">
        <f t="shared" si="265"/>
        <v>0</v>
      </c>
      <c r="AD1458" s="22" t="s">
        <v>925</v>
      </c>
      <c r="AG1458" s="33">
        <f t="shared" si="271"/>
        <v>0</v>
      </c>
      <c r="AH1458" s="43" t="s">
        <v>2190</v>
      </c>
      <c r="AI1458" s="63">
        <f t="shared" si="267"/>
        <v>3.3561643835616436E-4</v>
      </c>
      <c r="AJ1458" s="307">
        <f>RTD("money.excel",,$G1458,"PredictVolume")</f>
        <v>49</v>
      </c>
      <c r="AK1458" s="339"/>
    </row>
    <row r="1459" spans="1:37">
      <c r="A1459" s="415">
        <v>129</v>
      </c>
      <c r="B1459" s="80">
        <v>-19</v>
      </c>
      <c r="C1459" s="79">
        <v>17</v>
      </c>
      <c r="D1459" s="80">
        <v>-6</v>
      </c>
      <c r="E1459" s="79">
        <v>261</v>
      </c>
      <c r="F1459" s="57">
        <v>16.91</v>
      </c>
      <c r="G1459" s="79">
        <v>2542</v>
      </c>
      <c r="H1459" s="8" t="s">
        <v>881</v>
      </c>
      <c r="I1459" s="22" t="s">
        <v>28</v>
      </c>
      <c r="J1459" s="323">
        <v>62.06</v>
      </c>
      <c r="K1459" s="323">
        <v>18.45</v>
      </c>
      <c r="L1459" s="323">
        <v>1.25</v>
      </c>
      <c r="N1459" s="318">
        <f t="shared" si="268"/>
        <v>81.760000000000005</v>
      </c>
      <c r="O1459" s="81">
        <f>IFERROR(VLOOKUP($G1459,'321買'!A:E,3,0),"'沒有資料'")</f>
        <v>0</v>
      </c>
      <c r="P1459" s="380">
        <f>IFERROR(VLOOKUP($G1459,'321買'!$A:$G,7,0),"'沒有資料'")</f>
        <v>911</v>
      </c>
      <c r="R1459" s="297">
        <f>IFERROR(RANK(VLOOKUP($G1459,連買!$A:$D,4,0),連買!$D:$D,0),"'沒有資料'")</f>
        <v>341</v>
      </c>
      <c r="S1459" s="34">
        <v>2</v>
      </c>
      <c r="T1459" s="353">
        <f t="shared" si="266"/>
        <v>4.1797283176593522E-2</v>
      </c>
      <c r="U1459" s="57">
        <v>2.21</v>
      </c>
      <c r="V1459" s="36">
        <f>RTD("money.excel",,"2542","Price")</f>
        <v>47.85</v>
      </c>
      <c r="W1459" s="66"/>
      <c r="X1459" s="15">
        <f t="shared" si="269"/>
        <v>47.85</v>
      </c>
      <c r="Y1459" s="3" t="e">
        <f t="shared" si="270"/>
        <v>#DIV/0!</v>
      </c>
      <c r="Z1459" s="413" t="s">
        <v>1801</v>
      </c>
      <c r="AA1459" s="161">
        <v>0</v>
      </c>
      <c r="AB1459" s="409">
        <v>0</v>
      </c>
      <c r="AC1459" s="259">
        <f t="shared" si="265"/>
        <v>0</v>
      </c>
      <c r="AD1459" s="22" t="s">
        <v>28</v>
      </c>
      <c r="AG1459" s="33">
        <f t="shared" si="271"/>
        <v>0</v>
      </c>
      <c r="AH1459" s="120" t="s">
        <v>2150</v>
      </c>
      <c r="AI1459" s="63">
        <f t="shared" si="267"/>
        <v>3.6550387596899223E-3</v>
      </c>
      <c r="AJ1459" s="307">
        <f>RTD("money.excel",,$G1459,"PredictVolume")</f>
        <v>4715</v>
      </c>
      <c r="AK1459" s="339"/>
    </row>
    <row r="1460" spans="1:37">
      <c r="A1460" s="416">
        <v>24.2</v>
      </c>
      <c r="B1460" s="79">
        <v>805</v>
      </c>
      <c r="C1460" s="79">
        <v>553</v>
      </c>
      <c r="D1460" s="79">
        <v>5</v>
      </c>
      <c r="E1460" s="79">
        <v>17</v>
      </c>
      <c r="F1460" s="6">
        <v>1.29</v>
      </c>
      <c r="G1460" s="79">
        <v>2543</v>
      </c>
      <c r="H1460" s="8" t="s">
        <v>881</v>
      </c>
      <c r="I1460" s="22" t="s">
        <v>926</v>
      </c>
      <c r="J1460" s="323">
        <v>84.89</v>
      </c>
      <c r="K1460" s="323">
        <v>0.21</v>
      </c>
      <c r="N1460" s="318">
        <f t="shared" si="268"/>
        <v>85.1</v>
      </c>
      <c r="O1460" s="81">
        <f>IFERROR(VLOOKUP($G1460,'321買'!A:E,3,0),"'沒有資料'")</f>
        <v>0</v>
      </c>
      <c r="P1460" s="380">
        <f>IFERROR(VLOOKUP($G1460,'321買'!$A:$G,7,0),"'沒有資料'")</f>
        <v>911</v>
      </c>
      <c r="R1460" s="297">
        <f>IFERROR(RANK(VLOOKUP($G1460,連買!$A:$D,4,0),連買!$D:$D,0),"'沒有資料'")</f>
        <v>1314</v>
      </c>
      <c r="S1460" s="34">
        <v>0</v>
      </c>
      <c r="T1460" s="353">
        <f t="shared" si="266"/>
        <v>0</v>
      </c>
      <c r="U1460" s="95">
        <v>0.15</v>
      </c>
      <c r="V1460" s="36">
        <f>RTD("money.excel",,"2543","Price")</f>
        <v>10.15</v>
      </c>
      <c r="W1460" s="66"/>
      <c r="X1460" s="15">
        <f t="shared" si="269"/>
        <v>10.15</v>
      </c>
      <c r="Y1460" s="3" t="e">
        <f t="shared" si="270"/>
        <v>#DIV/0!</v>
      </c>
      <c r="Z1460" s="413" t="s">
        <v>1801</v>
      </c>
      <c r="AA1460" s="161">
        <v>0</v>
      </c>
      <c r="AB1460" s="409">
        <v>0</v>
      </c>
      <c r="AC1460" s="259">
        <f t="shared" si="265"/>
        <v>0</v>
      </c>
      <c r="AD1460" s="22" t="s">
        <v>926</v>
      </c>
      <c r="AG1460" s="33">
        <f t="shared" si="271"/>
        <v>0</v>
      </c>
      <c r="AH1460" s="43" t="s">
        <v>326</v>
      </c>
      <c r="AI1460" s="63">
        <f t="shared" si="267"/>
        <v>1.1557851239669421E-2</v>
      </c>
      <c r="AJ1460" s="307">
        <f>RTD("money.excel",,$G1460,"PredictVolume")</f>
        <v>2797</v>
      </c>
      <c r="AK1460" s="339"/>
    </row>
    <row r="1461" spans="1:37">
      <c r="A1461" s="415">
        <v>32.700000000000003</v>
      </c>
      <c r="B1461" s="91">
        <v>910</v>
      </c>
      <c r="C1461" s="140">
        <v>1218</v>
      </c>
      <c r="D1461" s="91">
        <v>-14</v>
      </c>
      <c r="E1461" s="91">
        <v>-26</v>
      </c>
      <c r="F1461" s="57">
        <v>35.159999999999997</v>
      </c>
      <c r="G1461" s="79">
        <v>2545</v>
      </c>
      <c r="H1461" s="8" t="s">
        <v>881</v>
      </c>
      <c r="I1461" s="22" t="s">
        <v>927</v>
      </c>
      <c r="J1461" s="73">
        <v>76.489999999999995</v>
      </c>
      <c r="K1461" s="73">
        <v>4</v>
      </c>
      <c r="L1461" s="73">
        <v>4.21</v>
      </c>
      <c r="N1461" s="318">
        <f t="shared" si="268"/>
        <v>84.699999999999989</v>
      </c>
      <c r="O1461" s="81">
        <f>IFERROR(VLOOKUP($G1461,'321買'!A:E,3,0),"'沒有資料'")</f>
        <v>0</v>
      </c>
      <c r="P1461" s="380">
        <f>IFERROR(VLOOKUP($G1461,'321買'!$A:$G,7,0),"'沒有資料'")</f>
        <v>911</v>
      </c>
      <c r="R1461" s="297">
        <f>IFERROR(RANK(VLOOKUP($G1461,連買!$A:$D,4,0),連買!$D:$D,0),"'沒有資料'")</f>
        <v>431</v>
      </c>
      <c r="S1461" s="66">
        <v>4.5</v>
      </c>
      <c r="T1461" s="353">
        <f t="shared" si="266"/>
        <v>8.2116788321167894E-2</v>
      </c>
      <c r="U1461" s="95">
        <v>5.33</v>
      </c>
      <c r="V1461" s="13">
        <f>RTD("money.excel",,"2545","Price")</f>
        <v>54.8</v>
      </c>
      <c r="W1461" s="66"/>
      <c r="X1461" s="15">
        <f t="shared" si="269"/>
        <v>54.8</v>
      </c>
      <c r="Y1461" s="3" t="e">
        <f t="shared" si="270"/>
        <v>#DIV/0!</v>
      </c>
      <c r="Z1461" s="413" t="s">
        <v>1997</v>
      </c>
      <c r="AA1461" s="161">
        <v>0</v>
      </c>
      <c r="AB1461" s="409">
        <v>0</v>
      </c>
      <c r="AC1461" s="259">
        <f t="shared" si="265"/>
        <v>0</v>
      </c>
      <c r="AD1461" s="22" t="s">
        <v>927</v>
      </c>
      <c r="AG1461" s="33">
        <f t="shared" si="271"/>
        <v>0</v>
      </c>
      <c r="AH1461" s="43" t="s">
        <v>2150</v>
      </c>
      <c r="AI1461" s="63">
        <f t="shared" si="267"/>
        <v>2.3180428134556576E-3</v>
      </c>
      <c r="AJ1461" s="307">
        <f>RTD("money.excel",,$G1461,"PredictVolume")</f>
        <v>758</v>
      </c>
      <c r="AK1461" s="339"/>
    </row>
    <row r="1462" spans="1:37">
      <c r="A1462" s="416">
        <v>10.6</v>
      </c>
      <c r="B1462" s="91">
        <v>21</v>
      </c>
      <c r="C1462" s="91">
        <v>27</v>
      </c>
      <c r="D1462" s="91">
        <v>-13</v>
      </c>
      <c r="E1462" s="91">
        <v>22</v>
      </c>
      <c r="F1462" s="6">
        <v>5.22</v>
      </c>
      <c r="G1462" s="79">
        <v>2546</v>
      </c>
      <c r="H1462" s="8" t="s">
        <v>881</v>
      </c>
      <c r="I1462" s="22" t="s">
        <v>928</v>
      </c>
      <c r="J1462" s="73">
        <v>61.57</v>
      </c>
      <c r="K1462" s="73">
        <v>0.28000000000000003</v>
      </c>
      <c r="L1462" s="73">
        <v>1.1000000000000001</v>
      </c>
      <c r="N1462" s="318">
        <f t="shared" si="268"/>
        <v>62.95</v>
      </c>
      <c r="O1462" s="81">
        <f>IFERROR(VLOOKUP($G1462,'321買'!A:E,3,0),"'沒有資料'")</f>
        <v>0</v>
      </c>
      <c r="P1462" s="380">
        <f>IFERROR(VLOOKUP($G1462,'321買'!$A:$G,7,0),"'沒有資料'")</f>
        <v>911</v>
      </c>
      <c r="R1462" s="297">
        <f>IFERROR(RANK(VLOOKUP($G1462,連買!$A:$D,4,0),連買!$D:$D,0),"'沒有資料'")</f>
        <v>184</v>
      </c>
      <c r="S1462" s="66">
        <v>3.6</v>
      </c>
      <c r="T1462" s="353">
        <f t="shared" si="266"/>
        <v>6.2068965517241378E-2</v>
      </c>
      <c r="U1462" s="95">
        <v>2.91</v>
      </c>
      <c r="V1462" s="13">
        <f>RTD("money.excel",,"2546","Price")</f>
        <v>58</v>
      </c>
      <c r="W1462" s="66"/>
      <c r="X1462" s="15">
        <f t="shared" si="269"/>
        <v>58</v>
      </c>
      <c r="Y1462" s="3" t="e">
        <f t="shared" si="270"/>
        <v>#DIV/0!</v>
      </c>
      <c r="Z1462" s="413" t="s">
        <v>1831</v>
      </c>
      <c r="AA1462" s="161">
        <v>0</v>
      </c>
      <c r="AB1462" s="409">
        <v>0</v>
      </c>
      <c r="AC1462" s="259">
        <f t="shared" si="265"/>
        <v>0</v>
      </c>
      <c r="AD1462" s="22" t="s">
        <v>928</v>
      </c>
      <c r="AG1462" s="33">
        <f t="shared" si="271"/>
        <v>0</v>
      </c>
      <c r="AH1462" s="43" t="s">
        <v>3231</v>
      </c>
      <c r="AI1462" s="63">
        <f t="shared" si="267"/>
        <v>1.3113207547169811E-3</v>
      </c>
      <c r="AJ1462" s="307">
        <f>RTD("money.excel",,$G1462,"PredictVolume")</f>
        <v>139</v>
      </c>
      <c r="AK1462" s="339"/>
    </row>
    <row r="1463" spans="1:37">
      <c r="A1463" s="416">
        <v>90</v>
      </c>
      <c r="B1463" s="80">
        <v>-86</v>
      </c>
      <c r="C1463" s="80">
        <v>-85</v>
      </c>
      <c r="D1463" s="80">
        <v>-1</v>
      </c>
      <c r="E1463" s="79">
        <v>28</v>
      </c>
      <c r="F1463" s="6">
        <v>9.67</v>
      </c>
      <c r="G1463" s="79">
        <v>2547</v>
      </c>
      <c r="H1463" s="8" t="s">
        <v>881</v>
      </c>
      <c r="I1463" s="22" t="s">
        <v>929</v>
      </c>
      <c r="J1463" s="323">
        <v>68.86</v>
      </c>
      <c r="K1463" s="323">
        <v>22.12</v>
      </c>
      <c r="L1463" s="73">
        <v>3.88</v>
      </c>
      <c r="N1463" s="318">
        <f t="shared" si="268"/>
        <v>94.86</v>
      </c>
      <c r="O1463" s="81">
        <f>IFERROR(VLOOKUP($G1463,'321買'!A:E,3,0),"'沒有資料'")</f>
        <v>0</v>
      </c>
      <c r="P1463" s="380">
        <f>IFERROR(VLOOKUP($G1463,'321買'!$A:$G,7,0),"'沒有資料'")</f>
        <v>911</v>
      </c>
      <c r="R1463" s="297">
        <f>IFERROR(RANK(VLOOKUP($G1463,連買!$A:$D,4,0),連買!$D:$D,0),"'沒有資料'")</f>
        <v>911</v>
      </c>
      <c r="S1463" s="34">
        <v>0.62</v>
      </c>
      <c r="T1463" s="353">
        <f t="shared" si="266"/>
        <v>6.0487804878048779E-2</v>
      </c>
      <c r="U1463" s="95">
        <v>0.69</v>
      </c>
      <c r="V1463" s="36">
        <f>RTD("money.excel",,"2547","Price")</f>
        <v>10.25</v>
      </c>
      <c r="W1463" s="66"/>
      <c r="X1463" s="15">
        <f t="shared" si="269"/>
        <v>10.25</v>
      </c>
      <c r="Y1463" s="3" t="e">
        <f t="shared" si="270"/>
        <v>#DIV/0!</v>
      </c>
      <c r="Z1463" s="413" t="s">
        <v>1801</v>
      </c>
      <c r="AA1463" s="161">
        <v>0</v>
      </c>
      <c r="AB1463" s="409">
        <v>0</v>
      </c>
      <c r="AC1463" s="259">
        <f t="shared" si="265"/>
        <v>0</v>
      </c>
      <c r="AD1463" s="22" t="s">
        <v>929</v>
      </c>
      <c r="AG1463" s="33">
        <f t="shared" si="271"/>
        <v>0</v>
      </c>
      <c r="AH1463" s="43" t="s">
        <v>2150</v>
      </c>
      <c r="AI1463" s="63">
        <f t="shared" si="267"/>
        <v>7.9777777777777779E-4</v>
      </c>
      <c r="AJ1463" s="307">
        <f>RTD("money.excel",,$G1463,"PredictVolume")</f>
        <v>718</v>
      </c>
      <c r="AK1463" s="339"/>
    </row>
    <row r="1464" spans="1:37">
      <c r="A1464" s="415">
        <v>27.6</v>
      </c>
      <c r="B1464" s="80">
        <v>-24</v>
      </c>
      <c r="C1464" s="80">
        <v>-21</v>
      </c>
      <c r="D1464" s="80">
        <v>-89</v>
      </c>
      <c r="E1464" s="79">
        <v>109</v>
      </c>
      <c r="F1464" s="57">
        <v>21.47</v>
      </c>
      <c r="G1464" s="79">
        <v>2548</v>
      </c>
      <c r="H1464" s="8" t="s">
        <v>881</v>
      </c>
      <c r="I1464" s="22" t="s">
        <v>930</v>
      </c>
      <c r="J1464" s="73">
        <v>55.42</v>
      </c>
      <c r="K1464" s="73">
        <v>25.83</v>
      </c>
      <c r="L1464" s="323">
        <v>0.31</v>
      </c>
      <c r="N1464" s="318">
        <f t="shared" si="268"/>
        <v>81.56</v>
      </c>
      <c r="O1464" s="81">
        <f>IFERROR(VLOOKUP($G1464,'321買'!A:E,3,0),"'沒有資料'")</f>
        <v>1</v>
      </c>
      <c r="P1464" s="380">
        <f>IFERROR(VLOOKUP($G1464,'321買'!$A:$G,7,0),"'沒有資料'")</f>
        <v>783</v>
      </c>
      <c r="R1464" s="297">
        <f>IFERROR(RANK(VLOOKUP($G1464,連買!$A:$D,4,0),連買!$D:$D,0),"'沒有資料'")</f>
        <v>204</v>
      </c>
      <c r="S1464" s="66">
        <v>7</v>
      </c>
      <c r="T1464" s="353">
        <f t="shared" si="266"/>
        <v>7.6670317634173063E-2</v>
      </c>
      <c r="U1464" s="57">
        <v>8.08</v>
      </c>
      <c r="V1464" s="36">
        <f>RTD("money.excel",,"2548","Price")</f>
        <v>91.3</v>
      </c>
      <c r="W1464" s="66"/>
      <c r="X1464" s="15">
        <f t="shared" si="269"/>
        <v>91.3</v>
      </c>
      <c r="Y1464" s="3" t="e">
        <f t="shared" si="270"/>
        <v>#DIV/0!</v>
      </c>
      <c r="Z1464" s="413" t="s">
        <v>1997</v>
      </c>
      <c r="AA1464" s="161">
        <v>0</v>
      </c>
      <c r="AB1464" s="409">
        <v>0</v>
      </c>
      <c r="AC1464" s="259">
        <f t="shared" si="265"/>
        <v>0</v>
      </c>
      <c r="AD1464" s="22" t="s">
        <v>930</v>
      </c>
      <c r="AG1464" s="33">
        <f t="shared" si="271"/>
        <v>0</v>
      </c>
      <c r="AH1464" s="43" t="s">
        <v>2150</v>
      </c>
      <c r="AI1464" s="63">
        <f t="shared" si="267"/>
        <v>5.7065217391304348E-3</v>
      </c>
      <c r="AJ1464" s="307">
        <f>RTD("money.excel",,$G1464,"PredictVolume")</f>
        <v>1575</v>
      </c>
      <c r="AK1464" s="339"/>
    </row>
    <row r="1465" spans="1:37">
      <c r="A1465" s="415">
        <v>10</v>
      </c>
      <c r="B1465" s="91">
        <v>289</v>
      </c>
      <c r="C1465" s="91">
        <v>395</v>
      </c>
      <c r="D1465" s="91">
        <v>-95</v>
      </c>
      <c r="E1465" s="140">
        <v>1351</v>
      </c>
      <c r="F1465" s="57">
        <v>21.08</v>
      </c>
      <c r="G1465" s="79">
        <v>2596</v>
      </c>
      <c r="H1465" s="8" t="s">
        <v>881</v>
      </c>
      <c r="I1465" s="16" t="s">
        <v>883</v>
      </c>
      <c r="J1465" s="323">
        <v>67.42</v>
      </c>
      <c r="K1465" s="323">
        <v>0.01</v>
      </c>
      <c r="L1465" s="323">
        <v>3.91</v>
      </c>
      <c r="N1465" s="318">
        <f t="shared" si="268"/>
        <v>71.34</v>
      </c>
      <c r="O1465" s="81">
        <f>IFERROR(VLOOKUP($G1465,'321買'!A:E,3,0),"'沒有資料'")</f>
        <v>0</v>
      </c>
      <c r="P1465" s="380">
        <f>IFERROR(VLOOKUP($G1465,'321買'!$A:$G,7,0),"'沒有資料'")</f>
        <v>911</v>
      </c>
      <c r="R1465" s="297">
        <f>IFERROR(RANK(VLOOKUP($G1465,連買!$A:$D,4,0),連買!$D:$D,0),"'沒有資料'")</f>
        <v>1464</v>
      </c>
      <c r="S1465" s="34">
        <v>1</v>
      </c>
      <c r="T1465" s="353">
        <f t="shared" si="266"/>
        <v>4.5454545454545456E-2</v>
      </c>
      <c r="U1465" s="95">
        <v>1.45</v>
      </c>
      <c r="V1465" s="36">
        <f>RTD("money.excel",,"2596","Price")</f>
        <v>22</v>
      </c>
      <c r="W1465" s="66"/>
      <c r="X1465" s="15">
        <f t="shared" si="269"/>
        <v>22</v>
      </c>
      <c r="Y1465" s="3" t="e">
        <f t="shared" si="270"/>
        <v>#DIV/0!</v>
      </c>
      <c r="AA1465" s="161">
        <v>0</v>
      </c>
      <c r="AB1465" s="409">
        <v>0</v>
      </c>
      <c r="AC1465" s="259">
        <f t="shared" si="265"/>
        <v>0</v>
      </c>
      <c r="AD1465" s="16" t="s">
        <v>883</v>
      </c>
      <c r="AG1465" s="33">
        <f t="shared" si="271"/>
        <v>0</v>
      </c>
      <c r="AH1465" s="43" t="s">
        <v>2150</v>
      </c>
      <c r="AI1465" s="63">
        <f t="shared" si="267"/>
        <v>4.8999999999999998E-4</v>
      </c>
      <c r="AJ1465" s="307">
        <f>RTD("money.excel",,$G1465,"PredictVolume")</f>
        <v>49</v>
      </c>
      <c r="AK1465" s="339"/>
    </row>
    <row r="1466" spans="1:37">
      <c r="A1466" s="416">
        <v>13.5</v>
      </c>
      <c r="B1466" s="79">
        <v>43</v>
      </c>
      <c r="C1466" s="79">
        <v>65</v>
      </c>
      <c r="D1466" s="79">
        <v>1</v>
      </c>
      <c r="E1466" s="79">
        <v>9</v>
      </c>
      <c r="F1466" s="6">
        <v>3.13</v>
      </c>
      <c r="G1466" s="79">
        <v>2597</v>
      </c>
      <c r="H1466" s="8" t="s">
        <v>881</v>
      </c>
      <c r="I1466" s="22" t="s">
        <v>931</v>
      </c>
      <c r="J1466" s="73">
        <v>79.25</v>
      </c>
      <c r="K1466" s="73">
        <v>0.79</v>
      </c>
      <c r="L1466" s="73">
        <v>0.32</v>
      </c>
      <c r="N1466" s="318">
        <f t="shared" si="268"/>
        <v>80.36</v>
      </c>
      <c r="O1466" s="81">
        <f>IFERROR(VLOOKUP($G1466,'321買'!A:E,3,0),"'沒有資料'")</f>
        <v>0</v>
      </c>
      <c r="P1466" s="380">
        <f>IFERROR(VLOOKUP($G1466,'321買'!$A:$G,7,0),"'沒有資料'")</f>
        <v>911</v>
      </c>
      <c r="R1466" s="297">
        <f>IFERROR(RANK(VLOOKUP($G1466,連買!$A:$D,4,0),連買!$D:$D,0),"'沒有資料'")</f>
        <v>93</v>
      </c>
      <c r="S1466" s="66">
        <v>10.199999999999999</v>
      </c>
      <c r="T1466" s="353">
        <f t="shared" ref="T1466:T1497" si="272">S1466/V1466</f>
        <v>7.7862595419847316E-2</v>
      </c>
      <c r="U1466" s="95">
        <v>7.48</v>
      </c>
      <c r="V1466" s="36">
        <f>RTD("money.excel",,"2597","Price")</f>
        <v>131</v>
      </c>
      <c r="W1466" s="66"/>
      <c r="X1466" s="15">
        <f t="shared" si="269"/>
        <v>131</v>
      </c>
      <c r="Y1466" s="3" t="e">
        <f t="shared" si="270"/>
        <v>#DIV/0!</v>
      </c>
      <c r="Z1466" s="413" t="s">
        <v>1831</v>
      </c>
      <c r="AA1466" s="161">
        <v>0</v>
      </c>
      <c r="AB1466" s="409">
        <v>0</v>
      </c>
      <c r="AC1466" s="259">
        <f t="shared" si="265"/>
        <v>0</v>
      </c>
      <c r="AD1466" s="22" t="s">
        <v>931</v>
      </c>
      <c r="AG1466" s="33">
        <f t="shared" si="271"/>
        <v>0</v>
      </c>
      <c r="AH1466" s="43" t="s">
        <v>3230</v>
      </c>
      <c r="AI1466" s="63">
        <f t="shared" ref="AI1466:AI1497" si="273">AJ1466/(A1466*10000)</f>
        <v>1.2666666666666666E-3</v>
      </c>
      <c r="AJ1466" s="307">
        <f>RTD("money.excel",,$G1466,"PredictVolume")</f>
        <v>171</v>
      </c>
      <c r="AK1466" s="339"/>
    </row>
    <row r="1467" spans="1:37">
      <c r="A1467" s="416">
        <v>76</v>
      </c>
      <c r="B1467" s="80">
        <v>-714</v>
      </c>
      <c r="C1467" s="79">
        <v>23</v>
      </c>
      <c r="D1467" s="79">
        <v>0</v>
      </c>
      <c r="E1467" s="79">
        <v>4</v>
      </c>
      <c r="F1467" s="73">
        <v>-164.75</v>
      </c>
      <c r="G1467" s="79">
        <v>2841</v>
      </c>
      <c r="H1467" s="8" t="s">
        <v>881</v>
      </c>
      <c r="I1467" s="22" t="s">
        <v>932</v>
      </c>
      <c r="J1467" s="323">
        <v>38.24</v>
      </c>
      <c r="K1467" s="73">
        <v>6.1</v>
      </c>
      <c r="L1467" s="73">
        <v>0</v>
      </c>
      <c r="N1467" s="318">
        <f t="shared" si="268"/>
        <v>44.34</v>
      </c>
      <c r="O1467" s="81" t="str">
        <f>IFERROR(VLOOKUP($G1467,'321買'!A:E,3,0),"'沒有資料'")</f>
        <v>'沒有資料'</v>
      </c>
      <c r="P1467" s="380" t="str">
        <f>IFERROR(VLOOKUP($G1467,'321買'!$A:$G,7,0),"'沒有資料'")</f>
        <v>'沒有資料'</v>
      </c>
      <c r="R1467" s="297">
        <f>IFERROR(RANK(VLOOKUP($G1467,連買!$A:$D,4,0),連買!$D:$D,0),"'沒有資料'")</f>
        <v>1536</v>
      </c>
      <c r="S1467" s="34">
        <v>0</v>
      </c>
      <c r="T1467" s="353" t="e">
        <f t="shared" si="272"/>
        <v>#VALUE!</v>
      </c>
      <c r="U1467" s="95">
        <v>-2.41</v>
      </c>
      <c r="V1467" s="36" t="str">
        <f>RTD("money.excel",,"2841","Price")</f>
        <v>商品錯誤</v>
      </c>
      <c r="W1467" s="66"/>
      <c r="X1467" s="15" t="e">
        <f t="shared" si="269"/>
        <v>#VALUE!</v>
      </c>
      <c r="Y1467" s="3" t="e">
        <f t="shared" si="270"/>
        <v>#VALUE!</v>
      </c>
      <c r="AA1467" s="161">
        <v>0</v>
      </c>
      <c r="AB1467" s="409">
        <v>0</v>
      </c>
      <c r="AC1467" s="259">
        <f t="shared" si="265"/>
        <v>0</v>
      </c>
      <c r="AD1467" s="22" t="s">
        <v>932</v>
      </c>
      <c r="AG1467" s="33">
        <f t="shared" si="271"/>
        <v>0</v>
      </c>
      <c r="AH1467" s="43" t="s">
        <v>3386</v>
      </c>
      <c r="AI1467" s="63" t="e">
        <f t="shared" si="273"/>
        <v>#VALUE!</v>
      </c>
      <c r="AJ1467" s="307" t="str">
        <f>RTD("money.excel",,$G1467,"PredictVolume")</f>
        <v>商品錯誤</v>
      </c>
      <c r="AK1467" s="81"/>
    </row>
    <row r="1468" spans="1:37">
      <c r="A1468" s="415">
        <v>174</v>
      </c>
      <c r="B1468" s="91">
        <v>-92</v>
      </c>
      <c r="C1468" s="91">
        <v>109</v>
      </c>
      <c r="D1468" s="91">
        <v>-40</v>
      </c>
      <c r="E1468" s="91">
        <v>-15</v>
      </c>
      <c r="F1468" s="57">
        <v>26.15</v>
      </c>
      <c r="G1468" s="79">
        <v>2923</v>
      </c>
      <c r="H1468" s="8" t="s">
        <v>881</v>
      </c>
      <c r="I1468" s="22" t="s">
        <v>945</v>
      </c>
      <c r="J1468" s="73">
        <v>99.31</v>
      </c>
      <c r="K1468" s="73">
        <v>99.19</v>
      </c>
      <c r="N1468" s="318">
        <f t="shared" si="268"/>
        <v>198.5</v>
      </c>
      <c r="O1468" s="81" t="str">
        <f>IFERROR(VLOOKUP($G1468,'321買'!A:E,3,0),"'沒有資料'")</f>
        <v>'沒有資料'</v>
      </c>
      <c r="P1468" s="380" t="str">
        <f>IFERROR(VLOOKUP($G1468,'321買'!$A:$G,7,0),"'沒有資料'")</f>
        <v>'沒有資料'</v>
      </c>
      <c r="R1468" s="297">
        <f>IFERROR(RANK(VLOOKUP($G1468,連買!$A:$D,4,0),連買!$D:$D,0),"'沒有資料'")</f>
        <v>699</v>
      </c>
      <c r="S1468" s="34">
        <v>1.2</v>
      </c>
      <c r="T1468" s="353">
        <f t="shared" si="272"/>
        <v>4.5801526717557252E-2</v>
      </c>
      <c r="U1468" s="57">
        <v>0.68</v>
      </c>
      <c r="V1468" s="13">
        <f>RTD("money.excel",,"2923","Price")</f>
        <v>26.2</v>
      </c>
      <c r="W1468" s="66"/>
      <c r="X1468" s="15">
        <f t="shared" si="269"/>
        <v>26.2</v>
      </c>
      <c r="Y1468" s="3" t="e">
        <f t="shared" si="270"/>
        <v>#DIV/0!</v>
      </c>
      <c r="AA1468" s="161">
        <v>0</v>
      </c>
      <c r="AB1468" s="409">
        <v>0</v>
      </c>
      <c r="AC1468" s="259">
        <f t="shared" si="265"/>
        <v>0</v>
      </c>
      <c r="AD1468" s="22" t="s">
        <v>945</v>
      </c>
      <c r="AG1468" s="33">
        <f t="shared" si="271"/>
        <v>0</v>
      </c>
      <c r="AH1468" s="43" t="s">
        <v>3229</v>
      </c>
      <c r="AI1468" s="63">
        <f t="shared" si="273"/>
        <v>9.7701149425287358E-6</v>
      </c>
      <c r="AJ1468" s="307">
        <f>RTD("money.excel",,$G1468,"PredictVolume")</f>
        <v>17</v>
      </c>
      <c r="AK1468" s="339"/>
    </row>
    <row r="1469" spans="1:37">
      <c r="A1469" s="416">
        <v>22.8</v>
      </c>
      <c r="B1469" s="91">
        <v>-49</v>
      </c>
      <c r="C1469" s="91">
        <v>-40</v>
      </c>
      <c r="D1469" s="91">
        <v>116</v>
      </c>
      <c r="E1469" s="91">
        <v>737</v>
      </c>
      <c r="F1469" s="6">
        <v>-14.06</v>
      </c>
      <c r="G1469" s="79">
        <v>3052</v>
      </c>
      <c r="H1469" s="8" t="s">
        <v>881</v>
      </c>
      <c r="I1469" s="22" t="s">
        <v>933</v>
      </c>
      <c r="J1469" s="73">
        <v>62.35</v>
      </c>
      <c r="K1469" s="73">
        <v>1.35</v>
      </c>
      <c r="L1469" s="73">
        <v>5.0199999999999996</v>
      </c>
      <c r="N1469" s="318">
        <f t="shared" si="268"/>
        <v>68.72</v>
      </c>
      <c r="O1469" s="81">
        <f>IFERROR(VLOOKUP($G1469,'321買'!A:E,3,0),"'沒有資料'")</f>
        <v>0</v>
      </c>
      <c r="P1469" s="380">
        <f>IFERROR(VLOOKUP($G1469,'321買'!$A:$G,7,0),"'沒有資料'")</f>
        <v>911</v>
      </c>
      <c r="R1469" s="297">
        <f>IFERROR(RANK(VLOOKUP($G1469,連買!$A:$D,4,0),連買!$D:$D,0),"'沒有資料'")</f>
        <v>1527</v>
      </c>
      <c r="S1469" s="34">
        <v>0.8</v>
      </c>
      <c r="T1469" s="353">
        <f t="shared" si="272"/>
        <v>7.6555023923444987E-2</v>
      </c>
      <c r="U1469" s="95">
        <v>1.59</v>
      </c>
      <c r="V1469" s="13">
        <f>RTD("money.excel",,"3052","Price")</f>
        <v>10.45</v>
      </c>
      <c r="W1469" s="66"/>
      <c r="X1469" s="15">
        <f t="shared" si="269"/>
        <v>10.45</v>
      </c>
      <c r="Y1469" s="3" t="e">
        <f t="shared" si="270"/>
        <v>#DIV/0!</v>
      </c>
      <c r="AA1469" s="161">
        <v>0</v>
      </c>
      <c r="AB1469" s="409">
        <v>0</v>
      </c>
      <c r="AC1469" s="259">
        <f t="shared" si="265"/>
        <v>0</v>
      </c>
      <c r="AD1469" s="22" t="s">
        <v>933</v>
      </c>
      <c r="AG1469" s="33">
        <f t="shared" si="271"/>
        <v>0</v>
      </c>
      <c r="AH1469" s="43" t="s">
        <v>1553</v>
      </c>
      <c r="AI1469" s="63">
        <f t="shared" si="273"/>
        <v>1.75E-3</v>
      </c>
      <c r="AJ1469" s="307">
        <f>RTD("money.excel",,$G1469,"PredictVolume")</f>
        <v>399</v>
      </c>
      <c r="AK1469" s="339"/>
    </row>
    <row r="1470" spans="1:37">
      <c r="A1470" s="415">
        <v>21.1</v>
      </c>
      <c r="B1470" s="79">
        <v>218</v>
      </c>
      <c r="C1470" s="79">
        <v>229</v>
      </c>
      <c r="D1470" s="79">
        <v>1</v>
      </c>
      <c r="E1470" s="79">
        <v>-99</v>
      </c>
      <c r="F1470" s="57">
        <v>23.8</v>
      </c>
      <c r="G1470" s="79">
        <v>3056</v>
      </c>
      <c r="H1470" s="8" t="s">
        <v>881</v>
      </c>
      <c r="I1470" s="22" t="s">
        <v>934</v>
      </c>
      <c r="J1470" s="73">
        <v>42.66</v>
      </c>
      <c r="K1470" s="73">
        <v>7.65</v>
      </c>
      <c r="L1470" s="73">
        <v>10.53</v>
      </c>
      <c r="N1470" s="318">
        <f t="shared" si="268"/>
        <v>60.839999999999996</v>
      </c>
      <c r="O1470" s="81">
        <f>IFERROR(VLOOKUP($G1470,'321買'!A:E,3,0),"'沒有資料'")</f>
        <v>0</v>
      </c>
      <c r="P1470" s="380">
        <f>IFERROR(VLOOKUP($G1470,'321買'!$A:$G,7,0),"'沒有資料'")</f>
        <v>911</v>
      </c>
      <c r="Q1470" s="245" t="s">
        <v>3816</v>
      </c>
      <c r="R1470" s="297">
        <f>IFERROR(RANK(VLOOKUP($G1470,連買!$A:$D,4,0),連買!$D:$D,0),"'沒有資料'")</f>
        <v>589</v>
      </c>
      <c r="S1470" s="66">
        <v>4.4000000000000004</v>
      </c>
      <c r="T1470" s="353">
        <f t="shared" si="272"/>
        <v>0.12716763005780346</v>
      </c>
      <c r="U1470" s="95">
        <v>7.1</v>
      </c>
      <c r="V1470" s="36">
        <f>RTD("money.excel",,"3056","Price")</f>
        <v>34.6</v>
      </c>
      <c r="W1470" s="66"/>
      <c r="X1470" s="15">
        <f t="shared" si="269"/>
        <v>34.6</v>
      </c>
      <c r="Y1470" s="3" t="e">
        <f t="shared" si="270"/>
        <v>#DIV/0!</v>
      </c>
      <c r="Z1470" s="413" t="s">
        <v>1831</v>
      </c>
      <c r="AA1470" s="161">
        <v>0</v>
      </c>
      <c r="AB1470" s="409">
        <v>0</v>
      </c>
      <c r="AC1470" s="259">
        <f t="shared" si="265"/>
        <v>0</v>
      </c>
      <c r="AD1470" s="22" t="s">
        <v>934</v>
      </c>
      <c r="AG1470" s="33">
        <f t="shared" si="271"/>
        <v>0</v>
      </c>
      <c r="AH1470" s="43" t="s">
        <v>2150</v>
      </c>
      <c r="AI1470" s="63">
        <f t="shared" si="273"/>
        <v>2.1848341232227489E-3</v>
      </c>
      <c r="AJ1470" s="307">
        <f>RTD("money.excel",,$G1470,"PredictVolume")</f>
        <v>461</v>
      </c>
      <c r="AK1470" s="339"/>
    </row>
    <row r="1471" spans="1:37">
      <c r="A1471" s="416">
        <v>12</v>
      </c>
      <c r="B1471" s="91">
        <v>-74</v>
      </c>
      <c r="C1471" s="91">
        <v>-64</v>
      </c>
      <c r="D1471" s="91">
        <v>108</v>
      </c>
      <c r="E1471" s="91">
        <v>270</v>
      </c>
      <c r="F1471" s="6">
        <v>9.7100000000000009</v>
      </c>
      <c r="G1471" s="79">
        <v>3188</v>
      </c>
      <c r="H1471" s="8" t="s">
        <v>881</v>
      </c>
      <c r="I1471" s="16" t="s">
        <v>884</v>
      </c>
      <c r="J1471" s="73">
        <v>76.989999999999995</v>
      </c>
      <c r="K1471" s="73">
        <v>0</v>
      </c>
      <c r="L1471" s="73">
        <v>4.24</v>
      </c>
      <c r="N1471" s="318">
        <f t="shared" si="268"/>
        <v>81.22999999999999</v>
      </c>
      <c r="O1471" s="81">
        <f>IFERROR(VLOOKUP($G1471,'321買'!A:E,3,0),"'沒有資料'")</f>
        <v>0</v>
      </c>
      <c r="P1471" s="380">
        <f>IFERROR(VLOOKUP($G1471,'321買'!$A:$G,7,0),"'沒有資料'")</f>
        <v>911</v>
      </c>
      <c r="R1471" s="297">
        <f>IFERROR(RANK(VLOOKUP($G1471,連買!$A:$D,4,0),連買!$D:$D,0),"'沒有資料'")</f>
        <v>1130</v>
      </c>
      <c r="S1471" s="34">
        <v>0.3</v>
      </c>
      <c r="T1471" s="353">
        <f t="shared" si="272"/>
        <v>1.8518518518518517E-2</v>
      </c>
      <c r="U1471" s="95">
        <v>0.49</v>
      </c>
      <c r="V1471" s="36">
        <f>RTD("money.excel",,"3188","Price")</f>
        <v>16.2</v>
      </c>
      <c r="W1471" s="66"/>
      <c r="X1471" s="15">
        <f t="shared" si="269"/>
        <v>16.2</v>
      </c>
      <c r="Y1471" s="3" t="e">
        <f t="shared" si="270"/>
        <v>#DIV/0!</v>
      </c>
      <c r="AA1471" s="161">
        <v>0</v>
      </c>
      <c r="AB1471" s="409">
        <v>0</v>
      </c>
      <c r="AC1471" s="259">
        <f t="shared" si="265"/>
        <v>0</v>
      </c>
      <c r="AD1471" s="16" t="s">
        <v>884</v>
      </c>
      <c r="AG1471" s="33">
        <f t="shared" si="271"/>
        <v>0</v>
      </c>
      <c r="AH1471" s="43" t="s">
        <v>2850</v>
      </c>
      <c r="AI1471" s="63">
        <f t="shared" si="273"/>
        <v>1.225E-3</v>
      </c>
      <c r="AJ1471" s="307">
        <f>RTD("money.excel",,$G1471,"PredictVolume")</f>
        <v>147</v>
      </c>
      <c r="AK1471" s="339"/>
    </row>
    <row r="1472" spans="1:37">
      <c r="A1472" s="416">
        <v>35.200000000000003</v>
      </c>
      <c r="B1472" s="91">
        <v>-30</v>
      </c>
      <c r="C1472" s="91">
        <v>-12</v>
      </c>
      <c r="D1472" s="91">
        <v>-38</v>
      </c>
      <c r="E1472" s="91">
        <v>-26</v>
      </c>
      <c r="F1472" s="6">
        <v>9.1300000000000008</v>
      </c>
      <c r="G1472" s="79">
        <v>3266</v>
      </c>
      <c r="H1472" s="8" t="s">
        <v>881</v>
      </c>
      <c r="I1472" s="22" t="s">
        <v>935</v>
      </c>
      <c r="J1472" s="73">
        <v>88.91</v>
      </c>
      <c r="K1472" s="73">
        <v>4.92</v>
      </c>
      <c r="L1472" s="73">
        <v>3.7</v>
      </c>
      <c r="N1472" s="318">
        <f t="shared" si="268"/>
        <v>97.53</v>
      </c>
      <c r="O1472" s="81">
        <f>IFERROR(VLOOKUP($G1472,'321買'!A:E,3,0),"'沒有資料'")</f>
        <v>0</v>
      </c>
      <c r="P1472" s="380">
        <f>IFERROR(VLOOKUP($G1472,'321買'!$A:$G,7,0),"'沒有資料'")</f>
        <v>911</v>
      </c>
      <c r="R1472" s="297">
        <f>IFERROR(RANK(VLOOKUP($G1472,連買!$A:$D,4,0),連買!$D:$D,0),"'沒有資料'")</f>
        <v>842</v>
      </c>
      <c r="S1472" s="34">
        <v>0</v>
      </c>
      <c r="T1472" s="353">
        <f t="shared" si="272"/>
        <v>0</v>
      </c>
      <c r="U1472" s="95">
        <v>0.4</v>
      </c>
      <c r="V1472" s="13">
        <f>RTD("money.excel",,"3266","Price")</f>
        <v>16.55</v>
      </c>
      <c r="W1472" s="66"/>
      <c r="X1472" s="15">
        <f t="shared" si="269"/>
        <v>16.55</v>
      </c>
      <c r="Y1472" s="3" t="e">
        <f t="shared" si="270"/>
        <v>#DIV/0!</v>
      </c>
      <c r="AA1472" s="161">
        <v>0</v>
      </c>
      <c r="AB1472" s="409">
        <v>0</v>
      </c>
      <c r="AC1472" s="259">
        <f t="shared" si="265"/>
        <v>0</v>
      </c>
      <c r="AD1472" s="22" t="s">
        <v>935</v>
      </c>
      <c r="AG1472" s="33">
        <f t="shared" si="271"/>
        <v>0</v>
      </c>
      <c r="AH1472" s="43" t="s">
        <v>2150</v>
      </c>
      <c r="AI1472" s="63">
        <f t="shared" si="273"/>
        <v>8.7698863636363634E-3</v>
      </c>
      <c r="AJ1472" s="307">
        <f>RTD("money.excel",,$G1472,"PredictVolume")</f>
        <v>3087</v>
      </c>
      <c r="AK1472" s="339"/>
    </row>
    <row r="1473" spans="1:37">
      <c r="A1473" s="416">
        <v>8.31</v>
      </c>
      <c r="B1473" s="79">
        <v>1</v>
      </c>
      <c r="C1473" s="79">
        <v>16</v>
      </c>
      <c r="D1473" s="79">
        <v>5</v>
      </c>
      <c r="E1473" s="79">
        <v>270</v>
      </c>
      <c r="F1473" s="6">
        <v>6.44</v>
      </c>
      <c r="G1473" s="79">
        <v>3489</v>
      </c>
      <c r="H1473" s="8" t="s">
        <v>881</v>
      </c>
      <c r="I1473" s="16" t="s">
        <v>885</v>
      </c>
      <c r="J1473" s="323">
        <v>78.63</v>
      </c>
      <c r="K1473" s="73">
        <v>0.08</v>
      </c>
      <c r="L1473" s="73">
        <v>12.54</v>
      </c>
      <c r="N1473" s="318">
        <f t="shared" si="268"/>
        <v>91.25</v>
      </c>
      <c r="O1473" s="81">
        <f>IFERROR(VLOOKUP($G1473,'321買'!A:E,3,0),"'沒有資料'")</f>
        <v>0</v>
      </c>
      <c r="P1473" s="380">
        <f>IFERROR(VLOOKUP($G1473,'321買'!$A:$G,7,0),"'沒有資料'")</f>
        <v>911</v>
      </c>
      <c r="R1473" s="297">
        <f>IFERROR(RANK(VLOOKUP($G1473,連買!$A:$D,4,0),連買!$D:$D,0),"'沒有資料'")</f>
        <v>1308</v>
      </c>
      <c r="S1473" s="34">
        <v>0.3</v>
      </c>
      <c r="T1473" s="353">
        <f t="shared" si="272"/>
        <v>2.8037383177570093E-2</v>
      </c>
      <c r="U1473" s="57">
        <v>0.32</v>
      </c>
      <c r="V1473" s="36">
        <f>RTD("money.excel",,"3489","Price")</f>
        <v>10.7</v>
      </c>
      <c r="W1473" s="66"/>
      <c r="X1473" s="15">
        <f t="shared" si="269"/>
        <v>10.7</v>
      </c>
      <c r="Y1473" s="3" t="e">
        <f t="shared" si="270"/>
        <v>#DIV/0!</v>
      </c>
      <c r="AA1473" s="161">
        <v>0</v>
      </c>
      <c r="AB1473" s="409">
        <v>0</v>
      </c>
      <c r="AC1473" s="259">
        <f t="shared" si="265"/>
        <v>0</v>
      </c>
      <c r="AD1473" s="16" t="s">
        <v>885</v>
      </c>
      <c r="AG1473" s="33">
        <f t="shared" si="271"/>
        <v>0</v>
      </c>
      <c r="AH1473" s="43" t="s">
        <v>2150</v>
      </c>
      <c r="AI1473" s="63">
        <f t="shared" si="273"/>
        <v>7.2202166064981954E-5</v>
      </c>
      <c r="AJ1473" s="307">
        <f>RTD("money.excel",,$G1473,"PredictVolume")</f>
        <v>6</v>
      </c>
      <c r="AK1473" s="339"/>
    </row>
    <row r="1474" spans="1:37">
      <c r="A1474" s="416">
        <v>82.3</v>
      </c>
      <c r="B1474" s="80">
        <v>-1</v>
      </c>
      <c r="C1474" s="80">
        <v>-11</v>
      </c>
      <c r="D1474" s="80">
        <v>-8</v>
      </c>
      <c r="E1474" s="79">
        <v>31</v>
      </c>
      <c r="F1474" s="6">
        <v>8.67</v>
      </c>
      <c r="G1474" s="79">
        <v>3703</v>
      </c>
      <c r="H1474" s="8" t="s">
        <v>881</v>
      </c>
      <c r="I1474" s="22" t="s">
        <v>4953</v>
      </c>
      <c r="J1474" s="73">
        <v>76.16</v>
      </c>
      <c r="K1474" s="73">
        <v>21.69</v>
      </c>
      <c r="L1474" s="323">
        <v>5.55</v>
      </c>
      <c r="N1474" s="318">
        <f t="shared" si="268"/>
        <v>103.39999999999999</v>
      </c>
      <c r="O1474" s="81">
        <f>IFERROR(VLOOKUP($G1474,'321買'!A:E,3,0),"'沒有資料'")</f>
        <v>0</v>
      </c>
      <c r="P1474" s="380">
        <f>IFERROR(VLOOKUP($G1474,'321買'!$A:$G,7,0),"'沒有資料'")</f>
        <v>911</v>
      </c>
      <c r="R1474" s="297">
        <f>IFERROR(RANK(VLOOKUP($G1474,連買!$A:$D,4,0),連買!$D:$D,0),"'沒有資料'")</f>
        <v>1005</v>
      </c>
      <c r="S1474" s="34">
        <v>1.4</v>
      </c>
      <c r="T1474" s="353">
        <f t="shared" si="272"/>
        <v>5.1565377532228361E-2</v>
      </c>
      <c r="U1474" s="95">
        <v>1.87</v>
      </c>
      <c r="V1474" s="36">
        <f>RTD("money.excel",,"3703","Price")</f>
        <v>27.15</v>
      </c>
      <c r="W1474" s="66"/>
      <c r="X1474" s="15">
        <f t="shared" si="269"/>
        <v>27.15</v>
      </c>
      <c r="Y1474" s="3" t="e">
        <f t="shared" si="270"/>
        <v>#DIV/0!</v>
      </c>
      <c r="Z1474" s="413" t="s">
        <v>1801</v>
      </c>
      <c r="AA1474" s="161">
        <v>0</v>
      </c>
      <c r="AB1474" s="409">
        <v>0</v>
      </c>
      <c r="AC1474" s="259">
        <f t="shared" si="265"/>
        <v>0</v>
      </c>
      <c r="AD1474" s="22" t="s">
        <v>4953</v>
      </c>
      <c r="AG1474" s="33">
        <f t="shared" si="271"/>
        <v>0</v>
      </c>
      <c r="AH1474" s="120" t="s">
        <v>2186</v>
      </c>
      <c r="AI1474" s="63">
        <f t="shared" si="273"/>
        <v>2.2721749696233292E-3</v>
      </c>
      <c r="AJ1474" s="307">
        <f>RTD("money.excel",,$G1474,"PredictVolume")</f>
        <v>1870</v>
      </c>
      <c r="AK1474" s="339"/>
    </row>
    <row r="1475" spans="1:37">
      <c r="A1475" s="416">
        <v>21.1</v>
      </c>
      <c r="B1475" s="80">
        <v>26</v>
      </c>
      <c r="C1475" s="80">
        <v>-136</v>
      </c>
      <c r="D1475" s="79">
        <v>10</v>
      </c>
      <c r="E1475" s="80">
        <v>-49</v>
      </c>
      <c r="F1475" s="57">
        <v>-19.88</v>
      </c>
      <c r="G1475" s="79">
        <v>4113</v>
      </c>
      <c r="H1475" s="8" t="s">
        <v>881</v>
      </c>
      <c r="I1475" s="16" t="s">
        <v>886</v>
      </c>
      <c r="J1475" s="73">
        <v>62.87</v>
      </c>
      <c r="K1475" s="73">
        <v>0.27</v>
      </c>
      <c r="L1475" s="73">
        <v>1.83</v>
      </c>
      <c r="N1475" s="318">
        <f t="shared" si="268"/>
        <v>64.97</v>
      </c>
      <c r="O1475" s="81">
        <f>IFERROR(VLOOKUP($G1475,'321買'!A:E,3,0),"'沒有資料'")</f>
        <v>0</v>
      </c>
      <c r="P1475" s="380">
        <f>IFERROR(VLOOKUP($G1475,'321買'!$A:$G,7,0),"'沒有資料'")</f>
        <v>911</v>
      </c>
      <c r="R1475" s="297">
        <f>IFERROR(RANK(VLOOKUP($G1475,連買!$A:$D,4,0),連買!$D:$D,0),"'沒有資料'")</f>
        <v>1190</v>
      </c>
      <c r="S1475" s="34">
        <v>0.3</v>
      </c>
      <c r="T1475" s="353">
        <f t="shared" si="272"/>
        <v>2.1276595744680851E-2</v>
      </c>
      <c r="U1475" s="57">
        <v>-0.5</v>
      </c>
      <c r="V1475" s="36">
        <f>RTD("money.excel",,"4113","Price")</f>
        <v>14.1</v>
      </c>
      <c r="W1475" s="66"/>
      <c r="X1475" s="15">
        <f t="shared" si="269"/>
        <v>14.1</v>
      </c>
      <c r="Y1475" s="3" t="e">
        <f t="shared" si="270"/>
        <v>#DIV/0!</v>
      </c>
      <c r="Z1475" s="413" t="s">
        <v>1801</v>
      </c>
      <c r="AA1475" s="161">
        <v>0</v>
      </c>
      <c r="AB1475" s="409">
        <v>0</v>
      </c>
      <c r="AC1475" s="259">
        <f t="shared" si="265"/>
        <v>0</v>
      </c>
      <c r="AD1475" s="16" t="s">
        <v>886</v>
      </c>
      <c r="AG1475" s="33">
        <f t="shared" si="271"/>
        <v>0</v>
      </c>
      <c r="AH1475" s="43" t="s">
        <v>2275</v>
      </c>
      <c r="AI1475" s="63">
        <f t="shared" si="273"/>
        <v>2.8909952606635071E-4</v>
      </c>
      <c r="AJ1475" s="307">
        <f>RTD("money.excel",,$G1475,"PredictVolume")</f>
        <v>61</v>
      </c>
    </row>
    <row r="1476" spans="1:37">
      <c r="A1476" s="415">
        <v>6</v>
      </c>
      <c r="B1476" s="91">
        <v>-1</v>
      </c>
      <c r="C1476" s="91">
        <v>182</v>
      </c>
      <c r="D1476" s="91">
        <v>2</v>
      </c>
      <c r="E1476" s="91">
        <v>0</v>
      </c>
      <c r="F1476" s="57">
        <v>13.4</v>
      </c>
      <c r="G1476" s="79">
        <v>4416</v>
      </c>
      <c r="H1476" s="8" t="s">
        <v>881</v>
      </c>
      <c r="I1476" s="16" t="s">
        <v>887</v>
      </c>
      <c r="J1476" s="73">
        <v>94.01</v>
      </c>
      <c r="K1476" s="73">
        <v>0</v>
      </c>
      <c r="L1476" s="73">
        <v>0.79</v>
      </c>
      <c r="N1476" s="318">
        <f t="shared" si="268"/>
        <v>94.800000000000011</v>
      </c>
      <c r="O1476" s="81" t="str">
        <f>IFERROR(VLOOKUP($G1476,'321買'!A:E,3,0),"'沒有資料'")</f>
        <v>'沒有資料'</v>
      </c>
      <c r="P1476" s="380" t="str">
        <f>IFERROR(VLOOKUP($G1476,'321買'!$A:$G,7,0),"'沒有資料'")</f>
        <v>'沒有資料'</v>
      </c>
      <c r="R1476" s="297">
        <f>IFERROR(RANK(VLOOKUP($G1476,連買!$A:$D,4,0),連買!$D:$D,0),"'沒有資料'")</f>
        <v>261</v>
      </c>
      <c r="S1476" s="34">
        <v>0</v>
      </c>
      <c r="T1476" s="353">
        <f t="shared" si="272"/>
        <v>0</v>
      </c>
      <c r="U1476" s="95">
        <v>-1.95</v>
      </c>
      <c r="V1476" s="36">
        <f>RTD("money.excel",,"4416","Price")</f>
        <v>99.3</v>
      </c>
      <c r="W1476" s="66"/>
      <c r="X1476" s="15">
        <f t="shared" si="269"/>
        <v>99.3</v>
      </c>
      <c r="Y1476" s="3" t="e">
        <f t="shared" si="270"/>
        <v>#DIV/0!</v>
      </c>
      <c r="AA1476" s="161">
        <v>0</v>
      </c>
      <c r="AB1476" s="409">
        <v>0</v>
      </c>
      <c r="AC1476" s="259">
        <f t="shared" ref="AC1476:AC1538" si="274">AA1476-AB1476</f>
        <v>0</v>
      </c>
      <c r="AD1476" s="16" t="s">
        <v>887</v>
      </c>
      <c r="AG1476" s="33">
        <f t="shared" si="271"/>
        <v>0</v>
      </c>
      <c r="AH1476" s="43" t="s">
        <v>2851</v>
      </c>
      <c r="AI1476" s="63">
        <f t="shared" si="273"/>
        <v>3.5E-4</v>
      </c>
      <c r="AJ1476" s="307">
        <f>RTD("money.excel",,$G1476,"PredictVolume")</f>
        <v>21</v>
      </c>
      <c r="AK1476" s="339"/>
    </row>
    <row r="1477" spans="1:37">
      <c r="A1477" s="415">
        <v>11.8</v>
      </c>
      <c r="B1477" s="80">
        <v>-11</v>
      </c>
      <c r="C1477" s="80">
        <v>-14</v>
      </c>
      <c r="D1477" s="80">
        <v>-19</v>
      </c>
      <c r="E1477" s="79">
        <v>61</v>
      </c>
      <c r="F1477" s="57">
        <v>11.02</v>
      </c>
      <c r="G1477" s="79">
        <v>4907</v>
      </c>
      <c r="H1477" s="8" t="s">
        <v>881</v>
      </c>
      <c r="I1477" s="16" t="s">
        <v>888</v>
      </c>
      <c r="J1477" s="323">
        <v>85.11</v>
      </c>
      <c r="K1477" s="73">
        <v>0.13</v>
      </c>
      <c r="L1477" s="73">
        <v>1.56</v>
      </c>
      <c r="N1477" s="318">
        <f t="shared" si="268"/>
        <v>86.8</v>
      </c>
      <c r="O1477" s="81" t="str">
        <f>IFERROR(VLOOKUP($G1477,'321買'!A:E,3,0),"'沒有資料'")</f>
        <v>'沒有資料'</v>
      </c>
      <c r="P1477" s="380" t="str">
        <f>IFERROR(VLOOKUP($G1477,'321買'!$A:$G,7,0),"'沒有資料'")</f>
        <v>'沒有資料'</v>
      </c>
      <c r="R1477" s="297">
        <f>IFERROR(RANK(VLOOKUP($G1477,連買!$A:$D,4,0),連買!$D:$D,0),"'沒有資料'")</f>
        <v>1086</v>
      </c>
      <c r="S1477" s="34">
        <v>1.2</v>
      </c>
      <c r="T1477" s="353">
        <f t="shared" si="272"/>
        <v>4.9382716049382713E-2</v>
      </c>
      <c r="U1477" s="57">
        <v>1.2</v>
      </c>
      <c r="V1477" s="36">
        <f>RTD("money.excel",,"4907","Price")</f>
        <v>24.3</v>
      </c>
      <c r="W1477" s="66"/>
      <c r="X1477" s="15">
        <f t="shared" si="269"/>
        <v>24.3</v>
      </c>
      <c r="Y1477" s="3" t="e">
        <f t="shared" si="270"/>
        <v>#DIV/0!</v>
      </c>
      <c r="AA1477" s="161">
        <v>0</v>
      </c>
      <c r="AB1477" s="409">
        <v>0</v>
      </c>
      <c r="AC1477" s="259">
        <f t="shared" si="274"/>
        <v>0</v>
      </c>
      <c r="AD1477" s="16" t="s">
        <v>888</v>
      </c>
      <c r="AG1477" s="33">
        <f t="shared" si="271"/>
        <v>0</v>
      </c>
      <c r="AH1477" s="43" t="s">
        <v>2852</v>
      </c>
      <c r="AI1477" s="63">
        <f t="shared" si="273"/>
        <v>5.9322033898305087E-5</v>
      </c>
      <c r="AJ1477" s="307">
        <f>RTD("money.excel",,$G1477,"PredictVolume")</f>
        <v>7</v>
      </c>
      <c r="AK1477" s="339"/>
    </row>
    <row r="1478" spans="1:37">
      <c r="A1478" s="415">
        <v>15.5</v>
      </c>
      <c r="B1478" s="91">
        <v>-5</v>
      </c>
      <c r="C1478" s="91">
        <v>-4</v>
      </c>
      <c r="D1478" s="91">
        <v>-25</v>
      </c>
      <c r="E1478" s="91">
        <v>-23</v>
      </c>
      <c r="F1478" s="57">
        <v>19.55</v>
      </c>
      <c r="G1478" s="79">
        <v>5206</v>
      </c>
      <c r="H1478" s="8" t="s">
        <v>881</v>
      </c>
      <c r="I1478" s="16" t="s">
        <v>889</v>
      </c>
      <c r="J1478" s="73">
        <v>82.94</v>
      </c>
      <c r="K1478" s="73">
        <v>10.58</v>
      </c>
      <c r="L1478" s="73">
        <v>1.57</v>
      </c>
      <c r="N1478" s="318">
        <f t="shared" si="268"/>
        <v>95.089999999999989</v>
      </c>
      <c r="O1478" s="81">
        <f>IFERROR(VLOOKUP($G1478,'321買'!A:E,3,0),"'沒有資料'")</f>
        <v>0</v>
      </c>
      <c r="P1478" s="380">
        <f>IFERROR(VLOOKUP($G1478,'321買'!$A:$G,7,0),"'沒有資料'")</f>
        <v>911</v>
      </c>
      <c r="R1478" s="297">
        <f>IFERROR(RANK(VLOOKUP($G1478,連買!$A:$D,4,0),連買!$D:$D,0),"'沒有資料'")</f>
        <v>1480</v>
      </c>
      <c r="S1478" s="34">
        <v>1.25</v>
      </c>
      <c r="T1478" s="353">
        <f t="shared" si="272"/>
        <v>8.3333333333333329E-2</v>
      </c>
      <c r="U1478" s="95">
        <v>3.15</v>
      </c>
      <c r="V1478" s="36">
        <f>RTD("money.excel",,"5206","Price")</f>
        <v>15</v>
      </c>
      <c r="W1478" s="66"/>
      <c r="X1478" s="15">
        <f t="shared" si="269"/>
        <v>15</v>
      </c>
      <c r="Y1478" s="3" t="e">
        <f t="shared" si="270"/>
        <v>#DIV/0!</v>
      </c>
      <c r="AA1478" s="161">
        <v>0</v>
      </c>
      <c r="AB1478" s="409">
        <v>0</v>
      </c>
      <c r="AC1478" s="259">
        <f t="shared" si="274"/>
        <v>0</v>
      </c>
      <c r="AD1478" s="16" t="s">
        <v>889</v>
      </c>
      <c r="AG1478" s="33">
        <f t="shared" si="271"/>
        <v>0</v>
      </c>
      <c r="AH1478" s="43" t="s">
        <v>2150</v>
      </c>
      <c r="AI1478" s="63">
        <f t="shared" si="273"/>
        <v>1.0967741935483871E-4</v>
      </c>
      <c r="AJ1478" s="307">
        <f>RTD("money.excel",,$G1478,"PredictVolume")</f>
        <v>17</v>
      </c>
      <c r="AK1478" s="339"/>
    </row>
    <row r="1479" spans="1:37">
      <c r="A1479" s="416">
        <v>34.6</v>
      </c>
      <c r="B1479" s="80">
        <v>-171</v>
      </c>
      <c r="C1479" s="79">
        <v>29</v>
      </c>
      <c r="D1479" s="79">
        <v>414</v>
      </c>
      <c r="E1479" s="79">
        <v>658</v>
      </c>
      <c r="F1479" s="6">
        <v>4.5599999999999996</v>
      </c>
      <c r="G1479" s="79">
        <v>5213</v>
      </c>
      <c r="H1479" s="8" t="s">
        <v>881</v>
      </c>
      <c r="I1479" s="16" t="s">
        <v>890</v>
      </c>
      <c r="J1479" s="323">
        <v>79.680000000000007</v>
      </c>
      <c r="K1479" s="73">
        <v>1.58</v>
      </c>
      <c r="L1479" s="323">
        <v>1.54</v>
      </c>
      <c r="N1479" s="318">
        <f t="shared" si="268"/>
        <v>82.800000000000011</v>
      </c>
      <c r="O1479" s="81">
        <f>IFERROR(VLOOKUP($G1479,'321買'!A:E,3,0),"'沒有資料'")</f>
        <v>0</v>
      </c>
      <c r="P1479" s="380">
        <f>IFERROR(VLOOKUP($G1479,'321買'!$A:$G,7,0),"'沒有資料'")</f>
        <v>911</v>
      </c>
      <c r="R1479" s="297">
        <f>IFERROR(RANK(VLOOKUP($G1479,連買!$A:$D,4,0),連買!$D:$D,0),"'沒有資料'")</f>
        <v>780</v>
      </c>
      <c r="S1479" s="34">
        <v>2</v>
      </c>
      <c r="T1479" s="353">
        <f t="shared" si="272"/>
        <v>8.3333333333333329E-2</v>
      </c>
      <c r="U1479" s="57">
        <v>1.76</v>
      </c>
      <c r="V1479" s="36">
        <f>RTD("money.excel",,"5213","Price")</f>
        <v>24</v>
      </c>
      <c r="W1479" s="66"/>
      <c r="X1479" s="15">
        <f t="shared" si="269"/>
        <v>24</v>
      </c>
      <c r="Y1479" s="3" t="e">
        <f t="shared" si="270"/>
        <v>#DIV/0!</v>
      </c>
      <c r="Z1479" s="413" t="s">
        <v>1801</v>
      </c>
      <c r="AA1479" s="161">
        <v>0</v>
      </c>
      <c r="AB1479" s="409">
        <v>0</v>
      </c>
      <c r="AC1479" s="259">
        <f t="shared" si="274"/>
        <v>0</v>
      </c>
      <c r="AD1479" s="16" t="s">
        <v>890</v>
      </c>
      <c r="AG1479" s="33">
        <f t="shared" si="271"/>
        <v>0</v>
      </c>
      <c r="AH1479" s="43" t="s">
        <v>2150</v>
      </c>
      <c r="AI1479" s="63">
        <f t="shared" si="273"/>
        <v>2.8034682080924853E-4</v>
      </c>
      <c r="AJ1479" s="307">
        <f>RTD("money.excel",,$G1479,"PredictVolume")</f>
        <v>97</v>
      </c>
      <c r="AK1479" s="339"/>
    </row>
    <row r="1480" spans="1:37">
      <c r="A1480" s="416">
        <v>22.6</v>
      </c>
      <c r="B1480" s="80">
        <v>-634</v>
      </c>
      <c r="C1480" s="80">
        <v>-5</v>
      </c>
      <c r="D1480" s="79">
        <v>1</v>
      </c>
      <c r="E1480" s="79">
        <v>23</v>
      </c>
      <c r="F1480" s="6">
        <v>-78.25</v>
      </c>
      <c r="G1480" s="79">
        <v>5324</v>
      </c>
      <c r="H1480" s="8" t="s">
        <v>881</v>
      </c>
      <c r="I1480" s="16" t="s">
        <v>891</v>
      </c>
      <c r="J1480" s="73">
        <v>69.38</v>
      </c>
      <c r="K1480" s="73">
        <v>5.54</v>
      </c>
      <c r="L1480" s="323"/>
      <c r="N1480" s="318">
        <f t="shared" si="268"/>
        <v>74.92</v>
      </c>
      <c r="O1480" s="81" t="str">
        <f>IFERROR(VLOOKUP($G1480,'321買'!A:E,3,0),"'沒有資料'")</f>
        <v>'沒有資料'</v>
      </c>
      <c r="P1480" s="380" t="str">
        <f>IFERROR(VLOOKUP($G1480,'321買'!$A:$G,7,0),"'沒有資料'")</f>
        <v>'沒有資料'</v>
      </c>
      <c r="R1480" s="297">
        <f>IFERROR(RANK(VLOOKUP($G1480,連買!$A:$D,4,0),連買!$D:$D,0),"'沒有資料'")</f>
        <v>1357</v>
      </c>
      <c r="S1480" s="34">
        <v>0</v>
      </c>
      <c r="T1480" s="353">
        <f t="shared" si="272"/>
        <v>0</v>
      </c>
      <c r="U1480" s="57">
        <v>-0.97</v>
      </c>
      <c r="V1480" s="36">
        <f>RTD("money.excel",,"5324","Price")</f>
        <v>9.31</v>
      </c>
      <c r="W1480" s="66"/>
      <c r="X1480" s="15">
        <f t="shared" si="269"/>
        <v>9.31</v>
      </c>
      <c r="Y1480" s="3" t="e">
        <f t="shared" si="270"/>
        <v>#DIV/0!</v>
      </c>
      <c r="AA1480" s="161">
        <v>0</v>
      </c>
      <c r="AB1480" s="409">
        <v>0</v>
      </c>
      <c r="AC1480" s="259">
        <f t="shared" si="274"/>
        <v>0</v>
      </c>
      <c r="AD1480" s="16" t="s">
        <v>891</v>
      </c>
      <c r="AG1480" s="33">
        <f t="shared" si="271"/>
        <v>0</v>
      </c>
      <c r="AH1480" s="43" t="s">
        <v>2853</v>
      </c>
      <c r="AI1480" s="63">
        <f t="shared" si="273"/>
        <v>2.0353982300884955E-4</v>
      </c>
      <c r="AJ1480" s="307">
        <f>RTD("money.excel",,$G1480,"PredictVolume")</f>
        <v>46</v>
      </c>
      <c r="AK1480" s="339"/>
    </row>
    <row r="1481" spans="1:37">
      <c r="A1481" s="415">
        <v>6.55</v>
      </c>
      <c r="B1481" s="91">
        <v>-104</v>
      </c>
      <c r="C1481" s="91">
        <v>-106</v>
      </c>
      <c r="D1481" s="91">
        <v>0</v>
      </c>
      <c r="E1481" s="91">
        <v>-1</v>
      </c>
      <c r="F1481" s="151">
        <v>-924.9</v>
      </c>
      <c r="G1481" s="79">
        <v>5455</v>
      </c>
      <c r="H1481" s="8" t="s">
        <v>881</v>
      </c>
      <c r="I1481" s="16" t="s">
        <v>3200</v>
      </c>
      <c r="J1481" s="73">
        <v>74.91</v>
      </c>
      <c r="K1481" s="73">
        <v>1.41</v>
      </c>
      <c r="L1481" s="73">
        <v>0.91</v>
      </c>
      <c r="N1481" s="318">
        <f t="shared" si="268"/>
        <v>77.22999999999999</v>
      </c>
      <c r="O1481" s="81" t="str">
        <f>IFERROR(VLOOKUP($G1481,'321買'!A:E,3,0),"'沒有資料'")</f>
        <v>'沒有資料'</v>
      </c>
      <c r="P1481" s="380" t="str">
        <f>IFERROR(VLOOKUP($G1481,'321買'!$A:$G,7,0),"'沒有資料'")</f>
        <v>'沒有資料'</v>
      </c>
      <c r="R1481" s="297">
        <f>IFERROR(RANK(VLOOKUP($G1481,連買!$A:$D,4,0),連買!$D:$D,0),"'沒有資料'")</f>
        <v>1375</v>
      </c>
      <c r="S1481" s="34">
        <v>0</v>
      </c>
      <c r="T1481" s="353">
        <f t="shared" si="272"/>
        <v>0</v>
      </c>
      <c r="U1481" s="95">
        <v>-0.21</v>
      </c>
      <c r="V1481" s="36">
        <f>RTD("money.excel",,"5455","Price")</f>
        <v>28</v>
      </c>
      <c r="W1481" s="66"/>
      <c r="X1481" s="15">
        <f t="shared" si="269"/>
        <v>28</v>
      </c>
      <c r="Y1481" s="3" t="e">
        <f t="shared" si="270"/>
        <v>#DIV/0!</v>
      </c>
      <c r="AA1481" s="161">
        <v>0</v>
      </c>
      <c r="AB1481" s="409">
        <v>0</v>
      </c>
      <c r="AC1481" s="259">
        <f t="shared" si="274"/>
        <v>0</v>
      </c>
      <c r="AD1481" s="16" t="s">
        <v>3200</v>
      </c>
      <c r="AG1481" s="33">
        <f t="shared" si="271"/>
        <v>0</v>
      </c>
      <c r="AH1481" s="43" t="s">
        <v>3201</v>
      </c>
      <c r="AI1481" s="63">
        <f t="shared" si="273"/>
        <v>3.3587786259541984E-4</v>
      </c>
      <c r="AJ1481" s="307">
        <f>RTD("money.excel",,$G1481,"PredictVolume")</f>
        <v>22</v>
      </c>
      <c r="AK1481" s="339"/>
    </row>
    <row r="1482" spans="1:37">
      <c r="A1482" s="415">
        <v>21.7</v>
      </c>
      <c r="B1482" s="79">
        <v>69</v>
      </c>
      <c r="C1482" s="79">
        <v>68</v>
      </c>
      <c r="D1482" s="79">
        <v>-78</v>
      </c>
      <c r="E1482" s="79">
        <v>73</v>
      </c>
      <c r="F1482" s="57">
        <v>23.12</v>
      </c>
      <c r="G1482" s="79">
        <v>5508</v>
      </c>
      <c r="H1482" s="8" t="s">
        <v>881</v>
      </c>
      <c r="I1482" s="16" t="s">
        <v>1085</v>
      </c>
      <c r="J1482" s="73">
        <v>76.209999999999994</v>
      </c>
      <c r="K1482" s="73">
        <v>0.56000000000000005</v>
      </c>
      <c r="L1482" s="73">
        <v>7.26</v>
      </c>
      <c r="N1482" s="318">
        <f t="shared" si="268"/>
        <v>84.03</v>
      </c>
      <c r="O1482" s="81">
        <f>IFERROR(VLOOKUP($G1482,'321買'!A:E,3,0),"'沒有資料'")</f>
        <v>0</v>
      </c>
      <c r="P1482" s="380">
        <f>IFERROR(VLOOKUP($G1482,'321買'!$A:$G,7,0),"'沒有資料'")</f>
        <v>911</v>
      </c>
      <c r="R1482" s="297">
        <f>IFERROR(RANK(VLOOKUP($G1482,連買!$A:$D,4,0),連買!$D:$D,0),"'沒有資料'")</f>
        <v>369</v>
      </c>
      <c r="S1482" s="66">
        <v>3.34</v>
      </c>
      <c r="T1482" s="353">
        <f t="shared" si="272"/>
        <v>4.6196403872752423E-2</v>
      </c>
      <c r="U1482" s="95">
        <v>3.72</v>
      </c>
      <c r="V1482" s="36">
        <f>RTD("money.excel",,"5508","Price")</f>
        <v>72.3</v>
      </c>
      <c r="W1482" s="66"/>
      <c r="X1482" s="15">
        <f t="shared" si="269"/>
        <v>72.3</v>
      </c>
      <c r="Y1482" s="3" t="e">
        <f t="shared" si="270"/>
        <v>#DIV/0!</v>
      </c>
      <c r="Z1482" s="413" t="s">
        <v>1831</v>
      </c>
      <c r="AA1482" s="161">
        <v>0</v>
      </c>
      <c r="AB1482" s="409">
        <v>0</v>
      </c>
      <c r="AC1482" s="259">
        <f t="shared" si="274"/>
        <v>0</v>
      </c>
      <c r="AD1482" s="16" t="s">
        <v>1085</v>
      </c>
      <c r="AG1482" s="33">
        <f t="shared" si="271"/>
        <v>0</v>
      </c>
      <c r="AH1482" s="43" t="s">
        <v>2150</v>
      </c>
      <c r="AI1482" s="63">
        <f t="shared" si="273"/>
        <v>6.6820276497695852E-4</v>
      </c>
      <c r="AJ1482" s="307">
        <f>RTD("money.excel",,$G1482,"PredictVolume")</f>
        <v>145</v>
      </c>
      <c r="AK1482" s="339"/>
    </row>
    <row r="1483" spans="1:37">
      <c r="A1483" s="416">
        <v>11.3</v>
      </c>
      <c r="B1483" s="91">
        <v>-32</v>
      </c>
      <c r="C1483" s="91">
        <v>-46</v>
      </c>
      <c r="D1483" s="91">
        <v>-60</v>
      </c>
      <c r="E1483" s="91">
        <v>28</v>
      </c>
      <c r="F1483" s="6">
        <v>6.47</v>
      </c>
      <c r="G1483" s="79">
        <v>5511</v>
      </c>
      <c r="H1483" s="8" t="s">
        <v>881</v>
      </c>
      <c r="I1483" s="16" t="s">
        <v>892</v>
      </c>
      <c r="J1483" s="73">
        <v>76.39</v>
      </c>
      <c r="K1483" s="73">
        <v>1.33</v>
      </c>
      <c r="L1483" s="73">
        <v>4</v>
      </c>
      <c r="N1483" s="318">
        <f t="shared" si="268"/>
        <v>81.72</v>
      </c>
      <c r="O1483" s="81">
        <f>IFERROR(VLOOKUP($G1483,'321買'!A:E,3,0),"'沒有資料'")</f>
        <v>0</v>
      </c>
      <c r="P1483" s="380">
        <f>IFERROR(VLOOKUP($G1483,'321買'!$A:$G,7,0),"'沒有資料'")</f>
        <v>911</v>
      </c>
      <c r="R1483" s="297">
        <f>IFERROR(RANK(VLOOKUP($G1483,連買!$A:$D,4,0),連買!$D:$D,0),"'沒有資料'")</f>
        <v>764</v>
      </c>
      <c r="S1483" s="34">
        <v>2</v>
      </c>
      <c r="T1483" s="353">
        <f t="shared" si="272"/>
        <v>6.4724919093851141E-2</v>
      </c>
      <c r="U1483" s="95">
        <v>4.2</v>
      </c>
      <c r="V1483" s="36">
        <f>RTD("money.excel",,"5511","Price")</f>
        <v>30.9</v>
      </c>
      <c r="W1483" s="66"/>
      <c r="X1483" s="15">
        <f t="shared" si="269"/>
        <v>30.9</v>
      </c>
      <c r="Y1483" s="3" t="e">
        <f t="shared" si="270"/>
        <v>#DIV/0!</v>
      </c>
      <c r="AA1483" s="161">
        <v>0</v>
      </c>
      <c r="AB1483" s="409">
        <v>0</v>
      </c>
      <c r="AC1483" s="259">
        <f t="shared" si="274"/>
        <v>0</v>
      </c>
      <c r="AD1483" s="16" t="s">
        <v>892</v>
      </c>
      <c r="AG1483" s="33">
        <f t="shared" si="271"/>
        <v>0</v>
      </c>
      <c r="AH1483" s="43" t="s">
        <v>326</v>
      </c>
      <c r="AI1483" s="63">
        <f t="shared" si="273"/>
        <v>2.6548672566371683E-5</v>
      </c>
      <c r="AJ1483" s="307">
        <f>RTD("money.excel",,$G1483,"PredictVolume")</f>
        <v>3</v>
      </c>
      <c r="AK1483" s="339"/>
    </row>
    <row r="1484" spans="1:37">
      <c r="A1484" s="415">
        <v>74.400000000000006</v>
      </c>
      <c r="B1484" s="80">
        <v>-80</v>
      </c>
      <c r="C1484" s="80">
        <v>-58</v>
      </c>
      <c r="D1484" s="80">
        <v>-32</v>
      </c>
      <c r="E1484" s="80">
        <v>-10</v>
      </c>
      <c r="F1484" s="57">
        <v>10.77</v>
      </c>
      <c r="G1484" s="79">
        <v>5512</v>
      </c>
      <c r="H1484" s="8" t="s">
        <v>881</v>
      </c>
      <c r="I1484" s="16" t="s">
        <v>4954</v>
      </c>
      <c r="J1484" s="323">
        <v>53.99</v>
      </c>
      <c r="K1484" s="73">
        <v>6.71</v>
      </c>
      <c r="L1484" s="323">
        <v>4.54</v>
      </c>
      <c r="N1484" s="318">
        <f t="shared" si="268"/>
        <v>65.240000000000009</v>
      </c>
      <c r="O1484" s="81">
        <f>IFERROR(VLOOKUP($G1484,'321買'!A:E,3,0),"'沒有資料'")</f>
        <v>0</v>
      </c>
      <c r="P1484" s="380">
        <f>IFERROR(VLOOKUP($G1484,'321買'!$A:$G,7,0),"'沒有資料'")</f>
        <v>911</v>
      </c>
      <c r="R1484" s="297">
        <f>IFERROR(RANK(VLOOKUP($G1484,連買!$A:$D,4,0),連買!$D:$D,0),"'沒有資料'")</f>
        <v>1249</v>
      </c>
      <c r="S1484" s="34">
        <v>0.6</v>
      </c>
      <c r="T1484" s="353">
        <f t="shared" si="272"/>
        <v>6.3291139240506319E-2</v>
      </c>
      <c r="U1484" s="57">
        <v>0.14000000000000001</v>
      </c>
      <c r="V1484" s="36">
        <f>RTD("money.excel",,"5512","Price")</f>
        <v>9.48</v>
      </c>
      <c r="W1484" s="66"/>
      <c r="X1484" s="15">
        <f t="shared" si="269"/>
        <v>9.48</v>
      </c>
      <c r="Y1484" s="3" t="e">
        <f t="shared" si="270"/>
        <v>#DIV/0!</v>
      </c>
      <c r="AA1484" s="161">
        <v>0</v>
      </c>
      <c r="AB1484" s="409">
        <v>0</v>
      </c>
      <c r="AC1484" s="259">
        <f t="shared" si="274"/>
        <v>0</v>
      </c>
      <c r="AD1484" s="16" t="s">
        <v>4954</v>
      </c>
      <c r="AG1484" s="33">
        <f t="shared" si="271"/>
        <v>0</v>
      </c>
      <c r="AH1484" s="120" t="s">
        <v>2150</v>
      </c>
      <c r="AI1484" s="63">
        <f t="shared" si="273"/>
        <v>5.7123655913978496E-4</v>
      </c>
      <c r="AJ1484" s="307">
        <f>RTD("money.excel",,$G1484,"PredictVolume")</f>
        <v>425</v>
      </c>
      <c r="AK1484" s="339"/>
    </row>
    <row r="1485" spans="1:37">
      <c r="A1485" s="415">
        <v>19.399999999999999</v>
      </c>
      <c r="B1485" s="91">
        <v>-37</v>
      </c>
      <c r="C1485" s="91">
        <v>-41</v>
      </c>
      <c r="D1485" s="91">
        <v>4</v>
      </c>
      <c r="E1485" s="91">
        <v>-14</v>
      </c>
      <c r="F1485" s="57">
        <v>33.479999999999997</v>
      </c>
      <c r="G1485" s="79">
        <v>5514</v>
      </c>
      <c r="H1485" s="8" t="s">
        <v>881</v>
      </c>
      <c r="I1485" s="16" t="s">
        <v>893</v>
      </c>
      <c r="J1485" s="73">
        <v>87.15</v>
      </c>
      <c r="K1485" s="73">
        <v>0</v>
      </c>
      <c r="L1485" s="73">
        <v>1.21</v>
      </c>
      <c r="N1485" s="318">
        <f t="shared" si="268"/>
        <v>88.36</v>
      </c>
      <c r="O1485" s="81" t="str">
        <f>IFERROR(VLOOKUP($G1485,'321買'!A:E,3,0),"'沒有資料'")</f>
        <v>'沒有資料'</v>
      </c>
      <c r="P1485" s="380" t="str">
        <f>IFERROR(VLOOKUP($G1485,'321買'!$A:$G,7,0),"'沒有資料'")</f>
        <v>'沒有資料'</v>
      </c>
      <c r="R1485" s="297">
        <f>IFERROR(RANK(VLOOKUP($G1485,連買!$A:$D,4,0),連買!$D:$D,0),"'沒有資料'")</f>
        <v>1459</v>
      </c>
      <c r="S1485" s="34">
        <v>1.2</v>
      </c>
      <c r="T1485" s="353">
        <f t="shared" si="272"/>
        <v>5.7142857142857141E-2</v>
      </c>
      <c r="U1485" s="95">
        <v>1.1499999999999999</v>
      </c>
      <c r="V1485" s="36">
        <f>RTD("money.excel",,"5514","Price")</f>
        <v>21</v>
      </c>
      <c r="W1485" s="66"/>
      <c r="X1485" s="15">
        <f t="shared" si="269"/>
        <v>21</v>
      </c>
      <c r="Y1485" s="3" t="e">
        <f t="shared" si="270"/>
        <v>#DIV/0!</v>
      </c>
      <c r="AA1485" s="161">
        <v>0</v>
      </c>
      <c r="AB1485" s="409">
        <v>0</v>
      </c>
      <c r="AC1485" s="259">
        <f t="shared" si="274"/>
        <v>0</v>
      </c>
      <c r="AD1485" s="16" t="s">
        <v>893</v>
      </c>
      <c r="AG1485" s="33">
        <f t="shared" si="271"/>
        <v>0</v>
      </c>
      <c r="AH1485" s="43" t="s">
        <v>2150</v>
      </c>
      <c r="AI1485" s="63">
        <f t="shared" si="273"/>
        <v>2.2680412371134021E-4</v>
      </c>
      <c r="AJ1485" s="307">
        <f>RTD("money.excel",,$G1485,"PredictVolume")</f>
        <v>44</v>
      </c>
      <c r="AK1485" s="339"/>
    </row>
    <row r="1486" spans="1:37">
      <c r="A1486" s="416">
        <v>25.7</v>
      </c>
      <c r="B1486" s="79">
        <v>69</v>
      </c>
      <c r="C1486" s="79">
        <v>25</v>
      </c>
      <c r="D1486" s="80">
        <v>-14</v>
      </c>
      <c r="E1486" s="79">
        <v>38</v>
      </c>
      <c r="F1486" s="6">
        <v>3.99</v>
      </c>
      <c r="G1486" s="79">
        <v>5515</v>
      </c>
      <c r="H1486" s="8" t="s">
        <v>881</v>
      </c>
      <c r="I1486" s="22" t="s">
        <v>936</v>
      </c>
      <c r="J1486" s="323">
        <v>61.62</v>
      </c>
      <c r="K1486" s="73">
        <v>5.36</v>
      </c>
      <c r="L1486" s="73">
        <v>3.48</v>
      </c>
      <c r="N1486" s="318">
        <f t="shared" si="268"/>
        <v>70.460000000000008</v>
      </c>
      <c r="O1486" s="81">
        <f>IFERROR(VLOOKUP($G1486,'321買'!A:E,3,0),"'沒有資料'")</f>
        <v>0</v>
      </c>
      <c r="P1486" s="380">
        <f>IFERROR(VLOOKUP($G1486,'321買'!$A:$G,7,0),"'沒有資料'")</f>
        <v>911</v>
      </c>
      <c r="R1486" s="297">
        <f>IFERROR(RANK(VLOOKUP($G1486,連買!$A:$D,4,0),連買!$D:$D,0),"'沒有資料'")</f>
        <v>1116</v>
      </c>
      <c r="S1486" s="34">
        <v>0.8</v>
      </c>
      <c r="T1486" s="353">
        <f t="shared" si="272"/>
        <v>5.7553956834532377E-2</v>
      </c>
      <c r="U1486" s="95">
        <v>1.43</v>
      </c>
      <c r="V1486" s="36">
        <f>RTD("money.excel",,"5515","Price")</f>
        <v>13.9</v>
      </c>
      <c r="W1486" s="66"/>
      <c r="X1486" s="15">
        <f t="shared" si="269"/>
        <v>13.9</v>
      </c>
      <c r="Y1486" s="3" t="e">
        <f t="shared" si="270"/>
        <v>#DIV/0!</v>
      </c>
      <c r="Z1486" s="413" t="s">
        <v>1801</v>
      </c>
      <c r="AA1486" s="161">
        <v>0</v>
      </c>
      <c r="AB1486" s="409">
        <v>0</v>
      </c>
      <c r="AC1486" s="259">
        <f t="shared" si="274"/>
        <v>0</v>
      </c>
      <c r="AD1486" s="22" t="s">
        <v>936</v>
      </c>
      <c r="AG1486" s="33">
        <f t="shared" si="271"/>
        <v>0</v>
      </c>
      <c r="AH1486" s="43" t="s">
        <v>2117</v>
      </c>
      <c r="AI1486" s="63">
        <f t="shared" si="273"/>
        <v>1.9066147859922179E-4</v>
      </c>
      <c r="AJ1486" s="307">
        <f>RTD("money.excel",,$G1486,"PredictVolume")</f>
        <v>49</v>
      </c>
      <c r="AK1486" s="339"/>
    </row>
    <row r="1487" spans="1:37">
      <c r="A1487" s="416">
        <v>3.83</v>
      </c>
      <c r="B1487" s="91">
        <v>94</v>
      </c>
      <c r="C1487" s="91">
        <v>64</v>
      </c>
      <c r="D1487" s="91">
        <v>-59</v>
      </c>
      <c r="E1487" s="91">
        <v>691</v>
      </c>
      <c r="F1487" s="6">
        <v>5.17</v>
      </c>
      <c r="G1487" s="79">
        <v>5516</v>
      </c>
      <c r="H1487" s="8" t="s">
        <v>881</v>
      </c>
      <c r="I1487" s="16" t="s">
        <v>894</v>
      </c>
      <c r="J1487" s="73">
        <v>82.8</v>
      </c>
      <c r="K1487" s="73">
        <v>0</v>
      </c>
      <c r="L1487" s="73">
        <v>17.100000000000001</v>
      </c>
      <c r="N1487" s="318">
        <f t="shared" si="268"/>
        <v>99.9</v>
      </c>
      <c r="O1487" s="81">
        <f>IFERROR(VLOOKUP($G1487,'321買'!A:E,3,0),"'沒有資料'")</f>
        <v>0</v>
      </c>
      <c r="P1487" s="380">
        <f>IFERROR(VLOOKUP($G1487,'321買'!$A:$G,7,0),"'沒有資料'")</f>
        <v>911</v>
      </c>
      <c r="R1487" s="297">
        <f>IFERROR(RANK(VLOOKUP($G1487,連買!$A:$D,4,0),連買!$D:$D,0),"'沒有資料'")</f>
        <v>1087</v>
      </c>
      <c r="S1487" s="34">
        <v>0.3</v>
      </c>
      <c r="T1487" s="353">
        <f t="shared" si="272"/>
        <v>1.7241379310344827E-2</v>
      </c>
      <c r="U1487" s="95">
        <v>2.99</v>
      </c>
      <c r="V1487" s="36">
        <f>RTD("money.excel",,"5516","Price")</f>
        <v>17.399999999999999</v>
      </c>
      <c r="W1487" s="66"/>
      <c r="X1487" s="15">
        <f t="shared" si="269"/>
        <v>17.399999999999999</v>
      </c>
      <c r="Y1487" s="3" t="e">
        <f t="shared" si="270"/>
        <v>#DIV/0!</v>
      </c>
      <c r="AA1487" s="161">
        <v>0</v>
      </c>
      <c r="AB1487" s="409">
        <v>0</v>
      </c>
      <c r="AC1487" s="259">
        <f t="shared" si="274"/>
        <v>0</v>
      </c>
      <c r="AD1487" s="16" t="s">
        <v>894</v>
      </c>
      <c r="AG1487" s="33">
        <f t="shared" si="271"/>
        <v>0</v>
      </c>
      <c r="AH1487" s="43" t="s">
        <v>326</v>
      </c>
      <c r="AI1487" s="63">
        <f t="shared" si="273"/>
        <v>1.1984334203655352E-2</v>
      </c>
      <c r="AJ1487" s="307">
        <f>RTD("money.excel",,$G1487,"PredictVolume")</f>
        <v>459</v>
      </c>
      <c r="AK1487" s="339"/>
    </row>
    <row r="1488" spans="1:37">
      <c r="A1488" s="415">
        <v>21.9</v>
      </c>
      <c r="B1488" s="91">
        <v>-36</v>
      </c>
      <c r="C1488" s="91">
        <v>-31</v>
      </c>
      <c r="D1488" s="91">
        <v>-93</v>
      </c>
      <c r="E1488" s="91">
        <v>-41</v>
      </c>
      <c r="F1488" s="57">
        <v>13.92</v>
      </c>
      <c r="G1488" s="79">
        <v>5519</v>
      </c>
      <c r="H1488" s="8" t="s">
        <v>881</v>
      </c>
      <c r="I1488" s="22" t="s">
        <v>937</v>
      </c>
      <c r="J1488" s="73">
        <v>65.27</v>
      </c>
      <c r="K1488" s="73">
        <v>0.86</v>
      </c>
      <c r="L1488" s="73">
        <v>7.55</v>
      </c>
      <c r="N1488" s="318">
        <f t="shared" si="268"/>
        <v>73.679999999999993</v>
      </c>
      <c r="O1488" s="81">
        <f>IFERROR(VLOOKUP($G1488,'321買'!A:E,3,0),"'沒有資料'")</f>
        <v>0</v>
      </c>
      <c r="P1488" s="380">
        <f>IFERROR(VLOOKUP($G1488,'321買'!$A:$G,7,0),"'沒有資料'")</f>
        <v>911</v>
      </c>
      <c r="R1488" s="297">
        <f>IFERROR(RANK(VLOOKUP($G1488,連買!$A:$D,4,0),連買!$D:$D,0),"'沒有資料'")</f>
        <v>690</v>
      </c>
      <c r="S1488" s="34">
        <v>1.8</v>
      </c>
      <c r="T1488" s="353">
        <f t="shared" si="272"/>
        <v>7.5630252100840331E-2</v>
      </c>
      <c r="U1488" s="95">
        <v>2.0699999999999998</v>
      </c>
      <c r="V1488" s="13">
        <f>RTD("money.excel",,"5519","Price")</f>
        <v>23.8</v>
      </c>
      <c r="W1488" s="66"/>
      <c r="X1488" s="15">
        <f t="shared" si="269"/>
        <v>23.8</v>
      </c>
      <c r="Y1488" s="3" t="e">
        <f t="shared" si="270"/>
        <v>#DIV/0!</v>
      </c>
      <c r="AA1488" s="161">
        <v>0</v>
      </c>
      <c r="AB1488" s="409">
        <v>0</v>
      </c>
      <c r="AC1488" s="259">
        <f t="shared" si="274"/>
        <v>0</v>
      </c>
      <c r="AD1488" s="22" t="s">
        <v>937</v>
      </c>
      <c r="AG1488" s="33">
        <f t="shared" si="271"/>
        <v>0</v>
      </c>
      <c r="AH1488" s="43" t="s">
        <v>326</v>
      </c>
      <c r="AI1488" s="63">
        <f t="shared" si="273"/>
        <v>2.0958904109589041E-3</v>
      </c>
      <c r="AJ1488" s="307">
        <f>RTD("money.excel",,$G1488,"PredictVolume")</f>
        <v>459</v>
      </c>
      <c r="AK1488" s="339"/>
    </row>
    <row r="1489" spans="1:37">
      <c r="A1489" s="415">
        <v>6.03</v>
      </c>
      <c r="B1489" s="91">
        <v>158</v>
      </c>
      <c r="C1489" s="91">
        <v>323</v>
      </c>
      <c r="D1489" s="91">
        <v>-3</v>
      </c>
      <c r="E1489" s="91">
        <v>30</v>
      </c>
      <c r="F1489" s="57">
        <v>13.08</v>
      </c>
      <c r="G1489" s="79">
        <v>5520</v>
      </c>
      <c r="H1489" s="8" t="s">
        <v>881</v>
      </c>
      <c r="I1489" s="16" t="s">
        <v>895</v>
      </c>
      <c r="J1489" s="73">
        <v>84.31</v>
      </c>
      <c r="K1489" s="73">
        <v>0</v>
      </c>
      <c r="L1489" s="73">
        <v>0.06</v>
      </c>
      <c r="N1489" s="318">
        <f t="shared" si="268"/>
        <v>84.37</v>
      </c>
      <c r="O1489" s="81" t="str">
        <f>IFERROR(VLOOKUP($G1489,'321買'!A:E,3,0),"'沒有資料'")</f>
        <v>'沒有資料'</v>
      </c>
      <c r="P1489" s="380" t="str">
        <f>IFERROR(VLOOKUP($G1489,'321買'!$A:$G,7,0),"'沒有資料'")</f>
        <v>'沒有資料'</v>
      </c>
      <c r="R1489" s="297">
        <f>IFERROR(RANK(VLOOKUP($G1489,連買!$A:$D,4,0),連買!$D:$D,0),"'沒有資料'")</f>
        <v>1212</v>
      </c>
      <c r="S1489" s="34">
        <v>1.85</v>
      </c>
      <c r="T1489" s="353">
        <f t="shared" si="272"/>
        <v>3.1462585034013606E-2</v>
      </c>
      <c r="U1489" s="95">
        <v>4.6900000000000004</v>
      </c>
      <c r="V1489" s="36">
        <f>RTD("money.excel",,"5520","Price")</f>
        <v>58.8</v>
      </c>
      <c r="W1489" s="66"/>
      <c r="X1489" s="15">
        <f t="shared" si="269"/>
        <v>58.8</v>
      </c>
      <c r="Y1489" s="3" t="e">
        <f t="shared" si="270"/>
        <v>#DIV/0!</v>
      </c>
      <c r="AA1489" s="161">
        <v>0</v>
      </c>
      <c r="AB1489" s="409">
        <v>0</v>
      </c>
      <c r="AC1489" s="259">
        <f t="shared" si="274"/>
        <v>0</v>
      </c>
      <c r="AD1489" s="16" t="s">
        <v>895</v>
      </c>
      <c r="AG1489" s="33">
        <f t="shared" si="271"/>
        <v>0</v>
      </c>
      <c r="AH1489" s="43" t="s">
        <v>2854</v>
      </c>
      <c r="AI1489" s="63">
        <f t="shared" si="273"/>
        <v>1.990049751243781E-4</v>
      </c>
      <c r="AJ1489" s="307">
        <f>RTD("money.excel",,$G1489,"PredictVolume")</f>
        <v>12</v>
      </c>
      <c r="AK1489" s="339"/>
    </row>
    <row r="1490" spans="1:37">
      <c r="A1490" s="415">
        <v>44.7</v>
      </c>
      <c r="B1490" s="207">
        <v>48952</v>
      </c>
      <c r="C1490" s="207">
        <v>40663</v>
      </c>
      <c r="D1490" s="91">
        <v>31</v>
      </c>
      <c r="E1490" s="91">
        <v>39</v>
      </c>
      <c r="F1490" s="57">
        <v>22.13</v>
      </c>
      <c r="G1490" s="79">
        <v>5521</v>
      </c>
      <c r="H1490" s="8" t="s">
        <v>881</v>
      </c>
      <c r="I1490" s="22" t="s">
        <v>938</v>
      </c>
      <c r="J1490" s="323">
        <v>61.24</v>
      </c>
      <c r="K1490" s="323">
        <v>7.99</v>
      </c>
      <c r="L1490" s="323">
        <v>22.88</v>
      </c>
      <c r="N1490" s="318">
        <f t="shared" si="268"/>
        <v>92.11</v>
      </c>
      <c r="O1490" s="81">
        <f>IFERROR(VLOOKUP($G1490,'321買'!A:E,3,0),"'沒有資料'")</f>
        <v>0</v>
      </c>
      <c r="P1490" s="380">
        <f>IFERROR(VLOOKUP($G1490,'321買'!$A:$G,7,0),"'沒有資料'")</f>
        <v>911</v>
      </c>
      <c r="R1490" s="297">
        <f>IFERROR(RANK(VLOOKUP($G1490,連買!$A:$D,4,0),連買!$D:$D,0),"'沒有資料'")</f>
        <v>1266</v>
      </c>
      <c r="S1490" s="34">
        <v>0</v>
      </c>
      <c r="T1490" s="353">
        <f t="shared" si="272"/>
        <v>0</v>
      </c>
      <c r="U1490" s="95">
        <v>2.2599999999999998</v>
      </c>
      <c r="V1490" s="13">
        <f>RTD("money.excel",,"5521","Price")</f>
        <v>8.1999999999999993</v>
      </c>
      <c r="W1490" s="66"/>
      <c r="X1490" s="15">
        <f t="shared" si="269"/>
        <v>8.1999999999999993</v>
      </c>
      <c r="Y1490" s="3" t="e">
        <f t="shared" si="270"/>
        <v>#DIV/0!</v>
      </c>
      <c r="AA1490" s="161">
        <v>0</v>
      </c>
      <c r="AB1490" s="409">
        <v>0</v>
      </c>
      <c r="AC1490" s="259">
        <f t="shared" si="274"/>
        <v>0</v>
      </c>
      <c r="AD1490" s="22" t="s">
        <v>938</v>
      </c>
      <c r="AG1490" s="33">
        <f t="shared" si="271"/>
        <v>0</v>
      </c>
      <c r="AH1490" s="43" t="s">
        <v>326</v>
      </c>
      <c r="AI1490" s="63">
        <f t="shared" si="273"/>
        <v>6.5771812080536913E-4</v>
      </c>
      <c r="AJ1490" s="307">
        <f>RTD("money.excel",,$G1490,"PredictVolume")</f>
        <v>294</v>
      </c>
      <c r="AK1490" s="339"/>
    </row>
    <row r="1491" spans="1:37">
      <c r="A1491" s="416">
        <v>15.5</v>
      </c>
      <c r="B1491" s="91">
        <v>-80</v>
      </c>
      <c r="C1491" s="91">
        <v>-73</v>
      </c>
      <c r="D1491" s="91">
        <v>-81</v>
      </c>
      <c r="E1491" s="140">
        <v>1624</v>
      </c>
      <c r="F1491" s="6">
        <v>5.15</v>
      </c>
      <c r="G1491" s="79">
        <v>5523</v>
      </c>
      <c r="H1491" s="8" t="s">
        <v>881</v>
      </c>
      <c r="I1491" s="16" t="s">
        <v>896</v>
      </c>
      <c r="J1491" s="73">
        <v>80.180000000000007</v>
      </c>
      <c r="K1491" s="73">
        <v>0</v>
      </c>
      <c r="L1491" s="73">
        <v>0.69</v>
      </c>
      <c r="N1491" s="318">
        <f t="shared" si="268"/>
        <v>80.87</v>
      </c>
      <c r="O1491" s="81" t="str">
        <f>IFERROR(VLOOKUP($G1491,'321買'!A:E,3,0),"'沒有資料'")</f>
        <v>'沒有資料'</v>
      </c>
      <c r="P1491" s="380" t="str">
        <f>IFERROR(VLOOKUP($G1491,'321買'!$A:$G,7,0),"'沒有資料'")</f>
        <v>'沒有資料'</v>
      </c>
      <c r="R1491" s="297">
        <f>IFERROR(RANK(VLOOKUP($G1491,連買!$A:$D,4,0),連買!$D:$D,0),"'沒有資料'")</f>
        <v>1216</v>
      </c>
      <c r="S1491" s="34">
        <v>0.5</v>
      </c>
      <c r="T1491" s="353">
        <f t="shared" si="272"/>
        <v>2.0283975659229209E-2</v>
      </c>
      <c r="U1491" s="95">
        <v>0.33</v>
      </c>
      <c r="V1491" s="36">
        <f>RTD("money.excel",,"5523","Price")</f>
        <v>24.65</v>
      </c>
      <c r="W1491" s="66"/>
      <c r="X1491" s="15">
        <f t="shared" si="269"/>
        <v>24.65</v>
      </c>
      <c r="Y1491" s="3" t="e">
        <f t="shared" si="270"/>
        <v>#DIV/0!</v>
      </c>
      <c r="AA1491" s="161">
        <v>0</v>
      </c>
      <c r="AB1491" s="409">
        <v>0</v>
      </c>
      <c r="AC1491" s="259">
        <f t="shared" si="274"/>
        <v>0</v>
      </c>
      <c r="AD1491" s="16" t="s">
        <v>896</v>
      </c>
      <c r="AG1491" s="33">
        <f t="shared" si="271"/>
        <v>0</v>
      </c>
      <c r="AH1491" s="43" t="s">
        <v>2150</v>
      </c>
      <c r="AI1491" s="63">
        <f t="shared" si="273"/>
        <v>1.0580645161290324E-3</v>
      </c>
      <c r="AJ1491" s="307">
        <f>RTD("money.excel",,$G1491,"PredictVolume")</f>
        <v>164</v>
      </c>
      <c r="AK1491" s="106"/>
    </row>
    <row r="1492" spans="1:37">
      <c r="A1492" s="415">
        <v>26.4</v>
      </c>
      <c r="B1492" s="80">
        <v>-52</v>
      </c>
      <c r="C1492" s="80">
        <v>-52</v>
      </c>
      <c r="D1492" s="79">
        <v>23</v>
      </c>
      <c r="E1492" s="80">
        <v>-47</v>
      </c>
      <c r="F1492" s="57">
        <v>16.329999999999998</v>
      </c>
      <c r="G1492" s="79">
        <v>5525</v>
      </c>
      <c r="H1492" s="8" t="s">
        <v>881</v>
      </c>
      <c r="I1492" s="22" t="s">
        <v>939</v>
      </c>
      <c r="J1492" s="73">
        <v>84.79</v>
      </c>
      <c r="K1492" s="73">
        <v>2.2400000000000002</v>
      </c>
      <c r="L1492" s="73">
        <v>1.47</v>
      </c>
      <c r="N1492" s="318">
        <f t="shared" si="268"/>
        <v>88.5</v>
      </c>
      <c r="O1492" s="81">
        <f>IFERROR(VLOOKUP($G1492,'321買'!A:E,3,0),"'沒有資料'")</f>
        <v>0</v>
      </c>
      <c r="P1492" s="380">
        <f>IFERROR(VLOOKUP($G1492,'321買'!$A:$G,7,0),"'沒有資料'")</f>
        <v>911</v>
      </c>
      <c r="R1492" s="297">
        <f>IFERROR(RANK(VLOOKUP($G1492,連買!$A:$D,4,0),連買!$D:$D,0),"'沒有資料'")</f>
        <v>1113</v>
      </c>
      <c r="S1492" s="34">
        <v>0.5</v>
      </c>
      <c r="T1492" s="353">
        <f t="shared" si="272"/>
        <v>1.8450184501845018E-2</v>
      </c>
      <c r="U1492" s="95">
        <v>0.18</v>
      </c>
      <c r="V1492" s="36">
        <f>RTD("money.excel",,"5525","Price")</f>
        <v>27.1</v>
      </c>
      <c r="W1492" s="66"/>
      <c r="X1492" s="15">
        <f t="shared" si="269"/>
        <v>27.1</v>
      </c>
      <c r="Y1492" s="3" t="e">
        <f t="shared" si="270"/>
        <v>#DIV/0!</v>
      </c>
      <c r="Z1492" s="413" t="s">
        <v>1801</v>
      </c>
      <c r="AA1492" s="161">
        <v>0</v>
      </c>
      <c r="AB1492" s="409">
        <v>0</v>
      </c>
      <c r="AC1492" s="259">
        <f t="shared" si="274"/>
        <v>0</v>
      </c>
      <c r="AD1492" s="22" t="s">
        <v>939</v>
      </c>
      <c r="AG1492" s="33">
        <f t="shared" si="271"/>
        <v>0</v>
      </c>
      <c r="AH1492" s="43" t="s">
        <v>2150</v>
      </c>
      <c r="AI1492" s="63">
        <f t="shared" si="273"/>
        <v>3.5227272727272728E-4</v>
      </c>
      <c r="AJ1492" s="307">
        <f>RTD("money.excel",,$G1492,"PredictVolume")</f>
        <v>93</v>
      </c>
      <c r="AK1492" s="339"/>
    </row>
    <row r="1493" spans="1:37">
      <c r="A1493" s="416">
        <v>8.84</v>
      </c>
      <c r="B1493" s="91">
        <v>12</v>
      </c>
      <c r="C1493" s="91">
        <v>70</v>
      </c>
      <c r="D1493" s="91">
        <v>128</v>
      </c>
      <c r="E1493" s="91">
        <v>-90</v>
      </c>
      <c r="F1493" s="6">
        <v>-10.68</v>
      </c>
      <c r="G1493" s="79">
        <v>5529</v>
      </c>
      <c r="H1493" s="8" t="s">
        <v>881</v>
      </c>
      <c r="I1493" s="16" t="s">
        <v>897</v>
      </c>
      <c r="J1493" s="73">
        <v>77.400000000000006</v>
      </c>
      <c r="K1493" s="73">
        <v>7.06</v>
      </c>
      <c r="N1493" s="318">
        <f t="shared" si="268"/>
        <v>84.460000000000008</v>
      </c>
      <c r="O1493" s="81">
        <f>IFERROR(VLOOKUP($G1493,'321買'!A:E,3,0),"'沒有資料'")</f>
        <v>1</v>
      </c>
      <c r="P1493" s="380">
        <f>IFERROR(VLOOKUP($G1493,'321買'!$A:$G,7,0),"'沒有資料'")</f>
        <v>783</v>
      </c>
      <c r="R1493" s="297">
        <f>IFERROR(RANK(VLOOKUP($G1493,連買!$A:$D,4,0),連買!$D:$D,0),"'沒有資料'")</f>
        <v>1127</v>
      </c>
      <c r="S1493" s="34">
        <v>0</v>
      </c>
      <c r="T1493" s="353">
        <f t="shared" si="272"/>
        <v>0</v>
      </c>
      <c r="U1493" s="95">
        <v>-1.51</v>
      </c>
      <c r="V1493" s="36">
        <f>RTD("money.excel",,"5529","Price")</f>
        <v>16.350000000000001</v>
      </c>
      <c r="W1493" s="66"/>
      <c r="X1493" s="15">
        <f t="shared" si="269"/>
        <v>16.350000000000001</v>
      </c>
      <c r="Y1493" s="3" t="e">
        <f t="shared" si="270"/>
        <v>#DIV/0!</v>
      </c>
      <c r="AA1493" s="161">
        <v>0</v>
      </c>
      <c r="AB1493" s="409">
        <v>0</v>
      </c>
      <c r="AC1493" s="259">
        <f t="shared" si="274"/>
        <v>0</v>
      </c>
      <c r="AD1493" s="16" t="s">
        <v>897</v>
      </c>
      <c r="AG1493" s="33">
        <f t="shared" si="271"/>
        <v>0</v>
      </c>
      <c r="AH1493" s="43" t="s">
        <v>2150</v>
      </c>
      <c r="AI1493" s="63">
        <f t="shared" si="273"/>
        <v>6.787330316742082E-5</v>
      </c>
      <c r="AJ1493" s="307">
        <f>RTD("money.excel",,$G1493,"PredictVolume")</f>
        <v>6</v>
      </c>
      <c r="AK1493" s="339"/>
    </row>
    <row r="1494" spans="1:37">
      <c r="A1494" s="415">
        <v>97.7</v>
      </c>
      <c r="B1494" s="79">
        <v>23</v>
      </c>
      <c r="C1494" s="80">
        <v>-510</v>
      </c>
      <c r="D1494" s="80">
        <v>-16</v>
      </c>
      <c r="E1494" s="80">
        <v>-44</v>
      </c>
      <c r="F1494" s="57">
        <v>-16.04</v>
      </c>
      <c r="G1494" s="79">
        <v>5531</v>
      </c>
      <c r="H1494" s="8" t="s">
        <v>881</v>
      </c>
      <c r="I1494" s="22" t="s">
        <v>940</v>
      </c>
      <c r="J1494" s="73">
        <v>84.15</v>
      </c>
      <c r="K1494" s="73">
        <v>6.18</v>
      </c>
      <c r="L1494" s="73">
        <v>4.45</v>
      </c>
      <c r="N1494" s="318">
        <f t="shared" si="268"/>
        <v>94.780000000000015</v>
      </c>
      <c r="O1494" s="81">
        <f>IFERROR(VLOOKUP($G1494,'321買'!A:E,3,0),"'沒有資料'")</f>
        <v>0</v>
      </c>
      <c r="P1494" s="380">
        <f>IFERROR(VLOOKUP($G1494,'321買'!$A:$G,7,0),"'沒有資料'")</f>
        <v>911</v>
      </c>
      <c r="R1494" s="297">
        <f>IFERROR(RANK(VLOOKUP($G1494,連買!$A:$D,4,0),連買!$D:$D,0),"'沒有資料'")</f>
        <v>1040</v>
      </c>
      <c r="S1494" s="34">
        <v>0</v>
      </c>
      <c r="T1494" s="353">
        <f t="shared" si="272"/>
        <v>0</v>
      </c>
      <c r="U1494" s="95">
        <v>0.17</v>
      </c>
      <c r="V1494" s="36">
        <f>RTD("money.excel",,"5531","Price")</f>
        <v>10.5</v>
      </c>
      <c r="W1494" s="66"/>
      <c r="X1494" s="15">
        <f t="shared" si="269"/>
        <v>10.5</v>
      </c>
      <c r="Y1494" s="3" t="e">
        <f t="shared" si="270"/>
        <v>#DIV/0!</v>
      </c>
      <c r="Z1494" s="413" t="s">
        <v>1801</v>
      </c>
      <c r="AA1494" s="161">
        <v>0</v>
      </c>
      <c r="AB1494" s="409">
        <v>0</v>
      </c>
      <c r="AC1494" s="259">
        <f t="shared" si="274"/>
        <v>0</v>
      </c>
      <c r="AD1494" s="22" t="s">
        <v>940</v>
      </c>
      <c r="AG1494" s="33">
        <f t="shared" si="271"/>
        <v>0</v>
      </c>
      <c r="AH1494" s="43" t="s">
        <v>2150</v>
      </c>
      <c r="AI1494" s="63">
        <f t="shared" si="273"/>
        <v>2.3029682702149437E-4</v>
      </c>
      <c r="AJ1494" s="307">
        <f>RTD("money.excel",,$G1494,"PredictVolume")</f>
        <v>225</v>
      </c>
      <c r="AK1494" s="339"/>
    </row>
    <row r="1495" spans="1:37">
      <c r="A1495" s="415">
        <v>28.5</v>
      </c>
      <c r="B1495" s="80">
        <v>-24</v>
      </c>
      <c r="C1495" s="80">
        <v>-44</v>
      </c>
      <c r="D1495" s="80">
        <v>-79</v>
      </c>
      <c r="E1495" s="80">
        <v>-34</v>
      </c>
      <c r="F1495" s="6">
        <v>4.59</v>
      </c>
      <c r="G1495" s="79">
        <v>5533</v>
      </c>
      <c r="H1495" s="8" t="s">
        <v>881</v>
      </c>
      <c r="I1495" s="22" t="s">
        <v>941</v>
      </c>
      <c r="J1495" s="73">
        <v>86.99</v>
      </c>
      <c r="K1495" s="73">
        <v>2.95</v>
      </c>
      <c r="L1495" s="73">
        <v>2.31</v>
      </c>
      <c r="N1495" s="318">
        <f t="shared" si="268"/>
        <v>92.25</v>
      </c>
      <c r="O1495" s="81">
        <f>IFERROR(VLOOKUP($G1495,'321買'!A:E,3,0),"'沒有資料'")</f>
        <v>0</v>
      </c>
      <c r="P1495" s="380">
        <f>IFERROR(VLOOKUP($G1495,'321買'!$A:$G,7,0),"'沒有資料'")</f>
        <v>911</v>
      </c>
      <c r="R1495" s="297">
        <f>IFERROR(RANK(VLOOKUP($G1495,連買!$A:$D,4,0),連買!$D:$D,0),"'沒有資料'")</f>
        <v>843</v>
      </c>
      <c r="S1495" s="34">
        <v>0.6</v>
      </c>
      <c r="T1495" s="353">
        <f t="shared" si="272"/>
        <v>3.0456852791878174E-2</v>
      </c>
      <c r="U1495" s="95">
        <v>0.85</v>
      </c>
      <c r="V1495" s="36">
        <f>RTD("money.excel",,"5533","Price")</f>
        <v>19.7</v>
      </c>
      <c r="W1495" s="66"/>
      <c r="X1495" s="15">
        <f t="shared" si="269"/>
        <v>19.7</v>
      </c>
      <c r="Y1495" s="3" t="e">
        <f t="shared" si="270"/>
        <v>#DIV/0!</v>
      </c>
      <c r="Z1495" s="413" t="s">
        <v>1801</v>
      </c>
      <c r="AA1495" s="161">
        <v>0</v>
      </c>
      <c r="AB1495" s="409">
        <v>0</v>
      </c>
      <c r="AC1495" s="259">
        <f t="shared" si="274"/>
        <v>0</v>
      </c>
      <c r="AD1495" s="22" t="s">
        <v>941</v>
      </c>
      <c r="AG1495" s="33">
        <f t="shared" si="271"/>
        <v>0</v>
      </c>
      <c r="AH1495" s="43" t="s">
        <v>2150</v>
      </c>
      <c r="AI1495" s="63">
        <f t="shared" si="273"/>
        <v>6.6315789473684206E-4</v>
      </c>
      <c r="AJ1495" s="307">
        <f>RTD("money.excel",,$G1495,"PredictVolume")</f>
        <v>189</v>
      </c>
      <c r="AK1495" s="339"/>
    </row>
    <row r="1496" spans="1:37">
      <c r="A1496" s="415">
        <v>29</v>
      </c>
      <c r="B1496" s="80">
        <v>-84</v>
      </c>
      <c r="C1496" s="80">
        <v>-81</v>
      </c>
      <c r="D1496" s="79">
        <v>17</v>
      </c>
      <c r="E1496" s="80">
        <v>-93</v>
      </c>
      <c r="F1496" s="57">
        <v>22.11</v>
      </c>
      <c r="G1496" s="79">
        <v>5534</v>
      </c>
      <c r="H1496" s="8" t="s">
        <v>881</v>
      </c>
      <c r="I1496" s="22" t="s">
        <v>942</v>
      </c>
      <c r="J1496" s="73">
        <v>63.98</v>
      </c>
      <c r="K1496" s="73">
        <v>12.3</v>
      </c>
      <c r="L1496" s="73">
        <v>0.72</v>
      </c>
      <c r="N1496" s="318">
        <f t="shared" si="268"/>
        <v>77</v>
      </c>
      <c r="O1496" s="81">
        <f>IFERROR(VLOOKUP($G1496,'321買'!A:E,3,0),"'沒有資料'")</f>
        <v>0</v>
      </c>
      <c r="P1496" s="380">
        <f>IFERROR(VLOOKUP($G1496,'321買'!$A:$G,7,0),"'沒有資料'")</f>
        <v>911</v>
      </c>
      <c r="R1496" s="297">
        <f>IFERROR(RANK(VLOOKUP($G1496,連買!$A:$D,4,0),連買!$D:$D,0),"'沒有資料'")</f>
        <v>1587</v>
      </c>
      <c r="S1496" s="66">
        <v>5</v>
      </c>
      <c r="T1496" s="353">
        <f t="shared" si="272"/>
        <v>6.8212824010914053E-2</v>
      </c>
      <c r="U1496" s="57">
        <v>4.8</v>
      </c>
      <c r="V1496" s="36">
        <f>RTD("money.excel",,"5534","Price")</f>
        <v>73.3</v>
      </c>
      <c r="W1496" s="66"/>
      <c r="X1496" s="15">
        <f t="shared" si="269"/>
        <v>73.3</v>
      </c>
      <c r="Y1496" s="3" t="e">
        <f t="shared" si="270"/>
        <v>#DIV/0!</v>
      </c>
      <c r="Z1496" s="413" t="s">
        <v>1997</v>
      </c>
      <c r="AA1496" s="161">
        <v>0</v>
      </c>
      <c r="AB1496" s="409">
        <v>0</v>
      </c>
      <c r="AC1496" s="259">
        <f t="shared" si="274"/>
        <v>0</v>
      </c>
      <c r="AD1496" s="22" t="s">
        <v>942</v>
      </c>
      <c r="AG1496" s="33">
        <f t="shared" si="271"/>
        <v>0</v>
      </c>
      <c r="AH1496" s="43" t="s">
        <v>2150</v>
      </c>
      <c r="AI1496" s="63">
        <f t="shared" si="273"/>
        <v>3.4827586206896552E-4</v>
      </c>
      <c r="AJ1496" s="307">
        <f>RTD("money.excel",,$G1496,"PredictVolume")</f>
        <v>101</v>
      </c>
      <c r="AK1496" s="339"/>
    </row>
    <row r="1497" spans="1:37">
      <c r="A1497" s="416">
        <v>3.72</v>
      </c>
      <c r="B1497" s="79">
        <v>530</v>
      </c>
      <c r="C1497" s="79">
        <v>596</v>
      </c>
      <c r="D1497" s="80">
        <v>-7</v>
      </c>
      <c r="E1497" s="79">
        <v>85</v>
      </c>
      <c r="F1497" s="6">
        <v>8.36</v>
      </c>
      <c r="G1497" s="79">
        <v>5543</v>
      </c>
      <c r="H1497" s="8" t="s">
        <v>881</v>
      </c>
      <c r="I1497" s="16" t="s">
        <v>3202</v>
      </c>
      <c r="J1497" s="323">
        <v>40.729999999999997</v>
      </c>
      <c r="K1497" s="73">
        <v>0.45</v>
      </c>
      <c r="N1497" s="318">
        <f t="shared" si="268"/>
        <v>41.18</v>
      </c>
      <c r="O1497" s="81">
        <f>IFERROR(VLOOKUP($G1497,'321買'!A:E,3,0),"'沒有資料'")</f>
        <v>1</v>
      </c>
      <c r="P1497" s="380">
        <f>IFERROR(VLOOKUP($G1497,'321買'!$A:$G,7,0),"'沒有資料'")</f>
        <v>783</v>
      </c>
      <c r="R1497" s="297">
        <f>IFERROR(RANK(VLOOKUP($G1497,連買!$A:$D,4,0),連買!$D:$D,0),"'沒有資料'")</f>
        <v>1032</v>
      </c>
      <c r="S1497" s="34">
        <v>1</v>
      </c>
      <c r="T1497" s="353">
        <f t="shared" si="272"/>
        <v>1.7182130584192438E-2</v>
      </c>
      <c r="U1497" s="95">
        <v>2.95</v>
      </c>
      <c r="V1497" s="36">
        <f>RTD("money.excel",,"5543","Price")</f>
        <v>58.2</v>
      </c>
      <c r="W1497" s="66"/>
      <c r="X1497" s="15">
        <f t="shared" si="269"/>
        <v>58.2</v>
      </c>
      <c r="Y1497" s="3" t="e">
        <f t="shared" si="270"/>
        <v>#DIV/0!</v>
      </c>
      <c r="AA1497" s="161">
        <v>0</v>
      </c>
      <c r="AB1497" s="409">
        <v>0</v>
      </c>
      <c r="AC1497" s="259">
        <f t="shared" si="274"/>
        <v>0</v>
      </c>
      <c r="AD1497" s="16" t="s">
        <v>3202</v>
      </c>
      <c r="AG1497" s="33">
        <f t="shared" si="271"/>
        <v>0</v>
      </c>
      <c r="AH1497" s="43" t="s">
        <v>3203</v>
      </c>
      <c r="AI1497" s="63">
        <f t="shared" si="273"/>
        <v>6.7204301075268823E-4</v>
      </c>
      <c r="AJ1497" s="307">
        <f>RTD("money.excel",,$G1497,"PredictVolume")</f>
        <v>25</v>
      </c>
      <c r="AK1497" s="339"/>
    </row>
    <row r="1498" spans="1:37">
      <c r="A1498" s="415">
        <v>8</v>
      </c>
      <c r="B1498" s="79">
        <v>80</v>
      </c>
      <c r="C1498" s="79">
        <v>55</v>
      </c>
      <c r="D1498" s="79">
        <v>5</v>
      </c>
      <c r="E1498" s="80">
        <v>-4</v>
      </c>
      <c r="F1498" s="57">
        <v>18.11</v>
      </c>
      <c r="G1498" s="79">
        <v>5546</v>
      </c>
      <c r="H1498" s="8" t="s">
        <v>881</v>
      </c>
      <c r="I1498" s="22" t="s">
        <v>2013</v>
      </c>
      <c r="J1498" s="323">
        <v>72.16</v>
      </c>
      <c r="K1498" s="73">
        <v>55.06</v>
      </c>
      <c r="L1498" s="73">
        <v>2.38</v>
      </c>
      <c r="N1498" s="318">
        <f t="shared" ref="N1498:N1507" si="275">J1498+K1498+L1498+M1498</f>
        <v>129.6</v>
      </c>
      <c r="O1498" s="81">
        <f>IFERROR(VLOOKUP($G1498,'321買'!A:E,3,0),"'沒有資料'")</f>
        <v>0</v>
      </c>
      <c r="P1498" s="380">
        <f>IFERROR(VLOOKUP($G1498,'321買'!$A:$G,7,0),"'沒有資料'")</f>
        <v>911</v>
      </c>
      <c r="R1498" s="297">
        <f>IFERROR(RANK(VLOOKUP($G1498,連買!$A:$D,4,0),連買!$D:$D,0),"'沒有資料'")</f>
        <v>1684</v>
      </c>
      <c r="S1498" s="66">
        <v>6</v>
      </c>
      <c r="T1498" s="353">
        <f t="shared" ref="T1498:T1507" si="276">S1498/V1498</f>
        <v>0.1</v>
      </c>
      <c r="U1498" s="95">
        <v>10.16</v>
      </c>
      <c r="V1498" s="13">
        <f>RTD("money.excel",,"5546","Price")</f>
        <v>60</v>
      </c>
      <c r="W1498" s="66"/>
      <c r="X1498" s="15">
        <f t="shared" ref="X1498:X1507" si="277">V1498-W1498</f>
        <v>60</v>
      </c>
      <c r="Y1498" s="3" t="e">
        <f t="shared" ref="Y1498:Y1507" si="278">X1498/W1498</f>
        <v>#DIV/0!</v>
      </c>
      <c r="Z1498" s="413" t="s">
        <v>1831</v>
      </c>
      <c r="AA1498" s="161">
        <v>0</v>
      </c>
      <c r="AB1498" s="409">
        <v>0</v>
      </c>
      <c r="AC1498" s="259">
        <f t="shared" si="274"/>
        <v>0</v>
      </c>
      <c r="AD1498" s="22" t="s">
        <v>2013</v>
      </c>
      <c r="AG1498" s="33">
        <f t="shared" ref="AG1498:AG1507" si="279">AF1498-AE1498</f>
        <v>0</v>
      </c>
      <c r="AH1498" s="120" t="s">
        <v>2081</v>
      </c>
      <c r="AI1498" s="63">
        <f t="shared" ref="AI1498:AI1507" si="280">AJ1498/(A1498*10000)</f>
        <v>1.075E-3</v>
      </c>
      <c r="AJ1498" s="307">
        <f>RTD("money.excel",,$G1498,"PredictVolume")</f>
        <v>86</v>
      </c>
      <c r="AK1498" s="339"/>
    </row>
    <row r="1499" spans="1:37">
      <c r="A1499" s="415">
        <v>8.67</v>
      </c>
      <c r="B1499" s="93">
        <v>1342</v>
      </c>
      <c r="C1499" s="93">
        <v>1314</v>
      </c>
      <c r="D1499" s="80">
        <v>-96</v>
      </c>
      <c r="E1499" s="80">
        <v>-99</v>
      </c>
      <c r="F1499" s="57">
        <v>24.43</v>
      </c>
      <c r="G1499" s="79">
        <v>6171</v>
      </c>
      <c r="H1499" s="8" t="s">
        <v>881</v>
      </c>
      <c r="I1499" s="16" t="s">
        <v>3789</v>
      </c>
      <c r="J1499" s="73">
        <v>76.44</v>
      </c>
      <c r="K1499" s="323">
        <v>1.32</v>
      </c>
      <c r="L1499" s="73">
        <v>2.87</v>
      </c>
      <c r="N1499" s="318">
        <f t="shared" si="275"/>
        <v>80.63</v>
      </c>
      <c r="O1499" s="81">
        <f>IFERROR(VLOOKUP($G1499,'321買'!A:E,3,0),"'沒有資料'")</f>
        <v>0</v>
      </c>
      <c r="P1499" s="380">
        <f>IFERROR(VLOOKUP($G1499,'321買'!$A:$G,7,0),"'沒有資料'")</f>
        <v>911</v>
      </c>
      <c r="R1499" s="297">
        <f>IFERROR(RANK(VLOOKUP($G1499,連買!$A:$D,4,0),連買!$D:$D,0),"'沒有資料'")</f>
        <v>647</v>
      </c>
      <c r="S1499" s="34">
        <v>2.5</v>
      </c>
      <c r="T1499" s="353">
        <f t="shared" si="276"/>
        <v>8.3612040133779264E-2</v>
      </c>
      <c r="U1499" s="57">
        <v>6.31</v>
      </c>
      <c r="V1499" s="36">
        <f>RTD("money.excel",,"6171","Price")</f>
        <v>29.9</v>
      </c>
      <c r="W1499" s="66"/>
      <c r="X1499" s="15">
        <f t="shared" si="277"/>
        <v>29.9</v>
      </c>
      <c r="Y1499" s="3" t="e">
        <f t="shared" si="278"/>
        <v>#DIV/0!</v>
      </c>
      <c r="AA1499" s="161">
        <v>0</v>
      </c>
      <c r="AB1499" s="409">
        <v>0</v>
      </c>
      <c r="AC1499" s="259">
        <f t="shared" si="274"/>
        <v>0</v>
      </c>
      <c r="AD1499" s="16" t="s">
        <v>3789</v>
      </c>
      <c r="AG1499" s="33">
        <f t="shared" si="279"/>
        <v>0</v>
      </c>
      <c r="AH1499" s="43" t="s">
        <v>4327</v>
      </c>
      <c r="AI1499" s="63">
        <f t="shared" si="280"/>
        <v>3.4602076124567473E-4</v>
      </c>
      <c r="AJ1499" s="307">
        <f>RTD("money.excel",,$G1499,"PredictVolume")</f>
        <v>30</v>
      </c>
      <c r="AK1499" s="339"/>
    </row>
    <row r="1500" spans="1:37">
      <c r="A1500" s="415">
        <v>38</v>
      </c>
      <c r="B1500" s="80">
        <v>-81</v>
      </c>
      <c r="C1500" s="80">
        <v>-72</v>
      </c>
      <c r="D1500" s="80">
        <v>-1</v>
      </c>
      <c r="E1500" s="80">
        <v>-80</v>
      </c>
      <c r="F1500" s="57">
        <v>13.67</v>
      </c>
      <c r="G1500" s="79">
        <v>6177</v>
      </c>
      <c r="H1500" s="8" t="s">
        <v>881</v>
      </c>
      <c r="I1500" s="22" t="s">
        <v>943</v>
      </c>
      <c r="J1500" s="323">
        <v>66.959999999999994</v>
      </c>
      <c r="K1500" s="323">
        <v>2.08</v>
      </c>
      <c r="L1500" s="73">
        <v>6.69</v>
      </c>
      <c r="N1500" s="318">
        <f t="shared" si="275"/>
        <v>75.72999999999999</v>
      </c>
      <c r="O1500" s="81">
        <f>IFERROR(VLOOKUP($G1500,'321買'!A:E,3,0),"'沒有資料'")</f>
        <v>0</v>
      </c>
      <c r="P1500" s="380">
        <f>IFERROR(VLOOKUP($G1500,'321買'!$A:$G,7,0),"'沒有資料'")</f>
        <v>911</v>
      </c>
      <c r="R1500" s="297">
        <f>IFERROR(RANK(VLOOKUP($G1500,連買!$A:$D,4,0),連買!$D:$D,0),"'沒有資料'")</f>
        <v>601</v>
      </c>
      <c r="S1500" s="66">
        <v>3</v>
      </c>
      <c r="T1500" s="353">
        <f t="shared" si="276"/>
        <v>9.375E-2</v>
      </c>
      <c r="U1500" s="95">
        <v>0.55000000000000004</v>
      </c>
      <c r="V1500" s="36">
        <f>RTD("money.excel",,"6177","Price")</f>
        <v>32</v>
      </c>
      <c r="W1500" s="66"/>
      <c r="X1500" s="15">
        <f t="shared" si="277"/>
        <v>32</v>
      </c>
      <c r="Y1500" s="3" t="e">
        <f t="shared" si="278"/>
        <v>#DIV/0!</v>
      </c>
      <c r="Z1500" s="413" t="s">
        <v>1997</v>
      </c>
      <c r="AA1500" s="161">
        <v>0</v>
      </c>
      <c r="AB1500" s="409">
        <v>0</v>
      </c>
      <c r="AC1500" s="259">
        <f t="shared" si="274"/>
        <v>0</v>
      </c>
      <c r="AD1500" s="22" t="s">
        <v>943</v>
      </c>
      <c r="AG1500" s="33">
        <f t="shared" si="279"/>
        <v>0</v>
      </c>
      <c r="AH1500" s="43" t="s">
        <v>2150</v>
      </c>
      <c r="AI1500" s="63">
        <f t="shared" si="280"/>
        <v>2.0210526315789473E-3</v>
      </c>
      <c r="AJ1500" s="307">
        <f>RTD("money.excel",,$G1500,"PredictVolume")</f>
        <v>768</v>
      </c>
      <c r="AK1500" s="339"/>
    </row>
    <row r="1501" spans="1:37">
      <c r="A1501" s="415">
        <v>15</v>
      </c>
      <c r="B1501" s="79">
        <v>10</v>
      </c>
      <c r="C1501" s="79">
        <v>15</v>
      </c>
      <c r="D1501" s="79"/>
      <c r="E1501" s="80">
        <v>-98</v>
      </c>
      <c r="F1501" s="57">
        <v>14.02</v>
      </c>
      <c r="G1501" s="79">
        <v>6186</v>
      </c>
      <c r="H1501" s="8" t="s">
        <v>881</v>
      </c>
      <c r="I1501" s="16" t="s">
        <v>898</v>
      </c>
      <c r="J1501" s="73">
        <v>49.37</v>
      </c>
      <c r="K1501" s="323">
        <v>0.46</v>
      </c>
      <c r="L1501" s="73">
        <v>6.22</v>
      </c>
      <c r="M1501" s="323">
        <v>26.7</v>
      </c>
      <c r="N1501" s="318">
        <f t="shared" si="275"/>
        <v>82.75</v>
      </c>
      <c r="O1501" s="81">
        <f>IFERROR(VLOOKUP($G1501,'321買'!A:E,3,0),"'沒有資料'")</f>
        <v>1</v>
      </c>
      <c r="P1501" s="380">
        <f>IFERROR(VLOOKUP($G1501,'321買'!$A:$G,7,0),"'沒有資料'")</f>
        <v>783</v>
      </c>
      <c r="R1501" s="297">
        <f>IFERROR(RANK(VLOOKUP($G1501,連買!$A:$D,4,0),連買!$D:$D,0),"'沒有資料'")</f>
        <v>956</v>
      </c>
      <c r="S1501" s="66"/>
      <c r="T1501" s="353">
        <f t="shared" si="276"/>
        <v>0</v>
      </c>
      <c r="U1501" s="95">
        <v>3.15</v>
      </c>
      <c r="V1501" s="36">
        <f>RTD("money.excel",,"6186","Price")</f>
        <v>27.3</v>
      </c>
      <c r="W1501" s="66"/>
      <c r="X1501" s="15">
        <f t="shared" si="277"/>
        <v>27.3</v>
      </c>
      <c r="Y1501" s="3" t="e">
        <f t="shared" si="278"/>
        <v>#DIV/0!</v>
      </c>
      <c r="Z1501" s="413">
        <v>-10</v>
      </c>
      <c r="AA1501" s="161">
        <v>0</v>
      </c>
      <c r="AB1501" s="409">
        <v>0</v>
      </c>
      <c r="AC1501" s="259">
        <f t="shared" si="274"/>
        <v>0</v>
      </c>
      <c r="AD1501" s="16" t="s">
        <v>898</v>
      </c>
      <c r="AG1501" s="33">
        <f t="shared" si="279"/>
        <v>0</v>
      </c>
      <c r="AH1501" s="43" t="s">
        <v>2150</v>
      </c>
      <c r="AI1501" s="63">
        <f t="shared" si="280"/>
        <v>7.2933333333333331E-3</v>
      </c>
      <c r="AJ1501" s="307">
        <f>RTD("money.excel",,$G1501,"PredictVolume")</f>
        <v>1094</v>
      </c>
      <c r="AK1501" s="339">
        <v>1.1000000000000001</v>
      </c>
    </row>
    <row r="1502" spans="1:37">
      <c r="A1502" s="416">
        <v>10.199999999999999</v>
      </c>
      <c r="B1502" s="91">
        <v>295</v>
      </c>
      <c r="C1502" s="91">
        <v>602</v>
      </c>
      <c r="D1502" s="91">
        <v>-78</v>
      </c>
      <c r="E1502" s="91">
        <v>235</v>
      </c>
      <c r="F1502" s="6">
        <v>8.4</v>
      </c>
      <c r="G1502" s="79">
        <v>6212</v>
      </c>
      <c r="H1502" s="8" t="s">
        <v>881</v>
      </c>
      <c r="I1502" s="16" t="s">
        <v>899</v>
      </c>
      <c r="J1502" s="73">
        <v>89.3</v>
      </c>
      <c r="K1502" s="73">
        <v>31.91</v>
      </c>
      <c r="L1502" s="73">
        <v>1.04</v>
      </c>
      <c r="N1502" s="318">
        <f t="shared" si="275"/>
        <v>122.25</v>
      </c>
      <c r="O1502" s="81" t="str">
        <f>IFERROR(VLOOKUP($G1502,'321買'!A:E,3,0),"'沒有資料'")</f>
        <v>'沒有資料'</v>
      </c>
      <c r="P1502" s="380" t="str">
        <f>IFERROR(VLOOKUP($G1502,'321買'!$A:$G,7,0),"'沒有資料'")</f>
        <v>'沒有資料'</v>
      </c>
      <c r="R1502" s="297">
        <f>IFERROR(RANK(VLOOKUP($G1502,連買!$A:$D,4,0),連買!$D:$D,0),"'沒有資料'")</f>
        <v>1014</v>
      </c>
      <c r="S1502" s="66">
        <v>3</v>
      </c>
      <c r="T1502" s="353" t="e">
        <f t="shared" si="276"/>
        <v>#VALUE!</v>
      </c>
      <c r="U1502" s="95">
        <v>3.42</v>
      </c>
      <c r="V1502" s="36" t="str">
        <f>RTD("money.excel",,"6212","Price")</f>
        <v>無資料</v>
      </c>
      <c r="W1502" s="66"/>
      <c r="X1502" s="15" t="e">
        <f t="shared" si="277"/>
        <v>#VALUE!</v>
      </c>
      <c r="Y1502" s="3" t="e">
        <f t="shared" si="278"/>
        <v>#VALUE!</v>
      </c>
      <c r="Z1502" s="413" t="s">
        <v>1831</v>
      </c>
      <c r="AA1502" s="161">
        <v>0</v>
      </c>
      <c r="AB1502" s="409">
        <v>0</v>
      </c>
      <c r="AC1502" s="259">
        <f t="shared" si="274"/>
        <v>0</v>
      </c>
      <c r="AD1502" s="16" t="s">
        <v>899</v>
      </c>
      <c r="AG1502" s="33">
        <f t="shared" si="279"/>
        <v>0</v>
      </c>
      <c r="AH1502" s="43" t="s">
        <v>2150</v>
      </c>
      <c r="AI1502" s="63">
        <f t="shared" si="280"/>
        <v>0</v>
      </c>
      <c r="AJ1502" s="307">
        <f>RTD("money.excel",,$G1502,"PredictVolume")</f>
        <v>0</v>
      </c>
      <c r="AK1502" s="339"/>
    </row>
    <row r="1503" spans="1:37">
      <c r="A1503" s="415">
        <v>15.4</v>
      </c>
      <c r="B1503" s="80">
        <v>-734</v>
      </c>
      <c r="C1503" s="80">
        <v>-6</v>
      </c>
      <c r="D1503" s="80">
        <v>-39.43</v>
      </c>
      <c r="E1503" s="80">
        <v>-52</v>
      </c>
      <c r="F1503" s="57">
        <v>10.58</v>
      </c>
      <c r="G1503" s="79">
        <v>6219</v>
      </c>
      <c r="H1503" s="8" t="s">
        <v>881</v>
      </c>
      <c r="I1503" s="16" t="s">
        <v>900</v>
      </c>
      <c r="J1503" s="73">
        <v>67.989999999999995</v>
      </c>
      <c r="K1503" s="323">
        <v>1.25</v>
      </c>
      <c r="L1503" s="323">
        <v>36.799999999999997</v>
      </c>
      <c r="M1503" s="323">
        <v>30.94</v>
      </c>
      <c r="N1503" s="73">
        <f t="shared" si="275"/>
        <v>136.97999999999999</v>
      </c>
      <c r="O1503" s="81">
        <f>IFERROR(VLOOKUP($G1503,'321買'!A:E,3,0),"'沒有資料'")</f>
        <v>7</v>
      </c>
      <c r="P1503" s="380">
        <f>IFERROR(VLOOKUP($G1503,'321買'!$A:$G,7,0),"'沒有資料'")</f>
        <v>499</v>
      </c>
      <c r="Q1503" s="245" t="s">
        <v>3816</v>
      </c>
      <c r="R1503" s="297">
        <f>IFERROR(RANK(VLOOKUP($G1503,連買!$A:$D,4,0),連買!$D:$D,0),"'沒有資料'")</f>
        <v>811</v>
      </c>
      <c r="S1503" s="34">
        <v>2</v>
      </c>
      <c r="T1503" s="353">
        <f t="shared" si="276"/>
        <v>0.11594202898550725</v>
      </c>
      <c r="U1503" s="57">
        <v>0.87</v>
      </c>
      <c r="V1503" s="36">
        <f>RTD("money.excel",,"6219","Price")</f>
        <v>17.25</v>
      </c>
      <c r="W1503" s="66"/>
      <c r="X1503" s="15">
        <f t="shared" si="277"/>
        <v>17.25</v>
      </c>
      <c r="Y1503" s="3" t="e">
        <f t="shared" si="278"/>
        <v>#DIV/0!</v>
      </c>
      <c r="Z1503" s="413" t="s">
        <v>1801</v>
      </c>
      <c r="AA1503" s="161">
        <v>0</v>
      </c>
      <c r="AB1503" s="409">
        <v>0</v>
      </c>
      <c r="AC1503" s="259">
        <f t="shared" si="274"/>
        <v>0</v>
      </c>
      <c r="AD1503" s="16" t="s">
        <v>900</v>
      </c>
      <c r="AG1503" s="33">
        <f t="shared" si="279"/>
        <v>0</v>
      </c>
      <c r="AH1503" s="43" t="s">
        <v>2150</v>
      </c>
      <c r="AI1503" s="63">
        <f t="shared" si="280"/>
        <v>3.5000000000000001E-3</v>
      </c>
      <c r="AJ1503" s="307">
        <f>RTD("money.excel",,$G1503,"PredictVolume")</f>
        <v>539</v>
      </c>
      <c r="AK1503" s="339"/>
    </row>
    <row r="1504" spans="1:37">
      <c r="A1504" s="416">
        <v>11.6</v>
      </c>
      <c r="B1504" s="91">
        <v>51</v>
      </c>
      <c r="C1504" s="91">
        <v>43</v>
      </c>
      <c r="D1504" s="91">
        <v>312</v>
      </c>
      <c r="E1504" s="91">
        <v>480</v>
      </c>
      <c r="F1504" s="6">
        <v>-20.88</v>
      </c>
      <c r="G1504" s="79">
        <v>6264</v>
      </c>
      <c r="H1504" s="8" t="s">
        <v>881</v>
      </c>
      <c r="I1504" s="16" t="s">
        <v>901</v>
      </c>
      <c r="J1504" s="73">
        <v>73.34</v>
      </c>
      <c r="K1504" s="73">
        <v>0.03</v>
      </c>
      <c r="N1504" s="318">
        <f t="shared" si="275"/>
        <v>73.37</v>
      </c>
      <c r="O1504" s="81" t="str">
        <f>IFERROR(VLOOKUP($G1504,'321買'!A:E,3,0),"'沒有資料'")</f>
        <v>'沒有資料'</v>
      </c>
      <c r="P1504" s="380" t="str">
        <f>IFERROR(VLOOKUP($G1504,'321買'!$A:$G,7,0),"'沒有資料'")</f>
        <v>'沒有資料'</v>
      </c>
      <c r="R1504" s="297">
        <f>IFERROR(RANK(VLOOKUP($G1504,連買!$A:$D,4,0),連買!$D:$D,0),"'沒有資料'")</f>
        <v>1280</v>
      </c>
      <c r="S1504" s="34">
        <v>0</v>
      </c>
      <c r="T1504" s="353">
        <f t="shared" si="276"/>
        <v>0</v>
      </c>
      <c r="U1504" s="95">
        <v>-0.59</v>
      </c>
      <c r="V1504" s="36">
        <f>RTD("money.excel",,"6264","Price")</f>
        <v>8.8800000000000008</v>
      </c>
      <c r="W1504" s="66"/>
      <c r="X1504" s="15">
        <f t="shared" si="277"/>
        <v>8.8800000000000008</v>
      </c>
      <c r="Y1504" s="3" t="e">
        <f t="shared" si="278"/>
        <v>#DIV/0!</v>
      </c>
      <c r="AA1504" s="161">
        <v>0</v>
      </c>
      <c r="AB1504" s="409">
        <v>0</v>
      </c>
      <c r="AC1504" s="259">
        <f t="shared" si="274"/>
        <v>0</v>
      </c>
      <c r="AD1504" s="16" t="s">
        <v>901</v>
      </c>
      <c r="AG1504" s="33">
        <f t="shared" si="279"/>
        <v>0</v>
      </c>
      <c r="AH1504" s="43" t="s">
        <v>4327</v>
      </c>
      <c r="AI1504" s="63">
        <f t="shared" si="280"/>
        <v>3.4482758620689653E-4</v>
      </c>
      <c r="AJ1504" s="307">
        <f>RTD("money.excel",,$G1504,"PredictVolume")</f>
        <v>40</v>
      </c>
      <c r="AK1504" s="339"/>
    </row>
    <row r="1505" spans="1:37">
      <c r="A1505" s="415">
        <v>3.61</v>
      </c>
      <c r="B1505" s="80">
        <v>-29</v>
      </c>
      <c r="C1505" s="80">
        <v>-29</v>
      </c>
      <c r="D1505" s="79">
        <v>2</v>
      </c>
      <c r="E1505" s="80">
        <v>-6</v>
      </c>
      <c r="F1505" s="57">
        <v>20.2</v>
      </c>
      <c r="G1505" s="79">
        <v>8424</v>
      </c>
      <c r="H1505" s="8" t="s">
        <v>881</v>
      </c>
      <c r="I1505" s="16" t="s">
        <v>902</v>
      </c>
      <c r="J1505" s="73">
        <v>50.7</v>
      </c>
      <c r="K1505" s="323">
        <v>0.82</v>
      </c>
      <c r="L1505" s="73">
        <v>0.17</v>
      </c>
      <c r="N1505" s="318">
        <f t="shared" si="275"/>
        <v>51.690000000000005</v>
      </c>
      <c r="O1505" s="81" t="str">
        <f>IFERROR(VLOOKUP($G1505,'321買'!A:E,3,0),"'沒有資料'")</f>
        <v>'沒有資料'</v>
      </c>
      <c r="P1505" s="380" t="str">
        <f>IFERROR(VLOOKUP($G1505,'321買'!$A:$G,7,0),"'沒有資料'")</f>
        <v>'沒有資料'</v>
      </c>
      <c r="R1505" s="297">
        <f>IFERROR(RANK(VLOOKUP($G1505,連買!$A:$D,4,0),連買!$D:$D,0),"'沒有資料'")</f>
        <v>420</v>
      </c>
      <c r="S1505" s="66">
        <v>4</v>
      </c>
      <c r="T1505" s="353">
        <f t="shared" si="276"/>
        <v>7.8339208773991378E-2</v>
      </c>
      <c r="U1505" s="95">
        <v>4.0599999999999996</v>
      </c>
      <c r="V1505" s="36">
        <v>51.06</v>
      </c>
      <c r="W1505" s="66"/>
      <c r="X1505" s="15">
        <f t="shared" si="277"/>
        <v>51.06</v>
      </c>
      <c r="Y1505" s="3" t="e">
        <f t="shared" si="278"/>
        <v>#DIV/0!</v>
      </c>
      <c r="Z1505" s="413" t="s">
        <v>1997</v>
      </c>
      <c r="AA1505" s="161">
        <v>0</v>
      </c>
      <c r="AB1505" s="409">
        <v>0</v>
      </c>
      <c r="AC1505" s="259">
        <f t="shared" si="274"/>
        <v>0</v>
      </c>
      <c r="AD1505" s="16" t="s">
        <v>902</v>
      </c>
      <c r="AG1505" s="33">
        <f t="shared" si="279"/>
        <v>0</v>
      </c>
      <c r="AH1505" s="43" t="s">
        <v>2902</v>
      </c>
      <c r="AI1505" s="63">
        <f t="shared" si="280"/>
        <v>7.202216066481994E-4</v>
      </c>
      <c r="AJ1505" s="307">
        <f>RTD("money.excel",,$G1505,"PredictVolume")</f>
        <v>26</v>
      </c>
      <c r="AK1505" s="339"/>
    </row>
    <row r="1506" spans="1:37">
      <c r="A1506" s="416">
        <v>8.33</v>
      </c>
      <c r="B1506" s="91">
        <v>20</v>
      </c>
      <c r="C1506" s="91">
        <v>46</v>
      </c>
      <c r="D1506" s="206">
        <v>3319</v>
      </c>
      <c r="E1506" s="206">
        <v>3631</v>
      </c>
      <c r="F1506" s="6">
        <v>-2.93</v>
      </c>
      <c r="G1506" s="79">
        <v>9906</v>
      </c>
      <c r="H1506" s="8" t="s">
        <v>881</v>
      </c>
      <c r="I1506" s="22" t="s">
        <v>944</v>
      </c>
      <c r="J1506" s="73">
        <v>72.13</v>
      </c>
      <c r="K1506" s="73">
        <v>0.65</v>
      </c>
      <c r="L1506" s="73">
        <v>9.3000000000000007</v>
      </c>
      <c r="N1506" s="318">
        <f t="shared" si="275"/>
        <v>82.08</v>
      </c>
      <c r="O1506" s="81">
        <f>IFERROR(VLOOKUP($G1506,'321買'!A:E,3,0),"'沒有資料'")</f>
        <v>0</v>
      </c>
      <c r="P1506" s="380">
        <f>IFERROR(VLOOKUP($G1506,'321買'!$A:$G,7,0),"'沒有資料'")</f>
        <v>911</v>
      </c>
      <c r="R1506" s="297">
        <f>IFERROR(RANK(VLOOKUP($G1506,連買!$A:$D,4,0),連買!$D:$D,0),"'沒有資料'")</f>
        <v>1325</v>
      </c>
      <c r="S1506" s="34">
        <v>0</v>
      </c>
      <c r="T1506" s="353">
        <f t="shared" si="276"/>
        <v>0</v>
      </c>
      <c r="U1506" s="95">
        <v>-1.07</v>
      </c>
      <c r="V1506" s="13">
        <f>RTD("money.excel",,"9906","Price")</f>
        <v>60.9</v>
      </c>
      <c r="W1506" s="66"/>
      <c r="X1506" s="15">
        <f t="shared" si="277"/>
        <v>60.9</v>
      </c>
      <c r="Y1506" s="3" t="e">
        <f t="shared" si="278"/>
        <v>#DIV/0!</v>
      </c>
      <c r="AA1506" s="161">
        <v>0</v>
      </c>
      <c r="AB1506" s="409">
        <v>0</v>
      </c>
      <c r="AC1506" s="259">
        <f t="shared" si="274"/>
        <v>0</v>
      </c>
      <c r="AD1506" s="22" t="s">
        <v>944</v>
      </c>
      <c r="AG1506" s="33">
        <f t="shared" si="279"/>
        <v>0</v>
      </c>
      <c r="AH1506" s="43" t="s">
        <v>2503</v>
      </c>
      <c r="AI1506" s="63">
        <f t="shared" si="280"/>
        <v>2.4249699879951982E-3</v>
      </c>
      <c r="AJ1506" s="307">
        <f>RTD("money.excel",,$G1506,"PredictVolume")</f>
        <v>202</v>
      </c>
      <c r="AK1506" s="339"/>
    </row>
    <row r="1507" spans="1:37">
      <c r="A1507" s="415">
        <v>32.1</v>
      </c>
      <c r="B1507" s="91">
        <v>-84</v>
      </c>
      <c r="C1507" s="91">
        <v>-82</v>
      </c>
      <c r="D1507" s="91">
        <v>-60</v>
      </c>
      <c r="E1507" s="91">
        <v>-86</v>
      </c>
      <c r="F1507" s="57">
        <v>18.8</v>
      </c>
      <c r="G1507" s="79">
        <v>9946</v>
      </c>
      <c r="H1507" s="8" t="s">
        <v>881</v>
      </c>
      <c r="I1507" s="22" t="s">
        <v>1084</v>
      </c>
      <c r="J1507" s="73">
        <v>80.41</v>
      </c>
      <c r="K1507" s="73">
        <v>1.77</v>
      </c>
      <c r="L1507" s="73">
        <v>0.7</v>
      </c>
      <c r="N1507" s="318">
        <f t="shared" si="275"/>
        <v>82.88</v>
      </c>
      <c r="O1507" s="81">
        <f>IFERROR(VLOOKUP($G1507,'321買'!A:E,3,0),"'沒有資料'")</f>
        <v>0</v>
      </c>
      <c r="P1507" s="380">
        <f>IFERROR(VLOOKUP($G1507,'321買'!$A:$G,7,0),"'沒有資料'")</f>
        <v>911</v>
      </c>
      <c r="R1507" s="297">
        <f>IFERROR(RANK(VLOOKUP($G1507,連買!$A:$D,4,0),連買!$D:$D,0),"'沒有資料'")</f>
        <v>1496</v>
      </c>
      <c r="S1507" s="34">
        <v>1.65</v>
      </c>
      <c r="T1507" s="353">
        <f t="shared" si="276"/>
        <v>0.125</v>
      </c>
      <c r="U1507" s="95">
        <v>0.6</v>
      </c>
      <c r="V1507" s="13">
        <f>RTD("money.excel",,"9946","Price")</f>
        <v>13.2</v>
      </c>
      <c r="W1507" s="66"/>
      <c r="X1507" s="15">
        <f t="shared" si="277"/>
        <v>13.2</v>
      </c>
      <c r="Y1507" s="3" t="e">
        <f t="shared" si="278"/>
        <v>#DIV/0!</v>
      </c>
      <c r="AA1507" s="161">
        <v>0</v>
      </c>
      <c r="AB1507" s="409">
        <v>0</v>
      </c>
      <c r="AC1507" s="259">
        <f t="shared" si="274"/>
        <v>0</v>
      </c>
      <c r="AD1507" s="22" t="s">
        <v>1084</v>
      </c>
      <c r="AG1507" s="33">
        <f t="shared" si="279"/>
        <v>0</v>
      </c>
      <c r="AH1507" s="43" t="s">
        <v>2150</v>
      </c>
      <c r="AI1507" s="63">
        <f t="shared" si="280"/>
        <v>2.4610591900311524E-4</v>
      </c>
      <c r="AJ1507" s="307">
        <f>RTD("money.excel",,$G1507,"PredictVolume")</f>
        <v>79</v>
      </c>
      <c r="AK1507" s="339"/>
    </row>
    <row r="1508" spans="1:37">
      <c r="B1508" s="91"/>
      <c r="C1508" s="91"/>
      <c r="D1508" s="91"/>
      <c r="E1508" s="91"/>
      <c r="F1508" s="57"/>
      <c r="G1508" s="79"/>
      <c r="H1508" s="8"/>
      <c r="I1508" s="22"/>
      <c r="J1508" s="73"/>
      <c r="K1508" s="73"/>
      <c r="N1508" s="318"/>
      <c r="O1508" s="26"/>
      <c r="S1508" s="34"/>
      <c r="U1508" s="95"/>
      <c r="V1508" s="13"/>
      <c r="W1508" s="66"/>
      <c r="X1508" s="15"/>
      <c r="Y1508" s="3"/>
      <c r="AA1508" s="2"/>
      <c r="AD1508" s="22"/>
      <c r="AG1508" s="33"/>
      <c r="AH1508" s="43"/>
      <c r="AI1508" s="63"/>
      <c r="AJ1508" s="307"/>
      <c r="AK1508" s="339"/>
    </row>
    <row r="1509" spans="1:37">
      <c r="A1509" s="130" t="s">
        <v>1732</v>
      </c>
      <c r="B1509" s="91" t="s">
        <v>1588</v>
      </c>
      <c r="C1509" s="91" t="s">
        <v>1589</v>
      </c>
      <c r="D1509" s="91" t="s">
        <v>1590</v>
      </c>
      <c r="E1509" s="91" t="s">
        <v>1591</v>
      </c>
      <c r="F1509" s="8" t="s">
        <v>1066</v>
      </c>
      <c r="G1509" s="27" t="s">
        <v>864</v>
      </c>
      <c r="H1509" s="55" t="s">
        <v>322</v>
      </c>
      <c r="I1509" s="8" t="s">
        <v>304</v>
      </c>
      <c r="J1509" s="317" t="s">
        <v>252</v>
      </c>
      <c r="K1509" s="317" t="s">
        <v>1157</v>
      </c>
      <c r="L1509" s="317" t="s">
        <v>284</v>
      </c>
      <c r="M1509" s="317" t="s">
        <v>1059</v>
      </c>
      <c r="N1509" s="317" t="s">
        <v>5048</v>
      </c>
      <c r="O1509" s="26" t="s">
        <v>5107</v>
      </c>
      <c r="P1509" s="373" t="s">
        <v>5059</v>
      </c>
      <c r="Q1509" s="245" t="s">
        <v>5087</v>
      </c>
      <c r="R1509" s="345" t="s">
        <v>5059</v>
      </c>
      <c r="S1509" s="10" t="s">
        <v>66</v>
      </c>
      <c r="T1509" s="351" t="s">
        <v>5076</v>
      </c>
      <c r="U1509" s="68" t="s">
        <v>3493</v>
      </c>
      <c r="V1509" s="28" t="s">
        <v>2</v>
      </c>
      <c r="W1509" s="17" t="s">
        <v>1405</v>
      </c>
      <c r="X1509" s="14" t="s">
        <v>5</v>
      </c>
      <c r="Y1509" s="21" t="s">
        <v>3</v>
      </c>
      <c r="Z1509" s="97" t="s">
        <v>6627</v>
      </c>
      <c r="AA1509" s="406" t="s">
        <v>8647</v>
      </c>
      <c r="AB1509" s="407" t="s">
        <v>8648</v>
      </c>
      <c r="AC1509" s="408" t="s">
        <v>8649</v>
      </c>
      <c r="AD1509" s="8" t="s">
        <v>304</v>
      </c>
      <c r="AE1509" s="71" t="s">
        <v>1406</v>
      </c>
      <c r="AF1509" s="72" t="s">
        <v>1163</v>
      </c>
      <c r="AG1509" s="32" t="s">
        <v>1164</v>
      </c>
      <c r="AH1509" s="25" t="s">
        <v>8650</v>
      </c>
      <c r="AI1509" s="8" t="s">
        <v>3852</v>
      </c>
      <c r="AJ1509" s="50" t="s">
        <v>3586</v>
      </c>
      <c r="AK1509" s="339" t="s">
        <v>5038</v>
      </c>
    </row>
    <row r="1510" spans="1:37">
      <c r="A1510" s="416">
        <v>92.3</v>
      </c>
      <c r="B1510" s="79">
        <v>11</v>
      </c>
      <c r="C1510" s="80">
        <v>-11</v>
      </c>
      <c r="D1510" s="80">
        <v>-15</v>
      </c>
      <c r="E1510" s="80">
        <v>-28</v>
      </c>
      <c r="F1510" s="6">
        <v>-7.54</v>
      </c>
      <c r="G1510" s="79">
        <v>2208</v>
      </c>
      <c r="H1510" s="8" t="s">
        <v>5056</v>
      </c>
      <c r="I1510" s="22" t="s">
        <v>88</v>
      </c>
      <c r="J1510" s="323">
        <v>53.32</v>
      </c>
      <c r="K1510" s="323">
        <v>4.3499999999999996</v>
      </c>
      <c r="L1510" s="73">
        <v>6.34</v>
      </c>
      <c r="N1510" s="318">
        <f>J1510+K1510+L1510+M1510</f>
        <v>64.010000000000005</v>
      </c>
      <c r="O1510" s="81">
        <f>IFERROR(VLOOKUP($G1510,'321買'!A:E,3,0),"'沒有資料'")</f>
        <v>5</v>
      </c>
      <c r="P1510" s="380">
        <f>IFERROR(VLOOKUP($G1510,'321買'!$A:$G,7,0),"'沒有資料'")</f>
        <v>558</v>
      </c>
      <c r="R1510" s="297">
        <f>IFERROR(RANK(VLOOKUP($G1510,連買!$A:$D,4,0),連買!$D:$D,0),"'沒有資料'")</f>
        <v>1540</v>
      </c>
      <c r="S1510" s="34">
        <v>0</v>
      </c>
      <c r="T1510" s="353">
        <f t="shared" ref="T1510:T1537" si="281">S1510/V1510</f>
        <v>0</v>
      </c>
      <c r="U1510" s="57">
        <v>-3.38</v>
      </c>
      <c r="V1510" s="36">
        <f>RTD("money.excel",,"2208","Price")</f>
        <v>21.3</v>
      </c>
      <c r="W1510" s="66"/>
      <c r="X1510" s="15">
        <f t="shared" ref="X1510:X1538" si="282">V1510-W1510</f>
        <v>21.3</v>
      </c>
      <c r="Y1510" s="3" t="e">
        <f t="shared" ref="Y1510:Y1538" si="283">X1510/W1510</f>
        <v>#DIV/0!</v>
      </c>
      <c r="Z1510" s="413" t="s">
        <v>1801</v>
      </c>
      <c r="AA1510" s="161">
        <v>0</v>
      </c>
      <c r="AB1510" s="409">
        <v>0</v>
      </c>
      <c r="AC1510" s="259">
        <f t="shared" si="274"/>
        <v>0</v>
      </c>
      <c r="AD1510" s="22" t="s">
        <v>88</v>
      </c>
      <c r="AG1510" s="33">
        <f t="shared" ref="AG1510:AG1538" si="284">AF1510-AE1510</f>
        <v>0</v>
      </c>
      <c r="AH1510" s="120" t="s">
        <v>3438</v>
      </c>
      <c r="AI1510" s="63">
        <f t="shared" ref="AI1510:AI1538" si="285">AJ1510/(A1510*10000)</f>
        <v>3.0606717226435536E-3</v>
      </c>
      <c r="AJ1510" s="307">
        <f>RTD("money.excel",,$G1510,"PredictVolume")</f>
        <v>2825</v>
      </c>
      <c r="AK1510" s="339"/>
    </row>
    <row r="1511" spans="1:37">
      <c r="A1511" s="415">
        <v>529</v>
      </c>
      <c r="B1511" s="79">
        <v>814</v>
      </c>
      <c r="C1511" s="79">
        <v>721</v>
      </c>
      <c r="D1511" s="79">
        <v>6</v>
      </c>
      <c r="E1511" s="79">
        <v>83</v>
      </c>
      <c r="F1511" s="57">
        <v>58.21</v>
      </c>
      <c r="G1511" s="79">
        <v>2603</v>
      </c>
      <c r="H1511" s="8" t="s">
        <v>304</v>
      </c>
      <c r="I1511" s="22" t="s">
        <v>266</v>
      </c>
      <c r="J1511" s="323">
        <v>63.34</v>
      </c>
      <c r="K1511" s="73">
        <v>29.66</v>
      </c>
      <c r="L1511" s="323">
        <v>17.46</v>
      </c>
      <c r="M1511" s="323">
        <v>11.16</v>
      </c>
      <c r="N1511" s="318">
        <f t="shared" ref="N1511" si="286">J1511+K1511+L1511+M1511</f>
        <v>121.62</v>
      </c>
      <c r="O1511" s="81">
        <f>IFERROR(VLOOKUP($G1511,'321買'!A:E,3,0),"'沒有資料'")</f>
        <v>20</v>
      </c>
      <c r="P1511" s="380">
        <f>IFERROR(VLOOKUP($G1511,'321買'!$A:$G,7,0),"'沒有資料'")</f>
        <v>250</v>
      </c>
      <c r="Q1511" s="245" t="s">
        <v>3816</v>
      </c>
      <c r="R1511" s="297">
        <f>IFERROR(RANK(VLOOKUP($G1511,連買!$A:$D,4,0),連買!$D:$D,0),"'沒有資料'")</f>
        <v>105</v>
      </c>
      <c r="S1511" s="45">
        <v>18</v>
      </c>
      <c r="T1511" s="355">
        <f t="shared" si="281"/>
        <v>0.13043478260869565</v>
      </c>
      <c r="U1511" s="57">
        <v>45.68</v>
      </c>
      <c r="V1511" s="36">
        <f>RTD("money.excel",,"2603","Price")</f>
        <v>138</v>
      </c>
      <c r="W1511" s="66"/>
      <c r="X1511" s="15">
        <f t="shared" si="282"/>
        <v>138</v>
      </c>
      <c r="Y1511" s="3" t="e">
        <f t="shared" si="283"/>
        <v>#DIV/0!</v>
      </c>
      <c r="Z1511" s="413" t="s">
        <v>8631</v>
      </c>
      <c r="AA1511" s="161">
        <v>0</v>
      </c>
      <c r="AB1511" s="409">
        <v>0</v>
      </c>
      <c r="AC1511" s="259">
        <f t="shared" si="274"/>
        <v>0</v>
      </c>
      <c r="AD1511" s="22" t="s">
        <v>266</v>
      </c>
      <c r="AG1511" s="33">
        <f t="shared" si="284"/>
        <v>0</v>
      </c>
      <c r="AH1511" s="120" t="s">
        <v>3486</v>
      </c>
      <c r="AI1511" s="63">
        <f t="shared" si="285"/>
        <v>1.3906616257088847E-2</v>
      </c>
      <c r="AJ1511" s="360">
        <f>RTD("money.excel",,$G1511,"PredictVolume")</f>
        <v>73566</v>
      </c>
      <c r="AK1511" s="339">
        <v>19.28</v>
      </c>
    </row>
    <row r="1512" spans="1:37">
      <c r="A1512" s="415">
        <v>58.5</v>
      </c>
      <c r="B1512" s="79">
        <v>34</v>
      </c>
      <c r="C1512" s="79">
        <v>8</v>
      </c>
      <c r="D1512" s="80">
        <v>-4</v>
      </c>
      <c r="E1512" s="79">
        <v>84</v>
      </c>
      <c r="F1512" s="57">
        <v>19.77</v>
      </c>
      <c r="G1512" s="79">
        <v>2605</v>
      </c>
      <c r="H1512" s="8" t="s">
        <v>5056</v>
      </c>
      <c r="I1512" s="22" t="s">
        <v>870</v>
      </c>
      <c r="J1512" s="323">
        <v>35.6</v>
      </c>
      <c r="K1512" s="73">
        <v>35.22</v>
      </c>
      <c r="L1512" s="73">
        <v>16.059999999999999</v>
      </c>
      <c r="M1512" s="323">
        <v>5.62</v>
      </c>
      <c r="N1512" s="318">
        <f t="shared" ref="N1512:N1538" si="287">J1512+K1512+L1512+M1512</f>
        <v>92.5</v>
      </c>
      <c r="O1512" s="81">
        <f>IFERROR(VLOOKUP($G1512,'321買'!A:E,3,0),"'沒有資料'")</f>
        <v>33</v>
      </c>
      <c r="P1512" s="380">
        <f>IFERROR(VLOOKUP($G1512,'321買'!$A:$G,7,0),"'沒有資料'")</f>
        <v>141</v>
      </c>
      <c r="Q1512" s="245" t="s">
        <v>3817</v>
      </c>
      <c r="R1512" s="297">
        <f>IFERROR(RANK(VLOOKUP($G1512,連買!$A:$D,4,0),連買!$D:$D,0),"'沒有資料'")</f>
        <v>526</v>
      </c>
      <c r="S1512" s="34">
        <v>0.5</v>
      </c>
      <c r="T1512" s="353">
        <f t="shared" si="281"/>
        <v>1.8315018315018316E-2</v>
      </c>
      <c r="U1512" s="95">
        <v>0.39</v>
      </c>
      <c r="V1512" s="36">
        <f>RTD("money.excel",,"2605","Price")</f>
        <v>27.3</v>
      </c>
      <c r="W1512" s="66"/>
      <c r="X1512" s="15">
        <f t="shared" si="282"/>
        <v>27.3</v>
      </c>
      <c r="Y1512" s="3" t="e">
        <f t="shared" si="283"/>
        <v>#DIV/0!</v>
      </c>
      <c r="Z1512" s="413" t="s">
        <v>1801</v>
      </c>
      <c r="AA1512" s="161">
        <v>0</v>
      </c>
      <c r="AB1512" s="409">
        <v>0</v>
      </c>
      <c r="AC1512" s="259">
        <f t="shared" si="274"/>
        <v>0</v>
      </c>
      <c r="AD1512" s="22" t="s">
        <v>870</v>
      </c>
      <c r="AG1512" s="33">
        <f t="shared" si="284"/>
        <v>0</v>
      </c>
      <c r="AH1512" s="43" t="s">
        <v>2153</v>
      </c>
      <c r="AI1512" s="63">
        <f t="shared" si="285"/>
        <v>5.4290598290598294E-3</v>
      </c>
      <c r="AJ1512" s="307">
        <f>RTD("money.excel",,$G1512,"PredictVolume")</f>
        <v>3176</v>
      </c>
      <c r="AK1512" s="339"/>
    </row>
    <row r="1513" spans="1:37">
      <c r="A1513" s="415">
        <v>84.5</v>
      </c>
      <c r="B1513" s="79">
        <v>586</v>
      </c>
      <c r="C1513" s="79">
        <v>919</v>
      </c>
      <c r="D1513" s="80">
        <v>-2</v>
      </c>
      <c r="E1513" s="79">
        <v>71</v>
      </c>
      <c r="F1513" s="57">
        <v>22.78</v>
      </c>
      <c r="G1513" s="79">
        <v>2606</v>
      </c>
      <c r="H1513" s="8" t="s">
        <v>5056</v>
      </c>
      <c r="I1513" s="22" t="s">
        <v>4955</v>
      </c>
      <c r="J1513" s="73">
        <v>57.55</v>
      </c>
      <c r="K1513" s="73">
        <v>13.99</v>
      </c>
      <c r="L1513" s="73">
        <v>11.45</v>
      </c>
      <c r="M1513" s="323">
        <v>40.49</v>
      </c>
      <c r="N1513" s="318">
        <f t="shared" si="287"/>
        <v>123.47999999999999</v>
      </c>
      <c r="O1513" s="81">
        <f>IFERROR(VLOOKUP($G1513,'321買'!A:E,3,0),"'沒有資料'")</f>
        <v>28</v>
      </c>
      <c r="P1513" s="380">
        <f>IFERROR(VLOOKUP($G1513,'321買'!$A:$G,7,0),"'沒有資料'")</f>
        <v>180</v>
      </c>
      <c r="Q1513" s="245" t="s">
        <v>3817</v>
      </c>
      <c r="R1513" s="297">
        <f>IFERROR(RANK(VLOOKUP($G1513,連買!$A:$D,4,0),連買!$D:$D,0),"'沒有資料'")</f>
        <v>290</v>
      </c>
      <c r="S1513" s="34">
        <v>1.2</v>
      </c>
      <c r="T1513" s="353">
        <f t="shared" si="281"/>
        <v>2.0066889632107024E-2</v>
      </c>
      <c r="U1513" s="57">
        <v>4.2300000000000004</v>
      </c>
      <c r="V1513" s="36">
        <f>RTD("money.excel",,"2606","Price")</f>
        <v>59.8</v>
      </c>
      <c r="W1513" s="66"/>
      <c r="X1513" s="15">
        <f t="shared" si="282"/>
        <v>59.8</v>
      </c>
      <c r="Y1513" s="3" t="e">
        <f t="shared" si="283"/>
        <v>#DIV/0!</v>
      </c>
      <c r="Z1513" s="413" t="s">
        <v>1801</v>
      </c>
      <c r="AA1513" s="161">
        <v>0</v>
      </c>
      <c r="AB1513" s="409">
        <v>0</v>
      </c>
      <c r="AC1513" s="259">
        <f t="shared" si="274"/>
        <v>0</v>
      </c>
      <c r="AD1513" s="22" t="s">
        <v>4955</v>
      </c>
      <c r="AG1513" s="33">
        <f t="shared" si="284"/>
        <v>0</v>
      </c>
      <c r="AH1513" s="120" t="s">
        <v>3487</v>
      </c>
      <c r="AI1513" s="63">
        <f t="shared" si="285"/>
        <v>5.9538461538461542E-3</v>
      </c>
      <c r="AJ1513" s="307">
        <f>RTD("money.excel",,$G1513,"PredictVolume")</f>
        <v>5031</v>
      </c>
      <c r="AK1513" s="339"/>
    </row>
    <row r="1514" spans="1:37">
      <c r="A1514" s="416">
        <v>106</v>
      </c>
      <c r="B1514" s="79">
        <v>28</v>
      </c>
      <c r="C1514" s="80">
        <v>-14</v>
      </c>
      <c r="D1514" s="80">
        <v>-6</v>
      </c>
      <c r="E1514" s="79">
        <v>83</v>
      </c>
      <c r="F1514" s="6">
        <v>9.56</v>
      </c>
      <c r="G1514" s="79">
        <v>2607</v>
      </c>
      <c r="H1514" s="8" t="s">
        <v>5056</v>
      </c>
      <c r="I1514" s="22" t="s">
        <v>113</v>
      </c>
      <c r="J1514" s="323">
        <v>68.430000000000007</v>
      </c>
      <c r="K1514" s="323">
        <v>8.06</v>
      </c>
      <c r="L1514" s="73">
        <v>5.82</v>
      </c>
      <c r="M1514" s="323">
        <v>50.66</v>
      </c>
      <c r="N1514" s="73">
        <f t="shared" si="287"/>
        <v>132.97</v>
      </c>
      <c r="O1514" s="81">
        <f>IFERROR(VLOOKUP($G1514,'321買'!A:E,3,0),"'沒有資料'")</f>
        <v>12</v>
      </c>
      <c r="P1514" s="380">
        <f>IFERROR(VLOOKUP($G1514,'321買'!$A:$G,7,0),"'沒有資料'")</f>
        <v>387</v>
      </c>
      <c r="Q1514" s="245" t="s">
        <v>3815</v>
      </c>
      <c r="R1514" s="297">
        <f>IFERROR(RANK(VLOOKUP($G1514,連買!$A:$D,4,0),連買!$D:$D,0),"'沒有資料'")</f>
        <v>636</v>
      </c>
      <c r="S1514" s="34">
        <v>0.3</v>
      </c>
      <c r="T1514" s="353">
        <f t="shared" si="281"/>
        <v>8.0645161290322578E-3</v>
      </c>
      <c r="U1514" s="57">
        <v>0.79</v>
      </c>
      <c r="V1514" s="36">
        <f>RTD("money.excel",,"2607","Price")</f>
        <v>37.200000000000003</v>
      </c>
      <c r="W1514" s="66"/>
      <c r="X1514" s="15">
        <f t="shared" si="282"/>
        <v>37.200000000000003</v>
      </c>
      <c r="Y1514" s="3" t="e">
        <f t="shared" si="283"/>
        <v>#DIV/0!</v>
      </c>
      <c r="AA1514" s="161">
        <v>0</v>
      </c>
      <c r="AB1514" s="409">
        <v>0</v>
      </c>
      <c r="AC1514" s="259">
        <f t="shared" si="274"/>
        <v>0</v>
      </c>
      <c r="AD1514" s="22" t="s">
        <v>113</v>
      </c>
      <c r="AG1514" s="33">
        <f t="shared" si="284"/>
        <v>0</v>
      </c>
      <c r="AH1514" s="120" t="s">
        <v>3488</v>
      </c>
      <c r="AI1514" s="63">
        <f t="shared" si="285"/>
        <v>1.455E-2</v>
      </c>
      <c r="AJ1514" s="307">
        <f>RTD("money.excel",,$G1514,"PredictVolume")</f>
        <v>15423</v>
      </c>
      <c r="AK1514" s="339"/>
    </row>
    <row r="1515" spans="1:37">
      <c r="A1515" s="415">
        <v>46.7</v>
      </c>
      <c r="B1515" s="80">
        <v>-1</v>
      </c>
      <c r="C1515" s="79">
        <v>2</v>
      </c>
      <c r="D1515" s="79">
        <v>1</v>
      </c>
      <c r="E1515" s="79">
        <v>3</v>
      </c>
      <c r="F1515" s="57">
        <v>14.02</v>
      </c>
      <c r="G1515" s="79">
        <v>2608</v>
      </c>
      <c r="H1515" s="8" t="s">
        <v>5056</v>
      </c>
      <c r="I1515" s="22" t="s">
        <v>1122</v>
      </c>
      <c r="J1515" s="73">
        <v>74.510000000000005</v>
      </c>
      <c r="K1515" s="73">
        <v>9.99</v>
      </c>
      <c r="L1515" s="323">
        <v>3.92</v>
      </c>
      <c r="N1515" s="318">
        <f t="shared" si="287"/>
        <v>88.42</v>
      </c>
      <c r="O1515" s="81">
        <f>IFERROR(VLOOKUP($G1515,'321買'!A:E,3,0),"'沒有資料'")</f>
        <v>5</v>
      </c>
      <c r="P1515" s="380">
        <f>IFERROR(VLOOKUP($G1515,'321買'!$A:$G,7,0),"'沒有資料'")</f>
        <v>521</v>
      </c>
      <c r="R1515" s="297">
        <f>IFERROR(RANK(VLOOKUP($G1515,連買!$A:$D,4,0),連買!$D:$D,0),"'沒有資料'")</f>
        <v>470</v>
      </c>
      <c r="S1515" s="34">
        <v>1.68</v>
      </c>
      <c r="T1515" s="353">
        <f t="shared" si="281"/>
        <v>3.8576349024110217E-2</v>
      </c>
      <c r="U1515" s="57">
        <v>3.2</v>
      </c>
      <c r="V1515" s="36">
        <f>RTD("money.excel",,"2608","Price")</f>
        <v>43.55</v>
      </c>
      <c r="W1515" s="66"/>
      <c r="X1515" s="15">
        <f t="shared" si="282"/>
        <v>43.55</v>
      </c>
      <c r="Y1515" s="3" t="e">
        <f t="shared" si="283"/>
        <v>#DIV/0!</v>
      </c>
      <c r="Z1515" s="413" t="s">
        <v>1801</v>
      </c>
      <c r="AA1515" s="161">
        <v>0</v>
      </c>
      <c r="AB1515" s="409">
        <v>0</v>
      </c>
      <c r="AC1515" s="259">
        <f t="shared" si="274"/>
        <v>0</v>
      </c>
      <c r="AD1515" s="22" t="s">
        <v>1122</v>
      </c>
      <c r="AG1515" s="33">
        <f t="shared" si="284"/>
        <v>0</v>
      </c>
      <c r="AH1515" s="120" t="s">
        <v>3489</v>
      </c>
      <c r="AI1515" s="63">
        <f t="shared" si="285"/>
        <v>2.4432548179871521E-3</v>
      </c>
      <c r="AJ1515" s="307">
        <f>RTD("money.excel",,$G1515,"PredictVolume")</f>
        <v>1141</v>
      </c>
      <c r="AK1515" s="339"/>
    </row>
    <row r="1516" spans="1:37">
      <c r="A1516" s="415">
        <v>349</v>
      </c>
      <c r="B1516" s="93">
        <v>1258</v>
      </c>
      <c r="C1516" s="79">
        <v>945</v>
      </c>
      <c r="D1516" s="80">
        <v>-6</v>
      </c>
      <c r="E1516" s="79">
        <v>59</v>
      </c>
      <c r="F1516" s="57">
        <v>60.95</v>
      </c>
      <c r="G1516" s="79">
        <v>2609</v>
      </c>
      <c r="H1516" s="8" t="s">
        <v>304</v>
      </c>
      <c r="I1516" s="22" t="s">
        <v>871</v>
      </c>
      <c r="J1516" s="323">
        <v>58.78</v>
      </c>
      <c r="K1516" s="73">
        <v>15.57</v>
      </c>
      <c r="L1516" s="323">
        <v>18.47</v>
      </c>
      <c r="M1516" s="323">
        <v>33.18</v>
      </c>
      <c r="N1516" s="73">
        <f t="shared" si="287"/>
        <v>126</v>
      </c>
      <c r="O1516" s="81">
        <f>IFERROR(VLOOKUP($G1516,'321買'!A:E,3,0),"'沒有資料'")</f>
        <v>19</v>
      </c>
      <c r="P1516" s="380">
        <f>IFERROR(VLOOKUP($G1516,'321買'!$A:$G,7,0),"'沒有資料'")</f>
        <v>265</v>
      </c>
      <c r="Q1516" s="245" t="s">
        <v>3816</v>
      </c>
      <c r="R1516" s="297">
        <f>IFERROR(RANK(VLOOKUP($G1516,連買!$A:$D,4,0),連買!$D:$D,0),"'沒有資料'")</f>
        <v>144</v>
      </c>
      <c r="S1516" s="45">
        <v>20</v>
      </c>
      <c r="T1516" s="355">
        <f t="shared" si="281"/>
        <v>0.16393442622950818</v>
      </c>
      <c r="U1516" s="57">
        <v>49.11</v>
      </c>
      <c r="V1516" s="36">
        <f>RTD("money.excel",,"2609","Price")</f>
        <v>122</v>
      </c>
      <c r="W1516" s="66"/>
      <c r="X1516" s="15">
        <f t="shared" si="282"/>
        <v>122</v>
      </c>
      <c r="Y1516" s="3" t="e">
        <f t="shared" si="283"/>
        <v>#DIV/0!</v>
      </c>
      <c r="Z1516" s="413" t="s">
        <v>8633</v>
      </c>
      <c r="AA1516" s="161">
        <v>0</v>
      </c>
      <c r="AB1516" s="409">
        <v>0</v>
      </c>
      <c r="AC1516" s="259">
        <f t="shared" si="274"/>
        <v>0</v>
      </c>
      <c r="AD1516" s="22" t="s">
        <v>871</v>
      </c>
      <c r="AG1516" s="33">
        <f t="shared" si="284"/>
        <v>0</v>
      </c>
      <c r="AH1516" s="43" t="s">
        <v>3486</v>
      </c>
      <c r="AI1516" s="63">
        <f t="shared" si="285"/>
        <v>1.213352435530086E-2</v>
      </c>
      <c r="AJ1516" s="360">
        <f>RTD("money.excel",,$G1516,"PredictVolume")</f>
        <v>42346</v>
      </c>
      <c r="AK1516" s="339">
        <v>23.94</v>
      </c>
    </row>
    <row r="1517" spans="1:37">
      <c r="A1517" s="416">
        <v>542</v>
      </c>
      <c r="B1517" s="94">
        <v>-4213</v>
      </c>
      <c r="C1517" s="80">
        <v>-120</v>
      </c>
      <c r="D1517" s="79">
        <v>4</v>
      </c>
      <c r="E1517" s="80">
        <v>-25</v>
      </c>
      <c r="F1517" s="6">
        <v>-25.31</v>
      </c>
      <c r="G1517" s="79">
        <v>2610</v>
      </c>
      <c r="H1517" s="8" t="s">
        <v>5056</v>
      </c>
      <c r="I1517" s="22" t="s">
        <v>24</v>
      </c>
      <c r="J1517" s="323">
        <v>69.45</v>
      </c>
      <c r="K1517" s="73">
        <v>9.39</v>
      </c>
      <c r="L1517" s="73">
        <v>5.19</v>
      </c>
      <c r="N1517" s="318">
        <f t="shared" si="287"/>
        <v>84.03</v>
      </c>
      <c r="O1517" s="81">
        <f>IFERROR(VLOOKUP($G1517,'321買'!A:E,3,0),"'沒有資料'")</f>
        <v>26</v>
      </c>
      <c r="P1517" s="380">
        <f>IFERROR(VLOOKUP($G1517,'321買'!$A:$G,7,0),"'沒有資料'")</f>
        <v>189</v>
      </c>
      <c r="R1517" s="297">
        <f>IFERROR(RANK(VLOOKUP($G1517,連買!$A:$D,4,0),連買!$D:$D,0),"'沒有資料'")</f>
        <v>826</v>
      </c>
      <c r="S1517" s="34">
        <v>0</v>
      </c>
      <c r="T1517" s="353">
        <f t="shared" si="281"/>
        <v>0</v>
      </c>
      <c r="U1517" s="95">
        <v>0.03</v>
      </c>
      <c r="V1517" s="36">
        <f>RTD("money.excel",,"2610","Price")</f>
        <v>28.85</v>
      </c>
      <c r="W1517" s="66"/>
      <c r="X1517" s="15">
        <f t="shared" si="282"/>
        <v>28.85</v>
      </c>
      <c r="Y1517" s="3" t="e">
        <f t="shared" si="283"/>
        <v>#DIV/0!</v>
      </c>
      <c r="Z1517" s="413" t="s">
        <v>1801</v>
      </c>
      <c r="AA1517" s="161">
        <v>0</v>
      </c>
      <c r="AB1517" s="409">
        <v>0</v>
      </c>
      <c r="AC1517" s="259">
        <f t="shared" si="274"/>
        <v>0</v>
      </c>
      <c r="AD1517" s="22" t="s">
        <v>24</v>
      </c>
      <c r="AG1517" s="33">
        <f t="shared" si="284"/>
        <v>0</v>
      </c>
      <c r="AH1517" s="120" t="s">
        <v>3490</v>
      </c>
      <c r="AI1517" s="63">
        <f t="shared" si="285"/>
        <v>6.720036900369003E-2</v>
      </c>
      <c r="AJ1517" s="360">
        <f>RTD("money.excel",,$G1517,"PredictVolume")</f>
        <v>364226</v>
      </c>
      <c r="AK1517" s="339"/>
    </row>
    <row r="1518" spans="1:37">
      <c r="A1518" s="416">
        <v>17.100000000000001</v>
      </c>
      <c r="B1518" s="93">
        <v>4959</v>
      </c>
      <c r="C1518" s="79">
        <v>14</v>
      </c>
      <c r="D1518" s="79">
        <v>18</v>
      </c>
      <c r="E1518" s="79">
        <v>32</v>
      </c>
      <c r="F1518" s="6">
        <v>-16.350000000000001</v>
      </c>
      <c r="G1518" s="79">
        <v>2611</v>
      </c>
      <c r="H1518" s="8" t="s">
        <v>5056</v>
      </c>
      <c r="I1518" s="22" t="s">
        <v>872</v>
      </c>
      <c r="J1518" s="323">
        <v>51.07</v>
      </c>
      <c r="K1518" s="73">
        <v>1.3</v>
      </c>
      <c r="L1518" s="323">
        <v>20.03</v>
      </c>
      <c r="N1518" s="318">
        <f t="shared" si="287"/>
        <v>72.400000000000006</v>
      </c>
      <c r="O1518" s="81">
        <f>IFERROR(VLOOKUP($G1518,'321買'!A:E,3,0),"'沒有資料'")</f>
        <v>41</v>
      </c>
      <c r="P1518" s="380">
        <f>IFERROR(VLOOKUP($G1518,'321買'!$A:$G,7,0),"'沒有資料'")</f>
        <v>100</v>
      </c>
      <c r="R1518" s="297">
        <f>IFERROR(RANK(VLOOKUP($G1518,連買!$A:$D,4,0),連買!$D:$D,0),"'沒有資料'")</f>
        <v>728</v>
      </c>
      <c r="S1518" s="34">
        <v>0</v>
      </c>
      <c r="T1518" s="353">
        <f t="shared" si="281"/>
        <v>0</v>
      </c>
      <c r="U1518" s="57">
        <v>2.38</v>
      </c>
      <c r="V1518" s="36">
        <f>RTD("money.excel",,"2611","Price")</f>
        <v>24.15</v>
      </c>
      <c r="W1518" s="66"/>
      <c r="X1518" s="15">
        <f t="shared" si="282"/>
        <v>24.15</v>
      </c>
      <c r="Y1518" s="3" t="e">
        <f t="shared" si="283"/>
        <v>#DIV/0!</v>
      </c>
      <c r="AA1518" s="161">
        <v>0</v>
      </c>
      <c r="AB1518" s="409">
        <v>0</v>
      </c>
      <c r="AC1518" s="259">
        <f t="shared" si="274"/>
        <v>0</v>
      </c>
      <c r="AD1518" s="22" t="s">
        <v>872</v>
      </c>
      <c r="AG1518" s="33">
        <f t="shared" si="284"/>
        <v>0</v>
      </c>
      <c r="AH1518" s="43" t="s">
        <v>1542</v>
      </c>
      <c r="AI1518" s="63">
        <f t="shared" si="285"/>
        <v>4.9713450292397661E-2</v>
      </c>
      <c r="AJ1518" s="307">
        <f>RTD("money.excel",,$G1518,"PredictVolume")</f>
        <v>8501</v>
      </c>
      <c r="AK1518" s="339"/>
    </row>
    <row r="1519" spans="1:37">
      <c r="A1519" s="416">
        <v>19.7</v>
      </c>
      <c r="B1519" s="79">
        <v>213</v>
      </c>
      <c r="C1519" s="79">
        <v>106</v>
      </c>
      <c r="D1519" s="80">
        <v>-11</v>
      </c>
      <c r="E1519" s="79">
        <v>26</v>
      </c>
      <c r="F1519" s="6">
        <v>9.9600000000000009</v>
      </c>
      <c r="G1519" s="79">
        <v>2612</v>
      </c>
      <c r="H1519" s="8" t="s">
        <v>304</v>
      </c>
      <c r="I1519" s="22" t="s">
        <v>873</v>
      </c>
      <c r="J1519" s="73">
        <v>64.7</v>
      </c>
      <c r="K1519" s="73">
        <v>3.38</v>
      </c>
      <c r="L1519" s="73">
        <v>13.2</v>
      </c>
      <c r="M1519" s="73">
        <v>22.74</v>
      </c>
      <c r="N1519" s="318">
        <f t="shared" si="287"/>
        <v>104.02</v>
      </c>
      <c r="O1519" s="81">
        <f>IFERROR(VLOOKUP($G1519,'321買'!A:E,3,0),"'沒有資料'")</f>
        <v>21</v>
      </c>
      <c r="P1519" s="380">
        <f>IFERROR(VLOOKUP($G1519,'321買'!$A:$G,7,0),"'沒有資料'")</f>
        <v>241</v>
      </c>
      <c r="Q1519" s="245" t="s">
        <v>3815</v>
      </c>
      <c r="R1519" s="297">
        <f>IFERROR(RANK(VLOOKUP($G1519,連買!$A:$D,4,0),連買!$D:$D,0),"'沒有資料'")</f>
        <v>281</v>
      </c>
      <c r="S1519" s="34">
        <v>2.68</v>
      </c>
      <c r="T1519" s="353">
        <f t="shared" si="281"/>
        <v>5.1637764932562627E-2</v>
      </c>
      <c r="U1519" s="57">
        <v>5.27</v>
      </c>
      <c r="V1519" s="36">
        <f>RTD("money.excel",,"2612","Price")</f>
        <v>51.9</v>
      </c>
      <c r="W1519" s="66"/>
      <c r="X1519" s="15">
        <f t="shared" si="282"/>
        <v>51.9</v>
      </c>
      <c r="Y1519" s="3" t="e">
        <f t="shared" si="283"/>
        <v>#DIV/0!</v>
      </c>
      <c r="Z1519" s="413" t="s">
        <v>1801</v>
      </c>
      <c r="AA1519" s="161">
        <v>0</v>
      </c>
      <c r="AB1519" s="409">
        <v>0</v>
      </c>
      <c r="AC1519" s="259">
        <f t="shared" si="274"/>
        <v>0</v>
      </c>
      <c r="AD1519" s="22" t="s">
        <v>873</v>
      </c>
      <c r="AG1519" s="33">
        <f t="shared" si="284"/>
        <v>0</v>
      </c>
      <c r="AH1519" s="43" t="s">
        <v>2262</v>
      </c>
      <c r="AI1519" s="63">
        <f t="shared" si="285"/>
        <v>2.416243654822335E-3</v>
      </c>
      <c r="AJ1519" s="307">
        <f>RTD("money.excel",,$G1519,"PredictVolume")</f>
        <v>476</v>
      </c>
      <c r="AK1519" s="339">
        <v>37.24</v>
      </c>
    </row>
    <row r="1520" spans="1:37">
      <c r="A1520" s="416">
        <v>14.8</v>
      </c>
      <c r="B1520" s="91">
        <v>-63</v>
      </c>
      <c r="C1520" s="91">
        <v>-5</v>
      </c>
      <c r="D1520" s="91">
        <v>3</v>
      </c>
      <c r="E1520" s="91">
        <v>13</v>
      </c>
      <c r="F1520" s="6">
        <v>4.4400000000000004</v>
      </c>
      <c r="G1520" s="79">
        <v>2613</v>
      </c>
      <c r="H1520" s="8" t="s">
        <v>5056</v>
      </c>
      <c r="I1520" s="22" t="s">
        <v>874</v>
      </c>
      <c r="J1520" s="73">
        <v>62.53</v>
      </c>
      <c r="K1520" s="73">
        <v>0.09</v>
      </c>
      <c r="L1520" s="73">
        <v>6.12</v>
      </c>
      <c r="N1520" s="318">
        <f t="shared" si="287"/>
        <v>68.740000000000009</v>
      </c>
      <c r="O1520" s="81">
        <f>IFERROR(VLOOKUP($G1520,'321買'!A:E,3,0),"'沒有資料'")</f>
        <v>14</v>
      </c>
      <c r="P1520" s="380">
        <f>IFERROR(VLOOKUP($G1520,'321買'!$A:$G,7,0),"'沒有資料'")</f>
        <v>348</v>
      </c>
      <c r="R1520" s="297">
        <f>IFERROR(RANK(VLOOKUP($G1520,連買!$A:$D,4,0),連買!$D:$D,0),"'沒有資料'")</f>
        <v>475</v>
      </c>
      <c r="S1520" s="34">
        <v>0.2</v>
      </c>
      <c r="T1520" s="353">
        <f t="shared" si="281"/>
        <v>5.2424639580602892E-3</v>
      </c>
      <c r="U1520" s="95">
        <v>0.23</v>
      </c>
      <c r="V1520" s="13">
        <f>RTD("money.excel",,"2613","Price")</f>
        <v>38.15</v>
      </c>
      <c r="W1520" s="66"/>
      <c r="X1520" s="15">
        <f t="shared" si="282"/>
        <v>38.15</v>
      </c>
      <c r="Y1520" s="3" t="e">
        <f t="shared" si="283"/>
        <v>#DIV/0!</v>
      </c>
      <c r="AA1520" s="161">
        <v>0</v>
      </c>
      <c r="AB1520" s="409">
        <v>0</v>
      </c>
      <c r="AC1520" s="259">
        <f t="shared" si="274"/>
        <v>0</v>
      </c>
      <c r="AD1520" s="22" t="s">
        <v>874</v>
      </c>
      <c r="AG1520" s="33">
        <f t="shared" si="284"/>
        <v>0</v>
      </c>
      <c r="AH1520" s="43" t="s">
        <v>2847</v>
      </c>
      <c r="AI1520" s="63">
        <f t="shared" si="285"/>
        <v>5.802027027027027E-2</v>
      </c>
      <c r="AJ1520" s="307">
        <f>RTD("money.excel",,$G1520,"PredictVolume")</f>
        <v>8587</v>
      </c>
      <c r="AK1520" s="339"/>
    </row>
    <row r="1521" spans="1:37">
      <c r="A1521" s="415">
        <v>244</v>
      </c>
      <c r="B1521" s="79">
        <v>810</v>
      </c>
      <c r="C1521" s="79">
        <v>898</v>
      </c>
      <c r="D1521" s="80">
        <v>-27</v>
      </c>
      <c r="E1521" s="79">
        <v>93</v>
      </c>
      <c r="F1521" s="57">
        <v>56</v>
      </c>
      <c r="G1521" s="79">
        <v>2615</v>
      </c>
      <c r="H1521" s="8" t="s">
        <v>304</v>
      </c>
      <c r="I1521" s="22" t="s">
        <v>132</v>
      </c>
      <c r="J1521" s="323">
        <v>85.88</v>
      </c>
      <c r="K1521" s="73">
        <v>43.76</v>
      </c>
      <c r="L1521" s="323">
        <v>7.12</v>
      </c>
      <c r="M1521" s="73">
        <v>4.53</v>
      </c>
      <c r="N1521" s="73">
        <f t="shared" si="287"/>
        <v>141.29</v>
      </c>
      <c r="O1521" s="81">
        <f>IFERROR(VLOOKUP($G1521,'321買'!A:E,3,0),"'沒有資料'")</f>
        <v>9</v>
      </c>
      <c r="P1521" s="380">
        <f>IFERROR(VLOOKUP($G1521,'321買'!$A:$G,7,0),"'沒有資料'")</f>
        <v>448</v>
      </c>
      <c r="Q1521" s="245" t="s">
        <v>3816</v>
      </c>
      <c r="R1521" s="297">
        <f>IFERROR(RANK(VLOOKUP($G1521,連買!$A:$D,4,0),連買!$D:$D,0),"'沒有資料'")</f>
        <v>53</v>
      </c>
      <c r="S1521" s="45">
        <v>12</v>
      </c>
      <c r="T1521" s="353">
        <f t="shared" si="281"/>
        <v>7.7669902912621352E-2</v>
      </c>
      <c r="U1521" s="57">
        <v>44.37</v>
      </c>
      <c r="V1521" s="13">
        <f>RTD("money.excel",,"2615","Price")</f>
        <v>154.5</v>
      </c>
      <c r="W1521" s="66"/>
      <c r="X1521" s="15">
        <f t="shared" si="282"/>
        <v>154.5</v>
      </c>
      <c r="Y1521" s="3" t="e">
        <f t="shared" si="283"/>
        <v>#DIV/0!</v>
      </c>
      <c r="Z1521" s="413" t="s">
        <v>8632</v>
      </c>
      <c r="AA1521" s="161">
        <v>0</v>
      </c>
      <c r="AB1521" s="409">
        <v>0</v>
      </c>
      <c r="AC1521" s="259">
        <f t="shared" si="274"/>
        <v>0</v>
      </c>
      <c r="AD1521" s="22" t="s">
        <v>132</v>
      </c>
      <c r="AG1521" s="33">
        <f t="shared" si="284"/>
        <v>0</v>
      </c>
      <c r="AH1521" s="120" t="s">
        <v>2207</v>
      </c>
      <c r="AI1521" s="63">
        <f t="shared" si="285"/>
        <v>5.1446721311475411E-3</v>
      </c>
      <c r="AJ1521" s="307">
        <f>RTD("money.excel",,$G1521,"PredictVolume")</f>
        <v>12553</v>
      </c>
      <c r="AK1521" s="339">
        <v>13.5</v>
      </c>
    </row>
    <row r="1522" spans="1:37">
      <c r="A1522" s="415">
        <v>41.7</v>
      </c>
      <c r="B1522" s="79">
        <v>16</v>
      </c>
      <c r="C1522" s="79">
        <v>148</v>
      </c>
      <c r="D1522" s="80">
        <v>-1</v>
      </c>
      <c r="E1522" s="79">
        <v>45</v>
      </c>
      <c r="F1522" s="57">
        <v>34.19</v>
      </c>
      <c r="G1522" s="79">
        <v>2617</v>
      </c>
      <c r="H1522" s="8" t="s">
        <v>5056</v>
      </c>
      <c r="I1522" s="22" t="s">
        <v>875</v>
      </c>
      <c r="J1522" s="323">
        <v>52.37</v>
      </c>
      <c r="K1522" s="73">
        <v>5.19</v>
      </c>
      <c r="L1522" s="73">
        <v>14.74</v>
      </c>
      <c r="M1522" s="73">
        <v>43.72</v>
      </c>
      <c r="N1522" s="318">
        <f t="shared" si="287"/>
        <v>116.02</v>
      </c>
      <c r="O1522" s="81">
        <f>IFERROR(VLOOKUP($G1522,'321買'!A:E,3,0),"'沒有資料'")</f>
        <v>26</v>
      </c>
      <c r="P1522" s="380">
        <f>IFERROR(VLOOKUP($G1522,'321買'!$A:$G,7,0),"'沒有資料'")</f>
        <v>196</v>
      </c>
      <c r="Q1522" s="245" t="s">
        <v>3815</v>
      </c>
      <c r="R1522" s="297">
        <f>IFERROR(RANK(VLOOKUP($G1522,連買!$A:$D,4,0),連買!$D:$D,0),"'沒有資料'")</f>
        <v>1478</v>
      </c>
      <c r="S1522" s="34">
        <v>0.9</v>
      </c>
      <c r="T1522" s="353">
        <f t="shared" si="281"/>
        <v>2.4423337856173677E-2</v>
      </c>
      <c r="U1522" s="57">
        <v>2.57</v>
      </c>
      <c r="V1522" s="36">
        <f>RTD("money.excel",,"2617","Price")</f>
        <v>36.85</v>
      </c>
      <c r="W1522" s="66"/>
      <c r="X1522" s="15">
        <f t="shared" si="282"/>
        <v>36.85</v>
      </c>
      <c r="Y1522" s="3" t="e">
        <f t="shared" si="283"/>
        <v>#DIV/0!</v>
      </c>
      <c r="Z1522" s="413" t="s">
        <v>1801</v>
      </c>
      <c r="AA1522" s="161">
        <v>0</v>
      </c>
      <c r="AB1522" s="409">
        <v>0</v>
      </c>
      <c r="AC1522" s="259">
        <f t="shared" si="274"/>
        <v>0</v>
      </c>
      <c r="AD1522" s="22" t="s">
        <v>875</v>
      </c>
      <c r="AG1522" s="33">
        <f t="shared" si="284"/>
        <v>0</v>
      </c>
      <c r="AH1522" s="43" t="s">
        <v>3491</v>
      </c>
      <c r="AI1522" s="63">
        <f t="shared" si="285"/>
        <v>5.0239808153477216E-3</v>
      </c>
      <c r="AJ1522" s="307">
        <f>RTD("money.excel",,$G1522,"PredictVolume")</f>
        <v>2095</v>
      </c>
      <c r="AK1522" s="339"/>
    </row>
    <row r="1523" spans="1:37">
      <c r="A1523" s="416">
        <v>485</v>
      </c>
      <c r="B1523" s="80">
        <v>-192</v>
      </c>
      <c r="C1523" s="80">
        <v>-121</v>
      </c>
      <c r="D1523" s="80">
        <v>-1</v>
      </c>
      <c r="E1523" s="80">
        <v>-55</v>
      </c>
      <c r="F1523" s="6">
        <v>-55.47</v>
      </c>
      <c r="G1523" s="79">
        <v>2618</v>
      </c>
      <c r="H1523" s="8" t="s">
        <v>5056</v>
      </c>
      <c r="I1523" s="22" t="s">
        <v>4956</v>
      </c>
      <c r="J1523" s="323">
        <v>68.58</v>
      </c>
      <c r="K1523" s="323">
        <v>19.649999999999999</v>
      </c>
      <c r="L1523" s="323">
        <v>2.8</v>
      </c>
      <c r="N1523" s="318">
        <f t="shared" si="287"/>
        <v>91.029999999999987</v>
      </c>
      <c r="O1523" s="81">
        <f>IFERROR(VLOOKUP($G1523,'321買'!A:E,3,0),"'沒有資料'")</f>
        <v>31</v>
      </c>
      <c r="P1523" s="380">
        <f>IFERROR(VLOOKUP($G1523,'321買'!$A:$G,7,0),"'沒有資料'")</f>
        <v>135</v>
      </c>
      <c r="R1523" s="297">
        <f>IFERROR(RANK(VLOOKUP($G1523,連買!$A:$D,4,0),連買!$D:$D,0),"'沒有資料'")</f>
        <v>786</v>
      </c>
      <c r="S1523" s="34">
        <v>0</v>
      </c>
      <c r="T1523" s="353">
        <f t="shared" si="281"/>
        <v>0</v>
      </c>
      <c r="U1523" s="95">
        <v>-0.69</v>
      </c>
      <c r="V1523" s="36">
        <f>RTD("money.excel",,"2618","Price")</f>
        <v>37.35</v>
      </c>
      <c r="W1523" s="66"/>
      <c r="X1523" s="15">
        <f t="shared" si="282"/>
        <v>37.35</v>
      </c>
      <c r="Y1523" s="3" t="e">
        <f t="shared" si="283"/>
        <v>#DIV/0!</v>
      </c>
      <c r="Z1523" s="413" t="s">
        <v>1801</v>
      </c>
      <c r="AA1523" s="161">
        <v>0</v>
      </c>
      <c r="AB1523" s="409">
        <v>0</v>
      </c>
      <c r="AC1523" s="259">
        <f t="shared" si="274"/>
        <v>0</v>
      </c>
      <c r="AD1523" s="22" t="s">
        <v>4956</v>
      </c>
      <c r="AG1523" s="33">
        <f t="shared" si="284"/>
        <v>0</v>
      </c>
      <c r="AH1523" s="120" t="s">
        <v>3492</v>
      </c>
      <c r="AI1523" s="63">
        <f t="shared" si="285"/>
        <v>9.5867216494845364E-2</v>
      </c>
      <c r="AJ1523" s="360">
        <f>RTD("money.excel",,$G1523,"PredictVolume")</f>
        <v>464956</v>
      </c>
      <c r="AK1523" s="339"/>
    </row>
    <row r="1524" spans="1:37">
      <c r="A1524" s="416">
        <v>13.1</v>
      </c>
      <c r="B1524" s="80">
        <v>-524</v>
      </c>
      <c r="C1524" s="80">
        <v>-246</v>
      </c>
      <c r="D1524" s="79">
        <v>2</v>
      </c>
      <c r="E1524" s="79">
        <v>52</v>
      </c>
      <c r="F1524" s="6">
        <v>-2.13</v>
      </c>
      <c r="G1524" s="79">
        <v>2630</v>
      </c>
      <c r="H1524" s="8" t="s">
        <v>5056</v>
      </c>
      <c r="I1524" s="22" t="s">
        <v>876</v>
      </c>
      <c r="J1524" s="73">
        <v>87.2</v>
      </c>
      <c r="K1524" s="323">
        <v>0.12</v>
      </c>
      <c r="N1524" s="318">
        <f t="shared" si="287"/>
        <v>87.320000000000007</v>
      </c>
      <c r="O1524" s="81" t="str">
        <f>IFERROR(VLOOKUP($G1524,'321買'!A:E,3,0),"'沒有資料'")</f>
        <v>'沒有資料'</v>
      </c>
      <c r="P1524" s="380" t="str">
        <f>IFERROR(VLOOKUP($G1524,'321買'!$A:$G,7,0),"'沒有資料'")</f>
        <v>'沒有資料'</v>
      </c>
      <c r="R1524" s="297">
        <f>IFERROR(RANK(VLOOKUP($G1524,連買!$A:$D,4,0),連買!$D:$D,0),"'沒有資料'")</f>
        <v>997</v>
      </c>
      <c r="S1524" s="34">
        <v>0.59</v>
      </c>
      <c r="T1524" s="353">
        <f t="shared" si="281"/>
        <v>3.0809399477806788E-2</v>
      </c>
      <c r="U1524" s="95">
        <v>0.35</v>
      </c>
      <c r="V1524" s="36">
        <f>RTD("money.excel",,"2630","Price")</f>
        <v>19.149999999999999</v>
      </c>
      <c r="W1524" s="66"/>
      <c r="X1524" s="15">
        <f t="shared" si="282"/>
        <v>19.149999999999999</v>
      </c>
      <c r="Y1524" s="3" t="e">
        <f t="shared" si="283"/>
        <v>#DIV/0!</v>
      </c>
      <c r="Z1524" s="413" t="s">
        <v>1801</v>
      </c>
      <c r="AA1524" s="161">
        <v>0</v>
      </c>
      <c r="AB1524" s="409">
        <v>0</v>
      </c>
      <c r="AC1524" s="259">
        <f t="shared" si="274"/>
        <v>0</v>
      </c>
      <c r="AD1524" s="22" t="s">
        <v>876</v>
      </c>
      <c r="AG1524" s="33">
        <f t="shared" si="284"/>
        <v>0</v>
      </c>
      <c r="AH1524" s="43" t="s">
        <v>2064</v>
      </c>
      <c r="AI1524" s="63">
        <f t="shared" si="285"/>
        <v>6.122137404580153E-3</v>
      </c>
      <c r="AJ1524" s="307">
        <f>RTD("money.excel",,$G1524,"PredictVolume")</f>
        <v>802</v>
      </c>
      <c r="AK1524" s="339"/>
    </row>
    <row r="1525" spans="1:37">
      <c r="A1525" s="415">
        <v>562</v>
      </c>
      <c r="B1525" s="79">
        <v>21</v>
      </c>
      <c r="C1525" s="79">
        <v>5</v>
      </c>
      <c r="D1525" s="80">
        <v>-78</v>
      </c>
      <c r="E1525" s="80">
        <v>-87</v>
      </c>
      <c r="F1525" s="57">
        <v>32.159999999999997</v>
      </c>
      <c r="G1525" s="79">
        <v>2633</v>
      </c>
      <c r="H1525" s="8" t="s">
        <v>5056</v>
      </c>
      <c r="I1525" s="22" t="s">
        <v>1123</v>
      </c>
      <c r="J1525" s="323">
        <v>84.59</v>
      </c>
      <c r="K1525" s="323">
        <v>9.8000000000000007</v>
      </c>
      <c r="L1525" s="73">
        <v>0.65</v>
      </c>
      <c r="N1525" s="318">
        <f t="shared" si="287"/>
        <v>95.04</v>
      </c>
      <c r="O1525" s="81">
        <f>IFERROR(VLOOKUP($G1525,'321買'!A:E,3,0),"'沒有資料'")</f>
        <v>0</v>
      </c>
      <c r="P1525" s="380">
        <f>IFERROR(VLOOKUP($G1525,'321買'!$A:$G,7,0),"'沒有資料'")</f>
        <v>911</v>
      </c>
      <c r="R1525" s="297">
        <f>IFERROR(RANK(VLOOKUP($G1525,連買!$A:$D,4,0),連買!$D:$D,0),"'沒有資料'")</f>
        <v>859</v>
      </c>
      <c r="S1525" s="34">
        <v>1.05</v>
      </c>
      <c r="T1525" s="353">
        <f t="shared" si="281"/>
        <v>3.6649214659685868E-2</v>
      </c>
      <c r="U1525" s="57">
        <v>1.08</v>
      </c>
      <c r="V1525" s="36">
        <f>RTD("money.excel",,"2633","Price")</f>
        <v>28.65</v>
      </c>
      <c r="W1525" s="66"/>
      <c r="X1525" s="15">
        <f t="shared" si="282"/>
        <v>28.65</v>
      </c>
      <c r="Y1525" s="3" t="e">
        <f t="shared" si="283"/>
        <v>#DIV/0!</v>
      </c>
      <c r="AA1525" s="161">
        <v>0</v>
      </c>
      <c r="AB1525" s="409">
        <v>0</v>
      </c>
      <c r="AC1525" s="259">
        <f t="shared" si="274"/>
        <v>0</v>
      </c>
      <c r="AD1525" s="22" t="s">
        <v>1123</v>
      </c>
      <c r="AG1525" s="33">
        <f t="shared" si="284"/>
        <v>0</v>
      </c>
      <c r="AH1525" s="120" t="s">
        <v>1429</v>
      </c>
      <c r="AI1525" s="63">
        <f t="shared" si="285"/>
        <v>4.6263345195729537E-4</v>
      </c>
      <c r="AJ1525" s="307">
        <f>RTD("money.excel",,$G1525,"PredictVolume")</f>
        <v>2600</v>
      </c>
      <c r="AK1525" s="339"/>
    </row>
    <row r="1526" spans="1:37">
      <c r="A1526" s="416">
        <v>94.1</v>
      </c>
      <c r="B1526" s="80">
        <v>-597</v>
      </c>
      <c r="C1526" s="94">
        <v>-3342</v>
      </c>
      <c r="D1526" s="79">
        <v>10</v>
      </c>
      <c r="E1526" s="79">
        <v>45</v>
      </c>
      <c r="F1526" s="6">
        <v>-5.12</v>
      </c>
      <c r="G1526" s="79">
        <v>2634</v>
      </c>
      <c r="H1526" s="8" t="s">
        <v>5056</v>
      </c>
      <c r="I1526" s="22" t="s">
        <v>114</v>
      </c>
      <c r="J1526" s="323">
        <v>55.42</v>
      </c>
      <c r="K1526" s="323">
        <v>1.51</v>
      </c>
      <c r="L1526" s="323">
        <v>2.48</v>
      </c>
      <c r="N1526" s="318">
        <f t="shared" si="287"/>
        <v>59.41</v>
      </c>
      <c r="O1526" s="81">
        <f>IFERROR(VLOOKUP($G1526,'321買'!A:E,3,0),"'沒有資料'")</f>
        <v>1</v>
      </c>
      <c r="P1526" s="380">
        <f>IFERROR(VLOOKUP($G1526,'321買'!$A:$G,7,0),"'沒有資料'")</f>
        <v>783</v>
      </c>
      <c r="R1526" s="297">
        <f>IFERROR(RANK(VLOOKUP($G1526,連買!$A:$D,4,0),連買!$D:$D,0),"'沒有資料'")</f>
        <v>622</v>
      </c>
      <c r="S1526" s="34">
        <v>0.2</v>
      </c>
      <c r="T1526" s="353">
        <f t="shared" si="281"/>
        <v>6.1919504643962861E-3</v>
      </c>
      <c r="U1526" s="57">
        <v>0.08</v>
      </c>
      <c r="V1526" s="36">
        <f>RTD("money.excel",,"2634","Price")</f>
        <v>32.299999999999997</v>
      </c>
      <c r="W1526" s="66"/>
      <c r="X1526" s="15">
        <f t="shared" si="282"/>
        <v>32.299999999999997</v>
      </c>
      <c r="Y1526" s="3" t="e">
        <f t="shared" si="283"/>
        <v>#DIV/0!</v>
      </c>
      <c r="Z1526" s="413" t="s">
        <v>1801</v>
      </c>
      <c r="AA1526" s="161">
        <v>0</v>
      </c>
      <c r="AB1526" s="409">
        <v>0</v>
      </c>
      <c r="AC1526" s="259">
        <f t="shared" si="274"/>
        <v>0</v>
      </c>
      <c r="AD1526" s="22" t="s">
        <v>114</v>
      </c>
      <c r="AG1526" s="33">
        <f t="shared" si="284"/>
        <v>0</v>
      </c>
      <c r="AH1526" s="120" t="s">
        <v>1434</v>
      </c>
      <c r="AI1526" s="63">
        <f t="shared" si="285"/>
        <v>3.2613177470775773E-2</v>
      </c>
      <c r="AJ1526" s="307">
        <f>RTD("money.excel",,$G1526,"PredictVolume")</f>
        <v>30689</v>
      </c>
      <c r="AK1526" s="339"/>
    </row>
    <row r="1527" spans="1:37">
      <c r="A1527" s="415">
        <v>15</v>
      </c>
      <c r="B1527" s="79">
        <v>691</v>
      </c>
      <c r="C1527" s="79">
        <v>515</v>
      </c>
      <c r="D1527" s="80">
        <v>-29</v>
      </c>
      <c r="E1527" s="79">
        <v>54</v>
      </c>
      <c r="F1527" s="57">
        <v>11.81</v>
      </c>
      <c r="G1527" s="79">
        <v>2636</v>
      </c>
      <c r="H1527" s="8" t="s">
        <v>304</v>
      </c>
      <c r="I1527" s="22" t="s">
        <v>2038</v>
      </c>
      <c r="J1527" s="73">
        <v>36.799999999999997</v>
      </c>
      <c r="K1527" s="323">
        <v>13.08</v>
      </c>
      <c r="L1527" s="73">
        <v>36.799999999999997</v>
      </c>
      <c r="M1527" s="323">
        <v>19.309999999999999</v>
      </c>
      <c r="N1527" s="318">
        <f t="shared" si="287"/>
        <v>105.99</v>
      </c>
      <c r="O1527" s="81">
        <f>IFERROR(VLOOKUP($G1527,'321買'!A:E,3,0),"'沒有資料'")</f>
        <v>66</v>
      </c>
      <c r="P1527" s="380">
        <f>IFERROR(VLOOKUP($G1527,'321買'!$A:$G,7,0),"'沒有資料'")</f>
        <v>42</v>
      </c>
      <c r="Q1527" s="245" t="s">
        <v>3818</v>
      </c>
      <c r="R1527" s="297">
        <f>IFERROR(RANK(VLOOKUP($G1527,連買!$A:$D,4,0),連買!$D:$D,0),"'沒有資料'")</f>
        <v>76</v>
      </c>
      <c r="S1527" s="66">
        <v>3.02</v>
      </c>
      <c r="T1527" s="353">
        <f t="shared" si="281"/>
        <v>2.4754098360655737E-2</v>
      </c>
      <c r="U1527" s="95">
        <v>30.69</v>
      </c>
      <c r="V1527" s="36">
        <f>RTD("money.excel",,"2636","Price")</f>
        <v>122</v>
      </c>
      <c r="W1527" s="66"/>
      <c r="X1527" s="15">
        <f t="shared" si="282"/>
        <v>122</v>
      </c>
      <c r="Y1527" s="3" t="e">
        <f t="shared" si="283"/>
        <v>#DIV/0!</v>
      </c>
      <c r="Z1527" s="413" t="s">
        <v>1997</v>
      </c>
      <c r="AA1527" s="161">
        <v>0</v>
      </c>
      <c r="AB1527" s="409">
        <v>0</v>
      </c>
      <c r="AC1527" s="259">
        <f t="shared" si="274"/>
        <v>0</v>
      </c>
      <c r="AD1527" s="22" t="s">
        <v>2038</v>
      </c>
      <c r="AG1527" s="33">
        <f t="shared" si="284"/>
        <v>0</v>
      </c>
      <c r="AH1527" s="43" t="s">
        <v>2152</v>
      </c>
      <c r="AI1527" s="63">
        <f t="shared" si="285"/>
        <v>6.306666666666667E-3</v>
      </c>
      <c r="AJ1527" s="307">
        <f>RTD("money.excel",,$G1527,"PredictVolume")</f>
        <v>946</v>
      </c>
      <c r="AK1527" s="339">
        <v>53.41</v>
      </c>
    </row>
    <row r="1528" spans="1:37">
      <c r="A1528" s="415">
        <v>76.3</v>
      </c>
      <c r="B1528" s="93">
        <v>1731</v>
      </c>
      <c r="C1528" s="79">
        <v>490</v>
      </c>
      <c r="D1528" s="80">
        <v>1</v>
      </c>
      <c r="E1528" s="79">
        <v>82</v>
      </c>
      <c r="F1528" s="57">
        <v>38.93</v>
      </c>
      <c r="G1528" s="79">
        <v>2637</v>
      </c>
      <c r="H1528" s="8" t="s">
        <v>304</v>
      </c>
      <c r="I1528" s="22" t="s">
        <v>877</v>
      </c>
      <c r="J1528" s="323">
        <v>65.47</v>
      </c>
      <c r="K1528" s="73">
        <v>15.77</v>
      </c>
      <c r="L1528" s="323">
        <v>8.74</v>
      </c>
      <c r="M1528" s="73">
        <v>27.84</v>
      </c>
      <c r="N1528" s="318">
        <f t="shared" si="287"/>
        <v>117.82</v>
      </c>
      <c r="O1528" s="81">
        <f>IFERROR(VLOOKUP($G1528,'321買'!A:E,3,0),"'沒有資料'")</f>
        <v>28</v>
      </c>
      <c r="P1528" s="380">
        <f>IFERROR(VLOOKUP($G1528,'321買'!$A:$G,7,0),"'沒有資料'")</f>
        <v>180</v>
      </c>
      <c r="Q1528" s="245" t="s">
        <v>3816</v>
      </c>
      <c r="R1528" s="297">
        <f>IFERROR(RANK(VLOOKUP($G1528,連買!$A:$D,4,0),連買!$D:$D,0),"'沒有資料'")</f>
        <v>196</v>
      </c>
      <c r="S1528" s="34">
        <v>1.5</v>
      </c>
      <c r="T1528" s="353">
        <f t="shared" si="281"/>
        <v>1.6465422612513721E-2</v>
      </c>
      <c r="U1528" s="57">
        <v>7.48</v>
      </c>
      <c r="V1528" s="36">
        <f>RTD("money.excel",,"2637","Price")</f>
        <v>91.1</v>
      </c>
      <c r="W1528" s="66"/>
      <c r="X1528" s="15">
        <f t="shared" si="282"/>
        <v>91.1</v>
      </c>
      <c r="Y1528" s="3" t="e">
        <f t="shared" si="283"/>
        <v>#DIV/0!</v>
      </c>
      <c r="Z1528" s="413" t="s">
        <v>1801</v>
      </c>
      <c r="AA1528" s="161">
        <v>0</v>
      </c>
      <c r="AB1528" s="409">
        <v>0</v>
      </c>
      <c r="AC1528" s="259">
        <f t="shared" si="274"/>
        <v>0</v>
      </c>
      <c r="AD1528" s="22" t="s">
        <v>877</v>
      </c>
      <c r="AG1528" s="33">
        <f t="shared" si="284"/>
        <v>0</v>
      </c>
      <c r="AH1528" s="43" t="s">
        <v>2153</v>
      </c>
      <c r="AI1528" s="63">
        <f t="shared" si="285"/>
        <v>1.281651376146789E-2</v>
      </c>
      <c r="AJ1528" s="307">
        <f>RTD("money.excel",,$G1528,"PredictVolume")</f>
        <v>9779</v>
      </c>
      <c r="AK1528" s="339">
        <v>26.83</v>
      </c>
    </row>
    <row r="1529" spans="1:37">
      <c r="A1529" s="415">
        <v>19</v>
      </c>
      <c r="B1529" s="79">
        <v>115</v>
      </c>
      <c r="C1529" s="79">
        <v>21</v>
      </c>
      <c r="D1529" s="79">
        <v>7</v>
      </c>
      <c r="E1529" s="79">
        <v>56</v>
      </c>
      <c r="F1529" s="57">
        <v>20.99</v>
      </c>
      <c r="G1529" s="79">
        <v>2641</v>
      </c>
      <c r="H1529" s="8" t="s">
        <v>5056</v>
      </c>
      <c r="I1529" s="16" t="s">
        <v>865</v>
      </c>
      <c r="J1529" s="323">
        <v>29</v>
      </c>
      <c r="K1529" s="73">
        <v>1.07</v>
      </c>
      <c r="L1529" s="73">
        <v>18.170000000000002</v>
      </c>
      <c r="N1529" s="318">
        <f t="shared" si="287"/>
        <v>48.24</v>
      </c>
      <c r="O1529" s="81">
        <f>IFERROR(VLOOKUP($G1529,'321買'!A:E,3,0),"'沒有資料'")</f>
        <v>45</v>
      </c>
      <c r="P1529" s="380">
        <f>IFERROR(VLOOKUP($G1529,'321買'!$A:$G,7,0),"'沒有資料'")</f>
        <v>79</v>
      </c>
      <c r="R1529" s="297">
        <f>IFERROR(RANK(VLOOKUP($G1529,連買!$A:$D,4,0),連買!$D:$D,0),"'沒有資料'")</f>
        <v>638</v>
      </c>
      <c r="S1529" s="34">
        <v>0</v>
      </c>
      <c r="T1529" s="353">
        <f t="shared" si="281"/>
        <v>0</v>
      </c>
      <c r="U1529" s="95">
        <v>0.63</v>
      </c>
      <c r="V1529" s="36">
        <f>RTD("money.excel",,"2641","Price")</f>
        <v>25.35</v>
      </c>
      <c r="W1529" s="66"/>
      <c r="X1529" s="15">
        <f t="shared" si="282"/>
        <v>25.35</v>
      </c>
      <c r="Y1529" s="3" t="e">
        <f t="shared" si="283"/>
        <v>#DIV/0!</v>
      </c>
      <c r="Z1529" s="413" t="s">
        <v>1801</v>
      </c>
      <c r="AA1529" s="161">
        <v>0</v>
      </c>
      <c r="AB1529" s="409">
        <v>0</v>
      </c>
      <c r="AC1529" s="259">
        <f t="shared" si="274"/>
        <v>0</v>
      </c>
      <c r="AD1529" s="16" t="s">
        <v>865</v>
      </c>
      <c r="AG1529" s="33">
        <f t="shared" si="284"/>
        <v>0</v>
      </c>
      <c r="AH1529" s="43" t="s">
        <v>2262</v>
      </c>
      <c r="AI1529" s="63">
        <f t="shared" si="285"/>
        <v>9.6631578947368423E-3</v>
      </c>
      <c r="AJ1529" s="307">
        <f>RTD("money.excel",,$G1529,"PredictVolume")</f>
        <v>1836</v>
      </c>
      <c r="AK1529" s="339"/>
    </row>
    <row r="1530" spans="1:37">
      <c r="A1530" s="416">
        <v>9.5500000000000007</v>
      </c>
      <c r="B1530" s="79">
        <v>26</v>
      </c>
      <c r="C1530" s="79">
        <v>26</v>
      </c>
      <c r="D1530" s="80">
        <v>-9</v>
      </c>
      <c r="E1530" s="79">
        <v>6</v>
      </c>
      <c r="F1530" s="6">
        <v>6.89</v>
      </c>
      <c r="G1530" s="79">
        <v>2642</v>
      </c>
      <c r="H1530" s="8" t="s">
        <v>304</v>
      </c>
      <c r="I1530" s="22" t="s">
        <v>878</v>
      </c>
      <c r="J1530" s="73">
        <v>61.7</v>
      </c>
      <c r="K1530" s="323">
        <v>7.45</v>
      </c>
      <c r="L1530" s="73">
        <v>17.39</v>
      </c>
      <c r="M1530" s="323">
        <v>46.13</v>
      </c>
      <c r="N1530" s="73">
        <f t="shared" si="287"/>
        <v>132.67000000000002</v>
      </c>
      <c r="O1530" s="81">
        <f>IFERROR(VLOOKUP($G1530,'321買'!A:E,3,0),"'沒有資料'")</f>
        <v>39</v>
      </c>
      <c r="P1530" s="380">
        <f>IFERROR(VLOOKUP($G1530,'321買'!$A:$G,7,0),"'沒有資料'")</f>
        <v>117</v>
      </c>
      <c r="Q1530" s="245" t="s">
        <v>3563</v>
      </c>
      <c r="R1530" s="297">
        <f>IFERROR(RANK(VLOOKUP($G1530,連買!$A:$D,4,0),連買!$D:$D,0),"'沒有資料'")</f>
        <v>226</v>
      </c>
      <c r="S1530" s="34">
        <v>1.8</v>
      </c>
      <c r="T1530" s="353">
        <f t="shared" si="281"/>
        <v>2.2929936305732486E-2</v>
      </c>
      <c r="U1530" s="57">
        <v>2.63</v>
      </c>
      <c r="V1530" s="36">
        <f>RTD("money.excel",,"2642","Price")</f>
        <v>78.5</v>
      </c>
      <c r="W1530" s="66"/>
      <c r="X1530" s="15">
        <f t="shared" si="282"/>
        <v>78.5</v>
      </c>
      <c r="Y1530" s="3" t="e">
        <f t="shared" si="283"/>
        <v>#DIV/0!</v>
      </c>
      <c r="Z1530" s="413" t="s">
        <v>1801</v>
      </c>
      <c r="AA1530" s="161">
        <v>0</v>
      </c>
      <c r="AB1530" s="409">
        <v>0</v>
      </c>
      <c r="AC1530" s="259">
        <f t="shared" si="274"/>
        <v>0</v>
      </c>
      <c r="AD1530" s="22" t="s">
        <v>878</v>
      </c>
      <c r="AG1530" s="33">
        <f t="shared" si="284"/>
        <v>0</v>
      </c>
      <c r="AH1530" s="43" t="s">
        <v>2177</v>
      </c>
      <c r="AI1530" s="63">
        <f t="shared" si="285"/>
        <v>1.5958115183246073E-2</v>
      </c>
      <c r="AJ1530" s="307">
        <f>RTD("money.excel",,$G1530,"PredictVolume")</f>
        <v>1524</v>
      </c>
      <c r="AK1530" s="339">
        <v>56.06</v>
      </c>
    </row>
    <row r="1531" spans="1:37">
      <c r="A1531" s="416">
        <v>3</v>
      </c>
      <c r="B1531" s="79">
        <v>21</v>
      </c>
      <c r="C1531" s="79">
        <v>25</v>
      </c>
      <c r="D1531" s="79">
        <v>14</v>
      </c>
      <c r="E1531" s="79">
        <v>66</v>
      </c>
      <c r="F1531" s="6">
        <v>6.15</v>
      </c>
      <c r="G1531" s="79">
        <v>2643</v>
      </c>
      <c r="H1531" s="8" t="s">
        <v>5056</v>
      </c>
      <c r="I1531" s="16" t="s">
        <v>866</v>
      </c>
      <c r="J1531" s="73">
        <v>54.07</v>
      </c>
      <c r="K1531" s="73">
        <v>2.78</v>
      </c>
      <c r="L1531" s="323">
        <v>12.27</v>
      </c>
      <c r="N1531" s="318">
        <f t="shared" si="287"/>
        <v>69.12</v>
      </c>
      <c r="O1531" s="81">
        <f>IFERROR(VLOOKUP($G1531,'321買'!A:E,3,0),"'沒有資料'")</f>
        <v>19</v>
      </c>
      <c r="P1531" s="380">
        <f>IFERROR(VLOOKUP($G1531,'321買'!$A:$G,7,0),"'沒有資料'")</f>
        <v>241</v>
      </c>
      <c r="R1531" s="297">
        <f>IFERROR(RANK(VLOOKUP($G1531,連買!$A:$D,4,0),連買!$D:$D,0),"'沒有資料'")</f>
        <v>1680</v>
      </c>
      <c r="S1531" s="66">
        <v>4</v>
      </c>
      <c r="T1531" s="353">
        <f t="shared" si="281"/>
        <v>5.5401662049861494E-2</v>
      </c>
      <c r="U1531" s="57">
        <v>7.77</v>
      </c>
      <c r="V1531" s="36">
        <f>RTD("money.excel",,"2643","Price")</f>
        <v>72.2</v>
      </c>
      <c r="W1531" s="66"/>
      <c r="X1531" s="15">
        <f t="shared" si="282"/>
        <v>72.2</v>
      </c>
      <c r="Y1531" s="3" t="e">
        <f t="shared" si="283"/>
        <v>#DIV/0!</v>
      </c>
      <c r="Z1531" s="413" t="s">
        <v>1997</v>
      </c>
      <c r="AA1531" s="161">
        <v>0</v>
      </c>
      <c r="AB1531" s="409">
        <v>0</v>
      </c>
      <c r="AC1531" s="259">
        <f t="shared" si="274"/>
        <v>0</v>
      </c>
      <c r="AD1531" s="16" t="s">
        <v>866</v>
      </c>
      <c r="AG1531" s="33">
        <f t="shared" si="284"/>
        <v>0</v>
      </c>
      <c r="AH1531" s="43" t="s">
        <v>2846</v>
      </c>
      <c r="AI1531" s="63">
        <f t="shared" si="285"/>
        <v>1.6999999999999999E-3</v>
      </c>
      <c r="AJ1531" s="307">
        <f>RTD("money.excel",,$G1531,"PredictVolume")</f>
        <v>51</v>
      </c>
      <c r="AK1531" s="339"/>
    </row>
    <row r="1532" spans="1:37">
      <c r="A1532" s="415">
        <v>6.48</v>
      </c>
      <c r="B1532" s="91">
        <v>7</v>
      </c>
      <c r="C1532" s="91">
        <v>14</v>
      </c>
      <c r="D1532" s="91">
        <v>2</v>
      </c>
      <c r="E1532" s="91">
        <v>-3</v>
      </c>
      <c r="F1532" s="57">
        <v>32.92</v>
      </c>
      <c r="G1532" s="79">
        <v>5601</v>
      </c>
      <c r="H1532" s="8" t="s">
        <v>5056</v>
      </c>
      <c r="I1532" s="16" t="s">
        <v>867</v>
      </c>
      <c r="J1532" s="73">
        <v>74.56</v>
      </c>
      <c r="K1532" s="73">
        <v>1.35</v>
      </c>
      <c r="N1532" s="318">
        <f t="shared" si="287"/>
        <v>75.91</v>
      </c>
      <c r="O1532" s="81" t="str">
        <f>IFERROR(VLOOKUP($G1532,'321買'!A:E,3,0),"'沒有資料'")</f>
        <v>'沒有資料'</v>
      </c>
      <c r="P1532" s="380" t="str">
        <f>IFERROR(VLOOKUP($G1532,'321買'!$A:$G,7,0),"'沒有資料'")</f>
        <v>'沒有資料'</v>
      </c>
      <c r="R1532" s="297">
        <f>IFERROR(RANK(VLOOKUP($G1532,連買!$A:$D,4,0),連買!$D:$D,0),"'沒有資料'")</f>
        <v>923</v>
      </c>
      <c r="S1532" s="34">
        <v>0.25</v>
      </c>
      <c r="T1532" s="353">
        <f t="shared" si="281"/>
        <v>6.0753341433778859E-3</v>
      </c>
      <c r="U1532" s="95">
        <v>0.28999999999999998</v>
      </c>
      <c r="V1532" s="13">
        <f>RTD("money.excel",,"5601","Price")</f>
        <v>41.15</v>
      </c>
      <c r="W1532" s="66"/>
      <c r="X1532" s="15">
        <f t="shared" si="282"/>
        <v>41.15</v>
      </c>
      <c r="Y1532" s="3" t="e">
        <f t="shared" si="283"/>
        <v>#DIV/0!</v>
      </c>
      <c r="AA1532" s="161">
        <v>0</v>
      </c>
      <c r="AB1532" s="409">
        <v>0</v>
      </c>
      <c r="AC1532" s="259">
        <f t="shared" si="274"/>
        <v>0</v>
      </c>
      <c r="AD1532" s="16" t="s">
        <v>867</v>
      </c>
      <c r="AG1532" s="33">
        <f t="shared" si="284"/>
        <v>0</v>
      </c>
      <c r="AH1532" s="43" t="s">
        <v>2847</v>
      </c>
      <c r="AI1532" s="63">
        <f t="shared" si="285"/>
        <v>1.6975308641975308E-4</v>
      </c>
      <c r="AJ1532" s="307">
        <f>RTD("money.excel",,$G1532,"PredictVolume")</f>
        <v>11</v>
      </c>
      <c r="AK1532" s="339"/>
    </row>
    <row r="1533" spans="1:37">
      <c r="A1533" s="416">
        <v>8.07</v>
      </c>
      <c r="B1533" s="79">
        <v>484</v>
      </c>
      <c r="C1533" s="79">
        <v>69</v>
      </c>
      <c r="D1533" s="80">
        <v>-11</v>
      </c>
      <c r="E1533" s="79">
        <v>25</v>
      </c>
      <c r="F1533" s="6">
        <v>4.95</v>
      </c>
      <c r="G1533" s="79">
        <v>5603</v>
      </c>
      <c r="H1533" s="208" t="s">
        <v>304</v>
      </c>
      <c r="I1533" s="16" t="s">
        <v>81</v>
      </c>
      <c r="J1533" s="323">
        <v>46.73</v>
      </c>
      <c r="K1533" s="73">
        <v>9.0500000000000007</v>
      </c>
      <c r="L1533" s="73">
        <v>20.7</v>
      </c>
      <c r="M1533" s="323">
        <v>15.09</v>
      </c>
      <c r="N1533" s="318">
        <f t="shared" si="287"/>
        <v>91.570000000000007</v>
      </c>
      <c r="O1533" s="81">
        <f>IFERROR(VLOOKUP($G1533,'321買'!A:E,3,0),"'沒有資料'")</f>
        <v>27</v>
      </c>
      <c r="P1533" s="380">
        <f>IFERROR(VLOOKUP($G1533,'321買'!$A:$G,7,0),"'沒有資料'")</f>
        <v>180</v>
      </c>
      <c r="Q1533" s="245" t="s">
        <v>5088</v>
      </c>
      <c r="R1533" s="297">
        <f>IFERROR(RANK(VLOOKUP($G1533,連買!$A:$D,4,0),連買!$D:$D,0),"'沒有資料'")</f>
        <v>695</v>
      </c>
      <c r="S1533" s="66">
        <v>7</v>
      </c>
      <c r="T1533" s="355">
        <f t="shared" si="281"/>
        <v>0.12389380530973451</v>
      </c>
      <c r="U1533" s="95">
        <v>9.34</v>
      </c>
      <c r="V1533" s="36">
        <f>RTD("money.excel",,"5603","Price")</f>
        <v>56.5</v>
      </c>
      <c r="W1533" s="66"/>
      <c r="X1533" s="15">
        <f t="shared" si="282"/>
        <v>56.5</v>
      </c>
      <c r="Y1533" s="3" t="e">
        <f t="shared" si="283"/>
        <v>#DIV/0!</v>
      </c>
      <c r="Z1533" s="413" t="s">
        <v>1997</v>
      </c>
      <c r="AA1533" s="161">
        <v>0</v>
      </c>
      <c r="AB1533" s="409">
        <v>0</v>
      </c>
      <c r="AC1533" s="259">
        <f t="shared" si="274"/>
        <v>0</v>
      </c>
      <c r="AD1533" s="16" t="s">
        <v>81</v>
      </c>
      <c r="AG1533" s="33">
        <f t="shared" si="284"/>
        <v>0</v>
      </c>
      <c r="AH1533" s="120" t="s">
        <v>2848</v>
      </c>
      <c r="AI1533" s="63">
        <f t="shared" si="285"/>
        <v>2.1115241635687731E-2</v>
      </c>
      <c r="AJ1533" s="307">
        <f>RTD("money.excel",,$G1533,"PredictVolume")</f>
        <v>1704</v>
      </c>
      <c r="AK1533" s="339">
        <v>40.29</v>
      </c>
    </row>
    <row r="1534" spans="1:37">
      <c r="A1534" s="415">
        <v>10.8</v>
      </c>
      <c r="B1534" s="93">
        <v>1366</v>
      </c>
      <c r="C1534" s="79">
        <v>42</v>
      </c>
      <c r="D1534" s="79">
        <v>7</v>
      </c>
      <c r="E1534" s="79">
        <v>36</v>
      </c>
      <c r="F1534" s="57">
        <v>65.010000000000005</v>
      </c>
      <c r="G1534" s="79">
        <v>5604</v>
      </c>
      <c r="H1534" s="8" t="s">
        <v>5056</v>
      </c>
      <c r="I1534" s="16" t="s">
        <v>868</v>
      </c>
      <c r="J1534" s="323">
        <v>56.73</v>
      </c>
      <c r="K1534" s="323">
        <v>10.9</v>
      </c>
      <c r="L1534" s="323">
        <v>0.85</v>
      </c>
      <c r="N1534" s="318">
        <f t="shared" si="287"/>
        <v>68.47999999999999</v>
      </c>
      <c r="O1534" s="81">
        <f>IFERROR(VLOOKUP($G1534,'321買'!A:E,3,0),"'沒有資料'")</f>
        <v>1</v>
      </c>
      <c r="P1534" s="380">
        <f>IFERROR(VLOOKUP($G1534,'321買'!$A:$G,7,0),"'沒有資料'")</f>
        <v>783</v>
      </c>
      <c r="R1534" s="297">
        <f>IFERROR(RANK(VLOOKUP($G1534,連買!$A:$D,4,0),連買!$D:$D,0),"'沒有資料'")</f>
        <v>851</v>
      </c>
      <c r="S1534" s="66">
        <v>7.95</v>
      </c>
      <c r="T1534" s="353">
        <f t="shared" si="281"/>
        <v>0.10114503816793895</v>
      </c>
      <c r="U1534" s="57">
        <v>14.6</v>
      </c>
      <c r="V1534" s="36">
        <f>RTD("money.excel",,"5604","Price")</f>
        <v>78.599999999999994</v>
      </c>
      <c r="W1534" s="66"/>
      <c r="X1534" s="15">
        <f t="shared" si="282"/>
        <v>78.599999999999994</v>
      </c>
      <c r="Y1534" s="3" t="e">
        <f t="shared" si="283"/>
        <v>#DIV/0!</v>
      </c>
      <c r="Z1534" s="413" t="s">
        <v>1831</v>
      </c>
      <c r="AA1534" s="161">
        <v>0</v>
      </c>
      <c r="AB1534" s="409">
        <v>0</v>
      </c>
      <c r="AC1534" s="259">
        <f t="shared" si="274"/>
        <v>0</v>
      </c>
      <c r="AD1534" s="16" t="s">
        <v>868</v>
      </c>
      <c r="AG1534" s="33">
        <f t="shared" si="284"/>
        <v>0</v>
      </c>
      <c r="AH1534" s="43" t="s">
        <v>2849</v>
      </c>
      <c r="AI1534" s="63">
        <f t="shared" si="285"/>
        <v>2.4074074074074075E-4</v>
      </c>
      <c r="AJ1534" s="307">
        <f>RTD("money.excel",,$G1534,"PredictVolume")</f>
        <v>26</v>
      </c>
      <c r="AK1534" s="339"/>
    </row>
    <row r="1535" spans="1:37">
      <c r="A1535" s="415">
        <v>23</v>
      </c>
      <c r="B1535" s="79">
        <v>34</v>
      </c>
      <c r="C1535" s="79">
        <v>21</v>
      </c>
      <c r="D1535" s="79">
        <v>0</v>
      </c>
      <c r="E1535" s="79">
        <v>7</v>
      </c>
      <c r="F1535" s="57">
        <v>36.24</v>
      </c>
      <c r="G1535" s="79">
        <v>5607</v>
      </c>
      <c r="H1535" s="8" t="s">
        <v>5056</v>
      </c>
      <c r="I1535" s="22" t="s">
        <v>879</v>
      </c>
      <c r="J1535" s="73">
        <v>63.45</v>
      </c>
      <c r="K1535" s="323">
        <v>3.55</v>
      </c>
      <c r="L1535" s="73">
        <v>5.08</v>
      </c>
      <c r="N1535" s="318">
        <f t="shared" si="287"/>
        <v>72.08</v>
      </c>
      <c r="O1535" s="81">
        <f>IFERROR(VLOOKUP($G1535,'321買'!A:E,3,0),"'沒有資料'")</f>
        <v>13</v>
      </c>
      <c r="P1535" s="380">
        <f>IFERROR(VLOOKUP($G1535,'321買'!$A:$G,7,0),"'沒有資料'")</f>
        <v>368</v>
      </c>
      <c r="R1535" s="297">
        <f>IFERROR(RANK(VLOOKUP($G1535,連買!$A:$D,4,0),連買!$D:$D,0),"'沒有資料'")</f>
        <v>813</v>
      </c>
      <c r="S1535" s="34">
        <v>1.2</v>
      </c>
      <c r="T1535" s="353">
        <f t="shared" si="281"/>
        <v>2.1778584392014518E-2</v>
      </c>
      <c r="U1535" s="95">
        <v>2.0099999999999998</v>
      </c>
      <c r="V1535" s="36">
        <f>RTD("money.excel",,"5607","Price")</f>
        <v>55.1</v>
      </c>
      <c r="W1535" s="66"/>
      <c r="X1535" s="15">
        <f t="shared" si="282"/>
        <v>55.1</v>
      </c>
      <c r="Y1535" s="3" t="e">
        <f t="shared" si="283"/>
        <v>#DIV/0!</v>
      </c>
      <c r="Z1535" s="413" t="s">
        <v>1801</v>
      </c>
      <c r="AA1535" s="161">
        <v>0</v>
      </c>
      <c r="AB1535" s="409">
        <v>0</v>
      </c>
      <c r="AC1535" s="259">
        <f t="shared" si="274"/>
        <v>0</v>
      </c>
      <c r="AD1535" s="22" t="s">
        <v>879</v>
      </c>
      <c r="AG1535" s="33">
        <f t="shared" si="284"/>
        <v>0</v>
      </c>
      <c r="AH1535" s="43" t="s">
        <v>2194</v>
      </c>
      <c r="AI1535" s="63">
        <f t="shared" si="285"/>
        <v>2.1260869565217391E-3</v>
      </c>
      <c r="AJ1535" s="307">
        <f>RTD("money.excel",,$G1535,"PredictVolume")</f>
        <v>489</v>
      </c>
      <c r="AK1535" s="339"/>
    </row>
    <row r="1536" spans="1:37">
      <c r="A1536" s="415">
        <v>32.9</v>
      </c>
      <c r="B1536" s="79">
        <v>253</v>
      </c>
      <c r="C1536" s="79">
        <v>320</v>
      </c>
      <c r="D1536" s="80">
        <v>-13</v>
      </c>
      <c r="E1536" s="79">
        <v>126</v>
      </c>
      <c r="F1536" s="57">
        <v>36.520000000000003</v>
      </c>
      <c r="G1536" s="79">
        <v>5608</v>
      </c>
      <c r="H1536" s="8" t="s">
        <v>304</v>
      </c>
      <c r="I1536" s="22" t="s">
        <v>880</v>
      </c>
      <c r="J1536" s="323">
        <v>29.53</v>
      </c>
      <c r="K1536" s="73">
        <v>4.92</v>
      </c>
      <c r="L1536" s="323">
        <v>21.31</v>
      </c>
      <c r="M1536" s="323">
        <v>9.3699999999999992</v>
      </c>
      <c r="N1536" s="318">
        <f t="shared" si="287"/>
        <v>65.13000000000001</v>
      </c>
      <c r="O1536" s="81">
        <f>IFERROR(VLOOKUP($G1536,'321買'!A:E,3,0),"'沒有資料'")</f>
        <v>52</v>
      </c>
      <c r="P1536" s="380">
        <f>IFERROR(VLOOKUP($G1536,'321買'!$A:$G,7,0),"'沒有資料'")</f>
        <v>68</v>
      </c>
      <c r="Q1536" s="245" t="s">
        <v>3816</v>
      </c>
      <c r="R1536" s="297">
        <f>IFERROR(RANK(VLOOKUP($G1536,連買!$A:$D,4,0),連買!$D:$D,0),"'沒有資料'")</f>
        <v>328</v>
      </c>
      <c r="S1536" s="34">
        <v>0</v>
      </c>
      <c r="T1536" s="353">
        <f t="shared" si="281"/>
        <v>0</v>
      </c>
      <c r="U1536" s="95">
        <v>4.43</v>
      </c>
      <c r="V1536" s="36">
        <f>RTD("money.excel",,"5608","Price")</f>
        <v>44.1</v>
      </c>
      <c r="W1536" s="66"/>
      <c r="X1536" s="15">
        <f t="shared" si="282"/>
        <v>44.1</v>
      </c>
      <c r="Y1536" s="3" t="e">
        <f t="shared" si="283"/>
        <v>#DIV/0!</v>
      </c>
      <c r="Z1536" s="413" t="s">
        <v>1801</v>
      </c>
      <c r="AA1536" s="161">
        <v>0</v>
      </c>
      <c r="AB1536" s="409">
        <v>0</v>
      </c>
      <c r="AC1536" s="259">
        <f t="shared" si="274"/>
        <v>0</v>
      </c>
      <c r="AD1536" s="22" t="s">
        <v>880</v>
      </c>
      <c r="AG1536" s="33">
        <f t="shared" si="284"/>
        <v>0</v>
      </c>
      <c r="AH1536" s="43" t="s">
        <v>1543</v>
      </c>
      <c r="AI1536" s="63">
        <f t="shared" si="285"/>
        <v>1.9756838905775075E-2</v>
      </c>
      <c r="AJ1536" s="307">
        <f>RTD("money.excel",,$G1536,"PredictVolume")</f>
        <v>6500</v>
      </c>
      <c r="AK1536" s="339"/>
    </row>
    <row r="1537" spans="1:37">
      <c r="A1537" s="416">
        <v>13.6</v>
      </c>
      <c r="B1537" s="79">
        <v>72</v>
      </c>
      <c r="C1537" s="79">
        <v>63</v>
      </c>
      <c r="D1537" s="79">
        <v>4</v>
      </c>
      <c r="E1537" s="79">
        <v>115</v>
      </c>
      <c r="F1537" s="6">
        <v>6.41</v>
      </c>
      <c r="G1537" s="79">
        <v>5609</v>
      </c>
      <c r="H1537" s="8" t="s">
        <v>304</v>
      </c>
      <c r="I1537" s="16" t="s">
        <v>869</v>
      </c>
      <c r="J1537" s="323">
        <v>38.43</v>
      </c>
      <c r="K1537" s="323">
        <v>16.7</v>
      </c>
      <c r="L1537" s="73">
        <v>14.49</v>
      </c>
      <c r="M1537" s="73">
        <v>11.69</v>
      </c>
      <c r="N1537" s="318">
        <f t="shared" si="287"/>
        <v>81.309999999999988</v>
      </c>
      <c r="O1537" s="81">
        <f>IFERROR(VLOOKUP($G1537,'321買'!A:E,3,0),"'沒有資料'")</f>
        <v>37</v>
      </c>
      <c r="P1537" s="380">
        <f>IFERROR(VLOOKUP($G1537,'321買'!$A:$G,7,0),"'沒有資料'")</f>
        <v>104</v>
      </c>
      <c r="Q1537" s="245" t="s">
        <v>3817</v>
      </c>
      <c r="R1537" s="297">
        <f>IFERROR(RANK(VLOOKUP($G1537,連買!$A:$D,4,0),連買!$D:$D,0),"'沒有資料'")</f>
        <v>149</v>
      </c>
      <c r="S1537" s="66">
        <v>6</v>
      </c>
      <c r="T1537" s="353">
        <f t="shared" si="281"/>
        <v>5.5555555555555552E-2</v>
      </c>
      <c r="U1537" s="95">
        <v>13.08</v>
      </c>
      <c r="V1537" s="36">
        <f>RTD("money.excel",,"5609","Price")</f>
        <v>108</v>
      </c>
      <c r="W1537" s="66"/>
      <c r="X1537" s="15">
        <f t="shared" si="282"/>
        <v>108</v>
      </c>
      <c r="Y1537" s="3" t="e">
        <f t="shared" si="283"/>
        <v>#DIV/0!</v>
      </c>
      <c r="Z1537" s="413" t="s">
        <v>1997</v>
      </c>
      <c r="AA1537" s="161">
        <v>0</v>
      </c>
      <c r="AB1537" s="409">
        <v>0</v>
      </c>
      <c r="AC1537" s="259">
        <f t="shared" si="274"/>
        <v>0</v>
      </c>
      <c r="AD1537" s="16" t="s">
        <v>869</v>
      </c>
      <c r="AG1537" s="33">
        <f t="shared" si="284"/>
        <v>0</v>
      </c>
      <c r="AH1537" s="43" t="s">
        <v>2992</v>
      </c>
      <c r="AI1537" s="63">
        <f t="shared" si="285"/>
        <v>2.4198529411764706E-2</v>
      </c>
      <c r="AJ1537" s="307">
        <f>RTD("money.excel",,$G1537,"PredictVolume")</f>
        <v>3291</v>
      </c>
      <c r="AK1537" s="339">
        <v>46.34</v>
      </c>
    </row>
    <row r="1538" spans="1:37">
      <c r="A1538" s="415">
        <v>8.77</v>
      </c>
      <c r="B1538" s="79">
        <v>296</v>
      </c>
      <c r="C1538" s="79">
        <v>82</v>
      </c>
      <c r="D1538" s="80">
        <v>-22</v>
      </c>
      <c r="E1538" s="80">
        <v>-3</v>
      </c>
      <c r="F1538" s="57">
        <v>22.41</v>
      </c>
      <c r="G1538" s="79">
        <v>8367</v>
      </c>
      <c r="H1538" s="8" t="s">
        <v>304</v>
      </c>
      <c r="I1538" s="22" t="s">
        <v>1861</v>
      </c>
      <c r="J1538" s="323">
        <v>60.79</v>
      </c>
      <c r="K1538" s="323">
        <v>1.9</v>
      </c>
      <c r="L1538" s="323">
        <v>6.64</v>
      </c>
      <c r="M1538" s="323">
        <v>48.38</v>
      </c>
      <c r="N1538" s="318">
        <f t="shared" si="287"/>
        <v>117.71000000000001</v>
      </c>
      <c r="O1538" s="81">
        <f>IFERROR(VLOOKUP($G1538,'321買'!A:E,3,0),"'沒有資料'")</f>
        <v>13</v>
      </c>
      <c r="P1538" s="380">
        <f>IFERROR(VLOOKUP($G1538,'321買'!$A:$G,7,0),"'沒有資料'")</f>
        <v>348</v>
      </c>
      <c r="R1538" s="297">
        <f>IFERROR(RANK(VLOOKUP($G1538,連買!$A:$D,4,0),連買!$D:$D,0),"'沒有資料'")</f>
        <v>1667</v>
      </c>
      <c r="S1538" s="34">
        <v>2.8</v>
      </c>
      <c r="T1538" s="353">
        <f>S1538/V1538</f>
        <v>5.8151609553478707E-2</v>
      </c>
      <c r="U1538" s="57">
        <v>7.19</v>
      </c>
      <c r="V1538" s="36">
        <f>RTD("money.excel",,"8367","Price")</f>
        <v>48.15</v>
      </c>
      <c r="W1538" s="66"/>
      <c r="X1538" s="15">
        <f t="shared" si="282"/>
        <v>48.15</v>
      </c>
      <c r="Y1538" s="3" t="e">
        <f t="shared" si="283"/>
        <v>#DIV/0!</v>
      </c>
      <c r="Z1538" s="413" t="s">
        <v>1801</v>
      </c>
      <c r="AA1538" s="161">
        <v>0</v>
      </c>
      <c r="AB1538" s="409">
        <v>0</v>
      </c>
      <c r="AC1538" s="259">
        <f t="shared" si="274"/>
        <v>0</v>
      </c>
      <c r="AD1538" s="22" t="s">
        <v>1861</v>
      </c>
      <c r="AG1538" s="33">
        <f t="shared" si="284"/>
        <v>0</v>
      </c>
      <c r="AH1538" s="43" t="s">
        <v>1862</v>
      </c>
      <c r="AI1538" s="63">
        <f t="shared" si="285"/>
        <v>3.9908779931584947E-4</v>
      </c>
      <c r="AJ1538" s="307">
        <f>RTD("money.excel",,$G1538,"PredictVolume")</f>
        <v>35</v>
      </c>
      <c r="AK1538" s="339">
        <v>31.32</v>
      </c>
    </row>
    <row r="1539" spans="1:37">
      <c r="B1539" s="91"/>
      <c r="C1539" s="91"/>
      <c r="D1539" s="91"/>
      <c r="E1539" s="91"/>
      <c r="F1539" s="57"/>
      <c r="G1539" s="79"/>
      <c r="H1539" s="8"/>
      <c r="I1539" s="22"/>
      <c r="J1539" s="73"/>
      <c r="K1539" s="323"/>
      <c r="L1539" s="323"/>
      <c r="N1539" s="318"/>
      <c r="O1539" s="26"/>
      <c r="S1539" s="34"/>
      <c r="U1539" s="57"/>
      <c r="V1539" s="36"/>
      <c r="W1539" s="66"/>
      <c r="X1539" s="15"/>
      <c r="Y1539" s="3"/>
      <c r="AA1539" s="2"/>
      <c r="AD1539" s="22"/>
      <c r="AG1539" s="33"/>
      <c r="AH1539" s="43"/>
      <c r="AI1539" s="63"/>
      <c r="AJ1539" s="307"/>
      <c r="AK1539" s="339"/>
    </row>
    <row r="1540" spans="1:37">
      <c r="A1540" s="130" t="s">
        <v>1732</v>
      </c>
      <c r="B1540" s="91" t="s">
        <v>1588</v>
      </c>
      <c r="C1540" s="91" t="s">
        <v>1589</v>
      </c>
      <c r="D1540" s="91" t="s">
        <v>1590</v>
      </c>
      <c r="E1540" s="91" t="s">
        <v>1591</v>
      </c>
      <c r="F1540" s="8" t="s">
        <v>1066</v>
      </c>
      <c r="G1540" s="27" t="s">
        <v>963</v>
      </c>
      <c r="H1540" s="55" t="s">
        <v>322</v>
      </c>
      <c r="I1540" s="8" t="s">
        <v>305</v>
      </c>
      <c r="J1540" s="317" t="s">
        <v>1467</v>
      </c>
      <c r="K1540" s="317" t="s">
        <v>1157</v>
      </c>
      <c r="L1540" s="317" t="s">
        <v>284</v>
      </c>
      <c r="M1540" s="317" t="s">
        <v>1059</v>
      </c>
      <c r="N1540" s="317" t="s">
        <v>5048</v>
      </c>
      <c r="O1540" s="26" t="s">
        <v>5107</v>
      </c>
      <c r="P1540" s="373" t="s">
        <v>5059</v>
      </c>
      <c r="Q1540" s="245" t="s">
        <v>5087</v>
      </c>
      <c r="R1540" s="345" t="s">
        <v>5059</v>
      </c>
      <c r="S1540" s="10" t="s">
        <v>66</v>
      </c>
      <c r="T1540" s="351" t="s">
        <v>5076</v>
      </c>
      <c r="U1540" s="68" t="s">
        <v>3493</v>
      </c>
      <c r="V1540" s="28" t="s">
        <v>2</v>
      </c>
      <c r="W1540" s="17" t="s">
        <v>1405</v>
      </c>
      <c r="X1540" s="14" t="s">
        <v>5</v>
      </c>
      <c r="Y1540" s="21" t="s">
        <v>3</v>
      </c>
      <c r="Z1540" s="97" t="s">
        <v>6627</v>
      </c>
      <c r="AA1540" s="406" t="s">
        <v>8647</v>
      </c>
      <c r="AB1540" s="407" t="s">
        <v>8648</v>
      </c>
      <c r="AC1540" s="408" t="s">
        <v>8649</v>
      </c>
      <c r="AD1540" s="8" t="s">
        <v>305</v>
      </c>
      <c r="AE1540" s="71" t="s">
        <v>1406</v>
      </c>
      <c r="AF1540" s="72" t="s">
        <v>1163</v>
      </c>
      <c r="AG1540" s="32" t="s">
        <v>1164</v>
      </c>
      <c r="AH1540" s="25" t="s">
        <v>8650</v>
      </c>
      <c r="AI1540" s="8" t="s">
        <v>3852</v>
      </c>
      <c r="AJ1540" s="50" t="s">
        <v>3586</v>
      </c>
      <c r="AK1540" s="339" t="s">
        <v>5038</v>
      </c>
    </row>
    <row r="1541" spans="1:37" ht="16.5" customHeight="1">
      <c r="A1541" s="416">
        <v>3.24</v>
      </c>
      <c r="B1541" s="80">
        <v>-98</v>
      </c>
      <c r="C1541" s="80">
        <v>-14</v>
      </c>
      <c r="D1541" s="79">
        <v>17</v>
      </c>
      <c r="E1541" s="80">
        <v>-8</v>
      </c>
      <c r="F1541" s="6">
        <v>2.77</v>
      </c>
      <c r="G1541" s="79">
        <v>1259</v>
      </c>
      <c r="H1541" s="8" t="s">
        <v>305</v>
      </c>
      <c r="I1541" s="16" t="s">
        <v>964</v>
      </c>
      <c r="J1541" s="73">
        <v>70.290000000000006</v>
      </c>
      <c r="K1541" s="323">
        <v>26.2</v>
      </c>
      <c r="L1541" s="323">
        <v>0.33</v>
      </c>
      <c r="N1541" s="318">
        <f>J1541+K1541+L1541+M1541</f>
        <v>96.820000000000007</v>
      </c>
      <c r="O1541" s="81" t="str">
        <f>IFERROR(VLOOKUP($G1541,'321買'!A:E,3,0),"'沒有資料'")</f>
        <v>'沒有資料'</v>
      </c>
      <c r="P1541" s="380" t="str">
        <f>IFERROR(VLOOKUP($G1541,'321買'!$A:$G,7,0),"'沒有資料'")</f>
        <v>'沒有資料'</v>
      </c>
      <c r="R1541" s="297">
        <f>IFERROR(RANK(VLOOKUP($G1541,連買!$A:$D,4,0),連買!$D:$D,0),"'沒有資料'")</f>
        <v>1309</v>
      </c>
      <c r="S1541" s="66" ph="1">
        <v>3</v>
      </c>
      <c r="T1541" s="353" t="e">
        <f t="shared" ref="T1541:T1584" si="288">S1541/V1541</f>
        <v>#VALUE!</v>
      </c>
      <c r="U1541" s="95">
        <v>5.48</v>
      </c>
      <c r="V1541" s="36" t="str">
        <f>RTD("money.excel",,"1259","Price")</f>
        <v>無資料</v>
      </c>
      <c r="W1541" s="66"/>
      <c r="X1541" s="15" t="e">
        <f t="shared" ref="X1541:X1584" si="289">V1541-W1541</f>
        <v>#VALUE!</v>
      </c>
      <c r="Y1541" s="3" t="e">
        <f t="shared" ref="Y1541:Y1584" si="290">X1541/W1541</f>
        <v>#VALUE!</v>
      </c>
      <c r="Z1541" s="413" t="s">
        <v>1831</v>
      </c>
      <c r="AA1541" s="161">
        <v>0</v>
      </c>
      <c r="AB1541" s="409">
        <v>0</v>
      </c>
      <c r="AC1541" s="259">
        <f t="shared" ref="AC1541:AC1603" si="291">AA1541-AB1541</f>
        <v>0</v>
      </c>
      <c r="AD1541" s="16" t="s">
        <v>964</v>
      </c>
      <c r="AG1541" s="33">
        <f t="shared" ref="AG1541:AG1584" si="292">AF1541-AE1541</f>
        <v>0</v>
      </c>
      <c r="AH1541" s="43" t="s">
        <v>2856</v>
      </c>
      <c r="AI1541" s="63">
        <f t="shared" ref="AI1541:AI1584" si="293">AJ1541/(A1541*10000)</f>
        <v>0</v>
      </c>
      <c r="AJ1541" s="307">
        <f>RTD("money.excel",,$G1541,"PredictVolume")</f>
        <v>0</v>
      </c>
      <c r="AK1541" s="339"/>
    </row>
    <row r="1542" spans="1:37" ht="16.5" customHeight="1">
      <c r="A1542" s="416">
        <v>4.2699999999999996</v>
      </c>
      <c r="B1542" s="80">
        <v>-132</v>
      </c>
      <c r="C1542" s="80">
        <v>-396</v>
      </c>
      <c r="D1542" s="79">
        <v>9</v>
      </c>
      <c r="E1542" s="79">
        <v>0</v>
      </c>
      <c r="F1542" s="6">
        <v>-11.67</v>
      </c>
      <c r="G1542" s="79">
        <v>1268</v>
      </c>
      <c r="H1542" s="8" t="s">
        <v>305</v>
      </c>
      <c r="I1542" s="16" t="s">
        <v>965</v>
      </c>
      <c r="J1542" s="323">
        <v>70.489999999999995</v>
      </c>
      <c r="K1542" s="323">
        <v>0.08</v>
      </c>
      <c r="L1542" s="73">
        <v>0.32</v>
      </c>
      <c r="M1542" s="323">
        <v>19.29</v>
      </c>
      <c r="N1542" s="318">
        <f>K1542+J1542+L1542+M1542</f>
        <v>90.179999999999978</v>
      </c>
      <c r="O1542" s="81" t="str">
        <f>IFERROR(VLOOKUP($G1542,'321買'!A:E,3,0),"'沒有資料'")</f>
        <v>'沒有資料'</v>
      </c>
      <c r="P1542" s="380" t="str">
        <f>IFERROR(VLOOKUP($G1542,'321買'!$A:$G,7,0),"'沒有資料'")</f>
        <v>'沒有資料'</v>
      </c>
      <c r="R1542" s="297">
        <f>IFERROR(RANK(VLOOKUP($G1542,連買!$A:$D,4,0),連買!$D:$D,0),"'沒有資料'")</f>
        <v>1450</v>
      </c>
      <c r="S1542" s="66">
        <v>7</v>
      </c>
      <c r="T1542" s="353">
        <f t="shared" si="288"/>
        <v>6.25E-2</v>
      </c>
      <c r="U1542" s="57">
        <v>0.05</v>
      </c>
      <c r="V1542" s="36">
        <f>RTD("money.excel",,"1268","Price")</f>
        <v>112</v>
      </c>
      <c r="W1542" s="66"/>
      <c r="X1542" s="15">
        <f t="shared" si="289"/>
        <v>112</v>
      </c>
      <c r="Y1542" s="3" t="e">
        <f t="shared" si="290"/>
        <v>#DIV/0!</v>
      </c>
      <c r="Z1542" s="413" t="s">
        <v>1997</v>
      </c>
      <c r="AA1542" s="161">
        <v>0</v>
      </c>
      <c r="AB1542" s="409">
        <v>0</v>
      </c>
      <c r="AC1542" s="259">
        <f t="shared" si="291"/>
        <v>0</v>
      </c>
      <c r="AD1542" s="16" t="s">
        <v>965</v>
      </c>
      <c r="AG1542" s="33">
        <f t="shared" si="292"/>
        <v>0</v>
      </c>
      <c r="AH1542" s="43" t="s">
        <v>2857</v>
      </c>
      <c r="AI1542" s="63">
        <f t="shared" si="293"/>
        <v>1.6393442622950822E-4</v>
      </c>
      <c r="AJ1542" s="307">
        <f>RTD("money.excel",,$G1542,"PredictVolume")</f>
        <v>7</v>
      </c>
      <c r="AK1542" s="339"/>
    </row>
    <row r="1543" spans="1:37" ht="16.5" customHeight="1">
      <c r="A1543" s="415">
        <v>45</v>
      </c>
      <c r="B1543" s="91">
        <v>-63</v>
      </c>
      <c r="C1543" s="91">
        <v>-21</v>
      </c>
      <c r="D1543" s="91">
        <v>-4</v>
      </c>
      <c r="E1543" s="91">
        <v>-10</v>
      </c>
      <c r="F1543" s="57">
        <v>55.25</v>
      </c>
      <c r="G1543" s="79">
        <v>2701</v>
      </c>
      <c r="H1543" s="8" t="s">
        <v>305</v>
      </c>
      <c r="I1543" s="22" t="s">
        <v>974</v>
      </c>
      <c r="J1543" s="73">
        <v>87.94</v>
      </c>
      <c r="K1543" s="73">
        <v>0.44</v>
      </c>
      <c r="L1543" s="73">
        <v>7.0000000000000007E-2</v>
      </c>
      <c r="N1543" s="318">
        <f t="shared" ref="N1543:N1565" si="294">J1543+K1543+L1543+M1543</f>
        <v>88.449999999999989</v>
      </c>
      <c r="O1543" s="81">
        <f>IFERROR(VLOOKUP($G1543,'321買'!A:E,3,0),"'沒有資料'")</f>
        <v>0</v>
      </c>
      <c r="P1543" s="380">
        <f>IFERROR(VLOOKUP($G1543,'321買'!$A:$G,7,0),"'沒有資料'")</f>
        <v>911</v>
      </c>
      <c r="R1543" s="297">
        <f>IFERROR(RANK(VLOOKUP($G1543,連買!$A:$D,4,0),連買!$D:$D,0),"'沒有資料'")</f>
        <v>1065</v>
      </c>
      <c r="S1543" s="34">
        <v>0.25</v>
      </c>
      <c r="T1543" s="353">
        <f t="shared" si="288"/>
        <v>2.0491803278688527E-2</v>
      </c>
      <c r="U1543" s="95">
        <v>0.39</v>
      </c>
      <c r="V1543" s="13">
        <f>RTD("money.excel",,"2701","Price")</f>
        <v>12.2</v>
      </c>
      <c r="W1543" s="66"/>
      <c r="X1543" s="15">
        <f t="shared" si="289"/>
        <v>12.2</v>
      </c>
      <c r="Y1543" s="3" t="e">
        <f t="shared" si="290"/>
        <v>#DIV/0!</v>
      </c>
      <c r="AA1543" s="161">
        <v>0</v>
      </c>
      <c r="AB1543" s="409">
        <v>0</v>
      </c>
      <c r="AC1543" s="259">
        <f t="shared" si="291"/>
        <v>0</v>
      </c>
      <c r="AD1543" s="22" t="s">
        <v>974</v>
      </c>
      <c r="AG1543" s="33">
        <f t="shared" si="292"/>
        <v>0</v>
      </c>
      <c r="AH1543" s="43" t="s">
        <v>2964</v>
      </c>
      <c r="AI1543" s="63">
        <f t="shared" si="293"/>
        <v>9.5555555555555555E-5</v>
      </c>
      <c r="AJ1543" s="307">
        <f>RTD("money.excel",,$G1543,"PredictVolume")</f>
        <v>43</v>
      </c>
      <c r="AK1543" s="339"/>
    </row>
    <row r="1544" spans="1:37" ht="16.5" customHeight="1">
      <c r="A1544" s="416">
        <v>11</v>
      </c>
      <c r="B1544" s="206">
        <v>-1227</v>
      </c>
      <c r="C1544" s="91">
        <v>-187</v>
      </c>
      <c r="D1544" s="91">
        <v>-7</v>
      </c>
      <c r="E1544" s="91">
        <v>-66</v>
      </c>
      <c r="F1544" s="6">
        <v>-23.75</v>
      </c>
      <c r="G1544" s="79">
        <v>2702</v>
      </c>
      <c r="H1544" s="8" t="s">
        <v>305</v>
      </c>
      <c r="I1544" s="22" t="s">
        <v>975</v>
      </c>
      <c r="J1544" s="73">
        <v>73.19</v>
      </c>
      <c r="K1544" s="73">
        <v>36.840000000000003</v>
      </c>
      <c r="L1544" s="73">
        <v>10.29</v>
      </c>
      <c r="N1544" s="318">
        <f t="shared" si="294"/>
        <v>120.32</v>
      </c>
      <c r="O1544" s="81">
        <f>IFERROR(VLOOKUP($G1544,'321買'!A:E,3,0),"'沒有資料'")</f>
        <v>0</v>
      </c>
      <c r="P1544" s="380">
        <f>IFERROR(VLOOKUP($G1544,'321買'!$A:$G,7,0),"'沒有資料'")</f>
        <v>911</v>
      </c>
      <c r="R1544" s="297">
        <f>IFERROR(RANK(VLOOKUP($G1544,連買!$A:$D,4,0),連買!$D:$D,0),"'沒有資料'")</f>
        <v>909</v>
      </c>
      <c r="S1544" s="34">
        <v>0</v>
      </c>
      <c r="T1544" s="353">
        <f t="shared" si="288"/>
        <v>0</v>
      </c>
      <c r="U1544" s="95">
        <v>-2.4500000000000002</v>
      </c>
      <c r="V1544" s="13">
        <f>RTD("money.excel",,"2702","Price")</f>
        <v>28.05</v>
      </c>
      <c r="W1544" s="66"/>
      <c r="X1544" s="15">
        <f t="shared" si="289"/>
        <v>28.05</v>
      </c>
      <c r="Y1544" s="3" t="e">
        <f t="shared" si="290"/>
        <v>#DIV/0!</v>
      </c>
      <c r="AA1544" s="161">
        <v>0</v>
      </c>
      <c r="AB1544" s="409">
        <v>0</v>
      </c>
      <c r="AC1544" s="259">
        <f t="shared" si="291"/>
        <v>0</v>
      </c>
      <c r="AD1544" s="22" t="s">
        <v>975</v>
      </c>
      <c r="AG1544" s="33">
        <f t="shared" si="292"/>
        <v>0</v>
      </c>
      <c r="AH1544" s="43" t="s">
        <v>2965</v>
      </c>
      <c r="AI1544" s="63">
        <f t="shared" si="293"/>
        <v>1.6163636363636363E-2</v>
      </c>
      <c r="AJ1544" s="307">
        <f>RTD("money.excel",,$G1544,"PredictVolume")</f>
        <v>1778</v>
      </c>
      <c r="AK1544" s="339"/>
    </row>
    <row r="1545" spans="1:37">
      <c r="A1545" s="416">
        <v>36.6</v>
      </c>
      <c r="B1545" s="80">
        <v>-126</v>
      </c>
      <c r="C1545" s="80">
        <v>-146</v>
      </c>
      <c r="D1545" s="79">
        <v>7</v>
      </c>
      <c r="E1545" s="80">
        <v>-20</v>
      </c>
      <c r="F1545" s="6">
        <v>-11.99</v>
      </c>
      <c r="G1545" s="79">
        <v>2704</v>
      </c>
      <c r="H1545" s="17" t="s">
        <v>305</v>
      </c>
      <c r="I1545" s="22" t="s">
        <v>0</v>
      </c>
      <c r="J1545" s="323">
        <v>88.99</v>
      </c>
      <c r="K1545" s="323">
        <v>9.6</v>
      </c>
      <c r="L1545" s="73">
        <v>1.05</v>
      </c>
      <c r="N1545" s="318">
        <f t="shared" si="294"/>
        <v>99.639999999999986</v>
      </c>
      <c r="O1545" s="81">
        <f>IFERROR(VLOOKUP($G1545,'321買'!A:E,3,0),"'沒有資料'")</f>
        <v>0</v>
      </c>
      <c r="P1545" s="380">
        <f>IFERROR(VLOOKUP($G1545,'321買'!$A:$G,7,0),"'沒有資料'")</f>
        <v>911</v>
      </c>
      <c r="R1545" s="297">
        <f>IFERROR(RANK(VLOOKUP($G1545,連買!$A:$D,4,0),連買!$D:$D,0),"'沒有資料'")</f>
        <v>759</v>
      </c>
      <c r="S1545" s="34">
        <v>0</v>
      </c>
      <c r="T1545" s="353">
        <f t="shared" si="288"/>
        <v>0</v>
      </c>
      <c r="U1545" s="95">
        <v>0.01</v>
      </c>
      <c r="V1545" s="36">
        <f>RTD("money.excel",,"2704","Price")</f>
        <v>31.95</v>
      </c>
      <c r="W1545" s="66"/>
      <c r="X1545" s="15">
        <f t="shared" si="289"/>
        <v>31.95</v>
      </c>
      <c r="Y1545" s="3" t="e">
        <f t="shared" si="290"/>
        <v>#DIV/0!</v>
      </c>
      <c r="Z1545" s="413" t="s">
        <v>1801</v>
      </c>
      <c r="AA1545" s="161">
        <v>0</v>
      </c>
      <c r="AB1545" s="409">
        <v>0</v>
      </c>
      <c r="AC1545" s="259">
        <f t="shared" si="291"/>
        <v>0</v>
      </c>
      <c r="AD1545" s="22" t="s">
        <v>0</v>
      </c>
      <c r="AG1545" s="33">
        <f t="shared" si="292"/>
        <v>0</v>
      </c>
      <c r="AH1545" s="43" t="s">
        <v>2866</v>
      </c>
      <c r="AI1545" s="63">
        <f t="shared" si="293"/>
        <v>6.8306010928961749E-4</v>
      </c>
      <c r="AJ1545" s="307">
        <f>RTD("money.excel",,$G1545,"PredictVolume")</f>
        <v>250</v>
      </c>
      <c r="AK1545" s="339"/>
    </row>
    <row r="1546" spans="1:37">
      <c r="A1546" s="416">
        <v>18.600000000000001</v>
      </c>
      <c r="B1546" s="79">
        <v>27</v>
      </c>
      <c r="C1546" s="79">
        <v>10</v>
      </c>
      <c r="D1546" s="79">
        <v>5</v>
      </c>
      <c r="E1546" s="79">
        <v>13</v>
      </c>
      <c r="F1546" s="6">
        <v>-28.24</v>
      </c>
      <c r="G1546" s="79">
        <v>2705</v>
      </c>
      <c r="H1546" s="8" t="s">
        <v>305</v>
      </c>
      <c r="I1546" s="22" t="s">
        <v>976</v>
      </c>
      <c r="J1546" s="73">
        <v>63.52</v>
      </c>
      <c r="K1546" s="73">
        <v>2.86</v>
      </c>
      <c r="N1546" s="318">
        <f t="shared" si="294"/>
        <v>66.38000000000001</v>
      </c>
      <c r="O1546" s="81">
        <f>IFERROR(VLOOKUP($G1546,'321買'!A:E,3,0),"'沒有資料'")</f>
        <v>0</v>
      </c>
      <c r="P1546" s="380">
        <f>IFERROR(VLOOKUP($G1546,'321買'!$A:$G,7,0),"'沒有資料'")</f>
        <v>911</v>
      </c>
      <c r="R1546" s="297">
        <f>IFERROR(RANK(VLOOKUP($G1546,連買!$A:$D,4,0),連買!$D:$D,0),"'沒有資料'")</f>
        <v>1142</v>
      </c>
      <c r="S1546" s="34">
        <v>0</v>
      </c>
      <c r="T1546" s="353">
        <f t="shared" si="288"/>
        <v>0</v>
      </c>
      <c r="U1546" s="95">
        <v>-2.0099999999999998</v>
      </c>
      <c r="V1546" s="36">
        <f>RTD("money.excel",,"2705","Price")</f>
        <v>17.25</v>
      </c>
      <c r="W1546" s="66"/>
      <c r="X1546" s="15">
        <f t="shared" si="289"/>
        <v>17.25</v>
      </c>
      <c r="Y1546" s="3" t="e">
        <f t="shared" si="290"/>
        <v>#DIV/0!</v>
      </c>
      <c r="Z1546" s="413" t="s">
        <v>1801</v>
      </c>
      <c r="AA1546" s="161">
        <v>0</v>
      </c>
      <c r="AB1546" s="409">
        <v>0</v>
      </c>
      <c r="AC1546" s="259">
        <f t="shared" si="291"/>
        <v>0</v>
      </c>
      <c r="AD1546" s="22" t="s">
        <v>976</v>
      </c>
      <c r="AG1546" s="33">
        <f t="shared" si="292"/>
        <v>0</v>
      </c>
      <c r="AH1546" s="43" t="s">
        <v>2966</v>
      </c>
      <c r="AI1546" s="63">
        <f t="shared" si="293"/>
        <v>1.8494623655913979E-3</v>
      </c>
      <c r="AJ1546" s="307">
        <f>RTD("money.excel",,$G1546,"PredictVolume")</f>
        <v>344</v>
      </c>
      <c r="AK1546" s="339"/>
    </row>
    <row r="1547" spans="1:37">
      <c r="A1547" s="415">
        <v>50</v>
      </c>
      <c r="B1547" s="91">
        <v>-81</v>
      </c>
      <c r="C1547" s="91">
        <v>-29</v>
      </c>
      <c r="D1547" s="91">
        <v>-3</v>
      </c>
      <c r="E1547" s="91">
        <v>-15</v>
      </c>
      <c r="F1547" s="57">
        <v>62.27</v>
      </c>
      <c r="G1547" s="79">
        <v>2706</v>
      </c>
      <c r="H1547" s="8" t="s">
        <v>305</v>
      </c>
      <c r="I1547" s="22" t="s">
        <v>977</v>
      </c>
      <c r="J1547" s="73">
        <v>88.46</v>
      </c>
      <c r="K1547" s="323">
        <v>2.61</v>
      </c>
      <c r="L1547" s="73">
        <v>0.66</v>
      </c>
      <c r="N1547" s="318">
        <f t="shared" si="294"/>
        <v>91.72999999999999</v>
      </c>
      <c r="O1547" s="81">
        <f>IFERROR(VLOOKUP($G1547,'321買'!A:E,3,0),"'沒有資料'")</f>
        <v>0</v>
      </c>
      <c r="P1547" s="380">
        <f>IFERROR(VLOOKUP($G1547,'321買'!$A:$G,7,0),"'沒有資料'")</f>
        <v>911</v>
      </c>
      <c r="R1547" s="297">
        <f>IFERROR(RANK(VLOOKUP($G1547,連買!$A:$D,4,0),連買!$D:$D,0),"'沒有資料'")</f>
        <v>1029</v>
      </c>
      <c r="S1547" s="34">
        <v>0.15</v>
      </c>
      <c r="T1547" s="353">
        <f t="shared" si="288"/>
        <v>1.0600706713780918E-2</v>
      </c>
      <c r="U1547" s="95">
        <v>0.32</v>
      </c>
      <c r="V1547" s="13">
        <f>RTD("money.excel",,"2706","Price")</f>
        <v>14.15</v>
      </c>
      <c r="W1547" s="66"/>
      <c r="X1547" s="15">
        <f t="shared" si="289"/>
        <v>14.15</v>
      </c>
      <c r="Y1547" s="3" t="e">
        <f t="shared" si="290"/>
        <v>#DIV/0!</v>
      </c>
      <c r="AA1547" s="161">
        <v>0</v>
      </c>
      <c r="AB1547" s="409">
        <v>0</v>
      </c>
      <c r="AC1547" s="259">
        <f t="shared" si="291"/>
        <v>0</v>
      </c>
      <c r="AD1547" s="22" t="s">
        <v>977</v>
      </c>
      <c r="AG1547" s="33">
        <f t="shared" si="292"/>
        <v>0</v>
      </c>
      <c r="AH1547" s="43" t="s">
        <v>2967</v>
      </c>
      <c r="AI1547" s="63">
        <f t="shared" si="293"/>
        <v>2.1000000000000001E-4</v>
      </c>
      <c r="AJ1547" s="307">
        <f>RTD("money.excel",,$G1547,"PredictVolume")</f>
        <v>105</v>
      </c>
      <c r="AK1547" s="339"/>
    </row>
    <row r="1548" spans="1:37">
      <c r="A1548" s="415">
        <v>12.7</v>
      </c>
      <c r="B1548" s="79">
        <v>295</v>
      </c>
      <c r="C1548" s="80">
        <v>-50</v>
      </c>
      <c r="D1548" s="80">
        <v>-3</v>
      </c>
      <c r="E1548" s="80">
        <v>-1</v>
      </c>
      <c r="F1548" s="6">
        <v>-0.41</v>
      </c>
      <c r="G1548" s="79">
        <v>2707</v>
      </c>
      <c r="H1548" s="8" t="s">
        <v>305</v>
      </c>
      <c r="I1548" s="22" t="s">
        <v>978</v>
      </c>
      <c r="J1548" s="323">
        <v>57.16</v>
      </c>
      <c r="K1548" s="73">
        <v>15.13</v>
      </c>
      <c r="L1548" s="323">
        <v>4.92</v>
      </c>
      <c r="M1548" s="323">
        <v>10.81</v>
      </c>
      <c r="N1548" s="318">
        <f t="shared" si="294"/>
        <v>88.02</v>
      </c>
      <c r="O1548" s="81">
        <f>IFERROR(VLOOKUP($G1548,'321買'!A:E,3,0),"'沒有資料'")</f>
        <v>1</v>
      </c>
      <c r="P1548" s="380">
        <f>IFERROR(VLOOKUP($G1548,'321買'!$A:$G,7,0),"'沒有資料'")</f>
        <v>783</v>
      </c>
      <c r="Q1548" s="245" t="s">
        <v>3816</v>
      </c>
      <c r="R1548" s="297">
        <f>IFERROR(RANK(VLOOKUP($G1548,連買!$A:$D,4,0),連買!$D:$D,0),"'沒有資料'")</f>
        <v>89</v>
      </c>
      <c r="S1548" s="66">
        <v>4.3899999999999997</v>
      </c>
      <c r="T1548" s="353">
        <f t="shared" si="288"/>
        <v>2.5229885057471261E-2</v>
      </c>
      <c r="U1548" s="95">
        <v>16.52</v>
      </c>
      <c r="V1548" s="36">
        <f>RTD("money.excel",,"2707","Price")</f>
        <v>174</v>
      </c>
      <c r="W1548" s="66"/>
      <c r="X1548" s="15">
        <f t="shared" si="289"/>
        <v>174</v>
      </c>
      <c r="Y1548" s="3" t="e">
        <f t="shared" si="290"/>
        <v>#DIV/0!</v>
      </c>
      <c r="Z1548" s="413" t="s">
        <v>1997</v>
      </c>
      <c r="AA1548" s="161">
        <v>0</v>
      </c>
      <c r="AB1548" s="409">
        <v>0</v>
      </c>
      <c r="AC1548" s="259">
        <f t="shared" si="291"/>
        <v>0</v>
      </c>
      <c r="AD1548" s="22" t="s">
        <v>978</v>
      </c>
      <c r="AG1548" s="33">
        <f t="shared" si="292"/>
        <v>0</v>
      </c>
      <c r="AH1548" s="43" t="s">
        <v>2866</v>
      </c>
      <c r="AI1548" s="63">
        <f t="shared" si="293"/>
        <v>1.9716535433070868E-2</v>
      </c>
      <c r="AJ1548" s="307">
        <f>RTD("money.excel",,$G1548,"PredictVolume")</f>
        <v>2504</v>
      </c>
      <c r="AK1548" s="339">
        <v>6.02</v>
      </c>
    </row>
    <row r="1549" spans="1:37">
      <c r="A1549" s="416">
        <v>10.5</v>
      </c>
      <c r="B1549" s="206">
        <v>1618</v>
      </c>
      <c r="C1549" s="206">
        <v>1551</v>
      </c>
      <c r="D1549" s="91">
        <v>1</v>
      </c>
      <c r="E1549" s="91">
        <v>-7</v>
      </c>
      <c r="F1549" s="6">
        <v>-7.87</v>
      </c>
      <c r="G1549" s="79">
        <v>2712</v>
      </c>
      <c r="H1549" s="8" t="s">
        <v>305</v>
      </c>
      <c r="I1549" s="22" t="s">
        <v>979</v>
      </c>
      <c r="J1549" s="73">
        <v>96.12</v>
      </c>
      <c r="K1549" s="73">
        <v>0.06</v>
      </c>
      <c r="L1549" s="73">
        <v>0.28999999999999998</v>
      </c>
      <c r="N1549" s="318">
        <f t="shared" si="294"/>
        <v>96.470000000000013</v>
      </c>
      <c r="O1549" s="81">
        <f>IFERROR(VLOOKUP($G1549,'321買'!A:E,3,0),"'沒有資料'")</f>
        <v>0</v>
      </c>
      <c r="P1549" s="380">
        <f>IFERROR(VLOOKUP($G1549,'321買'!$A:$G,7,0),"'沒有資料'")</f>
        <v>911</v>
      </c>
      <c r="R1549" s="297">
        <f>IFERROR(RANK(VLOOKUP($G1549,連買!$A:$D,4,0),連買!$D:$D,0),"'沒有資料'")</f>
        <v>366</v>
      </c>
      <c r="S1549" s="34">
        <v>0.7</v>
      </c>
      <c r="T1549" s="353">
        <f t="shared" si="288"/>
        <v>2.0172910662824204E-2</v>
      </c>
      <c r="U1549" s="95">
        <v>0.93</v>
      </c>
      <c r="V1549" s="13">
        <f>RTD("money.excel",,"2712","Price")</f>
        <v>34.700000000000003</v>
      </c>
      <c r="W1549" s="66"/>
      <c r="X1549" s="15">
        <f t="shared" si="289"/>
        <v>34.700000000000003</v>
      </c>
      <c r="Y1549" s="3" t="e">
        <f t="shared" si="290"/>
        <v>#DIV/0!</v>
      </c>
      <c r="AA1549" s="161">
        <v>0</v>
      </c>
      <c r="AB1549" s="409">
        <v>0</v>
      </c>
      <c r="AC1549" s="259">
        <f t="shared" si="291"/>
        <v>0</v>
      </c>
      <c r="AD1549" s="22" t="s">
        <v>979</v>
      </c>
      <c r="AG1549" s="33">
        <f t="shared" si="292"/>
        <v>0</v>
      </c>
      <c r="AH1549" s="43" t="s">
        <v>2968</v>
      </c>
      <c r="AI1549" s="63">
        <f t="shared" si="293"/>
        <v>6.4761904761904759E-4</v>
      </c>
      <c r="AJ1549" s="307">
        <f>RTD("money.excel",,$G1549,"PredictVolume")</f>
        <v>68</v>
      </c>
      <c r="AK1549" s="339"/>
    </row>
    <row r="1550" spans="1:37">
      <c r="A1550" s="416">
        <v>7.26</v>
      </c>
      <c r="B1550" s="94">
        <v>-2891</v>
      </c>
      <c r="C1550" s="79">
        <v>13</v>
      </c>
      <c r="D1550" s="79">
        <v>-31</v>
      </c>
      <c r="E1550" s="80">
        <v>-99</v>
      </c>
      <c r="F1550" s="73">
        <v>-591.20000000000005</v>
      </c>
      <c r="G1550" s="79">
        <v>2718</v>
      </c>
      <c r="H1550" s="8" t="s">
        <v>305</v>
      </c>
      <c r="I1550" s="16" t="s">
        <v>966</v>
      </c>
      <c r="J1550" s="73">
        <v>85.67</v>
      </c>
      <c r="K1550" s="73">
        <v>0</v>
      </c>
      <c r="L1550" s="323"/>
      <c r="N1550" s="318">
        <f t="shared" si="294"/>
        <v>85.67</v>
      </c>
      <c r="O1550" s="81" t="str">
        <f>IFERROR(VLOOKUP($G1550,'321買'!A:E,3,0),"'沒有資料'")</f>
        <v>'沒有資料'</v>
      </c>
      <c r="P1550" s="380" t="str">
        <f>IFERROR(VLOOKUP($G1550,'321買'!$A:$G,7,0),"'沒有資料'")</f>
        <v>'沒有資料'</v>
      </c>
      <c r="R1550" s="297">
        <f>IFERROR(RANK(VLOOKUP($G1550,連買!$A:$D,4,0),連買!$D:$D,0),"'沒有資料'")</f>
        <v>1343</v>
      </c>
      <c r="S1550" s="34">
        <v>0</v>
      </c>
      <c r="T1550" s="353">
        <f t="shared" si="288"/>
        <v>0</v>
      </c>
      <c r="U1550" s="57">
        <v>-2.89</v>
      </c>
      <c r="V1550" s="36">
        <f>RTD("money.excel",,"2718","Price")</f>
        <v>34.35</v>
      </c>
      <c r="W1550" s="66"/>
      <c r="X1550" s="15">
        <f t="shared" si="289"/>
        <v>34.35</v>
      </c>
      <c r="Y1550" s="3" t="e">
        <f t="shared" si="290"/>
        <v>#DIV/0!</v>
      </c>
      <c r="AA1550" s="161">
        <v>0</v>
      </c>
      <c r="AB1550" s="409">
        <v>0</v>
      </c>
      <c r="AC1550" s="259">
        <f t="shared" si="291"/>
        <v>0</v>
      </c>
      <c r="AD1550" s="16" t="s">
        <v>966</v>
      </c>
      <c r="AG1550" s="33">
        <f t="shared" si="292"/>
        <v>0</v>
      </c>
      <c r="AH1550" s="43" t="s">
        <v>2729</v>
      </c>
      <c r="AI1550" s="63">
        <f t="shared" si="293"/>
        <v>1.3774104683195593E-5</v>
      </c>
      <c r="AJ1550" s="307">
        <f>RTD("money.excel",,$G1550,"PredictVolume")</f>
        <v>1</v>
      </c>
      <c r="AK1550" s="339"/>
    </row>
    <row r="1551" spans="1:37">
      <c r="A1551" s="416">
        <v>3.11</v>
      </c>
      <c r="B1551" s="91">
        <v>-7</v>
      </c>
      <c r="C1551" s="91">
        <v>-9</v>
      </c>
      <c r="D1551" s="91">
        <v>69</v>
      </c>
      <c r="E1551" s="91">
        <v>-92</v>
      </c>
      <c r="F1551" s="6">
        <v>-58.64</v>
      </c>
      <c r="G1551" s="79">
        <v>2719</v>
      </c>
      <c r="H1551" s="8" t="s">
        <v>305</v>
      </c>
      <c r="I1551" s="16" t="s">
        <v>967</v>
      </c>
      <c r="J1551" s="73">
        <v>69.72</v>
      </c>
      <c r="K1551" s="73">
        <v>0.67</v>
      </c>
      <c r="L1551" s="73">
        <v>0</v>
      </c>
      <c r="N1551" s="318">
        <f t="shared" si="294"/>
        <v>70.39</v>
      </c>
      <c r="O1551" s="81" t="str">
        <f>IFERROR(VLOOKUP($G1551,'321買'!A:E,3,0),"'沒有資料'")</f>
        <v>'沒有資料'</v>
      </c>
      <c r="P1551" s="380" t="str">
        <f>IFERROR(VLOOKUP($G1551,'321買'!$A:$G,7,0),"'沒有資料'")</f>
        <v>'沒有資料'</v>
      </c>
      <c r="R1551" s="297">
        <f>IFERROR(RANK(VLOOKUP($G1551,連買!$A:$D,4,0),連買!$D:$D,0),"'沒有資料'")</f>
        <v>1408</v>
      </c>
      <c r="S1551" s="34">
        <v>0</v>
      </c>
      <c r="T1551" s="353">
        <f t="shared" si="288"/>
        <v>0</v>
      </c>
      <c r="U1551" s="95">
        <v>-4.22</v>
      </c>
      <c r="V1551" s="13">
        <f>RTD("money.excel",,"2719","Price")</f>
        <v>15.3</v>
      </c>
      <c r="W1551" s="66"/>
      <c r="X1551" s="15">
        <f t="shared" si="289"/>
        <v>15.3</v>
      </c>
      <c r="Y1551" s="3" t="e">
        <f t="shared" si="290"/>
        <v>#DIV/0!</v>
      </c>
      <c r="AA1551" s="161">
        <v>0</v>
      </c>
      <c r="AB1551" s="409">
        <v>0</v>
      </c>
      <c r="AC1551" s="259">
        <f t="shared" si="291"/>
        <v>0</v>
      </c>
      <c r="AD1551" s="16" t="s">
        <v>967</v>
      </c>
      <c r="AG1551" s="33">
        <f t="shared" si="292"/>
        <v>0</v>
      </c>
      <c r="AH1551" s="43" t="s">
        <v>2858</v>
      </c>
      <c r="AI1551" s="63">
        <f t="shared" si="293"/>
        <v>1.2861736334405144E-4</v>
      </c>
      <c r="AJ1551" s="307">
        <f>RTD("money.excel",,$G1551,"PredictVolume")</f>
        <v>4</v>
      </c>
      <c r="AK1551" s="81"/>
    </row>
    <row r="1552" spans="1:37">
      <c r="A1552" s="416">
        <v>11.1</v>
      </c>
      <c r="B1552" s="91">
        <v>86</v>
      </c>
      <c r="C1552" s="91">
        <v>74</v>
      </c>
      <c r="D1552" s="91">
        <v>-6</v>
      </c>
      <c r="E1552" s="91">
        <v>-29</v>
      </c>
      <c r="F1552" s="6">
        <v>-29.95</v>
      </c>
      <c r="G1552" s="79">
        <v>2722</v>
      </c>
      <c r="H1552" s="8" t="s">
        <v>305</v>
      </c>
      <c r="I1552" s="22" t="s">
        <v>980</v>
      </c>
      <c r="J1552" s="73">
        <v>90.86</v>
      </c>
      <c r="K1552" s="73">
        <v>7.0000000000000007E-2</v>
      </c>
      <c r="L1552" s="73">
        <v>0.08</v>
      </c>
      <c r="N1552" s="318">
        <f t="shared" si="294"/>
        <v>91.009999999999991</v>
      </c>
      <c r="O1552" s="81">
        <f>IFERROR(VLOOKUP($G1552,'321買'!A:E,3,0),"'沒有資料'")</f>
        <v>0</v>
      </c>
      <c r="P1552" s="380">
        <f>IFERROR(VLOOKUP($G1552,'321買'!$A:$G,7,0),"'沒有資料'")</f>
        <v>911</v>
      </c>
      <c r="R1552" s="297">
        <f>IFERROR(RANK(VLOOKUP($G1552,連買!$A:$D,4,0),連買!$D:$D,0),"'沒有資料'")</f>
        <v>641</v>
      </c>
      <c r="S1552" s="34">
        <v>0.5</v>
      </c>
      <c r="T1552" s="353">
        <f t="shared" si="288"/>
        <v>1.5673981191222573E-2</v>
      </c>
      <c r="U1552" s="95">
        <v>0.79</v>
      </c>
      <c r="V1552" s="13">
        <f>RTD("money.excel",,"2722","Price")</f>
        <v>31.9</v>
      </c>
      <c r="W1552" s="66"/>
      <c r="X1552" s="15">
        <f t="shared" si="289"/>
        <v>31.9</v>
      </c>
      <c r="Y1552" s="3" t="e">
        <f t="shared" si="290"/>
        <v>#DIV/0!</v>
      </c>
      <c r="AA1552" s="161">
        <v>0</v>
      </c>
      <c r="AB1552" s="409">
        <v>0</v>
      </c>
      <c r="AC1552" s="259">
        <f t="shared" si="291"/>
        <v>0</v>
      </c>
      <c r="AD1552" s="22" t="s">
        <v>980</v>
      </c>
      <c r="AG1552" s="33">
        <f t="shared" si="292"/>
        <v>0</v>
      </c>
      <c r="AH1552" s="43" t="s">
        <v>2969</v>
      </c>
      <c r="AI1552" s="63">
        <f t="shared" si="293"/>
        <v>4.5495495495495499E-3</v>
      </c>
      <c r="AJ1552" s="307">
        <f>RTD("money.excel",,$G1552,"PredictVolume")</f>
        <v>505</v>
      </c>
      <c r="AK1552" s="339"/>
    </row>
    <row r="1553" spans="1:37">
      <c r="A1553" s="416">
        <v>18</v>
      </c>
      <c r="B1553" s="79">
        <v>365</v>
      </c>
      <c r="C1553" s="79">
        <v>135</v>
      </c>
      <c r="D1553" s="79">
        <v>4</v>
      </c>
      <c r="E1553" s="79">
        <v>0</v>
      </c>
      <c r="F1553" s="6">
        <v>7.37</v>
      </c>
      <c r="G1553" s="79">
        <v>2723</v>
      </c>
      <c r="H1553" s="8" t="s">
        <v>305</v>
      </c>
      <c r="I1553" s="22" t="s">
        <v>115</v>
      </c>
      <c r="J1553" s="323">
        <v>75.31</v>
      </c>
      <c r="K1553" s="323">
        <v>61.39</v>
      </c>
      <c r="L1553" s="73">
        <v>2.68</v>
      </c>
      <c r="N1553" s="318">
        <f t="shared" si="294"/>
        <v>139.38</v>
      </c>
      <c r="O1553" s="81">
        <f>IFERROR(VLOOKUP($G1553,'321買'!A:E,3,0),"'沒有資料'")</f>
        <v>2</v>
      </c>
      <c r="P1553" s="380">
        <f>IFERROR(VLOOKUP($G1553,'321買'!$A:$G,7,0),"'沒有資料'")</f>
        <v>706</v>
      </c>
      <c r="R1553" s="297">
        <f>IFERROR(RANK(VLOOKUP($G1553,連買!$A:$D,4,0),連買!$D:$D,0),"'沒有資料'")</f>
        <v>1705</v>
      </c>
      <c r="S1553" s="66">
        <v>4</v>
      </c>
      <c r="T1553" s="353">
        <f t="shared" si="288"/>
        <v>4.2872454448017148E-2</v>
      </c>
      <c r="U1553" s="57">
        <v>6.67</v>
      </c>
      <c r="V1553" s="13">
        <f>RTD("money.excel",,"2723","Price")</f>
        <v>93.3</v>
      </c>
      <c r="W1553" s="66"/>
      <c r="X1553" s="15">
        <f t="shared" si="289"/>
        <v>93.3</v>
      </c>
      <c r="Y1553" s="3" t="e">
        <f t="shared" si="290"/>
        <v>#DIV/0!</v>
      </c>
      <c r="Z1553" s="413" t="s">
        <v>1997</v>
      </c>
      <c r="AA1553" s="161">
        <v>0</v>
      </c>
      <c r="AB1553" s="409">
        <v>0</v>
      </c>
      <c r="AC1553" s="259">
        <f t="shared" si="291"/>
        <v>0</v>
      </c>
      <c r="AD1553" s="22" t="s">
        <v>115</v>
      </c>
      <c r="AG1553" s="33">
        <f t="shared" si="292"/>
        <v>0</v>
      </c>
      <c r="AH1553" s="120" t="s">
        <v>2144</v>
      </c>
      <c r="AI1553" s="63">
        <f t="shared" si="293"/>
        <v>7.1888888888888888E-3</v>
      </c>
      <c r="AJ1553" s="307">
        <f>RTD("money.excel",,$G1553,"PredictVolume")</f>
        <v>1294</v>
      </c>
      <c r="AK1553" s="339"/>
    </row>
    <row r="1554" spans="1:37">
      <c r="A1554" s="416">
        <v>6.82</v>
      </c>
      <c r="B1554" s="91">
        <v>-337</v>
      </c>
      <c r="C1554" s="91">
        <v>-95</v>
      </c>
      <c r="D1554" s="91">
        <v>-4</v>
      </c>
      <c r="E1554" s="91">
        <v>-66</v>
      </c>
      <c r="F1554" s="6">
        <v>-52.28</v>
      </c>
      <c r="G1554" s="79">
        <v>2724</v>
      </c>
      <c r="H1554" s="8" t="s">
        <v>305</v>
      </c>
      <c r="I1554" s="16" t="s">
        <v>968</v>
      </c>
      <c r="J1554" s="73">
        <v>81.73</v>
      </c>
      <c r="K1554" s="73">
        <v>80.61</v>
      </c>
      <c r="N1554" s="318">
        <f t="shared" si="294"/>
        <v>162.34</v>
      </c>
      <c r="O1554" s="81" t="str">
        <f>IFERROR(VLOOKUP($G1554,'321買'!A:E,3,0),"'沒有資料'")</f>
        <v>'沒有資料'</v>
      </c>
      <c r="P1554" s="380" t="str">
        <f>IFERROR(VLOOKUP($G1554,'321買'!$A:$G,7,0),"'沒有資料'")</f>
        <v>'沒有資料'</v>
      </c>
      <c r="R1554" s="297">
        <f>IFERROR(RANK(VLOOKUP($G1554,連買!$A:$D,4,0),連買!$D:$D,0),"'沒有資料'")</f>
        <v>1408</v>
      </c>
      <c r="S1554" s="34">
        <v>0</v>
      </c>
      <c r="T1554" s="353">
        <f t="shared" si="288"/>
        <v>0</v>
      </c>
      <c r="U1554" s="57">
        <v>-2.21</v>
      </c>
      <c r="V1554" s="13">
        <f>RTD("money.excel",,"2724","Price")</f>
        <v>14.4</v>
      </c>
      <c r="W1554" s="66"/>
      <c r="X1554" s="15">
        <f t="shared" si="289"/>
        <v>14.4</v>
      </c>
      <c r="Y1554" s="3" t="e">
        <f t="shared" si="290"/>
        <v>#DIV/0!</v>
      </c>
      <c r="AA1554" s="161">
        <v>0</v>
      </c>
      <c r="AB1554" s="409">
        <v>0</v>
      </c>
      <c r="AC1554" s="259">
        <f t="shared" si="291"/>
        <v>0</v>
      </c>
      <c r="AD1554" s="16" t="s">
        <v>968</v>
      </c>
      <c r="AG1554" s="33">
        <f t="shared" si="292"/>
        <v>0</v>
      </c>
      <c r="AH1554" s="43" t="s">
        <v>2859</v>
      </c>
      <c r="AI1554" s="63">
        <f t="shared" si="293"/>
        <v>7.3313782991202346E-5</v>
      </c>
      <c r="AJ1554" s="307">
        <f>RTD("money.excel",,$G1554,"PredictVolume")</f>
        <v>5</v>
      </c>
      <c r="AK1554" s="339"/>
    </row>
    <row r="1555" spans="1:37">
      <c r="A1555" s="416">
        <v>3.58</v>
      </c>
      <c r="B1555" s="94">
        <v>-1442</v>
      </c>
      <c r="C1555" s="94">
        <v>-1410</v>
      </c>
      <c r="D1555" s="80">
        <v>-14</v>
      </c>
      <c r="E1555" s="80">
        <v>-39</v>
      </c>
      <c r="F1555" s="6">
        <v>-3.69</v>
      </c>
      <c r="G1555" s="79">
        <v>2726</v>
      </c>
      <c r="H1555" s="8" t="s">
        <v>305</v>
      </c>
      <c r="I1555" s="16" t="s">
        <v>969</v>
      </c>
      <c r="J1555" s="323">
        <v>47.43</v>
      </c>
      <c r="K1555" s="73">
        <v>37.840000000000003</v>
      </c>
      <c r="L1555" s="73">
        <v>11.58</v>
      </c>
      <c r="M1555" s="73">
        <v>35.67</v>
      </c>
      <c r="N1555" s="73">
        <f t="shared" si="294"/>
        <v>132.52000000000001</v>
      </c>
      <c r="O1555" s="81">
        <f>IFERROR(VLOOKUP($G1555,'321買'!A:E,3,0),"'沒有資料'")</f>
        <v>2</v>
      </c>
      <c r="P1555" s="380">
        <f>IFERROR(VLOOKUP($G1555,'321買'!$A:$G,7,0),"'沒有資料'")</f>
        <v>706</v>
      </c>
      <c r="Q1555" s="245" t="s">
        <v>3816</v>
      </c>
      <c r="R1555" s="297">
        <f>IFERROR(RANK(VLOOKUP($G1555,連買!$A:$D,4,0),連買!$D:$D,0),"'沒有資料'")</f>
        <v>1737</v>
      </c>
      <c r="S1555" s="34">
        <v>0.5</v>
      </c>
      <c r="T1555" s="353">
        <f t="shared" si="288"/>
        <v>1.7452006980802792E-2</v>
      </c>
      <c r="U1555" s="95">
        <v>0.15</v>
      </c>
      <c r="V1555" s="36">
        <f>RTD("money.excel",,"2726","Price")</f>
        <v>28.65</v>
      </c>
      <c r="W1555" s="66"/>
      <c r="X1555" s="15">
        <f t="shared" si="289"/>
        <v>28.65</v>
      </c>
      <c r="Y1555" s="3" t="e">
        <f t="shared" si="290"/>
        <v>#DIV/0!</v>
      </c>
      <c r="Z1555" s="413" t="s">
        <v>1801</v>
      </c>
      <c r="AA1555" s="161">
        <v>0</v>
      </c>
      <c r="AB1555" s="409">
        <v>0</v>
      </c>
      <c r="AC1555" s="259">
        <f t="shared" si="291"/>
        <v>0</v>
      </c>
      <c r="AD1555" s="16" t="s">
        <v>969</v>
      </c>
      <c r="AG1555" s="33">
        <f t="shared" si="292"/>
        <v>0</v>
      </c>
      <c r="AH1555" s="43" t="s">
        <v>2860</v>
      </c>
      <c r="AI1555" s="63">
        <f t="shared" si="293"/>
        <v>5.5865921787709492E-4</v>
      </c>
      <c r="AJ1555" s="307">
        <f>RTD("money.excel",,$G1555,"PredictVolume")</f>
        <v>20</v>
      </c>
      <c r="AK1555" s="339"/>
    </row>
    <row r="1556" spans="1:37">
      <c r="A1556" s="416">
        <v>7.7</v>
      </c>
      <c r="B1556" s="79">
        <v>53</v>
      </c>
      <c r="C1556" s="79">
        <v>135</v>
      </c>
      <c r="D1556" s="79">
        <v>36</v>
      </c>
      <c r="E1556" s="80">
        <v>-18</v>
      </c>
      <c r="F1556" s="6">
        <v>0.42</v>
      </c>
      <c r="G1556" s="79">
        <v>2727</v>
      </c>
      <c r="H1556" s="8" t="s">
        <v>305</v>
      </c>
      <c r="I1556" s="22" t="s">
        <v>90</v>
      </c>
      <c r="J1556" s="73">
        <v>23.68</v>
      </c>
      <c r="K1556" s="323">
        <v>7.09</v>
      </c>
      <c r="L1556" s="73">
        <v>8.07</v>
      </c>
      <c r="N1556" s="318">
        <f t="shared" si="294"/>
        <v>38.840000000000003</v>
      </c>
      <c r="O1556" s="81">
        <f>IFERROR(VLOOKUP($G1556,'321買'!A:E,3,0),"'沒有資料'")</f>
        <v>16</v>
      </c>
      <c r="P1556" s="380">
        <f>IFERROR(VLOOKUP($G1556,'321買'!$A:$G,7,0),"'沒有資料'")</f>
        <v>265</v>
      </c>
      <c r="R1556" s="297">
        <f>IFERROR(RANK(VLOOKUP($G1556,連買!$A:$D,4,0),連買!$D:$D,0),"'沒有資料'")</f>
        <v>102</v>
      </c>
      <c r="S1556" s="66">
        <v>4.3600000000000003</v>
      </c>
      <c r="T1556" s="353">
        <f t="shared" si="288"/>
        <v>3.6793248945147683E-2</v>
      </c>
      <c r="U1556" s="95">
        <v>4.76</v>
      </c>
      <c r="V1556" s="36">
        <f>RTD("money.excel",,"2727","Price")</f>
        <v>118.5</v>
      </c>
      <c r="W1556" s="66"/>
      <c r="X1556" s="15">
        <f t="shared" si="289"/>
        <v>118.5</v>
      </c>
      <c r="Y1556" s="3" t="e">
        <f t="shared" si="290"/>
        <v>#DIV/0!</v>
      </c>
      <c r="Z1556" s="413" t="s">
        <v>1997</v>
      </c>
      <c r="AA1556" s="161">
        <v>0</v>
      </c>
      <c r="AB1556" s="409">
        <v>0</v>
      </c>
      <c r="AC1556" s="259">
        <f t="shared" si="291"/>
        <v>0</v>
      </c>
      <c r="AD1556" s="22" t="s">
        <v>90</v>
      </c>
      <c r="AG1556" s="33">
        <f t="shared" si="292"/>
        <v>0</v>
      </c>
      <c r="AH1556" s="120" t="s">
        <v>2857</v>
      </c>
      <c r="AI1556" s="63">
        <f t="shared" si="293"/>
        <v>2.4935064935064934E-3</v>
      </c>
      <c r="AJ1556" s="307">
        <f>RTD("money.excel",,$G1556,"PredictVolume")</f>
        <v>192</v>
      </c>
      <c r="AK1556" s="339"/>
    </row>
    <row r="1557" spans="1:37">
      <c r="A1557" s="415">
        <v>2.33</v>
      </c>
      <c r="B1557" s="80">
        <v>-20</v>
      </c>
      <c r="C1557" s="80">
        <v>-13</v>
      </c>
      <c r="D1557" s="79">
        <v>40</v>
      </c>
      <c r="E1557" s="79">
        <v>70</v>
      </c>
      <c r="F1557" s="57">
        <v>10.35</v>
      </c>
      <c r="G1557" s="79">
        <v>2729</v>
      </c>
      <c r="H1557" s="8" t="s">
        <v>305</v>
      </c>
      <c r="I1557" s="16" t="s">
        <v>4957</v>
      </c>
      <c r="J1557" s="73">
        <v>66.56</v>
      </c>
      <c r="K1557" s="323">
        <v>6.9</v>
      </c>
      <c r="L1557" s="323"/>
      <c r="N1557" s="318">
        <f t="shared" si="294"/>
        <v>73.460000000000008</v>
      </c>
      <c r="O1557" s="81" t="str">
        <f>IFERROR(VLOOKUP($G1557,'321買'!A:E,3,0),"'沒有資料'")</f>
        <v>'沒有資料'</v>
      </c>
      <c r="P1557" s="380" t="str">
        <f>IFERROR(VLOOKUP($G1557,'321買'!$A:$G,7,0),"'沒有資料'")</f>
        <v>'沒有資料'</v>
      </c>
      <c r="R1557" s="297">
        <f>IFERROR(RANK(VLOOKUP($G1557,連買!$A:$D,4,0),連買!$D:$D,0),"'沒有資料'")</f>
        <v>1650</v>
      </c>
      <c r="S1557" s="66">
        <v>14.5</v>
      </c>
      <c r="T1557" s="353">
        <f t="shared" si="288"/>
        <v>6.4876957494407153E-2</v>
      </c>
      <c r="U1557" s="57">
        <v>15.91</v>
      </c>
      <c r="V1557" s="36">
        <f>RTD("money.excel",,"2729","Price")</f>
        <v>223.5</v>
      </c>
      <c r="W1557" s="66"/>
      <c r="X1557" s="15">
        <f t="shared" si="289"/>
        <v>223.5</v>
      </c>
      <c r="Y1557" s="3" t="e">
        <f t="shared" si="290"/>
        <v>#DIV/0!</v>
      </c>
      <c r="Z1557" s="413" t="s">
        <v>1997</v>
      </c>
      <c r="AA1557" s="161">
        <v>0</v>
      </c>
      <c r="AB1557" s="409">
        <v>0</v>
      </c>
      <c r="AC1557" s="259">
        <f t="shared" si="291"/>
        <v>0</v>
      </c>
      <c r="AD1557" s="16" t="s">
        <v>4957</v>
      </c>
      <c r="AG1557" s="33">
        <f t="shared" si="292"/>
        <v>0</v>
      </c>
      <c r="AH1557" s="120" t="s">
        <v>2072</v>
      </c>
      <c r="AI1557" s="63">
        <f t="shared" si="293"/>
        <v>6.0085836909871244E-4</v>
      </c>
      <c r="AJ1557" s="307">
        <f>RTD("money.excel",,$G1557,"PredictVolume")</f>
        <v>14</v>
      </c>
      <c r="AK1557" s="339"/>
    </row>
    <row r="1558" spans="1:37">
      <c r="A1558" s="416">
        <v>7.26</v>
      </c>
      <c r="B1558" s="80">
        <v>-271</v>
      </c>
      <c r="C1558" s="80">
        <v>-823</v>
      </c>
      <c r="D1558" s="79">
        <v>18</v>
      </c>
      <c r="E1558" s="80">
        <v>-44</v>
      </c>
      <c r="F1558" s="6">
        <v>-14.64</v>
      </c>
      <c r="G1558" s="79">
        <v>2731</v>
      </c>
      <c r="H1558" s="8" t="s">
        <v>305</v>
      </c>
      <c r="I1558" s="22" t="s">
        <v>981</v>
      </c>
      <c r="J1558" s="323">
        <v>57.14</v>
      </c>
      <c r="K1558" s="73">
        <v>1.1000000000000001</v>
      </c>
      <c r="L1558" s="73">
        <v>4.7300000000000004</v>
      </c>
      <c r="N1558" s="318">
        <f t="shared" si="294"/>
        <v>62.97</v>
      </c>
      <c r="O1558" s="81">
        <f>IFERROR(VLOOKUP($G1558,'321買'!A:E,3,0),"'沒有資料'")</f>
        <v>3</v>
      </c>
      <c r="P1558" s="380">
        <f>IFERROR(VLOOKUP($G1558,'321買'!$A:$G,7,0),"'沒有資料'")</f>
        <v>636</v>
      </c>
      <c r="R1558" s="297">
        <f>IFERROR(RANK(VLOOKUP($G1558,連買!$A:$D,4,0),連買!$D:$D,0),"'沒有資料'")</f>
        <v>206</v>
      </c>
      <c r="S1558" s="34">
        <v>0</v>
      </c>
      <c r="T1558" s="353">
        <f t="shared" si="288"/>
        <v>0</v>
      </c>
      <c r="U1558" s="57">
        <v>-5.9</v>
      </c>
      <c r="V1558" s="36">
        <f>RTD("money.excel",,"2731","Price")</f>
        <v>98.2</v>
      </c>
      <c r="W1558" s="66"/>
      <c r="X1558" s="15">
        <f t="shared" si="289"/>
        <v>98.2</v>
      </c>
      <c r="Y1558" s="3" t="e">
        <f t="shared" si="290"/>
        <v>#DIV/0!</v>
      </c>
      <c r="Z1558" s="413" t="s">
        <v>1801</v>
      </c>
      <c r="AA1558" s="161">
        <v>0</v>
      </c>
      <c r="AB1558" s="409">
        <v>0</v>
      </c>
      <c r="AC1558" s="259">
        <f t="shared" si="291"/>
        <v>0</v>
      </c>
      <c r="AD1558" s="22" t="s">
        <v>981</v>
      </c>
      <c r="AG1558" s="33">
        <f t="shared" si="292"/>
        <v>0</v>
      </c>
      <c r="AH1558" s="43" t="s">
        <v>1555</v>
      </c>
      <c r="AI1558" s="63">
        <f t="shared" si="293"/>
        <v>0.25403581267217629</v>
      </c>
      <c r="AJ1558" s="307">
        <f>RTD("money.excel",,$G1558,"PredictVolume")</f>
        <v>18443</v>
      </c>
      <c r="AK1558" s="339"/>
    </row>
    <row r="1559" spans="1:37">
      <c r="A1559" s="416">
        <v>4.3499999999999996</v>
      </c>
      <c r="B1559" s="79">
        <v>22</v>
      </c>
      <c r="C1559" s="79">
        <v>3</v>
      </c>
      <c r="D1559" s="79">
        <v>4</v>
      </c>
      <c r="E1559" s="80">
        <v>-28</v>
      </c>
      <c r="F1559" s="6">
        <v>3.37</v>
      </c>
      <c r="G1559" s="79">
        <v>2732</v>
      </c>
      <c r="H1559" s="8" t="s">
        <v>305</v>
      </c>
      <c r="I1559" s="16" t="s">
        <v>77</v>
      </c>
      <c r="J1559" s="323">
        <v>40.130000000000003</v>
      </c>
      <c r="K1559" s="73">
        <v>7.42</v>
      </c>
      <c r="L1559" s="323">
        <v>4.3</v>
      </c>
      <c r="N1559" s="318">
        <f t="shared" si="294"/>
        <v>51.85</v>
      </c>
      <c r="O1559" s="81">
        <f>IFERROR(VLOOKUP($G1559,'321買'!A:E,3,0),"'沒有資料'")</f>
        <v>6</v>
      </c>
      <c r="P1559" s="380">
        <f>IFERROR(VLOOKUP($G1559,'321買'!$A:$G,7,0),"'沒有資料'")</f>
        <v>521</v>
      </c>
      <c r="R1559" s="297">
        <f>IFERROR(RANK(VLOOKUP($G1559,連買!$A:$D,4,0),連買!$D:$D,0),"'沒有資料'")</f>
        <v>172</v>
      </c>
      <c r="S1559" s="34">
        <v>2.98</v>
      </c>
      <c r="T1559" s="353">
        <f t="shared" si="288"/>
        <v>2.8246445497630331E-2</v>
      </c>
      <c r="U1559" s="95">
        <v>3.47</v>
      </c>
      <c r="V1559" s="36">
        <f>RTD("money.excel",,"2732","Price")</f>
        <v>105.5</v>
      </c>
      <c r="W1559" s="66"/>
      <c r="X1559" s="15">
        <f t="shared" si="289"/>
        <v>105.5</v>
      </c>
      <c r="Y1559" s="3" t="e">
        <f t="shared" si="290"/>
        <v>#DIV/0!</v>
      </c>
      <c r="Z1559" s="413" t="s">
        <v>1801</v>
      </c>
      <c r="AA1559" s="161">
        <v>0</v>
      </c>
      <c r="AB1559" s="409">
        <v>0</v>
      </c>
      <c r="AC1559" s="259">
        <f t="shared" si="291"/>
        <v>0</v>
      </c>
      <c r="AD1559" s="16" t="s">
        <v>77</v>
      </c>
      <c r="AG1559" s="33">
        <f t="shared" si="292"/>
        <v>0</v>
      </c>
      <c r="AH1559" s="120" t="s">
        <v>3117</v>
      </c>
      <c r="AI1559" s="63">
        <f t="shared" si="293"/>
        <v>1.6321839080459771E-3</v>
      </c>
      <c r="AJ1559" s="307">
        <f>RTD("money.excel",,$G1559,"PredictVolume")</f>
        <v>71</v>
      </c>
      <c r="AK1559" s="339"/>
    </row>
    <row r="1560" spans="1:37">
      <c r="A1560" s="416">
        <v>3.73</v>
      </c>
      <c r="B1560" s="79">
        <v>59</v>
      </c>
      <c r="C1560" s="79">
        <v>31</v>
      </c>
      <c r="D1560" s="79">
        <v>2</v>
      </c>
      <c r="E1560" s="80">
        <v>-82</v>
      </c>
      <c r="F1560" s="6">
        <v>-31.91</v>
      </c>
      <c r="G1560" s="79">
        <v>2734</v>
      </c>
      <c r="H1560" s="8" t="s">
        <v>305</v>
      </c>
      <c r="I1560" s="16" t="s">
        <v>970</v>
      </c>
      <c r="J1560" s="323">
        <v>41.05</v>
      </c>
      <c r="K1560" s="323">
        <v>9.2799999999999994</v>
      </c>
      <c r="L1560" s="323"/>
      <c r="N1560" s="318">
        <f t="shared" si="294"/>
        <v>50.33</v>
      </c>
      <c r="O1560" s="81">
        <f>IFERROR(VLOOKUP($G1560,'321買'!A:E,3,0),"'沒有資料'")</f>
        <v>1</v>
      </c>
      <c r="P1560" s="380">
        <f>IFERROR(VLOOKUP($G1560,'321買'!$A:$G,7,0),"'沒有資料'")</f>
        <v>783</v>
      </c>
      <c r="R1560" s="297">
        <f>IFERROR(RANK(VLOOKUP($G1560,連買!$A:$D,4,0),連買!$D:$D,0),"'沒有資料'")</f>
        <v>905</v>
      </c>
      <c r="S1560" s="34">
        <v>0</v>
      </c>
      <c r="T1560" s="353">
        <f t="shared" si="288"/>
        <v>0</v>
      </c>
      <c r="U1560" s="57">
        <v>-1.44</v>
      </c>
      <c r="V1560" s="36">
        <f>RTD("money.excel",,"2734","Price")</f>
        <v>31.5</v>
      </c>
      <c r="W1560" s="66"/>
      <c r="X1560" s="15">
        <f t="shared" si="289"/>
        <v>31.5</v>
      </c>
      <c r="Y1560" s="3" t="e">
        <f t="shared" si="290"/>
        <v>#DIV/0!</v>
      </c>
      <c r="AA1560" s="161">
        <v>0</v>
      </c>
      <c r="AB1560" s="409">
        <v>0</v>
      </c>
      <c r="AC1560" s="259">
        <f t="shared" si="291"/>
        <v>0</v>
      </c>
      <c r="AD1560" s="16" t="s">
        <v>970</v>
      </c>
      <c r="AG1560" s="33">
        <f t="shared" si="292"/>
        <v>0</v>
      </c>
      <c r="AH1560" s="43" t="s">
        <v>2861</v>
      </c>
      <c r="AI1560" s="63">
        <f t="shared" si="293"/>
        <v>8.013404825737265E-2</v>
      </c>
      <c r="AJ1560" s="307">
        <f>RTD("money.excel",,$G1560,"PredictVolume")</f>
        <v>2989</v>
      </c>
      <c r="AK1560" s="339"/>
    </row>
    <row r="1561" spans="1:37">
      <c r="A1561" s="416">
        <v>4.9000000000000004</v>
      </c>
      <c r="B1561" s="91">
        <v>21</v>
      </c>
      <c r="C1561" s="91">
        <v>85</v>
      </c>
      <c r="D1561" s="91">
        <v>-7</v>
      </c>
      <c r="E1561" s="91">
        <v>-4</v>
      </c>
      <c r="F1561" s="6">
        <v>-7.47</v>
      </c>
      <c r="G1561" s="79">
        <v>2736</v>
      </c>
      <c r="H1561" s="8" t="s">
        <v>305</v>
      </c>
      <c r="I1561" s="16" t="s">
        <v>971</v>
      </c>
      <c r="J1561" s="73">
        <v>63.35</v>
      </c>
      <c r="K1561" s="73">
        <v>0</v>
      </c>
      <c r="L1561" s="73">
        <v>3.79</v>
      </c>
      <c r="N1561" s="318">
        <f t="shared" si="294"/>
        <v>67.14</v>
      </c>
      <c r="O1561" s="81">
        <f>IFERROR(VLOOKUP($G1561,'321買'!A:E,3,0),"'沒有資料'")</f>
        <v>0</v>
      </c>
      <c r="P1561" s="380">
        <f>IFERROR(VLOOKUP($G1561,'321買'!$A:$G,7,0),"'沒有資料'")</f>
        <v>911</v>
      </c>
      <c r="R1561" s="297">
        <f>IFERROR(RANK(VLOOKUP($G1561,連買!$A:$D,4,0),連買!$D:$D,0),"'沒有資料'")</f>
        <v>1129</v>
      </c>
      <c r="S1561" s="34">
        <v>0.2</v>
      </c>
      <c r="T1561" s="353">
        <f t="shared" si="288"/>
        <v>1.2121212121212121E-2</v>
      </c>
      <c r="U1561" s="95">
        <v>0.18</v>
      </c>
      <c r="V1561" s="13">
        <f>RTD("money.excel",,"2736","Price")</f>
        <v>16.5</v>
      </c>
      <c r="W1561" s="66"/>
      <c r="X1561" s="15">
        <f t="shared" si="289"/>
        <v>16.5</v>
      </c>
      <c r="Y1561" s="35" t="e">
        <f t="shared" si="290"/>
        <v>#DIV/0!</v>
      </c>
      <c r="AA1561" s="161">
        <v>0</v>
      </c>
      <c r="AB1561" s="409">
        <v>0</v>
      </c>
      <c r="AC1561" s="259">
        <f t="shared" si="291"/>
        <v>0</v>
      </c>
      <c r="AD1561" s="16" t="s">
        <v>971</v>
      </c>
      <c r="AG1561" s="33">
        <f t="shared" si="292"/>
        <v>0</v>
      </c>
      <c r="AH1561" s="43" t="s">
        <v>2862</v>
      </c>
      <c r="AI1561" s="63">
        <f t="shared" si="293"/>
        <v>4.5448979591836733E-2</v>
      </c>
      <c r="AJ1561" s="307">
        <f>RTD("money.excel",,$G1561,"PredictVolume")</f>
        <v>2227</v>
      </c>
      <c r="AK1561" s="81"/>
    </row>
    <row r="1562" spans="1:37">
      <c r="A1562" s="416">
        <v>11.1</v>
      </c>
      <c r="B1562" s="206">
        <v>-4339</v>
      </c>
      <c r="C1562" s="91">
        <v>-322</v>
      </c>
      <c r="D1562" s="91">
        <v>-10</v>
      </c>
      <c r="E1562" s="91">
        <v>-33</v>
      </c>
      <c r="F1562" s="6">
        <v>-17.239999999999998</v>
      </c>
      <c r="G1562" s="79">
        <v>2739</v>
      </c>
      <c r="H1562" s="8" t="s">
        <v>305</v>
      </c>
      <c r="I1562" s="22" t="s">
        <v>982</v>
      </c>
      <c r="J1562" s="73">
        <v>84.73</v>
      </c>
      <c r="K1562" s="73">
        <v>3.11</v>
      </c>
      <c r="L1562" s="73">
        <v>3.01</v>
      </c>
      <c r="N1562" s="318">
        <f t="shared" si="294"/>
        <v>90.850000000000009</v>
      </c>
      <c r="O1562" s="81">
        <f>IFERROR(VLOOKUP($G1562,'321買'!A:E,3,0),"'沒有資料'")</f>
        <v>0</v>
      </c>
      <c r="P1562" s="380">
        <f>IFERROR(VLOOKUP($G1562,'321買'!$A:$G,7,0),"'沒有資料'")</f>
        <v>911</v>
      </c>
      <c r="R1562" s="297">
        <f>IFERROR(RANK(VLOOKUP($G1562,連買!$A:$D,4,0),連買!$D:$D,0),"'沒有資料'")</f>
        <v>1049</v>
      </c>
      <c r="S1562" s="34">
        <v>0</v>
      </c>
      <c r="T1562" s="353">
        <f t="shared" si="288"/>
        <v>0</v>
      </c>
      <c r="U1562" s="95">
        <v>-3.15</v>
      </c>
      <c r="V1562" s="13">
        <f>RTD("money.excel",,"2739","Price")</f>
        <v>22.55</v>
      </c>
      <c r="W1562" s="66"/>
      <c r="X1562" s="15">
        <f t="shared" si="289"/>
        <v>22.55</v>
      </c>
      <c r="Y1562" s="3" t="e">
        <f t="shared" si="290"/>
        <v>#DIV/0!</v>
      </c>
      <c r="AA1562" s="161">
        <v>0</v>
      </c>
      <c r="AB1562" s="409">
        <v>0</v>
      </c>
      <c r="AC1562" s="259">
        <f t="shared" si="291"/>
        <v>0</v>
      </c>
      <c r="AD1562" s="22" t="s">
        <v>982</v>
      </c>
      <c r="AG1562" s="33">
        <f t="shared" si="292"/>
        <v>0</v>
      </c>
      <c r="AH1562" s="43" t="s">
        <v>2866</v>
      </c>
      <c r="AI1562" s="63">
        <f t="shared" si="293"/>
        <v>3.4234234234234234E-4</v>
      </c>
      <c r="AJ1562" s="307">
        <f>RTD("money.excel",,$G1562,"PredictVolume")</f>
        <v>38</v>
      </c>
      <c r="AK1562" s="106"/>
    </row>
    <row r="1563" spans="1:37">
      <c r="A1563" s="416">
        <v>1.32</v>
      </c>
      <c r="B1563" s="91">
        <v>55</v>
      </c>
      <c r="C1563" s="91">
        <v>41</v>
      </c>
      <c r="D1563" s="91">
        <v>-5</v>
      </c>
      <c r="E1563" s="91">
        <v>-21</v>
      </c>
      <c r="F1563" s="6">
        <v>-29.99</v>
      </c>
      <c r="G1563" s="79">
        <v>2740</v>
      </c>
      <c r="H1563" s="8" t="s">
        <v>305</v>
      </c>
      <c r="I1563" s="16" t="s">
        <v>972</v>
      </c>
      <c r="J1563" s="73">
        <v>51</v>
      </c>
      <c r="K1563" s="73">
        <v>8.51</v>
      </c>
      <c r="N1563" s="318">
        <f t="shared" si="294"/>
        <v>59.51</v>
      </c>
      <c r="O1563" s="81" t="str">
        <f>IFERROR(VLOOKUP($G1563,'321買'!A:E,3,0),"'沒有資料'")</f>
        <v>'沒有資料'</v>
      </c>
      <c r="P1563" s="380" t="str">
        <f>IFERROR(VLOOKUP($G1563,'321買'!$A:$G,7,0),"'沒有資料'")</f>
        <v>'沒有資料'</v>
      </c>
      <c r="R1563" s="297">
        <f>IFERROR(RANK(VLOOKUP($G1563,連買!$A:$D,4,0),連買!$D:$D,0),"'沒有資料'")</f>
        <v>1408</v>
      </c>
      <c r="S1563" s="34">
        <v>0</v>
      </c>
      <c r="T1563" s="353" t="e">
        <f t="shared" si="288"/>
        <v>#VALUE!</v>
      </c>
      <c r="U1563" s="95">
        <v>-3.43</v>
      </c>
      <c r="V1563" s="13" t="str">
        <f>RTD("money.excel",,"2740","Price")</f>
        <v>無資料</v>
      </c>
      <c r="W1563" s="66"/>
      <c r="X1563" s="15" t="e">
        <f t="shared" si="289"/>
        <v>#VALUE!</v>
      </c>
      <c r="Y1563" s="35" t="e">
        <f t="shared" si="290"/>
        <v>#VALUE!</v>
      </c>
      <c r="AA1563" s="161">
        <v>0</v>
      </c>
      <c r="AB1563" s="409">
        <v>0</v>
      </c>
      <c r="AC1563" s="259">
        <f t="shared" si="291"/>
        <v>0</v>
      </c>
      <c r="AD1563" s="16" t="s">
        <v>972</v>
      </c>
      <c r="AG1563" s="33">
        <f t="shared" si="292"/>
        <v>0</v>
      </c>
      <c r="AH1563" s="43" t="s">
        <v>2863</v>
      </c>
      <c r="AI1563" s="63">
        <f t="shared" si="293"/>
        <v>0</v>
      </c>
      <c r="AJ1563" s="307">
        <f>RTD("money.excel",,$G1563,"PredictVolume")</f>
        <v>0</v>
      </c>
      <c r="AK1563" s="339"/>
    </row>
    <row r="1564" spans="1:37">
      <c r="A1564" s="416">
        <v>3.2</v>
      </c>
      <c r="B1564" s="79">
        <v>-191</v>
      </c>
      <c r="C1564" s="79">
        <v>-311</v>
      </c>
      <c r="D1564" s="80">
        <v>-60</v>
      </c>
      <c r="E1564" s="80">
        <v>-94</v>
      </c>
      <c r="F1564" s="6">
        <v>-12.65</v>
      </c>
      <c r="G1564" s="79">
        <v>2743</v>
      </c>
      <c r="H1564" s="149" t="s">
        <v>305</v>
      </c>
      <c r="I1564" s="16" t="s">
        <v>1906</v>
      </c>
      <c r="J1564" s="73">
        <v>69.28</v>
      </c>
      <c r="K1564" s="73">
        <v>1.87</v>
      </c>
      <c r="L1564" s="323"/>
      <c r="N1564" s="318">
        <f t="shared" si="294"/>
        <v>71.150000000000006</v>
      </c>
      <c r="O1564" s="81">
        <f>IFERROR(VLOOKUP($G1564,'321買'!A:E,3,0),"'沒有資料'")</f>
        <v>13</v>
      </c>
      <c r="P1564" s="380">
        <f>IFERROR(VLOOKUP($G1564,'321買'!$A:$G,7,0),"'沒有資料'")</f>
        <v>368</v>
      </c>
      <c r="R1564" s="297">
        <f>IFERROR(RANK(VLOOKUP($G1564,連買!$A:$D,4,0),連買!$D:$D,0),"'沒有資料'")</f>
        <v>873</v>
      </c>
      <c r="S1564" s="34">
        <v>0</v>
      </c>
      <c r="T1564" s="353">
        <f t="shared" si="288"/>
        <v>0</v>
      </c>
      <c r="U1564" s="57">
        <v>-1.25</v>
      </c>
      <c r="V1564" s="36">
        <f>RTD("money.excel",,"2743","Price")</f>
        <v>58.3</v>
      </c>
      <c r="W1564" s="66"/>
      <c r="X1564" s="15">
        <f t="shared" si="289"/>
        <v>58.3</v>
      </c>
      <c r="Y1564" s="35" t="e">
        <f t="shared" si="290"/>
        <v>#DIV/0!</v>
      </c>
      <c r="AA1564" s="161">
        <v>0</v>
      </c>
      <c r="AB1564" s="409">
        <v>0</v>
      </c>
      <c r="AC1564" s="259">
        <f t="shared" si="291"/>
        <v>0</v>
      </c>
      <c r="AD1564" s="16" t="s">
        <v>1906</v>
      </c>
      <c r="AG1564" s="33">
        <f t="shared" si="292"/>
        <v>0</v>
      </c>
      <c r="AH1564" s="43" t="s">
        <v>1555</v>
      </c>
      <c r="AI1564" s="63">
        <f t="shared" si="293"/>
        <v>5.1468750000000001E-2</v>
      </c>
      <c r="AJ1564" s="307">
        <f>RTD("money.excel",,$G1564,"PredictVolume")</f>
        <v>1647</v>
      </c>
      <c r="AK1564" s="339"/>
    </row>
    <row r="1565" spans="1:37">
      <c r="A1565" s="416">
        <v>2.93</v>
      </c>
      <c r="B1565" s="91">
        <v>-191</v>
      </c>
      <c r="C1565" s="91">
        <v>-280</v>
      </c>
      <c r="D1565" s="91">
        <v>-44</v>
      </c>
      <c r="E1565" s="91">
        <v>-97</v>
      </c>
      <c r="F1565" s="6">
        <v>-13.06</v>
      </c>
      <c r="G1565" s="79">
        <v>2745</v>
      </c>
      <c r="H1565" s="8" t="s">
        <v>305</v>
      </c>
      <c r="I1565" s="16" t="s">
        <v>973</v>
      </c>
      <c r="J1565" s="73">
        <v>70.319999999999993</v>
      </c>
      <c r="K1565" s="73">
        <v>0</v>
      </c>
      <c r="N1565" s="318">
        <f t="shared" si="294"/>
        <v>70.319999999999993</v>
      </c>
      <c r="O1565" s="81" t="str">
        <f>IFERROR(VLOOKUP($G1565,'321買'!A:E,3,0),"'沒有資料'")</f>
        <v>'沒有資料'</v>
      </c>
      <c r="P1565" s="380" t="str">
        <f>IFERROR(VLOOKUP($G1565,'321買'!$A:$G,7,0),"'沒有資料'")</f>
        <v>'沒有資料'</v>
      </c>
      <c r="R1565" s="297">
        <f>IFERROR(RANK(VLOOKUP($G1565,連買!$A:$D,4,0),連買!$D:$D,0),"'沒有資料'")</f>
        <v>1131</v>
      </c>
      <c r="S1565" s="34">
        <v>0</v>
      </c>
      <c r="T1565" s="353">
        <f t="shared" si="288"/>
        <v>0</v>
      </c>
      <c r="U1565" s="95">
        <v>-2.89</v>
      </c>
      <c r="V1565" s="13">
        <f>RTD("money.excel",,"2745","Price")</f>
        <v>40.299999999999997</v>
      </c>
      <c r="W1565" s="66"/>
      <c r="X1565" s="15">
        <f t="shared" si="289"/>
        <v>40.299999999999997</v>
      </c>
      <c r="Y1565" s="35" t="e">
        <f t="shared" si="290"/>
        <v>#DIV/0!</v>
      </c>
      <c r="Z1565" s="413" t="s">
        <v>1801</v>
      </c>
      <c r="AA1565" s="161">
        <v>0</v>
      </c>
      <c r="AB1565" s="409">
        <v>0</v>
      </c>
      <c r="AC1565" s="259">
        <f t="shared" si="291"/>
        <v>0</v>
      </c>
      <c r="AD1565" s="16" t="s">
        <v>973</v>
      </c>
      <c r="AG1565" s="33">
        <f t="shared" si="292"/>
        <v>0</v>
      </c>
      <c r="AH1565" s="43" t="s">
        <v>1555</v>
      </c>
      <c r="AI1565" s="63">
        <f t="shared" si="293"/>
        <v>6.0443686006825939E-2</v>
      </c>
      <c r="AJ1565" s="307">
        <f>RTD("money.excel",,$G1565,"PredictVolume")</f>
        <v>1771</v>
      </c>
      <c r="AK1565" s="339"/>
    </row>
    <row r="1566" spans="1:37">
      <c r="A1566" s="416">
        <v>9.0500000000000007</v>
      </c>
      <c r="B1566" s="80">
        <v>-385</v>
      </c>
      <c r="C1566" s="94">
        <v>-1255</v>
      </c>
      <c r="D1566" s="79">
        <v>17</v>
      </c>
      <c r="E1566" s="80">
        <v>-18</v>
      </c>
      <c r="F1566" s="6">
        <v>-14.89</v>
      </c>
      <c r="G1566" s="79">
        <v>2748</v>
      </c>
      <c r="H1566" s="8" t="s">
        <v>305</v>
      </c>
      <c r="I1566" s="22" t="s">
        <v>983</v>
      </c>
      <c r="J1566" s="323">
        <v>68.44</v>
      </c>
      <c r="K1566" s="323">
        <v>0.31</v>
      </c>
      <c r="L1566" s="73">
        <v>1.23</v>
      </c>
      <c r="M1566" s="323">
        <v>69.540000000000006</v>
      </c>
      <c r="N1566" s="73">
        <f>K1566+J1566+L1566+M1566</f>
        <v>139.52000000000001</v>
      </c>
      <c r="O1566" s="81">
        <f>IFERROR(VLOOKUP($G1566,'321買'!A:E,3,0),"'沒有資料'")</f>
        <v>0</v>
      </c>
      <c r="P1566" s="380">
        <f>IFERROR(VLOOKUP($G1566,'321買'!$A:$G,7,0),"'沒有資料'")</f>
        <v>911</v>
      </c>
      <c r="Q1566" s="245" t="s">
        <v>3816</v>
      </c>
      <c r="R1566" s="297">
        <f>IFERROR(RANK(VLOOKUP($G1566,連買!$A:$D,4,0),連買!$D:$D,0),"'沒有資料'")</f>
        <v>547</v>
      </c>
      <c r="S1566" s="34">
        <v>1</v>
      </c>
      <c r="T1566" s="353">
        <f t="shared" si="288"/>
        <v>2.4242424242424242E-2</v>
      </c>
      <c r="U1566" s="57">
        <v>-0.36</v>
      </c>
      <c r="V1566" s="36">
        <f>RTD("money.excel",,"2748","Price")</f>
        <v>41.25</v>
      </c>
      <c r="W1566" s="66"/>
      <c r="X1566" s="15">
        <f t="shared" si="289"/>
        <v>41.25</v>
      </c>
      <c r="Y1566" s="3" t="e">
        <f t="shared" si="290"/>
        <v>#DIV/0!</v>
      </c>
      <c r="AA1566" s="161">
        <v>0</v>
      </c>
      <c r="AB1566" s="409">
        <v>0</v>
      </c>
      <c r="AC1566" s="259">
        <f t="shared" si="291"/>
        <v>0</v>
      </c>
      <c r="AD1566" s="22" t="s">
        <v>983</v>
      </c>
      <c r="AG1566" s="33">
        <f t="shared" si="292"/>
        <v>0</v>
      </c>
      <c r="AH1566" s="43" t="s">
        <v>3813</v>
      </c>
      <c r="AI1566" s="63">
        <f t="shared" si="293"/>
        <v>2.1325966850828729E-3</v>
      </c>
      <c r="AJ1566" s="307">
        <f>RTD("money.excel",,$G1566,"PredictVolume")</f>
        <v>193</v>
      </c>
      <c r="AK1566" s="339"/>
    </row>
    <row r="1567" spans="1:37">
      <c r="A1567" s="416">
        <v>2.2999999999999998</v>
      </c>
      <c r="B1567" s="80">
        <v>-61</v>
      </c>
      <c r="C1567" s="80">
        <v>-72</v>
      </c>
      <c r="D1567" s="79">
        <v>8</v>
      </c>
      <c r="E1567" s="79">
        <v>18</v>
      </c>
      <c r="F1567" s="6">
        <v>4.2</v>
      </c>
      <c r="G1567" s="79">
        <v>2752</v>
      </c>
      <c r="H1567" s="8" t="s">
        <v>305</v>
      </c>
      <c r="I1567" s="16" t="s">
        <v>1770</v>
      </c>
      <c r="J1567" s="73">
        <v>37.799999999999997</v>
      </c>
      <c r="K1567" s="73">
        <v>3.64</v>
      </c>
      <c r="M1567" s="73">
        <v>29.91</v>
      </c>
      <c r="N1567" s="318">
        <f>J1567+K1567+L1567+M1567</f>
        <v>71.349999999999994</v>
      </c>
      <c r="O1567" s="81" t="str">
        <f>IFERROR(VLOOKUP($G1567,'321買'!A:E,3,0),"'沒有資料'")</f>
        <v>'沒有資料'</v>
      </c>
      <c r="P1567" s="380" t="str">
        <f>IFERROR(VLOOKUP($G1567,'321買'!$A:$G,7,0),"'沒有資料'")</f>
        <v>'沒有資料'</v>
      </c>
      <c r="Q1567" s="245" t="s">
        <v>5077</v>
      </c>
      <c r="R1567" s="297">
        <f>IFERROR(RANK(VLOOKUP($G1567,連買!$A:$D,4,0),連買!$D:$D,0),"'沒有資料'")</f>
        <v>1594</v>
      </c>
      <c r="S1567" s="66">
        <v>9</v>
      </c>
      <c r="T1567" s="353">
        <f t="shared" si="288"/>
        <v>5.8823529411764705E-2</v>
      </c>
      <c r="U1567" s="95">
        <v>5.43</v>
      </c>
      <c r="V1567" s="36">
        <f>RTD("money.excel",,"2752","Price")</f>
        <v>153</v>
      </c>
      <c r="W1567" s="66"/>
      <c r="X1567" s="15">
        <f t="shared" si="289"/>
        <v>153</v>
      </c>
      <c r="Y1567" s="3" t="e">
        <f t="shared" si="290"/>
        <v>#DIV/0!</v>
      </c>
      <c r="Z1567" s="413" t="s">
        <v>1997</v>
      </c>
      <c r="AA1567" s="161">
        <v>0</v>
      </c>
      <c r="AB1567" s="409">
        <v>0</v>
      </c>
      <c r="AC1567" s="259">
        <f t="shared" si="291"/>
        <v>0</v>
      </c>
      <c r="AD1567" s="16" t="s">
        <v>1770</v>
      </c>
      <c r="AG1567" s="33">
        <f t="shared" si="292"/>
        <v>0</v>
      </c>
      <c r="AH1567" s="43" t="s">
        <v>2864</v>
      </c>
      <c r="AI1567" s="63">
        <f t="shared" si="293"/>
        <v>4.347826086956522E-5</v>
      </c>
      <c r="AJ1567" s="307">
        <f>RTD("money.excel",,$G1567,"PredictVolume")</f>
        <v>1</v>
      </c>
      <c r="AK1567" s="339">
        <v>2.98</v>
      </c>
    </row>
    <row r="1568" spans="1:37">
      <c r="A1568" s="415">
        <v>6.6</v>
      </c>
      <c r="B1568" s="80">
        <v>-17</v>
      </c>
      <c r="C1568" s="80">
        <v>-14</v>
      </c>
      <c r="D1568" s="80">
        <v>-14</v>
      </c>
      <c r="E1568" s="79">
        <v>11</v>
      </c>
      <c r="F1568" s="57">
        <v>10.97</v>
      </c>
      <c r="G1568" s="79">
        <v>2753</v>
      </c>
      <c r="H1568" s="8" t="s">
        <v>305</v>
      </c>
      <c r="I1568" s="22" t="s">
        <v>3660</v>
      </c>
      <c r="J1568" s="323">
        <v>55.01</v>
      </c>
      <c r="K1568" s="73">
        <v>1.63</v>
      </c>
      <c r="L1568" s="73">
        <v>5.16</v>
      </c>
      <c r="M1568" s="323">
        <v>30.28</v>
      </c>
      <c r="N1568" s="318">
        <f t="shared" ref="N1568" si="295">J1568+K1568+L1568+M1568</f>
        <v>92.08</v>
      </c>
      <c r="O1568" s="81">
        <f>IFERROR(VLOOKUP($G1568,'321買'!A:E,3,0),"'沒有資料'")</f>
        <v>1</v>
      </c>
      <c r="P1568" s="380">
        <f>IFERROR(VLOOKUP($G1568,'321買'!$A:$G,7,0),"'沒有資料'")</f>
        <v>783</v>
      </c>
      <c r="Q1568" s="388" t="s">
        <v>5063</v>
      </c>
      <c r="R1568" s="297">
        <f>IFERROR(RANK(VLOOKUP($G1568,連買!$A:$D,4,0),連買!$D:$D,0),"'沒有資料'")</f>
        <v>1672</v>
      </c>
      <c r="S1568" s="45">
        <v>4.2300000000000004</v>
      </c>
      <c r="T1568" s="353">
        <f t="shared" si="288"/>
        <v>3.1685393258426967E-2</v>
      </c>
      <c r="U1568" s="57">
        <v>8.89</v>
      </c>
      <c r="V1568" s="36">
        <f>RTD("money.excel",,"2753","Price")</f>
        <v>133.5</v>
      </c>
      <c r="W1568" s="66"/>
      <c r="X1568" s="15">
        <f t="shared" si="289"/>
        <v>133.5</v>
      </c>
      <c r="Y1568" s="3" t="e">
        <f t="shared" si="290"/>
        <v>#DIV/0!</v>
      </c>
      <c r="Z1568" s="413" t="s">
        <v>6643</v>
      </c>
      <c r="AA1568" s="161">
        <v>0</v>
      </c>
      <c r="AB1568" s="409">
        <v>0</v>
      </c>
      <c r="AC1568" s="259">
        <f t="shared" si="291"/>
        <v>0</v>
      </c>
      <c r="AD1568" s="22" t="s">
        <v>3660</v>
      </c>
      <c r="AG1568" s="33">
        <f t="shared" si="292"/>
        <v>0</v>
      </c>
      <c r="AH1568" s="43" t="s">
        <v>3205</v>
      </c>
      <c r="AI1568" s="63">
        <f t="shared" si="293"/>
        <v>4.3636363636363638E-3</v>
      </c>
      <c r="AJ1568" s="307">
        <f>RTD("money.excel",,$G1568,"PredictVolume")</f>
        <v>288</v>
      </c>
      <c r="AK1568" s="339">
        <v>5.16</v>
      </c>
    </row>
    <row r="1569" spans="1:37">
      <c r="A1569" s="416">
        <v>4.58</v>
      </c>
      <c r="B1569" s="80">
        <v>-64</v>
      </c>
      <c r="C1569" s="80">
        <v>-56</v>
      </c>
      <c r="D1569" s="80">
        <v>-10</v>
      </c>
      <c r="E1569" s="79">
        <v>71</v>
      </c>
      <c r="F1569" s="6">
        <v>2.1</v>
      </c>
      <c r="G1569" s="79">
        <v>2754</v>
      </c>
      <c r="H1569" s="8" t="s">
        <v>305</v>
      </c>
      <c r="I1569" s="16" t="s">
        <v>2136</v>
      </c>
      <c r="J1569" s="323">
        <v>68.08</v>
      </c>
      <c r="K1569" s="73">
        <v>71.56</v>
      </c>
      <c r="L1569" s="73">
        <v>3</v>
      </c>
      <c r="N1569" s="318">
        <f t="shared" ref="N1569:N1584" si="296">J1569+K1569+L1569+M1569</f>
        <v>142.63999999999999</v>
      </c>
      <c r="O1569" s="81">
        <f>IFERROR(VLOOKUP($G1569,'321買'!A:E,3,0),"'沒有資料'")</f>
        <v>0</v>
      </c>
      <c r="P1569" s="380">
        <f>IFERROR(VLOOKUP($G1569,'321買'!$A:$G,7,0),"'沒有資料'")</f>
        <v>911</v>
      </c>
      <c r="R1569" s="297">
        <f>IFERROR(RANK(VLOOKUP($G1569,連買!$A:$D,4,0),連買!$D:$D,0),"'沒有資料'")</f>
        <v>371</v>
      </c>
      <c r="S1569" s="34">
        <v>0.5</v>
      </c>
      <c r="T1569" s="353">
        <f t="shared" si="288"/>
        <v>6.6401062416998674E-3</v>
      </c>
      <c r="U1569" s="57">
        <v>0.82</v>
      </c>
      <c r="V1569" s="13">
        <f>RTD("money.excel",,"2754","Price")</f>
        <v>75.3</v>
      </c>
      <c r="W1569" s="66"/>
      <c r="X1569" s="15">
        <f t="shared" si="289"/>
        <v>75.3</v>
      </c>
      <c r="Y1569" s="159" t="e">
        <f t="shared" si="290"/>
        <v>#DIV/0!</v>
      </c>
      <c r="Z1569" s="413" t="s">
        <v>1801</v>
      </c>
      <c r="AA1569" s="161">
        <v>0</v>
      </c>
      <c r="AB1569" s="409">
        <v>0</v>
      </c>
      <c r="AC1569" s="259">
        <f t="shared" si="291"/>
        <v>0</v>
      </c>
      <c r="AD1569" s="16" t="s">
        <v>2136</v>
      </c>
      <c r="AG1569" s="33">
        <f t="shared" si="292"/>
        <v>0</v>
      </c>
      <c r="AH1569" s="43" t="s">
        <v>2137</v>
      </c>
      <c r="AI1569" s="63">
        <f t="shared" si="293"/>
        <v>3.9301310043668122E-4</v>
      </c>
      <c r="AJ1569" s="307">
        <f>RTD("money.excel",,$G1569,"PredictVolume")</f>
        <v>18</v>
      </c>
      <c r="AK1569" s="339"/>
    </row>
    <row r="1570" spans="1:37">
      <c r="A1570" s="416">
        <v>2</v>
      </c>
      <c r="B1570" s="79">
        <v>13</v>
      </c>
      <c r="C1570" s="79">
        <v>12</v>
      </c>
      <c r="D1570" s="79">
        <v>1</v>
      </c>
      <c r="E1570" s="80">
        <v>-6</v>
      </c>
      <c r="F1570" s="6">
        <v>5.35</v>
      </c>
      <c r="G1570" s="79">
        <v>2755</v>
      </c>
      <c r="H1570" s="8" t="s">
        <v>305</v>
      </c>
      <c r="I1570" s="16" t="s">
        <v>2272</v>
      </c>
      <c r="J1570" s="73">
        <v>46.3</v>
      </c>
      <c r="K1570" s="323">
        <v>0.66</v>
      </c>
      <c r="N1570" s="318">
        <f t="shared" si="296"/>
        <v>46.959999999999994</v>
      </c>
      <c r="O1570" s="81" t="str">
        <f>IFERROR(VLOOKUP($G1570,'321買'!A:E,3,0),"'沒有資料'")</f>
        <v>'沒有資料'</v>
      </c>
      <c r="P1570" s="380" t="str">
        <f>IFERROR(VLOOKUP($G1570,'321買'!$A:$G,7,0),"'沒有資料'")</f>
        <v>'沒有資料'</v>
      </c>
      <c r="R1570" s="297">
        <f>IFERROR(RANK(VLOOKUP($G1570,連買!$A:$D,4,0),連買!$D:$D,0),"'沒有資料'")</f>
        <v>1258</v>
      </c>
      <c r="S1570" s="34">
        <v>2</v>
      </c>
      <c r="T1570" s="353">
        <f t="shared" si="288"/>
        <v>3.4904013961605584E-2</v>
      </c>
      <c r="U1570" s="95">
        <v>3.89</v>
      </c>
      <c r="V1570" s="36">
        <f>RTD("money.excel",,"2755","Price")</f>
        <v>57.3</v>
      </c>
      <c r="W1570" s="66"/>
      <c r="X1570" s="15">
        <f t="shared" si="289"/>
        <v>57.3</v>
      </c>
      <c r="Y1570" s="3" t="e">
        <f t="shared" si="290"/>
        <v>#DIV/0!</v>
      </c>
      <c r="AA1570" s="161">
        <v>0</v>
      </c>
      <c r="AB1570" s="409">
        <v>0</v>
      </c>
      <c r="AC1570" s="259">
        <f t="shared" si="291"/>
        <v>0</v>
      </c>
      <c r="AD1570" s="16" t="s">
        <v>2272</v>
      </c>
      <c r="AG1570" s="33">
        <f t="shared" si="292"/>
        <v>0</v>
      </c>
      <c r="AH1570" s="43" t="s">
        <v>2273</v>
      </c>
      <c r="AI1570" s="63">
        <f t="shared" si="293"/>
        <v>2.5000000000000001E-4</v>
      </c>
      <c r="AJ1570" s="307">
        <f>RTD("money.excel",,$G1570,"PredictVolume")</f>
        <v>5</v>
      </c>
      <c r="AK1570" s="339"/>
    </row>
    <row r="1571" spans="1:37">
      <c r="A1571" s="415">
        <v>1.7</v>
      </c>
      <c r="B1571" s="79">
        <v>733</v>
      </c>
      <c r="C1571" s="79">
        <v>138</v>
      </c>
      <c r="D1571" s="79">
        <v>35</v>
      </c>
      <c r="E1571" s="79">
        <v>16</v>
      </c>
      <c r="F1571" s="57">
        <v>19.98</v>
      </c>
      <c r="G1571" s="79">
        <v>2756</v>
      </c>
      <c r="H1571" s="8" t="s">
        <v>305</v>
      </c>
      <c r="I1571" s="16" t="s">
        <v>5033</v>
      </c>
      <c r="J1571" s="323">
        <v>53.47</v>
      </c>
      <c r="K1571" s="73">
        <v>0.05</v>
      </c>
      <c r="M1571" s="73">
        <v>22.26</v>
      </c>
      <c r="N1571" s="318">
        <f t="shared" si="296"/>
        <v>75.78</v>
      </c>
      <c r="O1571" s="81" t="str">
        <f>IFERROR(VLOOKUP($G1571,'321買'!A:E,3,0),"'沒有資料'")</f>
        <v>'沒有資料'</v>
      </c>
      <c r="P1571" s="380" t="str">
        <f>IFERROR(VLOOKUP($G1571,'321買'!$A:$G,7,0),"'沒有資料'")</f>
        <v>'沒有資料'</v>
      </c>
      <c r="R1571" s="297">
        <f>IFERROR(RANK(VLOOKUP($G1571,連買!$A:$D,4,0),連買!$D:$D,0),"'沒有資料'")</f>
        <v>1335</v>
      </c>
      <c r="S1571" s="34">
        <v>2</v>
      </c>
      <c r="T1571" s="353">
        <f t="shared" si="288"/>
        <v>1.7241379310344827E-2</v>
      </c>
      <c r="U1571" s="57">
        <v>6.9</v>
      </c>
      <c r="V1571" s="36">
        <f>RTD("money.excel",,"2756","Price")</f>
        <v>116</v>
      </c>
      <c r="W1571" s="66"/>
      <c r="X1571" s="15">
        <f>V1571-W1571</f>
        <v>116</v>
      </c>
      <c r="Y1571" s="3" t="e">
        <f>X1571/W1571</f>
        <v>#DIV/0!</v>
      </c>
      <c r="AA1571" s="161">
        <v>0</v>
      </c>
      <c r="AB1571" s="409">
        <v>0</v>
      </c>
      <c r="AC1571" s="259">
        <f t="shared" si="291"/>
        <v>0</v>
      </c>
      <c r="AD1571" s="16" t="s">
        <v>5033</v>
      </c>
      <c r="AG1571" s="33">
        <f>AF1571-AE1571</f>
        <v>0</v>
      </c>
      <c r="AH1571" s="43" t="s">
        <v>5035</v>
      </c>
      <c r="AI1571" s="63">
        <f t="shared" si="293"/>
        <v>6.4705882352941182E-4</v>
      </c>
      <c r="AJ1571" s="307">
        <f>RTD("money.excel",,$G1571,"PredictVolume")</f>
        <v>11</v>
      </c>
      <c r="AK1571" s="339"/>
    </row>
    <row r="1572" spans="1:37">
      <c r="A1572" s="415">
        <v>5.0199999999999996</v>
      </c>
      <c r="B1572" s="91">
        <v>-101</v>
      </c>
      <c r="C1572" s="206">
        <v>-1052</v>
      </c>
      <c r="D1572" s="91">
        <v>-7</v>
      </c>
      <c r="E1572" s="91">
        <v>27</v>
      </c>
      <c r="F1572" s="6">
        <v>-34.880000000000003</v>
      </c>
      <c r="G1572" s="79">
        <v>3252</v>
      </c>
      <c r="H1572" s="8" t="s">
        <v>305</v>
      </c>
      <c r="I1572" s="16" t="s">
        <v>4958</v>
      </c>
      <c r="J1572" s="73">
        <v>69.55</v>
      </c>
      <c r="K1572" s="73">
        <v>7.4</v>
      </c>
      <c r="L1572" s="73">
        <v>68.349999999999994</v>
      </c>
      <c r="N1572" s="318">
        <f t="shared" si="296"/>
        <v>145.30000000000001</v>
      </c>
      <c r="O1572" s="81">
        <f>IFERROR(VLOOKUP($G1572,'321買'!A:E,3,0),"'沒有資料'")</f>
        <v>0</v>
      </c>
      <c r="P1572" s="380">
        <f>IFERROR(VLOOKUP($G1572,'321買'!$A:$G,7,0),"'沒有資料'")</f>
        <v>911</v>
      </c>
      <c r="R1572" s="297">
        <f>IFERROR(RANK(VLOOKUP($G1572,連買!$A:$D,4,0),連買!$D:$D,0),"'沒有資料'")</f>
        <v>1059</v>
      </c>
      <c r="S1572" s="34">
        <v>0</v>
      </c>
      <c r="T1572" s="353">
        <f t="shared" si="288"/>
        <v>0</v>
      </c>
      <c r="U1572" s="95">
        <v>-1.84</v>
      </c>
      <c r="V1572" s="13">
        <f>RTD("money.excel",,"3252","Price")</f>
        <v>16.8</v>
      </c>
      <c r="W1572" s="66"/>
      <c r="X1572" s="15">
        <f t="shared" si="289"/>
        <v>16.8</v>
      </c>
      <c r="Y1572" s="3" t="e">
        <f t="shared" si="290"/>
        <v>#DIV/0!</v>
      </c>
      <c r="AA1572" s="161">
        <v>0</v>
      </c>
      <c r="AB1572" s="409">
        <v>0</v>
      </c>
      <c r="AC1572" s="259">
        <f t="shared" si="291"/>
        <v>0</v>
      </c>
      <c r="AD1572" s="16" t="s">
        <v>4958</v>
      </c>
      <c r="AG1572" s="33">
        <f t="shared" si="292"/>
        <v>0</v>
      </c>
      <c r="AH1572" s="43" t="s">
        <v>4959</v>
      </c>
      <c r="AI1572" s="63">
        <f t="shared" si="293"/>
        <v>2.8884462151394425E-3</v>
      </c>
      <c r="AJ1572" s="307">
        <f>RTD("money.excel",,$G1572,"PredictVolume")</f>
        <v>145</v>
      </c>
      <c r="AK1572" s="339"/>
    </row>
    <row r="1573" spans="1:37">
      <c r="A1573" s="416">
        <v>7.26</v>
      </c>
      <c r="B1573" s="80">
        <v>-146</v>
      </c>
      <c r="C1573" s="80">
        <v>-72</v>
      </c>
      <c r="D1573" s="80">
        <v>-5</v>
      </c>
      <c r="E1573" s="79">
        <v>95</v>
      </c>
      <c r="F1573" s="6">
        <v>-27.02</v>
      </c>
      <c r="G1573" s="79">
        <v>3522</v>
      </c>
      <c r="H1573" s="8" t="s">
        <v>305</v>
      </c>
      <c r="I1573" s="16" t="s">
        <v>4960</v>
      </c>
      <c r="J1573" s="323">
        <v>48.11</v>
      </c>
      <c r="K1573" s="73">
        <v>0.9</v>
      </c>
      <c r="L1573" s="73">
        <v>8.43</v>
      </c>
      <c r="N1573" s="318">
        <f t="shared" si="296"/>
        <v>57.44</v>
      </c>
      <c r="O1573" s="81">
        <f>IFERROR(VLOOKUP($G1573,'321買'!A:E,3,0),"'沒有資料'")</f>
        <v>1</v>
      </c>
      <c r="P1573" s="380">
        <f>IFERROR(VLOOKUP($G1573,'321買'!$A:$G,7,0),"'沒有資料'")</f>
        <v>783</v>
      </c>
      <c r="R1573" s="297">
        <f>IFERROR(RANK(VLOOKUP($G1573,連買!$A:$D,4,0),連買!$D:$D,0),"'沒有資料'")</f>
        <v>1009</v>
      </c>
      <c r="S1573" s="34">
        <v>0</v>
      </c>
      <c r="T1573" s="353">
        <f t="shared" si="288"/>
        <v>0</v>
      </c>
      <c r="U1573" s="95">
        <v>-6.19</v>
      </c>
      <c r="V1573" s="36">
        <f>RTD("money.excel",,"3522","Price")</f>
        <v>10.5</v>
      </c>
      <c r="W1573" s="66"/>
      <c r="X1573" s="15">
        <f t="shared" si="289"/>
        <v>10.5</v>
      </c>
      <c r="Y1573" s="3" t="e">
        <f t="shared" si="290"/>
        <v>#DIV/0!</v>
      </c>
      <c r="AA1573" s="161">
        <v>0</v>
      </c>
      <c r="AB1573" s="409">
        <v>0</v>
      </c>
      <c r="AC1573" s="259">
        <f t="shared" si="291"/>
        <v>0</v>
      </c>
      <c r="AD1573" s="16" t="s">
        <v>4960</v>
      </c>
      <c r="AG1573" s="33">
        <f t="shared" si="292"/>
        <v>0</v>
      </c>
      <c r="AH1573" s="43" t="s">
        <v>3205</v>
      </c>
      <c r="AI1573" s="63">
        <f t="shared" si="293"/>
        <v>1.2382920110192838E-2</v>
      </c>
      <c r="AJ1573" s="307">
        <f>RTD("money.excel",,$G1573,"PredictVolume")</f>
        <v>899</v>
      </c>
      <c r="AK1573" s="339"/>
    </row>
    <row r="1574" spans="1:37">
      <c r="A1574" s="416">
        <v>4.53</v>
      </c>
      <c r="B1574" s="91">
        <v>-250</v>
      </c>
      <c r="C1574" s="91">
        <v>-681</v>
      </c>
      <c r="D1574" s="91">
        <v>-22</v>
      </c>
      <c r="E1574" s="91">
        <v>-25</v>
      </c>
      <c r="F1574" s="6">
        <v>-52.06</v>
      </c>
      <c r="G1574" s="79">
        <v>4804</v>
      </c>
      <c r="H1574" s="8" t="s">
        <v>305</v>
      </c>
      <c r="I1574" s="16" t="s">
        <v>4961</v>
      </c>
      <c r="J1574" s="73">
        <v>60.54</v>
      </c>
      <c r="K1574" s="73">
        <v>36.47</v>
      </c>
      <c r="L1574" s="73">
        <v>19.84</v>
      </c>
      <c r="N1574" s="318">
        <f t="shared" si="296"/>
        <v>116.85</v>
      </c>
      <c r="O1574" s="81">
        <f>IFERROR(VLOOKUP($G1574,'321買'!A:E,3,0),"'沒有資料'")</f>
        <v>13</v>
      </c>
      <c r="P1574" s="380">
        <f>IFERROR(VLOOKUP($G1574,'321買'!$A:$G,7,0),"'沒有資料'")</f>
        <v>368</v>
      </c>
      <c r="R1574" s="297">
        <f>IFERROR(RANK(VLOOKUP($G1574,連買!$A:$D,4,0),連買!$D:$D,0),"'沒有資料'")</f>
        <v>1070</v>
      </c>
      <c r="S1574" s="34">
        <v>0</v>
      </c>
      <c r="T1574" s="353">
        <f t="shared" si="288"/>
        <v>0</v>
      </c>
      <c r="U1574" s="95">
        <v>0.21</v>
      </c>
      <c r="V1574" s="13">
        <f>RTD("money.excel",,"4804","Price")</f>
        <v>16.05</v>
      </c>
      <c r="W1574" s="66"/>
      <c r="X1574" s="15">
        <f t="shared" si="289"/>
        <v>16.05</v>
      </c>
      <c r="Y1574" s="3" t="e">
        <f t="shared" si="290"/>
        <v>#DIV/0!</v>
      </c>
      <c r="AA1574" s="161">
        <v>0</v>
      </c>
      <c r="AB1574" s="409">
        <v>0</v>
      </c>
      <c r="AC1574" s="259">
        <f t="shared" si="291"/>
        <v>0</v>
      </c>
      <c r="AD1574" s="16" t="s">
        <v>4961</v>
      </c>
      <c r="AG1574" s="33">
        <f t="shared" si="292"/>
        <v>0</v>
      </c>
      <c r="AH1574" s="43" t="s">
        <v>4962</v>
      </c>
      <c r="AI1574" s="63">
        <f t="shared" si="293"/>
        <v>0.11399558498896248</v>
      </c>
      <c r="AJ1574" s="307">
        <f>RTD("money.excel",,$G1574,"PredictVolume")</f>
        <v>5164</v>
      </c>
      <c r="AK1574" s="339"/>
    </row>
    <row r="1575" spans="1:37">
      <c r="A1575" s="416">
        <v>10.4</v>
      </c>
      <c r="B1575" s="79">
        <v>23</v>
      </c>
      <c r="C1575" s="79">
        <v>19</v>
      </c>
      <c r="D1575" s="79">
        <v>5</v>
      </c>
      <c r="E1575" s="79">
        <v>261</v>
      </c>
      <c r="F1575" s="73">
        <v>-224.54</v>
      </c>
      <c r="G1575" s="79">
        <v>5301</v>
      </c>
      <c r="H1575" s="8" t="s">
        <v>305</v>
      </c>
      <c r="I1575" s="16" t="s">
        <v>4963</v>
      </c>
      <c r="J1575" s="323">
        <v>76.290000000000006</v>
      </c>
      <c r="K1575" s="73">
        <v>5.52</v>
      </c>
      <c r="N1575" s="318">
        <f t="shared" si="296"/>
        <v>81.81</v>
      </c>
      <c r="O1575" s="81">
        <f>IFERROR(VLOOKUP($G1575,'321買'!A:E,3,0),"'沒有資料'")</f>
        <v>0</v>
      </c>
      <c r="P1575" s="380">
        <f>IFERROR(VLOOKUP($G1575,'321買'!$A:$G,7,0),"'沒有資料'")</f>
        <v>911</v>
      </c>
      <c r="R1575" s="297">
        <f>IFERROR(RANK(VLOOKUP($G1575,連買!$A:$D,4,0),連買!$D:$D,0),"'沒有資料'")</f>
        <v>1338</v>
      </c>
      <c r="S1575" s="34">
        <v>0</v>
      </c>
      <c r="T1575" s="353">
        <f t="shared" si="288"/>
        <v>0</v>
      </c>
      <c r="U1575" s="57">
        <v>-3.17</v>
      </c>
      <c r="V1575" s="13">
        <f>RTD("money.excel",,"5301","Price")</f>
        <v>13.4</v>
      </c>
      <c r="W1575" s="66"/>
      <c r="X1575" s="15">
        <f t="shared" si="289"/>
        <v>13.4</v>
      </c>
      <c r="Y1575" s="3" t="e">
        <f t="shared" si="290"/>
        <v>#DIV/0!</v>
      </c>
      <c r="AA1575" s="161">
        <v>0</v>
      </c>
      <c r="AB1575" s="409">
        <v>0</v>
      </c>
      <c r="AC1575" s="259">
        <f t="shared" si="291"/>
        <v>0</v>
      </c>
      <c r="AD1575" s="16" t="s">
        <v>4963</v>
      </c>
      <c r="AG1575" s="33">
        <f t="shared" si="292"/>
        <v>0</v>
      </c>
      <c r="AH1575" s="43" t="s">
        <v>2865</v>
      </c>
      <c r="AI1575" s="63">
        <f t="shared" si="293"/>
        <v>5.0192307692307689E-3</v>
      </c>
      <c r="AJ1575" s="307">
        <f>RTD("money.excel",,$G1575,"PredictVolume")</f>
        <v>522</v>
      </c>
      <c r="AK1575" s="339"/>
    </row>
    <row r="1576" spans="1:37">
      <c r="A1576" s="416">
        <v>2.0099999999999998</v>
      </c>
      <c r="B1576" s="91">
        <v>-22</v>
      </c>
      <c r="C1576" s="91">
        <v>9</v>
      </c>
      <c r="D1576" s="91">
        <v>-8</v>
      </c>
      <c r="E1576" s="91">
        <v>-6</v>
      </c>
      <c r="F1576" s="6">
        <v>-2.27</v>
      </c>
      <c r="G1576" s="79">
        <v>5364</v>
      </c>
      <c r="H1576" s="8" t="s">
        <v>305</v>
      </c>
      <c r="I1576" s="16" t="s">
        <v>4964</v>
      </c>
      <c r="J1576" s="73">
        <v>47.95</v>
      </c>
      <c r="K1576" s="73">
        <v>0.11</v>
      </c>
      <c r="N1576" s="318">
        <f t="shared" si="296"/>
        <v>48.06</v>
      </c>
      <c r="O1576" s="81" t="str">
        <f>IFERROR(VLOOKUP($G1576,'321買'!A:E,3,0),"'沒有資料'")</f>
        <v>'沒有資料'</v>
      </c>
      <c r="P1576" s="380" t="str">
        <f>IFERROR(VLOOKUP($G1576,'321買'!$A:$G,7,0),"'沒有資料'")</f>
        <v>'沒有資料'</v>
      </c>
      <c r="R1576" s="297">
        <f>IFERROR(RANK(VLOOKUP($G1576,連買!$A:$D,4,0),連買!$D:$D,0),"'沒有資料'")</f>
        <v>1348</v>
      </c>
      <c r="S1576" s="34">
        <v>0</v>
      </c>
      <c r="T1576" s="353">
        <f t="shared" si="288"/>
        <v>0</v>
      </c>
      <c r="U1576" s="95">
        <v>-2.1800000000000002</v>
      </c>
      <c r="V1576" s="36">
        <f>RTD("money.excel",,"5364","Price")</f>
        <v>19.3</v>
      </c>
      <c r="W1576" s="66"/>
      <c r="X1576" s="15">
        <f t="shared" si="289"/>
        <v>19.3</v>
      </c>
      <c r="Y1576" s="3" t="e">
        <f t="shared" si="290"/>
        <v>#DIV/0!</v>
      </c>
      <c r="AA1576" s="161">
        <v>0</v>
      </c>
      <c r="AB1576" s="409">
        <v>0</v>
      </c>
      <c r="AC1576" s="259">
        <f t="shared" si="291"/>
        <v>0</v>
      </c>
      <c r="AD1576" s="16" t="s">
        <v>4964</v>
      </c>
      <c r="AG1576" s="33">
        <f t="shared" si="292"/>
        <v>0</v>
      </c>
      <c r="AH1576" s="43" t="s">
        <v>2866</v>
      </c>
      <c r="AI1576" s="63">
        <f t="shared" si="293"/>
        <v>3.9800995024875631E-4</v>
      </c>
      <c r="AJ1576" s="307">
        <f>RTD("money.excel",,$G1576,"PredictVolume")</f>
        <v>8</v>
      </c>
      <c r="AK1576" s="339"/>
    </row>
    <row r="1577" spans="1:37">
      <c r="A1577" s="416">
        <v>25.3</v>
      </c>
      <c r="B1577" s="80">
        <v>53</v>
      </c>
      <c r="C1577" s="80">
        <v>44</v>
      </c>
      <c r="D1577" s="79">
        <v>-38</v>
      </c>
      <c r="E1577" s="79">
        <v>-40</v>
      </c>
      <c r="F1577" s="6">
        <v>-13.87</v>
      </c>
      <c r="G1577" s="79">
        <v>5701</v>
      </c>
      <c r="H1577" s="8" t="s">
        <v>305</v>
      </c>
      <c r="I1577" s="16" t="s">
        <v>4965</v>
      </c>
      <c r="J1577" s="73">
        <v>39.020000000000003</v>
      </c>
      <c r="K1577" s="73">
        <v>0.41</v>
      </c>
      <c r="N1577" s="318">
        <f t="shared" si="296"/>
        <v>39.43</v>
      </c>
      <c r="O1577" s="81" t="str">
        <f>IFERROR(VLOOKUP($G1577,'321買'!A:E,3,0),"'沒有資料'")</f>
        <v>'沒有資料'</v>
      </c>
      <c r="P1577" s="380" t="str">
        <f>IFERROR(VLOOKUP($G1577,'321買'!$A:$G,7,0),"'沒有資料'")</f>
        <v>'沒有資料'</v>
      </c>
      <c r="R1577" s="297">
        <f>IFERROR(RANK(VLOOKUP($G1577,連買!$A:$D,4,0),連買!$D:$D,0),"'沒有資料'")</f>
        <v>1437</v>
      </c>
      <c r="S1577" s="34">
        <v>0</v>
      </c>
      <c r="T1577" s="353">
        <f t="shared" si="288"/>
        <v>0</v>
      </c>
      <c r="U1577" s="95">
        <v>-0.54</v>
      </c>
      <c r="V1577" s="36">
        <f>RTD("money.excel",,"5701","Price")</f>
        <v>3.03</v>
      </c>
      <c r="W1577" s="66"/>
      <c r="X1577" s="15">
        <f t="shared" si="289"/>
        <v>3.03</v>
      </c>
      <c r="Y1577" s="3" t="e">
        <f t="shared" si="290"/>
        <v>#DIV/0!</v>
      </c>
      <c r="Z1577" s="413" t="s">
        <v>1801</v>
      </c>
      <c r="AA1577" s="161">
        <v>0</v>
      </c>
      <c r="AB1577" s="409">
        <v>0</v>
      </c>
      <c r="AC1577" s="259">
        <f t="shared" si="291"/>
        <v>0</v>
      </c>
      <c r="AD1577" s="16" t="s">
        <v>4965</v>
      </c>
      <c r="AG1577" s="33">
        <f t="shared" si="292"/>
        <v>0</v>
      </c>
      <c r="AH1577" s="43" t="s">
        <v>4966</v>
      </c>
      <c r="AI1577" s="63">
        <f t="shared" si="293"/>
        <v>9.407114624505929E-4</v>
      </c>
      <c r="AJ1577" s="307">
        <f>RTD("money.excel",,$G1577,"PredictVolume")</f>
        <v>238</v>
      </c>
      <c r="AK1577" s="339"/>
    </row>
    <row r="1578" spans="1:37">
      <c r="A1578" s="416">
        <v>7.02</v>
      </c>
      <c r="B1578" s="91">
        <v>-182</v>
      </c>
      <c r="C1578" s="91">
        <v>-62</v>
      </c>
      <c r="D1578" s="91">
        <v>-2</v>
      </c>
      <c r="E1578" s="91">
        <v>-65</v>
      </c>
      <c r="F1578" s="6">
        <v>-41.47</v>
      </c>
      <c r="G1578" s="79">
        <v>5703</v>
      </c>
      <c r="H1578" s="8" t="s">
        <v>305</v>
      </c>
      <c r="I1578" s="16" t="s">
        <v>4967</v>
      </c>
      <c r="J1578" s="73">
        <v>92.87</v>
      </c>
      <c r="K1578" s="73">
        <v>6.84</v>
      </c>
      <c r="L1578" s="73">
        <v>0.38</v>
      </c>
      <c r="N1578" s="318">
        <f t="shared" si="296"/>
        <v>100.09</v>
      </c>
      <c r="O1578" s="81" t="str">
        <f>IFERROR(VLOOKUP($G1578,'321買'!A:E,3,0),"'沒有資料'")</f>
        <v>'沒有資料'</v>
      </c>
      <c r="P1578" s="380" t="str">
        <f>IFERROR(VLOOKUP($G1578,'321買'!$A:$G,7,0),"'沒有資料'")</f>
        <v>'沒有資料'</v>
      </c>
      <c r="R1578" s="297">
        <f>IFERROR(RANK(VLOOKUP($G1578,連買!$A:$D,4,0),連買!$D:$D,0),"'沒有資料'")</f>
        <v>1430</v>
      </c>
      <c r="S1578" s="34">
        <v>0</v>
      </c>
      <c r="T1578" s="353" t="e">
        <f t="shared" si="288"/>
        <v>#VALUE!</v>
      </c>
      <c r="U1578" s="95">
        <v>-2.36</v>
      </c>
      <c r="V1578" s="13" t="str">
        <f>RTD("money.excel",,"5703","Price")</f>
        <v>無資料</v>
      </c>
      <c r="W1578" s="66"/>
      <c r="X1578" s="15" t="e">
        <f t="shared" si="289"/>
        <v>#VALUE!</v>
      </c>
      <c r="Y1578" s="3" t="e">
        <f t="shared" si="290"/>
        <v>#VALUE!</v>
      </c>
      <c r="AA1578" s="161">
        <v>0</v>
      </c>
      <c r="AB1578" s="409">
        <v>0</v>
      </c>
      <c r="AC1578" s="259">
        <f t="shared" si="291"/>
        <v>0</v>
      </c>
      <c r="AD1578" s="16" t="s">
        <v>4967</v>
      </c>
      <c r="AG1578" s="33">
        <f t="shared" si="292"/>
        <v>0</v>
      </c>
      <c r="AH1578" s="43" t="s">
        <v>2866</v>
      </c>
      <c r="AI1578" s="63">
        <f t="shared" si="293"/>
        <v>0</v>
      </c>
      <c r="AJ1578" s="307">
        <f>RTD("money.excel",,$G1578,"PredictVolume")</f>
        <v>0</v>
      </c>
      <c r="AK1578" s="339"/>
    </row>
    <row r="1579" spans="1:37">
      <c r="A1579" s="415">
        <v>3.89</v>
      </c>
      <c r="B1579" s="91">
        <v>186</v>
      </c>
      <c r="C1579" s="91">
        <v>130</v>
      </c>
      <c r="D1579" s="91">
        <v>5</v>
      </c>
      <c r="E1579" s="91">
        <v>4</v>
      </c>
      <c r="F1579" s="57">
        <v>19.440000000000001</v>
      </c>
      <c r="G1579" s="79">
        <v>5704</v>
      </c>
      <c r="H1579" s="8" t="s">
        <v>305</v>
      </c>
      <c r="I1579" s="16" t="s">
        <v>4968</v>
      </c>
      <c r="J1579" s="323">
        <v>92.4</v>
      </c>
      <c r="K1579" s="323">
        <v>0</v>
      </c>
      <c r="L1579" s="323">
        <v>0.26</v>
      </c>
      <c r="N1579" s="318">
        <f t="shared" si="296"/>
        <v>92.660000000000011</v>
      </c>
      <c r="O1579" s="81" t="str">
        <f>IFERROR(VLOOKUP($G1579,'321買'!A:E,3,0),"'沒有資料'")</f>
        <v>'沒有資料'</v>
      </c>
      <c r="P1579" s="380" t="str">
        <f>IFERROR(VLOOKUP($G1579,'321買'!$A:$G,7,0),"'沒有資料'")</f>
        <v>'沒有資料'</v>
      </c>
      <c r="R1579" s="297">
        <f>IFERROR(RANK(VLOOKUP($G1579,連買!$A:$D,4,0),連買!$D:$D,0),"'沒有資料'")</f>
        <v>1512</v>
      </c>
      <c r="S1579" s="34">
        <v>2.2000000000000002</v>
      </c>
      <c r="T1579" s="353">
        <f t="shared" si="288"/>
        <v>7.1661237785016291E-2</v>
      </c>
      <c r="U1579" s="95">
        <v>2.41</v>
      </c>
      <c r="V1579" s="13">
        <f>RTD("money.excel",,"5704","Price")</f>
        <v>30.7</v>
      </c>
      <c r="W1579" s="66"/>
      <c r="X1579" s="15">
        <f t="shared" si="289"/>
        <v>30.7</v>
      </c>
      <c r="Y1579" s="3" t="e">
        <f t="shared" si="290"/>
        <v>#DIV/0!</v>
      </c>
      <c r="AA1579" s="161">
        <v>0</v>
      </c>
      <c r="AB1579" s="409">
        <v>0</v>
      </c>
      <c r="AC1579" s="259">
        <f t="shared" si="291"/>
        <v>0</v>
      </c>
      <c r="AD1579" s="16" t="s">
        <v>4968</v>
      </c>
      <c r="AG1579" s="33">
        <f t="shared" si="292"/>
        <v>0</v>
      </c>
      <c r="AH1579" s="43" t="s">
        <v>2862</v>
      </c>
      <c r="AI1579" s="63">
        <f t="shared" si="293"/>
        <v>6.426735218508997E-4</v>
      </c>
      <c r="AJ1579" s="307">
        <f>RTD("money.excel",,$G1579,"PredictVolume")</f>
        <v>25</v>
      </c>
      <c r="AK1579" s="339"/>
    </row>
    <row r="1580" spans="1:37">
      <c r="A1580" s="416">
        <v>6.71</v>
      </c>
      <c r="B1580" s="80">
        <v>-102</v>
      </c>
      <c r="C1580" s="80">
        <v>-92</v>
      </c>
      <c r="D1580" s="80">
        <v>-10</v>
      </c>
      <c r="E1580" s="80">
        <v>-96</v>
      </c>
      <c r="F1580" s="6">
        <v>1.8</v>
      </c>
      <c r="G1580" s="79">
        <v>5706</v>
      </c>
      <c r="H1580" s="8" t="s">
        <v>305</v>
      </c>
      <c r="I1580" s="22" t="s">
        <v>4969</v>
      </c>
      <c r="J1580" s="73">
        <v>49.22</v>
      </c>
      <c r="K1580" s="73">
        <v>0.9</v>
      </c>
      <c r="L1580" s="73">
        <v>4.21</v>
      </c>
      <c r="N1580" s="318">
        <f t="shared" si="296"/>
        <v>54.33</v>
      </c>
      <c r="O1580" s="81">
        <f>IFERROR(VLOOKUP($G1580,'321買'!A:E,3,0),"'沒有資料'")</f>
        <v>14</v>
      </c>
      <c r="P1580" s="380">
        <f>IFERROR(VLOOKUP($G1580,'321買'!$A:$G,7,0),"'沒有資料'")</f>
        <v>321</v>
      </c>
      <c r="R1580" s="297">
        <f>IFERROR(RANK(VLOOKUP($G1580,連買!$A:$D,4,0),連買!$D:$D,0),"'沒有資料'")</f>
        <v>435</v>
      </c>
      <c r="S1580" s="34">
        <v>0.3</v>
      </c>
      <c r="T1580" s="353">
        <f t="shared" si="288"/>
        <v>3.8860103626943004E-3</v>
      </c>
      <c r="U1580" s="95">
        <v>0.16</v>
      </c>
      <c r="V1580" s="36">
        <f>RTD("money.excel",,"5706","Price")</f>
        <v>77.2</v>
      </c>
      <c r="W1580" s="66"/>
      <c r="X1580" s="15">
        <f t="shared" si="289"/>
        <v>77.2</v>
      </c>
      <c r="Y1580" s="3" t="e">
        <f t="shared" si="290"/>
        <v>#DIV/0!</v>
      </c>
      <c r="Z1580" s="413" t="s">
        <v>1801</v>
      </c>
      <c r="AA1580" s="161">
        <v>0</v>
      </c>
      <c r="AB1580" s="409">
        <v>0</v>
      </c>
      <c r="AC1580" s="259">
        <f t="shared" si="291"/>
        <v>0</v>
      </c>
      <c r="AD1580" s="22" t="s">
        <v>4969</v>
      </c>
      <c r="AG1580" s="33">
        <f t="shared" si="292"/>
        <v>0</v>
      </c>
      <c r="AH1580" s="43" t="s">
        <v>1555</v>
      </c>
      <c r="AI1580" s="63">
        <f t="shared" si="293"/>
        <v>0.33460506706408344</v>
      </c>
      <c r="AJ1580" s="307">
        <f>RTD("money.excel",,$G1580,"PredictVolume")</f>
        <v>22452</v>
      </c>
      <c r="AK1580" s="339"/>
    </row>
    <row r="1581" spans="1:37">
      <c r="A1581" s="416">
        <v>10.9</v>
      </c>
      <c r="B1581" s="206">
        <v>-9300</v>
      </c>
      <c r="C1581" s="91">
        <v>-496</v>
      </c>
      <c r="D1581" s="91">
        <v>-14</v>
      </c>
      <c r="E1581" s="91">
        <v>-64</v>
      </c>
      <c r="F1581" s="6">
        <v>-84.43</v>
      </c>
      <c r="G1581" s="79">
        <v>8077</v>
      </c>
      <c r="H1581" s="8" t="s">
        <v>305</v>
      </c>
      <c r="I1581" s="16" t="s">
        <v>4970</v>
      </c>
      <c r="J1581" s="73">
        <v>94.85</v>
      </c>
      <c r="K1581" s="73">
        <v>51.47</v>
      </c>
      <c r="N1581" s="318">
        <f t="shared" si="296"/>
        <v>146.32</v>
      </c>
      <c r="O1581" s="81" t="str">
        <f>IFERROR(VLOOKUP($G1581,'321買'!A:E,3,0),"'沒有資料'")</f>
        <v>'沒有資料'</v>
      </c>
      <c r="P1581" s="380" t="str">
        <f>IFERROR(VLOOKUP($G1581,'321買'!$A:$G,7,0),"'沒有資料'")</f>
        <v>'沒有資料'</v>
      </c>
      <c r="R1581" s="297">
        <f>IFERROR(RANK(VLOOKUP($G1581,連買!$A:$D,4,0),連買!$D:$D,0),"'沒有資料'")</f>
        <v>1363</v>
      </c>
      <c r="S1581" s="34">
        <v>0</v>
      </c>
      <c r="T1581" s="353">
        <f t="shared" si="288"/>
        <v>0</v>
      </c>
      <c r="U1581" s="57">
        <v>-7.8</v>
      </c>
      <c r="V1581" s="13">
        <f>RTD("money.excel",,"8077","Price")</f>
        <v>10</v>
      </c>
      <c r="W1581" s="66"/>
      <c r="X1581" s="15">
        <f t="shared" si="289"/>
        <v>10</v>
      </c>
      <c r="Y1581" s="3" t="e">
        <f t="shared" si="290"/>
        <v>#DIV/0!</v>
      </c>
      <c r="AA1581" s="161">
        <v>0</v>
      </c>
      <c r="AB1581" s="409">
        <v>0</v>
      </c>
      <c r="AC1581" s="259">
        <f t="shared" si="291"/>
        <v>0</v>
      </c>
      <c r="AD1581" s="16" t="s">
        <v>4970</v>
      </c>
      <c r="AG1581" s="33">
        <f t="shared" si="292"/>
        <v>0</v>
      </c>
      <c r="AH1581" s="43" t="s">
        <v>2866</v>
      </c>
      <c r="AI1581" s="63">
        <f t="shared" si="293"/>
        <v>4.4954128440366975E-4</v>
      </c>
      <c r="AJ1581" s="307">
        <f>RTD("money.excel",,$G1581,"PredictVolume")</f>
        <v>49</v>
      </c>
      <c r="AK1581" s="339"/>
    </row>
    <row r="1582" spans="1:37">
      <c r="A1582" s="415">
        <v>7.37</v>
      </c>
      <c r="B1582" s="80">
        <v>-29</v>
      </c>
      <c r="C1582" s="80">
        <v>-28</v>
      </c>
      <c r="D1582" s="79">
        <v>1</v>
      </c>
      <c r="E1582" s="79">
        <v>7</v>
      </c>
      <c r="F1582" s="57">
        <v>13.59</v>
      </c>
      <c r="G1582" s="79">
        <v>8462</v>
      </c>
      <c r="H1582" s="8" t="s">
        <v>305</v>
      </c>
      <c r="I1582" s="22" t="s">
        <v>4971</v>
      </c>
      <c r="J1582" s="73">
        <v>66.03</v>
      </c>
      <c r="K1582" s="323">
        <v>2.23</v>
      </c>
      <c r="L1582" s="323">
        <v>2</v>
      </c>
      <c r="N1582" s="318">
        <f t="shared" si="296"/>
        <v>70.260000000000005</v>
      </c>
      <c r="O1582" s="81">
        <f>IFERROR(VLOOKUP($G1582,'321買'!A:E,3,0),"'沒有資料'")</f>
        <v>0</v>
      </c>
      <c r="P1582" s="380">
        <f>IFERROR(VLOOKUP($G1582,'321買'!$A:$G,7,0),"'沒有資料'")</f>
        <v>911</v>
      </c>
      <c r="R1582" s="297">
        <f>IFERROR(RANK(VLOOKUP($G1582,連買!$A:$D,4,0),連買!$D:$D,0),"'沒有資料'")</f>
        <v>658</v>
      </c>
      <c r="S1582" s="66">
        <v>6.36</v>
      </c>
      <c r="T1582" s="353">
        <f t="shared" si="288"/>
        <v>4.8735632183908049E-2</v>
      </c>
      <c r="U1582" s="95">
        <v>5.74</v>
      </c>
      <c r="V1582" s="36">
        <f>RTD("money.excel",,"8462","Price")</f>
        <v>130.5</v>
      </c>
      <c r="W1582" s="66"/>
      <c r="X1582" s="15">
        <f t="shared" si="289"/>
        <v>130.5</v>
      </c>
      <c r="Y1582" s="3" t="e">
        <f t="shared" si="290"/>
        <v>#DIV/0!</v>
      </c>
      <c r="Z1582" s="413" t="s">
        <v>1997</v>
      </c>
      <c r="AA1582" s="161">
        <v>0</v>
      </c>
      <c r="AB1582" s="409">
        <v>0</v>
      </c>
      <c r="AC1582" s="259">
        <f t="shared" si="291"/>
        <v>0</v>
      </c>
      <c r="AD1582" s="22" t="s">
        <v>4971</v>
      </c>
      <c r="AG1582" s="33">
        <f t="shared" si="292"/>
        <v>0</v>
      </c>
      <c r="AH1582" s="43" t="s">
        <v>4972</v>
      </c>
      <c r="AI1582" s="63">
        <f t="shared" si="293"/>
        <v>7.1913161465400274E-4</v>
      </c>
      <c r="AJ1582" s="307">
        <f>RTD("money.excel",,$G1582,"PredictVolume")</f>
        <v>53</v>
      </c>
      <c r="AK1582" s="339"/>
    </row>
    <row r="1583" spans="1:37">
      <c r="A1583" s="416">
        <v>6.75</v>
      </c>
      <c r="B1583" s="91">
        <v>-106</v>
      </c>
      <c r="C1583" s="91">
        <v>-247</v>
      </c>
      <c r="D1583" s="91">
        <v>-17</v>
      </c>
      <c r="E1583" s="91">
        <v>-50</v>
      </c>
      <c r="F1583" s="6">
        <v>-24.14</v>
      </c>
      <c r="G1583" s="79">
        <v>8940</v>
      </c>
      <c r="H1583" s="8" t="s">
        <v>305</v>
      </c>
      <c r="I1583" s="22" t="s">
        <v>4973</v>
      </c>
      <c r="J1583" s="73">
        <v>70.569999999999993</v>
      </c>
      <c r="K1583" s="73">
        <v>8</v>
      </c>
      <c r="L1583" s="73">
        <v>4.33</v>
      </c>
      <c r="N1583" s="318">
        <f t="shared" si="296"/>
        <v>82.899999999999991</v>
      </c>
      <c r="O1583" s="81">
        <f>IFERROR(VLOOKUP($G1583,'321買'!A:E,3,0),"'沒有資料'")</f>
        <v>1</v>
      </c>
      <c r="P1583" s="380">
        <f>IFERROR(VLOOKUP($G1583,'321買'!$A:$G,7,0),"'沒有資料'")</f>
        <v>783</v>
      </c>
      <c r="R1583" s="297">
        <f>IFERROR(RANK(VLOOKUP($G1583,連買!$A:$D,4,0),連買!$D:$D,0),"'沒有資料'")</f>
        <v>1151</v>
      </c>
      <c r="S1583" s="34">
        <v>0</v>
      </c>
      <c r="T1583" s="353">
        <f t="shared" si="288"/>
        <v>0</v>
      </c>
      <c r="U1583" s="95">
        <v>-0.86</v>
      </c>
      <c r="V1583" s="13">
        <f>RTD("money.excel",,"8940","Price")</f>
        <v>13.55</v>
      </c>
      <c r="W1583" s="66"/>
      <c r="X1583" s="15">
        <f t="shared" si="289"/>
        <v>13.55</v>
      </c>
      <c r="Y1583" s="3" t="e">
        <f t="shared" si="290"/>
        <v>#DIV/0!</v>
      </c>
      <c r="AA1583" s="161">
        <v>0</v>
      </c>
      <c r="AB1583" s="409">
        <v>0</v>
      </c>
      <c r="AC1583" s="259">
        <f t="shared" si="291"/>
        <v>0</v>
      </c>
      <c r="AD1583" s="22" t="s">
        <v>4973</v>
      </c>
      <c r="AG1583" s="33">
        <f t="shared" si="292"/>
        <v>0</v>
      </c>
      <c r="AH1583" s="43" t="s">
        <v>4974</v>
      </c>
      <c r="AI1583" s="63">
        <f t="shared" si="293"/>
        <v>6.8148148148148148E-4</v>
      </c>
      <c r="AJ1583" s="307">
        <f>RTD("money.excel",,$G1583,"PredictVolume")</f>
        <v>46</v>
      </c>
      <c r="AK1583" s="339"/>
    </row>
    <row r="1584" spans="1:37">
      <c r="A1584" s="415">
        <v>14.7</v>
      </c>
      <c r="B1584" s="80">
        <v>-24</v>
      </c>
      <c r="C1584" s="80">
        <v>-17</v>
      </c>
      <c r="D1584" s="79">
        <v>11</v>
      </c>
      <c r="E1584" s="80">
        <v>-8</v>
      </c>
      <c r="F1584" s="57">
        <v>19.350000000000001</v>
      </c>
      <c r="G1584" s="79">
        <v>9943</v>
      </c>
      <c r="H1584" s="208" t="s">
        <v>305</v>
      </c>
      <c r="I1584" s="22" t="s">
        <v>4975</v>
      </c>
      <c r="J1584" s="73">
        <v>73.64</v>
      </c>
      <c r="K1584" s="73">
        <v>2.36</v>
      </c>
      <c r="L1584" s="73">
        <v>0.34</v>
      </c>
      <c r="N1584" s="318">
        <f t="shared" si="296"/>
        <v>76.34</v>
      </c>
      <c r="O1584" s="81">
        <f>IFERROR(VLOOKUP($G1584,'321買'!A:E,3,0),"'沒有資料'")</f>
        <v>0</v>
      </c>
      <c r="P1584" s="380">
        <f>IFERROR(VLOOKUP($G1584,'321買'!$A:$G,7,0),"'沒有資料'")</f>
        <v>911</v>
      </c>
      <c r="R1584" s="297">
        <f>IFERROR(RANK(VLOOKUP($G1584,連買!$A:$D,4,0),連買!$D:$D,0),"'沒有資料'")</f>
        <v>426</v>
      </c>
      <c r="S1584" s="66">
        <v>4</v>
      </c>
      <c r="T1584" s="353">
        <f t="shared" si="288"/>
        <v>7.1942446043165464E-2</v>
      </c>
      <c r="U1584" s="95">
        <v>4.41</v>
      </c>
      <c r="V1584" s="36">
        <f>RTD("money.excel",,"9943","Price")</f>
        <v>55.6</v>
      </c>
      <c r="W1584" s="66"/>
      <c r="X1584" s="15">
        <f t="shared" si="289"/>
        <v>55.6</v>
      </c>
      <c r="Y1584" s="3" t="e">
        <f t="shared" si="290"/>
        <v>#DIV/0!</v>
      </c>
      <c r="Z1584" s="413" t="s">
        <v>1831</v>
      </c>
      <c r="AA1584" s="161">
        <v>0</v>
      </c>
      <c r="AB1584" s="409">
        <v>0</v>
      </c>
      <c r="AC1584" s="259">
        <f t="shared" si="291"/>
        <v>0</v>
      </c>
      <c r="AD1584" s="22" t="s">
        <v>4975</v>
      </c>
      <c r="AG1584" s="33">
        <f t="shared" si="292"/>
        <v>0</v>
      </c>
      <c r="AH1584" s="120" t="s">
        <v>4976</v>
      </c>
      <c r="AI1584" s="63">
        <f t="shared" si="293"/>
        <v>7.1428571428571429E-4</v>
      </c>
      <c r="AJ1584" s="307">
        <f>RTD("money.excel",,$G1584,"PredictVolume")</f>
        <v>105</v>
      </c>
      <c r="AK1584" s="339"/>
    </row>
    <row r="1585" spans="1:37">
      <c r="B1585" s="80"/>
      <c r="C1585" s="80"/>
      <c r="D1585" s="79"/>
      <c r="E1585" s="80"/>
      <c r="F1585" s="57"/>
      <c r="G1585" s="79"/>
      <c r="H1585" s="208"/>
      <c r="I1585" s="22"/>
      <c r="J1585" s="73"/>
      <c r="K1585" s="73"/>
      <c r="N1585" s="318"/>
      <c r="O1585" s="26"/>
      <c r="S1585" s="66"/>
      <c r="U1585" s="95"/>
      <c r="V1585" s="36"/>
      <c r="W1585" s="66"/>
      <c r="X1585" s="15"/>
      <c r="Y1585" s="3"/>
      <c r="AA1585" s="2"/>
      <c r="AD1585" s="22"/>
      <c r="AG1585" s="33"/>
      <c r="AH1585" s="120"/>
      <c r="AI1585" s="63"/>
      <c r="AJ1585" s="307"/>
      <c r="AK1585" s="339"/>
    </row>
    <row r="1586" spans="1:37">
      <c r="A1586" s="130" t="s">
        <v>4191</v>
      </c>
      <c r="B1586" s="91" t="s">
        <v>4192</v>
      </c>
      <c r="C1586" s="91" t="s">
        <v>4193</v>
      </c>
      <c r="D1586" s="91" t="s">
        <v>4194</v>
      </c>
      <c r="E1586" s="91" t="s">
        <v>4195</v>
      </c>
      <c r="F1586" s="8" t="s">
        <v>4196</v>
      </c>
      <c r="G1586" s="27" t="s">
        <v>1130</v>
      </c>
      <c r="H1586" s="55" t="s">
        <v>322</v>
      </c>
      <c r="I1586" s="8" t="s">
        <v>4977</v>
      </c>
      <c r="J1586" s="317" t="s">
        <v>4199</v>
      </c>
      <c r="K1586" s="317" t="s">
        <v>4200</v>
      </c>
      <c r="L1586" s="317" t="s">
        <v>4201</v>
      </c>
      <c r="M1586" s="317" t="s">
        <v>4202</v>
      </c>
      <c r="N1586" s="317" t="s">
        <v>5048</v>
      </c>
      <c r="O1586" s="26" t="s">
        <v>5107</v>
      </c>
      <c r="P1586" s="373" t="s">
        <v>5059</v>
      </c>
      <c r="Q1586" s="245" t="s">
        <v>5087</v>
      </c>
      <c r="R1586" s="345" t="s">
        <v>5059</v>
      </c>
      <c r="S1586" s="10" t="s">
        <v>4203</v>
      </c>
      <c r="T1586" s="351" t="s">
        <v>5076</v>
      </c>
      <c r="U1586" s="68" t="s">
        <v>4204</v>
      </c>
      <c r="V1586" s="28" t="s">
        <v>4205</v>
      </c>
      <c r="W1586" s="17" t="s">
        <v>4206</v>
      </c>
      <c r="X1586" s="14" t="s">
        <v>4207</v>
      </c>
      <c r="Y1586" s="21" t="s">
        <v>4208</v>
      </c>
      <c r="Z1586" s="97" t="s">
        <v>6627</v>
      </c>
      <c r="AA1586" s="406" t="s">
        <v>8647</v>
      </c>
      <c r="AB1586" s="407" t="s">
        <v>8648</v>
      </c>
      <c r="AC1586" s="408" t="s">
        <v>8649</v>
      </c>
      <c r="AD1586" s="8" t="s">
        <v>4977</v>
      </c>
      <c r="AE1586" s="71" t="s">
        <v>4209</v>
      </c>
      <c r="AF1586" s="72" t="s">
        <v>4210</v>
      </c>
      <c r="AG1586" s="32" t="s">
        <v>4211</v>
      </c>
      <c r="AH1586" s="25" t="s">
        <v>8650</v>
      </c>
      <c r="AI1586" s="8" t="s">
        <v>4212</v>
      </c>
      <c r="AJ1586" s="50" t="s">
        <v>4213</v>
      </c>
      <c r="AK1586" s="339" t="s">
        <v>5038</v>
      </c>
    </row>
    <row r="1587" spans="1:37">
      <c r="A1587" s="416">
        <v>1038</v>
      </c>
      <c r="B1587" s="80">
        <v>-37</v>
      </c>
      <c r="C1587" s="80"/>
      <c r="D1587" s="79">
        <v>4</v>
      </c>
      <c r="E1587" s="80">
        <v>-17</v>
      </c>
      <c r="F1587" s="6"/>
      <c r="G1587" s="79">
        <v>2801</v>
      </c>
      <c r="H1587" s="17" t="s">
        <v>306</v>
      </c>
      <c r="I1587" s="22" t="s">
        <v>4978</v>
      </c>
      <c r="J1587" s="323">
        <v>81.650000000000006</v>
      </c>
      <c r="K1587" s="323">
        <v>12.78</v>
      </c>
      <c r="L1587" s="323">
        <v>0.19</v>
      </c>
      <c r="N1587" s="318">
        <f>J1587+K1587+L1587+M1587</f>
        <v>94.62</v>
      </c>
      <c r="O1587" s="81">
        <f>IFERROR(VLOOKUP($G1587,'321買'!A:E,3,0),"'沒有資料'")</f>
        <v>1</v>
      </c>
      <c r="P1587" s="380">
        <f>IFERROR(VLOOKUP($G1587,'321買'!$A:$G,7,0),"'沒有資料'")</f>
        <v>783</v>
      </c>
      <c r="R1587" s="297">
        <f>IFERROR(RANK(VLOOKUP($G1587,連買!$A:$D,4,0),連買!$D:$D,0),"'沒有資料'")</f>
        <v>831</v>
      </c>
      <c r="S1587" s="34">
        <v>0.8</v>
      </c>
      <c r="T1587" s="353">
        <f t="shared" ref="T1587:T1629" si="297">S1587/V1587</f>
        <v>4.2440318302387266E-2</v>
      </c>
      <c r="U1587" s="57">
        <v>0.69</v>
      </c>
      <c r="V1587" s="36">
        <f>RTD("money.excel",,"2801","Price")</f>
        <v>18.850000000000001</v>
      </c>
      <c r="W1587" s="66"/>
      <c r="X1587" s="15">
        <f t="shared" ref="X1587:X1629" si="298">V1587-W1587</f>
        <v>18.850000000000001</v>
      </c>
      <c r="Y1587" s="3" t="e">
        <f t="shared" ref="Y1587:Y1629" si="299">X1587/W1587</f>
        <v>#DIV/0!</v>
      </c>
      <c r="Z1587" s="413" t="s">
        <v>1801</v>
      </c>
      <c r="AA1587" s="161">
        <v>0</v>
      </c>
      <c r="AB1587" s="409">
        <v>0</v>
      </c>
      <c r="AC1587" s="259">
        <f t="shared" si="291"/>
        <v>0</v>
      </c>
      <c r="AD1587" s="22" t="s">
        <v>4978</v>
      </c>
      <c r="AG1587" s="33">
        <f t="shared" ref="AG1587:AG1629" si="300">AF1587-AE1587</f>
        <v>0</v>
      </c>
      <c r="AH1587" s="120" t="s">
        <v>1515</v>
      </c>
      <c r="AI1587" s="63">
        <f t="shared" ref="AI1587:AI1629" si="301">AJ1587/(A1587*10000)</f>
        <v>2.0905587668593449E-3</v>
      </c>
      <c r="AJ1587" s="307">
        <f>RTD("money.excel",,$G1587,"PredictVolume")</f>
        <v>21700</v>
      </c>
      <c r="AK1587" s="339"/>
    </row>
    <row r="1588" spans="1:37">
      <c r="A1588" s="416">
        <v>112</v>
      </c>
      <c r="B1588" s="79">
        <v>157</v>
      </c>
      <c r="C1588" s="79"/>
      <c r="D1588" s="80">
        <v>-36</v>
      </c>
      <c r="E1588" s="80">
        <v>-1</v>
      </c>
      <c r="F1588" s="6"/>
      <c r="G1588" s="79">
        <v>2809</v>
      </c>
      <c r="H1588" s="17" t="s">
        <v>306</v>
      </c>
      <c r="I1588" s="22" t="s">
        <v>4979</v>
      </c>
      <c r="J1588" s="323">
        <v>85.51</v>
      </c>
      <c r="K1588" s="73">
        <v>19.25</v>
      </c>
      <c r="L1588" s="73">
        <v>0.94</v>
      </c>
      <c r="N1588" s="318">
        <f>J1588+K1588+L1588+M1588</f>
        <v>105.7</v>
      </c>
      <c r="O1588" s="81">
        <f>IFERROR(VLOOKUP($G1588,'321買'!A:E,3,0),"'沒有資料'")</f>
        <v>2</v>
      </c>
      <c r="P1588" s="380">
        <f>IFERROR(VLOOKUP($G1588,'321買'!$A:$G,7,0),"'沒有資料'")</f>
        <v>706</v>
      </c>
      <c r="R1588" s="297">
        <f>IFERROR(RANK(VLOOKUP($G1588,連買!$A:$D,4,0),連買!$D:$D,0),"'沒有資料'")</f>
        <v>1555</v>
      </c>
      <c r="S1588" s="34">
        <v>1.8</v>
      </c>
      <c r="T1588" s="353">
        <f t="shared" si="297"/>
        <v>4.488778054862843E-2</v>
      </c>
      <c r="U1588" s="95">
        <v>6.27</v>
      </c>
      <c r="V1588" s="36">
        <f>RTD("money.excel",,"2809","Price")</f>
        <v>40.1</v>
      </c>
      <c r="W1588" s="66"/>
      <c r="X1588" s="15">
        <f t="shared" si="298"/>
        <v>40.1</v>
      </c>
      <c r="Y1588" s="3" t="e">
        <f t="shared" si="299"/>
        <v>#DIV/0!</v>
      </c>
      <c r="AA1588" s="161">
        <v>0</v>
      </c>
      <c r="AB1588" s="409">
        <v>0</v>
      </c>
      <c r="AC1588" s="259">
        <f t="shared" si="291"/>
        <v>0</v>
      </c>
      <c r="AD1588" s="22" t="s">
        <v>4979</v>
      </c>
      <c r="AG1588" s="33">
        <f t="shared" si="300"/>
        <v>0</v>
      </c>
      <c r="AH1588" s="120" t="s">
        <v>4980</v>
      </c>
      <c r="AI1588" s="63">
        <f t="shared" si="301"/>
        <v>1.5214285714285714E-3</v>
      </c>
      <c r="AJ1588" s="307">
        <f>RTD("money.excel",,$G1588,"PredictVolume")</f>
        <v>1704</v>
      </c>
      <c r="AK1588" s="339"/>
    </row>
    <row r="1589" spans="1:37">
      <c r="A1589" s="416">
        <v>453</v>
      </c>
      <c r="B1589" s="79">
        <v>21</v>
      </c>
      <c r="C1589" s="79"/>
      <c r="D1589" s="79">
        <v>7</v>
      </c>
      <c r="E1589" s="79">
        <v>23</v>
      </c>
      <c r="F1589" s="6"/>
      <c r="G1589" s="79">
        <v>2812</v>
      </c>
      <c r="H1589" s="17" t="s">
        <v>306</v>
      </c>
      <c r="I1589" s="22" t="s">
        <v>133</v>
      </c>
      <c r="J1589" s="323">
        <v>61.25</v>
      </c>
      <c r="K1589" s="73">
        <v>11.13</v>
      </c>
      <c r="L1589" s="323">
        <v>0.16</v>
      </c>
      <c r="M1589" s="73">
        <v>3.46</v>
      </c>
      <c r="N1589" s="318">
        <f>K1589+J1589+L1589+M1589</f>
        <v>75.999999999999986</v>
      </c>
      <c r="O1589" s="81">
        <f>IFERROR(VLOOKUP($G1589,'321買'!A:E,3,0),"'沒有資料'")</f>
        <v>0</v>
      </c>
      <c r="P1589" s="380">
        <f>IFERROR(VLOOKUP($G1589,'321買'!$A:$G,7,0),"'沒有資料'")</f>
        <v>911</v>
      </c>
      <c r="Q1589" s="245" t="s">
        <v>3816</v>
      </c>
      <c r="R1589" s="297">
        <f>IFERROR(RANK(VLOOKUP($G1589,連買!$A:$D,4,0),連買!$D:$D,0),"'沒有資料'")</f>
        <v>1081</v>
      </c>
      <c r="S1589" s="34">
        <v>0.69</v>
      </c>
      <c r="T1589" s="353">
        <f t="shared" si="297"/>
        <v>4.5544554455445543E-2</v>
      </c>
      <c r="U1589" s="57">
        <v>1.1299999999999999</v>
      </c>
      <c r="V1589" s="36">
        <f>RTD("money.excel",,"2812","Price")</f>
        <v>15.15</v>
      </c>
      <c r="W1589" s="66"/>
      <c r="X1589" s="15">
        <f t="shared" si="298"/>
        <v>15.15</v>
      </c>
      <c r="Y1589" s="3" t="e">
        <f t="shared" si="299"/>
        <v>#DIV/0!</v>
      </c>
      <c r="AA1589" s="161">
        <v>0</v>
      </c>
      <c r="AB1589" s="409">
        <v>0</v>
      </c>
      <c r="AC1589" s="259">
        <f t="shared" si="291"/>
        <v>0</v>
      </c>
      <c r="AD1589" s="22" t="s">
        <v>4981</v>
      </c>
      <c r="AG1589" s="33">
        <f t="shared" si="300"/>
        <v>0</v>
      </c>
      <c r="AH1589" s="120" t="s">
        <v>1435</v>
      </c>
      <c r="AI1589" s="63">
        <f t="shared" si="301"/>
        <v>5.1324503311258275E-3</v>
      </c>
      <c r="AJ1589" s="307">
        <f>RTD("money.excel",,$G1589,"PredictVolume")</f>
        <v>23250</v>
      </c>
      <c r="AK1589" s="339"/>
    </row>
    <row r="1590" spans="1:37">
      <c r="A1590" s="416">
        <v>22.3</v>
      </c>
      <c r="B1590" s="79">
        <v>16</v>
      </c>
      <c r="C1590" s="79">
        <v>16</v>
      </c>
      <c r="D1590" s="80">
        <v>-13</v>
      </c>
      <c r="E1590" s="80">
        <v>-27</v>
      </c>
      <c r="F1590" s="6">
        <v>8.49</v>
      </c>
      <c r="G1590" s="79">
        <v>2816</v>
      </c>
      <c r="H1590" s="17" t="s">
        <v>306</v>
      </c>
      <c r="I1590" s="22" t="s">
        <v>4982</v>
      </c>
      <c r="J1590" s="73">
        <v>78.97</v>
      </c>
      <c r="K1590" s="73">
        <v>5.52</v>
      </c>
      <c r="L1590" s="323">
        <v>2.0099999999999998</v>
      </c>
      <c r="N1590" s="318">
        <f t="shared" ref="N1590:N1629" si="302">J1590+K1590+L1590+M1590</f>
        <v>86.5</v>
      </c>
      <c r="O1590" s="81">
        <f>IFERROR(VLOOKUP($G1590,'321買'!A:E,3,0),"'沒有資料'")</f>
        <v>0</v>
      </c>
      <c r="P1590" s="380">
        <f>IFERROR(VLOOKUP($G1590,'321買'!$A:$G,7,0),"'沒有資料'")</f>
        <v>911</v>
      </c>
      <c r="R1590" s="297">
        <f>IFERROR(RANK(VLOOKUP($G1590,連買!$A:$D,4,0),連買!$D:$D,0),"'沒有資料'")</f>
        <v>940</v>
      </c>
      <c r="S1590" s="34">
        <v>0.8</v>
      </c>
      <c r="T1590" s="353">
        <f t="shared" si="297"/>
        <v>3.9603960396039604E-2</v>
      </c>
      <c r="U1590" s="95">
        <v>3.22</v>
      </c>
      <c r="V1590" s="36">
        <f>RTD("money.excel",,"2816","Price")</f>
        <v>20.2</v>
      </c>
      <c r="W1590" s="66"/>
      <c r="X1590" s="15">
        <f t="shared" si="298"/>
        <v>20.2</v>
      </c>
      <c r="Y1590" s="3" t="e">
        <f t="shared" si="299"/>
        <v>#DIV/0!</v>
      </c>
      <c r="AA1590" s="161">
        <v>0</v>
      </c>
      <c r="AB1590" s="409">
        <v>0</v>
      </c>
      <c r="AC1590" s="259">
        <f t="shared" si="291"/>
        <v>0</v>
      </c>
      <c r="AD1590" s="22" t="s">
        <v>4982</v>
      </c>
      <c r="AG1590" s="33">
        <f t="shared" si="300"/>
        <v>0</v>
      </c>
      <c r="AH1590" s="43" t="s">
        <v>4983</v>
      </c>
      <c r="AI1590" s="63">
        <f t="shared" si="301"/>
        <v>7.0852017937219735E-4</v>
      </c>
      <c r="AJ1590" s="307">
        <f>RTD("money.excel",,$G1590,"PredictVolume")</f>
        <v>158</v>
      </c>
      <c r="AK1590" s="339"/>
    </row>
    <row r="1591" spans="1:37">
      <c r="A1591" s="416">
        <v>134</v>
      </c>
      <c r="B1591" s="79">
        <v>25</v>
      </c>
      <c r="C1591" s="79"/>
      <c r="D1591" s="79">
        <v>11</v>
      </c>
      <c r="E1591" s="79">
        <v>42</v>
      </c>
      <c r="F1591" s="6"/>
      <c r="G1591" s="79">
        <v>2820</v>
      </c>
      <c r="H1591" s="17" t="s">
        <v>306</v>
      </c>
      <c r="I1591" s="22" t="s">
        <v>4984</v>
      </c>
      <c r="J1591" s="73">
        <v>62.2</v>
      </c>
      <c r="K1591" s="323">
        <v>7.17</v>
      </c>
      <c r="L1591" s="323">
        <v>0.16</v>
      </c>
      <c r="N1591" s="318">
        <f t="shared" si="302"/>
        <v>69.53</v>
      </c>
      <c r="O1591" s="81">
        <f>IFERROR(VLOOKUP($G1591,'321買'!A:E,3,0),"'沒有資料'")</f>
        <v>0</v>
      </c>
      <c r="P1591" s="380">
        <f>IFERROR(VLOOKUP($G1591,'321買'!$A:$G,7,0),"'沒有資料'")</f>
        <v>911</v>
      </c>
      <c r="R1591" s="297">
        <f>IFERROR(RANK(VLOOKUP($G1591,連買!$A:$D,4,0),連買!$D:$D,0),"'沒有資料'")</f>
        <v>963</v>
      </c>
      <c r="S1591" s="34">
        <v>0.87</v>
      </c>
      <c r="T1591" s="353">
        <f t="shared" si="297"/>
        <v>4.9856733524355303E-2</v>
      </c>
      <c r="U1591" s="95">
        <v>1.18</v>
      </c>
      <c r="V1591" s="36">
        <f>RTD("money.excel",,"2820","Price")</f>
        <v>17.45</v>
      </c>
      <c r="W1591" s="66"/>
      <c r="X1591" s="15">
        <f t="shared" si="298"/>
        <v>17.45</v>
      </c>
      <c r="Y1591" s="3" t="e">
        <f t="shared" si="299"/>
        <v>#DIV/0!</v>
      </c>
      <c r="AA1591" s="161">
        <v>0</v>
      </c>
      <c r="AB1591" s="409">
        <v>0</v>
      </c>
      <c r="AC1591" s="259">
        <f t="shared" si="291"/>
        <v>0</v>
      </c>
      <c r="AD1591" s="22" t="s">
        <v>4984</v>
      </c>
      <c r="AG1591" s="33">
        <f t="shared" si="300"/>
        <v>0</v>
      </c>
      <c r="AH1591" s="120" t="s">
        <v>4985</v>
      </c>
      <c r="AI1591" s="63">
        <f t="shared" si="301"/>
        <v>9.0746268656716417E-4</v>
      </c>
      <c r="AJ1591" s="307">
        <f>RTD("money.excel",,$G1591,"PredictVolume")</f>
        <v>1216</v>
      </c>
      <c r="AK1591" s="339"/>
    </row>
    <row r="1592" spans="1:37">
      <c r="A1592" s="415">
        <v>36.200000000000003</v>
      </c>
      <c r="B1592" s="79">
        <v>25</v>
      </c>
      <c r="C1592" s="79">
        <v>26</v>
      </c>
      <c r="D1592" s="80">
        <v>-3</v>
      </c>
      <c r="E1592" s="80">
        <v>-3</v>
      </c>
      <c r="F1592" s="57">
        <v>16.149999999999999</v>
      </c>
      <c r="G1592" s="79">
        <v>2832</v>
      </c>
      <c r="H1592" s="17" t="s">
        <v>306</v>
      </c>
      <c r="I1592" s="22" t="s">
        <v>4986</v>
      </c>
      <c r="J1592" s="323">
        <v>67.69</v>
      </c>
      <c r="K1592" s="73">
        <v>3.43</v>
      </c>
      <c r="L1592" s="323">
        <v>0.14000000000000001</v>
      </c>
      <c r="N1592" s="318">
        <f t="shared" si="302"/>
        <v>71.260000000000005</v>
      </c>
      <c r="O1592" s="81">
        <f>IFERROR(VLOOKUP($G1592,'321買'!A:E,3,0),"'沒有資料'")</f>
        <v>0</v>
      </c>
      <c r="P1592" s="380">
        <f>IFERROR(VLOOKUP($G1592,'321買'!$A:$G,7,0),"'沒有資料'")</f>
        <v>911</v>
      </c>
      <c r="R1592" s="297">
        <f>IFERROR(RANK(VLOOKUP($G1592,連買!$A:$D,4,0),連買!$D:$D,0),"'沒有資料'")</f>
        <v>953</v>
      </c>
      <c r="S1592" s="34">
        <v>1.1000000000000001</v>
      </c>
      <c r="T1592" s="353">
        <f t="shared" si="297"/>
        <v>5.365853658536586E-2</v>
      </c>
      <c r="U1592" s="95">
        <v>1.9</v>
      </c>
      <c r="V1592" s="36">
        <f>RTD("money.excel",,"2832","Price")</f>
        <v>20.5</v>
      </c>
      <c r="W1592" s="66"/>
      <c r="X1592" s="15">
        <f t="shared" si="298"/>
        <v>20.5</v>
      </c>
      <c r="Y1592" s="3" t="e">
        <f t="shared" si="299"/>
        <v>#DIV/0!</v>
      </c>
      <c r="Z1592" s="413" t="s">
        <v>1801</v>
      </c>
      <c r="AA1592" s="161">
        <v>0</v>
      </c>
      <c r="AB1592" s="409">
        <v>0</v>
      </c>
      <c r="AC1592" s="259">
        <f t="shared" si="291"/>
        <v>0</v>
      </c>
      <c r="AD1592" s="22" t="s">
        <v>4986</v>
      </c>
      <c r="AG1592" s="33">
        <f t="shared" si="300"/>
        <v>0</v>
      </c>
      <c r="AH1592" s="43" t="s">
        <v>1559</v>
      </c>
      <c r="AI1592" s="63">
        <f t="shared" si="301"/>
        <v>8.5082872928176798E-4</v>
      </c>
      <c r="AJ1592" s="307">
        <f>RTD("money.excel",,$G1592,"PredictVolume")</f>
        <v>308</v>
      </c>
      <c r="AK1592" s="339"/>
    </row>
    <row r="1593" spans="1:37">
      <c r="A1593" s="416">
        <v>748</v>
      </c>
      <c r="B1593" s="80">
        <v>-35</v>
      </c>
      <c r="C1593" s="80"/>
      <c r="D1593" s="80">
        <v>-4</v>
      </c>
      <c r="E1593" s="79">
        <v>3</v>
      </c>
      <c r="F1593" s="6">
        <v>3.66</v>
      </c>
      <c r="G1593" s="79">
        <v>2834</v>
      </c>
      <c r="H1593" s="17" t="s">
        <v>306</v>
      </c>
      <c r="I1593" s="22" t="s">
        <v>265</v>
      </c>
      <c r="J1593" s="323">
        <v>53.43</v>
      </c>
      <c r="K1593" s="73">
        <v>19.43</v>
      </c>
      <c r="L1593" s="73">
        <v>0.36</v>
      </c>
      <c r="N1593" s="318">
        <f t="shared" si="302"/>
        <v>73.22</v>
      </c>
      <c r="O1593" s="81">
        <f>IFERROR(VLOOKUP($G1593,'321買'!A:E,3,0),"'沒有資料'")</f>
        <v>1</v>
      </c>
      <c r="P1593" s="380">
        <f>IFERROR(VLOOKUP($G1593,'321買'!$A:$G,7,0),"'沒有資料'")</f>
        <v>783</v>
      </c>
      <c r="R1593" s="297">
        <f>IFERROR(RANK(VLOOKUP($G1593,連買!$A:$D,4,0),連買!$D:$D,0),"'沒有資料'")</f>
        <v>1106</v>
      </c>
      <c r="S1593" s="34">
        <v>0.44</v>
      </c>
      <c r="T1593" s="353">
        <f t="shared" si="297"/>
        <v>3.3716475095785438E-2</v>
      </c>
      <c r="U1593" s="95">
        <v>0.64</v>
      </c>
      <c r="V1593" s="36">
        <f>RTD("money.excel",,"2834","Price")</f>
        <v>13.05</v>
      </c>
      <c r="W1593" s="66"/>
      <c r="X1593" s="15">
        <f t="shared" si="298"/>
        <v>13.05</v>
      </c>
      <c r="Y1593" s="3" t="e">
        <f t="shared" si="299"/>
        <v>#DIV/0!</v>
      </c>
      <c r="Z1593" s="413" t="s">
        <v>1801</v>
      </c>
      <c r="AA1593" s="161">
        <v>0</v>
      </c>
      <c r="AB1593" s="409">
        <v>0</v>
      </c>
      <c r="AC1593" s="259">
        <f t="shared" si="291"/>
        <v>0</v>
      </c>
      <c r="AD1593" s="22" t="s">
        <v>265</v>
      </c>
      <c r="AG1593" s="33">
        <f t="shared" si="300"/>
        <v>0</v>
      </c>
      <c r="AH1593" s="120" t="s">
        <v>1436</v>
      </c>
      <c r="AI1593" s="63">
        <f t="shared" si="301"/>
        <v>2.1372860962566846E-2</v>
      </c>
      <c r="AJ1593" s="360">
        <f>RTD("money.excel",,$G1593,"PredictVolume")</f>
        <v>159869</v>
      </c>
      <c r="AK1593" s="339"/>
    </row>
    <row r="1594" spans="1:37">
      <c r="A1594" s="416">
        <v>112</v>
      </c>
      <c r="B1594" s="79">
        <v>61</v>
      </c>
      <c r="C1594" s="80"/>
      <c r="D1594" s="80">
        <v>-4</v>
      </c>
      <c r="E1594" s="80">
        <v>-1</v>
      </c>
      <c r="F1594" s="6"/>
      <c r="G1594" s="79">
        <v>2836</v>
      </c>
      <c r="H1594" s="17" t="s">
        <v>306</v>
      </c>
      <c r="I1594" s="22" t="s">
        <v>4987</v>
      </c>
      <c r="J1594" s="323">
        <v>82.02</v>
      </c>
      <c r="K1594" s="73">
        <v>7.21</v>
      </c>
      <c r="L1594" s="323">
        <v>1.33</v>
      </c>
      <c r="N1594" s="318">
        <f t="shared" si="302"/>
        <v>90.559999999999988</v>
      </c>
      <c r="O1594" s="81">
        <f>IFERROR(VLOOKUP($G1594,'321買'!A:E,3,0),"'沒有資料'")</f>
        <v>0</v>
      </c>
      <c r="P1594" s="380">
        <f>IFERROR(VLOOKUP($G1594,'321買'!$A:$G,7,0),"'沒有資料'")</f>
        <v>911</v>
      </c>
      <c r="R1594" s="297">
        <f>IFERROR(RANK(VLOOKUP($G1594,連買!$A:$D,4,0),連買!$D:$D,0),"'沒有資料'")</f>
        <v>1143</v>
      </c>
      <c r="S1594" s="34">
        <v>0.6</v>
      </c>
      <c r="T1594" s="353">
        <f t="shared" si="297"/>
        <v>3.9867109634551492E-2</v>
      </c>
      <c r="U1594" s="57">
        <v>0.7</v>
      </c>
      <c r="V1594" s="36">
        <f>RTD("money.excel",,"2836","Price")</f>
        <v>15.05</v>
      </c>
      <c r="W1594" s="66"/>
      <c r="X1594" s="15">
        <f t="shared" si="298"/>
        <v>15.05</v>
      </c>
      <c r="Y1594" s="3" t="e">
        <f t="shared" si="299"/>
        <v>#DIV/0!</v>
      </c>
      <c r="AA1594" s="161">
        <v>0</v>
      </c>
      <c r="AB1594" s="409">
        <v>0</v>
      </c>
      <c r="AC1594" s="259">
        <f t="shared" si="291"/>
        <v>0</v>
      </c>
      <c r="AD1594" s="22" t="s">
        <v>4987</v>
      </c>
      <c r="AG1594" s="33">
        <f t="shared" si="300"/>
        <v>0</v>
      </c>
      <c r="AH1594" s="120" t="s">
        <v>2349</v>
      </c>
      <c r="AI1594" s="63">
        <f t="shared" si="301"/>
        <v>2.2767857142857143E-3</v>
      </c>
      <c r="AJ1594" s="307">
        <f>RTD("money.excel",,$G1594,"PredictVolume")</f>
        <v>2550</v>
      </c>
      <c r="AK1594" s="339"/>
    </row>
    <row r="1595" spans="1:37">
      <c r="A1595" s="416">
        <v>309</v>
      </c>
      <c r="B1595" s="79">
        <v>14</v>
      </c>
      <c r="C1595" s="80"/>
      <c r="D1595" s="80">
        <v>-25</v>
      </c>
      <c r="E1595" s="80">
        <v>-30</v>
      </c>
      <c r="F1595" s="6"/>
      <c r="G1595" s="79">
        <v>2838</v>
      </c>
      <c r="H1595" s="17" t="s">
        <v>306</v>
      </c>
      <c r="I1595" s="22" t="s">
        <v>4988</v>
      </c>
      <c r="J1595" s="323">
        <v>89.98</v>
      </c>
      <c r="K1595" s="73">
        <v>3.07</v>
      </c>
      <c r="L1595" s="323">
        <v>0.09</v>
      </c>
      <c r="N1595" s="318">
        <f t="shared" si="302"/>
        <v>93.14</v>
      </c>
      <c r="O1595" s="81">
        <f>IFERROR(VLOOKUP($G1595,'321買'!A:E,3,0),"'沒有資料'")</f>
        <v>0</v>
      </c>
      <c r="P1595" s="380">
        <f>IFERROR(VLOOKUP($G1595,'321買'!$A:$G,7,0),"'沒有資料'")</f>
        <v>911</v>
      </c>
      <c r="R1595" s="297">
        <f>IFERROR(RANK(VLOOKUP($G1595,連買!$A:$D,4,0),連買!$D:$D,0),"'沒有資料'")</f>
        <v>912</v>
      </c>
      <c r="S1595" s="34">
        <v>0.63</v>
      </c>
      <c r="T1595" s="353">
        <f t="shared" si="297"/>
        <v>3.9009287925696599E-2</v>
      </c>
      <c r="U1595" s="95">
        <v>1.1299999999999999</v>
      </c>
      <c r="V1595" s="36">
        <f>RTD("money.excel",,"2838","Price")</f>
        <v>16.149999999999999</v>
      </c>
      <c r="W1595" s="66"/>
      <c r="X1595" s="15">
        <f t="shared" si="298"/>
        <v>16.149999999999999</v>
      </c>
      <c r="Y1595" s="3" t="e">
        <f t="shared" si="299"/>
        <v>#DIV/0!</v>
      </c>
      <c r="AA1595" s="161">
        <v>0</v>
      </c>
      <c r="AB1595" s="409">
        <v>0</v>
      </c>
      <c r="AC1595" s="259">
        <f t="shared" si="291"/>
        <v>0</v>
      </c>
      <c r="AD1595" s="22" t="s">
        <v>4988</v>
      </c>
      <c r="AG1595" s="33">
        <f t="shared" si="300"/>
        <v>0</v>
      </c>
      <c r="AH1595" s="120" t="s">
        <v>1437</v>
      </c>
      <c r="AI1595" s="63">
        <f t="shared" si="301"/>
        <v>2.3702265372168283E-3</v>
      </c>
      <c r="AJ1595" s="307">
        <f>RTD("money.excel",,$G1595,"PredictVolume")</f>
        <v>7324</v>
      </c>
      <c r="AK1595" s="339"/>
    </row>
    <row r="1596" spans="1:37">
      <c r="A1596" s="416">
        <v>344</v>
      </c>
      <c r="B1596" s="80">
        <v>-26</v>
      </c>
      <c r="C1596" s="80"/>
      <c r="D1596" s="80">
        <v>-25</v>
      </c>
      <c r="E1596" s="80">
        <v>-7</v>
      </c>
      <c r="F1596" s="6"/>
      <c r="G1596" s="79">
        <v>2845</v>
      </c>
      <c r="H1596" s="17" t="s">
        <v>306</v>
      </c>
      <c r="I1596" s="22" t="s">
        <v>134</v>
      </c>
      <c r="J1596" s="323">
        <v>74.86</v>
      </c>
      <c r="K1596" s="323">
        <v>11.13</v>
      </c>
      <c r="L1596" s="323">
        <v>0.3</v>
      </c>
      <c r="N1596" s="318">
        <f t="shared" si="302"/>
        <v>86.289999999999992</v>
      </c>
      <c r="O1596" s="81">
        <f>IFERROR(VLOOKUP($G1596,'321買'!A:E,3,0),"'沒有資料'")</f>
        <v>0</v>
      </c>
      <c r="P1596" s="380">
        <f>IFERROR(VLOOKUP($G1596,'321買'!$A:$G,7,0),"'沒有資料'")</f>
        <v>911</v>
      </c>
      <c r="R1596" s="297">
        <f>IFERROR(RANK(VLOOKUP($G1596,連買!$A:$D,4,0),連買!$D:$D,0),"'沒有資料'")</f>
        <v>1077</v>
      </c>
      <c r="S1596" s="34">
        <v>0.52</v>
      </c>
      <c r="T1596" s="353">
        <f t="shared" si="297"/>
        <v>4.1935483870967745E-2</v>
      </c>
      <c r="U1596" s="95">
        <v>0.74</v>
      </c>
      <c r="V1596" s="36">
        <f>RTD("money.excel",,"2845","Price")</f>
        <v>12.4</v>
      </c>
      <c r="W1596" s="66"/>
      <c r="X1596" s="15">
        <f t="shared" si="298"/>
        <v>12.4</v>
      </c>
      <c r="Y1596" s="3" t="e">
        <f t="shared" si="299"/>
        <v>#DIV/0!</v>
      </c>
      <c r="AA1596" s="161">
        <v>0</v>
      </c>
      <c r="AB1596" s="409">
        <v>0</v>
      </c>
      <c r="AC1596" s="259">
        <f t="shared" si="291"/>
        <v>0</v>
      </c>
      <c r="AD1596" s="22" t="s">
        <v>134</v>
      </c>
      <c r="AG1596" s="33">
        <f t="shared" si="300"/>
        <v>0</v>
      </c>
      <c r="AH1596" s="120" t="s">
        <v>1438</v>
      </c>
      <c r="AI1596" s="63">
        <f t="shared" si="301"/>
        <v>3.136627906976744E-3</v>
      </c>
      <c r="AJ1596" s="307">
        <f>RTD("money.excel",,$G1596,"PredictVolume")</f>
        <v>10790</v>
      </c>
      <c r="AK1596" s="339"/>
    </row>
    <row r="1597" spans="1:37">
      <c r="A1597" s="416">
        <v>195</v>
      </c>
      <c r="B1597" s="80">
        <v>-5</v>
      </c>
      <c r="C1597" s="80"/>
      <c r="D1597" s="79">
        <v>0</v>
      </c>
      <c r="E1597" s="80">
        <v>-17</v>
      </c>
      <c r="F1597" s="6"/>
      <c r="G1597" s="79">
        <v>2849</v>
      </c>
      <c r="H1597" s="17" t="s">
        <v>306</v>
      </c>
      <c r="I1597" s="22" t="s">
        <v>4989</v>
      </c>
      <c r="J1597" s="323">
        <v>98.31</v>
      </c>
      <c r="K1597" s="73">
        <v>59.16</v>
      </c>
      <c r="L1597" s="323">
        <v>7.0000000000000007E-2</v>
      </c>
      <c r="N1597" s="318">
        <f t="shared" si="302"/>
        <v>157.54</v>
      </c>
      <c r="O1597" s="81">
        <f>IFERROR(VLOOKUP($G1597,'321買'!A:E,3,0),"'沒有資料'")</f>
        <v>0</v>
      </c>
      <c r="P1597" s="380">
        <f>IFERROR(VLOOKUP($G1597,'321買'!$A:$G,7,0),"'沒有資料'")</f>
        <v>911</v>
      </c>
      <c r="R1597" s="297">
        <f>IFERROR(RANK(VLOOKUP($G1597,連買!$A:$D,4,0),連買!$D:$D,0),"'沒有資料'")</f>
        <v>1445</v>
      </c>
      <c r="S1597" s="34">
        <v>0.73</v>
      </c>
      <c r="T1597" s="353">
        <f t="shared" si="297"/>
        <v>4.5061728395061729E-2</v>
      </c>
      <c r="U1597" s="95">
        <v>1.1100000000000001</v>
      </c>
      <c r="V1597" s="13">
        <f>RTD("money.excel",,"2849","Price")</f>
        <v>16.2</v>
      </c>
      <c r="W1597" s="66"/>
      <c r="X1597" s="15">
        <f t="shared" si="298"/>
        <v>16.2</v>
      </c>
      <c r="Y1597" s="3" t="e">
        <f t="shared" si="299"/>
        <v>#DIV/0!</v>
      </c>
      <c r="AA1597" s="161">
        <v>0</v>
      </c>
      <c r="AB1597" s="409">
        <v>0</v>
      </c>
      <c r="AC1597" s="259">
        <f t="shared" si="291"/>
        <v>0</v>
      </c>
      <c r="AD1597" s="22" t="s">
        <v>4989</v>
      </c>
      <c r="AG1597" s="33">
        <f t="shared" si="300"/>
        <v>0</v>
      </c>
      <c r="AH1597" s="43" t="s">
        <v>1560</v>
      </c>
      <c r="AI1597" s="63">
        <f t="shared" si="301"/>
        <v>4.051282051282051E-5</v>
      </c>
      <c r="AJ1597" s="307">
        <f>RTD("money.excel",,$G1597,"PredictVolume")</f>
        <v>79</v>
      </c>
      <c r="AK1597" s="339"/>
    </row>
    <row r="1598" spans="1:37">
      <c r="A1598" s="415">
        <v>31.6</v>
      </c>
      <c r="B1598" s="80">
        <v>-11</v>
      </c>
      <c r="C1598" s="80">
        <v>-7</v>
      </c>
      <c r="D1598" s="80">
        <v>-7</v>
      </c>
      <c r="E1598" s="80">
        <v>-5</v>
      </c>
      <c r="F1598" s="57">
        <v>12.04</v>
      </c>
      <c r="G1598" s="79">
        <v>2850</v>
      </c>
      <c r="H1598" s="17" t="s">
        <v>306</v>
      </c>
      <c r="I1598" s="22" t="s">
        <v>335</v>
      </c>
      <c r="J1598" s="323">
        <v>66.45</v>
      </c>
      <c r="K1598" s="323">
        <v>8.73</v>
      </c>
      <c r="L1598" s="323">
        <v>0.24</v>
      </c>
      <c r="N1598" s="318">
        <f t="shared" si="302"/>
        <v>75.42</v>
      </c>
      <c r="O1598" s="81">
        <f>IFERROR(VLOOKUP($G1598,'321買'!A:E,3,0),"'沒有資料'")</f>
        <v>0</v>
      </c>
      <c r="P1598" s="380">
        <f>IFERROR(VLOOKUP($G1598,'321買'!$A:$G,7,0),"'沒有資料'")</f>
        <v>911</v>
      </c>
      <c r="R1598" s="297">
        <f>IFERROR(RANK(VLOOKUP($G1598,連買!$A:$D,4,0),連買!$D:$D,0),"'沒有資料'")</f>
        <v>502</v>
      </c>
      <c r="S1598" s="34">
        <v>1.95</v>
      </c>
      <c r="T1598" s="353">
        <f t="shared" si="297"/>
        <v>3.5071942446043163E-2</v>
      </c>
      <c r="U1598" s="95">
        <v>5.16</v>
      </c>
      <c r="V1598" s="36">
        <f>RTD("money.excel",,"2850","Price")</f>
        <v>55.6</v>
      </c>
      <c r="W1598" s="66"/>
      <c r="X1598" s="15">
        <f t="shared" si="298"/>
        <v>55.6</v>
      </c>
      <c r="Y1598" s="3" t="e">
        <f t="shared" si="299"/>
        <v>#DIV/0!</v>
      </c>
      <c r="AA1598" s="161">
        <v>0</v>
      </c>
      <c r="AB1598" s="409">
        <v>0</v>
      </c>
      <c r="AC1598" s="259">
        <f t="shared" si="291"/>
        <v>0</v>
      </c>
      <c r="AD1598" s="22" t="s">
        <v>335</v>
      </c>
      <c r="AG1598" s="33">
        <f t="shared" si="300"/>
        <v>0</v>
      </c>
      <c r="AH1598" s="43" t="s">
        <v>1561</v>
      </c>
      <c r="AI1598" s="63">
        <f t="shared" si="301"/>
        <v>9.1139240506329109E-4</v>
      </c>
      <c r="AJ1598" s="307">
        <f>RTD("money.excel",,$G1598,"PredictVolume")</f>
        <v>288</v>
      </c>
      <c r="AK1598" s="339"/>
    </row>
    <row r="1599" spans="1:37">
      <c r="A1599" s="415">
        <v>59</v>
      </c>
      <c r="B1599" s="79">
        <v>36</v>
      </c>
      <c r="C1599" s="79">
        <v>33</v>
      </c>
      <c r="D1599" s="80">
        <v>-22</v>
      </c>
      <c r="E1599" s="80">
        <v>-3</v>
      </c>
      <c r="F1599" s="57">
        <v>13.54</v>
      </c>
      <c r="G1599" s="79">
        <v>2851</v>
      </c>
      <c r="H1599" s="17" t="s">
        <v>306</v>
      </c>
      <c r="I1599" s="22" t="s">
        <v>336</v>
      </c>
      <c r="J1599" s="323">
        <v>78.489999999999995</v>
      </c>
      <c r="K1599" s="323">
        <v>1.44</v>
      </c>
      <c r="L1599" s="323">
        <v>2.4500000000000002</v>
      </c>
      <c r="N1599" s="318">
        <f t="shared" si="302"/>
        <v>82.38</v>
      </c>
      <c r="O1599" s="81">
        <f>IFERROR(VLOOKUP($G1599,'321買'!A:E,3,0),"'沒有資料'")</f>
        <v>0</v>
      </c>
      <c r="P1599" s="380">
        <f>IFERROR(VLOOKUP($G1599,'321買'!$A:$G,7,0),"'沒有資料'")</f>
        <v>911</v>
      </c>
      <c r="R1599" s="297">
        <f>IFERROR(RANK(VLOOKUP($G1599,連買!$A:$D,4,0),連買!$D:$D,0),"'沒有資料'")</f>
        <v>575</v>
      </c>
      <c r="S1599" s="34">
        <v>1.3</v>
      </c>
      <c r="T1599" s="353">
        <f t="shared" si="297"/>
        <v>4.2975206611570248E-2</v>
      </c>
      <c r="U1599" s="57">
        <v>3.12</v>
      </c>
      <c r="V1599" s="36">
        <f>RTD("money.excel",,"2851","Price")</f>
        <v>30.25</v>
      </c>
      <c r="W1599" s="66"/>
      <c r="X1599" s="15">
        <f t="shared" si="298"/>
        <v>30.25</v>
      </c>
      <c r="Y1599" s="3" t="e">
        <f t="shared" si="299"/>
        <v>#DIV/0!</v>
      </c>
      <c r="AA1599" s="161">
        <v>0</v>
      </c>
      <c r="AB1599" s="409">
        <v>0</v>
      </c>
      <c r="AC1599" s="259">
        <f t="shared" si="291"/>
        <v>0</v>
      </c>
      <c r="AD1599" s="22" t="s">
        <v>336</v>
      </c>
      <c r="AG1599" s="33">
        <f t="shared" si="300"/>
        <v>0</v>
      </c>
      <c r="AH1599" s="43" t="s">
        <v>3632</v>
      </c>
      <c r="AI1599" s="63">
        <f t="shared" si="301"/>
        <v>1.6016949152542373E-3</v>
      </c>
      <c r="AJ1599" s="307">
        <f>RTD("money.excel",,$G1599,"PredictVolume")</f>
        <v>945</v>
      </c>
      <c r="AK1599" s="339"/>
    </row>
    <row r="1600" spans="1:37">
      <c r="A1600" s="415">
        <v>30.1</v>
      </c>
      <c r="B1600" s="79">
        <v>18</v>
      </c>
      <c r="C1600" s="79">
        <v>17</v>
      </c>
      <c r="D1600" s="80">
        <v>-25</v>
      </c>
      <c r="E1600" s="80">
        <v>-42</v>
      </c>
      <c r="F1600" s="57">
        <v>10.98</v>
      </c>
      <c r="G1600" s="79">
        <v>2852</v>
      </c>
      <c r="H1600" s="17" t="s">
        <v>306</v>
      </c>
      <c r="I1600" s="22" t="s">
        <v>4990</v>
      </c>
      <c r="J1600" s="73">
        <v>65.760000000000005</v>
      </c>
      <c r="K1600" s="323">
        <v>3.94</v>
      </c>
      <c r="L1600" s="323">
        <v>0.39</v>
      </c>
      <c r="N1600" s="318">
        <f t="shared" si="302"/>
        <v>70.09</v>
      </c>
      <c r="O1600" s="81">
        <f>IFERROR(VLOOKUP($G1600,'321買'!A:E,3,0),"'沒有資料'")</f>
        <v>0</v>
      </c>
      <c r="P1600" s="380">
        <f>IFERROR(VLOOKUP($G1600,'321買'!$A:$G,7,0),"'沒有資料'")</f>
        <v>911</v>
      </c>
      <c r="R1600" s="297">
        <f>IFERROR(RANK(VLOOKUP($G1600,連買!$A:$D,4,0),連買!$D:$D,0),"'沒有資料'")</f>
        <v>1164</v>
      </c>
      <c r="S1600" s="34">
        <v>0.35</v>
      </c>
      <c r="T1600" s="353">
        <f t="shared" si="297"/>
        <v>2.0771513353115723E-2</v>
      </c>
      <c r="U1600" s="95">
        <v>0.51</v>
      </c>
      <c r="V1600" s="36">
        <f>RTD("money.excel",,"2852","Price")</f>
        <v>16.850000000000001</v>
      </c>
      <c r="W1600" s="66"/>
      <c r="X1600" s="15">
        <f t="shared" si="298"/>
        <v>16.850000000000001</v>
      </c>
      <c r="Y1600" s="3" t="e">
        <f t="shared" si="299"/>
        <v>#DIV/0!</v>
      </c>
      <c r="AA1600" s="161">
        <v>0</v>
      </c>
      <c r="AB1600" s="409">
        <v>0</v>
      </c>
      <c r="AC1600" s="259">
        <f t="shared" si="291"/>
        <v>0</v>
      </c>
      <c r="AD1600" s="22" t="s">
        <v>4990</v>
      </c>
      <c r="AG1600" s="33">
        <f t="shared" si="300"/>
        <v>0</v>
      </c>
      <c r="AH1600" s="120" t="s">
        <v>1562</v>
      </c>
      <c r="AI1600" s="63">
        <f t="shared" si="301"/>
        <v>1.4883720930232557E-3</v>
      </c>
      <c r="AJ1600" s="307">
        <f>RTD("money.excel",,$G1600,"PredictVolume")</f>
        <v>448</v>
      </c>
      <c r="AK1600" s="81"/>
    </row>
    <row r="1601" spans="1:37">
      <c r="A1601" s="415">
        <v>139</v>
      </c>
      <c r="B1601" s="80">
        <v>-43</v>
      </c>
      <c r="C1601" s="80">
        <v>-41</v>
      </c>
      <c r="D1601" s="80">
        <v>-65</v>
      </c>
      <c r="E1601" s="80">
        <v>-6</v>
      </c>
      <c r="F1601" s="57">
        <v>16.59</v>
      </c>
      <c r="G1601" s="79">
        <v>2855</v>
      </c>
      <c r="H1601" s="17" t="s">
        <v>306</v>
      </c>
      <c r="I1601" s="22" t="s">
        <v>337</v>
      </c>
      <c r="J1601" s="73">
        <v>78.09</v>
      </c>
      <c r="K1601" s="323">
        <v>10.71</v>
      </c>
      <c r="L1601" s="323">
        <v>0.59</v>
      </c>
      <c r="N1601" s="318">
        <f t="shared" si="302"/>
        <v>89.390000000000015</v>
      </c>
      <c r="O1601" s="81">
        <f>IFERROR(VLOOKUP($G1601,'321買'!A:E,3,0),"'沒有資料'")</f>
        <v>0</v>
      </c>
      <c r="P1601" s="380">
        <f>IFERROR(VLOOKUP($G1601,'321買'!$A:$G,7,0),"'沒有資料'")</f>
        <v>911</v>
      </c>
      <c r="R1601" s="297">
        <f>IFERROR(RANK(VLOOKUP($G1601,連買!$A:$D,4,0),連買!$D:$D,0),"'沒有資料'")</f>
        <v>1552</v>
      </c>
      <c r="S1601" s="34">
        <v>1.9</v>
      </c>
      <c r="T1601" s="353">
        <f t="shared" si="297"/>
        <v>8.7155963302752285E-2</v>
      </c>
      <c r="U1601" s="95">
        <v>2.59</v>
      </c>
      <c r="V1601" s="36">
        <f>RTD("money.excel",,"2855","Price")</f>
        <v>21.8</v>
      </c>
      <c r="W1601" s="66"/>
      <c r="X1601" s="15">
        <f t="shared" si="298"/>
        <v>21.8</v>
      </c>
      <c r="Y1601" s="3" t="e">
        <f t="shared" si="299"/>
        <v>#DIV/0!</v>
      </c>
      <c r="Z1601" s="413" t="s">
        <v>1801</v>
      </c>
      <c r="AA1601" s="161">
        <v>0</v>
      </c>
      <c r="AB1601" s="409">
        <v>0</v>
      </c>
      <c r="AC1601" s="259">
        <f t="shared" si="291"/>
        <v>0</v>
      </c>
      <c r="AD1601" s="22" t="s">
        <v>337</v>
      </c>
      <c r="AG1601" s="33">
        <f t="shared" si="300"/>
        <v>0</v>
      </c>
      <c r="AH1601" s="43" t="s">
        <v>1439</v>
      </c>
      <c r="AI1601" s="63">
        <f t="shared" si="301"/>
        <v>6.482014388489209E-4</v>
      </c>
      <c r="AJ1601" s="307">
        <f>RTD("money.excel",,$G1601,"PredictVolume")</f>
        <v>901</v>
      </c>
      <c r="AK1601" s="339"/>
    </row>
    <row r="1602" spans="1:37">
      <c r="A1602" s="416">
        <v>309</v>
      </c>
      <c r="B1602" s="80">
        <v>-24</v>
      </c>
      <c r="C1602" s="80">
        <v>-175</v>
      </c>
      <c r="D1602" s="80">
        <f>-35-4</f>
        <v>-39</v>
      </c>
      <c r="E1602" s="80">
        <v>-23</v>
      </c>
      <c r="F1602" s="6">
        <v>-0.83</v>
      </c>
      <c r="G1602" s="79">
        <v>2867</v>
      </c>
      <c r="H1602" s="17" t="s">
        <v>306</v>
      </c>
      <c r="I1602" s="22" t="s">
        <v>116</v>
      </c>
      <c r="J1602" s="323">
        <v>72.56</v>
      </c>
      <c r="K1602" s="323">
        <v>5.61</v>
      </c>
      <c r="L1602" s="323">
        <v>4.59</v>
      </c>
      <c r="M1602" s="323">
        <v>40.74</v>
      </c>
      <c r="N1602" s="318">
        <f t="shared" si="302"/>
        <v>123.5</v>
      </c>
      <c r="O1602" s="81">
        <f>IFERROR(VLOOKUP($G1602,'321買'!A:E,3,0),"'沒有資料'")</f>
        <v>0</v>
      </c>
      <c r="P1602" s="380">
        <f>IFERROR(VLOOKUP($G1602,'321買'!$A:$G,7,0),"'沒有資料'")</f>
        <v>911</v>
      </c>
      <c r="R1602" s="297">
        <f>IFERROR(RANK(VLOOKUP($G1602,連買!$A:$D,4,0),連買!$D:$D,0),"'沒有資料'")</f>
        <v>1233</v>
      </c>
      <c r="S1602" s="34">
        <v>0</v>
      </c>
      <c r="T1602" s="353">
        <f>S1602/V1602</f>
        <v>0</v>
      </c>
      <c r="U1602" s="57">
        <v>0.43</v>
      </c>
      <c r="V1602" s="36">
        <f>RTD("money.excel",,"2867","Price")</f>
        <v>8.4499999999999993</v>
      </c>
      <c r="W1602" s="66"/>
      <c r="X1602" s="15">
        <f t="shared" si="298"/>
        <v>8.4499999999999993</v>
      </c>
      <c r="Y1602" s="3" t="e">
        <f t="shared" si="299"/>
        <v>#DIV/0!</v>
      </c>
      <c r="AA1602" s="161">
        <v>0</v>
      </c>
      <c r="AB1602" s="409">
        <v>0</v>
      </c>
      <c r="AC1602" s="259">
        <f t="shared" si="291"/>
        <v>0</v>
      </c>
      <c r="AD1602" s="22" t="s">
        <v>116</v>
      </c>
      <c r="AG1602" s="33">
        <f t="shared" si="300"/>
        <v>0</v>
      </c>
      <c r="AH1602" s="120" t="s">
        <v>2323</v>
      </c>
      <c r="AI1602" s="63">
        <f t="shared" si="301"/>
        <v>1.4686084142394823E-3</v>
      </c>
      <c r="AJ1602" s="307">
        <f>RTD("money.excel",,$G1602,"PredictVolume")</f>
        <v>4538</v>
      </c>
      <c r="AK1602" s="339"/>
    </row>
    <row r="1603" spans="1:37">
      <c r="A1603" s="416">
        <v>1319</v>
      </c>
      <c r="B1603" s="79">
        <v>98</v>
      </c>
      <c r="C1603" s="79"/>
      <c r="D1603" s="80">
        <v>-18</v>
      </c>
      <c r="E1603" s="80">
        <v>-3</v>
      </c>
      <c r="F1603" s="6"/>
      <c r="G1603" s="79">
        <v>2880</v>
      </c>
      <c r="H1603" s="17" t="s">
        <v>306</v>
      </c>
      <c r="I1603" s="22" t="s">
        <v>4991</v>
      </c>
      <c r="J1603" s="323">
        <v>76.02</v>
      </c>
      <c r="K1603" s="73">
        <v>18.68</v>
      </c>
      <c r="L1603" s="73">
        <v>0.14000000000000001</v>
      </c>
      <c r="M1603" s="73">
        <v>25.46</v>
      </c>
      <c r="N1603" s="318">
        <f t="shared" si="302"/>
        <v>120.29999999999998</v>
      </c>
      <c r="O1603" s="81">
        <f>IFERROR(VLOOKUP($G1603,'321買'!A:E,3,0),"'沒有資料'")</f>
        <v>0</v>
      </c>
      <c r="P1603" s="380">
        <f>IFERROR(VLOOKUP($G1603,'321買'!$A:$G,7,0),"'沒有資料'")</f>
        <v>911</v>
      </c>
      <c r="Q1603" s="245" t="s">
        <v>3817</v>
      </c>
      <c r="R1603" s="297">
        <f>IFERROR(RANK(VLOOKUP($G1603,連買!$A:$D,4,0),連買!$D:$D,0),"'沒有資料'")</f>
        <v>829</v>
      </c>
      <c r="S1603" s="34"/>
      <c r="T1603" s="353">
        <f t="shared" ref="T1603" si="303">S1603/V1603</f>
        <v>0</v>
      </c>
      <c r="U1603" s="57">
        <v>1.32</v>
      </c>
      <c r="V1603" s="36">
        <f>RTD("money.excel",,"2880","Price")</f>
        <v>24.4</v>
      </c>
      <c r="W1603" s="66"/>
      <c r="X1603" s="15">
        <f t="shared" si="298"/>
        <v>24.4</v>
      </c>
      <c r="Y1603" s="3" t="e">
        <f t="shared" si="299"/>
        <v>#DIV/0!</v>
      </c>
      <c r="Z1603" s="413" t="s">
        <v>8628</v>
      </c>
      <c r="AA1603" s="161">
        <v>0</v>
      </c>
      <c r="AB1603" s="409">
        <v>0</v>
      </c>
      <c r="AC1603" s="259">
        <f t="shared" si="291"/>
        <v>0</v>
      </c>
      <c r="AD1603" s="22" t="s">
        <v>4991</v>
      </c>
      <c r="AG1603" s="33">
        <f t="shared" si="300"/>
        <v>0</v>
      </c>
      <c r="AH1603" s="120" t="s">
        <v>1515</v>
      </c>
      <c r="AI1603" s="63">
        <f t="shared" si="301"/>
        <v>1.4043214556482184E-3</v>
      </c>
      <c r="AJ1603" s="307">
        <f>RTD("money.excel",,$G1603,"PredictVolume")</f>
        <v>18523</v>
      </c>
      <c r="AK1603" s="339">
        <v>0.39</v>
      </c>
    </row>
    <row r="1604" spans="1:37">
      <c r="A1604" s="416">
        <v>1180</v>
      </c>
      <c r="B1604" s="79">
        <v>61</v>
      </c>
      <c r="C1604" s="79"/>
      <c r="D1604" s="80">
        <v>-31</v>
      </c>
      <c r="E1604" s="79">
        <v>3</v>
      </c>
      <c r="F1604" s="6"/>
      <c r="G1604" s="79">
        <v>2881</v>
      </c>
      <c r="H1604" s="17" t="s">
        <v>306</v>
      </c>
      <c r="I1604" s="22" t="s">
        <v>68</v>
      </c>
      <c r="J1604" s="201">
        <v>83.86</v>
      </c>
      <c r="K1604" s="323">
        <v>21.97</v>
      </c>
      <c r="L1604" s="73">
        <v>0.55000000000000004</v>
      </c>
      <c r="M1604" s="73">
        <v>28.57</v>
      </c>
      <c r="N1604" s="73">
        <f t="shared" si="302"/>
        <v>134.94999999999999</v>
      </c>
      <c r="O1604" s="81">
        <f>IFERROR(VLOOKUP($G1604,'321買'!A:E,3,0),"'沒有資料'")</f>
        <v>0</v>
      </c>
      <c r="P1604" s="380">
        <f>IFERROR(VLOOKUP($G1604,'321買'!$A:$G,7,0),"'沒有資料'")</f>
        <v>911</v>
      </c>
      <c r="Q1604" s="245" t="s">
        <v>3817</v>
      </c>
      <c r="R1604" s="297">
        <f>IFERROR(RANK(VLOOKUP($G1604,連買!$A:$D,4,0),連買!$D:$D,0),"'沒有資料'")</f>
        <v>364</v>
      </c>
      <c r="S1604" s="220"/>
      <c r="T1604" s="353">
        <f t="shared" si="297"/>
        <v>0</v>
      </c>
      <c r="U1604" s="57">
        <v>13.44</v>
      </c>
      <c r="V1604" s="36">
        <f>RTD("money.excel",,"2881","Price")</f>
        <v>75.599999999999994</v>
      </c>
      <c r="W1604" s="65"/>
      <c r="X1604" s="15">
        <f t="shared" si="298"/>
        <v>75.599999999999994</v>
      </c>
      <c r="Y1604" s="3" t="e">
        <f t="shared" si="299"/>
        <v>#DIV/0!</v>
      </c>
      <c r="Z1604" s="413" t="s">
        <v>5138</v>
      </c>
      <c r="AA1604" s="161">
        <v>0</v>
      </c>
      <c r="AB1604" s="409">
        <v>0</v>
      </c>
      <c r="AC1604" s="259">
        <f t="shared" ref="AC1604:AC1667" si="304">AA1604-AB1604</f>
        <v>0</v>
      </c>
      <c r="AD1604" s="22" t="s">
        <v>68</v>
      </c>
      <c r="AG1604" s="33">
        <f t="shared" si="300"/>
        <v>0</v>
      </c>
      <c r="AH1604" s="43" t="s">
        <v>2784</v>
      </c>
      <c r="AI1604" s="63">
        <f t="shared" si="301"/>
        <v>8.5084745762711866E-4</v>
      </c>
      <c r="AJ1604" s="307">
        <f>RTD("money.excel",,$G1604,"PredictVolume")</f>
        <v>10040</v>
      </c>
      <c r="AK1604" s="339">
        <v>1.38</v>
      </c>
    </row>
    <row r="1605" spans="1:37">
      <c r="A1605" s="416">
        <v>1316</v>
      </c>
      <c r="B1605" s="79">
        <v>85</v>
      </c>
      <c r="C1605" s="79"/>
      <c r="D1605" s="80">
        <v>-22</v>
      </c>
      <c r="E1605" s="80">
        <v>-20</v>
      </c>
      <c r="F1605" s="6"/>
      <c r="G1605" s="79">
        <v>2882</v>
      </c>
      <c r="H1605" s="17" t="s">
        <v>306</v>
      </c>
      <c r="I1605" s="22" t="s">
        <v>9</v>
      </c>
      <c r="J1605" s="201">
        <v>81.98</v>
      </c>
      <c r="K1605" s="73">
        <v>26.22</v>
      </c>
      <c r="L1605" s="73">
        <v>0.52</v>
      </c>
      <c r="M1605" s="323">
        <v>1.66</v>
      </c>
      <c r="N1605" s="318">
        <f t="shared" si="302"/>
        <v>110.38</v>
      </c>
      <c r="O1605" s="81">
        <f>IFERROR(VLOOKUP($G1605,'321買'!A:E,3,0),"'沒有資料'")</f>
        <v>0</v>
      </c>
      <c r="P1605" s="380">
        <f>IFERROR(VLOOKUP($G1605,'321買'!$A:$G,7,0),"'沒有資料'")</f>
        <v>911</v>
      </c>
      <c r="Q1605" s="245" t="s">
        <v>3816</v>
      </c>
      <c r="R1605" s="297">
        <f>IFERROR(RANK(VLOOKUP($G1605,連買!$A:$D,4,0),連買!$D:$D,0),"'沒有資料'")</f>
        <v>523</v>
      </c>
      <c r="S1605" s="198"/>
      <c r="T1605" s="353">
        <f t="shared" si="297"/>
        <v>0</v>
      </c>
      <c r="U1605" s="57">
        <v>10.59</v>
      </c>
      <c r="V1605" s="36">
        <f>RTD("money.excel",,"2882","Price")</f>
        <v>64.7</v>
      </c>
      <c r="W1605" s="65"/>
      <c r="X1605" s="15">
        <f t="shared" si="298"/>
        <v>64.7</v>
      </c>
      <c r="Y1605" s="3" t="e">
        <f t="shared" si="299"/>
        <v>#DIV/0!</v>
      </c>
      <c r="Z1605" s="413" t="s">
        <v>8618</v>
      </c>
      <c r="AA1605" s="161">
        <v>0</v>
      </c>
      <c r="AB1605" s="409">
        <v>0</v>
      </c>
      <c r="AC1605" s="259">
        <f t="shared" si="304"/>
        <v>0</v>
      </c>
      <c r="AD1605" s="22" t="s">
        <v>9</v>
      </c>
      <c r="AG1605" s="33">
        <f t="shared" si="300"/>
        <v>0</v>
      </c>
      <c r="AH1605" s="43" t="s">
        <v>2783</v>
      </c>
      <c r="AI1605" s="63">
        <f t="shared" si="301"/>
        <v>8.1755319148936174E-4</v>
      </c>
      <c r="AJ1605" s="307">
        <f>RTD("money.excel",,$G1605,"PredictVolume")</f>
        <v>10759</v>
      </c>
      <c r="AK1605" s="339">
        <v>1.08</v>
      </c>
    </row>
    <row r="1606" spans="1:37">
      <c r="A1606" s="416">
        <v>1719</v>
      </c>
      <c r="B1606" s="79">
        <v>127</v>
      </c>
      <c r="C1606" s="79"/>
      <c r="D1606" s="80">
        <v>-11</v>
      </c>
      <c r="E1606" s="80">
        <v>-26</v>
      </c>
      <c r="F1606" s="6"/>
      <c r="G1606" s="79">
        <v>2883</v>
      </c>
      <c r="H1606" s="17" t="s">
        <v>306</v>
      </c>
      <c r="I1606" s="22" t="s">
        <v>4992</v>
      </c>
      <c r="J1606" s="73">
        <v>59.26</v>
      </c>
      <c r="K1606" s="73">
        <v>23.22</v>
      </c>
      <c r="L1606" s="323">
        <v>1.25</v>
      </c>
      <c r="M1606" s="323">
        <v>1.43</v>
      </c>
      <c r="N1606" s="318">
        <f t="shared" si="302"/>
        <v>85.16</v>
      </c>
      <c r="O1606" s="81">
        <f>IFERROR(VLOOKUP($G1606,'321買'!A:E,3,0),"'沒有資料'")</f>
        <v>2</v>
      </c>
      <c r="P1606" s="380">
        <f>IFERROR(VLOOKUP($G1606,'321買'!$A:$G,7,0),"'沒有資料'")</f>
        <v>706</v>
      </c>
      <c r="Q1606" s="245" t="s">
        <v>3817</v>
      </c>
      <c r="R1606" s="297">
        <f>IFERROR(RANK(VLOOKUP($G1606,連買!$A:$D,4,0),連買!$D:$D,0),"'沒有資料'")</f>
        <v>1128</v>
      </c>
      <c r="S1606" s="34"/>
      <c r="T1606" s="353">
        <f t="shared" si="297"/>
        <v>0</v>
      </c>
      <c r="U1606" s="57">
        <v>2.34</v>
      </c>
      <c r="V1606" s="36">
        <f>RTD("money.excel",,"2883","Price")</f>
        <v>19.2</v>
      </c>
      <c r="W1606" s="66"/>
      <c r="X1606" s="15">
        <f t="shared" si="298"/>
        <v>19.2</v>
      </c>
      <c r="Y1606" s="3" t="e">
        <f t="shared" si="299"/>
        <v>#DIV/0!</v>
      </c>
      <c r="Z1606" s="413" t="s">
        <v>8627</v>
      </c>
      <c r="AA1606" s="161">
        <v>0</v>
      </c>
      <c r="AB1606" s="409">
        <v>0</v>
      </c>
      <c r="AC1606" s="259">
        <f t="shared" si="304"/>
        <v>0</v>
      </c>
      <c r="AD1606" s="22" t="s">
        <v>4992</v>
      </c>
      <c r="AG1606" s="33">
        <f t="shared" si="300"/>
        <v>0</v>
      </c>
      <c r="AH1606" s="120" t="s">
        <v>2451</v>
      </c>
      <c r="AI1606" s="63">
        <f t="shared" si="301"/>
        <v>4.2990692262943574E-3</v>
      </c>
      <c r="AJ1606" s="307">
        <f>RTD("money.excel",,$G1606,"PredictVolume")</f>
        <v>73901</v>
      </c>
      <c r="AK1606" s="339">
        <v>2.9</v>
      </c>
    </row>
    <row r="1607" spans="1:37">
      <c r="A1607" s="416">
        <v>1335</v>
      </c>
      <c r="B1607" s="79">
        <v>14</v>
      </c>
      <c r="C1607" s="79"/>
      <c r="D1607" s="79">
        <v>22</v>
      </c>
      <c r="E1607" s="80">
        <v>-4</v>
      </c>
      <c r="F1607" s="6"/>
      <c r="G1607" s="79">
        <v>2884</v>
      </c>
      <c r="H1607" s="17" t="s">
        <v>306</v>
      </c>
      <c r="I1607" s="22" t="s">
        <v>271</v>
      </c>
      <c r="J1607" s="73">
        <v>70.41</v>
      </c>
      <c r="K1607" s="73">
        <v>39.49</v>
      </c>
      <c r="L1607" s="73">
        <v>0.15</v>
      </c>
      <c r="M1607" s="323">
        <v>2.21</v>
      </c>
      <c r="N1607" s="318">
        <f t="shared" si="302"/>
        <v>112.26</v>
      </c>
      <c r="O1607" s="81">
        <f>IFERROR(VLOOKUP($G1607,'321買'!A:E,3,0),"'沒有資料'")</f>
        <v>0</v>
      </c>
      <c r="P1607" s="380">
        <f>IFERROR(VLOOKUP($G1607,'321買'!$A:$G,7,0),"'沒有資料'")</f>
        <v>911</v>
      </c>
      <c r="Q1607" s="245" t="s">
        <v>3817</v>
      </c>
      <c r="R1607" s="297">
        <f>IFERROR(RANK(VLOOKUP($G1607,連買!$A:$D,4,0),連買!$D:$D,0),"'沒有資料'")</f>
        <v>703</v>
      </c>
      <c r="S1607" s="34">
        <v>1.34</v>
      </c>
      <c r="T1607" s="353">
        <f t="shared" si="297"/>
        <v>4.0179910044977514E-2</v>
      </c>
      <c r="U1607" s="57">
        <v>1.59</v>
      </c>
      <c r="V1607" s="36">
        <f>RTD("money.excel",,"2884","Price")</f>
        <v>33.35</v>
      </c>
      <c r="W1607" s="66"/>
      <c r="X1607" s="15">
        <f t="shared" si="298"/>
        <v>33.35</v>
      </c>
      <c r="Y1607" s="3" t="e">
        <f t="shared" si="299"/>
        <v>#DIV/0!</v>
      </c>
      <c r="Z1607" s="413" t="s">
        <v>8625</v>
      </c>
      <c r="AA1607" s="161">
        <v>0</v>
      </c>
      <c r="AB1607" s="409">
        <v>0</v>
      </c>
      <c r="AC1607" s="259">
        <f t="shared" si="304"/>
        <v>0</v>
      </c>
      <c r="AD1607" s="22" t="s">
        <v>271</v>
      </c>
      <c r="AG1607" s="33">
        <f t="shared" si="300"/>
        <v>0</v>
      </c>
      <c r="AH1607" s="120" t="s">
        <v>2154</v>
      </c>
      <c r="AI1607" s="63">
        <f t="shared" si="301"/>
        <v>5.3489887640449435E-3</v>
      </c>
      <c r="AJ1607" s="307">
        <f>RTD("money.excel",,$G1607,"PredictVolume")</f>
        <v>71409</v>
      </c>
      <c r="AK1607" s="339">
        <v>1.89</v>
      </c>
    </row>
    <row r="1608" spans="1:37">
      <c r="A1608" s="416">
        <v>1213</v>
      </c>
      <c r="B1608" s="79">
        <v>43</v>
      </c>
      <c r="C1608" s="79"/>
      <c r="D1608" s="80">
        <v>-15</v>
      </c>
      <c r="E1608" s="80">
        <v>-19</v>
      </c>
      <c r="F1608" s="6"/>
      <c r="G1608" s="79">
        <v>2885</v>
      </c>
      <c r="H1608" s="17" t="s">
        <v>306</v>
      </c>
      <c r="I1608" s="22" t="s">
        <v>4993</v>
      </c>
      <c r="J1608" s="323">
        <v>82.32</v>
      </c>
      <c r="K1608" s="323">
        <v>31.89</v>
      </c>
      <c r="L1608" s="73">
        <v>0.18</v>
      </c>
      <c r="M1608" s="73">
        <v>4.72</v>
      </c>
      <c r="N1608" s="318">
        <f t="shared" si="302"/>
        <v>119.11</v>
      </c>
      <c r="O1608" s="81">
        <f>IFERROR(VLOOKUP($G1608,'321買'!A:E,3,0),"'沒有資料'")</f>
        <v>0</v>
      </c>
      <c r="P1608" s="380">
        <f>IFERROR(VLOOKUP($G1608,'321買'!$A:$G,7,0),"'沒有資料'")</f>
        <v>911</v>
      </c>
      <c r="Q1608" s="245" t="s">
        <v>3818</v>
      </c>
      <c r="R1608" s="297">
        <f>IFERROR(RANK(VLOOKUP($G1608,連買!$A:$D,4,0),連買!$D:$D,0),"'沒有資料'")</f>
        <v>865</v>
      </c>
      <c r="S1608" s="34">
        <v>1.8</v>
      </c>
      <c r="T1608" s="353">
        <f t="shared" si="297"/>
        <v>6.7796610169491525E-2</v>
      </c>
      <c r="U1608" s="57">
        <v>2.87</v>
      </c>
      <c r="V1608" s="36">
        <f>RTD("money.excel",,"2885","Price")</f>
        <v>26.55</v>
      </c>
      <c r="W1608" s="66"/>
      <c r="X1608" s="15">
        <f t="shared" si="298"/>
        <v>26.55</v>
      </c>
      <c r="Y1608" s="3" t="e">
        <f t="shared" si="299"/>
        <v>#DIV/0!</v>
      </c>
      <c r="Z1608" s="413" t="s">
        <v>8639</v>
      </c>
      <c r="AA1608" s="161">
        <v>0</v>
      </c>
      <c r="AB1608" s="409">
        <v>0</v>
      </c>
      <c r="AC1608" s="259">
        <f t="shared" si="304"/>
        <v>0</v>
      </c>
      <c r="AD1608" s="22" t="s">
        <v>4993</v>
      </c>
      <c r="AG1608" s="33">
        <f t="shared" si="300"/>
        <v>0</v>
      </c>
      <c r="AH1608" s="120" t="s">
        <v>1440</v>
      </c>
      <c r="AI1608" s="63">
        <f t="shared" si="301"/>
        <v>1.4049464138499589E-3</v>
      </c>
      <c r="AJ1608" s="307">
        <f>RTD("money.excel",,$G1608,"PredictVolume")</f>
        <v>17042</v>
      </c>
      <c r="AK1608" s="339">
        <v>1.65</v>
      </c>
    </row>
    <row r="1609" spans="1:37">
      <c r="A1609" s="416">
        <v>1359</v>
      </c>
      <c r="B1609" s="79">
        <v>2</v>
      </c>
      <c r="C1609" s="79"/>
      <c r="D1609" s="79">
        <v>19</v>
      </c>
      <c r="E1609" s="80">
        <v>-1</v>
      </c>
      <c r="F1609" s="6"/>
      <c r="G1609" s="79">
        <v>2886</v>
      </c>
      <c r="H1609" s="17" t="s">
        <v>306</v>
      </c>
      <c r="I1609" s="22" t="s">
        <v>11</v>
      </c>
      <c r="J1609" s="73">
        <v>82.64</v>
      </c>
      <c r="K1609" s="323">
        <v>25.16</v>
      </c>
      <c r="L1609" s="73">
        <v>0.14000000000000001</v>
      </c>
      <c r="M1609" s="73">
        <v>20.59</v>
      </c>
      <c r="N1609" s="318">
        <f t="shared" si="302"/>
        <v>128.53</v>
      </c>
      <c r="O1609" s="81">
        <f>IFERROR(VLOOKUP($G1609,'321買'!A:E,3,0),"'沒有資料'")</f>
        <v>0</v>
      </c>
      <c r="P1609" s="380">
        <f>IFERROR(VLOOKUP($G1609,'321買'!$A:$G,7,0),"'沒有資料'")</f>
        <v>911</v>
      </c>
      <c r="Q1609" s="245" t="s">
        <v>3818</v>
      </c>
      <c r="R1609" s="297">
        <f>IFERROR(RANK(VLOOKUP($G1609,連買!$A:$D,4,0),連買!$D:$D,0),"'沒有資料'")</f>
        <v>407</v>
      </c>
      <c r="S1609" s="34"/>
      <c r="T1609" s="353">
        <f t="shared" si="297"/>
        <v>0</v>
      </c>
      <c r="U1609" s="57">
        <v>1.89</v>
      </c>
      <c r="V1609" s="36">
        <f>RTD("money.excel",,"2886","Price")</f>
        <v>43.1</v>
      </c>
      <c r="W1609" s="66"/>
      <c r="X1609" s="15">
        <f t="shared" si="298"/>
        <v>43.1</v>
      </c>
      <c r="Y1609" s="3" t="e">
        <f t="shared" si="299"/>
        <v>#DIV/0!</v>
      </c>
      <c r="Z1609" s="413" t="s">
        <v>8620</v>
      </c>
      <c r="AA1609" s="161">
        <v>0</v>
      </c>
      <c r="AB1609" s="409">
        <v>0</v>
      </c>
      <c r="AC1609" s="259">
        <f t="shared" si="304"/>
        <v>0</v>
      </c>
      <c r="AD1609" s="22" t="s">
        <v>11</v>
      </c>
      <c r="AG1609" s="33">
        <f t="shared" si="300"/>
        <v>0</v>
      </c>
      <c r="AH1609" s="120" t="s">
        <v>2785</v>
      </c>
      <c r="AI1609" s="63">
        <f t="shared" si="301"/>
        <v>2.5427520235467255E-3</v>
      </c>
      <c r="AJ1609" s="307">
        <f>RTD("money.excel",,$G1609,"PredictVolume")</f>
        <v>34556</v>
      </c>
      <c r="AK1609" s="339">
        <v>0.75</v>
      </c>
    </row>
    <row r="1610" spans="1:37">
      <c r="A1610" s="416">
        <v>1091</v>
      </c>
      <c r="B1610" s="80">
        <v>-1</v>
      </c>
      <c r="C1610" s="79"/>
      <c r="D1610" s="79">
        <v>1</v>
      </c>
      <c r="E1610" s="79">
        <v>0</v>
      </c>
      <c r="F1610" s="6"/>
      <c r="G1610" s="79">
        <v>2887</v>
      </c>
      <c r="H1610" s="17" t="s">
        <v>306</v>
      </c>
      <c r="I1610" s="22" t="s">
        <v>272</v>
      </c>
      <c r="J1610" s="73">
        <v>65.11</v>
      </c>
      <c r="K1610" s="323">
        <v>27.6</v>
      </c>
      <c r="L1610" s="323">
        <v>0.24</v>
      </c>
      <c r="N1610" s="318">
        <f t="shared" si="302"/>
        <v>92.95</v>
      </c>
      <c r="O1610" s="81">
        <f>IFERROR(VLOOKUP($G1610,'321買'!A:E,3,0),"'沒有資料'")</f>
        <v>0</v>
      </c>
      <c r="P1610" s="380">
        <f>IFERROR(VLOOKUP($G1610,'321買'!$A:$G,7,0),"'沒有資料'")</f>
        <v>911</v>
      </c>
      <c r="R1610" s="297">
        <f>IFERROR(RANK(VLOOKUP($G1610,連買!$A:$D,4,0),連買!$D:$D,0),"'沒有資料'")</f>
        <v>1073</v>
      </c>
      <c r="S1610" s="34">
        <v>0.8</v>
      </c>
      <c r="T1610" s="353">
        <f t="shared" si="297"/>
        <v>3.9702233250620354E-2</v>
      </c>
      <c r="U1610" s="95">
        <v>1.34</v>
      </c>
      <c r="V1610" s="36">
        <f>RTD("money.excel",,"2887","Price")</f>
        <v>20.149999999999999</v>
      </c>
      <c r="W1610" s="66"/>
      <c r="X1610" s="15">
        <f t="shared" si="298"/>
        <v>20.149999999999999</v>
      </c>
      <c r="Y1610" s="3" t="e">
        <f t="shared" si="299"/>
        <v>#DIV/0!</v>
      </c>
      <c r="Z1610" s="413" t="s">
        <v>1801</v>
      </c>
      <c r="AA1610" s="161">
        <v>0</v>
      </c>
      <c r="AB1610" s="409">
        <v>0</v>
      </c>
      <c r="AC1610" s="259">
        <f t="shared" si="304"/>
        <v>0</v>
      </c>
      <c r="AD1610" s="22" t="s">
        <v>272</v>
      </c>
      <c r="AG1610" s="33">
        <f t="shared" si="300"/>
        <v>0</v>
      </c>
      <c r="AH1610" s="120" t="s">
        <v>2786</v>
      </c>
      <c r="AI1610" s="63">
        <f t="shared" si="301"/>
        <v>2.7706691109074242E-3</v>
      </c>
      <c r="AJ1610" s="307">
        <f>RTD("money.excel",,$G1610,"PredictVolume")</f>
        <v>30228</v>
      </c>
      <c r="AK1610" s="339"/>
    </row>
    <row r="1611" spans="1:37">
      <c r="A1611" s="416">
        <v>1402</v>
      </c>
      <c r="B1611" s="79">
        <v>73</v>
      </c>
      <c r="C1611" s="79"/>
      <c r="D1611" s="80">
        <v>-16</v>
      </c>
      <c r="E1611" s="80">
        <v>-31</v>
      </c>
      <c r="F1611" s="6"/>
      <c r="G1611" s="79">
        <v>2888</v>
      </c>
      <c r="H1611" s="17" t="s">
        <v>306</v>
      </c>
      <c r="I1611" s="22" t="s">
        <v>4994</v>
      </c>
      <c r="J1611" s="73">
        <v>60.07</v>
      </c>
      <c r="K1611" s="73">
        <v>19.64</v>
      </c>
      <c r="L1611" s="323">
        <v>3.84</v>
      </c>
      <c r="N1611" s="318">
        <f t="shared" si="302"/>
        <v>83.550000000000011</v>
      </c>
      <c r="O1611" s="81">
        <f>IFERROR(VLOOKUP($G1611,'321買'!A:E,3,0),"'沒有資料'")</f>
        <v>3</v>
      </c>
      <c r="P1611" s="380">
        <f>IFERROR(VLOOKUP($G1611,'321買'!$A:$G,7,0),"'沒有資料'")</f>
        <v>636</v>
      </c>
      <c r="R1611" s="297">
        <f>IFERROR(RANK(VLOOKUP($G1611,連買!$A:$D,4,0),連買!$D:$D,0),"'沒有資料'")</f>
        <v>1167</v>
      </c>
      <c r="S1611" s="34">
        <v>0.4</v>
      </c>
      <c r="T1611" s="353">
        <f t="shared" si="297"/>
        <v>3.7558685446009391E-2</v>
      </c>
      <c r="U1611" s="57">
        <v>1.56</v>
      </c>
      <c r="V1611" s="36">
        <f>RTD("money.excel",,"2888","Price")</f>
        <v>10.65</v>
      </c>
      <c r="W1611" s="66"/>
      <c r="X1611" s="15">
        <f t="shared" si="298"/>
        <v>10.65</v>
      </c>
      <c r="Y1611" s="3" t="e">
        <f t="shared" si="299"/>
        <v>#DIV/0!</v>
      </c>
      <c r="Z1611" s="413" t="s">
        <v>1801</v>
      </c>
      <c r="AA1611" s="161">
        <v>0</v>
      </c>
      <c r="AB1611" s="409">
        <v>0</v>
      </c>
      <c r="AC1611" s="259">
        <f t="shared" si="304"/>
        <v>0</v>
      </c>
      <c r="AD1611" s="22" t="s">
        <v>4994</v>
      </c>
      <c r="AG1611" s="33">
        <f t="shared" si="300"/>
        <v>0</v>
      </c>
      <c r="AH1611" s="120" t="s">
        <v>2787</v>
      </c>
      <c r="AI1611" s="63">
        <f t="shared" si="301"/>
        <v>5.2001426533523536E-3</v>
      </c>
      <c r="AJ1611" s="307">
        <f>RTD("money.excel",,$G1611,"PredictVolume")</f>
        <v>72906</v>
      </c>
      <c r="AK1611" s="339"/>
    </row>
    <row r="1612" spans="1:37">
      <c r="A1612" s="416">
        <v>299</v>
      </c>
      <c r="B1612" s="79">
        <v>55</v>
      </c>
      <c r="C1612" s="79"/>
      <c r="D1612" s="80">
        <v>-1</v>
      </c>
      <c r="E1612" s="79">
        <v>10</v>
      </c>
      <c r="F1612" s="6"/>
      <c r="G1612" s="79">
        <v>2889</v>
      </c>
      <c r="H1612" s="17" t="s">
        <v>306</v>
      </c>
      <c r="I1612" s="22" t="s">
        <v>273</v>
      </c>
      <c r="J1612" s="323">
        <v>58.11</v>
      </c>
      <c r="K1612" s="323">
        <v>12</v>
      </c>
      <c r="L1612" s="323">
        <v>0.41</v>
      </c>
      <c r="N1612" s="318">
        <f t="shared" si="302"/>
        <v>70.52</v>
      </c>
      <c r="O1612" s="81">
        <f>IFERROR(VLOOKUP($G1612,'321買'!A:E,3,0),"'沒有資料'")</f>
        <v>0</v>
      </c>
      <c r="P1612" s="380">
        <f>IFERROR(VLOOKUP($G1612,'321買'!$A:$G,7,0),"'沒有資料'")</f>
        <v>911</v>
      </c>
      <c r="R1612" s="297">
        <f>IFERROR(RANK(VLOOKUP($G1612,連買!$A:$D,4,0),連買!$D:$D,0),"'沒有資料'")</f>
        <v>1524</v>
      </c>
      <c r="S1612" s="34">
        <v>1</v>
      </c>
      <c r="T1612" s="353">
        <f t="shared" si="297"/>
        <v>6.1538461538461542E-2</v>
      </c>
      <c r="U1612" s="57">
        <v>1.4</v>
      </c>
      <c r="V1612" s="36">
        <f>RTD("money.excel",,"2889","Price")</f>
        <v>16.25</v>
      </c>
      <c r="W1612" s="66"/>
      <c r="X1612" s="15">
        <f t="shared" si="298"/>
        <v>16.25</v>
      </c>
      <c r="Y1612" s="3" t="e">
        <f t="shared" si="299"/>
        <v>#DIV/0!</v>
      </c>
      <c r="Z1612" s="413" t="s">
        <v>1801</v>
      </c>
      <c r="AA1612" s="161">
        <v>0</v>
      </c>
      <c r="AB1612" s="409">
        <v>0</v>
      </c>
      <c r="AC1612" s="259">
        <f t="shared" si="304"/>
        <v>0</v>
      </c>
      <c r="AD1612" s="22" t="s">
        <v>273</v>
      </c>
      <c r="AG1612" s="33">
        <f t="shared" si="300"/>
        <v>0</v>
      </c>
      <c r="AH1612" s="120" t="s">
        <v>2163</v>
      </c>
      <c r="AI1612" s="63">
        <f t="shared" si="301"/>
        <v>1.7421404682274248E-3</v>
      </c>
      <c r="AJ1612" s="307">
        <f>RTD("money.excel",,$G1612,"PredictVolume")</f>
        <v>5209</v>
      </c>
      <c r="AK1612" s="339"/>
    </row>
    <row r="1613" spans="1:37">
      <c r="A1613" s="416">
        <v>1127</v>
      </c>
      <c r="B1613" s="80">
        <v>-2</v>
      </c>
      <c r="C1613" s="79"/>
      <c r="D1613" s="79">
        <v>4</v>
      </c>
      <c r="E1613" s="79">
        <v>28</v>
      </c>
      <c r="F1613" s="6"/>
      <c r="G1613" s="79">
        <v>2890</v>
      </c>
      <c r="H1613" s="17" t="s">
        <v>306</v>
      </c>
      <c r="I1613" s="22" t="s">
        <v>4995</v>
      </c>
      <c r="J1613" s="323">
        <v>75.81</v>
      </c>
      <c r="K1613" s="323">
        <v>27.95</v>
      </c>
      <c r="L1613" s="323">
        <v>0.3</v>
      </c>
      <c r="N1613" s="318">
        <f t="shared" si="302"/>
        <v>104.06</v>
      </c>
      <c r="O1613" s="81">
        <f>IFERROR(VLOOKUP($G1613,'321買'!A:E,3,0),"'沒有資料'")</f>
        <v>0</v>
      </c>
      <c r="P1613" s="380">
        <f>IFERROR(VLOOKUP($G1613,'321買'!$A:$G,7,0),"'沒有資料'")</f>
        <v>911</v>
      </c>
      <c r="R1613" s="297">
        <f>IFERROR(RANK(VLOOKUP($G1613,連買!$A:$D,4,0),連買!$D:$D,0),"'沒有資料'")</f>
        <v>969</v>
      </c>
      <c r="S1613" s="34">
        <v>0.7</v>
      </c>
      <c r="T1613" s="353">
        <f t="shared" si="297"/>
        <v>3.7837837837837833E-2</v>
      </c>
      <c r="U1613" s="95">
        <v>1.0900000000000001</v>
      </c>
      <c r="V1613" s="36">
        <f>RTD("money.excel",,"2890","Price")</f>
        <v>18.5</v>
      </c>
      <c r="W1613" s="66"/>
      <c r="X1613" s="15">
        <f t="shared" si="298"/>
        <v>18.5</v>
      </c>
      <c r="Y1613" s="3" t="e">
        <f t="shared" si="299"/>
        <v>#DIV/0!</v>
      </c>
      <c r="Z1613" s="413" t="s">
        <v>1801</v>
      </c>
      <c r="AA1613" s="161">
        <v>0</v>
      </c>
      <c r="AB1613" s="409">
        <v>0</v>
      </c>
      <c r="AC1613" s="259">
        <f t="shared" si="304"/>
        <v>0</v>
      </c>
      <c r="AD1613" s="22" t="s">
        <v>4995</v>
      </c>
      <c r="AG1613" s="33">
        <f t="shared" si="300"/>
        <v>0</v>
      </c>
      <c r="AH1613" s="120" t="s">
        <v>1456</v>
      </c>
      <c r="AI1613" s="63">
        <f t="shared" si="301"/>
        <v>2.3910381543921916E-3</v>
      </c>
      <c r="AJ1613" s="307">
        <f>RTD("money.excel",,$G1613,"PredictVolume")</f>
        <v>26947</v>
      </c>
      <c r="AK1613" s="339"/>
    </row>
    <row r="1614" spans="1:37">
      <c r="A1614" s="416">
        <v>1949</v>
      </c>
      <c r="B1614" s="79">
        <v>26</v>
      </c>
      <c r="C1614" s="79"/>
      <c r="D1614" s="80">
        <v>-29</v>
      </c>
      <c r="E1614" s="79">
        <v>29</v>
      </c>
      <c r="F1614" s="6"/>
      <c r="G1614" s="79">
        <v>2891</v>
      </c>
      <c r="H1614" s="17" t="s">
        <v>306</v>
      </c>
      <c r="I1614" s="22" t="s">
        <v>4996</v>
      </c>
      <c r="J1614" s="73">
        <v>81.36</v>
      </c>
      <c r="K1614" s="73">
        <v>44.29</v>
      </c>
      <c r="L1614" s="323">
        <v>0.28999999999999998</v>
      </c>
      <c r="M1614" s="323">
        <v>1.93</v>
      </c>
      <c r="N1614" s="318">
        <f t="shared" si="302"/>
        <v>127.87000000000002</v>
      </c>
      <c r="O1614" s="81">
        <f>IFERROR(VLOOKUP($G1614,'321買'!A:E,3,0),"'沒有資料'")</f>
        <v>0</v>
      </c>
      <c r="P1614" s="380">
        <f>IFERROR(VLOOKUP($G1614,'321買'!$A:$G,7,0),"'沒有資料'")</f>
        <v>911</v>
      </c>
      <c r="Q1614" s="245" t="s">
        <v>3816</v>
      </c>
      <c r="R1614" s="297">
        <f>IFERROR(RANK(VLOOKUP($G1614,連買!$A:$D,4,0),連買!$D:$D,0),"'沒有資料'")</f>
        <v>660</v>
      </c>
      <c r="S1614" s="34">
        <v>1.25</v>
      </c>
      <c r="T1614" s="353">
        <f t="shared" si="297"/>
        <v>4.2444821731748725E-2</v>
      </c>
      <c r="U1614" s="57">
        <v>2.78</v>
      </c>
      <c r="V1614" s="36">
        <f>RTD("money.excel",,"2891","Price")</f>
        <v>29.45</v>
      </c>
      <c r="W1614" s="66"/>
      <c r="X1614" s="15">
        <f t="shared" si="298"/>
        <v>29.45</v>
      </c>
      <c r="Y1614" s="3" t="e">
        <f t="shared" si="299"/>
        <v>#DIV/0!</v>
      </c>
      <c r="Z1614" s="413" t="s">
        <v>8619</v>
      </c>
      <c r="AA1614" s="161">
        <v>0</v>
      </c>
      <c r="AB1614" s="409">
        <v>0</v>
      </c>
      <c r="AC1614" s="259">
        <f t="shared" si="304"/>
        <v>0</v>
      </c>
      <c r="AD1614" s="22" t="s">
        <v>4996</v>
      </c>
      <c r="AG1614" s="33">
        <f t="shared" si="300"/>
        <v>0</v>
      </c>
      <c r="AH1614" s="120" t="s">
        <v>2805</v>
      </c>
      <c r="AI1614" s="63">
        <f t="shared" si="301"/>
        <v>2.8418163160595176E-3</v>
      </c>
      <c r="AJ1614" s="307">
        <f>RTD("money.excel",,$G1614,"PredictVolume")</f>
        <v>55387</v>
      </c>
      <c r="AK1614" s="339">
        <v>0.64</v>
      </c>
    </row>
    <row r="1615" spans="1:37">
      <c r="A1615" s="416">
        <v>1296</v>
      </c>
      <c r="B1615" s="79">
        <v>17</v>
      </c>
      <c r="C1615" s="79"/>
      <c r="D1615" s="80">
        <v>-6</v>
      </c>
      <c r="E1615" s="80">
        <v>-3</v>
      </c>
      <c r="F1615" s="6"/>
      <c r="G1615" s="79">
        <v>2892</v>
      </c>
      <c r="H1615" s="17" t="s">
        <v>306</v>
      </c>
      <c r="I1615" s="22" t="s">
        <v>274</v>
      </c>
      <c r="J1615" s="73">
        <v>69.989999999999995</v>
      </c>
      <c r="K1615" s="73">
        <v>26.1</v>
      </c>
      <c r="L1615" s="73">
        <v>0.09</v>
      </c>
      <c r="M1615" s="323">
        <v>19.079999999999998</v>
      </c>
      <c r="N1615" s="318">
        <f t="shared" si="302"/>
        <v>115.26</v>
      </c>
      <c r="O1615" s="81">
        <f>IFERROR(VLOOKUP($G1615,'321買'!A:E,3,0),"'沒有資料'")</f>
        <v>0</v>
      </c>
      <c r="P1615" s="380">
        <f>IFERROR(VLOOKUP($G1615,'321買'!$A:$G,7,0),"'沒有資料'")</f>
        <v>911</v>
      </c>
      <c r="Q1615" s="245" t="s">
        <v>3816</v>
      </c>
      <c r="R1615" s="297">
        <f>IFERROR(RANK(VLOOKUP($G1615,連買!$A:$D,4,0),連買!$D:$D,0),"'沒有資料'")</f>
        <v>659</v>
      </c>
      <c r="S1615" s="34"/>
      <c r="T1615" s="353">
        <f t="shared" si="297"/>
        <v>0</v>
      </c>
      <c r="U1615" s="57">
        <v>1.53</v>
      </c>
      <c r="V1615" s="36">
        <f>RTD("money.excel",,"2892","Price")</f>
        <v>28.6</v>
      </c>
      <c r="W1615" s="66"/>
      <c r="X1615" s="15">
        <f t="shared" si="298"/>
        <v>28.6</v>
      </c>
      <c r="Y1615" s="3" t="e">
        <f t="shared" si="299"/>
        <v>#DIV/0!</v>
      </c>
      <c r="Z1615" s="413" t="s">
        <v>8626</v>
      </c>
      <c r="AA1615" s="161">
        <v>0</v>
      </c>
      <c r="AB1615" s="409">
        <v>0</v>
      </c>
      <c r="AC1615" s="259">
        <f t="shared" si="304"/>
        <v>0</v>
      </c>
      <c r="AD1615" s="22" t="s">
        <v>274</v>
      </c>
      <c r="AG1615" s="33">
        <f t="shared" si="300"/>
        <v>0</v>
      </c>
      <c r="AH1615" s="120" t="s">
        <v>1515</v>
      </c>
      <c r="AI1615" s="63">
        <f t="shared" si="301"/>
        <v>2.1423611111111109E-3</v>
      </c>
      <c r="AJ1615" s="307">
        <f>RTD("money.excel",,$G1615,"PredictVolume")</f>
        <v>27765</v>
      </c>
      <c r="AK1615" s="339">
        <v>0.86</v>
      </c>
    </row>
    <row r="1616" spans="1:37">
      <c r="A1616" s="416">
        <v>273</v>
      </c>
      <c r="B1616" s="80">
        <v>-18</v>
      </c>
      <c r="C1616" s="79"/>
      <c r="D1616" s="80">
        <v>-4</v>
      </c>
      <c r="E1616" s="79">
        <v>10</v>
      </c>
      <c r="F1616" s="6"/>
      <c r="G1616" s="79">
        <v>2897</v>
      </c>
      <c r="H1616" s="17" t="s">
        <v>306</v>
      </c>
      <c r="I1616" s="22" t="s">
        <v>338</v>
      </c>
      <c r="J1616" s="73">
        <v>89.31</v>
      </c>
      <c r="K1616" s="323">
        <v>1.6</v>
      </c>
      <c r="L1616" s="323">
        <v>0.28000000000000003</v>
      </c>
      <c r="N1616" s="318">
        <f t="shared" si="302"/>
        <v>91.19</v>
      </c>
      <c r="O1616" s="81">
        <f>IFERROR(VLOOKUP($G1616,'321買'!A:E,3,0),"'沒有資料'")</f>
        <v>1</v>
      </c>
      <c r="P1616" s="380">
        <f>IFERROR(VLOOKUP($G1616,'321買'!$A:$G,7,0),"'沒有資料'")</f>
        <v>783</v>
      </c>
      <c r="R1616" s="297">
        <f>IFERROR(RANK(VLOOKUP($G1616,連買!$A:$D,4,0),連買!$D:$D,0),"'沒有資料'")</f>
        <v>1229</v>
      </c>
      <c r="S1616" s="34">
        <v>0.2</v>
      </c>
      <c r="T1616" s="353">
        <f t="shared" si="297"/>
        <v>0.02</v>
      </c>
      <c r="U1616" s="95">
        <v>0.47</v>
      </c>
      <c r="V1616" s="36">
        <f>RTD("money.excel",,"2897","Price")</f>
        <v>10</v>
      </c>
      <c r="W1616" s="66"/>
      <c r="X1616" s="15">
        <f t="shared" si="298"/>
        <v>10</v>
      </c>
      <c r="Y1616" s="3" t="e">
        <f t="shared" si="299"/>
        <v>#DIV/0!</v>
      </c>
      <c r="AA1616" s="161">
        <v>0</v>
      </c>
      <c r="AB1616" s="409">
        <v>0</v>
      </c>
      <c r="AC1616" s="259">
        <f t="shared" si="304"/>
        <v>0</v>
      </c>
      <c r="AD1616" s="22" t="s">
        <v>338</v>
      </c>
      <c r="AG1616" s="33">
        <f t="shared" si="300"/>
        <v>0</v>
      </c>
      <c r="AH1616" s="43" t="s">
        <v>2165</v>
      </c>
      <c r="AI1616" s="63">
        <f t="shared" si="301"/>
        <v>7.8307692307692314E-3</v>
      </c>
      <c r="AJ1616" s="307">
        <f>RTD("money.excel",,$G1616,"PredictVolume")</f>
        <v>21378</v>
      </c>
      <c r="AK1616" s="339"/>
    </row>
    <row r="1617" spans="1:37">
      <c r="A1617" s="416">
        <v>377</v>
      </c>
      <c r="B1617" s="79">
        <v>28</v>
      </c>
      <c r="C1617" s="79"/>
      <c r="D1617" s="80">
        <v>-26</v>
      </c>
      <c r="E1617" s="79">
        <v>17</v>
      </c>
      <c r="F1617" s="6"/>
      <c r="G1617" s="79">
        <v>5820</v>
      </c>
      <c r="H1617" s="17" t="s">
        <v>306</v>
      </c>
      <c r="I1617" s="16" t="s">
        <v>4997</v>
      </c>
      <c r="J1617" s="323">
        <v>90.81</v>
      </c>
      <c r="K1617" s="323">
        <v>74.42</v>
      </c>
      <c r="L1617" s="73">
        <v>0.3</v>
      </c>
      <c r="N1617" s="318">
        <f t="shared" si="302"/>
        <v>165.53000000000003</v>
      </c>
      <c r="O1617" s="81">
        <f>IFERROR(VLOOKUP($G1617,'321買'!A:E,3,0),"'沒有資料'")</f>
        <v>0</v>
      </c>
      <c r="P1617" s="380">
        <f>IFERROR(VLOOKUP($G1617,'321買'!$A:$G,7,0),"'沒有資料'")</f>
        <v>911</v>
      </c>
      <c r="R1617" s="297">
        <f>IFERROR(RANK(VLOOKUP($G1617,連買!$A:$D,4,0),連買!$D:$D,0),"'沒有資料'")</f>
        <v>1298</v>
      </c>
      <c r="S1617" s="34">
        <v>0.55000000000000004</v>
      </c>
      <c r="T1617" s="353">
        <f t="shared" si="297"/>
        <v>4.4534412955465591E-2</v>
      </c>
      <c r="U1617" s="57">
        <v>0.78</v>
      </c>
      <c r="V1617" s="13">
        <f>RTD("money.excel",,"5820","Price")</f>
        <v>12.35</v>
      </c>
      <c r="W1617" s="66"/>
      <c r="X1617" s="15">
        <f t="shared" si="298"/>
        <v>12.35</v>
      </c>
      <c r="Y1617" s="3" t="e">
        <f t="shared" si="299"/>
        <v>#DIV/0!</v>
      </c>
      <c r="Z1617" s="413" t="s">
        <v>1801</v>
      </c>
      <c r="AA1617" s="161">
        <v>0</v>
      </c>
      <c r="AB1617" s="409">
        <v>0</v>
      </c>
      <c r="AC1617" s="259">
        <f t="shared" si="304"/>
        <v>0</v>
      </c>
      <c r="AD1617" s="16" t="s">
        <v>4997</v>
      </c>
      <c r="AG1617" s="33">
        <f t="shared" si="300"/>
        <v>0</v>
      </c>
      <c r="AH1617" s="120" t="s">
        <v>2120</v>
      </c>
      <c r="AI1617" s="63">
        <f t="shared" si="301"/>
        <v>7.745358090185676E-5</v>
      </c>
      <c r="AJ1617" s="307">
        <f>RTD("money.excel",,$G1617,"PredictVolume")</f>
        <v>292</v>
      </c>
      <c r="AK1617" s="339"/>
    </row>
    <row r="1618" spans="1:37">
      <c r="A1618" s="415">
        <v>25.1</v>
      </c>
      <c r="B1618" s="79">
        <v>151</v>
      </c>
      <c r="C1618" s="79">
        <v>151</v>
      </c>
      <c r="D1618" s="80">
        <v>-118</v>
      </c>
      <c r="E1618" s="80">
        <v>-637</v>
      </c>
      <c r="F1618" s="57">
        <v>63.04</v>
      </c>
      <c r="G1618" s="79">
        <v>5864</v>
      </c>
      <c r="H1618" s="17" t="s">
        <v>306</v>
      </c>
      <c r="I1618" s="16" t="s">
        <v>4998</v>
      </c>
      <c r="J1618" s="323">
        <v>63.52</v>
      </c>
      <c r="K1618" s="73">
        <v>1.01</v>
      </c>
      <c r="L1618" s="323">
        <v>9.6199999999999992</v>
      </c>
      <c r="N1618" s="318">
        <f t="shared" si="302"/>
        <v>74.150000000000006</v>
      </c>
      <c r="O1618" s="81">
        <f>IFERROR(VLOOKUP($G1618,'321買'!A:E,3,0),"'沒有資料'")</f>
        <v>2</v>
      </c>
      <c r="P1618" s="380">
        <f>IFERROR(VLOOKUP($G1618,'321買'!$A:$G,7,0),"'沒有資料'")</f>
        <v>706</v>
      </c>
      <c r="R1618" s="297">
        <f>IFERROR(RANK(VLOOKUP($G1618,連買!$A:$D,4,0),連買!$D:$D,0),"'沒有資料'")</f>
        <v>1135</v>
      </c>
      <c r="S1618" s="34">
        <v>1.2</v>
      </c>
      <c r="T1618" s="353">
        <f t="shared" si="297"/>
        <v>7.1216617210682481E-2</v>
      </c>
      <c r="U1618" s="57">
        <v>3.59</v>
      </c>
      <c r="V1618" s="36">
        <f>RTD("money.excel",,"5864","Price")</f>
        <v>16.850000000000001</v>
      </c>
      <c r="W1618" s="66"/>
      <c r="X1618" s="15">
        <f t="shared" si="298"/>
        <v>16.850000000000001</v>
      </c>
      <c r="Y1618" s="3" t="e">
        <f t="shared" si="299"/>
        <v>#DIV/0!</v>
      </c>
      <c r="AA1618" s="161">
        <v>0</v>
      </c>
      <c r="AB1618" s="409">
        <v>0</v>
      </c>
      <c r="AC1618" s="259">
        <f t="shared" si="304"/>
        <v>0</v>
      </c>
      <c r="AD1618" s="16" t="s">
        <v>4998</v>
      </c>
      <c r="AG1618" s="33">
        <f t="shared" si="300"/>
        <v>0</v>
      </c>
      <c r="AH1618" s="43" t="s">
        <v>2368</v>
      </c>
      <c r="AI1618" s="63">
        <f t="shared" si="301"/>
        <v>3.9442231075697209E-4</v>
      </c>
      <c r="AJ1618" s="307">
        <f>RTD("money.excel",,$G1618,"PredictVolume")</f>
        <v>99</v>
      </c>
      <c r="AK1618" s="339"/>
    </row>
    <row r="1619" spans="1:37">
      <c r="A1619" s="416">
        <v>448</v>
      </c>
      <c r="B1619" s="80">
        <v>-10</v>
      </c>
      <c r="C1619" s="79"/>
      <c r="D1619" s="79">
        <v>2</v>
      </c>
      <c r="E1619" s="80">
        <v>-1</v>
      </c>
      <c r="F1619" s="6"/>
      <c r="G1619" s="79">
        <v>5876</v>
      </c>
      <c r="H1619" s="17" t="s">
        <v>306</v>
      </c>
      <c r="I1619" s="22" t="s">
        <v>1131</v>
      </c>
      <c r="J1619" s="323">
        <v>77.72</v>
      </c>
      <c r="K1619" s="323">
        <v>57.21</v>
      </c>
      <c r="L1619" s="73">
        <v>0.17</v>
      </c>
      <c r="N1619" s="318">
        <f t="shared" si="302"/>
        <v>135.1</v>
      </c>
      <c r="O1619" s="81">
        <f>IFERROR(VLOOKUP($G1619,'321買'!A:E,3,0),"'沒有資料'")</f>
        <v>0</v>
      </c>
      <c r="P1619" s="380">
        <f>IFERROR(VLOOKUP($G1619,'321買'!$A:$G,7,0),"'沒有資料'")</f>
        <v>911</v>
      </c>
      <c r="R1619" s="297">
        <f>IFERROR(RANK(VLOOKUP($G1619,連買!$A:$D,4,0),連買!$D:$D,0),"'沒有資料'")</f>
        <v>367</v>
      </c>
      <c r="S1619" s="34">
        <v>1.7</v>
      </c>
      <c r="T1619" s="353">
        <f t="shared" si="297"/>
        <v>3.4170854271356785E-2</v>
      </c>
      <c r="U1619" s="57">
        <v>3.01</v>
      </c>
      <c r="V1619" s="13">
        <f>RTD("money.excel",,"5876","Price")</f>
        <v>49.75</v>
      </c>
      <c r="W1619" s="66"/>
      <c r="X1619" s="15">
        <f t="shared" si="298"/>
        <v>49.75</v>
      </c>
      <c r="Y1619" s="3" t="e">
        <f t="shared" si="299"/>
        <v>#DIV/0!</v>
      </c>
      <c r="Z1619" s="413" t="s">
        <v>1801</v>
      </c>
      <c r="AA1619" s="161">
        <v>0</v>
      </c>
      <c r="AB1619" s="409">
        <v>0</v>
      </c>
      <c r="AC1619" s="259">
        <f t="shared" si="304"/>
        <v>0</v>
      </c>
      <c r="AD1619" s="22" t="s">
        <v>1131</v>
      </c>
      <c r="AG1619" s="33">
        <f t="shared" si="300"/>
        <v>0</v>
      </c>
      <c r="AH1619" s="43" t="s">
        <v>1132</v>
      </c>
      <c r="AI1619" s="63">
        <f t="shared" si="301"/>
        <v>6.7901785714285709E-4</v>
      </c>
      <c r="AJ1619" s="307">
        <f>RTD("money.excel",,$G1619,"PredictVolume")</f>
        <v>3042</v>
      </c>
      <c r="AK1619" s="339"/>
    </row>
    <row r="1620" spans="1:37">
      <c r="A1620" s="416">
        <v>2.5</v>
      </c>
      <c r="B1620" s="79">
        <v>4</v>
      </c>
      <c r="C1620" s="79">
        <v>12</v>
      </c>
      <c r="D1620" s="80">
        <v>-2</v>
      </c>
      <c r="E1620" s="79">
        <v>38</v>
      </c>
      <c r="F1620" s="6">
        <v>9.9</v>
      </c>
      <c r="G1620" s="79">
        <v>5878</v>
      </c>
      <c r="H1620" s="17" t="s">
        <v>306</v>
      </c>
      <c r="I1620" s="16" t="s">
        <v>340</v>
      </c>
      <c r="J1620" s="73">
        <v>76.19</v>
      </c>
      <c r="K1620" s="323">
        <v>0.01</v>
      </c>
      <c r="L1620" s="323"/>
      <c r="N1620" s="318">
        <f t="shared" si="302"/>
        <v>76.2</v>
      </c>
      <c r="O1620" s="81" t="str">
        <f>IFERROR(VLOOKUP($G1620,'321買'!A:E,3,0),"'沒有資料'")</f>
        <v>'沒有資料'</v>
      </c>
      <c r="P1620" s="380" t="str">
        <f>IFERROR(VLOOKUP($G1620,'321買'!$A:$G,7,0),"'沒有資料'")</f>
        <v>'沒有資料'</v>
      </c>
      <c r="R1620" s="297">
        <f>IFERROR(RANK(VLOOKUP($G1620,連買!$A:$D,4,0),連買!$D:$D,0),"'沒有資料'")</f>
        <v>1341</v>
      </c>
      <c r="S1620" s="66">
        <v>3.2</v>
      </c>
      <c r="T1620" s="353" t="e">
        <f t="shared" si="297"/>
        <v>#VALUE!</v>
      </c>
      <c r="U1620" s="57">
        <v>3.47</v>
      </c>
      <c r="V1620" s="36" t="str">
        <f>RTD("money.excel",,"5878","Price")</f>
        <v>無資料</v>
      </c>
      <c r="W1620" s="66"/>
      <c r="X1620" s="15" t="e">
        <f t="shared" si="298"/>
        <v>#VALUE!</v>
      </c>
      <c r="Y1620" s="3" t="e">
        <f t="shared" si="299"/>
        <v>#VALUE!</v>
      </c>
      <c r="Z1620" s="413" t="s">
        <v>1831</v>
      </c>
      <c r="AA1620" s="161">
        <v>0</v>
      </c>
      <c r="AB1620" s="409">
        <v>0</v>
      </c>
      <c r="AC1620" s="259">
        <f t="shared" si="304"/>
        <v>0</v>
      </c>
      <c r="AD1620" s="16" t="s">
        <v>340</v>
      </c>
      <c r="AG1620" s="33">
        <f t="shared" si="300"/>
        <v>0</v>
      </c>
      <c r="AH1620" s="43" t="s">
        <v>2890</v>
      </c>
      <c r="AI1620" s="63">
        <f t="shared" si="301"/>
        <v>0</v>
      </c>
      <c r="AJ1620" s="307">
        <f>RTD("money.excel",,$G1620,"PredictVolume")</f>
        <v>0</v>
      </c>
      <c r="AK1620" s="339"/>
    </row>
    <row r="1621" spans="1:37">
      <c r="A1621" s="416">
        <v>1360</v>
      </c>
      <c r="B1621" s="79">
        <v>23</v>
      </c>
      <c r="C1621" s="80"/>
      <c r="D1621" s="79">
        <v>14</v>
      </c>
      <c r="E1621" s="80">
        <v>-7</v>
      </c>
      <c r="F1621" s="6"/>
      <c r="G1621" s="79">
        <v>5880</v>
      </c>
      <c r="H1621" s="17" t="s">
        <v>306</v>
      </c>
      <c r="I1621" s="22" t="s">
        <v>4999</v>
      </c>
      <c r="J1621" s="323">
        <v>74.510000000000005</v>
      </c>
      <c r="K1621" s="73">
        <v>19.2</v>
      </c>
      <c r="L1621" s="73">
        <v>0.08</v>
      </c>
      <c r="M1621" s="73">
        <v>27.68</v>
      </c>
      <c r="N1621" s="318">
        <f t="shared" si="302"/>
        <v>121.47</v>
      </c>
      <c r="O1621" s="81">
        <f>IFERROR(VLOOKUP($G1621,'321買'!A:E,3,0),"'沒有資料'")</f>
        <v>0</v>
      </c>
      <c r="P1621" s="380">
        <f>IFERROR(VLOOKUP($G1621,'321買'!$A:$G,7,0),"'沒有資料'")</f>
        <v>911</v>
      </c>
      <c r="Q1621" s="245" t="s">
        <v>3817</v>
      </c>
      <c r="R1621" s="297">
        <f>IFERROR(RANK(VLOOKUP($G1621,連買!$A:$D,4,0),連買!$D:$D,0),"'沒有資料'")</f>
        <v>783</v>
      </c>
      <c r="S1621" s="34">
        <v>1.3</v>
      </c>
      <c r="T1621" s="353">
        <f t="shared" si="297"/>
        <v>4.3993231810490696E-2</v>
      </c>
      <c r="U1621" s="57">
        <v>1.53</v>
      </c>
      <c r="V1621" s="36">
        <f>RTD("money.excel",,"5880","Price")</f>
        <v>29.55</v>
      </c>
      <c r="W1621" s="66"/>
      <c r="X1621" s="15">
        <f t="shared" si="298"/>
        <v>29.55</v>
      </c>
      <c r="Y1621" s="3" t="e">
        <f t="shared" si="299"/>
        <v>#DIV/0!</v>
      </c>
      <c r="Z1621" s="413" t="s">
        <v>8619</v>
      </c>
      <c r="AA1621" s="161">
        <v>0</v>
      </c>
      <c r="AB1621" s="409">
        <v>0</v>
      </c>
      <c r="AC1621" s="259">
        <f t="shared" si="304"/>
        <v>0</v>
      </c>
      <c r="AD1621" s="22" t="s">
        <v>4999</v>
      </c>
      <c r="AG1621" s="33">
        <f t="shared" si="300"/>
        <v>0</v>
      </c>
      <c r="AH1621" s="120" t="s">
        <v>2788</v>
      </c>
      <c r="AI1621" s="63">
        <f t="shared" si="301"/>
        <v>1.9533088235294117E-3</v>
      </c>
      <c r="AJ1621" s="307">
        <f>RTD("money.excel",,$G1621,"PredictVolume")</f>
        <v>26565</v>
      </c>
      <c r="AK1621" s="339">
        <v>0.28999999999999998</v>
      </c>
    </row>
    <row r="1622" spans="1:37">
      <c r="A1622" s="415">
        <v>217</v>
      </c>
      <c r="B1622" s="80">
        <v>-27</v>
      </c>
      <c r="C1622" s="80">
        <v>-36</v>
      </c>
      <c r="D1622" s="80">
        <v>-17</v>
      </c>
      <c r="E1622" s="80">
        <v>42</v>
      </c>
      <c r="F1622" s="57">
        <v>11.92</v>
      </c>
      <c r="G1622" s="79">
        <v>6005</v>
      </c>
      <c r="H1622" s="17" t="s">
        <v>306</v>
      </c>
      <c r="I1622" s="22" t="s">
        <v>5000</v>
      </c>
      <c r="J1622" s="73">
        <v>77.040000000000006</v>
      </c>
      <c r="K1622" s="323">
        <v>18.440000000000001</v>
      </c>
      <c r="L1622" s="323">
        <v>1.25</v>
      </c>
      <c r="N1622" s="318">
        <f t="shared" si="302"/>
        <v>96.73</v>
      </c>
      <c r="O1622" s="81">
        <f>IFERROR(VLOOKUP($G1622,'321買'!A:E,3,0),"'沒有資料'")</f>
        <v>0</v>
      </c>
      <c r="P1622" s="380">
        <f>IFERROR(VLOOKUP($G1622,'321買'!$A:$G,7,0),"'沒有資料'")</f>
        <v>911</v>
      </c>
      <c r="R1622" s="297">
        <f>IFERROR(RANK(VLOOKUP($G1622,連買!$A:$D,4,0),連買!$D:$D,0),"'沒有資料'")</f>
        <v>1068</v>
      </c>
      <c r="S1622" s="34">
        <v>1.1000000000000001</v>
      </c>
      <c r="T1622" s="353">
        <f t="shared" si="297"/>
        <v>6.7692307692307704E-2</v>
      </c>
      <c r="U1622" s="95">
        <v>1.64</v>
      </c>
      <c r="V1622" s="36">
        <f>RTD("money.excel",,"6005","Price")</f>
        <v>16.25</v>
      </c>
      <c r="W1622" s="66"/>
      <c r="X1622" s="15">
        <f t="shared" si="298"/>
        <v>16.25</v>
      </c>
      <c r="Y1622" s="3" t="e">
        <f t="shared" si="299"/>
        <v>#DIV/0!</v>
      </c>
      <c r="Z1622" s="413" t="s">
        <v>1801</v>
      </c>
      <c r="AA1622" s="161">
        <v>0</v>
      </c>
      <c r="AB1622" s="409">
        <v>0</v>
      </c>
      <c r="AC1622" s="259">
        <f t="shared" si="304"/>
        <v>0</v>
      </c>
      <c r="AD1622" s="22" t="s">
        <v>5000</v>
      </c>
      <c r="AG1622" s="33">
        <f t="shared" si="300"/>
        <v>0</v>
      </c>
      <c r="AH1622" s="120" t="s">
        <v>2368</v>
      </c>
      <c r="AI1622" s="63">
        <f t="shared" si="301"/>
        <v>1.0783410138248848E-3</v>
      </c>
      <c r="AJ1622" s="307">
        <f>RTD("money.excel",,$G1622,"PredictVolume")</f>
        <v>2340</v>
      </c>
      <c r="AK1622" s="339"/>
    </row>
    <row r="1623" spans="1:37">
      <c r="A1623" s="415">
        <v>33.1</v>
      </c>
      <c r="B1623" s="79">
        <v>926</v>
      </c>
      <c r="C1623" s="93">
        <v>2354</v>
      </c>
      <c r="D1623" s="93">
        <v>2838</v>
      </c>
      <c r="E1623" s="80">
        <v>-7</v>
      </c>
      <c r="F1623" s="57">
        <v>48.48</v>
      </c>
      <c r="G1623" s="79">
        <v>6015</v>
      </c>
      <c r="H1623" s="17" t="s">
        <v>306</v>
      </c>
      <c r="I1623" s="16" t="s">
        <v>341</v>
      </c>
      <c r="J1623" s="323">
        <v>35.22</v>
      </c>
      <c r="K1623" s="323">
        <v>2.89</v>
      </c>
      <c r="L1623" s="73">
        <v>16.28</v>
      </c>
      <c r="M1623" s="323">
        <v>11.29</v>
      </c>
      <c r="N1623" s="318">
        <f t="shared" si="302"/>
        <v>65.680000000000007</v>
      </c>
      <c r="O1623" s="81">
        <f>IFERROR(VLOOKUP($G1623,'321買'!A:E,3,0),"'沒有資料'")</f>
        <v>18</v>
      </c>
      <c r="P1623" s="380">
        <f>IFERROR(VLOOKUP($G1623,'321買'!$A:$G,7,0),"'沒有資料'")</f>
        <v>258</v>
      </c>
      <c r="Q1623" s="245" t="s">
        <v>3815</v>
      </c>
      <c r="R1623" s="297">
        <f>IFERROR(RANK(VLOOKUP($G1623,連買!$A:$D,4,0),連買!$D:$D,0),"'沒有資料'")</f>
        <v>1109</v>
      </c>
      <c r="S1623" s="34">
        <v>0.5</v>
      </c>
      <c r="T1623" s="353">
        <f t="shared" si="297"/>
        <v>3.3333333333333333E-2</v>
      </c>
      <c r="U1623" s="95">
        <v>4.08</v>
      </c>
      <c r="V1623" s="36">
        <f>RTD("money.excel",,"6015","Price")</f>
        <v>15</v>
      </c>
      <c r="W1623" s="66"/>
      <c r="X1623" s="15">
        <f t="shared" si="298"/>
        <v>15</v>
      </c>
      <c r="Y1623" s="3" t="e">
        <f t="shared" si="299"/>
        <v>#DIV/0!</v>
      </c>
      <c r="AA1623" s="161">
        <v>0</v>
      </c>
      <c r="AB1623" s="409">
        <v>0</v>
      </c>
      <c r="AC1623" s="259">
        <f t="shared" si="304"/>
        <v>0</v>
      </c>
      <c r="AD1623" s="16" t="s">
        <v>341</v>
      </c>
      <c r="AG1623" s="33">
        <f t="shared" si="300"/>
        <v>0</v>
      </c>
      <c r="AH1623" s="43" t="s">
        <v>2367</v>
      </c>
      <c r="AI1623" s="63">
        <f t="shared" si="301"/>
        <v>3.4954682779456195E-3</v>
      </c>
      <c r="AJ1623" s="307">
        <f>RTD("money.excel",,$G1623,"PredictVolume")</f>
        <v>1157</v>
      </c>
      <c r="AK1623" s="339"/>
    </row>
    <row r="1624" spans="1:37">
      <c r="A1624" s="415">
        <v>59.4</v>
      </c>
      <c r="B1624" s="79">
        <v>18</v>
      </c>
      <c r="C1624" s="79">
        <v>45</v>
      </c>
      <c r="D1624" s="80">
        <v>-2</v>
      </c>
      <c r="E1624" s="79">
        <v>18</v>
      </c>
      <c r="F1624" s="57">
        <v>29.75</v>
      </c>
      <c r="G1624" s="79">
        <v>6016</v>
      </c>
      <c r="H1624" s="17" t="s">
        <v>306</v>
      </c>
      <c r="I1624" s="16" t="s">
        <v>342</v>
      </c>
      <c r="J1624" s="73">
        <v>41.55</v>
      </c>
      <c r="K1624" s="73">
        <v>2.9</v>
      </c>
      <c r="L1624" s="323">
        <v>7.49</v>
      </c>
      <c r="N1624" s="318">
        <f t="shared" si="302"/>
        <v>51.94</v>
      </c>
      <c r="O1624" s="81">
        <f>IFERROR(VLOOKUP($G1624,'321買'!A:E,3,0),"'沒有資料'")</f>
        <v>4</v>
      </c>
      <c r="P1624" s="380">
        <f>IFERROR(VLOOKUP($G1624,'321買'!$A:$G,7,0),"'沒有資料'")</f>
        <v>558</v>
      </c>
      <c r="Q1624" s="245" t="s">
        <v>3815</v>
      </c>
      <c r="R1624" s="297">
        <f>IFERROR(RANK(VLOOKUP($G1624,連買!$A:$D,4,0),連買!$D:$D,0),"'沒有資料'")</f>
        <v>1011</v>
      </c>
      <c r="S1624" s="34">
        <v>1.22</v>
      </c>
      <c r="T1624" s="353">
        <f t="shared" si="297"/>
        <v>8.4722222222222213E-2</v>
      </c>
      <c r="U1624" s="95">
        <v>2.02</v>
      </c>
      <c r="V1624" s="36">
        <f>RTD("money.excel",,"6016","Price")</f>
        <v>14.4</v>
      </c>
      <c r="W1624" s="66"/>
      <c r="X1624" s="15">
        <f t="shared" si="298"/>
        <v>14.4</v>
      </c>
      <c r="Y1624" s="3" t="e">
        <f t="shared" si="299"/>
        <v>#DIV/0!</v>
      </c>
      <c r="AA1624" s="161">
        <v>0</v>
      </c>
      <c r="AB1624" s="409">
        <v>0</v>
      </c>
      <c r="AC1624" s="259">
        <f t="shared" si="304"/>
        <v>0</v>
      </c>
      <c r="AD1624" s="16" t="s">
        <v>342</v>
      </c>
      <c r="AG1624" s="33">
        <f t="shared" si="300"/>
        <v>0</v>
      </c>
      <c r="AH1624" s="43" t="s">
        <v>2120</v>
      </c>
      <c r="AI1624" s="63">
        <f t="shared" si="301"/>
        <v>2.3973063973063975E-3</v>
      </c>
      <c r="AJ1624" s="307">
        <f>RTD("money.excel",,$G1624,"PredictVolume")</f>
        <v>1424</v>
      </c>
      <c r="AK1624" s="339"/>
    </row>
    <row r="1625" spans="1:37">
      <c r="A1625" s="415">
        <v>25.2</v>
      </c>
      <c r="B1625" s="93">
        <v>5595</v>
      </c>
      <c r="C1625" s="79">
        <v>375</v>
      </c>
      <c r="D1625" s="80">
        <v>-126</v>
      </c>
      <c r="E1625" s="80">
        <v>-373</v>
      </c>
      <c r="F1625" s="57">
        <v>32.07</v>
      </c>
      <c r="G1625" s="79">
        <v>6020</v>
      </c>
      <c r="H1625" s="17" t="s">
        <v>306</v>
      </c>
      <c r="I1625" s="16" t="s">
        <v>5001</v>
      </c>
      <c r="J1625" s="73">
        <v>95.93</v>
      </c>
      <c r="K1625" s="323">
        <v>0</v>
      </c>
      <c r="L1625" s="323">
        <v>0.02</v>
      </c>
      <c r="N1625" s="318">
        <f t="shared" si="302"/>
        <v>95.95</v>
      </c>
      <c r="O1625" s="81">
        <f>IFERROR(VLOOKUP($G1625,'321買'!A:E,3,0),"'沒有資料'")</f>
        <v>0</v>
      </c>
      <c r="P1625" s="380">
        <f>IFERROR(VLOOKUP($G1625,'321買'!$A:$G,7,0),"'沒有資料'")</f>
        <v>911</v>
      </c>
      <c r="R1625" s="297">
        <f>IFERROR(RANK(VLOOKUP($G1625,連買!$A:$D,4,0),連買!$D:$D,0),"'沒有資料'")</f>
        <v>1078</v>
      </c>
      <c r="S1625" s="34">
        <v>0.72</v>
      </c>
      <c r="T1625" s="353">
        <f t="shared" si="297"/>
        <v>3.4042553191489362E-2</v>
      </c>
      <c r="U1625" s="57">
        <v>1.03</v>
      </c>
      <c r="V1625" s="36">
        <f>RTD("money.excel",,"6020","Price")</f>
        <v>21.15</v>
      </c>
      <c r="W1625" s="66"/>
      <c r="X1625" s="15">
        <f t="shared" si="298"/>
        <v>21.15</v>
      </c>
      <c r="Y1625" s="3" t="e">
        <f t="shared" si="299"/>
        <v>#DIV/0!</v>
      </c>
      <c r="Z1625" s="413" t="s">
        <v>1801</v>
      </c>
      <c r="AA1625" s="161">
        <v>0</v>
      </c>
      <c r="AB1625" s="409">
        <v>0</v>
      </c>
      <c r="AC1625" s="259">
        <f t="shared" si="304"/>
        <v>0</v>
      </c>
      <c r="AD1625" s="16" t="s">
        <v>5001</v>
      </c>
      <c r="AG1625" s="33">
        <f t="shared" si="300"/>
        <v>0</v>
      </c>
      <c r="AH1625" s="43" t="s">
        <v>2368</v>
      </c>
      <c r="AI1625" s="63">
        <f t="shared" si="301"/>
        <v>1.4444444444444444E-3</v>
      </c>
      <c r="AJ1625" s="307">
        <f>RTD("money.excel",,$G1625,"PredictVolume")</f>
        <v>364</v>
      </c>
      <c r="AK1625" s="339"/>
    </row>
    <row r="1626" spans="1:37">
      <c r="A1626" s="416">
        <v>30.6</v>
      </c>
      <c r="B1626" s="80">
        <v>-86</v>
      </c>
      <c r="C1626" s="80">
        <v>-105</v>
      </c>
      <c r="D1626" s="79">
        <v>48</v>
      </c>
      <c r="E1626" s="79">
        <v>56</v>
      </c>
      <c r="F1626" s="57">
        <v>-1.06</v>
      </c>
      <c r="G1626" s="79">
        <v>6021</v>
      </c>
      <c r="H1626" s="17" t="s">
        <v>306</v>
      </c>
      <c r="I1626" s="16" t="s">
        <v>343</v>
      </c>
      <c r="J1626" s="323">
        <v>88.9</v>
      </c>
      <c r="K1626" s="73">
        <v>8.02</v>
      </c>
      <c r="L1626" s="73">
        <v>0.44</v>
      </c>
      <c r="N1626" s="318">
        <f t="shared" si="302"/>
        <v>97.36</v>
      </c>
      <c r="O1626" s="81" t="str">
        <f>IFERROR(VLOOKUP($G1626,'321買'!A:E,3,0),"'沒有資料'")</f>
        <v>'沒有資料'</v>
      </c>
      <c r="P1626" s="380" t="str">
        <f>IFERROR(VLOOKUP($G1626,'321買'!$A:$G,7,0),"'沒有資料'")</f>
        <v>'沒有資料'</v>
      </c>
      <c r="R1626" s="297">
        <f>IFERROR(RANK(VLOOKUP($G1626,連買!$A:$D,4,0),連買!$D:$D,0),"'沒有資料'")</f>
        <v>1285</v>
      </c>
      <c r="S1626" s="34">
        <v>0</v>
      </c>
      <c r="T1626" s="353">
        <f t="shared" si="297"/>
        <v>0</v>
      </c>
      <c r="U1626" s="57">
        <v>0.34</v>
      </c>
      <c r="V1626" s="36">
        <f>RTD("money.excel",,"6021","Price")</f>
        <v>20.100000000000001</v>
      </c>
      <c r="W1626" s="66"/>
      <c r="X1626" s="15">
        <f t="shared" si="298"/>
        <v>20.100000000000001</v>
      </c>
      <c r="Y1626" s="3" t="e">
        <f t="shared" si="299"/>
        <v>#DIV/0!</v>
      </c>
      <c r="AA1626" s="161">
        <v>0</v>
      </c>
      <c r="AB1626" s="409">
        <v>0</v>
      </c>
      <c r="AC1626" s="259">
        <f t="shared" si="304"/>
        <v>0</v>
      </c>
      <c r="AD1626" s="16" t="s">
        <v>343</v>
      </c>
      <c r="AG1626" s="33">
        <f t="shared" si="300"/>
        <v>0</v>
      </c>
      <c r="AH1626" s="43" t="s">
        <v>2891</v>
      </c>
      <c r="AI1626" s="63">
        <f t="shared" si="301"/>
        <v>3.2679738562091506E-5</v>
      </c>
      <c r="AJ1626" s="307">
        <f>RTD("money.excel",,$G1626,"PredictVolume")</f>
        <v>10</v>
      </c>
      <c r="AK1626" s="339"/>
    </row>
    <row r="1627" spans="1:37">
      <c r="A1627" s="415">
        <v>29</v>
      </c>
      <c r="B1627" s="80">
        <v>-26</v>
      </c>
      <c r="C1627" s="80">
        <v>-10</v>
      </c>
      <c r="D1627" s="79">
        <v>51</v>
      </c>
      <c r="E1627" s="80">
        <v>-36</v>
      </c>
      <c r="F1627" s="57">
        <v>12.2</v>
      </c>
      <c r="G1627" s="79">
        <v>6023</v>
      </c>
      <c r="H1627" s="17" t="s">
        <v>306</v>
      </c>
      <c r="I1627" s="16" t="s">
        <v>149</v>
      </c>
      <c r="J1627" s="73">
        <v>82.28</v>
      </c>
      <c r="K1627" s="73">
        <v>0.36</v>
      </c>
      <c r="L1627" s="73">
        <v>0.34</v>
      </c>
      <c r="N1627" s="318">
        <f t="shared" si="302"/>
        <v>82.98</v>
      </c>
      <c r="O1627" s="81">
        <f>IFERROR(VLOOKUP($G1627,'321買'!A:E,3,0),"'沒有資料'")</f>
        <v>0</v>
      </c>
      <c r="P1627" s="380">
        <f>IFERROR(VLOOKUP($G1627,'321買'!$A:$G,7,0),"'沒有資料'")</f>
        <v>911</v>
      </c>
      <c r="R1627" s="297">
        <f>IFERROR(RANK(VLOOKUP($G1627,連買!$A:$D,4,0),連買!$D:$D,0),"'沒有資料'")</f>
        <v>1139</v>
      </c>
      <c r="S1627" s="34">
        <v>2.8</v>
      </c>
      <c r="T1627" s="353">
        <f t="shared" si="297"/>
        <v>5.5888223552894203E-2</v>
      </c>
      <c r="U1627" s="57">
        <v>3.82</v>
      </c>
      <c r="V1627" s="36">
        <f>RTD("money.excel",,"6023","Price")</f>
        <v>50.1</v>
      </c>
      <c r="W1627" s="66"/>
      <c r="X1627" s="15">
        <f t="shared" si="298"/>
        <v>50.1</v>
      </c>
      <c r="Y1627" s="3" t="e">
        <f t="shared" si="299"/>
        <v>#DIV/0!</v>
      </c>
      <c r="Z1627" s="413" t="s">
        <v>1997</v>
      </c>
      <c r="AA1627" s="161">
        <v>0</v>
      </c>
      <c r="AB1627" s="409">
        <v>0</v>
      </c>
      <c r="AC1627" s="259">
        <f t="shared" si="304"/>
        <v>0</v>
      </c>
      <c r="AD1627" s="16" t="s">
        <v>149</v>
      </c>
      <c r="AG1627" s="33">
        <f t="shared" si="300"/>
        <v>0</v>
      </c>
      <c r="AH1627" s="120" t="s">
        <v>2789</v>
      </c>
      <c r="AI1627" s="63">
        <f t="shared" si="301"/>
        <v>2.310344827586207E-4</v>
      </c>
      <c r="AJ1627" s="307">
        <f>RTD("money.excel",,$G1627,"PredictVolume")</f>
        <v>67</v>
      </c>
      <c r="AK1627" s="339"/>
    </row>
    <row r="1628" spans="1:37" ht="15.75" customHeight="1">
      <c r="A1628" s="416">
        <v>21</v>
      </c>
      <c r="B1628" s="80">
        <v>-28</v>
      </c>
      <c r="C1628" s="80">
        <v>-66</v>
      </c>
      <c r="D1628" s="80">
        <v>49</v>
      </c>
      <c r="E1628" s="80">
        <v>75</v>
      </c>
      <c r="F1628" s="95">
        <v>9.26</v>
      </c>
      <c r="G1628" s="79">
        <v>6024</v>
      </c>
      <c r="H1628" s="17" t="s">
        <v>306</v>
      </c>
      <c r="I1628" s="22" t="s">
        <v>339</v>
      </c>
      <c r="J1628" s="323">
        <v>68.69</v>
      </c>
      <c r="K1628" s="323">
        <v>2.29</v>
      </c>
      <c r="L1628" s="73">
        <v>1.08</v>
      </c>
      <c r="N1628" s="318">
        <f t="shared" si="302"/>
        <v>72.06</v>
      </c>
      <c r="O1628" s="81">
        <f>IFERROR(VLOOKUP($G1628,'321買'!A:E,3,0),"'沒有資料'")</f>
        <v>0</v>
      </c>
      <c r="P1628" s="380">
        <f>IFERROR(VLOOKUP($G1628,'321買'!$A:$G,7,0),"'沒有資料'")</f>
        <v>911</v>
      </c>
      <c r="R1628" s="297">
        <f>IFERROR(RANK(VLOOKUP($G1628,連買!$A:$D,4,0),連買!$D:$D,0),"'沒有資料'")</f>
        <v>799</v>
      </c>
      <c r="S1628" s="34">
        <v>2.87</v>
      </c>
      <c r="T1628" s="353">
        <f t="shared" si="297"/>
        <v>7.6431424766977368E-2</v>
      </c>
      <c r="U1628" s="57">
        <v>3.1</v>
      </c>
      <c r="V1628" s="36">
        <f>RTD("money.excel",,"6024","Price")</f>
        <v>37.549999999999997</v>
      </c>
      <c r="W1628" s="66"/>
      <c r="X1628" s="15">
        <f t="shared" si="298"/>
        <v>37.549999999999997</v>
      </c>
      <c r="Y1628" s="3" t="e">
        <f t="shared" si="299"/>
        <v>#DIV/0!</v>
      </c>
      <c r="AA1628" s="161">
        <v>0</v>
      </c>
      <c r="AB1628" s="409">
        <v>0</v>
      </c>
      <c r="AC1628" s="259">
        <f t="shared" si="304"/>
        <v>0</v>
      </c>
      <c r="AD1628" s="22" t="s">
        <v>339</v>
      </c>
      <c r="AG1628" s="33">
        <f t="shared" si="300"/>
        <v>0</v>
      </c>
      <c r="AH1628" s="43" t="s">
        <v>2789</v>
      </c>
      <c r="AI1628" s="63">
        <f t="shared" si="301"/>
        <v>2.904761904761905E-4</v>
      </c>
      <c r="AJ1628" s="307">
        <f>RTD("money.excel",,$G1628,"PredictVolume")</f>
        <v>61</v>
      </c>
      <c r="AK1628" s="339"/>
    </row>
    <row r="1629" spans="1:37">
      <c r="A1629" s="415">
        <v>30</v>
      </c>
      <c r="B1629" s="79">
        <v>758</v>
      </c>
      <c r="C1629" s="79">
        <v>730</v>
      </c>
      <c r="D1629" s="79">
        <v>201</v>
      </c>
      <c r="E1629" s="79">
        <v>211</v>
      </c>
      <c r="F1629" s="57">
        <v>66.819999999999993</v>
      </c>
      <c r="G1629" s="79">
        <v>6026</v>
      </c>
      <c r="H1629" s="17" t="s">
        <v>306</v>
      </c>
      <c r="I1629" s="16" t="s">
        <v>344</v>
      </c>
      <c r="J1629" s="323">
        <v>45.04</v>
      </c>
      <c r="K1629" s="323">
        <v>6.01</v>
      </c>
      <c r="L1629" s="73">
        <v>19.32</v>
      </c>
      <c r="M1629" s="73">
        <v>10.36</v>
      </c>
      <c r="N1629" s="318">
        <f t="shared" si="302"/>
        <v>80.73</v>
      </c>
      <c r="O1629" s="81">
        <f>IFERROR(VLOOKUP($G1629,'321買'!A:E,3,0),"'沒有資料'")</f>
        <v>14</v>
      </c>
      <c r="P1629" s="380">
        <f>IFERROR(VLOOKUP($G1629,'321買'!$A:$G,7,0),"'沒有資料'")</f>
        <v>348</v>
      </c>
      <c r="Q1629" s="245" t="s">
        <v>3816</v>
      </c>
      <c r="R1629" s="297">
        <f>IFERROR(RANK(VLOOKUP($G1629,連買!$A:$D,4,0),連買!$D:$D,0),"'沒有資料'")</f>
        <v>1050</v>
      </c>
      <c r="S1629" s="34">
        <v>0.7</v>
      </c>
      <c r="T1629" s="353">
        <f t="shared" si="297"/>
        <v>3.6175710594315243E-2</v>
      </c>
      <c r="U1629" s="95">
        <v>4.21</v>
      </c>
      <c r="V1629" s="36">
        <f>RTD("money.excel",,"6026","Price")</f>
        <v>19.350000000000001</v>
      </c>
      <c r="W1629" s="66"/>
      <c r="X1629" s="15">
        <f t="shared" si="298"/>
        <v>19.350000000000001</v>
      </c>
      <c r="Y1629" s="3" t="e">
        <f t="shared" si="299"/>
        <v>#DIV/0!</v>
      </c>
      <c r="Z1629" s="413" t="s">
        <v>1801</v>
      </c>
      <c r="AA1629" s="161">
        <v>0</v>
      </c>
      <c r="AB1629" s="409">
        <v>0</v>
      </c>
      <c r="AC1629" s="259">
        <f t="shared" si="304"/>
        <v>0</v>
      </c>
      <c r="AD1629" s="16" t="s">
        <v>344</v>
      </c>
      <c r="AG1629" s="33">
        <f t="shared" si="300"/>
        <v>0</v>
      </c>
      <c r="AH1629" s="43" t="s">
        <v>2368</v>
      </c>
      <c r="AI1629" s="63">
        <f t="shared" si="301"/>
        <v>5.8999999999999999E-3</v>
      </c>
      <c r="AJ1629" s="307">
        <f>RTD("money.excel",,$G1629,"PredictVolume")</f>
        <v>1770</v>
      </c>
      <c r="AK1629" s="339"/>
    </row>
    <row r="1630" spans="1:37">
      <c r="B1630" s="79"/>
      <c r="C1630" s="79"/>
      <c r="D1630" s="234"/>
      <c r="E1630" s="79"/>
      <c r="F1630" s="57"/>
      <c r="G1630" s="79"/>
      <c r="H1630" s="17"/>
      <c r="I1630" s="16"/>
      <c r="J1630" s="73"/>
      <c r="K1630" s="73"/>
      <c r="L1630" s="323"/>
      <c r="N1630" s="318"/>
      <c r="O1630" s="26"/>
      <c r="S1630" s="34"/>
      <c r="U1630" s="95"/>
      <c r="V1630" s="36"/>
      <c r="W1630" s="66"/>
      <c r="X1630" s="15"/>
      <c r="Y1630" s="3"/>
      <c r="AA1630" s="2"/>
      <c r="AD1630" s="16"/>
      <c r="AG1630" s="33"/>
      <c r="AH1630" s="43"/>
      <c r="AI1630" s="8"/>
      <c r="AJ1630" s="50"/>
      <c r="AK1630" s="339"/>
    </row>
    <row r="1631" spans="1:37">
      <c r="A1631" s="130" t="s">
        <v>1732</v>
      </c>
      <c r="B1631" s="91" t="s">
        <v>1588</v>
      </c>
      <c r="C1631" s="91" t="s">
        <v>1589</v>
      </c>
      <c r="D1631" s="91" t="s">
        <v>1590</v>
      </c>
      <c r="E1631" s="91" t="s">
        <v>1591</v>
      </c>
      <c r="F1631" s="8" t="s">
        <v>1066</v>
      </c>
      <c r="G1631" s="27" t="s">
        <v>794</v>
      </c>
      <c r="H1631" s="55" t="s">
        <v>322</v>
      </c>
      <c r="I1631" s="8" t="s">
        <v>312</v>
      </c>
      <c r="J1631" s="317" t="s">
        <v>1467</v>
      </c>
      <c r="K1631" s="317" t="s">
        <v>251</v>
      </c>
      <c r="L1631" s="317" t="s">
        <v>284</v>
      </c>
      <c r="M1631" s="317" t="s">
        <v>1059</v>
      </c>
      <c r="N1631" s="317" t="s">
        <v>5048</v>
      </c>
      <c r="O1631" s="26" t="s">
        <v>5107</v>
      </c>
      <c r="P1631" s="373" t="s">
        <v>5059</v>
      </c>
      <c r="Q1631" s="245" t="s">
        <v>5087</v>
      </c>
      <c r="R1631" s="345" t="s">
        <v>5059</v>
      </c>
      <c r="S1631" s="10" t="s">
        <v>66</v>
      </c>
      <c r="T1631" s="351" t="s">
        <v>5076</v>
      </c>
      <c r="U1631" s="68" t="s">
        <v>3493</v>
      </c>
      <c r="V1631" s="28" t="s">
        <v>2</v>
      </c>
      <c r="W1631" s="17" t="s">
        <v>1405</v>
      </c>
      <c r="X1631" s="14" t="s">
        <v>5</v>
      </c>
      <c r="Y1631" s="21" t="s">
        <v>3</v>
      </c>
      <c r="Z1631" s="97" t="s">
        <v>6627</v>
      </c>
      <c r="AA1631" s="406" t="s">
        <v>8647</v>
      </c>
      <c r="AB1631" s="407" t="s">
        <v>8648</v>
      </c>
      <c r="AC1631" s="408" t="s">
        <v>8649</v>
      </c>
      <c r="AD1631" s="8" t="s">
        <v>312</v>
      </c>
      <c r="AE1631" s="71" t="s">
        <v>1406</v>
      </c>
      <c r="AF1631" s="72" t="s">
        <v>1163</v>
      </c>
      <c r="AG1631" s="32" t="s">
        <v>1164</v>
      </c>
      <c r="AH1631" s="25" t="s">
        <v>8650</v>
      </c>
      <c r="AI1631" s="8" t="s">
        <v>3852</v>
      </c>
      <c r="AJ1631" s="50" t="s">
        <v>3586</v>
      </c>
      <c r="AK1631" s="339" t="s">
        <v>5038</v>
      </c>
    </row>
    <row r="1632" spans="1:37">
      <c r="A1632" s="416">
        <v>9</v>
      </c>
      <c r="B1632" s="80">
        <v>-869</v>
      </c>
      <c r="C1632" s="80">
        <v>-383</v>
      </c>
      <c r="D1632" s="80">
        <v>-6</v>
      </c>
      <c r="E1632" s="79">
        <v>19</v>
      </c>
      <c r="F1632" s="6">
        <v>-26.34</v>
      </c>
      <c r="G1632" s="79">
        <v>1432</v>
      </c>
      <c r="H1632" s="8" t="s">
        <v>312</v>
      </c>
      <c r="I1632" s="22" t="s">
        <v>804</v>
      </c>
      <c r="J1632" s="73">
        <v>56.18</v>
      </c>
      <c r="K1632" s="323">
        <v>0.23</v>
      </c>
      <c r="L1632" s="323">
        <v>0</v>
      </c>
      <c r="M1632" s="323">
        <v>25.02</v>
      </c>
      <c r="N1632" s="318">
        <f>J1632+K1632+L1632+M1632</f>
        <v>81.429999999999993</v>
      </c>
      <c r="O1632" s="81">
        <f>IFERROR(VLOOKUP($G1632,'321買'!A:E,3,0),"'沒有資料'")</f>
        <v>0</v>
      </c>
      <c r="P1632" s="380">
        <f>IFERROR(VLOOKUP($G1632,'321買'!$A:$G,7,0),"'沒有資料'")</f>
        <v>911</v>
      </c>
      <c r="R1632" s="297">
        <f>IFERROR(RANK(VLOOKUP($G1632,連買!$A:$D,4,0),連買!$D:$D,0),"'沒有資料'")</f>
        <v>1311</v>
      </c>
      <c r="S1632" s="34">
        <v>0</v>
      </c>
      <c r="T1632" s="353">
        <f t="shared" ref="T1632:T1668" si="305">S1632/V1632</f>
        <v>0</v>
      </c>
      <c r="U1632" s="57">
        <v>-1.79</v>
      </c>
      <c r="V1632" s="36">
        <f>RTD("money.excel",,"1432","Price")</f>
        <v>12.55</v>
      </c>
      <c r="W1632" s="66"/>
      <c r="X1632" s="15">
        <f t="shared" ref="X1632:X1668" si="306">V1632-W1632</f>
        <v>12.55</v>
      </c>
      <c r="Y1632" s="3" t="e">
        <f t="shared" ref="Y1632:Y1668" si="307">X1632/W1632</f>
        <v>#DIV/0!</v>
      </c>
      <c r="Z1632" s="413" t="s">
        <v>1801</v>
      </c>
      <c r="AA1632" s="161">
        <v>0</v>
      </c>
      <c r="AB1632" s="409">
        <v>0</v>
      </c>
      <c r="AC1632" s="259">
        <f t="shared" si="304"/>
        <v>0</v>
      </c>
      <c r="AD1632" s="22" t="s">
        <v>804</v>
      </c>
      <c r="AG1632" s="33">
        <f t="shared" ref="AG1632:AG1668" si="308">AF1632-AE1632</f>
        <v>0</v>
      </c>
      <c r="AH1632" s="43" t="s">
        <v>2176</v>
      </c>
      <c r="AI1632" s="63">
        <f t="shared" ref="AI1632:AI1668" si="309">AJ1632/(A1632*10000)</f>
        <v>7.2333333333333329E-3</v>
      </c>
      <c r="AJ1632" s="307">
        <f>RTD("money.excel",,$G1632,"PredictVolume")</f>
        <v>651</v>
      </c>
      <c r="AK1632" s="339"/>
    </row>
    <row r="1633" spans="1:37">
      <c r="A1633" s="416">
        <v>68.599999999999994</v>
      </c>
      <c r="B1633" s="79">
        <v>-135</v>
      </c>
      <c r="C1633" s="79">
        <v>5</v>
      </c>
      <c r="D1633" s="80">
        <v>-21</v>
      </c>
      <c r="E1633" s="80">
        <v>-2</v>
      </c>
      <c r="F1633" s="6">
        <v>3.39</v>
      </c>
      <c r="G1633" s="79">
        <v>2601</v>
      </c>
      <c r="H1633" s="8" t="s">
        <v>312</v>
      </c>
      <c r="I1633" s="22" t="s">
        <v>5002</v>
      </c>
      <c r="J1633" s="323">
        <v>49.57</v>
      </c>
      <c r="K1633" s="323">
        <v>12.13</v>
      </c>
      <c r="L1633" s="323">
        <v>23.84</v>
      </c>
      <c r="N1633" s="318">
        <f t="shared" ref="N1633:N1668" si="310">J1633+K1633+L1633+M1633</f>
        <v>85.54</v>
      </c>
      <c r="O1633" s="81">
        <f>IFERROR(VLOOKUP($G1633,'321買'!A:E,3,0),"'沒有資料'")</f>
        <v>27</v>
      </c>
      <c r="P1633" s="380">
        <f>IFERROR(VLOOKUP($G1633,'321買'!$A:$G,7,0),"'沒有資料'")</f>
        <v>196</v>
      </c>
      <c r="R1633" s="297">
        <f>IFERROR(RANK(VLOOKUP($G1633,連買!$A:$D,4,0),連買!$D:$D,0),"'沒有資料'")</f>
        <v>1631</v>
      </c>
      <c r="S1633" s="34">
        <v>0</v>
      </c>
      <c r="T1633" s="353">
        <f t="shared" si="305"/>
        <v>0</v>
      </c>
      <c r="U1633" s="95">
        <v>-0.44</v>
      </c>
      <c r="V1633" s="36">
        <f>RTD("money.excel",,"2601","Price")</f>
        <v>11.05</v>
      </c>
      <c r="W1633" s="66"/>
      <c r="X1633" s="15">
        <f t="shared" si="306"/>
        <v>11.05</v>
      </c>
      <c r="Y1633" s="3" t="e">
        <f t="shared" si="307"/>
        <v>#DIV/0!</v>
      </c>
      <c r="Z1633" s="413" t="s">
        <v>1801</v>
      </c>
      <c r="AA1633" s="161">
        <v>0</v>
      </c>
      <c r="AB1633" s="409">
        <v>0</v>
      </c>
      <c r="AC1633" s="259">
        <f t="shared" si="304"/>
        <v>0</v>
      </c>
      <c r="AD1633" s="22" t="s">
        <v>5002</v>
      </c>
      <c r="AG1633" s="33">
        <f t="shared" si="308"/>
        <v>0</v>
      </c>
      <c r="AH1633" s="43" t="s">
        <v>2262</v>
      </c>
      <c r="AI1633" s="63">
        <f t="shared" si="309"/>
        <v>3.7026239067055391E-3</v>
      </c>
      <c r="AJ1633" s="307">
        <f>RTD("money.excel",,$G1633,"PredictVolume")</f>
        <v>2540</v>
      </c>
      <c r="AK1633" s="339"/>
    </row>
    <row r="1634" spans="1:37">
      <c r="A1634" s="416">
        <v>52.9</v>
      </c>
      <c r="B1634" s="79">
        <v>89</v>
      </c>
      <c r="C1634" s="79">
        <v>125</v>
      </c>
      <c r="D1634" s="80">
        <v>-1</v>
      </c>
      <c r="E1634" s="79">
        <v>10</v>
      </c>
      <c r="F1634" s="6">
        <v>2.74</v>
      </c>
      <c r="G1634" s="79">
        <v>2614</v>
      </c>
      <c r="H1634" s="8" t="s">
        <v>312</v>
      </c>
      <c r="I1634" s="22" t="s">
        <v>805</v>
      </c>
      <c r="J1634" s="323">
        <v>35.1</v>
      </c>
      <c r="K1634" s="73">
        <v>3.56</v>
      </c>
      <c r="L1634" s="73">
        <v>27.54</v>
      </c>
      <c r="M1634" s="73">
        <v>5.58</v>
      </c>
      <c r="N1634" s="318">
        <f t="shared" si="310"/>
        <v>71.78</v>
      </c>
      <c r="O1634" s="81">
        <f>IFERROR(VLOOKUP($G1634,'321買'!A:E,3,0),"'沒有資料'")</f>
        <v>29</v>
      </c>
      <c r="P1634" s="380">
        <f>IFERROR(VLOOKUP($G1634,'321買'!$A:$G,7,0),"'沒有資料'")</f>
        <v>156</v>
      </c>
      <c r="Q1634" s="245" t="s">
        <v>3817</v>
      </c>
      <c r="R1634" s="297">
        <f>IFERROR(RANK(VLOOKUP($G1634,連買!$A:$D,4,0),連買!$D:$D,0),"'沒有資料'")</f>
        <v>979</v>
      </c>
      <c r="S1634" s="34">
        <v>0.8</v>
      </c>
      <c r="T1634" s="353">
        <f t="shared" si="305"/>
        <v>2.6578073089700997E-2</v>
      </c>
      <c r="U1634" s="95">
        <v>1.46</v>
      </c>
      <c r="V1634" s="36">
        <f>RTD("money.excel",,"2614","Price")</f>
        <v>30.1</v>
      </c>
      <c r="W1634" s="66"/>
      <c r="X1634" s="15">
        <f t="shared" si="306"/>
        <v>30.1</v>
      </c>
      <c r="Y1634" s="3" t="e">
        <f t="shared" si="307"/>
        <v>#DIV/0!</v>
      </c>
      <c r="Z1634" s="413" t="s">
        <v>1801</v>
      </c>
      <c r="AA1634" s="161">
        <v>0</v>
      </c>
      <c r="AB1634" s="409">
        <v>0</v>
      </c>
      <c r="AC1634" s="259">
        <f t="shared" si="304"/>
        <v>0</v>
      </c>
      <c r="AD1634" s="22" t="s">
        <v>805</v>
      </c>
      <c r="AG1634" s="33">
        <f t="shared" si="308"/>
        <v>0</v>
      </c>
      <c r="AH1634" s="43" t="s">
        <v>3042</v>
      </c>
      <c r="AI1634" s="63">
        <f t="shared" si="309"/>
        <v>5.9621928166351604E-3</v>
      </c>
      <c r="AJ1634" s="307">
        <f>RTD("money.excel",,$G1634,"PredictVolume")</f>
        <v>3154</v>
      </c>
      <c r="AK1634" s="339">
        <v>42.69</v>
      </c>
    </row>
    <row r="1635" spans="1:37">
      <c r="A1635" s="416">
        <v>7.3</v>
      </c>
      <c r="B1635" s="91">
        <v>-48</v>
      </c>
      <c r="C1635" s="91">
        <v>-69</v>
      </c>
      <c r="D1635" s="91">
        <v>-9</v>
      </c>
      <c r="E1635" s="91">
        <v>-19</v>
      </c>
      <c r="F1635" s="6">
        <v>7.42</v>
      </c>
      <c r="G1635" s="79">
        <v>2901</v>
      </c>
      <c r="H1635" s="8" t="s">
        <v>312</v>
      </c>
      <c r="I1635" s="22" t="s">
        <v>806</v>
      </c>
      <c r="J1635" s="323">
        <v>83.87</v>
      </c>
      <c r="K1635" s="323">
        <v>0.06</v>
      </c>
      <c r="L1635" s="323">
        <v>14.05</v>
      </c>
      <c r="N1635" s="318">
        <f t="shared" si="310"/>
        <v>97.98</v>
      </c>
      <c r="O1635" s="81">
        <f>IFERROR(VLOOKUP($G1635,'321買'!A:E,3,0),"'沒有資料'")</f>
        <v>0</v>
      </c>
      <c r="P1635" s="380">
        <f>IFERROR(VLOOKUP($G1635,'321買'!$A:$G,7,0),"'沒有資料'")</f>
        <v>911</v>
      </c>
      <c r="R1635" s="297">
        <f>IFERROR(RANK(VLOOKUP($G1635,連買!$A:$D,4,0),連買!$D:$D,0),"'沒有資料'")</f>
        <v>751</v>
      </c>
      <c r="S1635" s="34">
        <v>0.18</v>
      </c>
      <c r="T1635" s="353">
        <f t="shared" si="305"/>
        <v>7.2434607645875245E-3</v>
      </c>
      <c r="U1635" s="95">
        <v>0.19</v>
      </c>
      <c r="V1635" s="13">
        <f>RTD("money.excel",,"2901","Price")</f>
        <v>24.85</v>
      </c>
      <c r="W1635" s="66"/>
      <c r="X1635" s="15">
        <f t="shared" si="306"/>
        <v>24.85</v>
      </c>
      <c r="Y1635" s="3" t="e">
        <f t="shared" si="307"/>
        <v>#DIV/0!</v>
      </c>
      <c r="AA1635" s="161">
        <v>0</v>
      </c>
      <c r="AB1635" s="409">
        <v>0</v>
      </c>
      <c r="AC1635" s="259">
        <f t="shared" si="304"/>
        <v>0</v>
      </c>
      <c r="AD1635" s="22" t="s">
        <v>806</v>
      </c>
      <c r="AG1635" s="33">
        <f t="shared" si="308"/>
        <v>0</v>
      </c>
      <c r="AH1635" s="43" t="s">
        <v>3043</v>
      </c>
      <c r="AI1635" s="63">
        <f t="shared" si="309"/>
        <v>1.9178082191780821E-4</v>
      </c>
      <c r="AJ1635" s="307">
        <f>RTD("money.excel",,$G1635,"PredictVolume")</f>
        <v>14</v>
      </c>
      <c r="AK1635" s="339"/>
    </row>
    <row r="1636" spans="1:37">
      <c r="A1636" s="416">
        <v>141</v>
      </c>
      <c r="B1636" s="91">
        <v>16</v>
      </c>
      <c r="C1636" s="91">
        <v>-15</v>
      </c>
      <c r="D1636" s="91">
        <v>-42</v>
      </c>
      <c r="E1636" s="91">
        <v>-3</v>
      </c>
      <c r="F1636" s="6">
        <v>9.42</v>
      </c>
      <c r="G1636" s="79">
        <v>2903</v>
      </c>
      <c r="H1636" s="8" t="s">
        <v>312</v>
      </c>
      <c r="I1636" s="22" t="s">
        <v>807</v>
      </c>
      <c r="J1636" s="323">
        <v>72.48</v>
      </c>
      <c r="K1636" s="323">
        <v>17.53</v>
      </c>
      <c r="L1636" s="73">
        <v>1.1399999999999999</v>
      </c>
      <c r="N1636" s="318">
        <f t="shared" si="310"/>
        <v>91.15</v>
      </c>
      <c r="O1636" s="81">
        <f>IFERROR(VLOOKUP($G1636,'321買'!A:E,3,0),"'沒有資料'")</f>
        <v>0</v>
      </c>
      <c r="P1636" s="380">
        <f>IFERROR(VLOOKUP($G1636,'321買'!$A:$G,7,0),"'沒有資料'")</f>
        <v>911</v>
      </c>
      <c r="R1636" s="297">
        <f>IFERROR(RANK(VLOOKUP($G1636,連買!$A:$D,4,0),連買!$D:$D,0),"'沒有資料'")</f>
        <v>1520</v>
      </c>
      <c r="S1636" s="34">
        <v>1.1000000000000001</v>
      </c>
      <c r="T1636" s="353">
        <f t="shared" si="305"/>
        <v>5.2132701421800952E-2</v>
      </c>
      <c r="U1636" s="95">
        <v>1.38</v>
      </c>
      <c r="V1636" s="13">
        <f>RTD("money.excel",,"2903","Price")</f>
        <v>21.1</v>
      </c>
      <c r="W1636" s="66"/>
      <c r="X1636" s="15">
        <f t="shared" si="306"/>
        <v>21.1</v>
      </c>
      <c r="Y1636" s="3" t="e">
        <f t="shared" si="307"/>
        <v>#DIV/0!</v>
      </c>
      <c r="AA1636" s="161">
        <v>0</v>
      </c>
      <c r="AB1636" s="409">
        <v>0</v>
      </c>
      <c r="AC1636" s="259">
        <f t="shared" si="304"/>
        <v>0</v>
      </c>
      <c r="AD1636" s="22" t="s">
        <v>807</v>
      </c>
      <c r="AG1636" s="33">
        <f t="shared" si="308"/>
        <v>0</v>
      </c>
      <c r="AH1636" s="43" t="s">
        <v>3044</v>
      </c>
      <c r="AI1636" s="63">
        <f t="shared" si="309"/>
        <v>1.6170212765957446E-4</v>
      </c>
      <c r="AJ1636" s="307">
        <f>RTD("money.excel",,$G1636,"PredictVolume")</f>
        <v>228</v>
      </c>
      <c r="AK1636" s="339"/>
    </row>
    <row r="1637" spans="1:37">
      <c r="A1637" s="416">
        <v>90.9</v>
      </c>
      <c r="B1637" s="90">
        <v>-70</v>
      </c>
      <c r="C1637" s="79">
        <v>14</v>
      </c>
      <c r="D1637" s="79">
        <v>3</v>
      </c>
      <c r="E1637" s="80">
        <v>-24</v>
      </c>
      <c r="F1637" s="6">
        <v>7.53</v>
      </c>
      <c r="G1637" s="79">
        <v>2905</v>
      </c>
      <c r="H1637" s="8" t="s">
        <v>312</v>
      </c>
      <c r="I1637" s="22" t="s">
        <v>91</v>
      </c>
      <c r="J1637" s="73">
        <v>81.08</v>
      </c>
      <c r="K1637" s="323">
        <v>6.75</v>
      </c>
      <c r="L1637" s="323">
        <v>1.42</v>
      </c>
      <c r="N1637" s="318">
        <f t="shared" si="310"/>
        <v>89.25</v>
      </c>
      <c r="O1637" s="81">
        <f>IFERROR(VLOOKUP($G1637,'321買'!A:E,3,0),"'沒有資料'")</f>
        <v>0</v>
      </c>
      <c r="P1637" s="380">
        <f>IFERROR(VLOOKUP($G1637,'321買'!$A:$G,7,0),"'沒有資料'")</f>
        <v>911</v>
      </c>
      <c r="R1637" s="297">
        <f>IFERROR(RANK(VLOOKUP($G1637,連買!$A:$D,4,0),連買!$D:$D,0),"'沒有資料'")</f>
        <v>1538</v>
      </c>
      <c r="S1637" s="34">
        <v>1</v>
      </c>
      <c r="T1637" s="353">
        <f t="shared" si="305"/>
        <v>4.49438202247191E-2</v>
      </c>
      <c r="U1637" s="95">
        <v>1.71</v>
      </c>
      <c r="V1637" s="36">
        <f>RTD("money.excel",,"2905","Price")</f>
        <v>22.25</v>
      </c>
      <c r="W1637" s="66"/>
      <c r="X1637" s="15">
        <f t="shared" si="306"/>
        <v>22.25</v>
      </c>
      <c r="Y1637" s="3" t="e">
        <f t="shared" si="307"/>
        <v>#DIV/0!</v>
      </c>
      <c r="Z1637" s="413" t="s">
        <v>1801</v>
      </c>
      <c r="AA1637" s="161">
        <v>0</v>
      </c>
      <c r="AB1637" s="409">
        <v>0</v>
      </c>
      <c r="AC1637" s="259">
        <f t="shared" si="304"/>
        <v>0</v>
      </c>
      <c r="AD1637" s="22" t="s">
        <v>91</v>
      </c>
      <c r="AG1637" s="33">
        <f t="shared" si="308"/>
        <v>0</v>
      </c>
      <c r="AH1637" s="120" t="s">
        <v>3045</v>
      </c>
      <c r="AI1637" s="63">
        <f t="shared" si="309"/>
        <v>4.0484048404840483E-4</v>
      </c>
      <c r="AJ1637" s="307">
        <f>RTD("money.excel",,$G1637,"PredictVolume")</f>
        <v>368</v>
      </c>
      <c r="AK1637" s="339"/>
    </row>
    <row r="1638" spans="1:37">
      <c r="A1638" s="416">
        <v>20.9</v>
      </c>
      <c r="B1638" s="80">
        <v>-33</v>
      </c>
      <c r="C1638" s="80">
        <v>-35</v>
      </c>
      <c r="D1638" s="80">
        <v>-4</v>
      </c>
      <c r="E1638" s="80">
        <v>-5</v>
      </c>
      <c r="F1638" s="6">
        <v>2.4500000000000002</v>
      </c>
      <c r="G1638" s="79">
        <v>2906</v>
      </c>
      <c r="H1638" s="8" t="s">
        <v>312</v>
      </c>
      <c r="I1638" s="22" t="s">
        <v>808</v>
      </c>
      <c r="J1638" s="323">
        <v>66.36</v>
      </c>
      <c r="K1638" s="323">
        <v>5.19</v>
      </c>
      <c r="L1638" s="323">
        <v>3.28</v>
      </c>
      <c r="N1638" s="318">
        <f t="shared" si="310"/>
        <v>74.83</v>
      </c>
      <c r="O1638" s="81">
        <f>IFERROR(VLOOKUP($G1638,'321買'!A:E,3,0),"'沒有資料'")</f>
        <v>5</v>
      </c>
      <c r="P1638" s="380">
        <f>IFERROR(VLOOKUP($G1638,'321買'!$A:$G,7,0),"'沒有資料'")</f>
        <v>558</v>
      </c>
      <c r="R1638" s="297">
        <f>IFERROR(RANK(VLOOKUP($G1638,連買!$A:$D,4,0),連買!$D:$D,0),"'沒有資料'")</f>
        <v>943</v>
      </c>
      <c r="S1638" s="34">
        <v>0.3</v>
      </c>
      <c r="T1638" s="353">
        <f t="shared" si="305"/>
        <v>1.2903225806451613E-2</v>
      </c>
      <c r="U1638" s="95">
        <v>0.15</v>
      </c>
      <c r="V1638" s="36">
        <f>RTD("money.excel",,"2906","Price")</f>
        <v>23.25</v>
      </c>
      <c r="W1638" s="66"/>
      <c r="X1638" s="15">
        <f t="shared" si="306"/>
        <v>23.25</v>
      </c>
      <c r="Y1638" s="3" t="e">
        <f t="shared" si="307"/>
        <v>#DIV/0!</v>
      </c>
      <c r="AA1638" s="161">
        <v>0</v>
      </c>
      <c r="AB1638" s="409">
        <v>0</v>
      </c>
      <c r="AC1638" s="259">
        <f t="shared" si="304"/>
        <v>0</v>
      </c>
      <c r="AD1638" s="22" t="s">
        <v>808</v>
      </c>
      <c r="AG1638" s="33">
        <f t="shared" si="308"/>
        <v>0</v>
      </c>
      <c r="AH1638" s="43" t="s">
        <v>2206</v>
      </c>
      <c r="AI1638" s="63">
        <f t="shared" si="309"/>
        <v>0.12311483253588516</v>
      </c>
      <c r="AJ1638" s="307">
        <f>RTD("money.excel",,$G1638,"PredictVolume")</f>
        <v>25731</v>
      </c>
      <c r="AK1638" s="339"/>
    </row>
    <row r="1639" spans="1:37">
      <c r="A1639" s="416">
        <v>50.9</v>
      </c>
      <c r="B1639" s="80">
        <v>-29</v>
      </c>
      <c r="C1639" s="80">
        <v>-32</v>
      </c>
      <c r="D1639" s="80">
        <v>-3</v>
      </c>
      <c r="E1639" s="80">
        <v>11</v>
      </c>
      <c r="F1639" s="6">
        <v>2.29</v>
      </c>
      <c r="G1639" s="79">
        <v>2908</v>
      </c>
      <c r="H1639" s="8" t="s">
        <v>312</v>
      </c>
      <c r="I1639" s="22" t="s">
        <v>809</v>
      </c>
      <c r="J1639" s="323">
        <v>87.93</v>
      </c>
      <c r="K1639" s="323">
        <v>7.77</v>
      </c>
      <c r="L1639" s="73">
        <v>7.46</v>
      </c>
      <c r="N1639" s="318">
        <f t="shared" si="310"/>
        <v>103.16</v>
      </c>
      <c r="O1639" s="81">
        <f>IFERROR(VLOOKUP($G1639,'321買'!A:E,3,0),"'沒有資料'")</f>
        <v>0</v>
      </c>
      <c r="P1639" s="380">
        <f>IFERROR(VLOOKUP($G1639,'321買'!$A:$G,7,0),"'沒有資料'")</f>
        <v>911</v>
      </c>
      <c r="R1639" s="297">
        <f>IFERROR(RANK(VLOOKUP($G1639,連買!$A:$D,4,0),連買!$D:$D,0),"'沒有資料'")</f>
        <v>1643</v>
      </c>
      <c r="S1639" s="34">
        <v>1.07</v>
      </c>
      <c r="T1639" s="353">
        <f t="shared" si="305"/>
        <v>4.8858447488584478E-2</v>
      </c>
      <c r="U1639" s="95">
        <v>1.6</v>
      </c>
      <c r="V1639" s="36">
        <f>RTD("money.excel",,"2908","Price")</f>
        <v>21.9</v>
      </c>
      <c r="W1639" s="66"/>
      <c r="X1639" s="15">
        <f t="shared" si="306"/>
        <v>21.9</v>
      </c>
      <c r="Y1639" s="3" t="e">
        <f t="shared" si="307"/>
        <v>#DIV/0!</v>
      </c>
      <c r="Z1639" s="413" t="s">
        <v>1801</v>
      </c>
      <c r="AA1639" s="161">
        <v>0</v>
      </c>
      <c r="AB1639" s="409">
        <v>0</v>
      </c>
      <c r="AC1639" s="259">
        <f t="shared" si="304"/>
        <v>0</v>
      </c>
      <c r="AD1639" s="22" t="s">
        <v>809</v>
      </c>
      <c r="AG1639" s="33">
        <f t="shared" si="308"/>
        <v>0</v>
      </c>
      <c r="AH1639" s="43" t="s">
        <v>3046</v>
      </c>
      <c r="AI1639" s="63">
        <f t="shared" si="309"/>
        <v>2.3575638506876227E-4</v>
      </c>
      <c r="AJ1639" s="307">
        <f>RTD("money.excel",,$G1639,"PredictVolume")</f>
        <v>120</v>
      </c>
      <c r="AK1639" s="339"/>
    </row>
    <row r="1640" spans="1:37">
      <c r="A1640" s="415">
        <v>20.8</v>
      </c>
      <c r="B1640" s="91">
        <v>-16</v>
      </c>
      <c r="C1640" s="91">
        <v>63</v>
      </c>
      <c r="D1640" s="91">
        <v>-19</v>
      </c>
      <c r="E1640" s="91">
        <v>6</v>
      </c>
      <c r="F1640" s="57">
        <v>32.840000000000003</v>
      </c>
      <c r="G1640" s="79">
        <v>2910</v>
      </c>
      <c r="H1640" s="8" t="s">
        <v>312</v>
      </c>
      <c r="I1640" s="22" t="s">
        <v>810</v>
      </c>
      <c r="J1640" s="73">
        <v>98.18</v>
      </c>
      <c r="K1640" s="73">
        <v>0.06</v>
      </c>
      <c r="L1640" s="73">
        <v>0.12</v>
      </c>
      <c r="N1640" s="318">
        <f t="shared" si="310"/>
        <v>98.360000000000014</v>
      </c>
      <c r="O1640" s="81">
        <f>IFERROR(VLOOKUP($G1640,'321買'!A:E,3,0),"'沒有資料'")</f>
        <v>0</v>
      </c>
      <c r="P1640" s="380">
        <f>IFERROR(VLOOKUP($G1640,'321買'!$A:$G,7,0),"'沒有資料'")</f>
        <v>911</v>
      </c>
      <c r="R1640" s="297">
        <f>IFERROR(RANK(VLOOKUP($G1640,連買!$A:$D,4,0),連買!$D:$D,0),"'沒有資料'")</f>
        <v>1435</v>
      </c>
      <c r="S1640" s="34">
        <v>0.5</v>
      </c>
      <c r="T1640" s="353">
        <f t="shared" si="305"/>
        <v>1.6129032258064516E-2</v>
      </c>
      <c r="U1640" s="95">
        <v>0.65</v>
      </c>
      <c r="V1640" s="13">
        <f>RTD("money.excel",,"2910","Price")</f>
        <v>31</v>
      </c>
      <c r="W1640" s="66"/>
      <c r="X1640" s="15">
        <f t="shared" si="306"/>
        <v>31</v>
      </c>
      <c r="Y1640" s="3" t="e">
        <f t="shared" si="307"/>
        <v>#DIV/0!</v>
      </c>
      <c r="AA1640" s="161">
        <v>0</v>
      </c>
      <c r="AB1640" s="409">
        <v>0</v>
      </c>
      <c r="AC1640" s="259">
        <f t="shared" si="304"/>
        <v>0</v>
      </c>
      <c r="AD1640" s="22" t="s">
        <v>810</v>
      </c>
      <c r="AG1640" s="33">
        <f t="shared" si="308"/>
        <v>0</v>
      </c>
      <c r="AH1640" s="43" t="s">
        <v>3047</v>
      </c>
      <c r="AI1640" s="63">
        <f t="shared" si="309"/>
        <v>9.6153846153846157E-6</v>
      </c>
      <c r="AJ1640" s="307">
        <f>RTD("money.excel",,$G1640,"PredictVolume")</f>
        <v>2</v>
      </c>
    </row>
    <row r="1641" spans="1:37">
      <c r="A1641" s="416">
        <v>18.399999999999999</v>
      </c>
      <c r="B1641" s="91">
        <v>4</v>
      </c>
      <c r="C1641" s="91">
        <v>18</v>
      </c>
      <c r="D1641" s="91">
        <v>3</v>
      </c>
      <c r="E1641" s="91">
        <v>-10</v>
      </c>
      <c r="F1641" s="6">
        <v>-10.24</v>
      </c>
      <c r="G1641" s="79">
        <v>2911</v>
      </c>
      <c r="H1641" s="8" t="s">
        <v>312</v>
      </c>
      <c r="I1641" s="22" t="s">
        <v>811</v>
      </c>
      <c r="J1641" s="73">
        <v>53.02</v>
      </c>
      <c r="K1641" s="73">
        <v>16.86</v>
      </c>
      <c r="L1641" s="73">
        <v>4.0999999999999996</v>
      </c>
      <c r="N1641" s="318">
        <f t="shared" si="310"/>
        <v>73.97999999999999</v>
      </c>
      <c r="O1641" s="81">
        <f>IFERROR(VLOOKUP($G1641,'321買'!A:E,3,0),"'沒有資料'")</f>
        <v>1</v>
      </c>
      <c r="P1641" s="380">
        <f>IFERROR(VLOOKUP($G1641,'321買'!$A:$G,7,0),"'沒有資料'")</f>
        <v>783</v>
      </c>
      <c r="R1641" s="297">
        <f>IFERROR(RANK(VLOOKUP($G1641,連買!$A:$D,4,0),連買!$D:$D,0),"'沒有資料'")</f>
        <v>1265</v>
      </c>
      <c r="S1641" s="34">
        <v>0</v>
      </c>
      <c r="T1641" s="353">
        <f t="shared" si="305"/>
        <v>0</v>
      </c>
      <c r="U1641" s="95">
        <v>-1.72</v>
      </c>
      <c r="V1641" s="13">
        <f>RTD("money.excel",,"2911","Price")</f>
        <v>7.5</v>
      </c>
      <c r="W1641" s="66"/>
      <c r="X1641" s="15">
        <f t="shared" si="306"/>
        <v>7.5</v>
      </c>
      <c r="Y1641" s="3" t="e">
        <f t="shared" si="307"/>
        <v>#DIV/0!</v>
      </c>
      <c r="AA1641" s="161">
        <v>0</v>
      </c>
      <c r="AB1641" s="409">
        <v>0</v>
      </c>
      <c r="AC1641" s="259">
        <f t="shared" si="304"/>
        <v>0</v>
      </c>
      <c r="AD1641" s="22" t="s">
        <v>811</v>
      </c>
      <c r="AG1641" s="33">
        <f t="shared" si="308"/>
        <v>0</v>
      </c>
      <c r="AH1641" s="43" t="s">
        <v>1541</v>
      </c>
      <c r="AI1641" s="63">
        <f t="shared" si="309"/>
        <v>3.1521739130434783E-4</v>
      </c>
      <c r="AJ1641" s="307">
        <f>RTD("money.excel",,$G1641,"PredictVolume")</f>
        <v>58</v>
      </c>
    </row>
    <row r="1642" spans="1:37">
      <c r="A1642" s="416">
        <v>103</v>
      </c>
      <c r="B1642" s="79">
        <v>3</v>
      </c>
      <c r="C1642" s="80">
        <v>-1</v>
      </c>
      <c r="D1642" s="80">
        <v>-4</v>
      </c>
      <c r="E1642" s="79">
        <v>11</v>
      </c>
      <c r="F1642" s="6">
        <v>4.8499999999999996</v>
      </c>
      <c r="G1642" s="79">
        <v>2912</v>
      </c>
      <c r="H1642" s="8" t="s">
        <v>312</v>
      </c>
      <c r="I1642" s="22" t="s">
        <v>5003</v>
      </c>
      <c r="J1642" s="73">
        <v>82.85</v>
      </c>
      <c r="K1642" s="323">
        <v>32.07</v>
      </c>
      <c r="L1642" s="323">
        <v>0.17</v>
      </c>
      <c r="N1642" s="318">
        <f t="shared" si="310"/>
        <v>115.08999999999999</v>
      </c>
      <c r="O1642" s="81">
        <f>IFERROR(VLOOKUP($G1642,'321買'!A:E,3,0),"'沒有資料'")</f>
        <v>0</v>
      </c>
      <c r="P1642" s="380">
        <f>IFERROR(VLOOKUP($G1642,'321買'!$A:$G,7,0),"'沒有資料'")</f>
        <v>911</v>
      </c>
      <c r="R1642" s="297">
        <f>IFERROR(RANK(VLOOKUP($G1642,連買!$A:$D,4,0),連買!$D:$D,0),"'沒有資料'")</f>
        <v>260</v>
      </c>
      <c r="S1642" s="66">
        <v>9</v>
      </c>
      <c r="T1642" s="353">
        <f t="shared" si="305"/>
        <v>3.3707865168539325E-2</v>
      </c>
      <c r="U1642" s="57">
        <v>10</v>
      </c>
      <c r="V1642" s="36">
        <f>RTD("money.excel",,"2912","Price")</f>
        <v>267</v>
      </c>
      <c r="W1642" s="66"/>
      <c r="X1642" s="15">
        <f t="shared" si="306"/>
        <v>267</v>
      </c>
      <c r="Y1642" s="3" t="e">
        <f t="shared" si="307"/>
        <v>#DIV/0!</v>
      </c>
      <c r="Z1642" s="413" t="s">
        <v>1997</v>
      </c>
      <c r="AA1642" s="161">
        <v>0</v>
      </c>
      <c r="AB1642" s="409">
        <v>0</v>
      </c>
      <c r="AC1642" s="259">
        <f t="shared" si="304"/>
        <v>0</v>
      </c>
      <c r="AD1642" s="22" t="s">
        <v>5003</v>
      </c>
      <c r="AG1642" s="33">
        <f t="shared" si="308"/>
        <v>0</v>
      </c>
      <c r="AH1642" s="120" t="s">
        <v>3048</v>
      </c>
      <c r="AI1642" s="63">
        <f t="shared" si="309"/>
        <v>4.6601941747572817E-4</v>
      </c>
      <c r="AJ1642" s="307">
        <f>RTD("money.excel",,$G1642,"PredictVolume")</f>
        <v>480</v>
      </c>
      <c r="AK1642" s="339"/>
    </row>
    <row r="1643" spans="1:37">
      <c r="A1643" s="416">
        <v>79</v>
      </c>
      <c r="B1643" s="94">
        <v>-2176</v>
      </c>
      <c r="C1643" s="79">
        <v>16</v>
      </c>
      <c r="D1643" s="80">
        <v>-12</v>
      </c>
      <c r="E1643" s="79">
        <v>20</v>
      </c>
      <c r="F1643" s="6">
        <v>-47.72</v>
      </c>
      <c r="G1643" s="79">
        <v>2913</v>
      </c>
      <c r="H1643" s="8" t="s">
        <v>312</v>
      </c>
      <c r="I1643" s="22" t="s">
        <v>812</v>
      </c>
      <c r="J1643" s="73">
        <v>65.3</v>
      </c>
      <c r="K1643" s="73">
        <v>11.08</v>
      </c>
      <c r="L1643" s="73">
        <v>4.3600000000000003</v>
      </c>
      <c r="N1643" s="318">
        <f t="shared" si="310"/>
        <v>80.739999999999995</v>
      </c>
      <c r="O1643" s="81">
        <f>IFERROR(VLOOKUP($G1643,'321買'!A:E,3,0),"'沒有資料'")</f>
        <v>1</v>
      </c>
      <c r="P1643" s="380">
        <f>IFERROR(VLOOKUP($G1643,'321買'!$A:$G,7,0),"'沒有資料'")</f>
        <v>783</v>
      </c>
      <c r="R1643" s="297">
        <f>IFERROR(RANK(VLOOKUP($G1643,連買!$A:$D,4,0),連買!$D:$D,0),"'沒有資料'")</f>
        <v>1084</v>
      </c>
      <c r="S1643" s="34">
        <v>0</v>
      </c>
      <c r="T1643" s="353">
        <f t="shared" si="305"/>
        <v>0</v>
      </c>
      <c r="U1643" s="95">
        <v>-0.02</v>
      </c>
      <c r="V1643" s="36">
        <f>RTD("money.excel",,"2913","Price")</f>
        <v>19.600000000000001</v>
      </c>
      <c r="W1643" s="66"/>
      <c r="X1643" s="15">
        <f t="shared" si="306"/>
        <v>19.600000000000001</v>
      </c>
      <c r="Y1643" s="3" t="e">
        <f t="shared" si="307"/>
        <v>#DIV/0!</v>
      </c>
      <c r="Z1643" s="413" t="s">
        <v>1801</v>
      </c>
      <c r="AA1643" s="161">
        <v>0</v>
      </c>
      <c r="AB1643" s="409">
        <v>0</v>
      </c>
      <c r="AC1643" s="259">
        <f t="shared" si="304"/>
        <v>0</v>
      </c>
      <c r="AD1643" s="22" t="s">
        <v>812</v>
      </c>
      <c r="AG1643" s="33">
        <f t="shared" si="308"/>
        <v>0</v>
      </c>
      <c r="AH1643" s="43" t="s">
        <v>2347</v>
      </c>
      <c r="AI1643" s="63">
        <f t="shared" si="309"/>
        <v>6.5822784810126581E-4</v>
      </c>
      <c r="AJ1643" s="307">
        <f>RTD("money.excel",,$G1643,"PredictVolume")</f>
        <v>520</v>
      </c>
      <c r="AK1643" s="339"/>
    </row>
    <row r="1644" spans="1:37">
      <c r="A1644" s="416">
        <v>73.400000000000006</v>
      </c>
      <c r="B1644" s="80">
        <v>141</v>
      </c>
      <c r="C1644" s="80">
        <v>-139</v>
      </c>
      <c r="D1644" s="80">
        <v>-41</v>
      </c>
      <c r="E1644" s="79">
        <v>24</v>
      </c>
      <c r="F1644" s="6">
        <v>-4.13</v>
      </c>
      <c r="G1644" s="79">
        <v>2915</v>
      </c>
      <c r="H1644" s="8" t="s">
        <v>312</v>
      </c>
      <c r="I1644" s="22" t="s">
        <v>5004</v>
      </c>
      <c r="J1644" s="323">
        <v>62.23</v>
      </c>
      <c r="K1644" s="323">
        <v>17.420000000000002</v>
      </c>
      <c r="L1644" s="323">
        <v>5.26</v>
      </c>
      <c r="N1644" s="318">
        <f t="shared" si="310"/>
        <v>84.910000000000011</v>
      </c>
      <c r="O1644" s="81">
        <f>IFERROR(VLOOKUP($G1644,'321買'!A:E,3,0),"'沒有資料'")</f>
        <v>6</v>
      </c>
      <c r="P1644" s="380">
        <f>IFERROR(VLOOKUP($G1644,'321買'!$A:$G,7,0),"'沒有資料'")</f>
        <v>499</v>
      </c>
      <c r="R1644" s="297">
        <f>IFERROR(RANK(VLOOKUP($G1644,連買!$A:$D,4,0),連買!$D:$D,0),"'沒有資料'")</f>
        <v>100</v>
      </c>
      <c r="S1644" s="66">
        <v>5</v>
      </c>
      <c r="T1644" s="353">
        <f t="shared" si="305"/>
        <v>4.6511627906976744E-2</v>
      </c>
      <c r="U1644" s="57">
        <v>26.39</v>
      </c>
      <c r="V1644" s="36">
        <f>RTD("money.excel",,"2915","Price")</f>
        <v>107.5</v>
      </c>
      <c r="W1644" s="66"/>
      <c r="X1644" s="15">
        <f t="shared" si="306"/>
        <v>107.5</v>
      </c>
      <c r="Y1644" s="3" t="e">
        <f t="shared" si="307"/>
        <v>#DIV/0!</v>
      </c>
      <c r="Z1644" s="413" t="s">
        <v>1997</v>
      </c>
      <c r="AA1644" s="161">
        <v>0</v>
      </c>
      <c r="AB1644" s="409">
        <v>0</v>
      </c>
      <c r="AC1644" s="259">
        <f t="shared" si="304"/>
        <v>0</v>
      </c>
      <c r="AD1644" s="22" t="s">
        <v>5004</v>
      </c>
      <c r="AG1644" s="33">
        <f t="shared" si="308"/>
        <v>0</v>
      </c>
      <c r="AH1644" s="120" t="s">
        <v>2205</v>
      </c>
      <c r="AI1644" s="63">
        <f t="shared" si="309"/>
        <v>1.8869209809264306E-3</v>
      </c>
      <c r="AJ1644" s="307">
        <f>RTD("money.excel",,$G1644,"PredictVolume")</f>
        <v>1385</v>
      </c>
      <c r="AK1644" s="339"/>
    </row>
    <row r="1645" spans="1:37">
      <c r="A1645" s="416">
        <v>5.46</v>
      </c>
      <c r="B1645" s="91">
        <v>-51</v>
      </c>
      <c r="C1645" s="91">
        <v>-2</v>
      </c>
      <c r="D1645" s="91">
        <v>10</v>
      </c>
      <c r="E1645" s="91">
        <v>-4</v>
      </c>
      <c r="F1645" s="6">
        <v>1.1000000000000001</v>
      </c>
      <c r="G1645" s="79">
        <v>2916</v>
      </c>
      <c r="H1645" s="8" t="s">
        <v>312</v>
      </c>
      <c r="I1645" s="16" t="s">
        <v>795</v>
      </c>
      <c r="J1645" s="73">
        <v>76.28</v>
      </c>
      <c r="K1645" s="73">
        <v>21.22</v>
      </c>
      <c r="L1645" s="73">
        <v>0.48</v>
      </c>
      <c r="N1645" s="318">
        <f t="shared" si="310"/>
        <v>97.98</v>
      </c>
      <c r="O1645" s="81">
        <f>IFERROR(VLOOKUP($G1645,'321買'!A:E,3,0),"'沒有資料'")</f>
        <v>0</v>
      </c>
      <c r="P1645" s="380">
        <f>IFERROR(VLOOKUP($G1645,'321買'!$A:$G,7,0),"'沒有資料'")</f>
        <v>911</v>
      </c>
      <c r="R1645" s="297">
        <f>IFERROR(RANK(VLOOKUP($G1645,連買!$A:$D,4,0),連買!$D:$D,0),"'沒有資料'")</f>
        <v>1036</v>
      </c>
      <c r="S1645" s="34">
        <v>1.5</v>
      </c>
      <c r="T1645" s="353">
        <f t="shared" si="305"/>
        <v>6.1224489795918366E-2</v>
      </c>
      <c r="U1645" s="95">
        <v>1.61</v>
      </c>
      <c r="V1645" s="13">
        <f>RTD("money.excel",,"2916","Price")</f>
        <v>24.5</v>
      </c>
      <c r="W1645" s="66"/>
      <c r="X1645" s="15">
        <f t="shared" si="306"/>
        <v>24.5</v>
      </c>
      <c r="Y1645" s="3" t="e">
        <f t="shared" si="307"/>
        <v>#DIV/0!</v>
      </c>
      <c r="AA1645" s="161">
        <v>0</v>
      </c>
      <c r="AB1645" s="409">
        <v>0</v>
      </c>
      <c r="AC1645" s="259">
        <f t="shared" si="304"/>
        <v>0</v>
      </c>
      <c r="AD1645" s="16" t="s">
        <v>795</v>
      </c>
      <c r="AG1645" s="33">
        <f t="shared" si="308"/>
        <v>0</v>
      </c>
      <c r="AH1645" s="43" t="s">
        <v>2828</v>
      </c>
      <c r="AI1645" s="63">
        <f t="shared" si="309"/>
        <v>2.2527472527472526E-3</v>
      </c>
      <c r="AJ1645" s="307">
        <f>RTD("money.excel",,$G1645,"PredictVolume")</f>
        <v>123</v>
      </c>
      <c r="AK1645" s="339"/>
    </row>
    <row r="1646" spans="1:37">
      <c r="A1646" s="416">
        <v>3.28</v>
      </c>
      <c r="B1646" s="91">
        <v>27</v>
      </c>
      <c r="C1646" s="91">
        <v>26</v>
      </c>
      <c r="D1646" s="91">
        <v>-14</v>
      </c>
      <c r="E1646" s="91">
        <v>-39</v>
      </c>
      <c r="F1646" s="6">
        <v>-19.55</v>
      </c>
      <c r="G1646" s="79">
        <v>2924</v>
      </c>
      <c r="H1646" s="8" t="s">
        <v>312</v>
      </c>
      <c r="I1646" s="16" t="s">
        <v>796</v>
      </c>
      <c r="J1646" s="73">
        <v>80.08</v>
      </c>
      <c r="K1646" s="73">
        <v>49.87</v>
      </c>
      <c r="L1646" s="73">
        <v>7.0000000000000007E-2</v>
      </c>
      <c r="N1646" s="318">
        <f t="shared" si="310"/>
        <v>130.01999999999998</v>
      </c>
      <c r="O1646" s="81" t="str">
        <f>IFERROR(VLOOKUP($G1646,'321買'!A:E,3,0),"'沒有資料'")</f>
        <v>'沒有資料'</v>
      </c>
      <c r="P1646" s="380" t="str">
        <f>IFERROR(VLOOKUP($G1646,'321買'!$A:$G,7,0),"'沒有資料'")</f>
        <v>'沒有資料'</v>
      </c>
      <c r="R1646" s="297">
        <f>IFERROR(RANK(VLOOKUP($G1646,連買!$A:$D,4,0),連買!$D:$D,0),"'沒有資料'")</f>
        <v>1372</v>
      </c>
      <c r="S1646" s="34">
        <v>0</v>
      </c>
      <c r="T1646" s="353" t="e">
        <f t="shared" si="305"/>
        <v>#VALUE!</v>
      </c>
      <c r="U1646" s="57">
        <v>-3.79</v>
      </c>
      <c r="V1646" s="13" t="str">
        <f>RTD("money.excel",,"2924","Price")</f>
        <v>無資料</v>
      </c>
      <c r="W1646" s="66"/>
      <c r="X1646" s="15" t="e">
        <f t="shared" si="306"/>
        <v>#VALUE!</v>
      </c>
      <c r="Y1646" s="3" t="e">
        <f t="shared" si="307"/>
        <v>#VALUE!</v>
      </c>
      <c r="AA1646" s="161">
        <v>0</v>
      </c>
      <c r="AB1646" s="409">
        <v>0</v>
      </c>
      <c r="AC1646" s="259">
        <f t="shared" si="304"/>
        <v>0</v>
      </c>
      <c r="AD1646" s="16" t="s">
        <v>796</v>
      </c>
      <c r="AG1646" s="33">
        <f t="shared" si="308"/>
        <v>0</v>
      </c>
      <c r="AH1646" s="43" t="s">
        <v>2829</v>
      </c>
      <c r="AI1646" s="63">
        <f t="shared" si="309"/>
        <v>0</v>
      </c>
      <c r="AJ1646" s="307">
        <f>RTD("money.excel",,$G1646,"PredictVolume")</f>
        <v>0</v>
      </c>
      <c r="AK1646" s="339"/>
    </row>
    <row r="1647" spans="1:37">
      <c r="A1647" s="416">
        <v>7.66</v>
      </c>
      <c r="B1647" s="91">
        <v>439</v>
      </c>
      <c r="C1647" s="91">
        <v>703</v>
      </c>
      <c r="D1647" s="91">
        <v>2</v>
      </c>
      <c r="E1647" s="91">
        <v>-16</v>
      </c>
      <c r="F1647" s="6">
        <v>-0.87</v>
      </c>
      <c r="G1647" s="79">
        <v>2936</v>
      </c>
      <c r="H1647" s="8" t="s">
        <v>312</v>
      </c>
      <c r="I1647" s="22" t="s">
        <v>1121</v>
      </c>
      <c r="J1647" s="73">
        <v>89.39</v>
      </c>
      <c r="K1647" s="73">
        <v>87.48</v>
      </c>
      <c r="L1647" s="73">
        <v>1.17</v>
      </c>
      <c r="N1647" s="318">
        <f t="shared" si="310"/>
        <v>178.04</v>
      </c>
      <c r="O1647" s="81">
        <f>IFERROR(VLOOKUP($G1647,'321買'!A:E,3,0),"'沒有資料'")</f>
        <v>3</v>
      </c>
      <c r="P1647" s="380">
        <f>IFERROR(VLOOKUP($G1647,'321買'!$A:$G,7,0),"'沒有資料'")</f>
        <v>636</v>
      </c>
      <c r="R1647" s="297">
        <f>IFERROR(RANK(VLOOKUP($G1647,連買!$A:$D,4,0),連買!$D:$D,0),"'沒有資料'")</f>
        <v>626</v>
      </c>
      <c r="S1647" s="34">
        <v>0</v>
      </c>
      <c r="T1647" s="353">
        <f t="shared" si="305"/>
        <v>0</v>
      </c>
      <c r="U1647" s="57">
        <v>3.24</v>
      </c>
      <c r="V1647" s="13">
        <f>RTD("money.excel",,"2936","Price")</f>
        <v>39.049999999999997</v>
      </c>
      <c r="W1647" s="66"/>
      <c r="X1647" s="15">
        <f t="shared" si="306"/>
        <v>39.049999999999997</v>
      </c>
      <c r="Y1647" s="3" t="e">
        <f t="shared" si="307"/>
        <v>#DIV/0!</v>
      </c>
      <c r="AA1647" s="161">
        <v>0</v>
      </c>
      <c r="AB1647" s="409">
        <v>0</v>
      </c>
      <c r="AC1647" s="259">
        <f t="shared" si="304"/>
        <v>0</v>
      </c>
      <c r="AD1647" s="22" t="s">
        <v>1121</v>
      </c>
      <c r="AG1647" s="33">
        <f t="shared" si="308"/>
        <v>0</v>
      </c>
      <c r="AH1647" s="43" t="s">
        <v>3049</v>
      </c>
      <c r="AI1647" s="63">
        <f t="shared" si="309"/>
        <v>3.133159268929504E-4</v>
      </c>
      <c r="AJ1647" s="307">
        <f>RTD("money.excel",,$G1647,"PredictVolume")</f>
        <v>24</v>
      </c>
      <c r="AK1647" s="339"/>
    </row>
    <row r="1648" spans="1:37">
      <c r="A1648" s="416">
        <v>3.29</v>
      </c>
      <c r="B1648" s="91">
        <v>78</v>
      </c>
      <c r="C1648" s="91">
        <v>112</v>
      </c>
      <c r="D1648" s="91">
        <v>1</v>
      </c>
      <c r="E1648" s="91">
        <v>16</v>
      </c>
      <c r="F1648" s="6">
        <v>4.1399999999999997</v>
      </c>
      <c r="G1648" s="79">
        <v>2937</v>
      </c>
      <c r="H1648" s="8" t="s">
        <v>312</v>
      </c>
      <c r="I1648" s="16" t="s">
        <v>797</v>
      </c>
      <c r="J1648" s="73">
        <v>84.59</v>
      </c>
      <c r="K1648" s="73">
        <v>0</v>
      </c>
      <c r="N1648" s="318">
        <f t="shared" si="310"/>
        <v>84.59</v>
      </c>
      <c r="O1648" s="81" t="str">
        <f>IFERROR(VLOOKUP($G1648,'321買'!A:E,3,0),"'沒有資料'")</f>
        <v>'沒有資料'</v>
      </c>
      <c r="P1648" s="380" t="str">
        <f>IFERROR(VLOOKUP($G1648,'321買'!$A:$G,7,0),"'沒有資料'")</f>
        <v>'沒有資料'</v>
      </c>
      <c r="R1648" s="297">
        <f>IFERROR(RANK(VLOOKUP($G1648,連買!$A:$D,4,0),連買!$D:$D,0),"'沒有資料'")</f>
        <v>1281</v>
      </c>
      <c r="S1648" s="34">
        <v>2.35</v>
      </c>
      <c r="T1648" s="353">
        <f t="shared" si="305"/>
        <v>6.3002680965147453E-2</v>
      </c>
      <c r="U1648" s="95">
        <v>3.15</v>
      </c>
      <c r="V1648" s="13">
        <f>RTD("money.excel",,"2937","Price")</f>
        <v>37.299999999999997</v>
      </c>
      <c r="W1648" s="66"/>
      <c r="X1648" s="15">
        <f t="shared" si="306"/>
        <v>37.299999999999997</v>
      </c>
      <c r="Y1648" s="3" t="e">
        <f t="shared" si="307"/>
        <v>#DIV/0!</v>
      </c>
      <c r="AA1648" s="161">
        <v>0</v>
      </c>
      <c r="AB1648" s="409">
        <v>0</v>
      </c>
      <c r="AC1648" s="259">
        <f t="shared" si="304"/>
        <v>0</v>
      </c>
      <c r="AD1648" s="16" t="s">
        <v>797</v>
      </c>
      <c r="AG1648" s="33">
        <f t="shared" si="308"/>
        <v>0</v>
      </c>
      <c r="AH1648" s="43" t="s">
        <v>2830</v>
      </c>
      <c r="AI1648" s="63">
        <f t="shared" si="309"/>
        <v>1.5197568389057752E-4</v>
      </c>
      <c r="AJ1648" s="307">
        <f>RTD("money.excel",,$G1648,"PredictVolume")</f>
        <v>5</v>
      </c>
      <c r="AK1648" s="339"/>
    </row>
    <row r="1649" spans="1:37">
      <c r="A1649" s="416">
        <v>4.55</v>
      </c>
      <c r="B1649" s="80">
        <v>-98</v>
      </c>
      <c r="C1649" s="80">
        <v>-68</v>
      </c>
      <c r="D1649" s="80">
        <v>-40</v>
      </c>
      <c r="E1649" s="80">
        <v>-42</v>
      </c>
      <c r="F1649" s="57">
        <v>4.97</v>
      </c>
      <c r="G1649" s="79">
        <v>2939</v>
      </c>
      <c r="H1649" s="8" t="s">
        <v>312</v>
      </c>
      <c r="I1649" s="22" t="s">
        <v>813</v>
      </c>
      <c r="J1649" s="73">
        <v>45.3</v>
      </c>
      <c r="K1649" s="73">
        <v>82.13</v>
      </c>
      <c r="L1649" s="73">
        <v>0</v>
      </c>
      <c r="N1649" s="318">
        <f t="shared" si="310"/>
        <v>127.42999999999999</v>
      </c>
      <c r="O1649" s="81">
        <f>IFERROR(VLOOKUP($G1649,'321買'!A:E,3,0),"'沒有資料'")</f>
        <v>0</v>
      </c>
      <c r="P1649" s="380">
        <f>IFERROR(VLOOKUP($G1649,'321買'!$A:$G,7,0),"'沒有資料'")</f>
        <v>911</v>
      </c>
      <c r="R1649" s="297">
        <f>IFERROR(RANK(VLOOKUP($G1649,連買!$A:$D,4,0),連買!$D:$D,0),"'沒有資料'")</f>
        <v>1360</v>
      </c>
      <c r="S1649" s="34">
        <v>2</v>
      </c>
      <c r="T1649" s="353">
        <f t="shared" si="305"/>
        <v>7.130124777183601E-2</v>
      </c>
      <c r="U1649" s="95">
        <v>0.2</v>
      </c>
      <c r="V1649" s="13">
        <f>RTD("money.excel",,"2939","Price")</f>
        <v>28.05</v>
      </c>
      <c r="W1649" s="66"/>
      <c r="X1649" s="15">
        <f t="shared" si="306"/>
        <v>28.05</v>
      </c>
      <c r="Y1649" s="3" t="e">
        <f t="shared" si="307"/>
        <v>#DIV/0!</v>
      </c>
      <c r="AA1649" s="161">
        <v>0</v>
      </c>
      <c r="AB1649" s="409">
        <v>0</v>
      </c>
      <c r="AC1649" s="259">
        <f t="shared" si="304"/>
        <v>0</v>
      </c>
      <c r="AD1649" s="22" t="s">
        <v>813</v>
      </c>
      <c r="AG1649" s="33">
        <f t="shared" si="308"/>
        <v>0</v>
      </c>
      <c r="AH1649" s="43" t="s">
        <v>3050</v>
      </c>
      <c r="AI1649" s="63">
        <f t="shared" si="309"/>
        <v>2.5494505494505493E-3</v>
      </c>
      <c r="AJ1649" s="307">
        <f>RTD("money.excel",,$G1649,"PredictVolume")</f>
        <v>116</v>
      </c>
      <c r="AK1649" s="339"/>
    </row>
    <row r="1650" spans="1:37">
      <c r="A1650" s="416">
        <v>6.75</v>
      </c>
      <c r="B1650" s="79">
        <v>6</v>
      </c>
      <c r="C1650" s="79">
        <v>8</v>
      </c>
      <c r="D1650" s="80">
        <v>-10</v>
      </c>
      <c r="E1650" s="80">
        <v>-3</v>
      </c>
      <c r="F1650" s="6">
        <v>1.84</v>
      </c>
      <c r="G1650" s="79">
        <v>2945</v>
      </c>
      <c r="H1650" s="8" t="s">
        <v>312</v>
      </c>
      <c r="I1650" s="22" t="s">
        <v>3782</v>
      </c>
      <c r="J1650" s="323">
        <v>82.79</v>
      </c>
      <c r="K1650" s="323">
        <v>19.559999999999999</v>
      </c>
      <c r="L1650" s="323">
        <v>0</v>
      </c>
      <c r="M1650" s="323">
        <v>83.37</v>
      </c>
      <c r="N1650" s="73">
        <f t="shared" si="310"/>
        <v>185.72000000000003</v>
      </c>
      <c r="O1650" s="81" t="str">
        <f>IFERROR(VLOOKUP($G1650,'321買'!A:E,3,0),"'沒有資料'")</f>
        <v>'沒有資料'</v>
      </c>
      <c r="P1650" s="380" t="str">
        <f>IFERROR(VLOOKUP($G1650,'321買'!$A:$G,7,0),"'沒有資料'")</f>
        <v>'沒有資料'</v>
      </c>
      <c r="R1650" s="297">
        <f>IFERROR(RANK(VLOOKUP($G1650,連買!$A:$D,4,0),連買!$D:$D,0),"'沒有資料'")</f>
        <v>1641</v>
      </c>
      <c r="S1650" s="34">
        <v>2.73</v>
      </c>
      <c r="T1650" s="353">
        <f t="shared" si="305"/>
        <v>4.4174757281553401E-2</v>
      </c>
      <c r="U1650" s="57">
        <v>3.18</v>
      </c>
      <c r="V1650" s="36">
        <f>RTD("money.excel",,"2945","Price")</f>
        <v>61.8</v>
      </c>
      <c r="W1650" s="66"/>
      <c r="X1650" s="15">
        <f t="shared" si="306"/>
        <v>61.8</v>
      </c>
      <c r="Y1650" s="3" t="e">
        <f t="shared" si="307"/>
        <v>#DIV/0!</v>
      </c>
      <c r="AA1650" s="161">
        <v>0</v>
      </c>
      <c r="AB1650" s="409">
        <v>0</v>
      </c>
      <c r="AC1650" s="259">
        <f t="shared" si="304"/>
        <v>0</v>
      </c>
      <c r="AD1650" s="22" t="s">
        <v>3782</v>
      </c>
      <c r="AG1650" s="33">
        <f t="shared" si="308"/>
        <v>0</v>
      </c>
      <c r="AH1650" s="43" t="s">
        <v>3783</v>
      </c>
      <c r="AI1650" s="63">
        <f t="shared" si="309"/>
        <v>2.9629629629629629E-4</v>
      </c>
      <c r="AJ1650" s="307">
        <f>RTD("money.excel",,$G1650,"PredictVolume")</f>
        <v>20</v>
      </c>
      <c r="AK1650" s="339"/>
    </row>
    <row r="1651" spans="1:37">
      <c r="A1651" s="416">
        <v>1.93</v>
      </c>
      <c r="B1651" s="79">
        <v>7</v>
      </c>
      <c r="C1651" s="79">
        <v>2</v>
      </c>
      <c r="D1651" s="80">
        <v>-3</v>
      </c>
      <c r="E1651" s="79">
        <v>12</v>
      </c>
      <c r="F1651" s="6">
        <v>9.5</v>
      </c>
      <c r="G1651" s="79">
        <v>2947</v>
      </c>
      <c r="H1651" s="8" t="s">
        <v>312</v>
      </c>
      <c r="I1651" s="16" t="s">
        <v>3705</v>
      </c>
      <c r="J1651" s="323">
        <v>56.57</v>
      </c>
      <c r="K1651" s="323">
        <v>0.3</v>
      </c>
      <c r="L1651" s="323"/>
      <c r="N1651" s="318">
        <f t="shared" si="310"/>
        <v>56.87</v>
      </c>
      <c r="O1651" s="81" t="str">
        <f>IFERROR(VLOOKUP($G1651,'321買'!A:E,3,0),"'沒有資料'")</f>
        <v>'沒有資料'</v>
      </c>
      <c r="P1651" s="380" t="str">
        <f>IFERROR(VLOOKUP($G1651,'321買'!$A:$G,7,0),"'沒有資料'")</f>
        <v>'沒有資料'</v>
      </c>
      <c r="R1651" s="297">
        <f>IFERROR(RANK(VLOOKUP($G1651,連買!$A:$D,4,0),連買!$D:$D,0),"'沒有資料'")</f>
        <v>789</v>
      </c>
      <c r="S1651" s="66">
        <v>3.6</v>
      </c>
      <c r="T1651" s="353">
        <f t="shared" si="305"/>
        <v>2.5714285714285714E-2</v>
      </c>
      <c r="U1651" s="57" t="s">
        <v>3500</v>
      </c>
      <c r="V1651" s="36">
        <f>RTD("money.excel",,"2947","Price")</f>
        <v>140</v>
      </c>
      <c r="W1651" s="66"/>
      <c r="X1651" s="15">
        <f t="shared" si="306"/>
        <v>140</v>
      </c>
      <c r="Y1651" s="3" t="e">
        <f t="shared" si="307"/>
        <v>#DIV/0!</v>
      </c>
      <c r="Z1651" s="413" t="s">
        <v>1831</v>
      </c>
      <c r="AA1651" s="161">
        <v>0</v>
      </c>
      <c r="AB1651" s="409">
        <v>0</v>
      </c>
      <c r="AC1651" s="259">
        <f t="shared" si="304"/>
        <v>0</v>
      </c>
      <c r="AD1651" s="16" t="s">
        <v>3705</v>
      </c>
      <c r="AG1651" s="33">
        <f t="shared" si="308"/>
        <v>0</v>
      </c>
      <c r="AH1651" s="43" t="s">
        <v>3706</v>
      </c>
      <c r="AI1651" s="63">
        <f t="shared" si="309"/>
        <v>1.8652849740932642E-3</v>
      </c>
      <c r="AJ1651" s="307">
        <f>RTD("money.excel",,$G1651,"PredictVolume")</f>
        <v>36</v>
      </c>
      <c r="AK1651" s="339"/>
    </row>
    <row r="1652" spans="1:37">
      <c r="A1652" s="416">
        <v>6.67</v>
      </c>
      <c r="B1652" s="79">
        <v>35</v>
      </c>
      <c r="C1652" s="79">
        <v>19</v>
      </c>
      <c r="D1652" s="80">
        <v>-1</v>
      </c>
      <c r="E1652" s="79">
        <v>40</v>
      </c>
      <c r="F1652" s="6">
        <v>9.27</v>
      </c>
      <c r="G1652" s="79">
        <v>3171</v>
      </c>
      <c r="H1652" s="8" t="s">
        <v>312</v>
      </c>
      <c r="I1652" s="16" t="s">
        <v>798</v>
      </c>
      <c r="J1652" s="323">
        <v>74.760000000000005</v>
      </c>
      <c r="K1652" s="323">
        <v>0.52</v>
      </c>
      <c r="L1652" s="323">
        <v>4.33</v>
      </c>
      <c r="N1652" s="318">
        <f t="shared" si="310"/>
        <v>79.61</v>
      </c>
      <c r="O1652" s="81" t="str">
        <f>IFERROR(VLOOKUP($G1652,'321買'!A:E,3,0),"'沒有資料'")</f>
        <v>'沒有資料'</v>
      </c>
      <c r="P1652" s="380" t="str">
        <f>IFERROR(VLOOKUP($G1652,'321買'!$A:$G,7,0),"'沒有資料'")</f>
        <v>'沒有資料'</v>
      </c>
      <c r="R1652" s="297">
        <f>IFERROR(RANK(VLOOKUP($G1652,連買!$A:$D,4,0),連買!$D:$D,0),"'沒有資料'")</f>
        <v>1463</v>
      </c>
      <c r="S1652" s="34">
        <v>1.85</v>
      </c>
      <c r="T1652" s="353">
        <f t="shared" si="305"/>
        <v>8.6448598130841131E-2</v>
      </c>
      <c r="U1652" s="95">
        <v>2.14</v>
      </c>
      <c r="V1652" s="36">
        <f>RTD("money.excel",,"3171","Price")</f>
        <v>21.4</v>
      </c>
      <c r="W1652" s="66"/>
      <c r="X1652" s="15">
        <f t="shared" si="306"/>
        <v>21.4</v>
      </c>
      <c r="Y1652" s="3" t="e">
        <f t="shared" si="307"/>
        <v>#DIV/0!</v>
      </c>
      <c r="AA1652" s="161">
        <v>0</v>
      </c>
      <c r="AB1652" s="409">
        <v>0</v>
      </c>
      <c r="AC1652" s="259">
        <f t="shared" si="304"/>
        <v>0</v>
      </c>
      <c r="AD1652" s="16" t="s">
        <v>798</v>
      </c>
      <c r="AG1652" s="33">
        <f t="shared" si="308"/>
        <v>0</v>
      </c>
      <c r="AH1652" s="43" t="s">
        <v>2210</v>
      </c>
      <c r="AI1652" s="63">
        <f t="shared" si="309"/>
        <v>8.845577211394303E-4</v>
      </c>
      <c r="AJ1652" s="307">
        <f>RTD("money.excel",,$G1652,"PredictVolume")</f>
        <v>59</v>
      </c>
      <c r="AK1652" s="339"/>
    </row>
    <row r="1653" spans="1:37">
      <c r="A1653" s="416">
        <v>3.84</v>
      </c>
      <c r="B1653" s="79">
        <v>256</v>
      </c>
      <c r="C1653" s="79">
        <v>232</v>
      </c>
      <c r="D1653" s="80">
        <v>-30</v>
      </c>
      <c r="E1653" s="80">
        <v>-22</v>
      </c>
      <c r="F1653" s="6">
        <v>8.33</v>
      </c>
      <c r="G1653" s="79">
        <v>4807</v>
      </c>
      <c r="H1653" s="8" t="s">
        <v>312</v>
      </c>
      <c r="I1653" s="22" t="s">
        <v>814</v>
      </c>
      <c r="J1653" s="323">
        <v>75.14</v>
      </c>
      <c r="K1653" s="73">
        <v>72.84</v>
      </c>
      <c r="L1653" s="73">
        <v>8.8000000000000007</v>
      </c>
      <c r="N1653" s="318">
        <f t="shared" si="310"/>
        <v>156.78000000000003</v>
      </c>
      <c r="O1653" s="81">
        <f>IFERROR(VLOOKUP($G1653,'321買'!A:E,3,0),"'沒有資料'")</f>
        <v>0</v>
      </c>
      <c r="P1653" s="380">
        <f>IFERROR(VLOOKUP($G1653,'321買'!$A:$G,7,0),"'沒有資料'")</f>
        <v>911</v>
      </c>
      <c r="R1653" s="297">
        <f>IFERROR(RANK(VLOOKUP($G1653,連買!$A:$D,4,0),連買!$D:$D,0),"'沒有資料'")</f>
        <v>964</v>
      </c>
      <c r="S1653" s="34">
        <v>0.5</v>
      </c>
      <c r="T1653" s="353">
        <f t="shared" si="305"/>
        <v>1.8315018315018316E-2</v>
      </c>
      <c r="U1653" s="95">
        <v>2.3199999999999998</v>
      </c>
      <c r="V1653" s="13">
        <f>RTD("money.excel",,"4807","Price")</f>
        <v>27.3</v>
      </c>
      <c r="W1653" s="66"/>
      <c r="X1653" s="15">
        <f t="shared" si="306"/>
        <v>27.3</v>
      </c>
      <c r="Y1653" s="3" t="e">
        <f t="shared" si="307"/>
        <v>#DIV/0!</v>
      </c>
      <c r="Z1653" s="413" t="s">
        <v>1801</v>
      </c>
      <c r="AA1653" s="161">
        <v>0</v>
      </c>
      <c r="AB1653" s="409">
        <v>0</v>
      </c>
      <c r="AC1653" s="259">
        <f t="shared" si="304"/>
        <v>0</v>
      </c>
      <c r="AD1653" s="22" t="s">
        <v>814</v>
      </c>
      <c r="AG1653" s="33">
        <f t="shared" si="308"/>
        <v>0</v>
      </c>
      <c r="AH1653" s="43" t="s">
        <v>2865</v>
      </c>
      <c r="AI1653" s="63">
        <f t="shared" si="309"/>
        <v>3.1250000000000001E-4</v>
      </c>
      <c r="AJ1653" s="307">
        <f>RTD("money.excel",,$G1653,"PredictVolume")</f>
        <v>12</v>
      </c>
      <c r="AK1653" s="339"/>
    </row>
    <row r="1654" spans="1:37">
      <c r="A1654" s="416">
        <v>9.4499999999999993</v>
      </c>
      <c r="B1654" s="91">
        <v>139</v>
      </c>
      <c r="C1654" s="91">
        <v>106</v>
      </c>
      <c r="D1654" s="91">
        <v>-7</v>
      </c>
      <c r="E1654" s="91">
        <v>1</v>
      </c>
      <c r="F1654" s="6">
        <v>9.24</v>
      </c>
      <c r="G1654" s="79">
        <v>5902</v>
      </c>
      <c r="H1654" s="8" t="s">
        <v>312</v>
      </c>
      <c r="I1654" s="16" t="s">
        <v>799</v>
      </c>
      <c r="J1654" s="73">
        <v>79.31</v>
      </c>
      <c r="K1654" s="73">
        <v>0.02</v>
      </c>
      <c r="N1654" s="318">
        <f t="shared" si="310"/>
        <v>79.33</v>
      </c>
      <c r="O1654" s="81">
        <f>IFERROR(VLOOKUP($G1654,'321買'!A:E,3,0),"'沒有資料'")</f>
        <v>0</v>
      </c>
      <c r="P1654" s="380">
        <f>IFERROR(VLOOKUP($G1654,'321買'!$A:$G,7,0),"'沒有資料'")</f>
        <v>911</v>
      </c>
      <c r="R1654" s="297">
        <f>IFERROR(RANK(VLOOKUP($G1654,連買!$A:$D,4,0),連買!$D:$D,0),"'沒有資料'")</f>
        <v>1235</v>
      </c>
      <c r="S1654" s="34">
        <v>0</v>
      </c>
      <c r="T1654" s="353">
        <f t="shared" si="305"/>
        <v>0</v>
      </c>
      <c r="U1654" s="95">
        <v>1.37</v>
      </c>
      <c r="V1654" s="13">
        <f>RTD("money.excel",,"5902","Price")</f>
        <v>26.35</v>
      </c>
      <c r="W1654" s="66"/>
      <c r="X1654" s="15">
        <f t="shared" si="306"/>
        <v>26.35</v>
      </c>
      <c r="Y1654" s="3" t="e">
        <f t="shared" si="307"/>
        <v>#DIV/0!</v>
      </c>
      <c r="AA1654" s="161">
        <v>0</v>
      </c>
      <c r="AB1654" s="409">
        <v>0</v>
      </c>
      <c r="AC1654" s="259">
        <f t="shared" si="304"/>
        <v>0</v>
      </c>
      <c r="AD1654" s="16" t="s">
        <v>799</v>
      </c>
      <c r="AG1654" s="33">
        <f t="shared" si="308"/>
        <v>0</v>
      </c>
      <c r="AH1654" s="43" t="s">
        <v>2831</v>
      </c>
      <c r="AI1654" s="63">
        <f t="shared" si="309"/>
        <v>8.2539682539682537E-4</v>
      </c>
      <c r="AJ1654" s="307">
        <f>RTD("money.excel",,$G1654,"PredictVolume")</f>
        <v>78</v>
      </c>
      <c r="AK1654" s="339"/>
    </row>
    <row r="1655" spans="1:37">
      <c r="A1655" s="416">
        <v>22.3</v>
      </c>
      <c r="B1655" s="79">
        <v>20</v>
      </c>
      <c r="C1655" s="79">
        <v>23</v>
      </c>
      <c r="D1655" s="79">
        <v>1</v>
      </c>
      <c r="E1655" s="79">
        <v>8</v>
      </c>
      <c r="F1655" s="6">
        <v>3.34</v>
      </c>
      <c r="G1655" s="79">
        <v>5903</v>
      </c>
      <c r="H1655" s="8" t="s">
        <v>312</v>
      </c>
      <c r="I1655" s="16" t="s">
        <v>5005</v>
      </c>
      <c r="J1655" s="73">
        <v>93.05</v>
      </c>
      <c r="K1655" s="323">
        <v>53.59</v>
      </c>
      <c r="L1655" s="323">
        <v>0.03</v>
      </c>
      <c r="N1655" s="318">
        <f t="shared" si="310"/>
        <v>146.66999999999999</v>
      </c>
      <c r="O1655" s="81">
        <f>IFERROR(VLOOKUP($G1655,'321買'!A:E,3,0),"'沒有資料'")</f>
        <v>0</v>
      </c>
      <c r="P1655" s="380">
        <f>IFERROR(VLOOKUP($G1655,'321買'!$A:$G,7,0),"'沒有資料'")</f>
        <v>911</v>
      </c>
      <c r="R1655" s="297">
        <f>IFERROR(RANK(VLOOKUP($G1655,連買!$A:$D,4,0),連買!$D:$D,0),"'沒有資料'")</f>
        <v>1741</v>
      </c>
      <c r="S1655" s="66">
        <v>7.5</v>
      </c>
      <c r="T1655" s="353">
        <f t="shared" si="305"/>
        <v>3.7688442211055273E-2</v>
      </c>
      <c r="U1655" s="57">
        <v>9.5399999999999991</v>
      </c>
      <c r="V1655" s="13">
        <f>RTD("money.excel",,"5903","Price")</f>
        <v>199</v>
      </c>
      <c r="W1655" s="66"/>
      <c r="X1655" s="15">
        <f t="shared" si="306"/>
        <v>199</v>
      </c>
      <c r="Y1655" s="3" t="e">
        <f t="shared" si="307"/>
        <v>#DIV/0!</v>
      </c>
      <c r="Z1655" s="413" t="s">
        <v>1997</v>
      </c>
      <c r="AA1655" s="161">
        <v>0</v>
      </c>
      <c r="AB1655" s="409">
        <v>0</v>
      </c>
      <c r="AC1655" s="259">
        <f t="shared" si="304"/>
        <v>0</v>
      </c>
      <c r="AD1655" s="16" t="s">
        <v>5005</v>
      </c>
      <c r="AG1655" s="33">
        <f t="shared" si="308"/>
        <v>0</v>
      </c>
      <c r="AH1655" s="120" t="s">
        <v>2807</v>
      </c>
      <c r="AI1655" s="63">
        <f t="shared" si="309"/>
        <v>2.8699551569506728E-4</v>
      </c>
      <c r="AJ1655" s="307">
        <f>RTD("money.excel",,$G1655,"PredictVolume")</f>
        <v>64</v>
      </c>
      <c r="AK1655" s="339"/>
    </row>
    <row r="1656" spans="1:37">
      <c r="A1656" s="415">
        <v>10</v>
      </c>
      <c r="B1656" s="80">
        <v>-18</v>
      </c>
      <c r="C1656" s="80">
        <v>-17</v>
      </c>
      <c r="D1656" s="79">
        <v>10</v>
      </c>
      <c r="E1656" s="79">
        <v>0</v>
      </c>
      <c r="F1656" s="57">
        <v>12.78</v>
      </c>
      <c r="G1656" s="79">
        <v>5904</v>
      </c>
      <c r="H1656" s="8" t="s">
        <v>312</v>
      </c>
      <c r="I1656" s="16" t="s">
        <v>147</v>
      </c>
      <c r="J1656" s="73">
        <v>66.69</v>
      </c>
      <c r="K1656" s="73">
        <v>33.18</v>
      </c>
      <c r="L1656" s="73">
        <v>0.52</v>
      </c>
      <c r="M1656" s="323">
        <v>23.04</v>
      </c>
      <c r="N1656" s="318">
        <f t="shared" si="310"/>
        <v>123.43</v>
      </c>
      <c r="O1656" s="81">
        <f>IFERROR(VLOOKUP($G1656,'321買'!A:E,3,0),"'沒有資料'")</f>
        <v>0</v>
      </c>
      <c r="P1656" s="380">
        <f>IFERROR(VLOOKUP($G1656,'321買'!$A:$G,7,0),"'沒有資料'")</f>
        <v>911</v>
      </c>
      <c r="Q1656" s="245" t="s">
        <v>5079</v>
      </c>
      <c r="R1656" s="297">
        <f>IFERROR(RANK(VLOOKUP($G1656,連買!$A:$D,4,0),連買!$D:$D,0),"'沒有資料'")</f>
        <v>1753</v>
      </c>
      <c r="S1656" s="66">
        <v>19</v>
      </c>
      <c r="T1656" s="353">
        <f t="shared" si="305"/>
        <v>5.4441260744985676E-2</v>
      </c>
      <c r="U1656" s="57">
        <v>18.43</v>
      </c>
      <c r="V1656" s="36">
        <f>RTD("money.excel",,"5904","Price")</f>
        <v>349</v>
      </c>
      <c r="W1656" s="66"/>
      <c r="X1656" s="15">
        <f t="shared" si="306"/>
        <v>349</v>
      </c>
      <c r="Y1656" s="3" t="e">
        <f t="shared" si="307"/>
        <v>#DIV/0!</v>
      </c>
      <c r="Z1656" s="413" t="s">
        <v>1997</v>
      </c>
      <c r="AA1656" s="161">
        <v>0</v>
      </c>
      <c r="AB1656" s="409">
        <v>0</v>
      </c>
      <c r="AC1656" s="259">
        <f t="shared" si="304"/>
        <v>0</v>
      </c>
      <c r="AD1656" s="16" t="s">
        <v>147</v>
      </c>
      <c r="AG1656" s="33">
        <f t="shared" si="308"/>
        <v>0</v>
      </c>
      <c r="AH1656" s="120" t="s">
        <v>2193</v>
      </c>
      <c r="AI1656" s="63">
        <f t="shared" si="309"/>
        <v>8.3000000000000001E-4</v>
      </c>
      <c r="AJ1656" s="307">
        <f>RTD("money.excel",,$G1656,"PredictVolume")</f>
        <v>83</v>
      </c>
      <c r="AK1656" s="339">
        <v>0.94</v>
      </c>
    </row>
    <row r="1657" spans="1:37">
      <c r="A1657" s="416">
        <v>18.899999999999999</v>
      </c>
      <c r="B1657" s="80">
        <v>-50</v>
      </c>
      <c r="C1657" s="80">
        <v>-101</v>
      </c>
      <c r="D1657" s="80">
        <v>-14</v>
      </c>
      <c r="E1657" s="80">
        <v>-34</v>
      </c>
      <c r="F1657" s="6">
        <v>-0.16</v>
      </c>
      <c r="G1657" s="79">
        <v>5905</v>
      </c>
      <c r="H1657" s="8" t="s">
        <v>312</v>
      </c>
      <c r="I1657" s="16" t="s">
        <v>800</v>
      </c>
      <c r="J1657" s="323">
        <v>36.64</v>
      </c>
      <c r="K1657" s="73">
        <v>2.35</v>
      </c>
      <c r="L1657" s="323">
        <v>14.48</v>
      </c>
      <c r="N1657" s="318">
        <f t="shared" si="310"/>
        <v>53.47</v>
      </c>
      <c r="O1657" s="81">
        <f>IFERROR(VLOOKUP($G1657,'321買'!A:E,3,0),"'沒有資料'")</f>
        <v>14</v>
      </c>
      <c r="P1657" s="380">
        <f>IFERROR(VLOOKUP($G1657,'321買'!$A:$G,7,0),"'沒有資料'")</f>
        <v>321</v>
      </c>
      <c r="R1657" s="297">
        <f>IFERROR(RANK(VLOOKUP($G1657,連買!$A:$D,4,0),連買!$D:$D,0),"'沒有資料'")</f>
        <v>1041</v>
      </c>
      <c r="S1657" s="34">
        <v>0.2</v>
      </c>
      <c r="T1657" s="353">
        <f t="shared" si="305"/>
        <v>1.4285714285714287E-2</v>
      </c>
      <c r="U1657" s="95">
        <v>0.26</v>
      </c>
      <c r="V1657" s="36">
        <f>RTD("money.excel",,"5905","Price")</f>
        <v>14</v>
      </c>
      <c r="W1657" s="66"/>
      <c r="X1657" s="15">
        <f t="shared" si="306"/>
        <v>14</v>
      </c>
      <c r="Y1657" s="3" t="e">
        <f t="shared" si="307"/>
        <v>#DIV/0!</v>
      </c>
      <c r="Z1657" s="413" t="s">
        <v>1801</v>
      </c>
      <c r="AA1657" s="161">
        <v>0</v>
      </c>
      <c r="AB1657" s="409">
        <v>0</v>
      </c>
      <c r="AC1657" s="259">
        <f t="shared" si="304"/>
        <v>0</v>
      </c>
      <c r="AD1657" s="16" t="s">
        <v>800</v>
      </c>
      <c r="AG1657" s="33">
        <f t="shared" si="308"/>
        <v>0</v>
      </c>
      <c r="AH1657" s="43" t="s">
        <v>2832</v>
      </c>
      <c r="AI1657" s="63">
        <f t="shared" si="309"/>
        <v>5.5873015873015869E-3</v>
      </c>
      <c r="AJ1657" s="307">
        <f>RTD("money.excel",,$G1657,"PredictVolume")</f>
        <v>1056</v>
      </c>
      <c r="AK1657" s="339"/>
    </row>
    <row r="1658" spans="1:37">
      <c r="A1658" s="416">
        <v>3</v>
      </c>
      <c r="B1658" s="91">
        <v>526</v>
      </c>
      <c r="C1658" s="91">
        <v>13</v>
      </c>
      <c r="D1658" s="91">
        <v>-23</v>
      </c>
      <c r="E1658" s="91">
        <v>-21</v>
      </c>
      <c r="F1658" s="6">
        <v>3.91</v>
      </c>
      <c r="G1658" s="79">
        <v>5906</v>
      </c>
      <c r="H1658" s="8" t="s">
        <v>312</v>
      </c>
      <c r="I1658" s="22" t="s">
        <v>815</v>
      </c>
      <c r="J1658" s="73">
        <v>74.209999999999994</v>
      </c>
      <c r="K1658" s="73">
        <v>19.72</v>
      </c>
      <c r="L1658" s="73">
        <v>8.8000000000000007</v>
      </c>
      <c r="N1658" s="318">
        <f t="shared" si="310"/>
        <v>102.72999999999999</v>
      </c>
      <c r="O1658" s="81">
        <f>IFERROR(VLOOKUP($G1658,'321買'!A:E,3,0),"'沒有資料'")</f>
        <v>0</v>
      </c>
      <c r="P1658" s="380">
        <f>IFERROR(VLOOKUP($G1658,'321買'!$A:$G,7,0),"'沒有資料'")</f>
        <v>911</v>
      </c>
      <c r="R1658" s="297">
        <f>IFERROR(RANK(VLOOKUP($G1658,連買!$A:$D,4,0),連買!$D:$D,0),"'沒有資料'")</f>
        <v>539</v>
      </c>
      <c r="S1658" s="34">
        <v>1</v>
      </c>
      <c r="T1658" s="353">
        <f t="shared" si="305"/>
        <v>2.7397260273972601E-2</v>
      </c>
      <c r="U1658" s="95">
        <v>2.35</v>
      </c>
      <c r="V1658" s="13">
        <f>RTD("money.excel",,"5906","Price")</f>
        <v>36.5</v>
      </c>
      <c r="W1658" s="66"/>
      <c r="X1658" s="15">
        <f t="shared" si="306"/>
        <v>36.5</v>
      </c>
      <c r="Y1658" s="3" t="e">
        <f t="shared" si="307"/>
        <v>#DIV/0!</v>
      </c>
      <c r="AA1658" s="161">
        <v>0</v>
      </c>
      <c r="AB1658" s="409">
        <v>0</v>
      </c>
      <c r="AC1658" s="259">
        <f t="shared" si="304"/>
        <v>0</v>
      </c>
      <c r="AD1658" s="22" t="s">
        <v>815</v>
      </c>
      <c r="AG1658" s="33">
        <f t="shared" si="308"/>
        <v>0</v>
      </c>
      <c r="AH1658" s="43" t="s">
        <v>3051</v>
      </c>
      <c r="AI1658" s="63">
        <f t="shared" si="309"/>
        <v>2.6666666666666668E-4</v>
      </c>
      <c r="AJ1658" s="307">
        <f>RTD("money.excel",,$G1658,"PredictVolume")</f>
        <v>8</v>
      </c>
      <c r="AK1658" s="339"/>
    </row>
    <row r="1659" spans="1:37">
      <c r="A1659" s="416">
        <v>19.5</v>
      </c>
      <c r="B1659" s="79">
        <v>23</v>
      </c>
      <c r="C1659" s="79">
        <v>31</v>
      </c>
      <c r="D1659" s="79">
        <v>170</v>
      </c>
      <c r="E1659" s="80">
        <v>-60</v>
      </c>
      <c r="F1659" s="6">
        <v>2.14</v>
      </c>
      <c r="G1659" s="79">
        <v>5907</v>
      </c>
      <c r="H1659" s="8" t="s">
        <v>312</v>
      </c>
      <c r="I1659" s="22" t="s">
        <v>816</v>
      </c>
      <c r="J1659" s="73">
        <v>75.36</v>
      </c>
      <c r="K1659" s="323">
        <v>53.18</v>
      </c>
      <c r="L1659" s="323">
        <v>4.99</v>
      </c>
      <c r="N1659" s="318">
        <f t="shared" si="310"/>
        <v>133.53</v>
      </c>
      <c r="O1659" s="81">
        <f>IFERROR(VLOOKUP($G1659,'321買'!A:E,3,0),"'沒有資料'")</f>
        <v>1</v>
      </c>
      <c r="P1659" s="380">
        <f>IFERROR(VLOOKUP($G1659,'321買'!$A:$G,7,0),"'沒有資料'")</f>
        <v>783</v>
      </c>
      <c r="R1659" s="297">
        <f>IFERROR(RANK(VLOOKUP($G1659,連買!$A:$D,4,0),連買!$D:$D,0),"'沒有資料'")</f>
        <v>1548</v>
      </c>
      <c r="S1659" s="34">
        <v>0</v>
      </c>
      <c r="T1659" s="353">
        <f t="shared" si="305"/>
        <v>0</v>
      </c>
      <c r="U1659" s="57">
        <v>-0.63</v>
      </c>
      <c r="V1659" s="13">
        <f>RTD("money.excel",,"5907","Price")</f>
        <v>16.850000000000001</v>
      </c>
      <c r="W1659" s="66"/>
      <c r="X1659" s="15">
        <f t="shared" si="306"/>
        <v>16.850000000000001</v>
      </c>
      <c r="Y1659" s="3" t="e">
        <f t="shared" si="307"/>
        <v>#DIV/0!</v>
      </c>
      <c r="Z1659" s="413" t="s">
        <v>1801</v>
      </c>
      <c r="AA1659" s="161">
        <v>0</v>
      </c>
      <c r="AB1659" s="409">
        <v>0</v>
      </c>
      <c r="AC1659" s="259">
        <f t="shared" si="304"/>
        <v>0</v>
      </c>
      <c r="AD1659" s="22" t="s">
        <v>816</v>
      </c>
      <c r="AG1659" s="33">
        <f t="shared" si="308"/>
        <v>0</v>
      </c>
      <c r="AH1659" s="43" t="s">
        <v>3052</v>
      </c>
      <c r="AI1659" s="63">
        <f t="shared" si="309"/>
        <v>2.2051282051282052E-4</v>
      </c>
      <c r="AJ1659" s="307">
        <f>RTD("money.excel",,$G1659,"PredictVolume")</f>
        <v>43</v>
      </c>
      <c r="AK1659" s="339"/>
    </row>
    <row r="1660" spans="1:37">
      <c r="A1660" s="416">
        <v>4.6900000000000004</v>
      </c>
      <c r="B1660" s="79">
        <v>132</v>
      </c>
      <c r="C1660" s="79">
        <v>103</v>
      </c>
      <c r="D1660" s="79">
        <v>12</v>
      </c>
      <c r="E1660" s="79">
        <v>21</v>
      </c>
      <c r="F1660" s="6">
        <v>9.07</v>
      </c>
      <c r="G1660" s="79">
        <v>6195</v>
      </c>
      <c r="H1660" s="8" t="s">
        <v>312</v>
      </c>
      <c r="I1660" s="16" t="s">
        <v>103</v>
      </c>
      <c r="J1660" s="73">
        <v>57.61</v>
      </c>
      <c r="K1660" s="73">
        <v>47.6</v>
      </c>
      <c r="L1660" s="73">
        <v>2.0299999999999998</v>
      </c>
      <c r="N1660" s="318">
        <f t="shared" si="310"/>
        <v>107.24000000000001</v>
      </c>
      <c r="O1660" s="81">
        <f>IFERROR(VLOOKUP($G1660,'321買'!A:E,3,0),"'沒有資料'")</f>
        <v>0</v>
      </c>
      <c r="P1660" s="380">
        <f>IFERROR(VLOOKUP($G1660,'321買'!$A:$G,7,0),"'沒有資料'")</f>
        <v>911</v>
      </c>
      <c r="R1660" s="297">
        <f>IFERROR(RANK(VLOOKUP($G1660,連買!$A:$D,4,0),連買!$D:$D,0),"'沒有資料'")</f>
        <v>409</v>
      </c>
      <c r="S1660" s="66">
        <v>4</v>
      </c>
      <c r="T1660" s="353">
        <f t="shared" si="305"/>
        <v>7.5471698113207544E-2</v>
      </c>
      <c r="U1660" s="95">
        <v>4.88</v>
      </c>
      <c r="V1660" s="13">
        <f>RTD("money.excel",,"6195","Price")</f>
        <v>53</v>
      </c>
      <c r="W1660" s="66"/>
      <c r="X1660" s="15">
        <f t="shared" si="306"/>
        <v>53</v>
      </c>
      <c r="Y1660" s="3" t="e">
        <f t="shared" si="307"/>
        <v>#DIV/0!</v>
      </c>
      <c r="Z1660" s="413" t="s">
        <v>1997</v>
      </c>
      <c r="AA1660" s="161">
        <v>0</v>
      </c>
      <c r="AB1660" s="409">
        <v>0</v>
      </c>
      <c r="AC1660" s="259">
        <f t="shared" si="304"/>
        <v>0</v>
      </c>
      <c r="AD1660" s="16" t="s">
        <v>103</v>
      </c>
      <c r="AG1660" s="33">
        <f t="shared" si="308"/>
        <v>0</v>
      </c>
      <c r="AH1660" s="120" t="s">
        <v>2653</v>
      </c>
      <c r="AI1660" s="63">
        <f t="shared" si="309"/>
        <v>1.0234541577825158E-3</v>
      </c>
      <c r="AJ1660" s="307">
        <f>RTD("money.excel",,$G1660,"PredictVolume")</f>
        <v>48</v>
      </c>
      <c r="AK1660" s="339"/>
    </row>
    <row r="1661" spans="1:37">
      <c r="A1661" s="416">
        <v>2.2999999999999998</v>
      </c>
      <c r="B1661" s="79">
        <v>259</v>
      </c>
      <c r="C1661" s="79">
        <v>208</v>
      </c>
      <c r="D1661" s="79">
        <v>14</v>
      </c>
      <c r="E1661" s="79">
        <v>24</v>
      </c>
      <c r="F1661" s="6">
        <v>7.3</v>
      </c>
      <c r="G1661" s="79">
        <v>6728</v>
      </c>
      <c r="H1661" s="8" t="s">
        <v>312</v>
      </c>
      <c r="I1661" s="16" t="s">
        <v>2303</v>
      </c>
      <c r="J1661" s="73">
        <v>73.39</v>
      </c>
      <c r="K1661" s="323">
        <v>0</v>
      </c>
      <c r="N1661" s="318">
        <f t="shared" si="310"/>
        <v>73.39</v>
      </c>
      <c r="O1661" s="81" t="str">
        <f>IFERROR(VLOOKUP($G1661,'321買'!A:E,3,0),"'沒有資料'")</f>
        <v>'沒有資料'</v>
      </c>
      <c r="P1661" s="380" t="str">
        <f>IFERROR(VLOOKUP($G1661,'321買'!$A:$G,7,0),"'沒有資料'")</f>
        <v>'沒有資料'</v>
      </c>
      <c r="R1661" s="297">
        <f>IFERROR(RANK(VLOOKUP($G1661,連買!$A:$D,4,0),連買!$D:$D,0),"'沒有資料'")</f>
        <v>370</v>
      </c>
      <c r="S1661" s="66">
        <v>4.2</v>
      </c>
      <c r="T1661" s="353">
        <f t="shared" si="305"/>
        <v>2.3728813559322035E-2</v>
      </c>
      <c r="U1661" s="95">
        <v>5.25</v>
      </c>
      <c r="V1661" s="36">
        <f>RTD("money.excel",,"6728","Price")</f>
        <v>177</v>
      </c>
      <c r="W1661" s="66"/>
      <c r="X1661" s="15">
        <f t="shared" si="306"/>
        <v>177</v>
      </c>
      <c r="Y1661" s="3" t="e">
        <f t="shared" si="307"/>
        <v>#DIV/0!</v>
      </c>
      <c r="Z1661" s="413" t="s">
        <v>1831</v>
      </c>
      <c r="AA1661" s="161">
        <v>0</v>
      </c>
      <c r="AB1661" s="409">
        <v>0</v>
      </c>
      <c r="AC1661" s="259">
        <f t="shared" si="304"/>
        <v>0</v>
      </c>
      <c r="AD1661" s="16" t="s">
        <v>2303</v>
      </c>
      <c r="AG1661" s="33">
        <f t="shared" si="308"/>
        <v>0</v>
      </c>
      <c r="AH1661" s="43" t="s">
        <v>2304</v>
      </c>
      <c r="AI1661" s="63">
        <f t="shared" si="309"/>
        <v>1.3913043478260871E-3</v>
      </c>
      <c r="AJ1661" s="307">
        <f>RTD("money.excel",,$G1661,"PredictVolume")</f>
        <v>32</v>
      </c>
      <c r="AK1661" s="339"/>
    </row>
    <row r="1662" spans="1:37">
      <c r="A1662" s="416">
        <v>3.02</v>
      </c>
      <c r="B1662" s="80">
        <v>-27</v>
      </c>
      <c r="C1662" s="80">
        <v>-23</v>
      </c>
      <c r="D1662" s="79">
        <v>12</v>
      </c>
      <c r="E1662" s="80">
        <v>-46</v>
      </c>
      <c r="F1662" s="6">
        <v>2.65</v>
      </c>
      <c r="G1662" s="79">
        <v>8066</v>
      </c>
      <c r="H1662" s="8" t="s">
        <v>312</v>
      </c>
      <c r="I1662" s="16" t="s">
        <v>801</v>
      </c>
      <c r="J1662" s="323">
        <v>0</v>
      </c>
      <c r="K1662" s="323">
        <v>8.43</v>
      </c>
      <c r="L1662" s="323">
        <v>6.89</v>
      </c>
      <c r="N1662" s="318">
        <f t="shared" si="310"/>
        <v>15.32</v>
      </c>
      <c r="O1662" s="81">
        <f>IFERROR(VLOOKUP($G1662,'321買'!A:E,3,0),"'沒有資料'")</f>
        <v>1</v>
      </c>
      <c r="P1662" s="380">
        <f>IFERROR(VLOOKUP($G1662,'321買'!$A:$G,7,0),"'沒有資料'")</f>
        <v>783</v>
      </c>
      <c r="R1662" s="297">
        <f>IFERROR(RANK(VLOOKUP($G1662,連買!$A:$D,4,0),連買!$D:$D,0),"'沒有資料'")</f>
        <v>1712</v>
      </c>
      <c r="S1662" s="66">
        <v>3</v>
      </c>
      <c r="T1662" s="353">
        <f t="shared" si="305"/>
        <v>9.6930533117932149E-2</v>
      </c>
      <c r="U1662" s="95">
        <v>1.44</v>
      </c>
      <c r="V1662" s="36">
        <f>RTD("money.excel",,"8066","Price")</f>
        <v>30.95</v>
      </c>
      <c r="W1662" s="66"/>
      <c r="X1662" s="15">
        <f t="shared" si="306"/>
        <v>30.95</v>
      </c>
      <c r="Y1662" s="3" t="e">
        <f t="shared" si="307"/>
        <v>#DIV/0!</v>
      </c>
      <c r="Z1662" s="413" t="s">
        <v>1997</v>
      </c>
      <c r="AA1662" s="161">
        <v>0</v>
      </c>
      <c r="AB1662" s="409">
        <v>0</v>
      </c>
      <c r="AC1662" s="259">
        <f t="shared" si="304"/>
        <v>0</v>
      </c>
      <c r="AD1662" s="16" t="s">
        <v>801</v>
      </c>
      <c r="AG1662" s="33">
        <f t="shared" si="308"/>
        <v>0</v>
      </c>
      <c r="AH1662" s="43" t="s">
        <v>2833</v>
      </c>
      <c r="AI1662" s="63">
        <f t="shared" si="309"/>
        <v>4.0397350993377481E-3</v>
      </c>
      <c r="AJ1662" s="307">
        <f>RTD("money.excel",,$G1662,"PredictVolume")</f>
        <v>122</v>
      </c>
      <c r="AK1662" s="339"/>
    </row>
    <row r="1663" spans="1:37">
      <c r="A1663" s="416">
        <v>18.5</v>
      </c>
      <c r="B1663" s="91">
        <v>-674</v>
      </c>
      <c r="C1663" s="91">
        <v>-604</v>
      </c>
      <c r="D1663" s="91">
        <v>76</v>
      </c>
      <c r="E1663" s="91">
        <v>-55</v>
      </c>
      <c r="F1663" s="73">
        <v>-168.94</v>
      </c>
      <c r="G1663" s="79">
        <v>8429</v>
      </c>
      <c r="H1663" s="8" t="s">
        <v>312</v>
      </c>
      <c r="I1663" s="22" t="s">
        <v>817</v>
      </c>
      <c r="J1663" s="73">
        <v>46.45</v>
      </c>
      <c r="K1663" s="73">
        <v>43.44</v>
      </c>
      <c r="L1663" s="73">
        <v>13.44</v>
      </c>
      <c r="N1663" s="318">
        <f t="shared" si="310"/>
        <v>103.33</v>
      </c>
      <c r="O1663" s="81">
        <f>IFERROR(VLOOKUP($G1663,'321買'!A:E,3,0),"'沒有資料'")</f>
        <v>4</v>
      </c>
      <c r="P1663" s="380">
        <f>IFERROR(VLOOKUP($G1663,'321買'!$A:$G,7,0),"'沒有資料'")</f>
        <v>592</v>
      </c>
      <c r="R1663" s="297">
        <f>IFERROR(RANK(VLOOKUP($G1663,連買!$A:$D,4,0),連買!$D:$D,0),"'沒有資料'")</f>
        <v>1530</v>
      </c>
      <c r="S1663" s="34">
        <v>0.02</v>
      </c>
      <c r="T1663" s="353">
        <f t="shared" si="305"/>
        <v>1.8099547511312216E-3</v>
      </c>
      <c r="U1663" s="57">
        <v>-2.7</v>
      </c>
      <c r="V1663" s="36">
        <f>RTD("money.excel",,"8429","Price")</f>
        <v>11.05</v>
      </c>
      <c r="W1663" s="66"/>
      <c r="X1663" s="15">
        <f t="shared" si="306"/>
        <v>11.05</v>
      </c>
      <c r="Y1663" s="3" t="e">
        <f t="shared" si="307"/>
        <v>#DIV/0!</v>
      </c>
      <c r="AA1663" s="161">
        <v>0</v>
      </c>
      <c r="AB1663" s="409">
        <v>0</v>
      </c>
      <c r="AC1663" s="259">
        <f t="shared" si="304"/>
        <v>0</v>
      </c>
      <c r="AD1663" s="22" t="s">
        <v>817</v>
      </c>
      <c r="AG1663" s="33">
        <f t="shared" si="308"/>
        <v>0</v>
      </c>
      <c r="AH1663" s="43" t="s">
        <v>3053</v>
      </c>
      <c r="AI1663" s="63">
        <f t="shared" si="309"/>
        <v>4.972972972972973E-4</v>
      </c>
      <c r="AJ1663" s="307">
        <f>RTD("money.excel",,$G1663,"PredictVolume")</f>
        <v>92</v>
      </c>
      <c r="AK1663" s="339"/>
    </row>
    <row r="1664" spans="1:37">
      <c r="A1664" s="415">
        <v>5.21</v>
      </c>
      <c r="B1664" s="91">
        <v>-33</v>
      </c>
      <c r="C1664" s="91">
        <v>-7</v>
      </c>
      <c r="D1664" s="91">
        <v>7</v>
      </c>
      <c r="E1664" s="91">
        <v>-7</v>
      </c>
      <c r="F1664" s="57">
        <v>10.69</v>
      </c>
      <c r="G1664" s="79">
        <v>8433</v>
      </c>
      <c r="H1664" s="8" t="s">
        <v>312</v>
      </c>
      <c r="I1664" s="16" t="s">
        <v>5006</v>
      </c>
      <c r="J1664" s="323">
        <v>72.680000000000007</v>
      </c>
      <c r="K1664" s="73">
        <v>1.18</v>
      </c>
      <c r="L1664" s="323">
        <v>2.89</v>
      </c>
      <c r="N1664" s="318">
        <f t="shared" si="310"/>
        <v>76.750000000000014</v>
      </c>
      <c r="O1664" s="81">
        <f>IFERROR(VLOOKUP($G1664,'321買'!A:E,3,0),"'沒有資料'")</f>
        <v>0</v>
      </c>
      <c r="P1664" s="380">
        <f>IFERROR(VLOOKUP($G1664,'321買'!$A:$G,7,0),"'沒有資料'")</f>
        <v>911</v>
      </c>
      <c r="R1664" s="297">
        <f>IFERROR(RANK(VLOOKUP($G1664,連買!$A:$D,4,0),連買!$D:$D,0),"'沒有資料'")</f>
        <v>709</v>
      </c>
      <c r="S1664" s="34">
        <v>2</v>
      </c>
      <c r="T1664" s="353">
        <f t="shared" si="305"/>
        <v>4.4792833146696527E-2</v>
      </c>
      <c r="U1664" s="95">
        <v>3.35</v>
      </c>
      <c r="V1664" s="13">
        <f>RTD("money.excel",,"8433","Price")</f>
        <v>44.65</v>
      </c>
      <c r="W1664" s="66"/>
      <c r="X1664" s="15">
        <f t="shared" si="306"/>
        <v>44.65</v>
      </c>
      <c r="Y1664" s="3" t="e">
        <f t="shared" si="307"/>
        <v>#DIV/0!</v>
      </c>
      <c r="AA1664" s="161">
        <v>0</v>
      </c>
      <c r="AB1664" s="409">
        <v>0</v>
      </c>
      <c r="AC1664" s="259">
        <f t="shared" si="304"/>
        <v>0</v>
      </c>
      <c r="AD1664" s="16" t="s">
        <v>5006</v>
      </c>
      <c r="AG1664" s="33">
        <f t="shared" si="308"/>
        <v>0</v>
      </c>
      <c r="AH1664" s="120" t="s">
        <v>1422</v>
      </c>
      <c r="AI1664" s="63">
        <f t="shared" si="309"/>
        <v>3.6468330134357008E-4</v>
      </c>
      <c r="AJ1664" s="307">
        <f>RTD("money.excel",,$G1664,"PredictVolume")</f>
        <v>19</v>
      </c>
      <c r="AK1664" s="339"/>
    </row>
    <row r="1665" spans="1:37">
      <c r="A1665" s="416">
        <v>6.68</v>
      </c>
      <c r="B1665" s="91">
        <v>-211</v>
      </c>
      <c r="C1665" s="91">
        <v>-140</v>
      </c>
      <c r="D1665" s="91">
        <v>32</v>
      </c>
      <c r="E1665" s="91">
        <v>5</v>
      </c>
      <c r="F1665" s="6">
        <v>-19.54</v>
      </c>
      <c r="G1665" s="79">
        <v>8443</v>
      </c>
      <c r="H1665" s="8" t="s">
        <v>312</v>
      </c>
      <c r="I1665" s="22" t="s">
        <v>818</v>
      </c>
      <c r="J1665" s="73">
        <v>74.540000000000006</v>
      </c>
      <c r="K1665" s="73">
        <v>8.23</v>
      </c>
      <c r="L1665" s="73">
        <v>2.17</v>
      </c>
      <c r="N1665" s="318">
        <f t="shared" si="310"/>
        <v>84.940000000000012</v>
      </c>
      <c r="O1665" s="81">
        <f>IFERROR(VLOOKUP($G1665,'321買'!A:E,3,0),"'沒有資料'")</f>
        <v>0</v>
      </c>
      <c r="P1665" s="380">
        <f>IFERROR(VLOOKUP($G1665,'321買'!$A:$G,7,0),"'沒有資料'")</f>
        <v>911</v>
      </c>
      <c r="R1665" s="297">
        <f>IFERROR(RANK(VLOOKUP($G1665,連買!$A:$D,4,0),連買!$D:$D,0),"'沒有資料'")</f>
        <v>1185</v>
      </c>
      <c r="S1665" s="34">
        <v>0.15</v>
      </c>
      <c r="T1665" s="353">
        <f t="shared" si="305"/>
        <v>1.2931034482758621E-2</v>
      </c>
      <c r="U1665" s="95">
        <v>-2.81</v>
      </c>
      <c r="V1665" s="13">
        <f>RTD("money.excel",,"8443","Price")</f>
        <v>11.6</v>
      </c>
      <c r="W1665" s="66"/>
      <c r="X1665" s="15">
        <f t="shared" si="306"/>
        <v>11.6</v>
      </c>
      <c r="Y1665" s="3" t="e">
        <f t="shared" si="307"/>
        <v>#DIV/0!</v>
      </c>
      <c r="AA1665" s="161">
        <v>0</v>
      </c>
      <c r="AB1665" s="409">
        <v>0</v>
      </c>
      <c r="AC1665" s="259">
        <f t="shared" si="304"/>
        <v>0</v>
      </c>
      <c r="AD1665" s="22" t="s">
        <v>818</v>
      </c>
      <c r="AG1665" s="33">
        <f t="shared" si="308"/>
        <v>0</v>
      </c>
      <c r="AH1665" s="43" t="s">
        <v>3054</v>
      </c>
      <c r="AI1665" s="63">
        <f t="shared" si="309"/>
        <v>4.6407185628742517E-4</v>
      </c>
      <c r="AJ1665" s="307">
        <f>RTD("money.excel",,$G1665,"PredictVolume")</f>
        <v>31</v>
      </c>
      <c r="AK1665" s="339"/>
    </row>
    <row r="1666" spans="1:37">
      <c r="A1666" s="416">
        <v>18.2</v>
      </c>
      <c r="B1666" s="79">
        <v>77</v>
      </c>
      <c r="C1666" s="79">
        <v>96</v>
      </c>
      <c r="D1666" s="80">
        <v>-34</v>
      </c>
      <c r="E1666" s="79">
        <v>23</v>
      </c>
      <c r="F1666" s="6">
        <v>4.72</v>
      </c>
      <c r="G1666" s="79">
        <v>8454</v>
      </c>
      <c r="H1666" s="8" t="s">
        <v>312</v>
      </c>
      <c r="I1666" s="22" t="s">
        <v>121</v>
      </c>
      <c r="J1666" s="323">
        <v>76.27</v>
      </c>
      <c r="K1666" s="73">
        <v>32.369999999999997</v>
      </c>
      <c r="L1666" s="323">
        <v>0.83</v>
      </c>
      <c r="M1666" s="323">
        <v>55.87</v>
      </c>
      <c r="N1666" s="73">
        <f t="shared" si="310"/>
        <v>165.33999999999997</v>
      </c>
      <c r="O1666" s="81">
        <f>IFERROR(VLOOKUP($G1666,'321買'!A:E,3,0),"'沒有資料'")</f>
        <v>2</v>
      </c>
      <c r="P1666" s="380">
        <f>IFERROR(VLOOKUP($G1666,'321買'!$A:$G,7,0),"'沒有資料'")</f>
        <v>706</v>
      </c>
      <c r="Q1666" s="245" t="s">
        <v>3816</v>
      </c>
      <c r="R1666" s="297">
        <f>IFERROR(RANK(VLOOKUP($G1666,連買!$A:$D,4,0),連買!$D:$D,0),"'沒有資料'")</f>
        <v>1721</v>
      </c>
      <c r="S1666" s="66">
        <v>13</v>
      </c>
      <c r="T1666" s="353">
        <f t="shared" si="305"/>
        <v>1.3039117352056168E-2</v>
      </c>
      <c r="U1666" s="57">
        <v>18.47</v>
      </c>
      <c r="V1666" s="36">
        <f>RTD("money.excel",,"8454","Price")</f>
        <v>997</v>
      </c>
      <c r="W1666" s="66"/>
      <c r="X1666" s="141">
        <f t="shared" si="306"/>
        <v>997</v>
      </c>
      <c r="Y1666" s="3" t="e">
        <f t="shared" si="307"/>
        <v>#DIV/0!</v>
      </c>
      <c r="Z1666" s="413" t="s">
        <v>1997</v>
      </c>
      <c r="AA1666" s="161">
        <v>0</v>
      </c>
      <c r="AB1666" s="409">
        <v>0</v>
      </c>
      <c r="AC1666" s="259">
        <f t="shared" si="304"/>
        <v>0</v>
      </c>
      <c r="AD1666" s="22" t="s">
        <v>121</v>
      </c>
      <c r="AG1666" s="33">
        <f t="shared" si="308"/>
        <v>0</v>
      </c>
      <c r="AH1666" s="120" t="s">
        <v>3055</v>
      </c>
      <c r="AI1666" s="63">
        <f t="shared" si="309"/>
        <v>2.0274725274725277E-3</v>
      </c>
      <c r="AJ1666" s="307">
        <f>RTD("money.excel",,$G1666,"PredictVolume")</f>
        <v>369</v>
      </c>
      <c r="AK1666" s="339">
        <v>2.68</v>
      </c>
    </row>
    <row r="1667" spans="1:37">
      <c r="A1667" s="416">
        <v>3.04</v>
      </c>
      <c r="B1667" s="91">
        <v>25</v>
      </c>
      <c r="C1667" s="91">
        <v>111</v>
      </c>
      <c r="D1667" s="91">
        <v>-25</v>
      </c>
      <c r="E1667" s="91">
        <v>45</v>
      </c>
      <c r="F1667" s="6">
        <v>3.04</v>
      </c>
      <c r="G1667" s="79">
        <v>8941</v>
      </c>
      <c r="H1667" s="8" t="s">
        <v>312</v>
      </c>
      <c r="I1667" s="16" t="s">
        <v>802</v>
      </c>
      <c r="J1667" s="73">
        <v>72.58</v>
      </c>
      <c r="K1667" s="73">
        <v>1.21</v>
      </c>
      <c r="L1667" s="73">
        <v>19.940000000000001</v>
      </c>
      <c r="N1667" s="318">
        <f t="shared" si="310"/>
        <v>93.72999999999999</v>
      </c>
      <c r="O1667" s="81" t="str">
        <f>IFERROR(VLOOKUP($G1667,'321買'!A:E,3,0),"'沒有資料'")</f>
        <v>'沒有資料'</v>
      </c>
      <c r="P1667" s="380" t="str">
        <f>IFERROR(VLOOKUP($G1667,'321買'!$A:$G,7,0),"'沒有資料'")</f>
        <v>'沒有資料'</v>
      </c>
      <c r="R1667" s="297">
        <f>IFERROR(RANK(VLOOKUP($G1667,連買!$A:$D,4,0),連買!$D:$D,0),"'沒有資料'")</f>
        <v>1268</v>
      </c>
      <c r="S1667" s="34">
        <v>2.5</v>
      </c>
      <c r="T1667" s="353">
        <f t="shared" si="305"/>
        <v>6.142506142506142E-2</v>
      </c>
      <c r="U1667" s="57">
        <v>2.98</v>
      </c>
      <c r="V1667" s="36">
        <f>RTD("money.excel",,"8941","Price")</f>
        <v>40.700000000000003</v>
      </c>
      <c r="W1667" s="66"/>
      <c r="X1667" s="15">
        <f t="shared" si="306"/>
        <v>40.700000000000003</v>
      </c>
      <c r="Y1667" s="3" t="e">
        <f t="shared" si="307"/>
        <v>#DIV/0!</v>
      </c>
      <c r="AA1667" s="161">
        <v>0</v>
      </c>
      <c r="AB1667" s="409">
        <v>0</v>
      </c>
      <c r="AC1667" s="259">
        <f t="shared" si="304"/>
        <v>0</v>
      </c>
      <c r="AD1667" s="16" t="s">
        <v>802</v>
      </c>
      <c r="AG1667" s="33">
        <f t="shared" si="308"/>
        <v>0</v>
      </c>
      <c r="AH1667" s="43" t="s">
        <v>2834</v>
      </c>
      <c r="AI1667" s="63">
        <f t="shared" si="309"/>
        <v>2.0723684210526318E-3</v>
      </c>
      <c r="AJ1667" s="307">
        <f>RTD("money.excel",,$G1667,"PredictVolume")</f>
        <v>63</v>
      </c>
      <c r="AK1667" s="339"/>
    </row>
    <row r="1668" spans="1:37">
      <c r="A1668" s="415">
        <v>3.36</v>
      </c>
      <c r="B1668" s="91">
        <v>55</v>
      </c>
      <c r="C1668" s="91">
        <v>98</v>
      </c>
      <c r="D1668" s="91">
        <v>-4</v>
      </c>
      <c r="E1668" s="91">
        <v>41</v>
      </c>
      <c r="F1668" s="57">
        <v>10.83</v>
      </c>
      <c r="G1668" s="79">
        <v>9960</v>
      </c>
      <c r="H1668" s="8" t="s">
        <v>312</v>
      </c>
      <c r="I1668" s="16" t="s">
        <v>803</v>
      </c>
      <c r="J1668" s="73">
        <v>77.819999999999993</v>
      </c>
      <c r="K1668" s="73">
        <v>5.04</v>
      </c>
      <c r="L1668" s="73">
        <v>64.900000000000006</v>
      </c>
      <c r="N1668" s="318">
        <f t="shared" si="310"/>
        <v>147.76</v>
      </c>
      <c r="O1668" s="81" t="str">
        <f>IFERROR(VLOOKUP($G1668,'321買'!A:E,3,0),"'沒有資料'")</f>
        <v>'沒有資料'</v>
      </c>
      <c r="P1668" s="380" t="str">
        <f>IFERROR(VLOOKUP($G1668,'321買'!$A:$G,7,0),"'沒有資料'")</f>
        <v>'沒有資料'</v>
      </c>
      <c r="R1668" s="297">
        <f>IFERROR(RANK(VLOOKUP($G1668,連買!$A:$D,4,0),連買!$D:$D,0),"'沒有資料'")</f>
        <v>491</v>
      </c>
      <c r="S1668" s="34">
        <v>1</v>
      </c>
      <c r="T1668" s="353">
        <f t="shared" si="305"/>
        <v>3.90625E-2</v>
      </c>
      <c r="U1668" s="95">
        <v>1.41</v>
      </c>
      <c r="V1668" s="13">
        <f>RTD("money.excel",,"9960","Price")</f>
        <v>25.6</v>
      </c>
      <c r="W1668" s="66"/>
      <c r="X1668" s="15">
        <f t="shared" si="306"/>
        <v>25.6</v>
      </c>
      <c r="Y1668" s="3" t="e">
        <f t="shared" si="307"/>
        <v>#DIV/0!</v>
      </c>
      <c r="AA1668" s="161">
        <v>0</v>
      </c>
      <c r="AB1668" s="409">
        <v>0</v>
      </c>
      <c r="AC1668" s="259">
        <f t="shared" ref="AC1668:AC1731" si="311">AA1668-AB1668</f>
        <v>0</v>
      </c>
      <c r="AD1668" s="16" t="s">
        <v>803</v>
      </c>
      <c r="AG1668" s="33">
        <f t="shared" si="308"/>
        <v>0</v>
      </c>
      <c r="AH1668" s="43" t="s">
        <v>2835</v>
      </c>
      <c r="AI1668" s="63">
        <f t="shared" si="309"/>
        <v>7.7380952380952384E-4</v>
      </c>
      <c r="AJ1668" s="307">
        <f>RTD("money.excel",,$G1668,"PredictVolume")</f>
        <v>26</v>
      </c>
      <c r="AK1668" s="339"/>
    </row>
    <row r="1669" spans="1:37">
      <c r="B1669" s="91"/>
      <c r="C1669" s="91"/>
      <c r="D1669" s="91"/>
      <c r="E1669" s="91"/>
      <c r="F1669" s="57"/>
      <c r="G1669" s="79"/>
      <c r="H1669" s="8"/>
      <c r="I1669" s="16"/>
      <c r="J1669" s="73"/>
      <c r="K1669" s="73"/>
      <c r="N1669" s="318"/>
      <c r="O1669" s="26"/>
      <c r="S1669" s="34"/>
      <c r="U1669" s="95"/>
      <c r="V1669" s="13"/>
      <c r="W1669" s="66"/>
      <c r="X1669" s="15"/>
      <c r="Y1669" s="3"/>
      <c r="AA1669" s="2"/>
      <c r="AD1669" s="16"/>
      <c r="AG1669" s="33"/>
      <c r="AH1669" s="43"/>
      <c r="AI1669" s="63"/>
      <c r="AJ1669" s="307"/>
      <c r="AK1669" s="339"/>
    </row>
    <row r="1670" spans="1:37">
      <c r="A1670" s="130" t="s">
        <v>1732</v>
      </c>
      <c r="B1670" s="91" t="s">
        <v>1588</v>
      </c>
      <c r="C1670" s="91" t="s">
        <v>1589</v>
      </c>
      <c r="D1670" s="91" t="s">
        <v>1590</v>
      </c>
      <c r="E1670" s="91" t="s">
        <v>1591</v>
      </c>
      <c r="F1670" s="8" t="s">
        <v>1066</v>
      </c>
      <c r="G1670" s="27" t="s">
        <v>984</v>
      </c>
      <c r="H1670" s="55" t="s">
        <v>322</v>
      </c>
      <c r="I1670" s="8" t="s">
        <v>314</v>
      </c>
      <c r="J1670" s="317" t="s">
        <v>1467</v>
      </c>
      <c r="K1670" s="317" t="s">
        <v>1157</v>
      </c>
      <c r="L1670" s="317" t="s">
        <v>284</v>
      </c>
      <c r="M1670" s="317" t="s">
        <v>1059</v>
      </c>
      <c r="N1670" s="317" t="s">
        <v>5048</v>
      </c>
      <c r="O1670" s="26" t="s">
        <v>5107</v>
      </c>
      <c r="P1670" s="373" t="s">
        <v>5059</v>
      </c>
      <c r="Q1670" s="245" t="s">
        <v>5087</v>
      </c>
      <c r="R1670" s="345" t="s">
        <v>5059</v>
      </c>
      <c r="S1670" s="10" t="s">
        <v>66</v>
      </c>
      <c r="T1670" s="351" t="s">
        <v>5076</v>
      </c>
      <c r="U1670" s="68" t="s">
        <v>3493</v>
      </c>
      <c r="V1670" s="28" t="s">
        <v>2</v>
      </c>
      <c r="W1670" s="17" t="s">
        <v>1405</v>
      </c>
      <c r="X1670" s="14" t="s">
        <v>5</v>
      </c>
      <c r="Y1670" s="21" t="s">
        <v>3</v>
      </c>
      <c r="Z1670" s="97" t="s">
        <v>6627</v>
      </c>
      <c r="AA1670" s="406" t="s">
        <v>8647</v>
      </c>
      <c r="AB1670" s="407" t="s">
        <v>8648</v>
      </c>
      <c r="AC1670" s="408" t="s">
        <v>8649</v>
      </c>
      <c r="AD1670" s="8" t="s">
        <v>314</v>
      </c>
      <c r="AE1670" s="71" t="s">
        <v>1406</v>
      </c>
      <c r="AF1670" s="72" t="s">
        <v>1163</v>
      </c>
      <c r="AG1670" s="32" t="s">
        <v>1164</v>
      </c>
      <c r="AH1670" s="25" t="s">
        <v>8650</v>
      </c>
      <c r="AI1670" s="8" t="s">
        <v>3852</v>
      </c>
      <c r="AJ1670" s="50" t="s">
        <v>3586</v>
      </c>
      <c r="AK1670" s="339" t="s">
        <v>5038</v>
      </c>
    </row>
    <row r="1671" spans="1:37">
      <c r="A1671" s="416">
        <v>13.7</v>
      </c>
      <c r="B1671" s="91">
        <v>7</v>
      </c>
      <c r="C1671" s="91">
        <v>185</v>
      </c>
      <c r="D1671" s="91">
        <v>4</v>
      </c>
      <c r="E1671" s="91">
        <v>1</v>
      </c>
      <c r="F1671" s="6">
        <v>2.48</v>
      </c>
      <c r="G1671" s="79">
        <v>2616</v>
      </c>
      <c r="H1671" s="8" t="s">
        <v>314</v>
      </c>
      <c r="I1671" s="22" t="s">
        <v>989</v>
      </c>
      <c r="J1671" s="73">
        <v>59.59</v>
      </c>
      <c r="K1671" s="73">
        <v>3.73</v>
      </c>
      <c r="L1671" s="73">
        <v>0.18</v>
      </c>
      <c r="N1671" s="318">
        <f>J1671+K1671+L1671+M1671</f>
        <v>63.5</v>
      </c>
      <c r="O1671" s="81">
        <f>IFERROR(VLOOKUP($G1671,'321買'!A:E,3,0),"'沒有資料'")</f>
        <v>0</v>
      </c>
      <c r="P1671" s="380">
        <f>IFERROR(VLOOKUP($G1671,'321買'!$A:$G,7,0),"'沒有資料'")</f>
        <v>911</v>
      </c>
      <c r="R1671" s="297">
        <f>IFERROR(RANK(VLOOKUP($G1671,連買!$A:$D,4,0),連買!$D:$D,0),"'沒有資料'")</f>
        <v>579</v>
      </c>
      <c r="S1671" s="34">
        <v>2.2000000000000002</v>
      </c>
      <c r="T1671" s="353">
        <f t="shared" ref="T1671:T1682" si="312">S1671/V1671</f>
        <v>5.6194125159642408E-2</v>
      </c>
      <c r="U1671" s="95">
        <v>2.73</v>
      </c>
      <c r="V1671" s="13">
        <f>RTD("money.excel",,"2616","Price")</f>
        <v>39.15</v>
      </c>
      <c r="W1671" s="66"/>
      <c r="X1671" s="15">
        <f t="shared" ref="X1671:X1682" si="313">V1671-W1671</f>
        <v>39.15</v>
      </c>
      <c r="Y1671" s="3" t="e">
        <f t="shared" ref="Y1671:Y1682" si="314">X1671/W1671</f>
        <v>#DIV/0!</v>
      </c>
      <c r="AA1671" s="161">
        <v>0</v>
      </c>
      <c r="AB1671" s="409">
        <v>0</v>
      </c>
      <c r="AC1671" s="259">
        <f t="shared" si="311"/>
        <v>0</v>
      </c>
      <c r="AD1671" s="22" t="s">
        <v>989</v>
      </c>
      <c r="AG1671" s="33">
        <f t="shared" ref="AG1671:AG1682" si="315">AF1671-AE1671</f>
        <v>0</v>
      </c>
      <c r="AH1671" s="43" t="s">
        <v>2868</v>
      </c>
      <c r="AI1671" s="63">
        <f t="shared" ref="AI1671:AI1682" si="316">AJ1671/(A1671*10000)</f>
        <v>4.5985401459854014E-4</v>
      </c>
      <c r="AJ1671" s="307">
        <f>RTD("money.excel",,$G1671,"PredictVolume")</f>
        <v>63</v>
      </c>
      <c r="AK1671" s="339"/>
    </row>
    <row r="1672" spans="1:37">
      <c r="A1672" s="416">
        <v>58.9</v>
      </c>
      <c r="B1672" s="80">
        <v>-1</v>
      </c>
      <c r="C1672" s="79">
        <v>125</v>
      </c>
      <c r="D1672" s="79">
        <v>31</v>
      </c>
      <c r="E1672" s="79">
        <v>48</v>
      </c>
      <c r="F1672" s="6">
        <v>4.4000000000000004</v>
      </c>
      <c r="G1672" s="79">
        <v>8926</v>
      </c>
      <c r="H1672" s="8" t="s">
        <v>314</v>
      </c>
      <c r="I1672" s="22" t="s">
        <v>990</v>
      </c>
      <c r="J1672" s="323">
        <v>53.91</v>
      </c>
      <c r="K1672" s="323">
        <v>7.72</v>
      </c>
      <c r="L1672" s="323">
        <v>3.54</v>
      </c>
      <c r="N1672" s="318">
        <f t="shared" ref="N1672:N1681" si="317">J1672+K1672+L1672+M1672</f>
        <v>65.17</v>
      </c>
      <c r="O1672" s="81">
        <f>IFERROR(VLOOKUP($G1672,'321買'!A:E,3,0),"'沒有資料'")</f>
        <v>0</v>
      </c>
      <c r="P1672" s="380">
        <f>IFERROR(VLOOKUP($G1672,'321買'!$A:$G,7,0),"'沒有資料'")</f>
        <v>911</v>
      </c>
      <c r="R1672" s="297">
        <f>IFERROR(RANK(VLOOKUP($G1672,連買!$A:$D,4,0),連買!$D:$D,0),"'沒有資料'")</f>
        <v>543</v>
      </c>
      <c r="S1672" s="34">
        <v>1.9</v>
      </c>
      <c r="T1672" s="353">
        <f t="shared" si="312"/>
        <v>5.0734312416555398E-2</v>
      </c>
      <c r="U1672" s="95">
        <v>1.81</v>
      </c>
      <c r="V1672" s="36">
        <f>RTD("money.excel",,"8926","Price")</f>
        <v>37.450000000000003</v>
      </c>
      <c r="W1672" s="66"/>
      <c r="X1672" s="15">
        <f t="shared" si="313"/>
        <v>37.450000000000003</v>
      </c>
      <c r="Y1672" s="3" t="e">
        <f t="shared" si="314"/>
        <v>#DIV/0!</v>
      </c>
      <c r="AA1672" s="161">
        <v>0</v>
      </c>
      <c r="AB1672" s="409">
        <v>0</v>
      </c>
      <c r="AC1672" s="259">
        <f t="shared" si="311"/>
        <v>0</v>
      </c>
      <c r="AD1672" s="22" t="s">
        <v>990</v>
      </c>
      <c r="AG1672" s="33">
        <f t="shared" si="315"/>
        <v>0</v>
      </c>
      <c r="AH1672" s="43" t="s">
        <v>2078</v>
      </c>
      <c r="AI1672" s="63">
        <f t="shared" si="316"/>
        <v>7.5042444821731751E-4</v>
      </c>
      <c r="AJ1672" s="307">
        <f>RTD("money.excel",,$G1672,"PredictVolume")</f>
        <v>442</v>
      </c>
      <c r="AK1672" s="339"/>
    </row>
    <row r="1673" spans="1:37">
      <c r="A1673" s="415">
        <v>13.4</v>
      </c>
      <c r="B1673" s="79">
        <v>22</v>
      </c>
      <c r="C1673" s="79">
        <v>34</v>
      </c>
      <c r="D1673" s="79">
        <v>0</v>
      </c>
      <c r="E1673" s="80">
        <v>-6</v>
      </c>
      <c r="F1673" s="57">
        <v>19.16</v>
      </c>
      <c r="G1673" s="79">
        <v>8917</v>
      </c>
      <c r="H1673" s="8" t="s">
        <v>314</v>
      </c>
      <c r="I1673" s="16" t="s">
        <v>986</v>
      </c>
      <c r="J1673" s="73">
        <v>65.709999999999994</v>
      </c>
      <c r="K1673" s="73">
        <v>1.3</v>
      </c>
      <c r="L1673" s="73">
        <v>0.01</v>
      </c>
      <c r="N1673" s="318">
        <f t="shared" si="317"/>
        <v>67.02</v>
      </c>
      <c r="O1673" s="81">
        <f>IFERROR(VLOOKUP($G1673,'321買'!A:E,3,0),"'沒有資料'")</f>
        <v>0</v>
      </c>
      <c r="P1673" s="380">
        <f>IFERROR(VLOOKUP($G1673,'321買'!$A:$G,7,0),"'沒有資料'")</f>
        <v>911</v>
      </c>
      <c r="R1673" s="297">
        <f>IFERROR(RANK(VLOOKUP($G1673,連買!$A:$D,4,0),連買!$D:$D,0),"'沒有資料'")</f>
        <v>1138</v>
      </c>
      <c r="S1673" s="34">
        <v>2.5</v>
      </c>
      <c r="T1673" s="353">
        <f t="shared" si="312"/>
        <v>2.7472527472527472E-2</v>
      </c>
      <c r="U1673" s="95">
        <v>2.4700000000000002</v>
      </c>
      <c r="V1673" s="36">
        <f>RTD("money.excel",,"8917","Price")</f>
        <v>91</v>
      </c>
      <c r="W1673" s="66"/>
      <c r="X1673" s="15">
        <f t="shared" si="313"/>
        <v>91</v>
      </c>
      <c r="Y1673" s="3" t="e">
        <f t="shared" si="314"/>
        <v>#DIV/0!</v>
      </c>
      <c r="AA1673" s="161">
        <v>0</v>
      </c>
      <c r="AB1673" s="409">
        <v>0</v>
      </c>
      <c r="AC1673" s="259">
        <f t="shared" si="311"/>
        <v>0</v>
      </c>
      <c r="AD1673" s="16" t="s">
        <v>986</v>
      </c>
      <c r="AG1673" s="33">
        <f t="shared" si="315"/>
        <v>0</v>
      </c>
      <c r="AH1673" s="43" t="s">
        <v>2867</v>
      </c>
      <c r="AI1673" s="63">
        <f t="shared" si="316"/>
        <v>5.2238805970149253E-5</v>
      </c>
      <c r="AJ1673" s="307">
        <f>RTD("money.excel",,$G1673,"PredictVolume")</f>
        <v>7</v>
      </c>
      <c r="AK1673" s="339"/>
    </row>
    <row r="1674" spans="1:37">
      <c r="A1674" s="415">
        <v>11</v>
      </c>
      <c r="B1674" s="91">
        <v>-4</v>
      </c>
      <c r="C1674" s="91">
        <v>-17</v>
      </c>
      <c r="D1674" s="91">
        <v>6</v>
      </c>
      <c r="E1674" s="91">
        <v>-15</v>
      </c>
      <c r="F1674" s="57">
        <v>14.84</v>
      </c>
      <c r="G1674" s="79">
        <v>9931</v>
      </c>
      <c r="H1674" s="8" t="s">
        <v>314</v>
      </c>
      <c r="I1674" s="22" t="s">
        <v>994</v>
      </c>
      <c r="J1674" s="73">
        <v>78.19</v>
      </c>
      <c r="K1674" s="73">
        <v>0.41</v>
      </c>
      <c r="L1674" s="73">
        <v>0.03</v>
      </c>
      <c r="N1674" s="318">
        <f t="shared" si="317"/>
        <v>78.63</v>
      </c>
      <c r="O1674" s="81">
        <f>IFERROR(VLOOKUP($G1674,'321買'!A:E,3,0),"'沒有資料'")</f>
        <v>0</v>
      </c>
      <c r="P1674" s="380">
        <f>IFERROR(VLOOKUP($G1674,'321買'!$A:$G,7,0),"'沒有資料'")</f>
        <v>911</v>
      </c>
      <c r="R1674" s="297">
        <f>IFERROR(RANK(VLOOKUP($G1674,連買!$A:$D,4,0),連買!$D:$D,0),"'沒有資料'")</f>
        <v>672</v>
      </c>
      <c r="S1674" s="34">
        <v>1.3</v>
      </c>
      <c r="T1674" s="353">
        <f t="shared" si="312"/>
        <v>3.2745591939546598E-2</v>
      </c>
      <c r="U1674" s="95">
        <v>1.79</v>
      </c>
      <c r="V1674" s="13">
        <f>RTD("money.excel",,"9931","Price")</f>
        <v>39.700000000000003</v>
      </c>
      <c r="W1674" s="66"/>
      <c r="X1674" s="15">
        <f t="shared" si="313"/>
        <v>39.700000000000003</v>
      </c>
      <c r="Y1674" s="3" t="e">
        <f t="shared" si="314"/>
        <v>#DIV/0!</v>
      </c>
      <c r="AA1674" s="161">
        <v>0</v>
      </c>
      <c r="AB1674" s="409">
        <v>0</v>
      </c>
      <c r="AC1674" s="259">
        <f t="shared" si="311"/>
        <v>0</v>
      </c>
      <c r="AD1674" s="22" t="s">
        <v>994</v>
      </c>
      <c r="AG1674" s="33">
        <f t="shared" si="315"/>
        <v>0</v>
      </c>
      <c r="AH1674" s="43" t="s">
        <v>2867</v>
      </c>
      <c r="AI1674" s="63">
        <f t="shared" si="316"/>
        <v>7.2727272727272728E-5</v>
      </c>
      <c r="AJ1674" s="307">
        <f>RTD("money.excel",,$G1674,"PredictVolume")</f>
        <v>8</v>
      </c>
      <c r="AK1674" s="339"/>
    </row>
    <row r="1675" spans="1:37">
      <c r="A1675" s="415">
        <v>12.2</v>
      </c>
      <c r="B1675" s="79">
        <v>24</v>
      </c>
      <c r="C1675" s="79">
        <v>43</v>
      </c>
      <c r="D1675" s="79">
        <v>28</v>
      </c>
      <c r="E1675" s="80">
        <v>-8</v>
      </c>
      <c r="F1675" s="57">
        <v>14.17</v>
      </c>
      <c r="G1675" s="79">
        <v>8931</v>
      </c>
      <c r="H1675" s="8" t="s">
        <v>314</v>
      </c>
      <c r="I1675" s="16" t="s">
        <v>988</v>
      </c>
      <c r="J1675" s="73">
        <v>74.75</v>
      </c>
      <c r="K1675" s="73">
        <v>0.18</v>
      </c>
      <c r="L1675" s="73">
        <v>7.75</v>
      </c>
      <c r="N1675" s="318">
        <f t="shared" si="317"/>
        <v>82.68</v>
      </c>
      <c r="O1675" s="81">
        <f>IFERROR(VLOOKUP($G1675,'321買'!A:E,3,0),"'沒有資料'")</f>
        <v>0</v>
      </c>
      <c r="P1675" s="380">
        <f>IFERROR(VLOOKUP($G1675,'321買'!$A:$G,7,0),"'沒有資料'")</f>
        <v>911</v>
      </c>
      <c r="R1675" s="297">
        <f>IFERROR(RANK(VLOOKUP($G1675,連買!$A:$D,4,0),連買!$D:$D,0),"'沒有資料'")</f>
        <v>1260</v>
      </c>
      <c r="S1675" s="34">
        <v>1.4</v>
      </c>
      <c r="T1675" s="353">
        <f t="shared" si="312"/>
        <v>4.2042042042042045E-2</v>
      </c>
      <c r="U1675" s="57">
        <v>1.49</v>
      </c>
      <c r="V1675" s="36">
        <f>RTD("money.excel",,"8931","Price")</f>
        <v>33.299999999999997</v>
      </c>
      <c r="W1675" s="66"/>
      <c r="X1675" s="15">
        <f t="shared" si="313"/>
        <v>33.299999999999997</v>
      </c>
      <c r="Y1675" s="3" t="e">
        <f t="shared" si="314"/>
        <v>#DIV/0!</v>
      </c>
      <c r="AA1675" s="161">
        <v>0</v>
      </c>
      <c r="AB1675" s="409">
        <v>0</v>
      </c>
      <c r="AC1675" s="259">
        <f t="shared" si="311"/>
        <v>0</v>
      </c>
      <c r="AD1675" s="16" t="s">
        <v>988</v>
      </c>
      <c r="AG1675" s="33">
        <f t="shared" si="315"/>
        <v>0</v>
      </c>
      <c r="AH1675" s="43" t="s">
        <v>2078</v>
      </c>
      <c r="AI1675" s="63">
        <f t="shared" si="316"/>
        <v>5.9016393442622953E-4</v>
      </c>
      <c r="AJ1675" s="307">
        <f>RTD("money.excel",,$G1675,"PredictVolume")</f>
        <v>72</v>
      </c>
      <c r="AK1675" s="339"/>
    </row>
    <row r="1676" spans="1:37">
      <c r="A1676" s="415">
        <v>18</v>
      </c>
      <c r="B1676" s="91">
        <v>7</v>
      </c>
      <c r="C1676" s="91">
        <v>36</v>
      </c>
      <c r="D1676" s="91">
        <v>31</v>
      </c>
      <c r="E1676" s="91">
        <v>-12</v>
      </c>
      <c r="F1676" s="57">
        <v>16.09</v>
      </c>
      <c r="G1676" s="79">
        <v>9918</v>
      </c>
      <c r="H1676" s="8" t="s">
        <v>314</v>
      </c>
      <c r="I1676" s="22" t="s">
        <v>992</v>
      </c>
      <c r="J1676" s="73">
        <v>84.02</v>
      </c>
      <c r="K1676" s="73">
        <v>1.04</v>
      </c>
      <c r="L1676" s="73">
        <v>0.04</v>
      </c>
      <c r="N1676" s="318">
        <f t="shared" si="317"/>
        <v>85.100000000000009</v>
      </c>
      <c r="O1676" s="81">
        <f>IFERROR(VLOOKUP($G1676,'321買'!A:E,3,0),"'沒有資料'")</f>
        <v>0</v>
      </c>
      <c r="P1676" s="380">
        <f>IFERROR(VLOOKUP($G1676,'321買'!$A:$G,7,0),"'沒有資料'")</f>
        <v>911</v>
      </c>
      <c r="R1676" s="297">
        <f>IFERROR(RANK(VLOOKUP($G1676,連買!$A:$D,4,0),連買!$D:$D,0),"'沒有資料'")</f>
        <v>722</v>
      </c>
      <c r="S1676" s="34">
        <v>1.6</v>
      </c>
      <c r="T1676" s="353">
        <f t="shared" si="312"/>
        <v>3.7647058823529415E-2</v>
      </c>
      <c r="U1676" s="95">
        <v>1.84</v>
      </c>
      <c r="V1676" s="13">
        <f>RTD("money.excel",,"9918","Price")</f>
        <v>42.5</v>
      </c>
      <c r="W1676" s="66"/>
      <c r="X1676" s="15">
        <f t="shared" si="313"/>
        <v>42.5</v>
      </c>
      <c r="Y1676" s="3" t="e">
        <f t="shared" si="314"/>
        <v>#DIV/0!</v>
      </c>
      <c r="AA1676" s="161">
        <v>0</v>
      </c>
      <c r="AB1676" s="409">
        <v>0</v>
      </c>
      <c r="AC1676" s="259">
        <f t="shared" si="311"/>
        <v>0</v>
      </c>
      <c r="AD1676" s="22" t="s">
        <v>992</v>
      </c>
      <c r="AG1676" s="33">
        <f t="shared" si="315"/>
        <v>0</v>
      </c>
      <c r="AH1676" s="43" t="s">
        <v>2867</v>
      </c>
      <c r="AI1676" s="63">
        <f t="shared" si="316"/>
        <v>1.0388888888888889E-3</v>
      </c>
      <c r="AJ1676" s="307">
        <f>RTD("money.excel",,$G1676,"PredictVolume")</f>
        <v>187</v>
      </c>
      <c r="AK1676" s="339"/>
    </row>
    <row r="1677" spans="1:37">
      <c r="A1677" s="415">
        <v>17.899999999999999</v>
      </c>
      <c r="B1677" s="91">
        <v>16</v>
      </c>
      <c r="C1677" s="91">
        <v>15</v>
      </c>
      <c r="D1677" s="91">
        <v>24</v>
      </c>
      <c r="E1677" s="91">
        <v>2</v>
      </c>
      <c r="F1677" s="57">
        <v>15.58</v>
      </c>
      <c r="G1677" s="79">
        <v>9926</v>
      </c>
      <c r="H1677" s="8" t="s">
        <v>314</v>
      </c>
      <c r="I1677" s="22" t="s">
        <v>993</v>
      </c>
      <c r="J1677" s="73">
        <v>85.52</v>
      </c>
      <c r="K1677" s="73">
        <v>0.23</v>
      </c>
      <c r="N1677" s="318">
        <f t="shared" si="317"/>
        <v>85.75</v>
      </c>
      <c r="O1677" s="81">
        <f>IFERROR(VLOOKUP($G1677,'321買'!A:E,3,0),"'沒有資料'")</f>
        <v>0</v>
      </c>
      <c r="P1677" s="380">
        <f>IFERROR(VLOOKUP($G1677,'321買'!$A:$G,7,0),"'沒有資料'")</f>
        <v>911</v>
      </c>
      <c r="R1677" s="297">
        <f>IFERROR(RANK(VLOOKUP($G1677,連買!$A:$D,4,0),連買!$D:$D,0),"'沒有資料'")</f>
        <v>462</v>
      </c>
      <c r="S1677" s="34">
        <v>1.8</v>
      </c>
      <c r="T1677" s="353">
        <f t="shared" si="312"/>
        <v>3.5643564356435647E-2</v>
      </c>
      <c r="U1677" s="95">
        <v>2.34</v>
      </c>
      <c r="V1677" s="13">
        <f>RTD("money.excel",,"9926","Price")</f>
        <v>50.5</v>
      </c>
      <c r="W1677" s="66"/>
      <c r="X1677" s="15">
        <f t="shared" si="313"/>
        <v>50.5</v>
      </c>
      <c r="Y1677" s="3" t="e">
        <f t="shared" si="314"/>
        <v>#DIV/0!</v>
      </c>
      <c r="AA1677" s="161">
        <v>0</v>
      </c>
      <c r="AB1677" s="409">
        <v>0</v>
      </c>
      <c r="AC1677" s="259">
        <f t="shared" si="311"/>
        <v>0</v>
      </c>
      <c r="AD1677" s="22" t="s">
        <v>993</v>
      </c>
      <c r="AG1677" s="33">
        <f t="shared" si="315"/>
        <v>0</v>
      </c>
      <c r="AH1677" s="43" t="s">
        <v>2867</v>
      </c>
      <c r="AI1677" s="63">
        <f t="shared" si="316"/>
        <v>1.11731843575419E-5</v>
      </c>
      <c r="AJ1677" s="307">
        <f>RTD("money.excel",,$G1677,"PredictVolume")</f>
        <v>2</v>
      </c>
      <c r="AK1677" s="339"/>
    </row>
    <row r="1678" spans="1:37">
      <c r="A1678" s="416">
        <v>20</v>
      </c>
      <c r="B1678" s="79">
        <v>4</v>
      </c>
      <c r="C1678" s="80">
        <v>-6</v>
      </c>
      <c r="D1678" s="79">
        <v>10</v>
      </c>
      <c r="E1678" s="80">
        <v>-20</v>
      </c>
      <c r="F1678" s="6">
        <v>7</v>
      </c>
      <c r="G1678" s="79">
        <v>8908</v>
      </c>
      <c r="H1678" s="8" t="s">
        <v>314</v>
      </c>
      <c r="I1678" s="16" t="s">
        <v>985</v>
      </c>
      <c r="J1678" s="73">
        <v>85.74</v>
      </c>
      <c r="K1678" s="73">
        <v>0.02</v>
      </c>
      <c r="L1678" s="73">
        <v>0.03</v>
      </c>
      <c r="N1678" s="318">
        <f t="shared" si="317"/>
        <v>85.789999999999992</v>
      </c>
      <c r="O1678" s="81">
        <f>IFERROR(VLOOKUP($G1678,'321買'!A:E,3,0),"'沒有資料'")</f>
        <v>0</v>
      </c>
      <c r="P1678" s="380">
        <f>IFERROR(VLOOKUP($G1678,'321買'!$A:$G,7,0),"'沒有資料'")</f>
        <v>911</v>
      </c>
      <c r="R1678" s="297">
        <f>IFERROR(RANK(VLOOKUP($G1678,連買!$A:$D,4,0),連買!$D:$D,0),"'沒有資料'")</f>
        <v>875</v>
      </c>
      <c r="S1678" s="34">
        <v>1.6</v>
      </c>
      <c r="T1678" s="353">
        <f t="shared" si="312"/>
        <v>2.0408163265306121E-2</v>
      </c>
      <c r="U1678" s="95">
        <v>2.0299999999999998</v>
      </c>
      <c r="V1678" s="36">
        <f>RTD("money.excel",,"8908","Price")</f>
        <v>78.400000000000006</v>
      </c>
      <c r="W1678" s="66"/>
      <c r="X1678" s="15">
        <f t="shared" si="313"/>
        <v>78.400000000000006</v>
      </c>
      <c r="Y1678" s="3" t="e">
        <f t="shared" si="314"/>
        <v>#DIV/0!</v>
      </c>
      <c r="Z1678" s="413" t="s">
        <v>1801</v>
      </c>
      <c r="AA1678" s="161">
        <v>0</v>
      </c>
      <c r="AB1678" s="409">
        <v>0</v>
      </c>
      <c r="AC1678" s="259">
        <f t="shared" si="311"/>
        <v>0</v>
      </c>
      <c r="AD1678" s="16" t="s">
        <v>985</v>
      </c>
      <c r="AG1678" s="33">
        <f t="shared" si="315"/>
        <v>0</v>
      </c>
      <c r="AH1678" s="43" t="s">
        <v>2867</v>
      </c>
      <c r="AI1678" s="63">
        <f t="shared" si="316"/>
        <v>6.6500000000000001E-4</v>
      </c>
      <c r="AJ1678" s="307">
        <f>RTD("money.excel",,$G1678,"PredictVolume")</f>
        <v>133</v>
      </c>
      <c r="AK1678" s="339"/>
    </row>
    <row r="1679" spans="1:37">
      <c r="A1679" s="415">
        <v>51.6</v>
      </c>
      <c r="B1679" s="91">
        <v>-5</v>
      </c>
      <c r="C1679" s="91">
        <v>4</v>
      </c>
      <c r="D1679" s="91">
        <v>13</v>
      </c>
      <c r="E1679" s="91">
        <v>-10</v>
      </c>
      <c r="F1679" s="57">
        <v>19.2</v>
      </c>
      <c r="G1679" s="79">
        <v>9908</v>
      </c>
      <c r="H1679" s="8" t="s">
        <v>314</v>
      </c>
      <c r="I1679" s="22" t="s">
        <v>991</v>
      </c>
      <c r="J1679" s="73">
        <v>84.26</v>
      </c>
      <c r="K1679" s="73">
        <v>2.11</v>
      </c>
      <c r="L1679" s="73">
        <v>0.37</v>
      </c>
      <c r="N1679" s="318">
        <f t="shared" si="317"/>
        <v>86.740000000000009</v>
      </c>
      <c r="O1679" s="81">
        <f>IFERROR(VLOOKUP($G1679,'321買'!A:E,3,0),"'沒有資料'")</f>
        <v>0</v>
      </c>
      <c r="P1679" s="380">
        <f>IFERROR(VLOOKUP($G1679,'321買'!$A:$G,7,0),"'沒有資料'")</f>
        <v>911</v>
      </c>
      <c r="R1679" s="297">
        <f>IFERROR(RANK(VLOOKUP($G1679,連買!$A:$D,4,0),連買!$D:$D,0),"'沒有資料'")</f>
        <v>587</v>
      </c>
      <c r="S1679" s="34">
        <v>1.1000000000000001</v>
      </c>
      <c r="T1679" s="353">
        <f t="shared" si="312"/>
        <v>3.2689450222882617E-2</v>
      </c>
      <c r="U1679" s="95">
        <v>1.64</v>
      </c>
      <c r="V1679" s="13">
        <f>RTD("money.excel",,"9908","Price")</f>
        <v>33.65</v>
      </c>
      <c r="W1679" s="66"/>
      <c r="X1679" s="15">
        <f t="shared" si="313"/>
        <v>33.65</v>
      </c>
      <c r="Y1679" s="3" t="e">
        <f t="shared" si="314"/>
        <v>#DIV/0!</v>
      </c>
      <c r="AA1679" s="161">
        <v>0</v>
      </c>
      <c r="AB1679" s="409">
        <v>0</v>
      </c>
      <c r="AC1679" s="259">
        <f t="shared" si="311"/>
        <v>0</v>
      </c>
      <c r="AD1679" s="22" t="s">
        <v>991</v>
      </c>
      <c r="AG1679" s="33">
        <f t="shared" si="315"/>
        <v>0</v>
      </c>
      <c r="AH1679" s="43" t="s">
        <v>2867</v>
      </c>
      <c r="AI1679" s="63">
        <f t="shared" si="316"/>
        <v>1.5697674418604652E-4</v>
      </c>
      <c r="AJ1679" s="307">
        <f>RTD("money.excel",,$G1679,"PredictVolume")</f>
        <v>81</v>
      </c>
      <c r="AK1679" s="339"/>
    </row>
    <row r="1680" spans="1:37">
      <c r="A1680" s="416">
        <v>30.9</v>
      </c>
      <c r="B1680" s="91">
        <v>-1</v>
      </c>
      <c r="C1680" s="91">
        <v>-16</v>
      </c>
      <c r="D1680" s="91">
        <v>2</v>
      </c>
      <c r="E1680" s="91">
        <v>-11</v>
      </c>
      <c r="F1680" s="6">
        <v>3.43</v>
      </c>
      <c r="G1680" s="79">
        <v>9937</v>
      </c>
      <c r="H1680" s="8" t="s">
        <v>314</v>
      </c>
      <c r="I1680" s="22" t="s">
        <v>995</v>
      </c>
      <c r="J1680" s="73">
        <v>87.79</v>
      </c>
      <c r="K1680" s="73">
        <v>1.9</v>
      </c>
      <c r="L1680" s="73">
        <v>0.13</v>
      </c>
      <c r="N1680" s="318">
        <f t="shared" si="317"/>
        <v>89.820000000000007</v>
      </c>
      <c r="O1680" s="81">
        <f>IFERROR(VLOOKUP($G1680,'321買'!A:E,3,0),"'沒有資料'")</f>
        <v>0</v>
      </c>
      <c r="P1680" s="380">
        <f>IFERROR(VLOOKUP($G1680,'321買'!$A:$G,7,0),"'沒有資料'")</f>
        <v>911</v>
      </c>
      <c r="R1680" s="297">
        <f>IFERROR(RANK(VLOOKUP($G1680,連買!$A:$D,4,0),連買!$D:$D,0),"'沒有資料'")</f>
        <v>563</v>
      </c>
      <c r="S1680" s="34">
        <v>2.2999999999999998</v>
      </c>
      <c r="T1680" s="353">
        <f t="shared" si="312"/>
        <v>4.7131147540983603E-2</v>
      </c>
      <c r="U1680" s="95">
        <v>2.57</v>
      </c>
      <c r="V1680" s="13">
        <f>RTD("money.excel",,"9937","Price")</f>
        <v>48.8</v>
      </c>
      <c r="W1680" s="66"/>
      <c r="X1680" s="15">
        <f t="shared" si="313"/>
        <v>48.8</v>
      </c>
      <c r="Y1680" s="3" t="e">
        <f t="shared" si="314"/>
        <v>#DIV/0!</v>
      </c>
      <c r="AA1680" s="161">
        <v>0</v>
      </c>
      <c r="AB1680" s="409">
        <v>0</v>
      </c>
      <c r="AC1680" s="259">
        <f t="shared" si="311"/>
        <v>0</v>
      </c>
      <c r="AD1680" s="22" t="s">
        <v>995</v>
      </c>
      <c r="AG1680" s="33">
        <f t="shared" si="315"/>
        <v>0</v>
      </c>
      <c r="AH1680" s="43" t="s">
        <v>2868</v>
      </c>
      <c r="AI1680" s="63">
        <f t="shared" si="316"/>
        <v>2.2653721682847896E-5</v>
      </c>
      <c r="AJ1680" s="307">
        <f>RTD("money.excel",,$G1680,"PredictVolume")</f>
        <v>7</v>
      </c>
      <c r="AK1680" s="339"/>
    </row>
    <row r="1681" spans="1:37">
      <c r="A1681" s="416">
        <v>952</v>
      </c>
      <c r="B1681" s="79">
        <v>569</v>
      </c>
      <c r="C1681" s="93">
        <v>1892</v>
      </c>
      <c r="D1681" s="80">
        <v>-18</v>
      </c>
      <c r="E1681" s="79">
        <v>26</v>
      </c>
      <c r="F1681" s="6">
        <v>8.9</v>
      </c>
      <c r="G1681" s="79">
        <v>6505</v>
      </c>
      <c r="H1681" s="17" t="s">
        <v>314</v>
      </c>
      <c r="I1681" s="22" t="s">
        <v>5007</v>
      </c>
      <c r="J1681" s="326">
        <v>97.21</v>
      </c>
      <c r="K1681" s="73">
        <v>7.32</v>
      </c>
      <c r="L1681" s="323">
        <v>7.0000000000000007E-2</v>
      </c>
      <c r="M1681" s="73">
        <v>75.86</v>
      </c>
      <c r="N1681" s="73">
        <f t="shared" si="317"/>
        <v>180.45999999999998</v>
      </c>
      <c r="O1681" s="81">
        <f>IFERROR(VLOOKUP($G1681,'321買'!A:E,3,0),"'沒有資料'")</f>
        <v>0</v>
      </c>
      <c r="P1681" s="380">
        <f>IFERROR(VLOOKUP($G1681,'321買'!$A:$G,7,0),"'沒有資料'")</f>
        <v>911</v>
      </c>
      <c r="Q1681" s="245" t="s">
        <v>3817</v>
      </c>
      <c r="R1681" s="297">
        <f>IFERROR(RANK(VLOOKUP($G1681,連買!$A:$D,4,0),連買!$D:$D,0),"'沒有資料'")</f>
        <v>157</v>
      </c>
      <c r="S1681" s="6">
        <v>3.8</v>
      </c>
      <c r="T1681" s="353">
        <f t="shared" si="312"/>
        <v>4.0685224839400423E-2</v>
      </c>
      <c r="U1681" s="57">
        <v>5.19</v>
      </c>
      <c r="V1681" s="36">
        <f>RTD("money.excel",,"6505","Price")</f>
        <v>93.4</v>
      </c>
      <c r="W1681" s="65"/>
      <c r="X1681" s="15">
        <f t="shared" si="313"/>
        <v>93.4</v>
      </c>
      <c r="Y1681" s="3" t="e">
        <f t="shared" si="314"/>
        <v>#DIV/0!</v>
      </c>
      <c r="Z1681" s="413" t="s">
        <v>8616</v>
      </c>
      <c r="AA1681" s="161">
        <v>0</v>
      </c>
      <c r="AB1681" s="409">
        <v>0</v>
      </c>
      <c r="AC1681" s="259">
        <f t="shared" si="311"/>
        <v>0</v>
      </c>
      <c r="AD1681" s="22" t="s">
        <v>5007</v>
      </c>
      <c r="AG1681" s="33">
        <f t="shared" si="315"/>
        <v>0</v>
      </c>
      <c r="AH1681" s="43" t="s">
        <v>2781</v>
      </c>
      <c r="AI1681" s="63">
        <f t="shared" si="316"/>
        <v>1.6039915966386555E-4</v>
      </c>
      <c r="AJ1681" s="307">
        <f>RTD("money.excel",,$G1681,"PredictVolume")</f>
        <v>1527</v>
      </c>
      <c r="AK1681" s="339">
        <v>0.26</v>
      </c>
    </row>
    <row r="1682" spans="1:37">
      <c r="A1682" s="416">
        <v>24.6</v>
      </c>
      <c r="B1682" s="79">
        <v>88</v>
      </c>
      <c r="C1682" s="80">
        <v>-41</v>
      </c>
      <c r="D1682" s="79">
        <v>0</v>
      </c>
      <c r="E1682" s="79">
        <v>47</v>
      </c>
      <c r="F1682" s="6">
        <v>1.29</v>
      </c>
      <c r="G1682" s="79">
        <v>8927</v>
      </c>
      <c r="H1682" s="8" t="s">
        <v>314</v>
      </c>
      <c r="I1682" s="16" t="s">
        <v>987</v>
      </c>
      <c r="J1682" s="323">
        <v>72.430000000000007</v>
      </c>
      <c r="K1682" s="323">
        <v>0.17</v>
      </c>
      <c r="L1682" s="73">
        <v>5.68</v>
      </c>
      <c r="M1682" s="323">
        <v>32.82</v>
      </c>
      <c r="N1682" s="318">
        <f>K1682+J1682+L1682+M1682</f>
        <v>111.1</v>
      </c>
      <c r="O1682" s="81">
        <f>IFERROR(VLOOKUP($G1682,'321買'!A:E,3,0),"'沒有資料'")</f>
        <v>0</v>
      </c>
      <c r="P1682" s="380">
        <f>IFERROR(VLOOKUP($G1682,'321買'!$A:$G,7,0),"'沒有資料'")</f>
        <v>911</v>
      </c>
      <c r="Q1682" s="245" t="s">
        <v>3816</v>
      </c>
      <c r="R1682" s="297">
        <f>IFERROR(RANK(VLOOKUP($G1682,連買!$A:$D,4,0),連買!$D:$D,0),"'沒有資料'")</f>
        <v>869</v>
      </c>
      <c r="S1682" s="34">
        <v>0.47</v>
      </c>
      <c r="T1682" s="353">
        <f t="shared" si="312"/>
        <v>1.2789115646258504E-2</v>
      </c>
      <c r="U1682" s="57">
        <v>0.95</v>
      </c>
      <c r="V1682" s="36">
        <f>RTD("money.excel",,"8927","Price")</f>
        <v>36.75</v>
      </c>
      <c r="W1682" s="66"/>
      <c r="X1682" s="15">
        <f t="shared" si="313"/>
        <v>36.75</v>
      </c>
      <c r="Y1682" s="3" t="e">
        <f t="shared" si="314"/>
        <v>#DIV/0!</v>
      </c>
      <c r="Z1682" s="413" t="s">
        <v>1801</v>
      </c>
      <c r="AA1682" s="161">
        <v>0</v>
      </c>
      <c r="AB1682" s="409">
        <v>0</v>
      </c>
      <c r="AC1682" s="259">
        <f t="shared" si="311"/>
        <v>0</v>
      </c>
      <c r="AD1682" s="16" t="s">
        <v>987</v>
      </c>
      <c r="AG1682" s="33">
        <f t="shared" si="315"/>
        <v>0</v>
      </c>
      <c r="AH1682" s="43" t="s">
        <v>2868</v>
      </c>
      <c r="AI1682" s="63">
        <f t="shared" si="316"/>
        <v>1.0934959349593496E-3</v>
      </c>
      <c r="AJ1682" s="307">
        <f>RTD("money.excel",,$G1682,"PredictVolume")</f>
        <v>269</v>
      </c>
      <c r="AK1682" s="339"/>
    </row>
    <row r="1683" spans="1:37">
      <c r="A1683" s="146"/>
      <c r="B1683" s="79"/>
      <c r="C1683" s="80"/>
      <c r="D1683" s="79"/>
      <c r="E1683" s="79"/>
      <c r="F1683" s="6"/>
      <c r="G1683" s="79"/>
      <c r="H1683" s="8"/>
      <c r="I1683" s="16"/>
      <c r="J1683" s="323"/>
      <c r="K1683" s="323"/>
      <c r="M1683" s="323"/>
      <c r="N1683" s="318"/>
      <c r="O1683" s="26"/>
      <c r="S1683" s="34"/>
      <c r="U1683" s="57"/>
      <c r="V1683" s="36"/>
      <c r="W1683" s="66"/>
      <c r="X1683" s="15"/>
      <c r="Y1683" s="3"/>
      <c r="AA1683" s="2"/>
      <c r="AD1683" s="16"/>
      <c r="AG1683" s="33"/>
      <c r="AH1683" s="43"/>
      <c r="AK1683" s="339"/>
    </row>
    <row r="1684" spans="1:37">
      <c r="A1684" s="130" t="s">
        <v>1732</v>
      </c>
      <c r="B1684" s="91" t="s">
        <v>1588</v>
      </c>
      <c r="C1684" s="91" t="s">
        <v>1589</v>
      </c>
      <c r="D1684" s="91" t="s">
        <v>1590</v>
      </c>
      <c r="E1684" s="91" t="s">
        <v>1591</v>
      </c>
      <c r="F1684" s="8" t="s">
        <v>1066</v>
      </c>
      <c r="G1684" s="27" t="s">
        <v>5008</v>
      </c>
      <c r="H1684" s="55" t="s">
        <v>322</v>
      </c>
      <c r="I1684" s="30" t="s">
        <v>3579</v>
      </c>
      <c r="J1684" s="317" t="s">
        <v>1467</v>
      </c>
      <c r="K1684" s="317" t="s">
        <v>1157</v>
      </c>
      <c r="L1684" s="317" t="s">
        <v>284</v>
      </c>
      <c r="M1684" s="317" t="s">
        <v>1059</v>
      </c>
      <c r="N1684" s="317" t="s">
        <v>5048</v>
      </c>
      <c r="O1684" s="26" t="s">
        <v>5107</v>
      </c>
      <c r="P1684" s="373" t="s">
        <v>5059</v>
      </c>
      <c r="Q1684" s="245" t="s">
        <v>5087</v>
      </c>
      <c r="R1684" s="345" t="s">
        <v>5059</v>
      </c>
      <c r="S1684" s="10" t="s">
        <v>66</v>
      </c>
      <c r="T1684" s="351" t="s">
        <v>5076</v>
      </c>
      <c r="U1684" s="68" t="s">
        <v>3493</v>
      </c>
      <c r="V1684" s="28" t="s">
        <v>2</v>
      </c>
      <c r="W1684" s="17" t="s">
        <v>1405</v>
      </c>
      <c r="X1684" s="14" t="s">
        <v>5</v>
      </c>
      <c r="Y1684" s="21" t="s">
        <v>3</v>
      </c>
      <c r="Z1684" s="97" t="s">
        <v>6627</v>
      </c>
      <c r="AA1684" s="406" t="s">
        <v>8647</v>
      </c>
      <c r="AB1684" s="407" t="s">
        <v>8648</v>
      </c>
      <c r="AC1684" s="408" t="s">
        <v>8649</v>
      </c>
      <c r="AD1684" s="30" t="s">
        <v>3579</v>
      </c>
      <c r="AE1684" s="71" t="s">
        <v>1406</v>
      </c>
      <c r="AF1684" s="72" t="s">
        <v>1163</v>
      </c>
      <c r="AG1684" s="32" t="s">
        <v>1164</v>
      </c>
      <c r="AH1684" s="25" t="s">
        <v>8650</v>
      </c>
      <c r="AI1684" s="8" t="s">
        <v>3852</v>
      </c>
      <c r="AJ1684" s="50" t="s">
        <v>3586</v>
      </c>
      <c r="AK1684" s="339" t="s">
        <v>5038</v>
      </c>
    </row>
    <row r="1685" spans="1:37">
      <c r="A1685" s="416">
        <v>59.1</v>
      </c>
      <c r="B1685" s="80">
        <v>-16</v>
      </c>
      <c r="C1685" s="79">
        <v>11</v>
      </c>
      <c r="D1685" s="80">
        <v>-29</v>
      </c>
      <c r="E1685" s="79">
        <v>46</v>
      </c>
      <c r="F1685" s="6">
        <v>5.99</v>
      </c>
      <c r="G1685" s="79">
        <v>1785</v>
      </c>
      <c r="H1685" s="8" t="s">
        <v>316</v>
      </c>
      <c r="I1685" s="16" t="s">
        <v>307</v>
      </c>
      <c r="J1685" s="323">
        <v>39.29</v>
      </c>
      <c r="K1685" s="73">
        <v>14.23</v>
      </c>
      <c r="L1685" s="73">
        <v>23.09</v>
      </c>
      <c r="N1685" s="318">
        <f>J1685+K1685+L1685+M1685</f>
        <v>76.61</v>
      </c>
      <c r="O1685" s="81">
        <f>IFERROR(VLOOKUP($G1685,'321買'!A:E,3,0),"'沒有資料'")</f>
        <v>12</v>
      </c>
      <c r="P1685" s="380">
        <f>IFERROR(VLOOKUP($G1685,'321買'!$A:$G,7,0),"'沒有資料'")</f>
        <v>368</v>
      </c>
      <c r="R1685" s="297">
        <f>IFERROR(RANK(VLOOKUP($G1685,連買!$A:$D,4,0),連買!$D:$D,0),"'沒有資料'")</f>
        <v>372</v>
      </c>
      <c r="S1685" s="34">
        <v>1</v>
      </c>
      <c r="T1685" s="353">
        <f t="shared" ref="T1685:T1716" si="318">S1685/V1685</f>
        <v>1.937984496124031E-2</v>
      </c>
      <c r="U1685" s="95">
        <v>1.69</v>
      </c>
      <c r="V1685" s="36">
        <f>RTD("money.excel",,"1785","Price")</f>
        <v>51.6</v>
      </c>
      <c r="W1685" s="66"/>
      <c r="X1685" s="15">
        <f t="shared" ref="X1685:X1748" si="319">V1685-W1685</f>
        <v>51.6</v>
      </c>
      <c r="Y1685" s="3" t="e">
        <f t="shared" ref="Y1685:Y1748" si="320">X1685/W1685</f>
        <v>#DIV/0!</v>
      </c>
      <c r="Z1685" s="413" t="s">
        <v>1801</v>
      </c>
      <c r="AA1685" s="161">
        <v>0</v>
      </c>
      <c r="AB1685" s="409">
        <v>0</v>
      </c>
      <c r="AC1685" s="259">
        <f t="shared" si="311"/>
        <v>0</v>
      </c>
      <c r="AD1685" s="16" t="s">
        <v>307</v>
      </c>
      <c r="AG1685" s="33">
        <f t="shared" ref="AG1685:AG1748" si="321">AF1685-AE1685</f>
        <v>0</v>
      </c>
      <c r="AH1685" s="43" t="s">
        <v>2449</v>
      </c>
      <c r="AI1685" s="63">
        <f t="shared" ref="AI1685:AI1716" si="322">AJ1685/(A1685*10000)</f>
        <v>6.876480541455161E-3</v>
      </c>
      <c r="AJ1685" s="307">
        <f>RTD("money.excel",,$G1685,"PredictVolume")</f>
        <v>4064</v>
      </c>
      <c r="AK1685" s="339"/>
    </row>
    <row r="1686" spans="1:37">
      <c r="A1686" s="416">
        <v>146</v>
      </c>
      <c r="B1686" s="80">
        <v>-20</v>
      </c>
      <c r="C1686" s="80">
        <v>-71</v>
      </c>
      <c r="D1686" s="80">
        <v>-9</v>
      </c>
      <c r="E1686" s="79">
        <v>0</v>
      </c>
      <c r="F1686" s="6">
        <v>0.42</v>
      </c>
      <c r="G1686" s="79">
        <v>2312</v>
      </c>
      <c r="H1686" s="8" t="s">
        <v>316</v>
      </c>
      <c r="I1686" s="22" t="s">
        <v>493</v>
      </c>
      <c r="J1686" s="323">
        <v>59.44</v>
      </c>
      <c r="K1686" s="323">
        <v>11.4</v>
      </c>
      <c r="L1686" s="323">
        <v>16.48</v>
      </c>
      <c r="N1686" s="318">
        <f t="shared" ref="N1686:N1748" si="323">J1686+K1686+L1686+M1686</f>
        <v>87.320000000000007</v>
      </c>
      <c r="O1686" s="81">
        <f>IFERROR(VLOOKUP($G1686,'321買'!A:E,3,0),"'沒有資料'")</f>
        <v>7</v>
      </c>
      <c r="P1686" s="380">
        <f>IFERROR(VLOOKUP($G1686,'321買'!$A:$G,7,0),"'沒有資料'")</f>
        <v>448</v>
      </c>
      <c r="R1686" s="297">
        <f>IFERROR(RANK(VLOOKUP($G1686,連買!$A:$D,4,0),連買!$D:$D,0),"'沒有資料'")</f>
        <v>992</v>
      </c>
      <c r="S1686" s="34">
        <v>0.3</v>
      </c>
      <c r="T1686" s="353">
        <f t="shared" si="318"/>
        <v>1.8867924528301886E-2</v>
      </c>
      <c r="U1686" s="95">
        <v>0.11</v>
      </c>
      <c r="V1686" s="36">
        <f>RTD("money.excel",,"2312","Price")</f>
        <v>15.9</v>
      </c>
      <c r="W1686" s="66"/>
      <c r="X1686" s="15">
        <f t="shared" si="319"/>
        <v>15.9</v>
      </c>
      <c r="Y1686" s="3" t="e">
        <f t="shared" si="320"/>
        <v>#DIV/0!</v>
      </c>
      <c r="Z1686" s="413" t="s">
        <v>1801</v>
      </c>
      <c r="AA1686" s="161">
        <v>0</v>
      </c>
      <c r="AB1686" s="409">
        <v>0</v>
      </c>
      <c r="AC1686" s="259">
        <f t="shared" si="311"/>
        <v>0</v>
      </c>
      <c r="AD1686" s="22" t="s">
        <v>493</v>
      </c>
      <c r="AG1686" s="33">
        <f t="shared" si="321"/>
        <v>0</v>
      </c>
      <c r="AH1686" s="43" t="s">
        <v>2070</v>
      </c>
      <c r="AI1686" s="63">
        <f t="shared" si="322"/>
        <v>1.1776712328767123E-2</v>
      </c>
      <c r="AJ1686" s="307">
        <f>RTD("money.excel",,$G1686,"PredictVolume")</f>
        <v>17194</v>
      </c>
      <c r="AK1686" s="339"/>
    </row>
    <row r="1687" spans="1:37">
      <c r="A1687" s="416">
        <v>1386</v>
      </c>
      <c r="B1687" s="79">
        <v>34</v>
      </c>
      <c r="C1687" s="79">
        <v>34</v>
      </c>
      <c r="D1687" s="79">
        <v>11</v>
      </c>
      <c r="E1687" s="79">
        <v>15</v>
      </c>
      <c r="F1687" s="6">
        <v>2.4900000000000002</v>
      </c>
      <c r="G1687" s="79">
        <v>2317</v>
      </c>
      <c r="H1687" s="17" t="s">
        <v>316</v>
      </c>
      <c r="I1687" s="22" t="s">
        <v>4</v>
      </c>
      <c r="J1687" s="326">
        <v>72.34</v>
      </c>
      <c r="K1687" s="323">
        <v>46.31</v>
      </c>
      <c r="L1687" s="323">
        <v>1.47</v>
      </c>
      <c r="M1687" s="73">
        <v>12.64</v>
      </c>
      <c r="N1687" s="73">
        <f t="shared" si="323"/>
        <v>132.76</v>
      </c>
      <c r="O1687" s="81">
        <f>IFERROR(VLOOKUP($G1687,'321買'!A:E,3,0),"'沒有資料'")</f>
        <v>0</v>
      </c>
      <c r="P1687" s="380">
        <f>IFERROR(VLOOKUP($G1687,'321買'!$A:$G,7,0),"'沒有資料'")</f>
        <v>911</v>
      </c>
      <c r="Q1687" s="245" t="s">
        <v>3816</v>
      </c>
      <c r="R1687" s="297">
        <f>IFERROR(RANK(VLOOKUP($G1687,連買!$A:$D,4,0),連買!$D:$D,0),"'沒有資料'")</f>
        <v>173</v>
      </c>
      <c r="S1687" s="6">
        <v>5.2</v>
      </c>
      <c r="T1687" s="353">
        <f t="shared" si="318"/>
        <v>0.05</v>
      </c>
      <c r="U1687" s="57">
        <v>10.050000000000001</v>
      </c>
      <c r="V1687" s="13">
        <f>RTD("money.excel",,"2317","Price")</f>
        <v>104</v>
      </c>
      <c r="W1687" s="65"/>
      <c r="X1687" s="15">
        <f t="shared" si="319"/>
        <v>104</v>
      </c>
      <c r="Y1687" s="3" t="e">
        <f t="shared" si="320"/>
        <v>#DIV/0!</v>
      </c>
      <c r="Z1687" s="413" t="s">
        <v>8612</v>
      </c>
      <c r="AA1687" s="161">
        <v>0</v>
      </c>
      <c r="AB1687" s="409">
        <v>0</v>
      </c>
      <c r="AC1687" s="259">
        <f t="shared" si="311"/>
        <v>0</v>
      </c>
      <c r="AD1687" s="22" t="s">
        <v>4</v>
      </c>
      <c r="AG1687" s="33">
        <f t="shared" si="321"/>
        <v>0</v>
      </c>
      <c r="AH1687" s="43" t="s">
        <v>2747</v>
      </c>
      <c r="AI1687" s="63">
        <f t="shared" si="322"/>
        <v>6.4076479076479072E-4</v>
      </c>
      <c r="AJ1687" s="307">
        <f>RTD("money.excel",,$G1687,"PredictVolume")</f>
        <v>8881</v>
      </c>
      <c r="AK1687" s="339">
        <v>2.3199999999999998</v>
      </c>
    </row>
    <row r="1688" spans="1:37">
      <c r="A1688" s="416">
        <v>141</v>
      </c>
      <c r="B1688" s="80">
        <v>-33</v>
      </c>
      <c r="C1688" s="80">
        <v>-50</v>
      </c>
      <c r="D1688" s="79">
        <v>33</v>
      </c>
      <c r="E1688" s="79">
        <v>22</v>
      </c>
      <c r="F1688" s="6">
        <v>2.5</v>
      </c>
      <c r="G1688" s="79">
        <v>2354</v>
      </c>
      <c r="H1688" s="17" t="s">
        <v>316</v>
      </c>
      <c r="I1688" s="22" t="s">
        <v>5009</v>
      </c>
      <c r="J1688" s="323">
        <v>52.72</v>
      </c>
      <c r="K1688" s="323">
        <v>19.920000000000002</v>
      </c>
      <c r="L1688" s="73">
        <v>6.79</v>
      </c>
      <c r="N1688" s="318">
        <f t="shared" si="323"/>
        <v>79.430000000000007</v>
      </c>
      <c r="O1688" s="81">
        <f>IFERROR(VLOOKUP($G1688,'321買'!A:E,3,0),"'沒有資料'")</f>
        <v>0</v>
      </c>
      <c r="P1688" s="380">
        <f>IFERROR(VLOOKUP($G1688,'321買'!$A:$G,7,0),"'沒有資料'")</f>
        <v>911</v>
      </c>
      <c r="R1688" s="297">
        <f>IFERROR(RANK(VLOOKUP($G1688,連買!$A:$D,4,0),連買!$D:$D,0),"'沒有資料'")</f>
        <v>433</v>
      </c>
      <c r="S1688" s="34">
        <v>1.8</v>
      </c>
      <c r="T1688" s="353">
        <f t="shared" si="318"/>
        <v>2.9459901800327332E-2</v>
      </c>
      <c r="U1688" s="57">
        <v>3.34</v>
      </c>
      <c r="V1688" s="36">
        <f>RTD("money.excel",,"2354","Price")</f>
        <v>61.1</v>
      </c>
      <c r="W1688" s="66"/>
      <c r="X1688" s="15">
        <f t="shared" si="319"/>
        <v>61.1</v>
      </c>
      <c r="Y1688" s="3" t="e">
        <f t="shared" si="320"/>
        <v>#DIV/0!</v>
      </c>
      <c r="Z1688" s="413" t="s">
        <v>1801</v>
      </c>
      <c r="AA1688" s="161">
        <v>0</v>
      </c>
      <c r="AB1688" s="409">
        <v>0</v>
      </c>
      <c r="AC1688" s="259">
        <f t="shared" si="311"/>
        <v>0</v>
      </c>
      <c r="AD1688" s="22" t="s">
        <v>5009</v>
      </c>
      <c r="AG1688" s="33">
        <f t="shared" si="321"/>
        <v>0</v>
      </c>
      <c r="AH1688" s="120" t="s">
        <v>2484</v>
      </c>
      <c r="AI1688" s="63">
        <f t="shared" si="322"/>
        <v>8.3404255319148937E-4</v>
      </c>
      <c r="AJ1688" s="307">
        <f>RTD("money.excel",,$G1688,"PredictVolume")</f>
        <v>1176</v>
      </c>
      <c r="AK1688" s="339"/>
    </row>
    <row r="1689" spans="1:37">
      <c r="A1689" s="416">
        <v>17.100000000000001</v>
      </c>
      <c r="B1689" s="91">
        <v>-79</v>
      </c>
      <c r="C1689" s="91">
        <v>-129</v>
      </c>
      <c r="D1689" s="91">
        <v>-6</v>
      </c>
      <c r="E1689" s="91">
        <v>51</v>
      </c>
      <c r="F1689" s="6">
        <v>3.8</v>
      </c>
      <c r="G1689" s="79">
        <v>2359</v>
      </c>
      <c r="H1689" s="17" t="s">
        <v>316</v>
      </c>
      <c r="I1689" s="22" t="s">
        <v>494</v>
      </c>
      <c r="J1689" s="73">
        <v>50.5</v>
      </c>
      <c r="K1689" s="73">
        <v>3.12</v>
      </c>
      <c r="L1689" s="73">
        <v>17.13</v>
      </c>
      <c r="N1689" s="318">
        <f t="shared" si="323"/>
        <v>70.75</v>
      </c>
      <c r="O1689" s="81">
        <f>IFERROR(VLOOKUP($G1689,'321買'!A:E,3,0),"'沒有資料'")</f>
        <v>10</v>
      </c>
      <c r="P1689" s="380">
        <f>IFERROR(VLOOKUP($G1689,'321買'!$A:$G,7,0),"'沒有資料'")</f>
        <v>408</v>
      </c>
      <c r="R1689" s="297">
        <f>IFERROR(RANK(VLOOKUP($G1689,連買!$A:$D,4,0),連買!$D:$D,0),"'沒有資料'")</f>
        <v>854</v>
      </c>
      <c r="S1689" s="34">
        <v>0.5</v>
      </c>
      <c r="T1689" s="353">
        <f t="shared" si="318"/>
        <v>2.0202020202020204E-2</v>
      </c>
      <c r="U1689" s="95">
        <v>0.12</v>
      </c>
      <c r="V1689" s="13">
        <f>RTD("money.excel",,"2359","Price")</f>
        <v>24.75</v>
      </c>
      <c r="W1689" s="66"/>
      <c r="X1689" s="15">
        <f t="shared" si="319"/>
        <v>24.75</v>
      </c>
      <c r="Y1689" s="3" t="e">
        <f t="shared" si="320"/>
        <v>#DIV/0!</v>
      </c>
      <c r="AA1689" s="161">
        <v>0</v>
      </c>
      <c r="AB1689" s="409">
        <v>0</v>
      </c>
      <c r="AC1689" s="259">
        <f t="shared" si="311"/>
        <v>0</v>
      </c>
      <c r="AD1689" s="22" t="s">
        <v>494</v>
      </c>
      <c r="AG1689" s="33">
        <f t="shared" si="321"/>
        <v>0</v>
      </c>
      <c r="AH1689" s="43" t="s">
        <v>1048</v>
      </c>
      <c r="AI1689" s="63">
        <f t="shared" si="322"/>
        <v>1.66140350877193E-2</v>
      </c>
      <c r="AJ1689" s="307">
        <f>RTD("money.excel",,$G1689,"PredictVolume")</f>
        <v>2841</v>
      </c>
      <c r="AK1689" s="339"/>
    </row>
    <row r="1690" spans="1:37">
      <c r="A1690" s="415">
        <v>42.1</v>
      </c>
      <c r="B1690" s="79">
        <v>365</v>
      </c>
      <c r="C1690" s="79">
        <v>62</v>
      </c>
      <c r="D1690" s="80">
        <v>-11</v>
      </c>
      <c r="E1690" s="80">
        <v>-11</v>
      </c>
      <c r="F1690" s="57">
        <v>20.81</v>
      </c>
      <c r="G1690" s="79">
        <v>2360</v>
      </c>
      <c r="H1690" s="8" t="s">
        <v>316</v>
      </c>
      <c r="I1690" s="22" t="s">
        <v>44</v>
      </c>
      <c r="J1690" s="323">
        <v>75.64</v>
      </c>
      <c r="K1690" s="73">
        <v>69.83</v>
      </c>
      <c r="L1690" s="73">
        <v>0.73</v>
      </c>
      <c r="N1690" s="318">
        <f t="shared" si="323"/>
        <v>146.19999999999999</v>
      </c>
      <c r="O1690" s="81">
        <f>IFERROR(VLOOKUP($G1690,'321買'!A:E,3,0),"'沒有資料'")</f>
        <v>1</v>
      </c>
      <c r="P1690" s="380">
        <f>IFERROR(VLOOKUP($G1690,'321買'!$A:$G,7,0),"'沒有資料'")</f>
        <v>783</v>
      </c>
      <c r="R1690" s="297">
        <f>IFERROR(RANK(VLOOKUP($G1690,連買!$A:$D,4,0),連買!$D:$D,0),"'沒有資料'")</f>
        <v>104</v>
      </c>
      <c r="S1690" s="66">
        <v>4.5</v>
      </c>
      <c r="T1690" s="353">
        <f t="shared" si="318"/>
        <v>2.6548672566371681E-2</v>
      </c>
      <c r="U1690" s="57">
        <v>9.81</v>
      </c>
      <c r="V1690" s="13">
        <f>RTD("money.excel",,"2360","Price")</f>
        <v>169.5</v>
      </c>
      <c r="W1690" s="66"/>
      <c r="X1690" s="15">
        <f t="shared" si="319"/>
        <v>169.5</v>
      </c>
      <c r="Y1690" s="3" t="e">
        <f t="shared" si="320"/>
        <v>#DIV/0!</v>
      </c>
      <c r="Z1690" s="413" t="s">
        <v>1997</v>
      </c>
      <c r="AA1690" s="161">
        <v>0</v>
      </c>
      <c r="AB1690" s="409">
        <v>0</v>
      </c>
      <c r="AC1690" s="259">
        <f t="shared" si="311"/>
        <v>0</v>
      </c>
      <c r="AD1690" s="22" t="s">
        <v>44</v>
      </c>
      <c r="AG1690" s="33">
        <f t="shared" si="321"/>
        <v>0</v>
      </c>
      <c r="AH1690" s="120" t="s">
        <v>3278</v>
      </c>
      <c r="AI1690" s="63">
        <f t="shared" si="322"/>
        <v>1.0807600950118765E-3</v>
      </c>
      <c r="AJ1690" s="307">
        <f>RTD("money.excel",,$G1690,"PredictVolume")</f>
        <v>455</v>
      </c>
      <c r="AK1690" s="339"/>
    </row>
    <row r="1691" spans="1:37">
      <c r="A1691" s="416">
        <v>23.6</v>
      </c>
      <c r="B1691" s="80">
        <v>-21</v>
      </c>
      <c r="C1691" s="80">
        <v>-20</v>
      </c>
      <c r="D1691" s="80">
        <v>-1</v>
      </c>
      <c r="E1691" s="80">
        <v>-2</v>
      </c>
      <c r="F1691" s="6">
        <v>8.5299999999999994</v>
      </c>
      <c r="G1691" s="79">
        <v>2373</v>
      </c>
      <c r="H1691" s="8" t="s">
        <v>316</v>
      </c>
      <c r="I1691" s="23" t="s">
        <v>248</v>
      </c>
      <c r="J1691" s="73">
        <v>90.27</v>
      </c>
      <c r="K1691" s="323">
        <v>1.75</v>
      </c>
      <c r="L1691" s="73">
        <v>0.11</v>
      </c>
      <c r="N1691" s="318">
        <f t="shared" si="323"/>
        <v>92.13</v>
      </c>
      <c r="O1691" s="81">
        <f>IFERROR(VLOOKUP($G1691,'321買'!A:E,3,0),"'沒有資料'")</f>
        <v>0</v>
      </c>
      <c r="P1691" s="380">
        <f>IFERROR(VLOOKUP($G1691,'321買'!$A:$G,7,0),"'沒有資料'")</f>
        <v>911</v>
      </c>
      <c r="R1691" s="297">
        <f>IFERROR(RANK(VLOOKUP($G1691,連買!$A:$D,4,0),連買!$D:$D,0),"'沒有資料'")</f>
        <v>721</v>
      </c>
      <c r="S1691" s="66">
        <v>6</v>
      </c>
      <c r="T1691" s="353">
        <f t="shared" si="318"/>
        <v>6.5502183406113537E-2</v>
      </c>
      <c r="U1691" s="95">
        <v>6.4</v>
      </c>
      <c r="V1691" s="36">
        <f>RTD("money.excel",,"2373","Price")</f>
        <v>91.6</v>
      </c>
      <c r="W1691" s="66"/>
      <c r="X1691" s="15">
        <f t="shared" si="319"/>
        <v>91.6</v>
      </c>
      <c r="Y1691" s="3" t="e">
        <f t="shared" si="320"/>
        <v>#DIV/0!</v>
      </c>
      <c r="Z1691" s="413" t="s">
        <v>1997</v>
      </c>
      <c r="AA1691" s="161">
        <v>0</v>
      </c>
      <c r="AB1691" s="409">
        <v>0</v>
      </c>
      <c r="AC1691" s="259">
        <f t="shared" si="311"/>
        <v>0</v>
      </c>
      <c r="AD1691" s="23" t="s">
        <v>248</v>
      </c>
      <c r="AG1691" s="33">
        <f t="shared" si="321"/>
        <v>0</v>
      </c>
      <c r="AH1691" s="122" t="s">
        <v>2748</v>
      </c>
      <c r="AI1691" s="63">
        <f t="shared" si="322"/>
        <v>4.2372881355932206E-5</v>
      </c>
      <c r="AJ1691" s="307">
        <f>RTD("money.excel",,$G1691,"PredictVolume")</f>
        <v>10</v>
      </c>
      <c r="AK1691" s="339"/>
    </row>
    <row r="1692" spans="1:37">
      <c r="A1692" s="416">
        <v>21.4</v>
      </c>
      <c r="B1692" s="79">
        <v>621</v>
      </c>
      <c r="C1692" s="80">
        <v>-51</v>
      </c>
      <c r="D1692" s="79">
        <v>7</v>
      </c>
      <c r="E1692" s="79">
        <v>6</v>
      </c>
      <c r="F1692" s="6">
        <v>-29.21</v>
      </c>
      <c r="G1692" s="79">
        <v>2390</v>
      </c>
      <c r="H1692" s="8" t="s">
        <v>316</v>
      </c>
      <c r="I1692" s="22" t="s">
        <v>495</v>
      </c>
      <c r="J1692" s="73">
        <v>34.29</v>
      </c>
      <c r="K1692" s="73">
        <v>2.1</v>
      </c>
      <c r="L1692" s="73">
        <v>25.99</v>
      </c>
      <c r="M1692" s="323">
        <v>29.3</v>
      </c>
      <c r="N1692" s="318">
        <f t="shared" si="323"/>
        <v>91.679999999999993</v>
      </c>
      <c r="O1692" s="81">
        <f>IFERROR(VLOOKUP($G1692,'321買'!A:E,3,0),"'沒有資料'")</f>
        <v>23</v>
      </c>
      <c r="P1692" s="380">
        <f>IFERROR(VLOOKUP($G1692,'321買'!$A:$G,7,0),"'沒有資料'")</f>
        <v>222</v>
      </c>
      <c r="Q1692" s="245" t="s">
        <v>3815</v>
      </c>
      <c r="R1692" s="297">
        <f>IFERROR(RANK(VLOOKUP($G1692,連買!$A:$D,4,0),連買!$D:$D,0),"'沒有資料'")</f>
        <v>821</v>
      </c>
      <c r="S1692" s="34">
        <v>0</v>
      </c>
      <c r="T1692" s="353">
        <f t="shared" si="318"/>
        <v>0</v>
      </c>
      <c r="U1692" s="95">
        <v>6.38</v>
      </c>
      <c r="V1692" s="36">
        <f>RTD("money.excel",,"2390","Price")</f>
        <v>20.85</v>
      </c>
      <c r="W1692" s="66"/>
      <c r="X1692" s="15">
        <f t="shared" si="319"/>
        <v>20.85</v>
      </c>
      <c r="Y1692" s="3" t="e">
        <f t="shared" si="320"/>
        <v>#DIV/0!</v>
      </c>
      <c r="AA1692" s="161">
        <v>0</v>
      </c>
      <c r="AB1692" s="409">
        <v>0</v>
      </c>
      <c r="AC1692" s="259">
        <f t="shared" si="311"/>
        <v>0</v>
      </c>
      <c r="AD1692" s="22" t="s">
        <v>495</v>
      </c>
      <c r="AG1692" s="33">
        <f t="shared" si="321"/>
        <v>0</v>
      </c>
      <c r="AH1692" s="43" t="s">
        <v>2749</v>
      </c>
      <c r="AI1692" s="63">
        <f t="shared" si="322"/>
        <v>1.3168224299065421E-2</v>
      </c>
      <c r="AJ1692" s="307">
        <f>RTD("money.excel",,$G1692,"PredictVolume")</f>
        <v>2818</v>
      </c>
      <c r="AK1692" s="339"/>
    </row>
    <row r="1693" spans="1:37">
      <c r="A1693" s="415">
        <v>19</v>
      </c>
      <c r="B1693" s="80">
        <v>-37</v>
      </c>
      <c r="C1693" s="80">
        <v>-40</v>
      </c>
      <c r="D1693" s="80">
        <v>-24</v>
      </c>
      <c r="E1693" s="79">
        <v>17</v>
      </c>
      <c r="F1693" s="57">
        <v>12.63</v>
      </c>
      <c r="G1693" s="79">
        <v>2404</v>
      </c>
      <c r="H1693" s="8" t="s">
        <v>316</v>
      </c>
      <c r="I1693" s="22" t="s">
        <v>496</v>
      </c>
      <c r="J1693" s="323">
        <v>32.520000000000003</v>
      </c>
      <c r="K1693" s="323">
        <v>27.52</v>
      </c>
      <c r="L1693" s="323">
        <v>6.13</v>
      </c>
      <c r="M1693" s="323">
        <v>9.1</v>
      </c>
      <c r="N1693" s="318">
        <f t="shared" si="323"/>
        <v>75.27</v>
      </c>
      <c r="O1693" s="81">
        <f>IFERROR(VLOOKUP($G1693,'321買'!A:E,3,0),"'沒有資料'")</f>
        <v>6</v>
      </c>
      <c r="P1693" s="380">
        <f>IFERROR(VLOOKUP($G1693,'321買'!$A:$G,7,0),"'沒有資料'")</f>
        <v>521</v>
      </c>
      <c r="Q1693" s="245" t="s">
        <v>3817</v>
      </c>
      <c r="R1693" s="297">
        <f>IFERROR(RANK(VLOOKUP($G1693,連買!$A:$D,4,0),連買!$D:$D,0),"'沒有資料'")</f>
        <v>143</v>
      </c>
      <c r="S1693" s="66">
        <v>17</v>
      </c>
      <c r="T1693" s="353">
        <f t="shared" si="318"/>
        <v>9.4707520891364902E-2</v>
      </c>
      <c r="U1693" s="95">
        <v>14.98</v>
      </c>
      <c r="V1693" s="36">
        <f>RTD("money.excel",,"2404","Price")</f>
        <v>179.5</v>
      </c>
      <c r="W1693" s="66"/>
      <c r="X1693" s="15">
        <f t="shared" si="319"/>
        <v>179.5</v>
      </c>
      <c r="Y1693" s="3" t="e">
        <f t="shared" si="320"/>
        <v>#DIV/0!</v>
      </c>
      <c r="Z1693" s="413" t="s">
        <v>1997</v>
      </c>
      <c r="AA1693" s="161">
        <v>0</v>
      </c>
      <c r="AB1693" s="409">
        <v>0</v>
      </c>
      <c r="AC1693" s="259">
        <f t="shared" si="311"/>
        <v>0</v>
      </c>
      <c r="AD1693" s="22" t="s">
        <v>496</v>
      </c>
      <c r="AG1693" s="33">
        <f t="shared" si="321"/>
        <v>0</v>
      </c>
      <c r="AH1693" s="43" t="s">
        <v>1451</v>
      </c>
      <c r="AI1693" s="63">
        <f t="shared" si="322"/>
        <v>1.9684210526315789E-3</v>
      </c>
      <c r="AJ1693" s="307">
        <f>RTD("money.excel",,$G1693,"PredictVolume")</f>
        <v>374</v>
      </c>
      <c r="AK1693" s="339">
        <v>4.53</v>
      </c>
    </row>
    <row r="1694" spans="1:37">
      <c r="A1694" s="415">
        <v>14.5</v>
      </c>
      <c r="B1694" s="91">
        <v>-38</v>
      </c>
      <c r="C1694" s="91">
        <v>-29</v>
      </c>
      <c r="D1694" s="91">
        <v>-29</v>
      </c>
      <c r="E1694" s="91">
        <v>24</v>
      </c>
      <c r="F1694" s="57">
        <v>15.23</v>
      </c>
      <c r="G1694" s="79">
        <v>2423</v>
      </c>
      <c r="H1694" s="8" t="s">
        <v>316</v>
      </c>
      <c r="I1694" s="22" t="s">
        <v>497</v>
      </c>
      <c r="J1694" s="73">
        <v>70.41</v>
      </c>
      <c r="K1694" s="73">
        <v>2.17</v>
      </c>
      <c r="L1694" s="73">
        <v>1.69</v>
      </c>
      <c r="N1694" s="318">
        <f t="shared" si="323"/>
        <v>74.27</v>
      </c>
      <c r="O1694" s="81">
        <f>IFERROR(VLOOKUP($G1694,'321買'!A:E,3,0),"'沒有資料'")</f>
        <v>0</v>
      </c>
      <c r="P1694" s="380">
        <f>IFERROR(VLOOKUP($G1694,'321買'!$A:$G,7,0),"'沒有資料'")</f>
        <v>911</v>
      </c>
      <c r="R1694" s="297">
        <f>IFERROR(RANK(VLOOKUP($G1694,連買!$A:$D,4,0),連買!$D:$D,0),"'沒有資料'")</f>
        <v>733</v>
      </c>
      <c r="S1694" s="34">
        <v>1.2</v>
      </c>
      <c r="T1694" s="353">
        <f t="shared" si="318"/>
        <v>4.1811846689895467E-2</v>
      </c>
      <c r="U1694" s="95">
        <v>1.37</v>
      </c>
      <c r="V1694" s="13">
        <f>RTD("money.excel",,"2423","Price")</f>
        <v>28.7</v>
      </c>
      <c r="W1694" s="66"/>
      <c r="X1694" s="15">
        <f t="shared" si="319"/>
        <v>28.7</v>
      </c>
      <c r="Y1694" s="3" t="e">
        <f t="shared" si="320"/>
        <v>#DIV/0!</v>
      </c>
      <c r="AA1694" s="161">
        <v>0</v>
      </c>
      <c r="AB1694" s="409">
        <v>0</v>
      </c>
      <c r="AC1694" s="259">
        <f t="shared" si="311"/>
        <v>0</v>
      </c>
      <c r="AD1694" s="22" t="s">
        <v>497</v>
      </c>
      <c r="AG1694" s="33">
        <f t="shared" si="321"/>
        <v>0</v>
      </c>
      <c r="AH1694" s="43" t="s">
        <v>2750</v>
      </c>
      <c r="AI1694" s="63">
        <f t="shared" si="322"/>
        <v>1.8482758620689656E-3</v>
      </c>
      <c r="AJ1694" s="307">
        <f>RTD("money.excel",,$G1694,"PredictVolume")</f>
        <v>268</v>
      </c>
      <c r="AK1694" s="339"/>
    </row>
    <row r="1695" spans="1:37">
      <c r="A1695" s="415">
        <v>14.4</v>
      </c>
      <c r="B1695" s="80">
        <v>-22</v>
      </c>
      <c r="C1695" s="80">
        <v>-25</v>
      </c>
      <c r="D1695" s="79">
        <v>4</v>
      </c>
      <c r="E1695" s="80">
        <v>-7</v>
      </c>
      <c r="F1695" s="57">
        <v>13.08</v>
      </c>
      <c r="G1695" s="79">
        <v>2433</v>
      </c>
      <c r="H1695" s="8" t="s">
        <v>316</v>
      </c>
      <c r="I1695" s="22" t="s">
        <v>498</v>
      </c>
      <c r="J1695" s="73">
        <v>79.45</v>
      </c>
      <c r="K1695" s="73">
        <v>0.97</v>
      </c>
      <c r="L1695" s="323">
        <v>0.27</v>
      </c>
      <c r="N1695" s="318">
        <f t="shared" si="323"/>
        <v>80.69</v>
      </c>
      <c r="O1695" s="81">
        <f>IFERROR(VLOOKUP($G1695,'321買'!A:E,3,0),"'沒有資料'")</f>
        <v>0</v>
      </c>
      <c r="P1695" s="380">
        <f>IFERROR(VLOOKUP($G1695,'321買'!$A:$G,7,0),"'沒有資料'")</f>
        <v>911</v>
      </c>
      <c r="R1695" s="297">
        <f>IFERROR(RANK(VLOOKUP($G1695,連買!$A:$D,4,0),連買!$D:$D,0),"'沒有資料'")</f>
        <v>1203</v>
      </c>
      <c r="S1695" s="66">
        <v>3.6</v>
      </c>
      <c r="T1695" s="353">
        <f t="shared" si="318"/>
        <v>6.9230769230769235E-2</v>
      </c>
      <c r="U1695" s="95">
        <v>3.93</v>
      </c>
      <c r="V1695" s="36">
        <f>RTD("money.excel",,"2433","Price")</f>
        <v>52</v>
      </c>
      <c r="W1695" s="66"/>
      <c r="X1695" s="15">
        <f t="shared" si="319"/>
        <v>52</v>
      </c>
      <c r="Y1695" s="3" t="e">
        <f t="shared" si="320"/>
        <v>#DIV/0!</v>
      </c>
      <c r="Z1695" s="413" t="s">
        <v>1831</v>
      </c>
      <c r="AA1695" s="161">
        <v>0</v>
      </c>
      <c r="AB1695" s="409">
        <v>0</v>
      </c>
      <c r="AC1695" s="259">
        <f t="shared" si="311"/>
        <v>0</v>
      </c>
      <c r="AD1695" s="22" t="s">
        <v>498</v>
      </c>
      <c r="AG1695" s="33">
        <f t="shared" si="321"/>
        <v>0</v>
      </c>
      <c r="AH1695" s="43" t="s">
        <v>2751</v>
      </c>
      <c r="AI1695" s="63">
        <f t="shared" si="322"/>
        <v>1.1805555555555556E-4</v>
      </c>
      <c r="AJ1695" s="307">
        <f>RTD("money.excel",,$G1695,"PredictVolume")</f>
        <v>17</v>
      </c>
      <c r="AK1695" s="339"/>
    </row>
    <row r="1696" spans="1:37">
      <c r="A1696" s="416">
        <v>16.399999999999999</v>
      </c>
      <c r="B1696" s="79">
        <v>179</v>
      </c>
      <c r="C1696" s="79">
        <v>25</v>
      </c>
      <c r="D1696" s="79">
        <v>5</v>
      </c>
      <c r="E1696" s="79">
        <v>14</v>
      </c>
      <c r="F1696" s="6">
        <v>5.08</v>
      </c>
      <c r="G1696" s="79">
        <v>2461</v>
      </c>
      <c r="H1696" s="8" t="s">
        <v>316</v>
      </c>
      <c r="I1696" s="22" t="s">
        <v>499</v>
      </c>
      <c r="J1696" s="323">
        <v>31.85</v>
      </c>
      <c r="K1696" s="323">
        <v>7.42</v>
      </c>
      <c r="L1696" s="73">
        <v>30.01</v>
      </c>
      <c r="M1696" s="323">
        <v>8.23</v>
      </c>
      <c r="N1696" s="318">
        <f t="shared" si="323"/>
        <v>77.510000000000005</v>
      </c>
      <c r="O1696" s="81">
        <f>IFERROR(VLOOKUP($G1696,'321買'!A:E,3,0),"'沒有資料'")</f>
        <v>21</v>
      </c>
      <c r="P1696" s="380">
        <f>IFERROR(VLOOKUP($G1696,'321買'!$A:$G,7,0),"'沒有資料'")</f>
        <v>258</v>
      </c>
      <c r="Q1696" s="245" t="s">
        <v>3816</v>
      </c>
      <c r="R1696" s="297">
        <f>IFERROR(RANK(VLOOKUP($G1696,連買!$A:$D,4,0),連買!$D:$D,0),"'沒有資料'")</f>
        <v>737</v>
      </c>
      <c r="S1696" s="34">
        <v>0.54</v>
      </c>
      <c r="T1696" s="353">
        <f t="shared" si="318"/>
        <v>2.4489795918367349E-2</v>
      </c>
      <c r="U1696" s="95">
        <v>2.62</v>
      </c>
      <c r="V1696" s="36">
        <f>RTD("money.excel",,"2461","Price")</f>
        <v>22.05</v>
      </c>
      <c r="W1696" s="66"/>
      <c r="X1696" s="15">
        <f t="shared" si="319"/>
        <v>22.05</v>
      </c>
      <c r="Y1696" s="3" t="e">
        <f t="shared" si="320"/>
        <v>#DIV/0!</v>
      </c>
      <c r="AA1696" s="161">
        <v>0</v>
      </c>
      <c r="AB1696" s="409">
        <v>0</v>
      </c>
      <c r="AC1696" s="259">
        <f t="shared" si="311"/>
        <v>0</v>
      </c>
      <c r="AD1696" s="22" t="s">
        <v>499</v>
      </c>
      <c r="AG1696" s="33">
        <f t="shared" si="321"/>
        <v>0</v>
      </c>
      <c r="AH1696" s="43" t="s">
        <v>2752</v>
      </c>
      <c r="AI1696" s="63">
        <f t="shared" si="322"/>
        <v>2.8048780487804877E-3</v>
      </c>
      <c r="AJ1696" s="307">
        <f>RTD("money.excel",,$G1696,"PredictVolume")</f>
        <v>460</v>
      </c>
      <c r="AK1696" s="339"/>
    </row>
    <row r="1697" spans="1:37">
      <c r="A1697" s="416">
        <v>19.5</v>
      </c>
      <c r="B1697" s="80">
        <v>-32</v>
      </c>
      <c r="C1697" s="80">
        <v>-32</v>
      </c>
      <c r="D1697" s="79">
        <v>1</v>
      </c>
      <c r="E1697" s="80">
        <v>-14</v>
      </c>
      <c r="F1697" s="6">
        <v>7.42</v>
      </c>
      <c r="G1697" s="79">
        <v>2464</v>
      </c>
      <c r="H1697" s="8" t="s">
        <v>316</v>
      </c>
      <c r="I1697" s="22" t="s">
        <v>500</v>
      </c>
      <c r="J1697" s="73">
        <v>25.49</v>
      </c>
      <c r="K1697" s="73">
        <v>5.29</v>
      </c>
      <c r="L1697" s="73">
        <v>10.1</v>
      </c>
      <c r="N1697" s="318">
        <f t="shared" si="323"/>
        <v>40.879999999999995</v>
      </c>
      <c r="O1697" s="81">
        <f>IFERROR(VLOOKUP($G1697,'321買'!A:E,3,0),"'沒有資料'")</f>
        <v>0</v>
      </c>
      <c r="P1697" s="380">
        <f>IFERROR(VLOOKUP($G1697,'321買'!$A:$G,7,0),"'沒有資料'")</f>
        <v>911</v>
      </c>
      <c r="R1697" s="297">
        <f>IFERROR(RANK(VLOOKUP($G1697,連買!$A:$D,4,0),連買!$D:$D,0),"'沒有資料'")</f>
        <v>443</v>
      </c>
      <c r="S1697" s="34">
        <v>2</v>
      </c>
      <c r="T1697" s="353">
        <f t="shared" si="318"/>
        <v>4.878048780487805E-2</v>
      </c>
      <c r="U1697" s="95">
        <v>2.63</v>
      </c>
      <c r="V1697" s="36">
        <f>RTD("money.excel",,"2464","Price")</f>
        <v>41</v>
      </c>
      <c r="W1697" s="66"/>
      <c r="X1697" s="15">
        <f t="shared" si="319"/>
        <v>41</v>
      </c>
      <c r="Y1697" s="3" t="e">
        <f t="shared" si="320"/>
        <v>#DIV/0!</v>
      </c>
      <c r="Z1697" s="413" t="s">
        <v>1801</v>
      </c>
      <c r="AA1697" s="161">
        <v>0</v>
      </c>
      <c r="AB1697" s="409">
        <v>0</v>
      </c>
      <c r="AC1697" s="259">
        <f t="shared" si="311"/>
        <v>0</v>
      </c>
      <c r="AD1697" s="22" t="s">
        <v>500</v>
      </c>
      <c r="AG1697" s="33">
        <f t="shared" si="321"/>
        <v>0</v>
      </c>
      <c r="AH1697" s="43" t="s">
        <v>1443</v>
      </c>
      <c r="AI1697" s="63">
        <f t="shared" si="322"/>
        <v>2.2820512820512819E-3</v>
      </c>
      <c r="AJ1697" s="307">
        <f>RTD("money.excel",,$G1697,"PredictVolume")</f>
        <v>445</v>
      </c>
      <c r="AK1697" s="339"/>
    </row>
    <row r="1698" spans="1:37">
      <c r="A1698" s="415">
        <v>76.099999999999994</v>
      </c>
      <c r="B1698" s="80">
        <v>-28</v>
      </c>
      <c r="C1698" s="80">
        <v>-37</v>
      </c>
      <c r="D1698" s="80">
        <v>-10</v>
      </c>
      <c r="E1698" s="80">
        <v>-54</v>
      </c>
      <c r="F1698" s="57">
        <v>21.9</v>
      </c>
      <c r="G1698" s="79">
        <v>2474</v>
      </c>
      <c r="H1698" s="204" t="s">
        <v>316</v>
      </c>
      <c r="I1698" s="22" t="s">
        <v>275</v>
      </c>
      <c r="J1698" s="323">
        <v>57.84</v>
      </c>
      <c r="K1698" s="73">
        <v>47.52</v>
      </c>
      <c r="L1698" s="323">
        <v>5.51</v>
      </c>
      <c r="N1698" s="318">
        <f t="shared" si="323"/>
        <v>110.87000000000002</v>
      </c>
      <c r="O1698" s="81">
        <f>IFERROR(VLOOKUP($G1698,'321買'!A:E,3,0),"'沒有資料'")</f>
        <v>1</v>
      </c>
      <c r="P1698" s="380">
        <f>IFERROR(VLOOKUP($G1698,'321買'!$A:$G,7,0),"'沒有資料'")</f>
        <v>783</v>
      </c>
      <c r="Q1698" s="245" t="s">
        <v>3816</v>
      </c>
      <c r="R1698" s="297">
        <f>IFERROR(RANK(VLOOKUP($G1698,連買!$A:$D,4,0),連買!$D:$D,0),"'沒有資料'")</f>
        <v>1743</v>
      </c>
      <c r="S1698" s="66">
        <v>12</v>
      </c>
      <c r="T1698" s="353">
        <f t="shared" si="318"/>
        <v>8.2191780821917804E-2</v>
      </c>
      <c r="U1698" s="57">
        <v>25.03</v>
      </c>
      <c r="V1698" s="13">
        <f>RTD("money.excel",,"2474","Price")</f>
        <v>146</v>
      </c>
      <c r="W1698" s="66"/>
      <c r="X1698" s="15">
        <f t="shared" si="319"/>
        <v>146</v>
      </c>
      <c r="Y1698" s="3" t="e">
        <f t="shared" si="320"/>
        <v>#DIV/0!</v>
      </c>
      <c r="Z1698" s="413" t="s">
        <v>1997</v>
      </c>
      <c r="AA1698" s="161">
        <v>0</v>
      </c>
      <c r="AB1698" s="409">
        <v>0</v>
      </c>
      <c r="AC1698" s="259">
        <f t="shared" si="311"/>
        <v>0</v>
      </c>
      <c r="AD1698" s="22" t="s">
        <v>275</v>
      </c>
      <c r="AG1698" s="33">
        <f t="shared" si="321"/>
        <v>0</v>
      </c>
      <c r="AH1698" s="120" t="s">
        <v>2577</v>
      </c>
      <c r="AI1698" s="63">
        <f t="shared" si="322"/>
        <v>1.7030223390275953E-3</v>
      </c>
      <c r="AJ1698" s="307">
        <f>RTD("money.excel",,$G1698,"PredictVolume")</f>
        <v>1296</v>
      </c>
      <c r="AK1698" s="339"/>
    </row>
    <row r="1699" spans="1:37">
      <c r="A1699" s="416">
        <v>19.8</v>
      </c>
      <c r="B1699" s="91">
        <v>-52</v>
      </c>
      <c r="C1699" s="91">
        <v>-64</v>
      </c>
      <c r="D1699" s="91">
        <v>-4</v>
      </c>
      <c r="E1699" s="91">
        <v>7</v>
      </c>
      <c r="F1699" s="6">
        <v>4.71</v>
      </c>
      <c r="G1699" s="79">
        <v>2477</v>
      </c>
      <c r="H1699" s="8" t="s">
        <v>316</v>
      </c>
      <c r="I1699" s="22" t="s">
        <v>1077</v>
      </c>
      <c r="J1699" s="73">
        <v>79.849999999999994</v>
      </c>
      <c r="K1699" s="73">
        <v>22.93</v>
      </c>
      <c r="L1699" s="73">
        <v>11.15</v>
      </c>
      <c r="N1699" s="318">
        <f t="shared" si="323"/>
        <v>113.93</v>
      </c>
      <c r="O1699" s="81">
        <f>IFERROR(VLOOKUP($G1699,'321買'!A:E,3,0),"'沒有資料'")</f>
        <v>2</v>
      </c>
      <c r="P1699" s="380">
        <f>IFERROR(VLOOKUP($G1699,'321買'!$A:$G,7,0),"'沒有資料'")</f>
        <v>706</v>
      </c>
      <c r="R1699" s="297">
        <f>IFERROR(RANK(VLOOKUP($G1699,連買!$A:$D,4,0),連買!$D:$D,0),"'沒有資料'")</f>
        <v>476</v>
      </c>
      <c r="S1699" s="34">
        <v>1.45</v>
      </c>
      <c r="T1699" s="353">
        <f t="shared" si="318"/>
        <v>5.5984555984555984E-2</v>
      </c>
      <c r="U1699" s="95">
        <v>0.92</v>
      </c>
      <c r="V1699" s="13">
        <f>RTD("money.excel",,"2477","Price")</f>
        <v>25.9</v>
      </c>
      <c r="W1699" s="66"/>
      <c r="X1699" s="15">
        <f t="shared" si="319"/>
        <v>25.9</v>
      </c>
      <c r="Y1699" s="3" t="e">
        <f t="shared" si="320"/>
        <v>#DIV/0!</v>
      </c>
      <c r="AA1699" s="161">
        <v>0</v>
      </c>
      <c r="AB1699" s="409">
        <v>0</v>
      </c>
      <c r="AC1699" s="259">
        <f t="shared" si="311"/>
        <v>0</v>
      </c>
      <c r="AD1699" s="22" t="s">
        <v>1077</v>
      </c>
      <c r="AG1699" s="33">
        <f t="shared" si="321"/>
        <v>0</v>
      </c>
      <c r="AH1699" s="43" t="s">
        <v>2753</v>
      </c>
      <c r="AI1699" s="63">
        <f t="shared" si="322"/>
        <v>9.0404040404040405E-4</v>
      </c>
      <c r="AJ1699" s="307">
        <f>RTD("money.excel",,$G1699,"PredictVolume")</f>
        <v>179</v>
      </c>
      <c r="AK1699" s="339"/>
    </row>
    <row r="1700" spans="1:37">
      <c r="A1700" s="416">
        <v>6.21</v>
      </c>
      <c r="B1700" s="91">
        <v>-166</v>
      </c>
      <c r="C1700" s="91">
        <v>-180</v>
      </c>
      <c r="D1700" s="91">
        <v>58</v>
      </c>
      <c r="E1700" s="91">
        <v>-24</v>
      </c>
      <c r="F1700" s="6">
        <v>-1.05</v>
      </c>
      <c r="G1700" s="79">
        <v>2482</v>
      </c>
      <c r="H1700" s="8" t="s">
        <v>316</v>
      </c>
      <c r="I1700" s="22" t="s">
        <v>501</v>
      </c>
      <c r="J1700" s="73">
        <v>59.41</v>
      </c>
      <c r="K1700" s="73">
        <v>0.16</v>
      </c>
      <c r="L1700" s="73">
        <v>32.03</v>
      </c>
      <c r="N1700" s="318">
        <f t="shared" si="323"/>
        <v>91.6</v>
      </c>
      <c r="O1700" s="81">
        <f>IFERROR(VLOOKUP($G1700,'321買'!A:E,3,0),"'沒有資料'")</f>
        <v>8</v>
      </c>
      <c r="P1700" s="380">
        <f>IFERROR(VLOOKUP($G1700,'321買'!$A:$G,7,0),"'沒有資料'")</f>
        <v>448</v>
      </c>
      <c r="R1700" s="297">
        <f>IFERROR(RANK(VLOOKUP($G1700,連買!$A:$D,4,0),連買!$D:$D,0),"'沒有資料'")</f>
        <v>1120</v>
      </c>
      <c r="S1700" s="34">
        <v>0</v>
      </c>
      <c r="T1700" s="353">
        <f t="shared" si="318"/>
        <v>0</v>
      </c>
      <c r="U1700" s="95">
        <v>-0.5</v>
      </c>
      <c r="V1700" s="13">
        <f>RTD("money.excel",,"2482","Price")</f>
        <v>12.7</v>
      </c>
      <c r="W1700" s="66"/>
      <c r="X1700" s="15">
        <f t="shared" si="319"/>
        <v>12.7</v>
      </c>
      <c r="Y1700" s="3" t="e">
        <f t="shared" si="320"/>
        <v>#DIV/0!</v>
      </c>
      <c r="AA1700" s="161">
        <v>0</v>
      </c>
      <c r="AB1700" s="409">
        <v>0</v>
      </c>
      <c r="AC1700" s="259">
        <f t="shared" si="311"/>
        <v>0</v>
      </c>
      <c r="AD1700" s="22" t="s">
        <v>501</v>
      </c>
      <c r="AG1700" s="33">
        <f t="shared" si="321"/>
        <v>0</v>
      </c>
      <c r="AH1700" s="43" t="s">
        <v>2754</v>
      </c>
      <c r="AI1700" s="63">
        <f t="shared" si="322"/>
        <v>1.8196457326892109E-3</v>
      </c>
      <c r="AJ1700" s="307">
        <f>RTD("money.excel",,$G1700,"PredictVolume")</f>
        <v>113</v>
      </c>
      <c r="AK1700" s="339"/>
    </row>
    <row r="1701" spans="1:37">
      <c r="A1701" s="416">
        <v>8</v>
      </c>
      <c r="B1701" s="91">
        <v>-40</v>
      </c>
      <c r="C1701" s="91">
        <v>-47</v>
      </c>
      <c r="D1701" s="91">
        <v>-26</v>
      </c>
      <c r="E1701" s="91">
        <v>79</v>
      </c>
      <c r="F1701" s="6">
        <v>9.2100000000000009</v>
      </c>
      <c r="G1701" s="79">
        <v>2488</v>
      </c>
      <c r="H1701" s="8" t="s">
        <v>316</v>
      </c>
      <c r="I1701" s="22" t="s">
        <v>502</v>
      </c>
      <c r="J1701" s="323">
        <v>45.55</v>
      </c>
      <c r="K1701" s="323">
        <v>4.04</v>
      </c>
      <c r="L1701" s="323">
        <v>31.31</v>
      </c>
      <c r="N1701" s="318">
        <f t="shared" si="323"/>
        <v>80.899999999999991</v>
      </c>
      <c r="O1701" s="81">
        <f>IFERROR(VLOOKUP($G1701,'321買'!A:E,3,0),"'沒有資料'")</f>
        <v>0</v>
      </c>
      <c r="P1701" s="380">
        <f>IFERROR(VLOOKUP($G1701,'321買'!$A:$G,7,0),"'沒有資料'")</f>
        <v>911</v>
      </c>
      <c r="R1701" s="297">
        <f>IFERROR(RANK(VLOOKUP($G1701,連買!$A:$D,4,0),連買!$D:$D,0),"'沒有資料'")</f>
        <v>1605</v>
      </c>
      <c r="S1701" s="34">
        <v>1.5</v>
      </c>
      <c r="T1701" s="353">
        <f t="shared" si="318"/>
        <v>5.6925996204933584E-2</v>
      </c>
      <c r="U1701" s="95">
        <v>2.27</v>
      </c>
      <c r="V1701" s="36">
        <f>RTD("money.excel",,"2488","Price")</f>
        <v>26.35</v>
      </c>
      <c r="W1701" s="66"/>
      <c r="X1701" s="15">
        <f t="shared" si="319"/>
        <v>26.35</v>
      </c>
      <c r="Y1701" s="3" t="e">
        <f t="shared" si="320"/>
        <v>#DIV/0!</v>
      </c>
      <c r="AA1701" s="161">
        <v>0</v>
      </c>
      <c r="AB1701" s="409">
        <v>0</v>
      </c>
      <c r="AC1701" s="259">
        <f t="shared" si="311"/>
        <v>0</v>
      </c>
      <c r="AD1701" s="22" t="s">
        <v>502</v>
      </c>
      <c r="AG1701" s="33">
        <f t="shared" si="321"/>
        <v>0</v>
      </c>
      <c r="AH1701" s="43" t="s">
        <v>2755</v>
      </c>
      <c r="AI1701" s="63">
        <f t="shared" si="322"/>
        <v>2.9999999999999997E-4</v>
      </c>
      <c r="AJ1701" s="307">
        <f>RTD("money.excel",,$G1701,"PredictVolume")</f>
        <v>24</v>
      </c>
      <c r="AK1701" s="339"/>
    </row>
    <row r="1702" spans="1:37">
      <c r="A1702" s="416">
        <v>27.3</v>
      </c>
      <c r="B1702" s="79">
        <v>185</v>
      </c>
      <c r="C1702" s="79">
        <v>76</v>
      </c>
      <c r="D1702" s="79">
        <v>26</v>
      </c>
      <c r="E1702" s="79">
        <v>53</v>
      </c>
      <c r="F1702" s="6">
        <v>-1.04</v>
      </c>
      <c r="G1702" s="79">
        <v>2495</v>
      </c>
      <c r="H1702" s="8" t="s">
        <v>316</v>
      </c>
      <c r="I1702" s="22" t="s">
        <v>503</v>
      </c>
      <c r="J1702" s="73">
        <v>53.94</v>
      </c>
      <c r="K1702" s="73">
        <v>16.739999999999998</v>
      </c>
      <c r="L1702" s="73">
        <v>15.37</v>
      </c>
      <c r="M1702" s="323">
        <v>14.54</v>
      </c>
      <c r="N1702" s="318">
        <f t="shared" si="323"/>
        <v>100.59</v>
      </c>
      <c r="O1702" s="81">
        <f>IFERROR(VLOOKUP($G1702,'321買'!A:E,3,0),"'沒有資料'")</f>
        <v>2</v>
      </c>
      <c r="P1702" s="380">
        <f>IFERROR(VLOOKUP($G1702,'321買'!$A:$G,7,0),"'沒有資料'")</f>
        <v>706</v>
      </c>
      <c r="Q1702" s="245" t="s">
        <v>3815</v>
      </c>
      <c r="R1702" s="297">
        <f>IFERROR(RANK(VLOOKUP($G1702,連買!$A:$D,4,0),連買!$D:$D,0),"'沒有資料'")</f>
        <v>972</v>
      </c>
      <c r="S1702" s="34">
        <v>0.3</v>
      </c>
      <c r="T1702" s="353">
        <f t="shared" si="318"/>
        <v>1.935483870967742E-2</v>
      </c>
      <c r="U1702" s="57">
        <v>0.25</v>
      </c>
      <c r="V1702" s="36">
        <f>RTD("money.excel",,"2495","Price")</f>
        <v>15.5</v>
      </c>
      <c r="W1702" s="66"/>
      <c r="X1702" s="15">
        <f t="shared" si="319"/>
        <v>15.5</v>
      </c>
      <c r="Y1702" s="3" t="e">
        <f t="shared" si="320"/>
        <v>#DIV/0!</v>
      </c>
      <c r="Z1702" s="413" t="s">
        <v>1801</v>
      </c>
      <c r="AA1702" s="161">
        <v>0</v>
      </c>
      <c r="AB1702" s="409">
        <v>0</v>
      </c>
      <c r="AC1702" s="259">
        <f t="shared" si="311"/>
        <v>0</v>
      </c>
      <c r="AD1702" s="22" t="s">
        <v>503</v>
      </c>
      <c r="AG1702" s="33">
        <f t="shared" si="321"/>
        <v>0</v>
      </c>
      <c r="AH1702" s="43" t="s">
        <v>2756</v>
      </c>
      <c r="AI1702" s="63">
        <f t="shared" si="322"/>
        <v>1.8717948717948717E-3</v>
      </c>
      <c r="AJ1702" s="307">
        <f>RTD("money.excel",,$G1702,"PredictVolume")</f>
        <v>511</v>
      </c>
      <c r="AK1702" s="339"/>
    </row>
    <row r="1703" spans="1:37">
      <c r="A1703" s="416">
        <v>23.6</v>
      </c>
      <c r="B1703" s="91">
        <v>61</v>
      </c>
      <c r="C1703" s="91">
        <v>72</v>
      </c>
      <c r="D1703" s="91">
        <v>2</v>
      </c>
      <c r="E1703" s="91">
        <v>11</v>
      </c>
      <c r="F1703" s="6">
        <v>2.14</v>
      </c>
      <c r="G1703" s="79">
        <v>3018</v>
      </c>
      <c r="H1703" s="8" t="s">
        <v>316</v>
      </c>
      <c r="I1703" s="22" t="s">
        <v>504</v>
      </c>
      <c r="J1703" s="323">
        <v>56.16</v>
      </c>
      <c r="K1703" s="323">
        <v>2.17</v>
      </c>
      <c r="L1703" s="323">
        <v>25.98</v>
      </c>
      <c r="N1703" s="318">
        <f t="shared" si="323"/>
        <v>84.31</v>
      </c>
      <c r="O1703" s="81">
        <f>IFERROR(VLOOKUP($G1703,'321買'!A:E,3,0),"'沒有資料'")</f>
        <v>0</v>
      </c>
      <c r="P1703" s="380">
        <f>IFERROR(VLOOKUP($G1703,'321買'!$A:$G,7,0),"'沒有資料'")</f>
        <v>911</v>
      </c>
      <c r="R1703" s="297">
        <f>IFERROR(RANK(VLOOKUP($G1703,連買!$A:$D,4,0),連買!$D:$D,0),"'沒有資料'")</f>
        <v>1074</v>
      </c>
      <c r="S1703" s="34">
        <v>0</v>
      </c>
      <c r="T1703" s="353">
        <f t="shared" si="318"/>
        <v>0</v>
      </c>
      <c r="U1703" s="95">
        <v>-0.8</v>
      </c>
      <c r="V1703" s="13">
        <f>RTD("money.excel",,"3018","Price")</f>
        <v>18.95</v>
      </c>
      <c r="W1703" s="66"/>
      <c r="X1703" s="15">
        <f t="shared" si="319"/>
        <v>18.95</v>
      </c>
      <c r="Y1703" s="3" t="e">
        <f t="shared" si="320"/>
        <v>#DIV/0!</v>
      </c>
      <c r="AA1703" s="161">
        <v>0</v>
      </c>
      <c r="AB1703" s="409">
        <v>0</v>
      </c>
      <c r="AC1703" s="259">
        <f t="shared" si="311"/>
        <v>0</v>
      </c>
      <c r="AD1703" s="22" t="s">
        <v>504</v>
      </c>
      <c r="AG1703" s="33">
        <f t="shared" si="321"/>
        <v>0</v>
      </c>
      <c r="AH1703" s="43" t="s">
        <v>2757</v>
      </c>
      <c r="AI1703" s="63">
        <f t="shared" si="322"/>
        <v>2.9703389830508476E-3</v>
      </c>
      <c r="AJ1703" s="307">
        <f>RTD("money.excel",,$G1703,"PredictVolume")</f>
        <v>701</v>
      </c>
      <c r="AK1703" s="339"/>
    </row>
    <row r="1704" spans="1:37">
      <c r="A1704" s="415">
        <v>23.6</v>
      </c>
      <c r="B1704" s="79">
        <v>23</v>
      </c>
      <c r="C1704" s="79">
        <v>31</v>
      </c>
      <c r="D1704" s="79">
        <v>3</v>
      </c>
      <c r="E1704" s="79">
        <v>29</v>
      </c>
      <c r="F1704" s="57">
        <v>30.9</v>
      </c>
      <c r="G1704" s="79">
        <v>3030</v>
      </c>
      <c r="H1704" s="8" t="s">
        <v>316</v>
      </c>
      <c r="I1704" s="22" t="s">
        <v>98</v>
      </c>
      <c r="J1704" s="73">
        <v>61.56</v>
      </c>
      <c r="K1704" s="73">
        <v>22.2</v>
      </c>
      <c r="L1704" s="73">
        <v>6.77</v>
      </c>
      <c r="N1704" s="318">
        <f t="shared" si="323"/>
        <v>90.53</v>
      </c>
      <c r="O1704" s="81">
        <f>IFERROR(VLOOKUP($G1704,'321買'!A:E,3,0),"'沒有資料'")</f>
        <v>1</v>
      </c>
      <c r="P1704" s="380">
        <f>IFERROR(VLOOKUP($G1704,'321買'!$A:$G,7,0),"'沒有資料'")</f>
        <v>783</v>
      </c>
      <c r="R1704" s="297">
        <f>IFERROR(RANK(VLOOKUP($G1704,連買!$A:$D,4,0),連買!$D:$D,0),"'沒有資料'")</f>
        <v>319</v>
      </c>
      <c r="S1704" s="66">
        <v>3.3</v>
      </c>
      <c r="T1704" s="353">
        <f t="shared" si="318"/>
        <v>4.5643153526970952E-2</v>
      </c>
      <c r="U1704" s="95">
        <v>4.63</v>
      </c>
      <c r="V1704" s="36">
        <f>RTD("money.excel",,"3030","Price")</f>
        <v>72.3</v>
      </c>
      <c r="W1704" s="66"/>
      <c r="X1704" s="15">
        <f t="shared" si="319"/>
        <v>72.3</v>
      </c>
      <c r="Y1704" s="3" t="e">
        <f t="shared" si="320"/>
        <v>#DIV/0!</v>
      </c>
      <c r="Z1704" s="413" t="s">
        <v>1831</v>
      </c>
      <c r="AA1704" s="161">
        <v>0</v>
      </c>
      <c r="AB1704" s="409">
        <v>0</v>
      </c>
      <c r="AC1704" s="259">
        <f t="shared" si="311"/>
        <v>0</v>
      </c>
      <c r="AD1704" s="22" t="s">
        <v>98</v>
      </c>
      <c r="AG1704" s="33">
        <f t="shared" si="321"/>
        <v>0</v>
      </c>
      <c r="AH1704" s="120" t="s">
        <v>2758</v>
      </c>
      <c r="AI1704" s="63">
        <f t="shared" si="322"/>
        <v>6.3983050847457625E-3</v>
      </c>
      <c r="AJ1704" s="307">
        <f>RTD("money.excel",,$G1704,"PredictVolume")</f>
        <v>1510</v>
      </c>
      <c r="AK1704" s="339"/>
    </row>
    <row r="1705" spans="1:37">
      <c r="A1705" s="416">
        <v>19.399999999999999</v>
      </c>
      <c r="B1705" s="91">
        <v>-110</v>
      </c>
      <c r="C1705" s="91">
        <v>-112</v>
      </c>
      <c r="D1705" s="91">
        <v>-12</v>
      </c>
      <c r="E1705" s="91">
        <v>25</v>
      </c>
      <c r="F1705" s="6">
        <v>-1.36</v>
      </c>
      <c r="G1705" s="79">
        <v>3043</v>
      </c>
      <c r="H1705" s="8" t="s">
        <v>316</v>
      </c>
      <c r="I1705" s="22" t="s">
        <v>505</v>
      </c>
      <c r="J1705" s="73">
        <v>24.75</v>
      </c>
      <c r="K1705" s="73">
        <v>1.62</v>
      </c>
      <c r="N1705" s="318">
        <f t="shared" si="323"/>
        <v>26.37</v>
      </c>
      <c r="O1705" s="81">
        <f>IFERROR(VLOOKUP($G1705,'321買'!A:E,3,0),"'沒有資料'")</f>
        <v>0</v>
      </c>
      <c r="P1705" s="380">
        <f>IFERROR(VLOOKUP($G1705,'321買'!$A:$G,7,0),"'沒有資料'")</f>
        <v>911</v>
      </c>
      <c r="R1705" s="297">
        <f>IFERROR(RANK(VLOOKUP($G1705,連買!$A:$D,4,0),連買!$D:$D,0),"'沒有資料'")</f>
        <v>1369</v>
      </c>
      <c r="S1705" s="34">
        <v>0</v>
      </c>
      <c r="T1705" s="353">
        <f t="shared" si="318"/>
        <v>0</v>
      </c>
      <c r="U1705" s="95">
        <v>-0.25</v>
      </c>
      <c r="V1705" s="36">
        <f>RTD("money.excel",,"3043","Price")</f>
        <v>4.2</v>
      </c>
      <c r="W1705" s="66"/>
      <c r="X1705" s="15">
        <f t="shared" si="319"/>
        <v>4.2</v>
      </c>
      <c r="Y1705" s="3" t="e">
        <f t="shared" si="320"/>
        <v>#DIV/0!</v>
      </c>
      <c r="AA1705" s="161">
        <v>0</v>
      </c>
      <c r="AB1705" s="409">
        <v>0</v>
      </c>
      <c r="AC1705" s="259">
        <f t="shared" si="311"/>
        <v>0</v>
      </c>
      <c r="AD1705" s="22" t="s">
        <v>505</v>
      </c>
      <c r="AG1705" s="33">
        <f t="shared" si="321"/>
        <v>0</v>
      </c>
      <c r="AH1705" s="43" t="s">
        <v>2759</v>
      </c>
      <c r="AI1705" s="63">
        <f t="shared" si="322"/>
        <v>7.0103092783505158E-4</v>
      </c>
      <c r="AJ1705" s="307">
        <f>RTD("money.excel",,$G1705,"PredictVolume")</f>
        <v>136</v>
      </c>
      <c r="AK1705" s="339"/>
    </row>
    <row r="1706" spans="1:37">
      <c r="A1706" s="416">
        <v>2.9</v>
      </c>
      <c r="B1706" s="91">
        <v>-2</v>
      </c>
      <c r="C1706" s="91">
        <v>29</v>
      </c>
      <c r="D1706" s="91">
        <v>-12</v>
      </c>
      <c r="E1706" s="91">
        <v>-79</v>
      </c>
      <c r="F1706" s="6">
        <v>-42.74</v>
      </c>
      <c r="G1706" s="79">
        <v>3067</v>
      </c>
      <c r="H1706" s="8" t="s">
        <v>316</v>
      </c>
      <c r="I1706" s="16" t="s">
        <v>476</v>
      </c>
      <c r="J1706" s="73">
        <v>84.89</v>
      </c>
      <c r="K1706" s="73">
        <v>30</v>
      </c>
      <c r="N1706" s="318">
        <f t="shared" si="323"/>
        <v>114.89</v>
      </c>
      <c r="O1706" s="81" t="str">
        <f>IFERROR(VLOOKUP($G1706,'321買'!A:E,3,0),"'沒有資料'")</f>
        <v>'沒有資料'</v>
      </c>
      <c r="P1706" s="380" t="str">
        <f>IFERROR(VLOOKUP($G1706,'321買'!$A:$G,7,0),"'沒有資料'")</f>
        <v>'沒有資料'</v>
      </c>
      <c r="R1706" s="297">
        <f>IFERROR(RANK(VLOOKUP($G1706,連買!$A:$D,4,0),連買!$D:$D,0),"'沒有資料'")</f>
        <v>1368</v>
      </c>
      <c r="S1706" s="34">
        <v>0</v>
      </c>
      <c r="T1706" s="353">
        <f t="shared" si="318"/>
        <v>0</v>
      </c>
      <c r="U1706" s="95">
        <v>-0.8</v>
      </c>
      <c r="V1706" s="13">
        <f>RTD("money.excel",,"3067","Price")</f>
        <v>41.2</v>
      </c>
      <c r="W1706" s="66"/>
      <c r="X1706" s="15">
        <f t="shared" si="319"/>
        <v>41.2</v>
      </c>
      <c r="Y1706" s="3" t="e">
        <f t="shared" si="320"/>
        <v>#DIV/0!</v>
      </c>
      <c r="AA1706" s="161">
        <v>0</v>
      </c>
      <c r="AB1706" s="409">
        <v>0</v>
      </c>
      <c r="AC1706" s="259">
        <f t="shared" si="311"/>
        <v>0</v>
      </c>
      <c r="AD1706" s="16" t="s">
        <v>476</v>
      </c>
      <c r="AG1706" s="33">
        <f t="shared" si="321"/>
        <v>0</v>
      </c>
      <c r="AH1706" s="43" t="s">
        <v>2630</v>
      </c>
      <c r="AI1706" s="63">
        <f t="shared" si="322"/>
        <v>1.3793103448275861E-3</v>
      </c>
      <c r="AJ1706" s="307">
        <f>RTD("money.excel",,$G1706,"PredictVolume")</f>
        <v>40</v>
      </c>
      <c r="AK1706" s="339"/>
    </row>
    <row r="1707" spans="1:37">
      <c r="A1707" s="415">
        <v>3.63</v>
      </c>
      <c r="B1707" s="91">
        <v>93</v>
      </c>
      <c r="C1707" s="91">
        <v>152</v>
      </c>
      <c r="D1707" s="91">
        <v>6</v>
      </c>
      <c r="E1707" s="91">
        <v>28</v>
      </c>
      <c r="F1707" s="57">
        <v>12.07</v>
      </c>
      <c r="G1707" s="79">
        <v>3093</v>
      </c>
      <c r="H1707" s="8" t="s">
        <v>316</v>
      </c>
      <c r="I1707" s="16" t="s">
        <v>5010</v>
      </c>
      <c r="J1707" s="73">
        <v>68.69</v>
      </c>
      <c r="K1707" s="73">
        <v>67.66</v>
      </c>
      <c r="L1707" s="73">
        <v>3.99</v>
      </c>
      <c r="N1707" s="318">
        <f t="shared" si="323"/>
        <v>140.34</v>
      </c>
      <c r="O1707" s="81">
        <f>IFERROR(VLOOKUP($G1707,'321買'!A:E,3,0),"'沒有資料'")</f>
        <v>1</v>
      </c>
      <c r="P1707" s="380">
        <f>IFERROR(VLOOKUP($G1707,'321買'!$A:$G,7,0),"'沒有資料'")</f>
        <v>783</v>
      </c>
      <c r="R1707" s="297">
        <f>IFERROR(RANK(VLOOKUP($G1707,連買!$A:$D,4,0),連買!$D:$D,0),"'沒有資料'")</f>
        <v>250</v>
      </c>
      <c r="S1707" s="66">
        <v>4.2</v>
      </c>
      <c r="T1707" s="353">
        <f t="shared" si="318"/>
        <v>4.8837209302325581E-2</v>
      </c>
      <c r="U1707" s="57">
        <v>4.8600000000000003</v>
      </c>
      <c r="V1707" s="13">
        <f>RTD("money.excel",,"3093","Price")</f>
        <v>86</v>
      </c>
      <c r="W1707" s="66"/>
      <c r="X1707" s="15">
        <f t="shared" si="319"/>
        <v>86</v>
      </c>
      <c r="Y1707" s="3" t="e">
        <f t="shared" si="320"/>
        <v>#DIV/0!</v>
      </c>
      <c r="Z1707" s="413" t="s">
        <v>1831</v>
      </c>
      <c r="AA1707" s="161">
        <v>0</v>
      </c>
      <c r="AB1707" s="409">
        <v>0</v>
      </c>
      <c r="AC1707" s="259">
        <f t="shared" si="311"/>
        <v>0</v>
      </c>
      <c r="AD1707" s="16" t="s">
        <v>5010</v>
      </c>
      <c r="AG1707" s="33">
        <f t="shared" si="321"/>
        <v>0</v>
      </c>
      <c r="AH1707" s="43" t="s">
        <v>2631</v>
      </c>
      <c r="AI1707" s="63">
        <f t="shared" si="322"/>
        <v>5.2341597796143249E-4</v>
      </c>
      <c r="AJ1707" s="307">
        <f>RTD("money.excel",,$G1707,"PredictVolume")</f>
        <v>19</v>
      </c>
      <c r="AK1707" s="339"/>
    </row>
    <row r="1708" spans="1:37">
      <c r="A1708" s="415">
        <v>2.92</v>
      </c>
      <c r="B1708" s="79">
        <v>27</v>
      </c>
      <c r="C1708" s="79">
        <v>28</v>
      </c>
      <c r="D1708" s="80">
        <v>-11</v>
      </c>
      <c r="E1708" s="79">
        <v>52</v>
      </c>
      <c r="F1708" s="57">
        <v>21.43</v>
      </c>
      <c r="G1708" s="79">
        <v>3131</v>
      </c>
      <c r="H1708" s="8" t="s">
        <v>316</v>
      </c>
      <c r="I1708" s="16" t="s">
        <v>5011</v>
      </c>
      <c r="J1708" s="323">
        <v>37.42</v>
      </c>
      <c r="K1708" s="73">
        <v>10.78</v>
      </c>
      <c r="N1708" s="318">
        <f t="shared" si="323"/>
        <v>48.2</v>
      </c>
      <c r="O1708" s="81" t="str">
        <f>IFERROR(VLOOKUP($G1708,'321買'!A:E,3,0),"'沒有資料'")</f>
        <v>'沒有資料'</v>
      </c>
      <c r="P1708" s="380" t="str">
        <f>IFERROR(VLOOKUP($G1708,'321買'!$A:$G,7,0),"'沒有資料'")</f>
        <v>'沒有資料'</v>
      </c>
      <c r="R1708" s="297">
        <f>IFERROR(RANK(VLOOKUP($G1708,連買!$A:$D,4,0),連買!$D:$D,0),"'沒有資料'")</f>
        <v>68</v>
      </c>
      <c r="S1708" s="66">
        <v>11</v>
      </c>
      <c r="T1708" s="353">
        <f t="shared" si="318"/>
        <v>3.4428794992175271E-2</v>
      </c>
      <c r="U1708" s="95">
        <v>13.92</v>
      </c>
      <c r="V1708" s="36">
        <f>RTD("money.excel",,"3131","Price")</f>
        <v>319.5</v>
      </c>
      <c r="W1708" s="66"/>
      <c r="X1708" s="15">
        <f t="shared" si="319"/>
        <v>319.5</v>
      </c>
      <c r="Y1708" s="3" t="e">
        <f t="shared" si="320"/>
        <v>#DIV/0!</v>
      </c>
      <c r="Z1708" s="413" t="s">
        <v>1997</v>
      </c>
      <c r="AA1708" s="161">
        <v>0</v>
      </c>
      <c r="AB1708" s="409">
        <v>0</v>
      </c>
      <c r="AC1708" s="259">
        <f t="shared" si="311"/>
        <v>0</v>
      </c>
      <c r="AD1708" s="16" t="s">
        <v>5011</v>
      </c>
      <c r="AG1708" s="33">
        <f t="shared" si="321"/>
        <v>0</v>
      </c>
      <c r="AH1708" s="43" t="s">
        <v>2492</v>
      </c>
      <c r="AI1708" s="63">
        <f t="shared" si="322"/>
        <v>8.9041095890410955E-4</v>
      </c>
      <c r="AJ1708" s="307">
        <f>RTD("money.excel",,$G1708,"PredictVolume")</f>
        <v>26</v>
      </c>
      <c r="AK1708" s="339"/>
    </row>
    <row r="1709" spans="1:37">
      <c r="A1709" s="416">
        <v>4.41</v>
      </c>
      <c r="B1709" s="91">
        <v>218</v>
      </c>
      <c r="C1709" s="140">
        <v>1748</v>
      </c>
      <c r="D1709" s="91">
        <v>-31</v>
      </c>
      <c r="E1709" s="91">
        <v>12</v>
      </c>
      <c r="F1709" s="6">
        <v>5.6</v>
      </c>
      <c r="G1709" s="79">
        <v>3285</v>
      </c>
      <c r="H1709" s="8" t="s">
        <v>316</v>
      </c>
      <c r="I1709" s="16" t="s">
        <v>5012</v>
      </c>
      <c r="J1709" s="73">
        <v>46.83</v>
      </c>
      <c r="K1709" s="73">
        <v>0.36</v>
      </c>
      <c r="L1709" s="73">
        <v>16.48</v>
      </c>
      <c r="N1709" s="318">
        <f t="shared" si="323"/>
        <v>63.67</v>
      </c>
      <c r="O1709" s="81" t="str">
        <f>IFERROR(VLOOKUP($G1709,'321買'!A:E,3,0),"'沒有資料'")</f>
        <v>'沒有資料'</v>
      </c>
      <c r="P1709" s="380" t="str">
        <f>IFERROR(VLOOKUP($G1709,'321買'!$A:$G,7,0),"'沒有資料'")</f>
        <v>'沒有資料'</v>
      </c>
      <c r="R1709" s="297">
        <f>IFERROR(RANK(VLOOKUP($G1709,連買!$A:$D,4,0),連買!$D:$D,0),"'沒有資料'")</f>
        <v>746</v>
      </c>
      <c r="S1709" s="34">
        <v>0.35</v>
      </c>
      <c r="T1709" s="353">
        <f t="shared" si="318"/>
        <v>1.6908212560386472E-2</v>
      </c>
      <c r="U1709" s="95">
        <v>0.66</v>
      </c>
      <c r="V1709" s="36">
        <f>RTD("money.excel",,"3285","Price")</f>
        <v>20.7</v>
      </c>
      <c r="W1709" s="66"/>
      <c r="X1709" s="15">
        <f t="shared" si="319"/>
        <v>20.7</v>
      </c>
      <c r="Y1709" s="3" t="e">
        <f t="shared" si="320"/>
        <v>#DIV/0!</v>
      </c>
      <c r="AA1709" s="161">
        <v>0</v>
      </c>
      <c r="AB1709" s="409">
        <v>0</v>
      </c>
      <c r="AC1709" s="259">
        <f t="shared" si="311"/>
        <v>0</v>
      </c>
      <c r="AD1709" s="16" t="s">
        <v>5012</v>
      </c>
      <c r="AG1709" s="33">
        <f t="shared" si="321"/>
        <v>0</v>
      </c>
      <c r="AH1709" s="43" t="s">
        <v>2460</v>
      </c>
      <c r="AI1709" s="63">
        <f t="shared" si="322"/>
        <v>7.0294784580498865E-4</v>
      </c>
      <c r="AJ1709" s="307">
        <f>RTD("money.excel",,$G1709,"PredictVolume")</f>
        <v>31</v>
      </c>
      <c r="AK1709" s="339"/>
    </row>
    <row r="1710" spans="1:37">
      <c r="A1710" s="416">
        <v>9.36</v>
      </c>
      <c r="B1710" s="79">
        <v>148</v>
      </c>
      <c r="C1710" s="79">
        <v>173</v>
      </c>
      <c r="D1710" s="80">
        <v>-5</v>
      </c>
      <c r="E1710" s="79">
        <v>12</v>
      </c>
      <c r="F1710" s="6">
        <v>8.91</v>
      </c>
      <c r="G1710" s="79">
        <v>3289</v>
      </c>
      <c r="H1710" s="8" t="s">
        <v>316</v>
      </c>
      <c r="I1710" s="16" t="s">
        <v>155</v>
      </c>
      <c r="J1710" s="323">
        <v>22.97</v>
      </c>
      <c r="K1710" s="323">
        <v>6.82</v>
      </c>
      <c r="L1710" s="323">
        <v>26.74</v>
      </c>
      <c r="N1710" s="318">
        <f t="shared" si="323"/>
        <v>56.53</v>
      </c>
      <c r="O1710" s="81">
        <f>IFERROR(VLOOKUP($G1710,'321買'!A:E,3,0),"'沒有資料'")</f>
        <v>0</v>
      </c>
      <c r="P1710" s="380">
        <f>IFERROR(VLOOKUP($G1710,'321買'!$A:$G,7,0),"'沒有資料'")</f>
        <v>911</v>
      </c>
      <c r="R1710" s="297">
        <f>IFERROR(RANK(VLOOKUP($G1710,連買!$A:$D,4,0),連買!$D:$D,0),"'沒有資料'")</f>
        <v>1213</v>
      </c>
      <c r="S1710" s="34">
        <v>1.5</v>
      </c>
      <c r="T1710" s="353">
        <f t="shared" si="318"/>
        <v>2.8571428571428571E-2</v>
      </c>
      <c r="U1710" s="95">
        <v>2.8</v>
      </c>
      <c r="V1710" s="36">
        <f>RTD("money.excel",,"3289","Price")</f>
        <v>52.5</v>
      </c>
      <c r="W1710" s="66"/>
      <c r="X1710" s="15">
        <f t="shared" si="319"/>
        <v>52.5</v>
      </c>
      <c r="Y1710" s="3" t="e">
        <f t="shared" si="320"/>
        <v>#DIV/0!</v>
      </c>
      <c r="Z1710" s="413" t="s">
        <v>1801</v>
      </c>
      <c r="AA1710" s="161">
        <v>0</v>
      </c>
      <c r="AB1710" s="409">
        <v>0</v>
      </c>
      <c r="AC1710" s="259">
        <f t="shared" si="311"/>
        <v>0</v>
      </c>
      <c r="AD1710" s="16" t="s">
        <v>155</v>
      </c>
      <c r="AG1710" s="33">
        <f t="shared" si="321"/>
        <v>0</v>
      </c>
      <c r="AH1710" s="120" t="s">
        <v>2632</v>
      </c>
      <c r="AI1710" s="63">
        <f t="shared" si="322"/>
        <v>1.655982905982906E-3</v>
      </c>
      <c r="AJ1710" s="307">
        <f>RTD("money.excel",,$G1710,"PredictVolume")</f>
        <v>155</v>
      </c>
      <c r="AK1710" s="339"/>
    </row>
    <row r="1711" spans="1:37">
      <c r="A1711" s="415">
        <v>9.61</v>
      </c>
      <c r="B1711" s="91">
        <v>36</v>
      </c>
      <c r="C1711" s="91">
        <v>105</v>
      </c>
      <c r="D1711" s="91">
        <v>1</v>
      </c>
      <c r="E1711" s="91">
        <v>-8</v>
      </c>
      <c r="F1711" s="57">
        <v>10.02</v>
      </c>
      <c r="G1711" s="79">
        <v>3303</v>
      </c>
      <c r="H1711" s="8" t="s">
        <v>316</v>
      </c>
      <c r="I1711" s="16" t="s">
        <v>477</v>
      </c>
      <c r="J1711" s="73">
        <v>49.62</v>
      </c>
      <c r="K1711" s="73">
        <v>4.29</v>
      </c>
      <c r="L1711" s="73">
        <v>13.92</v>
      </c>
      <c r="N1711" s="318">
        <f t="shared" si="323"/>
        <v>67.83</v>
      </c>
      <c r="O1711" s="81">
        <f>IFERROR(VLOOKUP($G1711,'321買'!A:E,3,0),"'沒有資料'")</f>
        <v>0</v>
      </c>
      <c r="P1711" s="380">
        <f>IFERROR(VLOOKUP($G1711,'321買'!$A:$G,7,0),"'沒有資料'")</f>
        <v>911</v>
      </c>
      <c r="R1711" s="297">
        <f>IFERROR(RANK(VLOOKUP($G1711,連買!$A:$D,4,0),連買!$D:$D,0),"'沒有資料'")</f>
        <v>933</v>
      </c>
      <c r="S1711" s="34">
        <v>1.4</v>
      </c>
      <c r="T1711" s="353">
        <f t="shared" si="318"/>
        <v>5.1660516605166046E-2</v>
      </c>
      <c r="U1711" s="95">
        <v>1.54</v>
      </c>
      <c r="V1711" s="36">
        <f>RTD("money.excel",,"3303","Price")</f>
        <v>27.1</v>
      </c>
      <c r="W1711" s="66"/>
      <c r="X1711" s="15">
        <f t="shared" si="319"/>
        <v>27.1</v>
      </c>
      <c r="Y1711" s="3" t="e">
        <f t="shared" si="320"/>
        <v>#DIV/0!</v>
      </c>
      <c r="AA1711" s="161">
        <v>0</v>
      </c>
      <c r="AB1711" s="409">
        <v>0</v>
      </c>
      <c r="AC1711" s="259">
        <f t="shared" si="311"/>
        <v>0</v>
      </c>
      <c r="AD1711" s="16" t="s">
        <v>477</v>
      </c>
      <c r="AG1711" s="33">
        <f t="shared" si="321"/>
        <v>0</v>
      </c>
      <c r="AH1711" s="43" t="s">
        <v>2673</v>
      </c>
      <c r="AI1711" s="63">
        <f t="shared" si="322"/>
        <v>4.8907388137356921E-4</v>
      </c>
      <c r="AJ1711" s="307">
        <f>RTD("money.excel",,$G1711,"PredictVolume")</f>
        <v>47</v>
      </c>
      <c r="AK1711" s="339"/>
    </row>
    <row r="1712" spans="1:37">
      <c r="A1712" s="415">
        <v>24.9</v>
      </c>
      <c r="B1712" s="79">
        <v>285</v>
      </c>
      <c r="C1712" s="79">
        <v>220</v>
      </c>
      <c r="D1712" s="79">
        <v>17</v>
      </c>
      <c r="E1712" s="79">
        <v>172</v>
      </c>
      <c r="F1712" s="57">
        <v>16.97</v>
      </c>
      <c r="G1712" s="79">
        <v>1708</v>
      </c>
      <c r="H1712" s="8" t="s">
        <v>757</v>
      </c>
      <c r="I1712" s="22" t="s">
        <v>760</v>
      </c>
      <c r="J1712" s="323">
        <v>43.41</v>
      </c>
      <c r="K1712" s="73">
        <v>11.13</v>
      </c>
      <c r="L1712" s="73">
        <v>40.450000000000003</v>
      </c>
      <c r="M1712" s="73">
        <v>13.75</v>
      </c>
      <c r="N1712" s="318">
        <f>J1712+K1712+L1712+M1712</f>
        <v>108.74000000000001</v>
      </c>
      <c r="O1712" s="81">
        <f>IFERROR(VLOOKUP($G1712,'321買'!A:E,3,0),"'沒有資料'")</f>
        <v>44</v>
      </c>
      <c r="P1712" s="380">
        <f>IFERROR(VLOOKUP($G1712,'321買'!$A:$G,7,0),"'沒有資料'")</f>
        <v>74</v>
      </c>
      <c r="Q1712" s="245" t="s">
        <v>5097</v>
      </c>
      <c r="R1712" s="297">
        <f>IFERROR(RANK(VLOOKUP($G1712,連買!$A:$D,4,0),連買!$D:$D,0),"'沒有資料'")</f>
        <v>528</v>
      </c>
      <c r="S1712" s="34">
        <v>2</v>
      </c>
      <c r="T1712" s="353">
        <f t="shared" si="318"/>
        <v>2.9498525073746312E-2</v>
      </c>
      <c r="U1712" s="95">
        <v>2.81</v>
      </c>
      <c r="V1712" s="36">
        <f>RTD("money.excel",,"1708","Price")</f>
        <v>67.8</v>
      </c>
      <c r="W1712" s="66"/>
      <c r="X1712" s="15">
        <f t="shared" si="319"/>
        <v>67.8</v>
      </c>
      <c r="Y1712" s="3" t="e">
        <f t="shared" si="320"/>
        <v>#DIV/0!</v>
      </c>
      <c r="Z1712" s="413" t="s">
        <v>1801</v>
      </c>
      <c r="AA1712" s="161">
        <v>0</v>
      </c>
      <c r="AB1712" s="409">
        <v>0</v>
      </c>
      <c r="AC1712" s="259">
        <f t="shared" si="311"/>
        <v>0</v>
      </c>
      <c r="AD1712" s="22" t="s">
        <v>760</v>
      </c>
      <c r="AG1712" s="33">
        <f t="shared" si="321"/>
        <v>0</v>
      </c>
      <c r="AH1712" s="43" t="s">
        <v>1537</v>
      </c>
      <c r="AI1712" s="63">
        <f t="shared" si="322"/>
        <v>0.4413172690763052</v>
      </c>
      <c r="AJ1712" s="360">
        <f>RTD("money.excel",,$G1712,"PredictVolume")</f>
        <v>109888</v>
      </c>
      <c r="AK1712" s="339">
        <v>62.28</v>
      </c>
    </row>
    <row r="1713" spans="1:37">
      <c r="A1713" s="416">
        <v>8.84</v>
      </c>
      <c r="B1713" s="79">
        <v>2</v>
      </c>
      <c r="C1713" s="80">
        <v>-11</v>
      </c>
      <c r="D1713" s="80">
        <v>-34</v>
      </c>
      <c r="E1713" s="79">
        <v>11</v>
      </c>
      <c r="F1713" s="6">
        <v>9.67</v>
      </c>
      <c r="G1713" s="79">
        <v>3324</v>
      </c>
      <c r="H1713" s="8" t="s">
        <v>316</v>
      </c>
      <c r="I1713" s="16" t="s">
        <v>228</v>
      </c>
      <c r="J1713" s="73">
        <v>33.619999999999997</v>
      </c>
      <c r="K1713" s="73">
        <v>24.84</v>
      </c>
      <c r="L1713" s="323">
        <v>38.18</v>
      </c>
      <c r="M1713" s="323">
        <v>19.899999999999999</v>
      </c>
      <c r="N1713" s="318">
        <f t="shared" si="323"/>
        <v>116.53999999999999</v>
      </c>
      <c r="O1713" s="81">
        <f>IFERROR(VLOOKUP($G1713,'321買'!A:E,3,0),"'沒有資料'")</f>
        <v>76</v>
      </c>
      <c r="P1713" s="380">
        <f>IFERROR(VLOOKUP($G1713,'321買'!$A:$G,7,0),"'沒有資料'")</f>
        <v>24</v>
      </c>
      <c r="Q1713" s="245" t="s">
        <v>3818</v>
      </c>
      <c r="R1713" s="297">
        <f>IFERROR(RANK(VLOOKUP($G1713,連買!$A:$D,4,0),連買!$D:$D,0),"'沒有資料'")</f>
        <v>60</v>
      </c>
      <c r="S1713" s="66">
        <v>6</v>
      </c>
      <c r="T1713" s="353">
        <f t="shared" si="318"/>
        <v>3.2432432432432434E-2</v>
      </c>
      <c r="U1713" s="95">
        <v>13.12</v>
      </c>
      <c r="V1713" s="36">
        <f>RTD("money.excel",,"3324","Price")</f>
        <v>185</v>
      </c>
      <c r="W1713" s="66"/>
      <c r="X1713" s="15">
        <f t="shared" si="319"/>
        <v>185</v>
      </c>
      <c r="Y1713" s="3" t="e">
        <f t="shared" si="320"/>
        <v>#DIV/0!</v>
      </c>
      <c r="Z1713" s="413" t="s">
        <v>1997</v>
      </c>
      <c r="AA1713" s="161">
        <v>0</v>
      </c>
      <c r="AB1713" s="409">
        <v>0</v>
      </c>
      <c r="AC1713" s="259">
        <f t="shared" si="311"/>
        <v>0</v>
      </c>
      <c r="AD1713" s="16" t="s">
        <v>228</v>
      </c>
      <c r="AG1713" s="33">
        <f t="shared" si="321"/>
        <v>0</v>
      </c>
      <c r="AH1713" s="43" t="s">
        <v>3111</v>
      </c>
      <c r="AI1713" s="63">
        <f t="shared" si="322"/>
        <v>1.3608597285067874E-2</v>
      </c>
      <c r="AJ1713" s="307">
        <f>RTD("money.excel",,$G1713,"PredictVolume")</f>
        <v>1203</v>
      </c>
      <c r="AK1713" s="339">
        <v>31.74</v>
      </c>
    </row>
    <row r="1714" spans="1:37">
      <c r="A1714" s="415">
        <v>4.33</v>
      </c>
      <c r="B1714" s="80">
        <v>-84</v>
      </c>
      <c r="C1714" s="80">
        <v>-83</v>
      </c>
      <c r="D1714" s="79">
        <v>2</v>
      </c>
      <c r="E1714" s="80">
        <v>-69</v>
      </c>
      <c r="F1714" s="57">
        <v>16.57</v>
      </c>
      <c r="G1714" s="79">
        <v>3373</v>
      </c>
      <c r="H1714" s="8" t="s">
        <v>316</v>
      </c>
      <c r="I1714" s="16" t="s">
        <v>478</v>
      </c>
      <c r="J1714" s="73">
        <v>24.24</v>
      </c>
      <c r="K1714" s="323">
        <v>5.91</v>
      </c>
      <c r="L1714" s="73">
        <v>18.86</v>
      </c>
      <c r="M1714" s="323">
        <v>25.74</v>
      </c>
      <c r="N1714" s="318">
        <f t="shared" si="323"/>
        <v>74.75</v>
      </c>
      <c r="O1714" s="81">
        <f>IFERROR(VLOOKUP($G1714,'321買'!A:E,3,0),"'沒有資料'")</f>
        <v>12</v>
      </c>
      <c r="P1714" s="380">
        <f>IFERROR(VLOOKUP($G1714,'321買'!$A:$G,7,0),"'沒有資料'")</f>
        <v>387</v>
      </c>
      <c r="Q1714" s="245" t="s">
        <v>3816</v>
      </c>
      <c r="R1714" s="297">
        <f>IFERROR(RANK(VLOOKUP($G1714,連買!$A:$D,4,0),連買!$D:$D,0),"'沒有資料'")</f>
        <v>1724</v>
      </c>
      <c r="S1714" s="66">
        <v>10</v>
      </c>
      <c r="T1714" s="353">
        <f t="shared" si="318"/>
        <v>0.30349013657056145</v>
      </c>
      <c r="U1714" s="95">
        <v>4.6500000000000004</v>
      </c>
      <c r="V1714" s="36">
        <f>RTD("money.excel",,"3373","Price")</f>
        <v>32.950000000000003</v>
      </c>
      <c r="W1714" s="66"/>
      <c r="X1714" s="15">
        <f t="shared" si="319"/>
        <v>32.950000000000003</v>
      </c>
      <c r="Y1714" s="3" t="e">
        <f t="shared" si="320"/>
        <v>#DIV/0!</v>
      </c>
      <c r="Z1714" s="413" t="s">
        <v>1997</v>
      </c>
      <c r="AA1714" s="161">
        <v>0</v>
      </c>
      <c r="AB1714" s="409">
        <v>0</v>
      </c>
      <c r="AC1714" s="259">
        <f t="shared" si="311"/>
        <v>0</v>
      </c>
      <c r="AD1714" s="16" t="s">
        <v>478</v>
      </c>
      <c r="AG1714" s="33">
        <f t="shared" si="321"/>
        <v>0</v>
      </c>
      <c r="AH1714" s="43" t="s">
        <v>3280</v>
      </c>
      <c r="AI1714" s="63">
        <f t="shared" si="322"/>
        <v>3.9953810623556581E-3</v>
      </c>
      <c r="AJ1714" s="307">
        <f>RTD("money.excel",,$G1714,"PredictVolume")</f>
        <v>173</v>
      </c>
      <c r="AK1714" s="339">
        <v>58.94</v>
      </c>
    </row>
    <row r="1715" spans="1:37">
      <c r="A1715" s="415">
        <v>7.3</v>
      </c>
      <c r="B1715" s="79">
        <v>72</v>
      </c>
      <c r="C1715" s="79">
        <v>77</v>
      </c>
      <c r="D1715" s="79">
        <v>2</v>
      </c>
      <c r="E1715" s="79">
        <v>26</v>
      </c>
      <c r="F1715" s="57">
        <v>12.08</v>
      </c>
      <c r="G1715" s="79">
        <v>3402</v>
      </c>
      <c r="H1715" s="8" t="s">
        <v>316</v>
      </c>
      <c r="I1715" s="16" t="s">
        <v>479</v>
      </c>
      <c r="J1715" s="323">
        <v>24.14</v>
      </c>
      <c r="K1715" s="73">
        <v>4.03</v>
      </c>
      <c r="L1715" s="73">
        <v>4.7</v>
      </c>
      <c r="N1715" s="318">
        <f t="shared" si="323"/>
        <v>32.870000000000005</v>
      </c>
      <c r="O1715" s="81">
        <f>IFERROR(VLOOKUP($G1715,'321買'!A:E,3,0),"'沒有資料'")</f>
        <v>10</v>
      </c>
      <c r="P1715" s="380">
        <f>IFERROR(VLOOKUP($G1715,'321買'!$A:$G,7,0),"'沒有資料'")</f>
        <v>433</v>
      </c>
      <c r="R1715" s="297">
        <f>IFERROR(RANK(VLOOKUP($G1715,連買!$A:$D,4,0),連買!$D:$D,0),"'沒有資料'")</f>
        <v>504</v>
      </c>
      <c r="S1715" s="34">
        <v>2.7</v>
      </c>
      <c r="T1715" s="353">
        <f t="shared" si="318"/>
        <v>5.4878048780487805E-2</v>
      </c>
      <c r="U1715" s="95">
        <v>4.05</v>
      </c>
      <c r="V1715" s="36">
        <f>RTD("money.excel",,"3402","Price")</f>
        <v>49.2</v>
      </c>
      <c r="W1715" s="66"/>
      <c r="X1715" s="15">
        <f t="shared" si="319"/>
        <v>49.2</v>
      </c>
      <c r="Y1715" s="3" t="e">
        <f t="shared" si="320"/>
        <v>#DIV/0!</v>
      </c>
      <c r="AA1715" s="161">
        <v>0</v>
      </c>
      <c r="AB1715" s="409">
        <v>0</v>
      </c>
      <c r="AC1715" s="259">
        <f t="shared" si="311"/>
        <v>0</v>
      </c>
      <c r="AD1715" s="16" t="s">
        <v>479</v>
      </c>
      <c r="AG1715" s="33">
        <f t="shared" si="321"/>
        <v>0</v>
      </c>
      <c r="AH1715" s="43" t="s">
        <v>2701</v>
      </c>
      <c r="AI1715" s="63">
        <f t="shared" si="322"/>
        <v>4.1232876712328764E-3</v>
      </c>
      <c r="AJ1715" s="307">
        <f>RTD("money.excel",,$G1715,"PredictVolume")</f>
        <v>301</v>
      </c>
      <c r="AK1715" s="339"/>
    </row>
    <row r="1716" spans="1:37">
      <c r="A1716" s="415">
        <v>14.5</v>
      </c>
      <c r="B1716" s="79">
        <v>12</v>
      </c>
      <c r="C1716" s="79">
        <v>27</v>
      </c>
      <c r="D1716" s="80">
        <v>-2</v>
      </c>
      <c r="E1716" s="79">
        <v>11</v>
      </c>
      <c r="F1716" s="57">
        <v>14.21</v>
      </c>
      <c r="G1716" s="79">
        <v>3450</v>
      </c>
      <c r="H1716" s="8" t="s">
        <v>316</v>
      </c>
      <c r="I1716" s="22" t="s">
        <v>5013</v>
      </c>
      <c r="J1716" s="323">
        <v>19.18</v>
      </c>
      <c r="K1716" s="323">
        <v>7.31</v>
      </c>
      <c r="L1716" s="323">
        <v>23.93</v>
      </c>
      <c r="N1716" s="318">
        <f t="shared" si="323"/>
        <v>50.42</v>
      </c>
      <c r="O1716" s="81">
        <f>IFERROR(VLOOKUP($G1716,'321買'!A:E,3,0),"'沒有資料'")</f>
        <v>1</v>
      </c>
      <c r="P1716" s="380">
        <f>IFERROR(VLOOKUP($G1716,'321買'!$A:$G,7,0),"'沒有資料'")</f>
        <v>783</v>
      </c>
      <c r="R1716" s="297">
        <f>IFERROR(RANK(VLOOKUP($G1716,連買!$A:$D,4,0),連買!$D:$D,0),"'沒有資料'")</f>
        <v>1517</v>
      </c>
      <c r="S1716" s="34">
        <v>1.4</v>
      </c>
      <c r="T1716" s="353">
        <f t="shared" si="318"/>
        <v>3.0634573304157545E-2</v>
      </c>
      <c r="U1716" s="95">
        <v>1.65</v>
      </c>
      <c r="V1716" s="36">
        <f>RTD("money.excel",,"3450","Price")</f>
        <v>45.7</v>
      </c>
      <c r="W1716" s="66"/>
      <c r="X1716" s="15">
        <f t="shared" si="319"/>
        <v>45.7</v>
      </c>
      <c r="Y1716" s="3" t="e">
        <f t="shared" si="320"/>
        <v>#DIV/0!</v>
      </c>
      <c r="Z1716" s="413" t="s">
        <v>1801</v>
      </c>
      <c r="AA1716" s="161">
        <v>0</v>
      </c>
      <c r="AB1716" s="409">
        <v>0</v>
      </c>
      <c r="AC1716" s="259">
        <f t="shared" si="311"/>
        <v>0</v>
      </c>
      <c r="AD1716" s="22" t="s">
        <v>5013</v>
      </c>
      <c r="AG1716" s="33">
        <f t="shared" si="321"/>
        <v>0</v>
      </c>
      <c r="AH1716" s="120" t="s">
        <v>2356</v>
      </c>
      <c r="AI1716" s="63">
        <f t="shared" si="322"/>
        <v>1.6344827586206897E-3</v>
      </c>
      <c r="AJ1716" s="307">
        <f>RTD("money.excel",,$G1716,"PredictVolume")</f>
        <v>237</v>
      </c>
      <c r="AK1716" s="339"/>
    </row>
    <row r="1717" spans="1:37">
      <c r="A1717" s="416">
        <v>6.35</v>
      </c>
      <c r="B1717" s="91">
        <v>102</v>
      </c>
      <c r="C1717" s="91">
        <v>101</v>
      </c>
      <c r="D1717" s="91">
        <v>-2</v>
      </c>
      <c r="E1717" s="91">
        <v>44</v>
      </c>
      <c r="F1717" s="6">
        <v>0.44</v>
      </c>
      <c r="G1717" s="79">
        <v>3498</v>
      </c>
      <c r="H1717" s="8" t="s">
        <v>316</v>
      </c>
      <c r="I1717" s="16" t="s">
        <v>231</v>
      </c>
      <c r="J1717" s="323">
        <v>37.64</v>
      </c>
      <c r="K1717" s="323">
        <v>4.37</v>
      </c>
      <c r="L1717" s="323">
        <v>9.4700000000000006</v>
      </c>
      <c r="N1717" s="318">
        <f t="shared" si="323"/>
        <v>51.48</v>
      </c>
      <c r="O1717" s="81">
        <f>IFERROR(VLOOKUP($G1717,'321買'!A:E,3,0),"'沒有資料'")</f>
        <v>0</v>
      </c>
      <c r="P1717" s="380">
        <f>IFERROR(VLOOKUP($G1717,'321買'!$A:$G,7,0),"'沒有資料'")</f>
        <v>911</v>
      </c>
      <c r="R1717" s="297">
        <f>IFERROR(RANK(VLOOKUP($G1717,連買!$A:$D,4,0),連買!$D:$D,0),"'沒有資料'")</f>
        <v>755</v>
      </c>
      <c r="S1717" s="34">
        <v>0</v>
      </c>
      <c r="T1717" s="353">
        <f t="shared" ref="T1717:T1748" si="324">S1717/V1717</f>
        <v>0</v>
      </c>
      <c r="U1717" s="95">
        <v>-0.57999999999999996</v>
      </c>
      <c r="V1717" s="36">
        <f>RTD("money.excel",,"3498","Price")</f>
        <v>28.9</v>
      </c>
      <c r="W1717" s="66"/>
      <c r="X1717" s="15">
        <f t="shared" si="319"/>
        <v>28.9</v>
      </c>
      <c r="Y1717" s="3" t="e">
        <f t="shared" si="320"/>
        <v>#DIV/0!</v>
      </c>
      <c r="AA1717" s="161">
        <v>0</v>
      </c>
      <c r="AB1717" s="409">
        <v>0</v>
      </c>
      <c r="AC1717" s="259">
        <f t="shared" si="311"/>
        <v>0</v>
      </c>
      <c r="AD1717" s="16" t="s">
        <v>231</v>
      </c>
      <c r="AG1717" s="33">
        <f t="shared" si="321"/>
        <v>0</v>
      </c>
      <c r="AH1717" s="122" t="s">
        <v>1458</v>
      </c>
      <c r="AI1717" s="63">
        <f t="shared" ref="AI1717:AI1748" si="325">AJ1717/(A1717*10000)</f>
        <v>1.1338582677165355E-3</v>
      </c>
      <c r="AJ1717" s="307">
        <f>RTD("money.excel",,$G1717,"PredictVolume")</f>
        <v>72</v>
      </c>
      <c r="AK1717" s="339"/>
    </row>
    <row r="1718" spans="1:37">
      <c r="A1718" s="416">
        <v>10.199999999999999</v>
      </c>
      <c r="B1718" s="80">
        <v>-1</v>
      </c>
      <c r="C1718" s="79">
        <v>41</v>
      </c>
      <c r="D1718" s="79">
        <v>15</v>
      </c>
      <c r="E1718" s="80">
        <v>-17</v>
      </c>
      <c r="F1718" s="6">
        <v>-41.51</v>
      </c>
      <c r="G1718" s="79">
        <v>3508</v>
      </c>
      <c r="H1718" s="8" t="s">
        <v>316</v>
      </c>
      <c r="I1718" s="16" t="s">
        <v>5014</v>
      </c>
      <c r="J1718" s="73">
        <v>29.48</v>
      </c>
      <c r="K1718" s="323">
        <v>8.3800000000000008</v>
      </c>
      <c r="L1718" s="323">
        <v>28.87</v>
      </c>
      <c r="M1718" s="323">
        <v>8.08</v>
      </c>
      <c r="N1718" s="318">
        <f t="shared" si="323"/>
        <v>74.81</v>
      </c>
      <c r="O1718" s="81">
        <f>IFERROR(VLOOKUP($G1718,'321買'!A:E,3,0),"'沒有資料'")</f>
        <v>32</v>
      </c>
      <c r="P1718" s="380">
        <f>IFERROR(VLOOKUP($G1718,'321買'!$A:$G,7,0),"'沒有資料'")</f>
        <v>141</v>
      </c>
      <c r="Q1718" s="245" t="s">
        <v>3815</v>
      </c>
      <c r="R1718" s="297">
        <f>IFERROR(RANK(VLOOKUP($G1718,連買!$A:$D,4,0),連買!$D:$D,0),"'沒有資料'")</f>
        <v>1580</v>
      </c>
      <c r="S1718" s="34">
        <v>0</v>
      </c>
      <c r="T1718" s="353">
        <f t="shared" si="324"/>
        <v>0</v>
      </c>
      <c r="U1718" s="95">
        <v>-1.71</v>
      </c>
      <c r="V1718" s="36">
        <f>RTD("money.excel",,"3508","Price")</f>
        <v>41.2</v>
      </c>
      <c r="W1718" s="66"/>
      <c r="X1718" s="15">
        <f t="shared" si="319"/>
        <v>41.2</v>
      </c>
      <c r="Y1718" s="3" t="e">
        <f t="shared" si="320"/>
        <v>#DIV/0!</v>
      </c>
      <c r="AA1718" s="161">
        <v>0</v>
      </c>
      <c r="AB1718" s="409">
        <v>0</v>
      </c>
      <c r="AC1718" s="259">
        <f t="shared" si="311"/>
        <v>0</v>
      </c>
      <c r="AD1718" s="16" t="s">
        <v>5014</v>
      </c>
      <c r="AG1718" s="33">
        <f t="shared" si="321"/>
        <v>0</v>
      </c>
      <c r="AH1718" s="120" t="s">
        <v>2702</v>
      </c>
      <c r="AI1718" s="63">
        <f t="shared" si="325"/>
        <v>9.8235294117647066E-3</v>
      </c>
      <c r="AJ1718" s="307">
        <f>RTD("money.excel",,$G1718,"PredictVolume")</f>
        <v>1002</v>
      </c>
      <c r="AK1718" s="339"/>
    </row>
    <row r="1719" spans="1:37">
      <c r="A1719" s="416">
        <v>8.08</v>
      </c>
      <c r="B1719" s="91">
        <v>42</v>
      </c>
      <c r="C1719" s="91">
        <v>77</v>
      </c>
      <c r="D1719" s="91">
        <v>-2</v>
      </c>
      <c r="E1719" s="91">
        <v>130</v>
      </c>
      <c r="F1719" s="6">
        <v>-48</v>
      </c>
      <c r="G1719" s="79">
        <v>3518</v>
      </c>
      <c r="H1719" s="8" t="s">
        <v>316</v>
      </c>
      <c r="I1719" s="22" t="s">
        <v>507</v>
      </c>
      <c r="J1719" s="73">
        <v>43.35</v>
      </c>
      <c r="K1719" s="73">
        <v>7.87</v>
      </c>
      <c r="L1719" s="73">
        <v>21.98</v>
      </c>
      <c r="N1719" s="318">
        <f t="shared" si="323"/>
        <v>73.2</v>
      </c>
      <c r="O1719" s="81">
        <f>IFERROR(VLOOKUP($G1719,'321買'!A:E,3,0),"'沒有資料'")</f>
        <v>1</v>
      </c>
      <c r="P1719" s="380">
        <f>IFERROR(VLOOKUP($G1719,'321買'!$A:$G,7,0),"'沒有資料'")</f>
        <v>783</v>
      </c>
      <c r="R1719" s="297">
        <f>IFERROR(RANK(VLOOKUP($G1719,連買!$A:$D,4,0),連買!$D:$D,0),"'沒有資料'")</f>
        <v>1288</v>
      </c>
      <c r="S1719" s="34">
        <v>0</v>
      </c>
      <c r="T1719" s="353">
        <f t="shared" si="324"/>
        <v>0</v>
      </c>
      <c r="U1719" s="95">
        <v>-0.71</v>
      </c>
      <c r="V1719" s="36">
        <f>RTD("money.excel",,"3518","Price")</f>
        <v>20.75</v>
      </c>
      <c r="W1719" s="66"/>
      <c r="X1719" s="15">
        <f t="shared" si="319"/>
        <v>20.75</v>
      </c>
      <c r="Y1719" s="3" t="e">
        <f t="shared" si="320"/>
        <v>#DIV/0!</v>
      </c>
      <c r="AA1719" s="161">
        <v>0</v>
      </c>
      <c r="AB1719" s="409">
        <v>0</v>
      </c>
      <c r="AC1719" s="259">
        <f t="shared" si="311"/>
        <v>0</v>
      </c>
      <c r="AD1719" s="22" t="s">
        <v>507</v>
      </c>
      <c r="AG1719" s="33">
        <f t="shared" si="321"/>
        <v>0</v>
      </c>
      <c r="AH1719" s="43" t="s">
        <v>2761</v>
      </c>
      <c r="AI1719" s="63">
        <f t="shared" si="325"/>
        <v>7.4257425742574258E-4</v>
      </c>
      <c r="AJ1719" s="307">
        <f>RTD("money.excel",,$G1719,"PredictVolume")</f>
        <v>60</v>
      </c>
      <c r="AK1719" s="339"/>
    </row>
    <row r="1720" spans="1:37">
      <c r="A1720" s="415">
        <v>5.68</v>
      </c>
      <c r="B1720" s="79">
        <v>31</v>
      </c>
      <c r="C1720" s="79">
        <v>10</v>
      </c>
      <c r="D1720" s="79">
        <v>1</v>
      </c>
      <c r="E1720" s="79">
        <v>38</v>
      </c>
      <c r="F1720" s="57">
        <v>15.28</v>
      </c>
      <c r="G1720" s="79">
        <v>3541</v>
      </c>
      <c r="H1720" s="8" t="s">
        <v>316</v>
      </c>
      <c r="I1720" s="16" t="s">
        <v>157</v>
      </c>
      <c r="J1720" s="73">
        <v>23</v>
      </c>
      <c r="K1720" s="323">
        <v>2.77</v>
      </c>
      <c r="L1720" s="73">
        <v>15.31</v>
      </c>
      <c r="M1720" s="73">
        <v>13.76</v>
      </c>
      <c r="N1720" s="318">
        <f t="shared" si="323"/>
        <v>54.839999999999996</v>
      </c>
      <c r="O1720" s="81">
        <f>IFERROR(VLOOKUP($G1720,'321買'!A:E,3,0),"'沒有資料'")</f>
        <v>4</v>
      </c>
      <c r="P1720" s="380">
        <f>IFERROR(VLOOKUP($G1720,'321買'!$A:$G,7,0),"'沒有資料'")</f>
        <v>592</v>
      </c>
      <c r="Q1720" s="245" t="s">
        <v>3816</v>
      </c>
      <c r="R1720" s="297">
        <f>IFERROR(RANK(VLOOKUP($G1720,連買!$A:$D,4,0),連買!$D:$D,0),"'沒有資料'")</f>
        <v>362</v>
      </c>
      <c r="S1720" s="34">
        <v>2.02</v>
      </c>
      <c r="T1720" s="353">
        <f t="shared" si="324"/>
        <v>2.8571428571428571E-2</v>
      </c>
      <c r="U1720" s="95">
        <v>2.82</v>
      </c>
      <c r="V1720" s="36">
        <f>RTD("money.excel",,"3541","Price")</f>
        <v>70.7</v>
      </c>
      <c r="W1720" s="66"/>
      <c r="X1720" s="15">
        <f t="shared" si="319"/>
        <v>70.7</v>
      </c>
      <c r="Y1720" s="3" t="e">
        <f t="shared" si="320"/>
        <v>#DIV/0!</v>
      </c>
      <c r="Z1720" s="413" t="s">
        <v>1801</v>
      </c>
      <c r="AA1720" s="161">
        <v>0</v>
      </c>
      <c r="AB1720" s="409">
        <v>0</v>
      </c>
      <c r="AC1720" s="259">
        <f t="shared" si="311"/>
        <v>0</v>
      </c>
      <c r="AD1720" s="16" t="s">
        <v>157</v>
      </c>
      <c r="AG1720" s="33">
        <f t="shared" si="321"/>
        <v>0</v>
      </c>
      <c r="AH1720" s="120" t="s">
        <v>2703</v>
      </c>
      <c r="AI1720" s="63">
        <f t="shared" si="325"/>
        <v>5.0176056338028172E-3</v>
      </c>
      <c r="AJ1720" s="307">
        <f>RTD("money.excel",,$G1720,"PredictVolume")</f>
        <v>285</v>
      </c>
      <c r="AK1720" s="339"/>
    </row>
    <row r="1721" spans="1:37">
      <c r="A1721" s="415">
        <v>5.68</v>
      </c>
      <c r="B1721" s="91">
        <v>19</v>
      </c>
      <c r="C1721" s="91">
        <v>19</v>
      </c>
      <c r="D1721" s="91">
        <v>-4</v>
      </c>
      <c r="E1721" s="91">
        <v>-5</v>
      </c>
      <c r="F1721" s="57">
        <v>15.72</v>
      </c>
      <c r="G1721" s="79">
        <v>3551</v>
      </c>
      <c r="H1721" s="8" t="s">
        <v>316</v>
      </c>
      <c r="I1721" s="16" t="s">
        <v>480</v>
      </c>
      <c r="J1721" s="73">
        <v>39.17</v>
      </c>
      <c r="K1721" s="73">
        <v>4.8600000000000003</v>
      </c>
      <c r="L1721" s="73">
        <v>9.2799999999999994</v>
      </c>
      <c r="N1721" s="318">
        <f t="shared" si="323"/>
        <v>53.31</v>
      </c>
      <c r="O1721" s="81">
        <f>IFERROR(VLOOKUP($G1721,'321買'!A:E,3,0),"'沒有資料'")</f>
        <v>25</v>
      </c>
      <c r="P1721" s="380">
        <f>IFERROR(VLOOKUP($G1721,'321買'!$A:$G,7,0),"'沒有資料'")</f>
        <v>189</v>
      </c>
      <c r="R1721" s="297">
        <f>IFERROR(RANK(VLOOKUP($G1721,連買!$A:$D,4,0),連買!$D:$D,0),"'沒有資料'")</f>
        <v>318</v>
      </c>
      <c r="S1721" s="34">
        <v>2.2000000000000002</v>
      </c>
      <c r="T1721" s="353">
        <f t="shared" si="324"/>
        <v>3.3182503770739072E-2</v>
      </c>
      <c r="U1721" s="95">
        <v>4.4400000000000004</v>
      </c>
      <c r="V1721" s="36">
        <f>RTD("money.excel",,"3551","Price")</f>
        <v>66.3</v>
      </c>
      <c r="W1721" s="66"/>
      <c r="X1721" s="15">
        <f t="shared" si="319"/>
        <v>66.3</v>
      </c>
      <c r="Y1721" s="3" t="e">
        <f t="shared" si="320"/>
        <v>#DIV/0!</v>
      </c>
      <c r="AA1721" s="161">
        <v>0</v>
      </c>
      <c r="AB1721" s="409">
        <v>0</v>
      </c>
      <c r="AC1721" s="259">
        <f t="shared" si="311"/>
        <v>0</v>
      </c>
      <c r="AD1721" s="16" t="s">
        <v>480</v>
      </c>
      <c r="AG1721" s="33">
        <f t="shared" si="321"/>
        <v>0</v>
      </c>
      <c r="AH1721" s="43" t="s">
        <v>2492</v>
      </c>
      <c r="AI1721" s="63">
        <f t="shared" si="325"/>
        <v>1.6901408450704226E-3</v>
      </c>
      <c r="AJ1721" s="307">
        <f>RTD("money.excel",,$G1721,"PredictVolume")</f>
        <v>96</v>
      </c>
      <c r="AK1721" s="339"/>
    </row>
    <row r="1722" spans="1:37">
      <c r="A1722" s="416">
        <v>8.56</v>
      </c>
      <c r="B1722" s="93">
        <v>1368</v>
      </c>
      <c r="C1722" s="79">
        <v>763</v>
      </c>
      <c r="D1722" s="79">
        <v>1</v>
      </c>
      <c r="E1722" s="80">
        <v>-13</v>
      </c>
      <c r="F1722" s="6">
        <v>5.17</v>
      </c>
      <c r="G1722" s="79">
        <v>3552</v>
      </c>
      <c r="H1722" s="8" t="s">
        <v>316</v>
      </c>
      <c r="I1722" s="16" t="s">
        <v>5015</v>
      </c>
      <c r="J1722" s="73">
        <v>36.58</v>
      </c>
      <c r="K1722" s="323">
        <v>21.55</v>
      </c>
      <c r="L1722" s="323">
        <v>26.82</v>
      </c>
      <c r="M1722" s="323">
        <v>18.88</v>
      </c>
      <c r="N1722" s="318">
        <f t="shared" si="323"/>
        <v>103.82999999999998</v>
      </c>
      <c r="O1722" s="81">
        <f>IFERROR(VLOOKUP($G1722,'321買'!A:E,3,0),"'沒有資料'")</f>
        <v>34</v>
      </c>
      <c r="P1722" s="380">
        <f>IFERROR(VLOOKUP($G1722,'321買'!$A:$G,7,0),"'沒有資料'")</f>
        <v>135</v>
      </c>
      <c r="Q1722" s="245" t="s">
        <v>3816</v>
      </c>
      <c r="R1722" s="297">
        <f>IFERROR(RANK(VLOOKUP($G1722,連買!$A:$D,4,0),連買!$D:$D,0),"'沒有資料'")</f>
        <v>1714</v>
      </c>
      <c r="S1722" s="34">
        <v>1.5</v>
      </c>
      <c r="T1722" s="353">
        <f t="shared" si="324"/>
        <v>8.5470085470085479E-3</v>
      </c>
      <c r="U1722" s="95">
        <v>6.38</v>
      </c>
      <c r="V1722" s="36">
        <f>RTD("money.excel",,"3552","Price")</f>
        <v>175.5</v>
      </c>
      <c r="W1722" s="66"/>
      <c r="X1722" s="15">
        <f t="shared" si="319"/>
        <v>175.5</v>
      </c>
      <c r="Y1722" s="3" t="e">
        <f t="shared" si="320"/>
        <v>#DIV/0!</v>
      </c>
      <c r="Z1722" s="413" t="s">
        <v>1801</v>
      </c>
      <c r="AA1722" s="161">
        <v>0</v>
      </c>
      <c r="AB1722" s="409">
        <v>0</v>
      </c>
      <c r="AC1722" s="259">
        <f t="shared" si="311"/>
        <v>0</v>
      </c>
      <c r="AD1722" s="16" t="s">
        <v>5015</v>
      </c>
      <c r="AG1722" s="33">
        <f t="shared" si="321"/>
        <v>0</v>
      </c>
      <c r="AH1722" s="120" t="s">
        <v>2509</v>
      </c>
      <c r="AI1722" s="63">
        <f t="shared" si="325"/>
        <v>0.22934579439252337</v>
      </c>
      <c r="AJ1722" s="307">
        <f>RTD("money.excel",,$G1722,"PredictVolume")</f>
        <v>19632</v>
      </c>
      <c r="AK1722" s="339"/>
    </row>
    <row r="1723" spans="1:37">
      <c r="A1723" s="415">
        <v>3.95</v>
      </c>
      <c r="B1723" s="79">
        <v>64</v>
      </c>
      <c r="C1723" s="79">
        <v>168</v>
      </c>
      <c r="D1723" s="80">
        <v>-26</v>
      </c>
      <c r="E1723" s="80">
        <v>-32</v>
      </c>
      <c r="F1723" s="57">
        <v>17.600000000000001</v>
      </c>
      <c r="G1723" s="79">
        <v>3580</v>
      </c>
      <c r="H1723" s="8" t="s">
        <v>316</v>
      </c>
      <c r="I1723" s="16" t="s">
        <v>5016</v>
      </c>
      <c r="J1723" s="323">
        <v>16.82</v>
      </c>
      <c r="K1723" s="73">
        <v>4.29</v>
      </c>
      <c r="L1723" s="73">
        <v>39.159999999999997</v>
      </c>
      <c r="M1723" s="323">
        <v>10.74</v>
      </c>
      <c r="N1723" s="318">
        <f t="shared" si="323"/>
        <v>71.009999999999991</v>
      </c>
      <c r="O1723" s="81">
        <f>IFERROR(VLOOKUP($G1723,'321買'!A:E,3,0),"'沒有資料'")</f>
        <v>13</v>
      </c>
      <c r="P1723" s="380">
        <f>IFERROR(VLOOKUP($G1723,'321買'!$A:$G,7,0),"'沒有資料'")</f>
        <v>368</v>
      </c>
      <c r="Q1723" s="245" t="s">
        <v>3816</v>
      </c>
      <c r="R1723" s="297">
        <f>IFERROR(RANK(VLOOKUP($G1723,連買!$A:$D,4,0),連買!$D:$D,0),"'沒有資料'")</f>
        <v>289</v>
      </c>
      <c r="S1723" s="34">
        <v>2.1</v>
      </c>
      <c r="T1723" s="353">
        <f t="shared" si="324"/>
        <v>2.9829545454545452E-2</v>
      </c>
      <c r="U1723" s="95">
        <v>3.02</v>
      </c>
      <c r="V1723" s="36">
        <f>RTD("money.excel",,"3580","Price")</f>
        <v>70.400000000000006</v>
      </c>
      <c r="W1723" s="66"/>
      <c r="X1723" s="15">
        <f t="shared" si="319"/>
        <v>70.400000000000006</v>
      </c>
      <c r="Y1723" s="3" t="e">
        <f t="shared" si="320"/>
        <v>#DIV/0!</v>
      </c>
      <c r="Z1723" s="413" t="s">
        <v>1801</v>
      </c>
      <c r="AA1723" s="161">
        <v>0</v>
      </c>
      <c r="AB1723" s="409">
        <v>0</v>
      </c>
      <c r="AC1723" s="259">
        <f t="shared" si="311"/>
        <v>0</v>
      </c>
      <c r="AD1723" s="16" t="s">
        <v>5016</v>
      </c>
      <c r="AG1723" s="33">
        <f t="shared" si="321"/>
        <v>0</v>
      </c>
      <c r="AH1723" s="120" t="s">
        <v>2506</v>
      </c>
      <c r="AI1723" s="63">
        <f t="shared" si="325"/>
        <v>9.7215189873417727E-3</v>
      </c>
      <c r="AJ1723" s="307">
        <f>RTD("money.excel",,$G1723,"PredictVolume")</f>
        <v>384</v>
      </c>
      <c r="AK1723" s="339">
        <v>27.61</v>
      </c>
    </row>
    <row r="1724" spans="1:37">
      <c r="A1724" s="415">
        <v>6.23</v>
      </c>
      <c r="B1724" s="79">
        <v>53</v>
      </c>
      <c r="C1724" s="79">
        <v>61</v>
      </c>
      <c r="D1724" s="79">
        <v>13</v>
      </c>
      <c r="E1724" s="79">
        <v>16</v>
      </c>
      <c r="F1724" s="57">
        <v>20.190000000000001</v>
      </c>
      <c r="G1724" s="79">
        <v>3587</v>
      </c>
      <c r="H1724" s="8" t="s">
        <v>316</v>
      </c>
      <c r="I1724" s="16" t="s">
        <v>158</v>
      </c>
      <c r="J1724" s="73">
        <v>27.72</v>
      </c>
      <c r="K1724" s="73">
        <v>7.02</v>
      </c>
      <c r="L1724" s="73">
        <v>20.45</v>
      </c>
      <c r="M1724" s="323">
        <v>22.13</v>
      </c>
      <c r="N1724" s="318">
        <f t="shared" si="323"/>
        <v>77.319999999999993</v>
      </c>
      <c r="O1724" s="81">
        <f>IFERROR(VLOOKUP($G1724,'321買'!A:E,3,0),"'沒有資料'")</f>
        <v>34</v>
      </c>
      <c r="P1724" s="380">
        <f>IFERROR(VLOOKUP($G1724,'321買'!$A:$G,7,0),"'沒有資料'")</f>
        <v>130</v>
      </c>
      <c r="Q1724" s="245" t="s">
        <v>3817</v>
      </c>
      <c r="R1724" s="297">
        <f>IFERROR(RANK(VLOOKUP($G1724,連買!$A:$D,4,0),連買!$D:$D,0),"'沒有資料'")</f>
        <v>94</v>
      </c>
      <c r="S1724" s="66">
        <v>4.5</v>
      </c>
      <c r="T1724" s="353">
        <f t="shared" si="324"/>
        <v>3.2490974729241874E-2</v>
      </c>
      <c r="U1724" s="95">
        <v>8.48</v>
      </c>
      <c r="V1724" s="36">
        <f>RTD("money.excel",,"3587","Price")</f>
        <v>138.5</v>
      </c>
      <c r="W1724" s="66"/>
      <c r="X1724" s="15">
        <f t="shared" si="319"/>
        <v>138.5</v>
      </c>
      <c r="Y1724" s="3" t="e">
        <f t="shared" si="320"/>
        <v>#DIV/0!</v>
      </c>
      <c r="Z1724" s="413" t="s">
        <v>1997</v>
      </c>
      <c r="AA1724" s="161">
        <v>0</v>
      </c>
      <c r="AB1724" s="409">
        <v>0</v>
      </c>
      <c r="AC1724" s="259">
        <f t="shared" si="311"/>
        <v>0</v>
      </c>
      <c r="AD1724" s="16" t="s">
        <v>158</v>
      </c>
      <c r="AG1724" s="33">
        <f t="shared" si="321"/>
        <v>0</v>
      </c>
      <c r="AH1724" s="120" t="s">
        <v>2127</v>
      </c>
      <c r="AI1724" s="63">
        <f t="shared" si="325"/>
        <v>5.6340288924558585E-3</v>
      </c>
      <c r="AJ1724" s="307">
        <f>RTD("money.excel",,$G1724,"PredictVolume")</f>
        <v>351</v>
      </c>
      <c r="AK1724" s="339"/>
    </row>
    <row r="1725" spans="1:37">
      <c r="A1725" s="416">
        <v>8.1</v>
      </c>
      <c r="B1725" s="80">
        <v>-62</v>
      </c>
      <c r="C1725" s="80">
        <v>-54</v>
      </c>
      <c r="D1725" s="80">
        <v>-1</v>
      </c>
      <c r="E1725" s="80">
        <v>-7</v>
      </c>
      <c r="F1725" s="6">
        <v>4.2300000000000004</v>
      </c>
      <c r="G1725" s="79">
        <v>3617</v>
      </c>
      <c r="H1725" s="8" t="s">
        <v>316</v>
      </c>
      <c r="I1725" s="22" t="s">
        <v>508</v>
      </c>
      <c r="J1725" s="323">
        <v>67.61</v>
      </c>
      <c r="K1725" s="323">
        <v>3.19</v>
      </c>
      <c r="L1725" s="323">
        <v>3.19</v>
      </c>
      <c r="N1725" s="318">
        <f t="shared" si="323"/>
        <v>73.989999999999995</v>
      </c>
      <c r="O1725" s="81">
        <f>IFERROR(VLOOKUP($G1725,'321買'!A:E,3,0),"'沒有資料'")</f>
        <v>0</v>
      </c>
      <c r="P1725" s="380">
        <f>IFERROR(VLOOKUP($G1725,'321買'!$A:$G,7,0),"'沒有資料'")</f>
        <v>911</v>
      </c>
      <c r="R1725" s="297">
        <f>IFERROR(RANK(VLOOKUP($G1725,連買!$A:$D,4,0),連買!$D:$D,0),"'沒有資料'")</f>
        <v>1691</v>
      </c>
      <c r="S1725" s="66">
        <v>5.4</v>
      </c>
      <c r="T1725" s="353">
        <f t="shared" si="324"/>
        <v>7.883211678832118E-2</v>
      </c>
      <c r="U1725" s="95">
        <v>5.72</v>
      </c>
      <c r="V1725" s="36">
        <f>RTD("money.excel",,"3617","Price")</f>
        <v>68.5</v>
      </c>
      <c r="W1725" s="66"/>
      <c r="X1725" s="15">
        <f t="shared" si="319"/>
        <v>68.5</v>
      </c>
      <c r="Y1725" s="3" t="e">
        <f t="shared" si="320"/>
        <v>#DIV/0!</v>
      </c>
      <c r="Z1725" s="413" t="s">
        <v>1831</v>
      </c>
      <c r="AA1725" s="161">
        <v>0</v>
      </c>
      <c r="AB1725" s="409">
        <v>0</v>
      </c>
      <c r="AC1725" s="259">
        <f t="shared" si="311"/>
        <v>0</v>
      </c>
      <c r="AD1725" s="22" t="s">
        <v>508</v>
      </c>
      <c r="AG1725" s="33">
        <f t="shared" si="321"/>
        <v>0</v>
      </c>
      <c r="AH1725" s="43" t="s">
        <v>1447</v>
      </c>
      <c r="AI1725" s="63">
        <f t="shared" si="325"/>
        <v>8.641975308641975E-5</v>
      </c>
      <c r="AJ1725" s="307">
        <f>RTD("money.excel",,$G1725,"PredictVolume")</f>
        <v>7</v>
      </c>
      <c r="AK1725" s="339"/>
    </row>
    <row r="1726" spans="1:37">
      <c r="A1726" s="416">
        <v>4.5</v>
      </c>
      <c r="B1726" s="91">
        <v>-13</v>
      </c>
      <c r="C1726" s="91">
        <v>155</v>
      </c>
      <c r="D1726" s="91">
        <v>12</v>
      </c>
      <c r="E1726" s="91">
        <v>-4</v>
      </c>
      <c r="F1726" s="6">
        <v>2.48</v>
      </c>
      <c r="G1726" s="79">
        <v>3628</v>
      </c>
      <c r="H1726" s="8" t="s">
        <v>316</v>
      </c>
      <c r="I1726" s="16" t="s">
        <v>5017</v>
      </c>
      <c r="J1726" s="73">
        <v>62.39</v>
      </c>
      <c r="K1726" s="73">
        <v>0.17</v>
      </c>
      <c r="L1726" s="73">
        <v>5.16</v>
      </c>
      <c r="N1726" s="318">
        <f t="shared" si="323"/>
        <v>67.72</v>
      </c>
      <c r="O1726" s="81">
        <f>IFERROR(VLOOKUP($G1726,'321買'!A:E,3,0),"'沒有資料'")</f>
        <v>6</v>
      </c>
      <c r="P1726" s="380">
        <f>IFERROR(VLOOKUP($G1726,'321買'!$A:$G,7,0),"'沒有資料'")</f>
        <v>521</v>
      </c>
      <c r="R1726" s="297">
        <f>IFERROR(RANK(VLOOKUP($G1726,連買!$A:$D,4,0),連買!$D:$D,0),"'沒有資料'")</f>
        <v>472</v>
      </c>
      <c r="S1726" s="34">
        <v>1</v>
      </c>
      <c r="T1726" s="353">
        <f t="shared" si="324"/>
        <v>1.968503937007874E-2</v>
      </c>
      <c r="U1726" s="95">
        <v>0.93</v>
      </c>
      <c r="V1726" s="36">
        <f>RTD("money.excel",,"3628","Price")</f>
        <v>50.8</v>
      </c>
      <c r="W1726" s="66"/>
      <c r="X1726" s="15">
        <f t="shared" si="319"/>
        <v>50.8</v>
      </c>
      <c r="Y1726" s="3" t="e">
        <f t="shared" si="320"/>
        <v>#DIV/0!</v>
      </c>
      <c r="AA1726" s="161">
        <v>0</v>
      </c>
      <c r="AB1726" s="409">
        <v>0</v>
      </c>
      <c r="AC1726" s="259">
        <f t="shared" si="311"/>
        <v>0</v>
      </c>
      <c r="AD1726" s="16" t="s">
        <v>5017</v>
      </c>
      <c r="AG1726" s="33">
        <f t="shared" si="321"/>
        <v>0</v>
      </c>
      <c r="AH1726" s="43" t="s">
        <v>1447</v>
      </c>
      <c r="AI1726" s="63">
        <f t="shared" si="325"/>
        <v>7.7555555555555555E-3</v>
      </c>
      <c r="AJ1726" s="307">
        <f>RTD("money.excel",,$G1726,"PredictVolume")</f>
        <v>349</v>
      </c>
      <c r="AK1726" s="339"/>
    </row>
    <row r="1727" spans="1:37">
      <c r="A1727" s="416">
        <v>3.54</v>
      </c>
      <c r="B1727" s="91">
        <v>-314</v>
      </c>
      <c r="C1727" s="91">
        <v>-29</v>
      </c>
      <c r="D1727" s="91">
        <v>5</v>
      </c>
      <c r="E1727" s="91">
        <v>56</v>
      </c>
      <c r="F1727" s="6">
        <v>-35</v>
      </c>
      <c r="G1727" s="79">
        <v>3642</v>
      </c>
      <c r="H1727" s="8" t="s">
        <v>316</v>
      </c>
      <c r="I1727" s="16" t="s">
        <v>481</v>
      </c>
      <c r="J1727" s="73">
        <v>44.87</v>
      </c>
      <c r="K1727" s="73">
        <v>0.21</v>
      </c>
      <c r="L1727" s="73">
        <v>78.930000000000007</v>
      </c>
      <c r="N1727" s="318">
        <f t="shared" si="323"/>
        <v>124.01</v>
      </c>
      <c r="O1727" s="81">
        <f>IFERROR(VLOOKUP($G1727,'321買'!A:E,3,0),"'沒有資料'")</f>
        <v>0</v>
      </c>
      <c r="P1727" s="380">
        <f>IFERROR(VLOOKUP($G1727,'321買'!$A:$G,7,0),"'沒有資料'")</f>
        <v>911</v>
      </c>
      <c r="R1727" s="297">
        <f>IFERROR(RANK(VLOOKUP($G1727,連買!$A:$D,4,0),連買!$D:$D,0),"'沒有資料'")</f>
        <v>1327</v>
      </c>
      <c r="S1727" s="34">
        <v>0</v>
      </c>
      <c r="T1727" s="353">
        <f t="shared" si="324"/>
        <v>0</v>
      </c>
      <c r="U1727" s="95">
        <v>-4.46</v>
      </c>
      <c r="V1727" s="36">
        <f>RTD("money.excel",,"3642","Price")</f>
        <v>7.99</v>
      </c>
      <c r="W1727" s="66"/>
      <c r="X1727" s="15">
        <f t="shared" si="319"/>
        <v>7.99</v>
      </c>
      <c r="Y1727" s="3" t="e">
        <f t="shared" si="320"/>
        <v>#DIV/0!</v>
      </c>
      <c r="AA1727" s="161">
        <v>0</v>
      </c>
      <c r="AB1727" s="409">
        <v>0</v>
      </c>
      <c r="AC1727" s="259">
        <f t="shared" si="311"/>
        <v>0</v>
      </c>
      <c r="AD1727" s="16" t="s">
        <v>481</v>
      </c>
      <c r="AG1727" s="33">
        <f t="shared" si="321"/>
        <v>0</v>
      </c>
      <c r="AH1727" s="43" t="s">
        <v>2704</v>
      </c>
      <c r="AI1727" s="63">
        <f t="shared" si="325"/>
        <v>3.3898305084745762E-3</v>
      </c>
      <c r="AJ1727" s="307">
        <f>RTD("money.excel",,$G1727,"PredictVolume")</f>
        <v>120</v>
      </c>
    </row>
    <row r="1728" spans="1:37">
      <c r="A1728" s="416">
        <v>7.35</v>
      </c>
      <c r="B1728" s="91">
        <v>-71</v>
      </c>
      <c r="C1728" s="91">
        <v>169</v>
      </c>
      <c r="D1728" s="91">
        <v>43</v>
      </c>
      <c r="E1728" s="91">
        <v>97</v>
      </c>
      <c r="F1728" s="6">
        <v>1.35</v>
      </c>
      <c r="G1728" s="79">
        <v>3663</v>
      </c>
      <c r="H1728" s="8" t="s">
        <v>316</v>
      </c>
      <c r="I1728" s="16" t="s">
        <v>5018</v>
      </c>
      <c r="J1728" s="73">
        <v>64.98</v>
      </c>
      <c r="K1728" s="73">
        <v>3.67</v>
      </c>
      <c r="L1728" s="73">
        <v>15.94</v>
      </c>
      <c r="N1728" s="318">
        <f t="shared" si="323"/>
        <v>84.59</v>
      </c>
      <c r="O1728" s="81">
        <f>IFERROR(VLOOKUP($G1728,'321買'!A:E,3,0),"'沒有資料'")</f>
        <v>11</v>
      </c>
      <c r="P1728" s="380">
        <f>IFERROR(VLOOKUP($G1728,'321買'!$A:$G,7,0),"'沒有資料'")</f>
        <v>408</v>
      </c>
      <c r="R1728" s="297">
        <f>IFERROR(RANK(VLOOKUP($G1728,連買!$A:$D,4,0),連買!$D:$D,0),"'沒有資料'")</f>
        <v>1602</v>
      </c>
      <c r="S1728" s="34">
        <v>0.8</v>
      </c>
      <c r="T1728" s="353">
        <f t="shared" si="324"/>
        <v>2.5931928687196109E-2</v>
      </c>
      <c r="U1728" s="95">
        <v>0.64</v>
      </c>
      <c r="V1728" s="36">
        <f>RTD("money.excel",,"3663","Price")</f>
        <v>30.85</v>
      </c>
      <c r="W1728" s="66"/>
      <c r="X1728" s="15">
        <f t="shared" si="319"/>
        <v>30.85</v>
      </c>
      <c r="Y1728" s="3" t="e">
        <f t="shared" si="320"/>
        <v>#DIV/0!</v>
      </c>
      <c r="Z1728" s="413" t="s">
        <v>1801</v>
      </c>
      <c r="AA1728" s="161">
        <v>0</v>
      </c>
      <c r="AB1728" s="409">
        <v>0</v>
      </c>
      <c r="AC1728" s="259">
        <f t="shared" si="311"/>
        <v>0</v>
      </c>
      <c r="AD1728" s="16" t="s">
        <v>5018</v>
      </c>
      <c r="AG1728" s="33">
        <f t="shared" si="321"/>
        <v>0</v>
      </c>
      <c r="AH1728" s="43" t="s">
        <v>2705</v>
      </c>
      <c r="AI1728" s="63">
        <f t="shared" si="325"/>
        <v>1.1428571428571429E-3</v>
      </c>
      <c r="AJ1728" s="307">
        <f>RTD("money.excel",,$G1728,"PredictVolume")</f>
        <v>84</v>
      </c>
      <c r="AK1728" s="339"/>
    </row>
    <row r="1729" spans="1:37">
      <c r="A1729" s="416">
        <v>15.06</v>
      </c>
      <c r="B1729" s="79">
        <v>18</v>
      </c>
      <c r="C1729" s="79">
        <v>9</v>
      </c>
      <c r="D1729" s="79">
        <v>6</v>
      </c>
      <c r="E1729" s="79">
        <v>44</v>
      </c>
      <c r="F1729" s="6">
        <v>9.18</v>
      </c>
      <c r="G1729" s="79">
        <v>3665</v>
      </c>
      <c r="H1729" s="204" t="s">
        <v>316</v>
      </c>
      <c r="I1729" s="22" t="s">
        <v>269</v>
      </c>
      <c r="J1729" s="323">
        <v>57.22</v>
      </c>
      <c r="K1729" s="73">
        <v>46.92</v>
      </c>
      <c r="L1729" s="323">
        <v>8.9700000000000006</v>
      </c>
      <c r="M1729" s="323">
        <v>4</v>
      </c>
      <c r="N1729" s="318">
        <f t="shared" si="323"/>
        <v>117.11</v>
      </c>
      <c r="O1729" s="81">
        <f>IFERROR(VLOOKUP($G1729,'321買'!A:E,3,0),"'沒有資料'")</f>
        <v>19</v>
      </c>
      <c r="P1729" s="380">
        <f>IFERROR(VLOOKUP($G1729,'321買'!$A:$G,7,0),"'沒有資料'")</f>
        <v>273</v>
      </c>
      <c r="Q1729" s="245" t="s">
        <v>5088</v>
      </c>
      <c r="R1729" s="297">
        <f>IFERROR(RANK(VLOOKUP($G1729,連買!$A:$D,4,0),連買!$D:$D,0),"'沒有資料'")</f>
        <v>30</v>
      </c>
      <c r="S1729" s="66">
        <v>8.1</v>
      </c>
      <c r="T1729" s="353">
        <f t="shared" si="324"/>
        <v>2.7045075125208679E-2</v>
      </c>
      <c r="U1729" s="57">
        <v>15.51</v>
      </c>
      <c r="V1729" s="13">
        <f>RTD("money.excel",,"3665","Price")</f>
        <v>299.5</v>
      </c>
      <c r="W1729" s="66"/>
      <c r="X1729" s="15">
        <f t="shared" si="319"/>
        <v>299.5</v>
      </c>
      <c r="Y1729" s="3" t="e">
        <f t="shared" si="320"/>
        <v>#DIV/0!</v>
      </c>
      <c r="Z1729" s="413" t="s">
        <v>1997</v>
      </c>
      <c r="AA1729" s="161">
        <v>0</v>
      </c>
      <c r="AB1729" s="409">
        <v>0</v>
      </c>
      <c r="AC1729" s="259">
        <f t="shared" si="311"/>
        <v>0</v>
      </c>
      <c r="AD1729" s="22" t="s">
        <v>269</v>
      </c>
      <c r="AG1729" s="33">
        <f t="shared" si="321"/>
        <v>0</v>
      </c>
      <c r="AH1729" s="120" t="s">
        <v>2494</v>
      </c>
      <c r="AI1729" s="63">
        <f t="shared" si="325"/>
        <v>7.2177954847277553E-3</v>
      </c>
      <c r="AJ1729" s="307">
        <f>RTD("money.excel",,$G1729,"PredictVolume")</f>
        <v>1087</v>
      </c>
      <c r="AK1729" s="339">
        <v>5.0599999999999996</v>
      </c>
    </row>
    <row r="1730" spans="1:37">
      <c r="A1730" s="416">
        <v>2.14</v>
      </c>
      <c r="B1730" s="80">
        <v>-45</v>
      </c>
      <c r="C1730" s="80">
        <v>-62</v>
      </c>
      <c r="D1730" s="80">
        <v>-8</v>
      </c>
      <c r="E1730" s="79">
        <v>7</v>
      </c>
      <c r="F1730" s="6">
        <v>1.01</v>
      </c>
      <c r="G1730" s="79">
        <v>4554</v>
      </c>
      <c r="H1730" s="8" t="s">
        <v>316</v>
      </c>
      <c r="I1730" s="24" t="s">
        <v>244</v>
      </c>
      <c r="J1730" s="323">
        <v>36.770000000000003</v>
      </c>
      <c r="K1730" s="323">
        <v>23.66</v>
      </c>
      <c r="L1730" s="323"/>
      <c r="N1730" s="318">
        <f t="shared" si="323"/>
        <v>60.430000000000007</v>
      </c>
      <c r="O1730" s="81" t="str">
        <f>IFERROR(VLOOKUP($G1730,'321買'!A:E,3,0),"'沒有資料'")</f>
        <v>'沒有資料'</v>
      </c>
      <c r="P1730" s="380" t="str">
        <f>IFERROR(VLOOKUP($G1730,'321買'!$A:$G,7,0),"'沒有資料'")</f>
        <v>'沒有資料'</v>
      </c>
      <c r="R1730" s="297">
        <f>IFERROR(RANK(VLOOKUP($G1730,連買!$A:$D,4,0),連買!$D:$D,0),"'沒有資料'")</f>
        <v>1533</v>
      </c>
      <c r="S1730" s="34">
        <v>0.14000000000000001</v>
      </c>
      <c r="T1730" s="353">
        <f t="shared" si="324"/>
        <v>4.0345821325648411E-3</v>
      </c>
      <c r="U1730" s="95">
        <v>0.24</v>
      </c>
      <c r="V1730" s="36">
        <f>RTD("money.excel",,"4554","Price")</f>
        <v>34.700000000000003</v>
      </c>
      <c r="W1730" s="66"/>
      <c r="X1730" s="15">
        <f t="shared" si="319"/>
        <v>34.700000000000003</v>
      </c>
      <c r="Y1730" s="3" t="e">
        <f t="shared" si="320"/>
        <v>#DIV/0!</v>
      </c>
      <c r="Z1730" s="413" t="s">
        <v>1801</v>
      </c>
      <c r="AA1730" s="161">
        <v>0</v>
      </c>
      <c r="AB1730" s="409">
        <v>0</v>
      </c>
      <c r="AC1730" s="259">
        <f t="shared" si="311"/>
        <v>0</v>
      </c>
      <c r="AD1730" s="24" t="s">
        <v>244</v>
      </c>
      <c r="AG1730" s="33">
        <f t="shared" si="321"/>
        <v>0</v>
      </c>
      <c r="AH1730" s="122" t="s">
        <v>2332</v>
      </c>
      <c r="AI1730" s="63">
        <f t="shared" si="325"/>
        <v>1.1495327102803739E-2</v>
      </c>
      <c r="AJ1730" s="307">
        <f>RTD("money.excel",,$G1730,"PredictVolume")</f>
        <v>246</v>
      </c>
      <c r="AK1730" s="339"/>
    </row>
    <row r="1731" spans="1:37">
      <c r="A1731" s="415">
        <v>3.23</v>
      </c>
      <c r="B1731" s="79">
        <v>79</v>
      </c>
      <c r="C1731" s="79">
        <v>74</v>
      </c>
      <c r="D1731" s="80">
        <v>-10</v>
      </c>
      <c r="E1731" s="80">
        <v>-18</v>
      </c>
      <c r="F1731" s="57">
        <v>14.49</v>
      </c>
      <c r="G1731" s="79">
        <v>4760</v>
      </c>
      <c r="H1731" s="8" t="s">
        <v>316</v>
      </c>
      <c r="I1731" s="24" t="s">
        <v>3461</v>
      </c>
      <c r="J1731" s="73">
        <v>30.96</v>
      </c>
      <c r="K1731" s="73">
        <v>1.93</v>
      </c>
      <c r="L1731" s="323">
        <v>20.85</v>
      </c>
      <c r="M1731" s="323">
        <v>23.43</v>
      </c>
      <c r="N1731" s="318">
        <f t="shared" si="323"/>
        <v>77.17</v>
      </c>
      <c r="O1731" s="81">
        <f>IFERROR(VLOOKUP($G1731,'321買'!A:E,3,0),"'沒有資料'")</f>
        <v>35</v>
      </c>
      <c r="P1731" s="380">
        <f>IFERROR(VLOOKUP($G1731,'321買'!$A:$G,7,0),"'沒有資料'")</f>
        <v>122</v>
      </c>
      <c r="Q1731" s="245" t="s">
        <v>3817</v>
      </c>
      <c r="R1731" s="297">
        <f>IFERROR(RANK(VLOOKUP($G1731,連買!$A:$D,4,0),連買!$D:$D,0),"'沒有資料'")</f>
        <v>1733</v>
      </c>
      <c r="S1731" s="66">
        <v>3.17</v>
      </c>
      <c r="T1731" s="353">
        <f t="shared" si="324"/>
        <v>4.1168831168831167E-2</v>
      </c>
      <c r="U1731" s="95">
        <v>7.05</v>
      </c>
      <c r="V1731" s="36">
        <f>RTD("money.excel",,"4760","Price")</f>
        <v>77</v>
      </c>
      <c r="W1731" s="66"/>
      <c r="X1731" s="15">
        <f t="shared" si="319"/>
        <v>77</v>
      </c>
      <c r="Y1731" s="3" t="e">
        <f t="shared" si="320"/>
        <v>#DIV/0!</v>
      </c>
      <c r="Z1731" s="413" t="s">
        <v>1997</v>
      </c>
      <c r="AA1731" s="161">
        <v>0</v>
      </c>
      <c r="AB1731" s="409">
        <v>0</v>
      </c>
      <c r="AC1731" s="259">
        <f t="shared" si="311"/>
        <v>0</v>
      </c>
      <c r="AD1731" s="24" t="s">
        <v>3461</v>
      </c>
      <c r="AG1731" s="33">
        <f t="shared" si="321"/>
        <v>0</v>
      </c>
      <c r="AH1731" s="122" t="s">
        <v>2722</v>
      </c>
      <c r="AI1731" s="63">
        <f t="shared" si="325"/>
        <v>8.6687306501547986E-4</v>
      </c>
      <c r="AJ1731" s="307">
        <f>RTD("money.excel",,$G1731,"PredictVolume")</f>
        <v>28</v>
      </c>
      <c r="AK1731" s="339">
        <v>82.6</v>
      </c>
    </row>
    <row r="1732" spans="1:37">
      <c r="A1732" s="416">
        <v>1.93</v>
      </c>
      <c r="B1732" s="91">
        <v>16</v>
      </c>
      <c r="C1732" s="91">
        <v>14</v>
      </c>
      <c r="D1732" s="91">
        <v>-61</v>
      </c>
      <c r="E1732" s="140">
        <v>2840</v>
      </c>
      <c r="F1732" s="6">
        <v>-29</v>
      </c>
      <c r="G1732" s="79">
        <v>5205</v>
      </c>
      <c r="H1732" s="8" t="s">
        <v>316</v>
      </c>
      <c r="I1732" s="16" t="s">
        <v>1078</v>
      </c>
      <c r="J1732" s="73">
        <v>47.51</v>
      </c>
      <c r="K1732" s="73">
        <v>0</v>
      </c>
      <c r="N1732" s="318">
        <f t="shared" si="323"/>
        <v>47.51</v>
      </c>
      <c r="O1732" s="81" t="str">
        <f>IFERROR(VLOOKUP($G1732,'321買'!A:E,3,0),"'沒有資料'")</f>
        <v>'沒有資料'</v>
      </c>
      <c r="P1732" s="380" t="str">
        <f>IFERROR(VLOOKUP($G1732,'321買'!$A:$G,7,0),"'沒有資料'")</f>
        <v>'沒有資料'</v>
      </c>
      <c r="R1732" s="297">
        <f>IFERROR(RANK(VLOOKUP($G1732,連買!$A:$D,4,0),連買!$D:$D,0),"'沒有資料'")</f>
        <v>1408</v>
      </c>
      <c r="S1732" s="34">
        <v>0</v>
      </c>
      <c r="T1732" s="353" t="e">
        <f t="shared" si="324"/>
        <v>#VALUE!</v>
      </c>
      <c r="U1732" s="95">
        <v>-0.59</v>
      </c>
      <c r="V1732" s="36" t="str">
        <f>RTD("money.excel",,"5205","Price")</f>
        <v>無資料</v>
      </c>
      <c r="W1732" s="66"/>
      <c r="X1732" s="15" t="e">
        <f t="shared" si="319"/>
        <v>#VALUE!</v>
      </c>
      <c r="Y1732" s="3" t="e">
        <f t="shared" si="320"/>
        <v>#VALUE!</v>
      </c>
      <c r="AA1732" s="161">
        <v>0</v>
      </c>
      <c r="AB1732" s="409">
        <v>0</v>
      </c>
      <c r="AC1732" s="259">
        <f t="shared" ref="AC1732:AC1795" si="326">AA1732-AB1732</f>
        <v>0</v>
      </c>
      <c r="AD1732" s="16" t="s">
        <v>1078</v>
      </c>
      <c r="AG1732" s="33">
        <f t="shared" si="321"/>
        <v>0</v>
      </c>
      <c r="AH1732" s="43" t="s">
        <v>2706</v>
      </c>
      <c r="AI1732" s="63">
        <f t="shared" si="325"/>
        <v>0</v>
      </c>
      <c r="AJ1732" s="307">
        <f>RTD("money.excel",,$G1732,"PredictVolume")</f>
        <v>0</v>
      </c>
      <c r="AK1732" s="339"/>
    </row>
    <row r="1733" spans="1:37">
      <c r="A1733" s="416">
        <v>6.15</v>
      </c>
      <c r="B1733" s="91">
        <v>-213</v>
      </c>
      <c r="C1733" s="91">
        <v>-199</v>
      </c>
      <c r="D1733" s="91">
        <v>-9</v>
      </c>
      <c r="E1733" s="91">
        <v>75</v>
      </c>
      <c r="F1733" s="6">
        <v>2.5299999999999998</v>
      </c>
      <c r="G1733" s="79">
        <v>5225</v>
      </c>
      <c r="H1733" s="8" t="s">
        <v>316</v>
      </c>
      <c r="I1733" s="22" t="s">
        <v>509</v>
      </c>
      <c r="J1733" s="73">
        <v>70.709999999999994</v>
      </c>
      <c r="K1733" s="73">
        <v>60.4</v>
      </c>
      <c r="L1733" s="73">
        <v>5.43</v>
      </c>
      <c r="N1733" s="318">
        <f t="shared" si="323"/>
        <v>136.54</v>
      </c>
      <c r="O1733" s="81">
        <f>IFERROR(VLOOKUP($G1733,'321買'!A:E,3,0),"'沒有資料'")</f>
        <v>0</v>
      </c>
      <c r="P1733" s="380">
        <f>IFERROR(VLOOKUP($G1733,'321買'!$A:$G,7,0),"'沒有資料'")</f>
        <v>911</v>
      </c>
      <c r="R1733" s="297">
        <f>IFERROR(RANK(VLOOKUP($G1733,連買!$A:$D,4,0),連買!$D:$D,0),"'沒有資料'")</f>
        <v>738</v>
      </c>
      <c r="S1733" s="34">
        <v>0</v>
      </c>
      <c r="T1733" s="353">
        <f t="shared" si="324"/>
        <v>0</v>
      </c>
      <c r="U1733" s="231">
        <v>-11.09</v>
      </c>
      <c r="V1733" s="13">
        <f>RTD("money.excel",,"5225","Price")</f>
        <v>24</v>
      </c>
      <c r="W1733" s="66"/>
      <c r="X1733" s="15">
        <f t="shared" si="319"/>
        <v>24</v>
      </c>
      <c r="Y1733" s="3" t="e">
        <f t="shared" si="320"/>
        <v>#DIV/0!</v>
      </c>
      <c r="Z1733" s="413" t="s">
        <v>1801</v>
      </c>
      <c r="AA1733" s="161">
        <v>0</v>
      </c>
      <c r="AB1733" s="409">
        <v>0</v>
      </c>
      <c r="AC1733" s="259">
        <f t="shared" si="326"/>
        <v>0</v>
      </c>
      <c r="AD1733" s="22" t="s">
        <v>509</v>
      </c>
      <c r="AG1733" s="33">
        <f t="shared" si="321"/>
        <v>0</v>
      </c>
      <c r="AH1733" s="43" t="s">
        <v>2762</v>
      </c>
      <c r="AI1733" s="63">
        <f t="shared" si="325"/>
        <v>3.3495934959349594E-3</v>
      </c>
      <c r="AJ1733" s="307">
        <f>RTD("money.excel",,$G1733,"PredictVolume")</f>
        <v>206</v>
      </c>
      <c r="AK1733" s="339"/>
    </row>
    <row r="1734" spans="1:37">
      <c r="A1734" s="416">
        <v>7.94</v>
      </c>
      <c r="B1734" s="79">
        <v>68</v>
      </c>
      <c r="C1734" s="79">
        <v>92</v>
      </c>
      <c r="D1734" s="79">
        <v>33</v>
      </c>
      <c r="E1734" s="79">
        <v>26</v>
      </c>
      <c r="F1734" s="6">
        <v>-0.94</v>
      </c>
      <c r="G1734" s="79">
        <v>5383</v>
      </c>
      <c r="H1734" s="8" t="s">
        <v>316</v>
      </c>
      <c r="I1734" s="16" t="s">
        <v>482</v>
      </c>
      <c r="J1734" s="323">
        <v>57.18</v>
      </c>
      <c r="K1734" s="73">
        <v>8.7799999999999994</v>
      </c>
      <c r="N1734" s="318">
        <f t="shared" si="323"/>
        <v>65.959999999999994</v>
      </c>
      <c r="O1734" s="81">
        <f>IFERROR(VLOOKUP($G1734,'321買'!A:E,3,0),"'沒有資料'")</f>
        <v>1</v>
      </c>
      <c r="P1734" s="380">
        <f>IFERROR(VLOOKUP($G1734,'321買'!$A:$G,7,0),"'沒有資料'")</f>
        <v>783</v>
      </c>
      <c r="R1734" s="297">
        <f>IFERROR(RANK(VLOOKUP($G1734,連買!$A:$D,4,0),連買!$D:$D,0),"'沒有資料'")</f>
        <v>1371</v>
      </c>
      <c r="S1734" s="34">
        <v>0</v>
      </c>
      <c r="T1734" s="353">
        <f t="shared" si="324"/>
        <v>0</v>
      </c>
      <c r="U1734" s="57">
        <v>-0.81</v>
      </c>
      <c r="V1734" s="36">
        <f>RTD("money.excel",,"5383","Price")</f>
        <v>36.65</v>
      </c>
      <c r="W1734" s="66"/>
      <c r="X1734" s="15">
        <f t="shared" si="319"/>
        <v>36.65</v>
      </c>
      <c r="Y1734" s="3" t="e">
        <f t="shared" si="320"/>
        <v>#DIV/0!</v>
      </c>
      <c r="AA1734" s="161">
        <v>0</v>
      </c>
      <c r="AB1734" s="409">
        <v>0</v>
      </c>
      <c r="AC1734" s="259">
        <f t="shared" si="326"/>
        <v>0</v>
      </c>
      <c r="AD1734" s="16" t="s">
        <v>482</v>
      </c>
      <c r="AG1734" s="33">
        <f t="shared" si="321"/>
        <v>0</v>
      </c>
      <c r="AH1734" s="43" t="s">
        <v>2707</v>
      </c>
      <c r="AI1734" s="63">
        <f t="shared" si="325"/>
        <v>2.1158690176322418E-3</v>
      </c>
      <c r="AJ1734" s="307">
        <f>RTD("money.excel",,$G1734,"PredictVolume")</f>
        <v>168</v>
      </c>
      <c r="AK1734" s="339"/>
    </row>
    <row r="1735" spans="1:37">
      <c r="A1735" s="416">
        <v>14.8</v>
      </c>
      <c r="B1735" s="79">
        <v>267</v>
      </c>
      <c r="C1735" s="79">
        <v>308</v>
      </c>
      <c r="D1735" s="79">
        <v>0</v>
      </c>
      <c r="E1735" s="79">
        <v>35</v>
      </c>
      <c r="F1735" s="6">
        <v>8.5</v>
      </c>
      <c r="G1735" s="79">
        <v>5452</v>
      </c>
      <c r="H1735" s="8" t="s">
        <v>316</v>
      </c>
      <c r="I1735" s="16" t="s">
        <v>483</v>
      </c>
      <c r="J1735" s="323">
        <v>45.27</v>
      </c>
      <c r="K1735" s="323">
        <v>10.11</v>
      </c>
      <c r="L1735" s="323">
        <v>13.94</v>
      </c>
      <c r="N1735" s="318">
        <f t="shared" si="323"/>
        <v>69.320000000000007</v>
      </c>
      <c r="O1735" s="81">
        <f>IFERROR(VLOOKUP($G1735,'321買'!A:E,3,0),"'沒有資料'")</f>
        <v>5</v>
      </c>
      <c r="P1735" s="380">
        <f>IFERROR(VLOOKUP($G1735,'321買'!$A:$G,7,0),"'沒有資料'")</f>
        <v>558</v>
      </c>
      <c r="R1735" s="297">
        <f>IFERROR(RANK(VLOOKUP($G1735,連買!$A:$D,4,0),連買!$D:$D,0),"'沒有資料'")</f>
        <v>719</v>
      </c>
      <c r="S1735" s="34">
        <v>0.6</v>
      </c>
      <c r="T1735" s="353">
        <f t="shared" si="324"/>
        <v>2.9411764705882353E-2</v>
      </c>
      <c r="U1735" s="95">
        <v>1.63</v>
      </c>
      <c r="V1735" s="36">
        <f>RTD("money.excel",,"5452","Price")</f>
        <v>20.399999999999999</v>
      </c>
      <c r="W1735" s="66"/>
      <c r="X1735" s="15">
        <f t="shared" si="319"/>
        <v>20.399999999999999</v>
      </c>
      <c r="Y1735" s="3" t="e">
        <f t="shared" si="320"/>
        <v>#DIV/0!</v>
      </c>
      <c r="AA1735" s="161">
        <v>0</v>
      </c>
      <c r="AB1735" s="409">
        <v>0</v>
      </c>
      <c r="AC1735" s="259">
        <f t="shared" si="326"/>
        <v>0</v>
      </c>
      <c r="AD1735" s="16" t="s">
        <v>483</v>
      </c>
      <c r="AG1735" s="33">
        <f t="shared" si="321"/>
        <v>0</v>
      </c>
      <c r="AH1735" s="43" t="s">
        <v>2708</v>
      </c>
      <c r="AI1735" s="63">
        <f t="shared" si="325"/>
        <v>7.8378378378378378E-4</v>
      </c>
      <c r="AJ1735" s="307">
        <f>RTD("money.excel",,$G1735,"PredictVolume")</f>
        <v>116</v>
      </c>
      <c r="AK1735" s="339"/>
    </row>
    <row r="1736" spans="1:37">
      <c r="A1736" s="416">
        <v>10.199999999999999</v>
      </c>
      <c r="B1736" s="80">
        <v>-114</v>
      </c>
      <c r="C1736" s="80">
        <v>-77</v>
      </c>
      <c r="D1736" s="79">
        <v>62</v>
      </c>
      <c r="E1736" s="79">
        <v>11</v>
      </c>
      <c r="F1736" s="6">
        <v>4.51</v>
      </c>
      <c r="G1736" s="79">
        <v>5489</v>
      </c>
      <c r="H1736" s="8" t="s">
        <v>316</v>
      </c>
      <c r="I1736" s="16" t="s">
        <v>5019</v>
      </c>
      <c r="J1736" s="73">
        <v>78.849999999999994</v>
      </c>
      <c r="K1736" s="73">
        <v>0.91</v>
      </c>
      <c r="L1736" s="73">
        <v>1.04</v>
      </c>
      <c r="N1736" s="318">
        <f t="shared" si="323"/>
        <v>80.8</v>
      </c>
      <c r="O1736" s="81" t="str">
        <f>IFERROR(VLOOKUP($G1736,'321買'!A:E,3,0),"'沒有資料'")</f>
        <v>'沒有資料'</v>
      </c>
      <c r="P1736" s="380" t="str">
        <f>IFERROR(VLOOKUP($G1736,'321買'!$A:$G,7,0),"'沒有資料'")</f>
        <v>'沒有資料'</v>
      </c>
      <c r="R1736" s="297">
        <f>IFERROR(RANK(VLOOKUP($G1736,連買!$A:$D,4,0),連買!$D:$D,0),"'沒有資料'")</f>
        <v>1090</v>
      </c>
      <c r="S1736" s="34">
        <v>1</v>
      </c>
      <c r="T1736" s="353">
        <f t="shared" si="324"/>
        <v>2.9239766081871343E-2</v>
      </c>
      <c r="U1736" s="57">
        <v>-0.28999999999999998</v>
      </c>
      <c r="V1736" s="36">
        <f>RTD("money.excel",,"5489","Price")</f>
        <v>34.200000000000003</v>
      </c>
      <c r="W1736" s="66"/>
      <c r="X1736" s="15">
        <f t="shared" si="319"/>
        <v>34.200000000000003</v>
      </c>
      <c r="Y1736" s="3" t="e">
        <f t="shared" si="320"/>
        <v>#DIV/0!</v>
      </c>
      <c r="AA1736" s="161">
        <v>0</v>
      </c>
      <c r="AB1736" s="409">
        <v>0</v>
      </c>
      <c r="AC1736" s="259">
        <f t="shared" si="326"/>
        <v>0</v>
      </c>
      <c r="AD1736" s="16" t="s">
        <v>5019</v>
      </c>
      <c r="AG1736" s="33">
        <f t="shared" si="321"/>
        <v>0</v>
      </c>
      <c r="AH1736" s="120" t="s">
        <v>2618</v>
      </c>
      <c r="AI1736" s="63">
        <f t="shared" si="325"/>
        <v>4.9019607843137253E-5</v>
      </c>
      <c r="AJ1736" s="307">
        <f>RTD("money.excel",,$G1736,"PredictVolume")</f>
        <v>5</v>
      </c>
      <c r="AK1736" s="339"/>
    </row>
    <row r="1737" spans="1:37">
      <c r="A1737" s="416">
        <v>4.16</v>
      </c>
      <c r="B1737" s="91">
        <v>-9</v>
      </c>
      <c r="C1737" s="91">
        <v>-1</v>
      </c>
      <c r="D1737" s="91">
        <v>25</v>
      </c>
      <c r="E1737" s="91">
        <v>7</v>
      </c>
      <c r="F1737" s="6">
        <v>7.86</v>
      </c>
      <c r="G1737" s="79">
        <v>5493</v>
      </c>
      <c r="H1737" s="8" t="s">
        <v>316</v>
      </c>
      <c r="I1737" s="16" t="s">
        <v>5020</v>
      </c>
      <c r="J1737" s="73">
        <v>52.63</v>
      </c>
      <c r="K1737" s="73">
        <v>7.0000000000000007E-2</v>
      </c>
      <c r="L1737" s="73">
        <v>0.61</v>
      </c>
      <c r="N1737" s="318">
        <f t="shared" si="323"/>
        <v>53.31</v>
      </c>
      <c r="O1737" s="81">
        <f>IFERROR(VLOOKUP($G1737,'321買'!A:E,3,0),"'沒有資料'")</f>
        <v>0</v>
      </c>
      <c r="P1737" s="380">
        <f>IFERROR(VLOOKUP($G1737,'321買'!$A:$G,7,0),"'沒有資料'")</f>
        <v>911</v>
      </c>
      <c r="R1737" s="297">
        <f>IFERROR(RANK(VLOOKUP($G1737,連買!$A:$D,4,0),連買!$D:$D,0),"'沒有資料'")</f>
        <v>819</v>
      </c>
      <c r="S1737" s="34">
        <v>2</v>
      </c>
      <c r="T1737" s="353">
        <f t="shared" si="324"/>
        <v>3.6363636363636362E-2</v>
      </c>
      <c r="U1737" s="95">
        <v>2.8</v>
      </c>
      <c r="V1737" s="13">
        <f>RTD("money.excel",,"5493","Price")</f>
        <v>55</v>
      </c>
      <c r="W1737" s="66"/>
      <c r="X1737" s="15">
        <f t="shared" si="319"/>
        <v>55</v>
      </c>
      <c r="Y1737" s="3" t="e">
        <f t="shared" si="320"/>
        <v>#DIV/0!</v>
      </c>
      <c r="AA1737" s="161">
        <v>0</v>
      </c>
      <c r="AB1737" s="409">
        <v>0</v>
      </c>
      <c r="AC1737" s="259">
        <f t="shared" si="326"/>
        <v>0</v>
      </c>
      <c r="AD1737" s="16" t="s">
        <v>5020</v>
      </c>
      <c r="AG1737" s="33">
        <f t="shared" si="321"/>
        <v>0</v>
      </c>
      <c r="AH1737" s="43" t="s">
        <v>2709</v>
      </c>
      <c r="AI1737" s="63">
        <f t="shared" si="325"/>
        <v>2.2644230769230771E-2</v>
      </c>
      <c r="AJ1737" s="307">
        <f>RTD("money.excel",,$G1737,"PredictVolume")</f>
        <v>942</v>
      </c>
      <c r="AK1737" s="339"/>
    </row>
    <row r="1738" spans="1:37">
      <c r="A1738" s="415">
        <v>5.72</v>
      </c>
      <c r="B1738" s="79">
        <v>20</v>
      </c>
      <c r="C1738" s="79">
        <v>26</v>
      </c>
      <c r="D1738" s="80">
        <v>-3</v>
      </c>
      <c r="E1738" s="79">
        <v>86</v>
      </c>
      <c r="F1738" s="57">
        <v>10.61</v>
      </c>
      <c r="G1738" s="79">
        <v>5536</v>
      </c>
      <c r="H1738" s="8" t="s">
        <v>316</v>
      </c>
      <c r="I1738" s="16" t="s">
        <v>148</v>
      </c>
      <c r="J1738" s="323">
        <v>18.75</v>
      </c>
      <c r="K1738" s="73">
        <v>18.02</v>
      </c>
      <c r="L1738" s="73">
        <v>1.69</v>
      </c>
      <c r="N1738" s="318">
        <f t="shared" si="323"/>
        <v>38.459999999999994</v>
      </c>
      <c r="O1738" s="81">
        <f>IFERROR(VLOOKUP($G1738,'321買'!A:E,3,0),"'沒有資料'")</f>
        <v>6</v>
      </c>
      <c r="P1738" s="380">
        <f>IFERROR(VLOOKUP($G1738,'321買'!$A:$G,7,0),"'沒有資料'")</f>
        <v>521</v>
      </c>
      <c r="R1738" s="297">
        <f>IFERROR(RANK(VLOOKUP($G1738,連買!$A:$D,4,0),連買!$D:$D,0),"'沒有資料'")</f>
        <v>95</v>
      </c>
      <c r="S1738" s="66">
        <v>12</v>
      </c>
      <c r="T1738" s="353">
        <f t="shared" si="324"/>
        <v>5.8394160583941604E-2</v>
      </c>
      <c r="U1738" s="95">
        <v>19.7</v>
      </c>
      <c r="V1738" s="36">
        <f>RTD("money.excel",,"5536","Price")</f>
        <v>205.5</v>
      </c>
      <c r="W1738" s="66"/>
      <c r="X1738" s="15">
        <f t="shared" si="319"/>
        <v>205.5</v>
      </c>
      <c r="Y1738" s="3" t="e">
        <f t="shared" si="320"/>
        <v>#DIV/0!</v>
      </c>
      <c r="Z1738" s="413" t="s">
        <v>1997</v>
      </c>
      <c r="AA1738" s="161">
        <v>0</v>
      </c>
      <c r="AB1738" s="409">
        <v>0</v>
      </c>
      <c r="AC1738" s="259">
        <f t="shared" si="326"/>
        <v>0</v>
      </c>
      <c r="AD1738" s="16" t="s">
        <v>148</v>
      </c>
      <c r="AG1738" s="33">
        <f t="shared" si="321"/>
        <v>0</v>
      </c>
      <c r="AH1738" s="120" t="s">
        <v>1451</v>
      </c>
      <c r="AI1738" s="63">
        <f t="shared" si="325"/>
        <v>1.2062937062937062E-3</v>
      </c>
      <c r="AJ1738" s="307">
        <f>RTD("money.excel",,$G1738,"PredictVolume")</f>
        <v>69</v>
      </c>
      <c r="AK1738" s="339"/>
    </row>
    <row r="1739" spans="1:37">
      <c r="A1739" s="416">
        <v>22.5</v>
      </c>
      <c r="B1739" s="80">
        <v>-65</v>
      </c>
      <c r="C1739" s="80">
        <v>-114</v>
      </c>
      <c r="D1739" s="79">
        <v>1</v>
      </c>
      <c r="E1739" s="80">
        <v>-19</v>
      </c>
      <c r="F1739" s="6">
        <v>-0.4</v>
      </c>
      <c r="G1739" s="79">
        <v>6139</v>
      </c>
      <c r="H1739" s="8" t="s">
        <v>316</v>
      </c>
      <c r="I1739" s="22" t="s">
        <v>510</v>
      </c>
      <c r="J1739" s="323">
        <v>50.41</v>
      </c>
      <c r="K1739" s="323">
        <v>14.89</v>
      </c>
      <c r="L1739" s="323">
        <v>6.42</v>
      </c>
      <c r="N1739" s="318">
        <f t="shared" si="323"/>
        <v>71.72</v>
      </c>
      <c r="O1739" s="81">
        <f>IFERROR(VLOOKUP($G1739,'321買'!A:E,3,0),"'沒有資料'")</f>
        <v>0</v>
      </c>
      <c r="P1739" s="380">
        <f>IFERROR(VLOOKUP($G1739,'321買'!$A:$G,7,0),"'沒有資料'")</f>
        <v>911</v>
      </c>
      <c r="R1739" s="297">
        <f>IFERROR(RANK(VLOOKUP($G1739,連買!$A:$D,4,0),連買!$D:$D,0),"'沒有資料'")</f>
        <v>548</v>
      </c>
      <c r="S1739" s="34">
        <v>1</v>
      </c>
      <c r="T1739" s="353">
        <f t="shared" si="324"/>
        <v>2.9498525073746312E-2</v>
      </c>
      <c r="U1739" s="95">
        <v>1.52</v>
      </c>
      <c r="V1739" s="36">
        <f>RTD("money.excel",,"6139","Price")</f>
        <v>33.9</v>
      </c>
      <c r="W1739" s="66"/>
      <c r="X1739" s="15">
        <f t="shared" si="319"/>
        <v>33.9</v>
      </c>
      <c r="Y1739" s="3" t="e">
        <f t="shared" si="320"/>
        <v>#DIV/0!</v>
      </c>
      <c r="Z1739" s="413" t="s">
        <v>1801</v>
      </c>
      <c r="AA1739" s="161">
        <v>0</v>
      </c>
      <c r="AB1739" s="409">
        <v>0</v>
      </c>
      <c r="AC1739" s="259">
        <f t="shared" si="326"/>
        <v>0</v>
      </c>
      <c r="AD1739" s="22" t="s">
        <v>510</v>
      </c>
      <c r="AG1739" s="33">
        <f t="shared" si="321"/>
        <v>0</v>
      </c>
      <c r="AH1739" s="43" t="s">
        <v>1451</v>
      </c>
      <c r="AI1739" s="63">
        <f t="shared" si="325"/>
        <v>8.7644444444444445E-3</v>
      </c>
      <c r="AJ1739" s="307">
        <f>RTD("money.excel",,$G1739,"PredictVolume")</f>
        <v>1972</v>
      </c>
      <c r="AK1739" s="339"/>
    </row>
    <row r="1740" spans="1:37">
      <c r="A1740" s="415">
        <v>9.24</v>
      </c>
      <c r="B1740" s="79">
        <v>14</v>
      </c>
      <c r="C1740" s="79">
        <v>22</v>
      </c>
      <c r="D1740" s="79">
        <v>1</v>
      </c>
      <c r="E1740" s="79">
        <v>25</v>
      </c>
      <c r="F1740" s="57">
        <v>28.89</v>
      </c>
      <c r="G1740" s="79">
        <v>6146</v>
      </c>
      <c r="H1740" s="8" t="s">
        <v>316</v>
      </c>
      <c r="I1740" s="16" t="s">
        <v>5021</v>
      </c>
      <c r="J1740" s="323">
        <v>52.92</v>
      </c>
      <c r="K1740" s="73">
        <v>55.81</v>
      </c>
      <c r="L1740" s="73">
        <v>0.7</v>
      </c>
      <c r="N1740" s="318">
        <f t="shared" si="323"/>
        <v>109.43</v>
      </c>
      <c r="O1740" s="81">
        <f>IFERROR(VLOOKUP($G1740,'321買'!A:E,3,0),"'沒有資料'")</f>
        <v>0</v>
      </c>
      <c r="P1740" s="380">
        <f>IFERROR(VLOOKUP($G1740,'321買'!$A:$G,7,0),"'沒有資料'")</f>
        <v>911</v>
      </c>
      <c r="R1740" s="297">
        <f>IFERROR(RANK(VLOOKUP($G1740,連買!$A:$D,4,0),連買!$D:$D,0),"'沒有資料'")</f>
        <v>1726</v>
      </c>
      <c r="S1740" s="66">
        <v>6</v>
      </c>
      <c r="T1740" s="353">
        <f t="shared" si="324"/>
        <v>3.1746031746031744E-2</v>
      </c>
      <c r="U1740" s="57">
        <v>8.0299999999999994</v>
      </c>
      <c r="V1740" s="13">
        <f>RTD("money.excel",,"6146","Price")</f>
        <v>189</v>
      </c>
      <c r="W1740" s="66"/>
      <c r="X1740" s="15">
        <f t="shared" si="319"/>
        <v>189</v>
      </c>
      <c r="Y1740" s="3" t="e">
        <f t="shared" si="320"/>
        <v>#DIV/0!</v>
      </c>
      <c r="Z1740" s="413" t="s">
        <v>1997</v>
      </c>
      <c r="AA1740" s="161">
        <v>0</v>
      </c>
      <c r="AB1740" s="409">
        <v>0</v>
      </c>
      <c r="AC1740" s="259">
        <f t="shared" si="326"/>
        <v>0</v>
      </c>
      <c r="AD1740" s="16" t="s">
        <v>5021</v>
      </c>
      <c r="AG1740" s="33">
        <f t="shared" si="321"/>
        <v>0</v>
      </c>
      <c r="AH1740" s="120" t="s">
        <v>3143</v>
      </c>
      <c r="AI1740" s="63">
        <f t="shared" si="325"/>
        <v>2.0021645021645021E-3</v>
      </c>
      <c r="AJ1740" s="307">
        <f>RTD("money.excel",,$G1740,"PredictVolume")</f>
        <v>185</v>
      </c>
      <c r="AK1740" s="339"/>
    </row>
    <row r="1741" spans="1:37">
      <c r="A1741" s="416">
        <v>5.53</v>
      </c>
      <c r="B1741" s="91">
        <v>74</v>
      </c>
      <c r="C1741" s="91">
        <v>69</v>
      </c>
      <c r="D1741" s="91">
        <v>16</v>
      </c>
      <c r="E1741" s="91">
        <v>107</v>
      </c>
      <c r="F1741" s="6">
        <v>8.08</v>
      </c>
      <c r="G1741" s="79">
        <v>6151</v>
      </c>
      <c r="H1741" s="8" t="s">
        <v>316</v>
      </c>
      <c r="I1741" s="16" t="s">
        <v>5022</v>
      </c>
      <c r="J1741" s="73">
        <v>31.69</v>
      </c>
      <c r="K1741" s="73">
        <v>7.0000000000000007E-2</v>
      </c>
      <c r="L1741" s="73">
        <v>2.61</v>
      </c>
      <c r="N1741" s="318">
        <f t="shared" si="323"/>
        <v>34.370000000000005</v>
      </c>
      <c r="O1741" s="81">
        <f>IFERROR(VLOOKUP($G1741,'321買'!A:E,3,0),"'沒有資料'")</f>
        <v>2</v>
      </c>
      <c r="P1741" s="380">
        <f>IFERROR(VLOOKUP($G1741,'321買'!$A:$G,7,0),"'沒有資料'")</f>
        <v>706</v>
      </c>
      <c r="R1741" s="297">
        <f>IFERROR(RANK(VLOOKUP($G1741,連買!$A:$D,4,0),連買!$D:$D,0),"'沒有資料'")</f>
        <v>446</v>
      </c>
      <c r="S1741" s="34">
        <v>1.8</v>
      </c>
      <c r="T1741" s="353">
        <f t="shared" si="324"/>
        <v>5.0919377652050922E-2</v>
      </c>
      <c r="U1741" s="95">
        <v>2.11</v>
      </c>
      <c r="V1741" s="36">
        <f>RTD("money.excel",,"6151","Price")</f>
        <v>35.35</v>
      </c>
      <c r="W1741" s="66"/>
      <c r="X1741" s="15">
        <f t="shared" si="319"/>
        <v>35.35</v>
      </c>
      <c r="Y1741" s="3" t="e">
        <f t="shared" si="320"/>
        <v>#DIV/0!</v>
      </c>
      <c r="AA1741" s="161">
        <v>0</v>
      </c>
      <c r="AB1741" s="409">
        <v>0</v>
      </c>
      <c r="AC1741" s="259">
        <f t="shared" si="326"/>
        <v>0</v>
      </c>
      <c r="AD1741" s="16" t="s">
        <v>5022</v>
      </c>
      <c r="AG1741" s="33">
        <f t="shared" si="321"/>
        <v>0</v>
      </c>
      <c r="AH1741" s="43" t="s">
        <v>2710</v>
      </c>
      <c r="AI1741" s="63">
        <f t="shared" si="325"/>
        <v>1.3562386980108499E-3</v>
      </c>
      <c r="AJ1741" s="307">
        <f>RTD("money.excel",,$G1741,"PredictVolume")</f>
        <v>75</v>
      </c>
      <c r="AK1741" s="339"/>
    </row>
    <row r="1742" spans="1:37">
      <c r="A1742" s="415">
        <v>8.33</v>
      </c>
      <c r="B1742" s="79">
        <v>119</v>
      </c>
      <c r="C1742" s="79">
        <v>111</v>
      </c>
      <c r="D1742" s="79">
        <v>30</v>
      </c>
      <c r="E1742" s="79">
        <v>43</v>
      </c>
      <c r="F1742" s="57">
        <v>24.41</v>
      </c>
      <c r="G1742" s="79">
        <v>6187</v>
      </c>
      <c r="H1742" s="8" t="s">
        <v>316</v>
      </c>
      <c r="I1742" s="16" t="s">
        <v>5023</v>
      </c>
      <c r="J1742" s="73">
        <v>35.28</v>
      </c>
      <c r="K1742" s="73">
        <v>25.79</v>
      </c>
      <c r="L1742" s="73">
        <v>32.68</v>
      </c>
      <c r="M1742" s="73">
        <v>20.57</v>
      </c>
      <c r="N1742" s="318">
        <f t="shared" si="323"/>
        <v>114.32</v>
      </c>
      <c r="O1742" s="81">
        <f>IFERROR(VLOOKUP($G1742,'321買'!A:E,3,0),"'沒有資料'")</f>
        <v>57</v>
      </c>
      <c r="P1742" s="380">
        <f>IFERROR(VLOOKUP($G1742,'321買'!$A:$G,7,0),"'沒有資料'")</f>
        <v>45</v>
      </c>
      <c r="Q1742" s="245" t="s">
        <v>5097</v>
      </c>
      <c r="R1742" s="297">
        <f>IFERROR(RANK(VLOOKUP($G1742,連買!$A:$D,4,0),連買!$D:$D,0),"'沒有資料'")</f>
        <v>64</v>
      </c>
      <c r="S1742" s="66">
        <v>4.5</v>
      </c>
      <c r="T1742" s="353">
        <f t="shared" si="324"/>
        <v>3.5999999999999997E-2</v>
      </c>
      <c r="U1742" s="95">
        <v>6.37</v>
      </c>
      <c r="V1742" s="36">
        <f>RTD("money.excel",,"6187","Price")</f>
        <v>125</v>
      </c>
      <c r="W1742" s="66"/>
      <c r="X1742" s="15">
        <f t="shared" si="319"/>
        <v>125</v>
      </c>
      <c r="Y1742" s="3" t="e">
        <f t="shared" si="320"/>
        <v>#DIV/0!</v>
      </c>
      <c r="Z1742" s="413" t="s">
        <v>1997</v>
      </c>
      <c r="AA1742" s="161">
        <v>0</v>
      </c>
      <c r="AB1742" s="409">
        <v>0</v>
      </c>
      <c r="AC1742" s="259">
        <f t="shared" si="326"/>
        <v>0</v>
      </c>
      <c r="AD1742" s="16" t="s">
        <v>5023</v>
      </c>
      <c r="AG1742" s="33">
        <f t="shared" si="321"/>
        <v>0</v>
      </c>
      <c r="AH1742" s="43" t="s">
        <v>2492</v>
      </c>
      <c r="AI1742" s="63">
        <f t="shared" si="325"/>
        <v>5.3301320528211281E-3</v>
      </c>
      <c r="AJ1742" s="307">
        <f>RTD("money.excel",,$G1742,"PredictVolume")</f>
        <v>444</v>
      </c>
      <c r="AK1742" s="339">
        <v>42.79</v>
      </c>
    </row>
    <row r="1743" spans="1:37">
      <c r="A1743" s="415">
        <v>10.6</v>
      </c>
      <c r="B1743" s="91">
        <v>16</v>
      </c>
      <c r="C1743" s="91">
        <v>11</v>
      </c>
      <c r="D1743" s="91">
        <v>-11</v>
      </c>
      <c r="E1743" s="91">
        <v>-15</v>
      </c>
      <c r="F1743" s="57">
        <v>15.87</v>
      </c>
      <c r="G1743" s="79">
        <v>6192</v>
      </c>
      <c r="H1743" s="8" t="s">
        <v>316</v>
      </c>
      <c r="I1743" s="22" t="s">
        <v>511</v>
      </c>
      <c r="J1743" s="73">
        <v>66.81</v>
      </c>
      <c r="K1743" s="73">
        <v>29.19</v>
      </c>
      <c r="L1743" s="73">
        <v>3.41</v>
      </c>
      <c r="N1743" s="318">
        <f t="shared" si="323"/>
        <v>99.41</v>
      </c>
      <c r="O1743" s="81">
        <f>IFERROR(VLOOKUP($G1743,'321買'!A:E,3,0),"'沒有資料'")</f>
        <v>0</v>
      </c>
      <c r="P1743" s="380">
        <f>IFERROR(VLOOKUP($G1743,'321買'!$A:$G,7,0),"'沒有資料'")</f>
        <v>911</v>
      </c>
      <c r="R1743" s="297">
        <f>IFERROR(RANK(VLOOKUP($G1743,連買!$A:$D,4,0),連買!$D:$D,0),"'沒有資料'")</f>
        <v>356</v>
      </c>
      <c r="S1743" s="66">
        <v>3.4</v>
      </c>
      <c r="T1743" s="353">
        <f t="shared" si="324"/>
        <v>4.5033112582781455E-2</v>
      </c>
      <c r="U1743" s="95">
        <v>6.97</v>
      </c>
      <c r="V1743" s="13">
        <f>RTD("money.excel",,"6192","Price")</f>
        <v>75.5</v>
      </c>
      <c r="W1743" s="66"/>
      <c r="X1743" s="15">
        <f t="shared" si="319"/>
        <v>75.5</v>
      </c>
      <c r="Y1743" s="3" t="e">
        <f t="shared" si="320"/>
        <v>#DIV/0!</v>
      </c>
      <c r="Z1743" s="413" t="s">
        <v>1831</v>
      </c>
      <c r="AA1743" s="161">
        <v>0</v>
      </c>
      <c r="AB1743" s="409">
        <v>0</v>
      </c>
      <c r="AC1743" s="259">
        <f t="shared" si="326"/>
        <v>0</v>
      </c>
      <c r="AD1743" s="22" t="s">
        <v>511</v>
      </c>
      <c r="AG1743" s="33">
        <f t="shared" si="321"/>
        <v>0</v>
      </c>
      <c r="AH1743" s="43" t="s">
        <v>2763</v>
      </c>
      <c r="AI1743" s="63">
        <f t="shared" si="325"/>
        <v>1E-3</v>
      </c>
      <c r="AJ1743" s="307">
        <f>RTD("money.excel",,$G1743,"PredictVolume")</f>
        <v>106</v>
      </c>
      <c r="AK1743" s="106"/>
    </row>
    <row r="1744" spans="1:37">
      <c r="A1744" s="416">
        <v>19.2</v>
      </c>
      <c r="B1744" s="79">
        <v>51</v>
      </c>
      <c r="C1744" s="79">
        <v>34</v>
      </c>
      <c r="D1744" s="79">
        <v>37</v>
      </c>
      <c r="E1744" s="79">
        <v>63</v>
      </c>
      <c r="F1744" s="6">
        <v>5.33</v>
      </c>
      <c r="G1744" s="79">
        <v>6196</v>
      </c>
      <c r="H1744" s="8" t="s">
        <v>316</v>
      </c>
      <c r="I1744" s="22" t="s">
        <v>101</v>
      </c>
      <c r="J1744" s="73">
        <v>69.91</v>
      </c>
      <c r="K1744" s="323">
        <v>10.52</v>
      </c>
      <c r="L1744" s="73">
        <v>12.63</v>
      </c>
      <c r="M1744" s="323">
        <v>59.11</v>
      </c>
      <c r="N1744" s="73">
        <f t="shared" si="323"/>
        <v>152.16999999999999</v>
      </c>
      <c r="O1744" s="81">
        <f>IFERROR(VLOOKUP($G1744,'321買'!A:E,3,0),"'沒有資料'")</f>
        <v>21</v>
      </c>
      <c r="P1744" s="380">
        <f>IFERROR(VLOOKUP($G1744,'321買'!$A:$G,7,0),"'沒有資料'")</f>
        <v>222</v>
      </c>
      <c r="Q1744" s="245" t="s">
        <v>3817</v>
      </c>
      <c r="R1744" s="297">
        <f>IFERROR(RANK(VLOOKUP($G1744,連買!$A:$D,4,0),連買!$D:$D,0),"'沒有資料'")</f>
        <v>235</v>
      </c>
      <c r="S1744" s="66">
        <v>3.5</v>
      </c>
      <c r="T1744" s="353">
        <f t="shared" si="324"/>
        <v>2.5362318840579712E-2</v>
      </c>
      <c r="U1744" s="57">
        <v>6.73</v>
      </c>
      <c r="V1744" s="36">
        <f>RTD("money.excel",,"6196","Price")</f>
        <v>138</v>
      </c>
      <c r="W1744" s="66"/>
      <c r="X1744" s="15">
        <f t="shared" si="319"/>
        <v>138</v>
      </c>
      <c r="Y1744" s="3" t="e">
        <f t="shared" si="320"/>
        <v>#DIV/0!</v>
      </c>
      <c r="Z1744" s="413" t="s">
        <v>1997</v>
      </c>
      <c r="AA1744" s="161">
        <v>0</v>
      </c>
      <c r="AB1744" s="409">
        <v>0</v>
      </c>
      <c r="AC1744" s="259">
        <f t="shared" si="326"/>
        <v>0</v>
      </c>
      <c r="AD1744" s="22" t="s">
        <v>101</v>
      </c>
      <c r="AG1744" s="33">
        <f t="shared" si="321"/>
        <v>0</v>
      </c>
      <c r="AH1744" s="120" t="s">
        <v>2334</v>
      </c>
      <c r="AI1744" s="63">
        <f t="shared" si="325"/>
        <v>7.7447916666666663E-3</v>
      </c>
      <c r="AJ1744" s="307">
        <f>RTD("money.excel",,$G1744,"PredictVolume")</f>
        <v>1487</v>
      </c>
      <c r="AK1744" s="339">
        <v>24.14</v>
      </c>
    </row>
    <row r="1745" spans="1:37">
      <c r="A1745" s="415">
        <v>8.92</v>
      </c>
      <c r="B1745" s="91">
        <v>-1</v>
      </c>
      <c r="C1745" s="91">
        <v>13</v>
      </c>
      <c r="D1745" s="91">
        <v>-1</v>
      </c>
      <c r="E1745" s="91">
        <v>107</v>
      </c>
      <c r="F1745" s="57">
        <v>10.34</v>
      </c>
      <c r="G1745" s="79">
        <v>6201</v>
      </c>
      <c r="H1745" s="8" t="s">
        <v>316</v>
      </c>
      <c r="I1745" s="22" t="s">
        <v>512</v>
      </c>
      <c r="J1745" s="73">
        <v>70.98</v>
      </c>
      <c r="K1745" s="73">
        <v>0.17</v>
      </c>
      <c r="L1745" s="73">
        <v>0.2</v>
      </c>
      <c r="N1745" s="318">
        <f t="shared" si="323"/>
        <v>71.350000000000009</v>
      </c>
      <c r="O1745" s="81">
        <f>IFERROR(VLOOKUP($G1745,'321買'!A:E,3,0),"'沒有資料'")</f>
        <v>0</v>
      </c>
      <c r="P1745" s="380">
        <f>IFERROR(VLOOKUP($G1745,'321買'!$A:$G,7,0),"'沒有資料'")</f>
        <v>911</v>
      </c>
      <c r="R1745" s="297">
        <f>IFERROR(RANK(VLOOKUP($G1745,連買!$A:$D,4,0),連買!$D:$D,0),"'沒有資料'")</f>
        <v>1257</v>
      </c>
      <c r="S1745" s="66">
        <v>3</v>
      </c>
      <c r="T1745" s="353">
        <f t="shared" si="324"/>
        <v>6.8337129840546698E-2</v>
      </c>
      <c r="U1745" s="95">
        <v>4.05</v>
      </c>
      <c r="V1745" s="13">
        <f>RTD("money.excel",,"6201","Price")</f>
        <v>43.9</v>
      </c>
      <c r="W1745" s="66"/>
      <c r="X1745" s="15">
        <f t="shared" si="319"/>
        <v>43.9</v>
      </c>
      <c r="Y1745" s="3" t="e">
        <f t="shared" si="320"/>
        <v>#DIV/0!</v>
      </c>
      <c r="Z1745" s="413" t="s">
        <v>1997</v>
      </c>
      <c r="AA1745" s="161">
        <v>0</v>
      </c>
      <c r="AB1745" s="409">
        <v>0</v>
      </c>
      <c r="AC1745" s="259">
        <f t="shared" si="326"/>
        <v>0</v>
      </c>
      <c r="AD1745" s="22" t="s">
        <v>512</v>
      </c>
      <c r="AG1745" s="33">
        <f t="shared" si="321"/>
        <v>0</v>
      </c>
      <c r="AH1745" s="43" t="s">
        <v>2764</v>
      </c>
      <c r="AI1745" s="63">
        <f t="shared" si="325"/>
        <v>8.9686098654708516E-5</v>
      </c>
      <c r="AJ1745" s="307">
        <f>RTD("money.excel",,$G1745,"PredictVolume")</f>
        <v>8</v>
      </c>
      <c r="AK1745" s="339"/>
    </row>
    <row r="1746" spans="1:37">
      <c r="A1746" s="416">
        <v>8.2799999999999994</v>
      </c>
      <c r="B1746" s="91">
        <v>134</v>
      </c>
      <c r="C1746" s="91">
        <v>99</v>
      </c>
      <c r="D1746" s="91">
        <v>-7</v>
      </c>
      <c r="E1746" s="91">
        <v>81</v>
      </c>
      <c r="F1746" s="6">
        <v>5.15</v>
      </c>
      <c r="G1746" s="79">
        <v>6215</v>
      </c>
      <c r="H1746" s="8" t="s">
        <v>316</v>
      </c>
      <c r="I1746" s="22" t="s">
        <v>513</v>
      </c>
      <c r="J1746" s="73">
        <v>41.93</v>
      </c>
      <c r="K1746" s="73">
        <v>5.81</v>
      </c>
      <c r="L1746" s="73">
        <v>17.72</v>
      </c>
      <c r="N1746" s="318">
        <f t="shared" si="323"/>
        <v>65.460000000000008</v>
      </c>
      <c r="O1746" s="81">
        <f>IFERROR(VLOOKUP($G1746,'321買'!A:E,3,0),"'沒有資料'")</f>
        <v>20</v>
      </c>
      <c r="P1746" s="380">
        <f>IFERROR(VLOOKUP($G1746,'321買'!$A:$G,7,0),"'沒有資料'")</f>
        <v>233</v>
      </c>
      <c r="R1746" s="297">
        <f>IFERROR(RANK(VLOOKUP($G1746,連買!$A:$D,4,0),連買!$D:$D,0),"'沒有資料'")</f>
        <v>890</v>
      </c>
      <c r="S1746" s="34">
        <v>0.5</v>
      </c>
      <c r="T1746" s="353">
        <f t="shared" si="324"/>
        <v>1.9230769230769232E-2</v>
      </c>
      <c r="U1746" s="95">
        <v>0.96</v>
      </c>
      <c r="V1746" s="36">
        <f>RTD("money.excel",,"6215","Price")</f>
        <v>26</v>
      </c>
      <c r="W1746" s="66"/>
      <c r="X1746" s="15">
        <f t="shared" si="319"/>
        <v>26</v>
      </c>
      <c r="Y1746" s="3" t="e">
        <f t="shared" si="320"/>
        <v>#DIV/0!</v>
      </c>
      <c r="AA1746" s="161">
        <v>0</v>
      </c>
      <c r="AB1746" s="409">
        <v>0</v>
      </c>
      <c r="AC1746" s="259">
        <f t="shared" si="326"/>
        <v>0</v>
      </c>
      <c r="AD1746" s="22" t="s">
        <v>513</v>
      </c>
      <c r="AG1746" s="33">
        <f t="shared" si="321"/>
        <v>0</v>
      </c>
      <c r="AH1746" s="43" t="s">
        <v>1443</v>
      </c>
      <c r="AI1746" s="63">
        <f t="shared" si="325"/>
        <v>2.5483091787439614E-3</v>
      </c>
      <c r="AJ1746" s="307">
        <f>RTD("money.excel",,$G1746,"PredictVolume")</f>
        <v>211</v>
      </c>
      <c r="AK1746" s="339"/>
    </row>
    <row r="1747" spans="1:37">
      <c r="A1747" s="416">
        <v>6.03</v>
      </c>
      <c r="B1747" s="91">
        <v>44</v>
      </c>
      <c r="C1747" s="91">
        <v>26</v>
      </c>
      <c r="D1747" s="91">
        <v>142</v>
      </c>
      <c r="E1747" s="91">
        <v>5</v>
      </c>
      <c r="F1747" s="6">
        <v>-13.29</v>
      </c>
      <c r="G1747" s="79">
        <v>6247</v>
      </c>
      <c r="H1747" s="8" t="s">
        <v>316</v>
      </c>
      <c r="I1747" s="16" t="s">
        <v>484</v>
      </c>
      <c r="J1747" s="73">
        <v>87.92</v>
      </c>
      <c r="K1747" s="73">
        <v>0</v>
      </c>
      <c r="N1747" s="318">
        <f t="shared" si="323"/>
        <v>87.92</v>
      </c>
      <c r="O1747" s="81" t="str">
        <f>IFERROR(VLOOKUP($G1747,'321買'!A:E,3,0),"'沒有資料'")</f>
        <v>'沒有資料'</v>
      </c>
      <c r="P1747" s="380" t="str">
        <f>IFERROR(VLOOKUP($G1747,'321買'!$A:$G,7,0),"'沒有資料'")</f>
        <v>'沒有資料'</v>
      </c>
      <c r="R1747" s="297">
        <f>IFERROR(RANK(VLOOKUP($G1747,連買!$A:$D,4,0),連買!$D:$D,0),"'沒有資料'")</f>
        <v>1444</v>
      </c>
      <c r="S1747" s="34">
        <v>0</v>
      </c>
      <c r="T1747" s="353">
        <f t="shared" si="324"/>
        <v>0</v>
      </c>
      <c r="U1747" s="95">
        <v>-1.31</v>
      </c>
      <c r="V1747" s="13">
        <f>RTD("money.excel",,"6247","Price")</f>
        <v>10.9</v>
      </c>
      <c r="W1747" s="66"/>
      <c r="X1747" s="15">
        <f t="shared" si="319"/>
        <v>10.9</v>
      </c>
      <c r="Y1747" s="3" t="e">
        <f t="shared" si="320"/>
        <v>#DIV/0!</v>
      </c>
      <c r="AA1747" s="161">
        <v>0</v>
      </c>
      <c r="AB1747" s="409">
        <v>0</v>
      </c>
      <c r="AC1747" s="259">
        <f t="shared" si="326"/>
        <v>0</v>
      </c>
      <c r="AD1747" s="16" t="s">
        <v>484</v>
      </c>
      <c r="AG1747" s="33">
        <f t="shared" si="321"/>
        <v>0</v>
      </c>
      <c r="AH1747" s="43" t="s">
        <v>2711</v>
      </c>
      <c r="AI1747" s="63">
        <f t="shared" si="325"/>
        <v>2.3217247097844111E-4</v>
      </c>
      <c r="AJ1747" s="307">
        <f>RTD("money.excel",,$G1747,"PredictVolume")</f>
        <v>14</v>
      </c>
      <c r="AK1747" s="339"/>
    </row>
    <row r="1748" spans="1:37">
      <c r="A1748" s="416">
        <v>6.98</v>
      </c>
      <c r="B1748" s="79">
        <v>60</v>
      </c>
      <c r="C1748" s="79">
        <v>50</v>
      </c>
      <c r="D1748" s="79">
        <v>9</v>
      </c>
      <c r="E1748" s="79">
        <v>28</v>
      </c>
      <c r="F1748" s="6">
        <v>6.33</v>
      </c>
      <c r="G1748" s="79">
        <v>6275</v>
      </c>
      <c r="H1748" s="8" t="s">
        <v>316</v>
      </c>
      <c r="I1748" s="16" t="s">
        <v>485</v>
      </c>
      <c r="J1748" s="73">
        <v>22.94</v>
      </c>
      <c r="K1748" s="323">
        <v>1.87</v>
      </c>
      <c r="L1748" s="73">
        <v>24.85</v>
      </c>
      <c r="M1748" s="323">
        <v>12.93</v>
      </c>
      <c r="N1748" s="318">
        <f t="shared" si="323"/>
        <v>62.59</v>
      </c>
      <c r="O1748" s="81">
        <f>IFERROR(VLOOKUP($G1748,'321買'!A:E,3,0),"'沒有資料'")</f>
        <v>18</v>
      </c>
      <c r="P1748" s="380">
        <f>IFERROR(VLOOKUP($G1748,'321買'!$A:$G,7,0),"'沒有資料'")</f>
        <v>273</v>
      </c>
      <c r="Q1748" s="245" t="s">
        <v>3815</v>
      </c>
      <c r="R1748" s="297">
        <f>IFERROR(RANK(VLOOKUP($G1748,連買!$A:$D,4,0),連買!$D:$D,0),"'沒有資料'")</f>
        <v>588</v>
      </c>
      <c r="S1748" s="34">
        <v>1.5</v>
      </c>
      <c r="T1748" s="353">
        <f t="shared" si="324"/>
        <v>4.2253521126760563E-2</v>
      </c>
      <c r="U1748" s="95">
        <v>2.84</v>
      </c>
      <c r="V1748" s="36">
        <f>RTD("money.excel",,"6275","Price")</f>
        <v>35.5</v>
      </c>
      <c r="W1748" s="66"/>
      <c r="X1748" s="15">
        <f t="shared" si="319"/>
        <v>35.5</v>
      </c>
      <c r="Y1748" s="3" t="e">
        <f t="shared" si="320"/>
        <v>#DIV/0!</v>
      </c>
      <c r="Z1748" s="413" t="s">
        <v>1801</v>
      </c>
      <c r="AA1748" s="161">
        <v>0</v>
      </c>
      <c r="AB1748" s="409">
        <v>0</v>
      </c>
      <c r="AC1748" s="259">
        <f t="shared" si="326"/>
        <v>0</v>
      </c>
      <c r="AD1748" s="16" t="s">
        <v>485</v>
      </c>
      <c r="AG1748" s="33">
        <f t="shared" si="321"/>
        <v>0</v>
      </c>
      <c r="AH1748" s="43" t="s">
        <v>2458</v>
      </c>
      <c r="AI1748" s="63">
        <f t="shared" si="325"/>
        <v>5.3295128939828077E-3</v>
      </c>
      <c r="AJ1748" s="307">
        <f>RTD("money.excel",,$G1748,"PredictVolume")</f>
        <v>372</v>
      </c>
      <c r="AK1748" s="339"/>
    </row>
    <row r="1749" spans="1:37">
      <c r="A1749" s="416">
        <v>14.8</v>
      </c>
      <c r="B1749" s="80">
        <v>-108</v>
      </c>
      <c r="C1749" s="80">
        <v>-152</v>
      </c>
      <c r="D1749" s="79">
        <v>52</v>
      </c>
      <c r="E1749" s="79">
        <v>68</v>
      </c>
      <c r="F1749" s="6">
        <v>-3.23</v>
      </c>
      <c r="G1749" s="79">
        <v>6283</v>
      </c>
      <c r="H1749" s="8" t="s">
        <v>316</v>
      </c>
      <c r="I1749" s="22" t="s">
        <v>334</v>
      </c>
      <c r="J1749" s="323">
        <v>67.900000000000006</v>
      </c>
      <c r="K1749" s="323">
        <v>19.190000000000001</v>
      </c>
      <c r="L1749" s="323">
        <v>17.37</v>
      </c>
      <c r="N1749" s="318">
        <f t="shared" ref="N1749:N1768" si="327">J1749+K1749+L1749+M1749</f>
        <v>104.46000000000001</v>
      </c>
      <c r="O1749" s="81">
        <f>IFERROR(VLOOKUP($G1749,'321買'!A:E,3,0),"'沒有資料'")</f>
        <v>6</v>
      </c>
      <c r="P1749" s="380">
        <f>IFERROR(VLOOKUP($G1749,'321買'!$A:$G,7,0),"'沒有資料'")</f>
        <v>521</v>
      </c>
      <c r="R1749" s="297">
        <f>IFERROR(RANK(VLOOKUP($G1749,連買!$A:$D,4,0),連買!$D:$D,0),"'沒有資料'")</f>
        <v>1051</v>
      </c>
      <c r="S1749" s="34">
        <v>0</v>
      </c>
      <c r="T1749" s="353">
        <f t="shared" ref="T1749:T1768" si="328">S1749/V1749</f>
        <v>0</v>
      </c>
      <c r="U1749" s="95">
        <v>-0.25</v>
      </c>
      <c r="V1749" s="36">
        <f>RTD("money.excel",,"6283","Price")</f>
        <v>38.299999999999997</v>
      </c>
      <c r="W1749" s="66"/>
      <c r="X1749" s="15">
        <f t="shared" ref="X1749:X1768" si="329">V1749-W1749</f>
        <v>38.299999999999997</v>
      </c>
      <c r="Y1749" s="3" t="e">
        <f t="shared" ref="Y1749:Y1768" si="330">X1749/W1749</f>
        <v>#DIV/0!</v>
      </c>
      <c r="Z1749" s="413" t="s">
        <v>1801</v>
      </c>
      <c r="AA1749" s="161">
        <v>0</v>
      </c>
      <c r="AB1749" s="409">
        <v>0</v>
      </c>
      <c r="AC1749" s="259">
        <f t="shared" si="326"/>
        <v>0</v>
      </c>
      <c r="AD1749" s="22" t="s">
        <v>334</v>
      </c>
      <c r="AG1749" s="33">
        <f t="shared" ref="AG1749:AG1768" si="331">AF1749-AE1749</f>
        <v>0</v>
      </c>
      <c r="AH1749" s="43" t="s">
        <v>2765</v>
      </c>
      <c r="AI1749" s="63">
        <f t="shared" ref="AI1749:AI1768" si="332">AJ1749/(A1749*10000)</f>
        <v>1.7432432432432433E-3</v>
      </c>
      <c r="AJ1749" s="307">
        <f>RTD("money.excel",,$G1749,"PredictVolume")</f>
        <v>258</v>
      </c>
      <c r="AK1749" s="339"/>
    </row>
    <row r="1750" spans="1:37">
      <c r="A1750" s="415">
        <v>8.7200000000000006</v>
      </c>
      <c r="B1750" s="79">
        <v>7</v>
      </c>
      <c r="C1750" s="79">
        <v>7</v>
      </c>
      <c r="D1750" s="80">
        <v>-31</v>
      </c>
      <c r="E1750" s="79">
        <v>37</v>
      </c>
      <c r="F1750" s="57">
        <v>17.25</v>
      </c>
      <c r="G1750" s="79">
        <v>6409</v>
      </c>
      <c r="H1750" s="8" t="s">
        <v>316</v>
      </c>
      <c r="I1750" s="22" t="s">
        <v>45</v>
      </c>
      <c r="J1750" s="323">
        <v>42.39</v>
      </c>
      <c r="K1750" s="73">
        <v>8.19</v>
      </c>
      <c r="L1750" s="323">
        <v>13.3</v>
      </c>
      <c r="M1750" s="323">
        <v>31.44</v>
      </c>
      <c r="N1750" s="318">
        <f t="shared" si="327"/>
        <v>95.32</v>
      </c>
      <c r="O1750" s="81">
        <f>IFERROR(VLOOKUP($G1750,'321買'!A:E,3,0),"'沒有資料'")</f>
        <v>0</v>
      </c>
      <c r="P1750" s="380">
        <f>IFERROR(VLOOKUP($G1750,'321買'!$A:$G,7,0),"'沒有資料'")</f>
        <v>911</v>
      </c>
      <c r="Q1750" s="388" t="s">
        <v>3816</v>
      </c>
      <c r="R1750" s="297">
        <f>IFERROR(RANK(VLOOKUP($G1750,連買!$A:$D,4,0),連買!$D:$D,0),"'沒有資料'")</f>
        <v>4</v>
      </c>
      <c r="S1750" s="45">
        <v>23.5</v>
      </c>
      <c r="T1750" s="353">
        <f t="shared" si="328"/>
        <v>1.6607773851590107E-2</v>
      </c>
      <c r="U1750" s="95">
        <v>27.14</v>
      </c>
      <c r="V1750" s="155">
        <f>RTD("money.excel",,"6409","Price")</f>
        <v>1415</v>
      </c>
      <c r="W1750" s="66"/>
      <c r="X1750" s="141">
        <f t="shared" si="329"/>
        <v>1415</v>
      </c>
      <c r="Y1750" s="3" t="e">
        <f t="shared" si="330"/>
        <v>#DIV/0!</v>
      </c>
      <c r="Z1750" s="413" t="s">
        <v>8441</v>
      </c>
      <c r="AA1750" s="161">
        <v>0</v>
      </c>
      <c r="AB1750" s="409">
        <v>0</v>
      </c>
      <c r="AC1750" s="259">
        <f t="shared" si="326"/>
        <v>0</v>
      </c>
      <c r="AD1750" s="22" t="s">
        <v>45</v>
      </c>
      <c r="AG1750" s="33">
        <f t="shared" si="331"/>
        <v>0</v>
      </c>
      <c r="AH1750" s="120" t="s">
        <v>1447</v>
      </c>
      <c r="AI1750" s="63">
        <f t="shared" si="332"/>
        <v>4.5871559633027525E-4</v>
      </c>
      <c r="AJ1750" s="307">
        <f>RTD("money.excel",,$G1750,"PredictVolume")</f>
        <v>40</v>
      </c>
      <c r="AK1750" s="339">
        <v>6.26</v>
      </c>
    </row>
    <row r="1751" spans="1:37">
      <c r="A1751" s="415">
        <v>7.11</v>
      </c>
      <c r="B1751" s="79">
        <v>71</v>
      </c>
      <c r="C1751" s="79">
        <v>65</v>
      </c>
      <c r="D1751" s="80">
        <v>-20</v>
      </c>
      <c r="E1751" s="79">
        <v>30</v>
      </c>
      <c r="F1751" s="57">
        <v>16.79</v>
      </c>
      <c r="G1751" s="79">
        <v>6438</v>
      </c>
      <c r="H1751" s="8" t="s">
        <v>316</v>
      </c>
      <c r="I1751" s="22" t="s">
        <v>486</v>
      </c>
      <c r="J1751" s="73">
        <v>23.97</v>
      </c>
      <c r="K1751" s="73">
        <v>26.05</v>
      </c>
      <c r="L1751" s="323">
        <v>32.92</v>
      </c>
      <c r="M1751" s="73">
        <v>13.6</v>
      </c>
      <c r="N1751" s="318">
        <f t="shared" si="327"/>
        <v>96.539999999999992</v>
      </c>
      <c r="O1751" s="81">
        <f>IFERROR(VLOOKUP($G1751,'321買'!A:E,3,0),"'沒有資料'")</f>
        <v>44</v>
      </c>
      <c r="P1751" s="380">
        <f>IFERROR(VLOOKUP($G1751,'321買'!$A:$G,7,0),"'沒有資料'")</f>
        <v>98</v>
      </c>
      <c r="Q1751" s="245" t="s">
        <v>5088</v>
      </c>
      <c r="R1751" s="297">
        <f>IFERROR(RANK(VLOOKUP($G1751,連買!$A:$D,4,0),連買!$D:$D,0),"'沒有資料'")</f>
        <v>133</v>
      </c>
      <c r="S1751" s="66">
        <v>6.5</v>
      </c>
      <c r="T1751" s="353">
        <f t="shared" si="328"/>
        <v>5.6034482758620691E-2</v>
      </c>
      <c r="U1751" s="95">
        <v>10.36</v>
      </c>
      <c r="V1751" s="36">
        <f>RTD("money.excel",,"6438","Price")</f>
        <v>116</v>
      </c>
      <c r="W1751" s="66"/>
      <c r="X1751" s="15">
        <f t="shared" si="329"/>
        <v>116</v>
      </c>
      <c r="Y1751" s="3" t="e">
        <f t="shared" si="330"/>
        <v>#DIV/0!</v>
      </c>
      <c r="Z1751" s="413" t="s">
        <v>1997</v>
      </c>
      <c r="AA1751" s="161">
        <v>0</v>
      </c>
      <c r="AB1751" s="409">
        <v>0</v>
      </c>
      <c r="AC1751" s="259">
        <f t="shared" si="326"/>
        <v>0</v>
      </c>
      <c r="AD1751" s="22" t="s">
        <v>486</v>
      </c>
      <c r="AG1751" s="33">
        <f t="shared" si="331"/>
        <v>0</v>
      </c>
      <c r="AH1751" s="43" t="s">
        <v>2492</v>
      </c>
      <c r="AI1751" s="63">
        <f t="shared" si="332"/>
        <v>8.9310829817158925E-3</v>
      </c>
      <c r="AJ1751" s="307">
        <f>RTD("money.excel",,$G1751,"PredictVolume")</f>
        <v>635</v>
      </c>
      <c r="AK1751" s="339">
        <v>29.74</v>
      </c>
    </row>
    <row r="1752" spans="1:37">
      <c r="A1752" s="416">
        <v>2.5</v>
      </c>
      <c r="B1752" s="91">
        <v>-146</v>
      </c>
      <c r="C1752" s="91">
        <v>-43</v>
      </c>
      <c r="D1752" s="91">
        <v>-24</v>
      </c>
      <c r="E1752" s="91">
        <v>3</v>
      </c>
      <c r="F1752" s="6">
        <v>-13.56</v>
      </c>
      <c r="G1752" s="79">
        <v>6512</v>
      </c>
      <c r="H1752" s="8" t="s">
        <v>316</v>
      </c>
      <c r="I1752" s="16" t="s">
        <v>487</v>
      </c>
      <c r="J1752" s="73">
        <v>36.5</v>
      </c>
      <c r="K1752" s="73">
        <v>0</v>
      </c>
      <c r="N1752" s="318">
        <f t="shared" si="327"/>
        <v>36.5</v>
      </c>
      <c r="O1752" s="81" t="str">
        <f>IFERROR(VLOOKUP($G1752,'321買'!A:E,3,0),"'沒有資料'")</f>
        <v>'沒有資料'</v>
      </c>
      <c r="P1752" s="380" t="str">
        <f>IFERROR(VLOOKUP($G1752,'321買'!$A:$G,7,0),"'沒有資料'")</f>
        <v>'沒有資料'</v>
      </c>
      <c r="R1752" s="297">
        <f>IFERROR(RANK(VLOOKUP($G1752,連買!$A:$D,4,0),連買!$D:$D,0),"'沒有資料'")</f>
        <v>1324</v>
      </c>
      <c r="S1752" s="34">
        <v>0</v>
      </c>
      <c r="T1752" s="353">
        <f t="shared" si="328"/>
        <v>0</v>
      </c>
      <c r="U1752" s="95">
        <v>-0.73</v>
      </c>
      <c r="V1752" s="36">
        <f>RTD("money.excel",,"6512","Price")</f>
        <v>17.850000000000001</v>
      </c>
      <c r="W1752" s="66"/>
      <c r="X1752" s="15">
        <f t="shared" si="329"/>
        <v>17.850000000000001</v>
      </c>
      <c r="Y1752" s="3" t="e">
        <f t="shared" si="330"/>
        <v>#DIV/0!</v>
      </c>
      <c r="AA1752" s="161">
        <v>0</v>
      </c>
      <c r="AB1752" s="409">
        <v>0</v>
      </c>
      <c r="AC1752" s="259">
        <f t="shared" si="326"/>
        <v>0</v>
      </c>
      <c r="AD1752" s="16" t="s">
        <v>487</v>
      </c>
      <c r="AG1752" s="33">
        <f t="shared" si="331"/>
        <v>0</v>
      </c>
      <c r="AH1752" s="43" t="s">
        <v>2712</v>
      </c>
      <c r="AI1752" s="63">
        <f t="shared" si="332"/>
        <v>7.2000000000000005E-4</v>
      </c>
      <c r="AJ1752" s="307">
        <f>RTD("money.excel",,$G1752,"PredictVolume")</f>
        <v>18</v>
      </c>
      <c r="AK1752" s="339"/>
    </row>
    <row r="1753" spans="1:37">
      <c r="A1753" s="416">
        <v>8.69</v>
      </c>
      <c r="B1753" s="79">
        <v>171</v>
      </c>
      <c r="C1753" s="79">
        <v>194</v>
      </c>
      <c r="D1753" s="80">
        <v>-19</v>
      </c>
      <c r="E1753" s="80">
        <v>-23</v>
      </c>
      <c r="F1753" s="6">
        <v>6.68</v>
      </c>
      <c r="G1753" s="79">
        <v>6558</v>
      </c>
      <c r="H1753" s="8" t="s">
        <v>316</v>
      </c>
      <c r="I1753" s="22" t="s">
        <v>1071</v>
      </c>
      <c r="J1753" s="323">
        <v>40.03</v>
      </c>
      <c r="K1753" s="73">
        <v>2.59</v>
      </c>
      <c r="L1753" s="73">
        <v>17.010000000000002</v>
      </c>
      <c r="N1753" s="318">
        <f t="shared" si="327"/>
        <v>59.63000000000001</v>
      </c>
      <c r="O1753" s="81">
        <f>IFERROR(VLOOKUP($G1753,'321買'!A:E,3,0),"'沒有資料'")</f>
        <v>0</v>
      </c>
      <c r="P1753" s="380">
        <f>IFERROR(VLOOKUP($G1753,'321買'!$A:$G,7,0),"'沒有資料'")</f>
        <v>911</v>
      </c>
      <c r="R1753" s="297">
        <f>IFERROR(RANK(VLOOKUP($G1753,連買!$A:$D,4,0),連買!$D:$D,0),"'沒有資料'")</f>
        <v>917</v>
      </c>
      <c r="S1753" s="34">
        <v>0.3</v>
      </c>
      <c r="T1753" s="353">
        <f t="shared" si="328"/>
        <v>1.0638297872340425E-2</v>
      </c>
      <c r="U1753" s="95">
        <v>1.42</v>
      </c>
      <c r="V1753" s="36">
        <f>RTD("money.excel",,"6558","Price")</f>
        <v>28.2</v>
      </c>
      <c r="W1753" s="66"/>
      <c r="X1753" s="15">
        <f t="shared" si="329"/>
        <v>28.2</v>
      </c>
      <c r="Y1753" s="3" t="e">
        <f t="shared" si="330"/>
        <v>#DIV/0!</v>
      </c>
      <c r="Z1753" s="413" t="s">
        <v>3824</v>
      </c>
      <c r="AA1753" s="161">
        <v>0</v>
      </c>
      <c r="AB1753" s="409">
        <v>0</v>
      </c>
      <c r="AC1753" s="259">
        <f t="shared" si="326"/>
        <v>0</v>
      </c>
      <c r="AD1753" s="22" t="s">
        <v>1071</v>
      </c>
      <c r="AG1753" s="33">
        <f t="shared" si="331"/>
        <v>0</v>
      </c>
      <c r="AH1753" s="43" t="s">
        <v>2098</v>
      </c>
      <c r="AI1753" s="63">
        <f t="shared" si="332"/>
        <v>3.9355581127733024E-3</v>
      </c>
      <c r="AJ1753" s="307">
        <f>RTD("money.excel",,$G1753,"PredictVolume")</f>
        <v>342</v>
      </c>
      <c r="AK1753" s="339"/>
    </row>
    <row r="1754" spans="1:37">
      <c r="A1754" s="416">
        <v>3.39</v>
      </c>
      <c r="B1754" s="80">
        <v>-41</v>
      </c>
      <c r="C1754" s="80">
        <v>-59</v>
      </c>
      <c r="D1754" s="80">
        <v>-3</v>
      </c>
      <c r="E1754" s="79">
        <v>77</v>
      </c>
      <c r="F1754" s="6">
        <v>9.6300000000000008</v>
      </c>
      <c r="G1754" s="79">
        <v>6613</v>
      </c>
      <c r="H1754" s="8" t="s">
        <v>316</v>
      </c>
      <c r="I1754" s="16" t="s">
        <v>488</v>
      </c>
      <c r="J1754" s="323">
        <v>62.19</v>
      </c>
      <c r="K1754" s="323">
        <v>1.1499999999999999</v>
      </c>
      <c r="L1754" s="73">
        <v>2.69</v>
      </c>
      <c r="N1754" s="318">
        <f t="shared" si="327"/>
        <v>66.03</v>
      </c>
      <c r="O1754" s="81">
        <f>IFERROR(VLOOKUP($G1754,'321買'!A:E,3,0),"'沒有資料'")</f>
        <v>0</v>
      </c>
      <c r="P1754" s="380">
        <f>IFERROR(VLOOKUP($G1754,'321買'!$A:$G,7,0),"'沒有資料'")</f>
        <v>911</v>
      </c>
      <c r="R1754" s="297">
        <f>IFERROR(RANK(VLOOKUP($G1754,連買!$A:$D,4,0),連買!$D:$D,0),"'沒有資料'")</f>
        <v>122</v>
      </c>
      <c r="S1754" s="66">
        <v>8</v>
      </c>
      <c r="T1754" s="353">
        <f t="shared" si="328"/>
        <v>4.6783625730994149E-2</v>
      </c>
      <c r="U1754" s="95">
        <v>12.01</v>
      </c>
      <c r="V1754" s="36">
        <f>RTD("money.excel",,"6613","Price")</f>
        <v>171</v>
      </c>
      <c r="W1754" s="66"/>
      <c r="X1754" s="15">
        <f t="shared" si="329"/>
        <v>171</v>
      </c>
      <c r="Y1754" s="3" t="e">
        <f t="shared" si="330"/>
        <v>#DIV/0!</v>
      </c>
      <c r="Z1754" s="413" t="s">
        <v>1997</v>
      </c>
      <c r="AA1754" s="161">
        <v>0</v>
      </c>
      <c r="AB1754" s="409">
        <v>0</v>
      </c>
      <c r="AC1754" s="259">
        <f t="shared" si="326"/>
        <v>0</v>
      </c>
      <c r="AD1754" s="16" t="s">
        <v>488</v>
      </c>
      <c r="AG1754" s="33">
        <f t="shared" si="331"/>
        <v>0</v>
      </c>
      <c r="AH1754" s="43" t="s">
        <v>1832</v>
      </c>
      <c r="AI1754" s="63">
        <f t="shared" si="332"/>
        <v>9.7345132743362835E-4</v>
      </c>
      <c r="AJ1754" s="307">
        <f>RTD("money.excel",,$G1754,"PredictVolume")</f>
        <v>33</v>
      </c>
      <c r="AK1754" s="339"/>
    </row>
    <row r="1755" spans="1:37">
      <c r="A1755" s="415">
        <v>3.33</v>
      </c>
      <c r="B1755" s="91">
        <v>-64</v>
      </c>
      <c r="C1755" s="91">
        <v>-71</v>
      </c>
      <c r="D1755" s="91">
        <v>1</v>
      </c>
      <c r="E1755" s="91">
        <v>-81</v>
      </c>
      <c r="F1755" s="57">
        <v>15.33</v>
      </c>
      <c r="G1755" s="79">
        <v>6654</v>
      </c>
      <c r="H1755" s="8" t="s">
        <v>316</v>
      </c>
      <c r="I1755" s="16" t="s">
        <v>1079</v>
      </c>
      <c r="J1755" s="73">
        <v>63.42</v>
      </c>
      <c r="K1755" s="73">
        <v>0.05</v>
      </c>
      <c r="N1755" s="318">
        <f t="shared" si="327"/>
        <v>63.47</v>
      </c>
      <c r="O1755" s="81">
        <f>IFERROR(VLOOKUP($G1755,'321買'!A:E,3,0),"'沒有資料'")</f>
        <v>4</v>
      </c>
      <c r="P1755" s="380">
        <f>IFERROR(VLOOKUP($G1755,'321買'!$A:$G,7,0),"'沒有資料'")</f>
        <v>592</v>
      </c>
      <c r="R1755" s="297">
        <f>IFERROR(RANK(VLOOKUP($G1755,連買!$A:$D,4,0),連買!$D:$D,0),"'沒有資料'")</f>
        <v>1621</v>
      </c>
      <c r="S1755" s="34">
        <v>1.5</v>
      </c>
      <c r="T1755" s="353">
        <f t="shared" si="328"/>
        <v>2.2488755622188904E-2</v>
      </c>
      <c r="U1755" s="57">
        <v>2.06</v>
      </c>
      <c r="V1755" s="36">
        <f>RTD("money.excel",,"6654","Price")</f>
        <v>66.7</v>
      </c>
      <c r="W1755" s="66"/>
      <c r="X1755" s="15">
        <f t="shared" si="329"/>
        <v>66.7</v>
      </c>
      <c r="Y1755" s="3" t="e">
        <f t="shared" si="330"/>
        <v>#DIV/0!</v>
      </c>
      <c r="Z1755" s="413" t="s">
        <v>1801</v>
      </c>
      <c r="AA1755" s="161">
        <v>0</v>
      </c>
      <c r="AB1755" s="409">
        <v>0</v>
      </c>
      <c r="AC1755" s="259">
        <f t="shared" si="326"/>
        <v>0</v>
      </c>
      <c r="AD1755" s="16" t="s">
        <v>1079</v>
      </c>
      <c r="AG1755" s="33">
        <f t="shared" si="331"/>
        <v>0</v>
      </c>
      <c r="AH1755" s="43" t="s">
        <v>2371</v>
      </c>
      <c r="AI1755" s="63">
        <f t="shared" si="332"/>
        <v>9.0090090090090091E-4</v>
      </c>
      <c r="AJ1755" s="307">
        <f>RTD("money.excel",,$G1755,"PredictVolume")</f>
        <v>30</v>
      </c>
      <c r="AK1755" s="339"/>
    </row>
    <row r="1756" spans="1:37">
      <c r="A1756" s="416">
        <v>3.98</v>
      </c>
      <c r="B1756" s="79">
        <v>76</v>
      </c>
      <c r="C1756" s="79">
        <v>197</v>
      </c>
      <c r="D1756" s="80">
        <v>-21</v>
      </c>
      <c r="E1756" s="79">
        <v>63</v>
      </c>
      <c r="F1756" s="6">
        <v>8.65</v>
      </c>
      <c r="G1756" s="79">
        <v>6667</v>
      </c>
      <c r="H1756" s="8" t="s">
        <v>316</v>
      </c>
      <c r="I1756" s="16" t="s">
        <v>1080</v>
      </c>
      <c r="J1756" s="73">
        <v>51.32</v>
      </c>
      <c r="K1756" s="73">
        <v>5.35</v>
      </c>
      <c r="L1756" s="323">
        <v>30.91</v>
      </c>
      <c r="M1756" s="323">
        <v>18.670000000000002</v>
      </c>
      <c r="N1756" s="318">
        <f t="shared" si="327"/>
        <v>106.25</v>
      </c>
      <c r="O1756" s="81">
        <f>IFERROR(VLOOKUP($G1756,'321買'!A:E,3,0),"'沒有資料'")</f>
        <v>13</v>
      </c>
      <c r="P1756" s="380">
        <f>IFERROR(VLOOKUP($G1756,'321買'!$A:$G,7,0),"'沒有資料'")</f>
        <v>348</v>
      </c>
      <c r="Q1756" s="245" t="s">
        <v>5088</v>
      </c>
      <c r="R1756" s="297">
        <f>IFERROR(RANK(VLOOKUP($G1756,連買!$A:$D,4,0),連買!$D:$D,0),"'沒有資料'")</f>
        <v>303</v>
      </c>
      <c r="S1756" s="34">
        <v>2.94</v>
      </c>
      <c r="T1756" s="353">
        <f t="shared" si="328"/>
        <v>3.4186046511627904E-2</v>
      </c>
      <c r="U1756" s="57">
        <v>3.27</v>
      </c>
      <c r="V1756" s="36">
        <f>RTD("money.excel",,"6667","Price")</f>
        <v>86</v>
      </c>
      <c r="W1756" s="66"/>
      <c r="X1756" s="15">
        <f t="shared" si="329"/>
        <v>86</v>
      </c>
      <c r="Y1756" s="3" t="e">
        <f t="shared" si="330"/>
        <v>#DIV/0!</v>
      </c>
      <c r="Z1756" s="413" t="s">
        <v>1801</v>
      </c>
      <c r="AA1756" s="161">
        <v>0</v>
      </c>
      <c r="AB1756" s="409">
        <v>0</v>
      </c>
      <c r="AC1756" s="259">
        <f t="shared" si="326"/>
        <v>0</v>
      </c>
      <c r="AD1756" s="16" t="s">
        <v>1080</v>
      </c>
      <c r="AG1756" s="33">
        <f t="shared" si="331"/>
        <v>0</v>
      </c>
      <c r="AH1756" s="43" t="s">
        <v>2713</v>
      </c>
      <c r="AI1756" s="63">
        <f t="shared" si="332"/>
        <v>1.2964824120603015E-2</v>
      </c>
      <c r="AJ1756" s="307">
        <f>RTD("money.excel",,$G1756,"PredictVolume")</f>
        <v>516</v>
      </c>
      <c r="AK1756" s="339">
        <v>27.8</v>
      </c>
    </row>
    <row r="1757" spans="1:37">
      <c r="A1757" s="415">
        <v>6.79</v>
      </c>
      <c r="B1757" s="79">
        <v>131</v>
      </c>
      <c r="C1757" s="79">
        <v>138</v>
      </c>
      <c r="D1757" s="79">
        <v>57</v>
      </c>
      <c r="E1757" s="79">
        <v>58</v>
      </c>
      <c r="F1757" s="57">
        <v>11.18</v>
      </c>
      <c r="G1757" s="79">
        <v>6691</v>
      </c>
      <c r="H1757" s="8" t="s">
        <v>316</v>
      </c>
      <c r="I1757" s="22" t="s">
        <v>3868</v>
      </c>
      <c r="J1757" s="323">
        <v>60.57</v>
      </c>
      <c r="K1757" s="323">
        <v>0.14000000000000001</v>
      </c>
      <c r="M1757" s="73">
        <v>26.73</v>
      </c>
      <c r="N1757" s="318">
        <f>J1757+K1757+L1757+M1757</f>
        <v>87.44</v>
      </c>
      <c r="O1757" s="81" t="str">
        <f>IFERROR(VLOOKUP($G1757,'321買'!A:E,3,0),"'沒有資料'")</f>
        <v>'沒有資料'</v>
      </c>
      <c r="P1757" s="380" t="str">
        <f>IFERROR(VLOOKUP($G1757,'321買'!$A:$G,7,0),"'沒有資料'")</f>
        <v>'沒有資料'</v>
      </c>
      <c r="R1757" s="297">
        <f>IFERROR(RANK(VLOOKUP($G1757,連買!$A:$D,4,0),連買!$D:$D,0),"'沒有資料'")</f>
        <v>1654</v>
      </c>
      <c r="S1757" s="66">
        <v>11</v>
      </c>
      <c r="T1757" s="353">
        <f t="shared" si="328"/>
        <v>5.8201058201058198E-2</v>
      </c>
      <c r="U1757" s="95">
        <v>16.7</v>
      </c>
      <c r="V1757" s="36">
        <f>RTD("money.excel",,"6691","Price")</f>
        <v>189</v>
      </c>
      <c r="W1757" s="66"/>
      <c r="X1757" s="15">
        <f t="shared" si="329"/>
        <v>189</v>
      </c>
      <c r="Y1757" s="3" t="e">
        <f t="shared" si="330"/>
        <v>#DIV/0!</v>
      </c>
      <c r="Z1757" s="413" t="s">
        <v>1997</v>
      </c>
      <c r="AA1757" s="161">
        <v>0</v>
      </c>
      <c r="AB1757" s="409">
        <v>0</v>
      </c>
      <c r="AC1757" s="259">
        <f t="shared" si="326"/>
        <v>0</v>
      </c>
      <c r="AD1757" s="22" t="s">
        <v>3868</v>
      </c>
      <c r="AG1757" s="33">
        <f t="shared" si="331"/>
        <v>0</v>
      </c>
      <c r="AH1757" s="43" t="s">
        <v>3869</v>
      </c>
      <c r="AI1757" s="63">
        <f t="shared" si="332"/>
        <v>2.6509572901325479E-4</v>
      </c>
      <c r="AJ1757" s="307">
        <f>RTD("money.excel",,$G1757,"PredictVolume")</f>
        <v>18</v>
      </c>
      <c r="AK1757" s="339"/>
    </row>
    <row r="1758" spans="1:37">
      <c r="A1758" s="416">
        <v>6.64</v>
      </c>
      <c r="B1758" s="79">
        <v>258</v>
      </c>
      <c r="C1758" s="79">
        <v>245</v>
      </c>
      <c r="D1758" s="79">
        <v>22</v>
      </c>
      <c r="E1758" s="79">
        <v>59</v>
      </c>
      <c r="F1758" s="6">
        <v>4.3899999999999997</v>
      </c>
      <c r="G1758" s="79">
        <v>6698</v>
      </c>
      <c r="H1758" s="8" t="s">
        <v>316</v>
      </c>
      <c r="I1758" s="22" t="s">
        <v>1860</v>
      </c>
      <c r="J1758" s="323">
        <v>37.229999999999997</v>
      </c>
      <c r="K1758" s="73">
        <v>3.77</v>
      </c>
      <c r="L1758" s="73">
        <v>23.42</v>
      </c>
      <c r="M1758" s="73">
        <v>36.54</v>
      </c>
      <c r="N1758" s="318">
        <f t="shared" si="327"/>
        <v>100.96000000000001</v>
      </c>
      <c r="O1758" s="81">
        <f>IFERROR(VLOOKUP($G1758,'321買'!A:E,3,0),"'沒有資料'")</f>
        <v>7</v>
      </c>
      <c r="P1758" s="380">
        <f>IFERROR(VLOOKUP($G1758,'321買'!$A:$G,7,0),"'沒有資料'")</f>
        <v>499</v>
      </c>
      <c r="Q1758" s="245" t="s">
        <v>3815</v>
      </c>
      <c r="R1758" s="297">
        <f>IFERROR(RANK(VLOOKUP($G1758,連買!$A:$D,4,0),連買!$D:$D,0),"'沒有資料'")</f>
        <v>520</v>
      </c>
      <c r="S1758" s="34">
        <v>0.5</v>
      </c>
      <c r="T1758" s="353">
        <f t="shared" si="328"/>
        <v>1.2224938875305624E-2</v>
      </c>
      <c r="U1758" s="95">
        <v>0.53</v>
      </c>
      <c r="V1758" s="36">
        <f>RTD("money.excel",,"6698","Price")</f>
        <v>40.9</v>
      </c>
      <c r="W1758" s="66"/>
      <c r="X1758" s="15">
        <f t="shared" si="329"/>
        <v>40.9</v>
      </c>
      <c r="Y1758" s="3" t="e">
        <f t="shared" si="330"/>
        <v>#DIV/0!</v>
      </c>
      <c r="Z1758" s="413" t="s">
        <v>1801</v>
      </c>
      <c r="AA1758" s="161">
        <v>0</v>
      </c>
      <c r="AB1758" s="409">
        <v>0</v>
      </c>
      <c r="AC1758" s="259">
        <f t="shared" si="326"/>
        <v>0</v>
      </c>
      <c r="AD1758" s="22" t="s">
        <v>1860</v>
      </c>
      <c r="AG1758" s="33">
        <f t="shared" si="331"/>
        <v>0</v>
      </c>
      <c r="AH1758" s="43" t="s">
        <v>2517</v>
      </c>
      <c r="AI1758" s="63">
        <f t="shared" si="332"/>
        <v>3.6144578313253013E-3</v>
      </c>
      <c r="AJ1758" s="307">
        <f>RTD("money.excel",,$G1758,"PredictVolume")</f>
        <v>240</v>
      </c>
      <c r="AK1758" s="339"/>
    </row>
    <row r="1759" spans="1:37">
      <c r="A1759" s="416">
        <v>12.2</v>
      </c>
      <c r="B1759" s="80">
        <v>-21</v>
      </c>
      <c r="C1759" s="79">
        <v>30</v>
      </c>
      <c r="D1759" s="79">
        <v>7</v>
      </c>
      <c r="E1759" s="80">
        <v>-14</v>
      </c>
      <c r="F1759" s="6">
        <v>3.98</v>
      </c>
      <c r="G1759" s="79">
        <v>6743</v>
      </c>
      <c r="H1759" s="8" t="s">
        <v>316</v>
      </c>
      <c r="I1759" s="22" t="s">
        <v>2266</v>
      </c>
      <c r="J1759" s="323">
        <v>57.56</v>
      </c>
      <c r="K1759" s="73">
        <v>3.95</v>
      </c>
      <c r="L1759" s="73">
        <v>5.12</v>
      </c>
      <c r="N1759" s="318">
        <f t="shared" si="327"/>
        <v>66.63000000000001</v>
      </c>
      <c r="O1759" s="81">
        <f>IFERROR(VLOOKUP($G1759,'321買'!A:E,3,0),"'沒有資料'")</f>
        <v>0</v>
      </c>
      <c r="P1759" s="380">
        <f>IFERROR(VLOOKUP($G1759,'321買'!$A:$G,7,0),"'沒有資料'")</f>
        <v>911</v>
      </c>
      <c r="R1759" s="297">
        <f>IFERROR(RANK(VLOOKUP($G1759,連買!$A:$D,4,0),連買!$D:$D,0),"'沒有資料'")</f>
        <v>126</v>
      </c>
      <c r="S1759" s="66">
        <v>3.93</v>
      </c>
      <c r="T1759" s="353">
        <f t="shared" si="328"/>
        <v>7.0810810810810809E-2</v>
      </c>
      <c r="U1759" s="57">
        <v>4.04</v>
      </c>
      <c r="V1759" s="36">
        <f>RTD("money.excel",,"6743","Price")</f>
        <v>55.5</v>
      </c>
      <c r="W1759" s="66"/>
      <c r="X1759" s="15">
        <f t="shared" si="329"/>
        <v>55.5</v>
      </c>
      <c r="Y1759" s="3" t="e">
        <f t="shared" si="330"/>
        <v>#DIV/0!</v>
      </c>
      <c r="Z1759" s="413" t="s">
        <v>1997</v>
      </c>
      <c r="AA1759" s="161">
        <v>0</v>
      </c>
      <c r="AB1759" s="409">
        <v>0</v>
      </c>
      <c r="AC1759" s="259">
        <f t="shared" si="326"/>
        <v>0</v>
      </c>
      <c r="AD1759" s="22" t="s">
        <v>2266</v>
      </c>
      <c r="AG1759" s="33">
        <f t="shared" si="331"/>
        <v>0</v>
      </c>
      <c r="AH1759" s="43" t="s">
        <v>3587</v>
      </c>
      <c r="AI1759" s="63">
        <f t="shared" si="332"/>
        <v>1.5409836065573771E-3</v>
      </c>
      <c r="AJ1759" s="307">
        <f>RTD("money.excel",,$G1759,"PredictVolume")</f>
        <v>188</v>
      </c>
      <c r="AK1759" s="339"/>
    </row>
    <row r="1760" spans="1:37">
      <c r="A1760" s="416">
        <v>14.2</v>
      </c>
      <c r="B1760" s="79">
        <v>7</v>
      </c>
      <c r="C1760" s="79">
        <v>40</v>
      </c>
      <c r="D1760" s="79">
        <v>1</v>
      </c>
      <c r="E1760" s="79">
        <v>8</v>
      </c>
      <c r="F1760" s="6">
        <v>14.24</v>
      </c>
      <c r="G1760" s="79">
        <v>8021</v>
      </c>
      <c r="H1760" s="8" t="s">
        <v>316</v>
      </c>
      <c r="I1760" s="22" t="s">
        <v>514</v>
      </c>
      <c r="J1760" s="323">
        <v>28.9</v>
      </c>
      <c r="K1760" s="73">
        <v>15.64</v>
      </c>
      <c r="L1760" s="73">
        <v>18.649999999999999</v>
      </c>
      <c r="N1760" s="318">
        <f t="shared" si="327"/>
        <v>63.19</v>
      </c>
      <c r="O1760" s="81">
        <f>IFERROR(VLOOKUP($G1760,'321買'!A:E,3,0),"'沒有資料'")</f>
        <v>29</v>
      </c>
      <c r="P1760" s="380">
        <f>IFERROR(VLOOKUP($G1760,'321買'!$A:$G,7,0),"'沒有資料'")</f>
        <v>189</v>
      </c>
      <c r="R1760" s="297">
        <f>IFERROR(RANK(VLOOKUP($G1760,連買!$A:$D,4,0),連買!$D:$D,0),"'沒有資料'")</f>
        <v>910</v>
      </c>
      <c r="S1760" s="34">
        <v>1.58</v>
      </c>
      <c r="T1760" s="353">
        <f t="shared" si="328"/>
        <v>4.6064139941690965E-2</v>
      </c>
      <c r="U1760" s="95">
        <v>1.98</v>
      </c>
      <c r="V1760" s="36">
        <f>RTD("money.excel",,"8021","Price")</f>
        <v>34.299999999999997</v>
      </c>
      <c r="W1760" s="66"/>
      <c r="X1760" s="15">
        <f t="shared" si="329"/>
        <v>34.299999999999997</v>
      </c>
      <c r="Y1760" s="3" t="e">
        <f t="shared" si="330"/>
        <v>#DIV/0!</v>
      </c>
      <c r="Z1760" s="413" t="s">
        <v>1801</v>
      </c>
      <c r="AA1760" s="161">
        <v>0</v>
      </c>
      <c r="AB1760" s="409">
        <v>0</v>
      </c>
      <c r="AC1760" s="259">
        <f t="shared" si="326"/>
        <v>0</v>
      </c>
      <c r="AD1760" s="22" t="s">
        <v>514</v>
      </c>
      <c r="AG1760" s="33">
        <f t="shared" si="331"/>
        <v>0</v>
      </c>
      <c r="AH1760" s="43" t="s">
        <v>2766</v>
      </c>
      <c r="AI1760" s="63">
        <f t="shared" si="332"/>
        <v>2.1408450704225352E-3</v>
      </c>
      <c r="AJ1760" s="307">
        <f>RTD("money.excel",,$G1760,"PredictVolume")</f>
        <v>304</v>
      </c>
      <c r="AK1760" s="339"/>
    </row>
    <row r="1761" spans="1:37">
      <c r="A1761" s="416">
        <v>4.17</v>
      </c>
      <c r="B1761" s="91">
        <v>109</v>
      </c>
      <c r="C1761" s="91">
        <v>54</v>
      </c>
      <c r="D1761" s="91">
        <v>48</v>
      </c>
      <c r="E1761" s="91">
        <v>29</v>
      </c>
      <c r="F1761" s="6">
        <v>-1.57</v>
      </c>
      <c r="G1761" s="79">
        <v>8047</v>
      </c>
      <c r="H1761" s="8" t="s">
        <v>316</v>
      </c>
      <c r="I1761" s="16" t="s">
        <v>489</v>
      </c>
      <c r="J1761" s="73">
        <v>78.040000000000006</v>
      </c>
      <c r="K1761" s="73">
        <v>0</v>
      </c>
      <c r="L1761" s="73">
        <v>5.85</v>
      </c>
      <c r="N1761" s="318">
        <f t="shared" si="327"/>
        <v>83.89</v>
      </c>
      <c r="O1761" s="81">
        <f>IFERROR(VLOOKUP($G1761,'321買'!A:E,3,0),"'沒有資料'")</f>
        <v>1</v>
      </c>
      <c r="P1761" s="380">
        <f>IFERROR(VLOOKUP($G1761,'321買'!$A:$G,7,0),"'沒有資料'")</f>
        <v>783</v>
      </c>
      <c r="R1761" s="297">
        <f>IFERROR(RANK(VLOOKUP($G1761,連買!$A:$D,4,0),連買!$D:$D,0),"'沒有資料'")</f>
        <v>1162</v>
      </c>
      <c r="S1761" s="34">
        <v>0.15</v>
      </c>
      <c r="T1761" s="353">
        <f t="shared" si="328"/>
        <v>1.0489510489510488E-2</v>
      </c>
      <c r="U1761" s="95">
        <v>0.27</v>
      </c>
      <c r="V1761" s="13">
        <f>RTD("money.excel",,"8047","Price")</f>
        <v>14.3</v>
      </c>
      <c r="W1761" s="66"/>
      <c r="X1761" s="15">
        <f t="shared" si="329"/>
        <v>14.3</v>
      </c>
      <c r="Y1761" s="3" t="e">
        <f t="shared" si="330"/>
        <v>#DIV/0!</v>
      </c>
      <c r="AA1761" s="161">
        <v>0</v>
      </c>
      <c r="AB1761" s="409">
        <v>0</v>
      </c>
      <c r="AC1761" s="259">
        <f t="shared" si="326"/>
        <v>0</v>
      </c>
      <c r="AD1761" s="16" t="s">
        <v>489</v>
      </c>
      <c r="AG1761" s="33">
        <f t="shared" si="331"/>
        <v>0</v>
      </c>
      <c r="AH1761" s="43" t="s">
        <v>2714</v>
      </c>
      <c r="AI1761" s="63">
        <f t="shared" si="332"/>
        <v>3.5251798561151079E-3</v>
      </c>
      <c r="AJ1761" s="307">
        <f>RTD("money.excel",,$G1761,"PredictVolume")</f>
        <v>147</v>
      </c>
      <c r="AK1761" s="339"/>
    </row>
    <row r="1762" spans="1:37">
      <c r="A1762" s="416">
        <v>15.7</v>
      </c>
      <c r="B1762" s="80">
        <v>-44</v>
      </c>
      <c r="C1762" s="80">
        <v>-7</v>
      </c>
      <c r="D1762" s="79">
        <v>21</v>
      </c>
      <c r="E1762" s="79">
        <v>23</v>
      </c>
      <c r="F1762" s="6">
        <v>-19.149999999999999</v>
      </c>
      <c r="G1762" s="79">
        <v>8085</v>
      </c>
      <c r="H1762" s="8" t="s">
        <v>316</v>
      </c>
      <c r="I1762" s="16" t="s">
        <v>490</v>
      </c>
      <c r="J1762" s="323">
        <v>39.950000000000003</v>
      </c>
      <c r="K1762" s="323">
        <v>0.66</v>
      </c>
      <c r="N1762" s="318">
        <f t="shared" si="327"/>
        <v>40.61</v>
      </c>
      <c r="O1762" s="81">
        <f>IFERROR(VLOOKUP($G1762,'321買'!A:E,3,0),"'沒有資料'")</f>
        <v>2</v>
      </c>
      <c r="P1762" s="380">
        <f>IFERROR(VLOOKUP($G1762,'321買'!$A:$G,7,0),"'沒有資料'")</f>
        <v>706</v>
      </c>
      <c r="R1762" s="297">
        <f>IFERROR(RANK(VLOOKUP($G1762,連買!$A:$D,4,0),連買!$D:$D,0),"'沒有資料'")</f>
        <v>1453</v>
      </c>
      <c r="S1762" s="34">
        <v>0</v>
      </c>
      <c r="T1762" s="353">
        <f t="shared" si="328"/>
        <v>0</v>
      </c>
      <c r="U1762" s="95">
        <v>-0.47</v>
      </c>
      <c r="V1762" s="36">
        <f>RTD("money.excel",,"8085","Price")</f>
        <v>18.8</v>
      </c>
      <c r="W1762" s="66"/>
      <c r="X1762" s="15">
        <f t="shared" si="329"/>
        <v>18.8</v>
      </c>
      <c r="Y1762" s="3" t="e">
        <f t="shared" si="330"/>
        <v>#DIV/0!</v>
      </c>
      <c r="AA1762" s="161">
        <v>0</v>
      </c>
      <c r="AB1762" s="409">
        <v>0</v>
      </c>
      <c r="AC1762" s="259">
        <f t="shared" si="326"/>
        <v>0</v>
      </c>
      <c r="AD1762" s="16" t="s">
        <v>490</v>
      </c>
      <c r="AG1762" s="33">
        <f t="shared" si="331"/>
        <v>0</v>
      </c>
      <c r="AH1762" s="43" t="s">
        <v>2413</v>
      </c>
      <c r="AI1762" s="63">
        <f t="shared" si="332"/>
        <v>4.1401273885350318E-4</v>
      </c>
      <c r="AJ1762" s="307">
        <f>RTD("money.excel",,$G1762,"PredictVolume")</f>
        <v>65</v>
      </c>
      <c r="AK1762" s="339"/>
    </row>
    <row r="1763" spans="1:37">
      <c r="A1763" s="416">
        <v>3.89</v>
      </c>
      <c r="B1763" s="91">
        <v>47</v>
      </c>
      <c r="C1763" s="91">
        <v>10</v>
      </c>
      <c r="D1763" s="91">
        <v>-58</v>
      </c>
      <c r="E1763" s="91">
        <v>1</v>
      </c>
      <c r="F1763" s="6">
        <v>-9.07</v>
      </c>
      <c r="G1763" s="79">
        <v>8092</v>
      </c>
      <c r="H1763" s="8" t="s">
        <v>316</v>
      </c>
      <c r="I1763" s="16" t="s">
        <v>491</v>
      </c>
      <c r="J1763" s="73">
        <v>54.79</v>
      </c>
      <c r="K1763" s="73">
        <v>0</v>
      </c>
      <c r="N1763" s="318">
        <f t="shared" si="327"/>
        <v>54.79</v>
      </c>
      <c r="O1763" s="81" t="str">
        <f>IFERROR(VLOOKUP($G1763,'321買'!A:E,3,0),"'沒有資料'")</f>
        <v>'沒有資料'</v>
      </c>
      <c r="P1763" s="380" t="str">
        <f>IFERROR(VLOOKUP($G1763,'321買'!$A:$G,7,0),"'沒有資料'")</f>
        <v>'沒有資料'</v>
      </c>
      <c r="R1763" s="297">
        <f>IFERROR(RANK(VLOOKUP($G1763,連買!$A:$D,4,0),連買!$D:$D,0),"'沒有資料'")</f>
        <v>1313</v>
      </c>
      <c r="S1763" s="34">
        <v>0</v>
      </c>
      <c r="T1763" s="353">
        <f t="shared" si="328"/>
        <v>0</v>
      </c>
      <c r="U1763" s="95">
        <v>-0.49</v>
      </c>
      <c r="V1763" s="13">
        <f>RTD("money.excel",,"8092","Price")</f>
        <v>10.75</v>
      </c>
      <c r="W1763" s="66"/>
      <c r="X1763" s="15">
        <f t="shared" si="329"/>
        <v>10.75</v>
      </c>
      <c r="Y1763" s="3" t="e">
        <f t="shared" si="330"/>
        <v>#DIV/0!</v>
      </c>
      <c r="AA1763" s="161">
        <v>0</v>
      </c>
      <c r="AB1763" s="409">
        <v>0</v>
      </c>
      <c r="AC1763" s="259">
        <f t="shared" si="326"/>
        <v>0</v>
      </c>
      <c r="AD1763" s="16" t="s">
        <v>491</v>
      </c>
      <c r="AG1763" s="33">
        <f t="shared" si="331"/>
        <v>0</v>
      </c>
      <c r="AH1763" s="43" t="s">
        <v>2715</v>
      </c>
      <c r="AI1763" s="63">
        <f t="shared" si="332"/>
        <v>1.0282776349614395E-3</v>
      </c>
      <c r="AJ1763" s="307">
        <f>RTD("money.excel",,$G1763,"PredictVolume")</f>
        <v>40</v>
      </c>
      <c r="AK1763" s="339"/>
    </row>
    <row r="1764" spans="1:37">
      <c r="A1764" s="130" t="s">
        <v>8661</v>
      </c>
      <c r="B1764" s="79">
        <v>140</v>
      </c>
      <c r="C1764" s="79">
        <v>151</v>
      </c>
      <c r="D1764" s="79">
        <v>30</v>
      </c>
      <c r="E1764" s="79">
        <v>53</v>
      </c>
      <c r="F1764" s="57">
        <v>13.68</v>
      </c>
      <c r="G1764" s="79">
        <v>8183</v>
      </c>
      <c r="H1764" s="8" t="s">
        <v>316</v>
      </c>
      <c r="I1764" s="16" t="s">
        <v>239</v>
      </c>
      <c r="J1764" s="73">
        <v>49.57</v>
      </c>
      <c r="K1764" s="73">
        <v>8.07</v>
      </c>
      <c r="L1764" s="73">
        <v>33.11</v>
      </c>
      <c r="M1764" s="323">
        <v>32.06</v>
      </c>
      <c r="N1764" s="318">
        <f t="shared" si="327"/>
        <v>122.81</v>
      </c>
      <c r="O1764" s="81">
        <f>IFERROR(VLOOKUP($G1764,'321買'!A:E,3,0),"'沒有資料'")</f>
        <v>37</v>
      </c>
      <c r="P1764" s="380">
        <f>IFERROR(VLOOKUP($G1764,'321買'!$A:$G,7,0),"'沒有資料'")</f>
        <v>104</v>
      </c>
      <c r="Q1764" s="247" t="s">
        <v>8662</v>
      </c>
      <c r="R1764" s="297">
        <f>IFERROR(RANK(VLOOKUP($G1764,連買!$A:$D,4,0),連買!$D:$D,0),"'沒有資料'")</f>
        <v>375</v>
      </c>
      <c r="S1764" s="34"/>
      <c r="T1764" s="353">
        <f t="shared" si="328"/>
        <v>0</v>
      </c>
      <c r="U1764" s="95">
        <v>4.16</v>
      </c>
      <c r="V1764" s="36">
        <f>RTD("money.excel",,"8183","Price")</f>
        <v>75.5</v>
      </c>
      <c r="W1764" s="66"/>
      <c r="X1764" s="15">
        <f t="shared" si="329"/>
        <v>75.5</v>
      </c>
      <c r="Y1764" s="3" t="e">
        <f t="shared" si="330"/>
        <v>#DIV/0!</v>
      </c>
      <c r="Z1764" s="413">
        <v>-3.16</v>
      </c>
      <c r="AA1764" s="161">
        <v>6</v>
      </c>
      <c r="AB1764" s="409">
        <v>0</v>
      </c>
      <c r="AC1764" s="259">
        <f t="shared" si="326"/>
        <v>6</v>
      </c>
      <c r="AD1764" s="16" t="s">
        <v>239</v>
      </c>
      <c r="AG1764" s="33">
        <f t="shared" si="331"/>
        <v>0</v>
      </c>
      <c r="AH1764" s="120" t="s">
        <v>2511</v>
      </c>
      <c r="AI1764" s="63">
        <f t="shared" si="332"/>
        <v>0.35261157024793388</v>
      </c>
      <c r="AJ1764" s="307">
        <f>RTD("money.excel",,$G1764,"PredictVolume")</f>
        <v>42666</v>
      </c>
      <c r="AK1764" s="339">
        <v>51.4</v>
      </c>
    </row>
    <row r="1765" spans="1:37">
      <c r="A1765" s="416">
        <v>6.24</v>
      </c>
      <c r="B1765" s="80">
        <v>-77</v>
      </c>
      <c r="C1765" s="79">
        <v>11</v>
      </c>
      <c r="D1765" s="80">
        <v>-52</v>
      </c>
      <c r="E1765" s="80">
        <v>-29</v>
      </c>
      <c r="F1765" s="6">
        <v>-5.53</v>
      </c>
      <c r="G1765" s="79">
        <v>8201</v>
      </c>
      <c r="H1765" s="8" t="s">
        <v>316</v>
      </c>
      <c r="I1765" s="22" t="s">
        <v>515</v>
      </c>
      <c r="J1765" s="73">
        <v>62.96</v>
      </c>
      <c r="K1765" s="73">
        <v>2.65</v>
      </c>
      <c r="L1765" s="73">
        <v>0</v>
      </c>
      <c r="N1765" s="318">
        <f t="shared" si="327"/>
        <v>65.61</v>
      </c>
      <c r="O1765" s="81">
        <f>IFERROR(VLOOKUP($G1765,'321買'!A:E,3,0),"'沒有資料'")</f>
        <v>14</v>
      </c>
      <c r="P1765" s="380">
        <f>IFERROR(VLOOKUP($G1765,'321買'!$A:$G,7,0),"'沒有資料'")</f>
        <v>307</v>
      </c>
      <c r="R1765" s="297">
        <f>IFERROR(RANK(VLOOKUP($G1765,連買!$A:$D,4,0),連買!$D:$D,0),"'沒有資料'")</f>
        <v>1052</v>
      </c>
      <c r="S1765" s="34">
        <v>0</v>
      </c>
      <c r="T1765" s="353">
        <f t="shared" si="328"/>
        <v>0</v>
      </c>
      <c r="U1765" s="95">
        <v>-0.76</v>
      </c>
      <c r="V1765" s="36">
        <f>RTD("money.excel",,"8201","Price")</f>
        <v>12.75</v>
      </c>
      <c r="W1765" s="66"/>
      <c r="X1765" s="15">
        <f t="shared" si="329"/>
        <v>12.75</v>
      </c>
      <c r="Y1765" s="3" t="e">
        <f t="shared" si="330"/>
        <v>#DIV/0!</v>
      </c>
      <c r="Z1765" s="413" t="s">
        <v>1801</v>
      </c>
      <c r="AA1765" s="161">
        <v>0</v>
      </c>
      <c r="AB1765" s="409">
        <v>0</v>
      </c>
      <c r="AC1765" s="259">
        <f t="shared" si="326"/>
        <v>0</v>
      </c>
      <c r="AD1765" s="22" t="s">
        <v>515</v>
      </c>
      <c r="AG1765" s="33">
        <f t="shared" si="331"/>
        <v>0</v>
      </c>
      <c r="AH1765" s="43" t="s">
        <v>2151</v>
      </c>
      <c r="AI1765" s="63">
        <f t="shared" si="332"/>
        <v>2.1955128205128206E-3</v>
      </c>
      <c r="AJ1765" s="307">
        <f>RTD("money.excel",,$G1765,"PredictVolume")</f>
        <v>137</v>
      </c>
      <c r="AK1765" s="339"/>
    </row>
    <row r="1766" spans="1:37">
      <c r="A1766" s="415">
        <v>11.8</v>
      </c>
      <c r="B1766" s="79">
        <v>30</v>
      </c>
      <c r="C1766" s="79">
        <v>37</v>
      </c>
      <c r="D1766" s="80">
        <v>-43</v>
      </c>
      <c r="E1766" s="80">
        <v>-46</v>
      </c>
      <c r="F1766" s="57">
        <v>12.57</v>
      </c>
      <c r="G1766" s="79">
        <v>8383</v>
      </c>
      <c r="H1766" s="8" t="s">
        <v>316</v>
      </c>
      <c r="I1766" s="16" t="s">
        <v>163</v>
      </c>
      <c r="J1766" s="323">
        <v>36.549999999999997</v>
      </c>
      <c r="K1766" s="73">
        <v>7.51</v>
      </c>
      <c r="L1766" s="73">
        <v>13.29</v>
      </c>
      <c r="N1766" s="318">
        <f t="shared" si="327"/>
        <v>57.349999999999994</v>
      </c>
      <c r="O1766" s="81">
        <f>IFERROR(VLOOKUP($G1766,'321買'!A:E,3,0),"'沒有資料'")</f>
        <v>1</v>
      </c>
      <c r="P1766" s="380">
        <f>IFERROR(VLOOKUP($G1766,'321買'!$A:$G,7,0),"'沒有資料'")</f>
        <v>783</v>
      </c>
      <c r="R1766" s="297">
        <f>IFERROR(RANK(VLOOKUP($G1766,連買!$A:$D,4,0),連買!$D:$D,0),"'沒有資料'")</f>
        <v>283</v>
      </c>
      <c r="S1766" s="34">
        <v>2.5</v>
      </c>
      <c r="T1766" s="353">
        <f t="shared" si="328"/>
        <v>6.1050061050061048E-2</v>
      </c>
      <c r="U1766" s="95">
        <v>2.74</v>
      </c>
      <c r="V1766" s="36">
        <f>RTD("money.excel",,"8383","Price")</f>
        <v>40.950000000000003</v>
      </c>
      <c r="W1766" s="66"/>
      <c r="X1766" s="15">
        <f t="shared" si="329"/>
        <v>40.950000000000003</v>
      </c>
      <c r="Y1766" s="3" t="e">
        <f t="shared" si="330"/>
        <v>#DIV/0!</v>
      </c>
      <c r="Z1766" s="413" t="s">
        <v>1801</v>
      </c>
      <c r="AA1766" s="161">
        <v>0</v>
      </c>
      <c r="AB1766" s="409">
        <v>0</v>
      </c>
      <c r="AC1766" s="259">
        <f t="shared" si="326"/>
        <v>0</v>
      </c>
      <c r="AD1766" s="16" t="s">
        <v>163</v>
      </c>
      <c r="AG1766" s="33">
        <f t="shared" si="331"/>
        <v>0</v>
      </c>
      <c r="AH1766" s="120" t="s">
        <v>3272</v>
      </c>
      <c r="AI1766" s="63">
        <f t="shared" si="332"/>
        <v>2.9830508474576272E-3</v>
      </c>
      <c r="AJ1766" s="307">
        <f>RTD("money.excel",,$G1766,"PredictVolume")</f>
        <v>352</v>
      </c>
      <c r="AK1766" s="339"/>
    </row>
    <row r="1767" spans="1:37">
      <c r="A1767" s="415">
        <v>4.45</v>
      </c>
      <c r="B1767" s="79">
        <v>127</v>
      </c>
      <c r="C1767" s="79">
        <v>132</v>
      </c>
      <c r="D1767" s="79">
        <v>13</v>
      </c>
      <c r="E1767" s="79">
        <v>11</v>
      </c>
      <c r="F1767" s="57">
        <v>20.47</v>
      </c>
      <c r="G1767" s="79">
        <v>8431</v>
      </c>
      <c r="H1767" s="8" t="s">
        <v>316</v>
      </c>
      <c r="I1767" s="16" t="s">
        <v>5025</v>
      </c>
      <c r="J1767" s="73">
        <v>23.17</v>
      </c>
      <c r="K1767" s="73">
        <v>1.95</v>
      </c>
      <c r="L1767" s="73">
        <v>53.95</v>
      </c>
      <c r="M1767" s="73">
        <v>15.96</v>
      </c>
      <c r="N1767" s="318">
        <f t="shared" si="327"/>
        <v>95.03</v>
      </c>
      <c r="O1767" s="81">
        <f>IFERROR(VLOOKUP($G1767,'321買'!A:E,3,0),"'沒有資料'")</f>
        <v>23</v>
      </c>
      <c r="P1767" s="380">
        <f>IFERROR(VLOOKUP($G1767,'321買'!$A:$G,7,0),"'沒有資料'")</f>
        <v>196</v>
      </c>
      <c r="Q1767" s="245" t="s">
        <v>3815</v>
      </c>
      <c r="R1767" s="297">
        <f>IFERROR(RANK(VLOOKUP($G1767,連買!$A:$D,4,0),連買!$D:$D,0),"'沒有資料'")</f>
        <v>198</v>
      </c>
      <c r="S1767" s="34">
        <v>0.8</v>
      </c>
      <c r="T1767" s="353">
        <f t="shared" si="328"/>
        <v>1.1816838995568686E-2</v>
      </c>
      <c r="U1767" s="95">
        <v>3.93</v>
      </c>
      <c r="V1767" s="36">
        <f>RTD("money.excel",,"8431","Price")</f>
        <v>67.7</v>
      </c>
      <c r="W1767" s="66"/>
      <c r="X1767" s="15">
        <f t="shared" si="329"/>
        <v>67.7</v>
      </c>
      <c r="Y1767" s="3" t="e">
        <f t="shared" si="330"/>
        <v>#DIV/0!</v>
      </c>
      <c r="Z1767" s="413" t="s">
        <v>1801</v>
      </c>
      <c r="AA1767" s="161">
        <v>0</v>
      </c>
      <c r="AB1767" s="409">
        <v>0</v>
      </c>
      <c r="AC1767" s="259">
        <f t="shared" si="326"/>
        <v>0</v>
      </c>
      <c r="AD1767" s="16" t="s">
        <v>5025</v>
      </c>
      <c r="AG1767" s="33">
        <f t="shared" si="331"/>
        <v>0</v>
      </c>
      <c r="AH1767" s="43" t="s">
        <v>2716</v>
      </c>
      <c r="AI1767" s="63">
        <f t="shared" si="332"/>
        <v>8.5168539325842698E-3</v>
      </c>
      <c r="AJ1767" s="307">
        <f>RTD("money.excel",,$G1767,"PredictVolume")</f>
        <v>379</v>
      </c>
      <c r="AK1767" s="339">
        <v>48.51</v>
      </c>
    </row>
    <row r="1768" spans="1:37">
      <c r="A1768" s="416">
        <v>2.52</v>
      </c>
      <c r="B1768" s="91">
        <v>-128</v>
      </c>
      <c r="C1768" s="91">
        <v>-113</v>
      </c>
      <c r="D1768" s="91">
        <v>11</v>
      </c>
      <c r="E1768" s="91">
        <v>-25</v>
      </c>
      <c r="F1768" s="6">
        <v>-1.26</v>
      </c>
      <c r="G1768" s="79">
        <v>8455</v>
      </c>
      <c r="H1768" s="8" t="s">
        <v>316</v>
      </c>
      <c r="I1768" s="16" t="s">
        <v>1081</v>
      </c>
      <c r="J1768" s="73">
        <v>87.78</v>
      </c>
      <c r="K1768" s="73">
        <v>87.77</v>
      </c>
      <c r="N1768" s="318">
        <f t="shared" si="327"/>
        <v>175.55</v>
      </c>
      <c r="O1768" s="81" t="str">
        <f>IFERROR(VLOOKUP($G1768,'321買'!A:E,3,0),"'沒有資料'")</f>
        <v>'沒有資料'</v>
      </c>
      <c r="P1768" s="380" t="str">
        <f>IFERROR(VLOOKUP($G1768,'321買'!$A:$G,7,0),"'沒有資料'")</f>
        <v>'沒有資料'</v>
      </c>
      <c r="R1768" s="297">
        <f>IFERROR(RANK(VLOOKUP($G1768,連買!$A:$D,4,0),連買!$D:$D,0),"'沒有資料'")</f>
        <v>1370</v>
      </c>
      <c r="S1768" s="34">
        <v>0</v>
      </c>
      <c r="T1768" s="353">
        <f t="shared" si="328"/>
        <v>0</v>
      </c>
      <c r="U1768" s="57">
        <v>-0.06</v>
      </c>
      <c r="V1768" s="13">
        <f>RTD("money.excel",,"8455","Price")</f>
        <v>28.65</v>
      </c>
      <c r="W1768" s="66"/>
      <c r="X1768" s="15">
        <f t="shared" si="329"/>
        <v>28.65</v>
      </c>
      <c r="Y1768" s="3" t="e">
        <f t="shared" si="330"/>
        <v>#DIV/0!</v>
      </c>
      <c r="AA1768" s="161">
        <v>0</v>
      </c>
      <c r="AB1768" s="409">
        <v>0</v>
      </c>
      <c r="AC1768" s="259">
        <f t="shared" si="326"/>
        <v>0</v>
      </c>
      <c r="AD1768" s="16" t="s">
        <v>492</v>
      </c>
      <c r="AG1768" s="33">
        <f t="shared" si="331"/>
        <v>0</v>
      </c>
      <c r="AH1768" s="43" t="s">
        <v>2717</v>
      </c>
      <c r="AI1768" s="63">
        <f t="shared" si="332"/>
        <v>2.7380952380952383E-3</v>
      </c>
      <c r="AJ1768" s="307">
        <f>RTD("money.excel",,$G1768,"PredictVolume")</f>
        <v>69</v>
      </c>
      <c r="AK1768" s="339"/>
    </row>
    <row r="1769" spans="1:37">
      <c r="A1769" s="146"/>
      <c r="B1769" s="91"/>
      <c r="C1769" s="91"/>
      <c r="D1769" s="91"/>
      <c r="E1769" s="91"/>
      <c r="F1769" s="6"/>
      <c r="G1769" s="79"/>
      <c r="H1769" s="8"/>
      <c r="I1769" s="16"/>
      <c r="J1769" s="73"/>
      <c r="K1769" s="73"/>
      <c r="N1769" s="318"/>
      <c r="O1769" s="26"/>
      <c r="S1769" s="34"/>
      <c r="U1769" s="57"/>
      <c r="V1769" s="13"/>
      <c r="W1769" s="66"/>
      <c r="X1769" s="15"/>
      <c r="Y1769" s="3"/>
      <c r="AA1769" s="2"/>
      <c r="AD1769" s="16"/>
      <c r="AG1769" s="33"/>
      <c r="AH1769" s="43"/>
      <c r="AI1769" s="63"/>
      <c r="AJ1769" s="307"/>
      <c r="AK1769" s="339"/>
    </row>
    <row r="1770" spans="1:37">
      <c r="A1770" s="130" t="s">
        <v>1732</v>
      </c>
      <c r="B1770" s="91" t="s">
        <v>1588</v>
      </c>
      <c r="C1770" s="91" t="s">
        <v>1589</v>
      </c>
      <c r="D1770" s="91" t="s">
        <v>1590</v>
      </c>
      <c r="E1770" s="91" t="s">
        <v>1591</v>
      </c>
      <c r="F1770" s="8" t="s">
        <v>1066</v>
      </c>
      <c r="G1770" s="27" t="s">
        <v>5026</v>
      </c>
      <c r="H1770" s="55" t="s">
        <v>322</v>
      </c>
      <c r="I1770" s="50" t="s">
        <v>1030</v>
      </c>
      <c r="J1770" s="317" t="s">
        <v>1467</v>
      </c>
      <c r="K1770" s="317" t="s">
        <v>1157</v>
      </c>
      <c r="L1770" s="317" t="s">
        <v>284</v>
      </c>
      <c r="M1770" s="317" t="s">
        <v>1059</v>
      </c>
      <c r="N1770" s="317" t="s">
        <v>5048</v>
      </c>
      <c r="O1770" s="26" t="s">
        <v>5107</v>
      </c>
      <c r="P1770" s="373" t="s">
        <v>5059</v>
      </c>
      <c r="Q1770" s="245" t="s">
        <v>5087</v>
      </c>
      <c r="R1770" s="345" t="s">
        <v>5059</v>
      </c>
      <c r="S1770" s="10" t="s">
        <v>66</v>
      </c>
      <c r="T1770" s="351" t="s">
        <v>5076</v>
      </c>
      <c r="U1770" s="68" t="s">
        <v>3493</v>
      </c>
      <c r="V1770" s="28" t="s">
        <v>2</v>
      </c>
      <c r="W1770" s="17" t="s">
        <v>1405</v>
      </c>
      <c r="X1770" s="14" t="s">
        <v>5</v>
      </c>
      <c r="Y1770" s="21" t="s">
        <v>3</v>
      </c>
      <c r="Z1770" s="97" t="s">
        <v>6627</v>
      </c>
      <c r="AA1770" s="406" t="s">
        <v>8647</v>
      </c>
      <c r="AB1770" s="407" t="s">
        <v>8648</v>
      </c>
      <c r="AC1770" s="408" t="s">
        <v>8649</v>
      </c>
      <c r="AD1770" s="50" t="s">
        <v>1030</v>
      </c>
      <c r="AE1770" s="71" t="s">
        <v>1406</v>
      </c>
      <c r="AF1770" s="72" t="s">
        <v>1163</v>
      </c>
      <c r="AG1770" s="32" t="s">
        <v>1164</v>
      </c>
      <c r="AH1770" s="25" t="s">
        <v>8650</v>
      </c>
      <c r="AI1770" s="8" t="s">
        <v>3852</v>
      </c>
      <c r="AJ1770" s="50" t="s">
        <v>3586</v>
      </c>
      <c r="AK1770" s="339" t="s">
        <v>5038</v>
      </c>
    </row>
    <row r="1771" spans="1:37">
      <c r="A1771" s="416">
        <v>4.74</v>
      </c>
      <c r="B1771" s="80">
        <v>-77</v>
      </c>
      <c r="C1771" s="80">
        <v>-81</v>
      </c>
      <c r="D1771" s="80">
        <v>-12</v>
      </c>
      <c r="E1771" s="80">
        <v>-18</v>
      </c>
      <c r="F1771" s="6">
        <v>1.93</v>
      </c>
      <c r="G1771" s="79">
        <v>2926</v>
      </c>
      <c r="H1771" s="8" t="s">
        <v>1030</v>
      </c>
      <c r="I1771" s="16" t="s">
        <v>5027</v>
      </c>
      <c r="J1771" s="73">
        <v>69.27</v>
      </c>
      <c r="K1771" s="323">
        <v>15.03</v>
      </c>
      <c r="L1771" s="323">
        <v>0.59</v>
      </c>
      <c r="N1771" s="318">
        <f>J1771+K1771+L1771+M1771</f>
        <v>84.89</v>
      </c>
      <c r="O1771" s="81">
        <f>IFERROR(VLOOKUP($G1771,'321買'!A:E,3,0),"'沒有資料'")</f>
        <v>0</v>
      </c>
      <c r="P1771" s="380">
        <f>IFERROR(VLOOKUP($G1771,'321買'!$A:$G,7,0),"'沒有資料'")</f>
        <v>911</v>
      </c>
      <c r="R1771" s="297">
        <f>IFERROR(RANK(VLOOKUP($G1771,連買!$A:$D,4,0),連買!$D:$D,0),"'沒有資料'")</f>
        <v>564</v>
      </c>
      <c r="S1771" s="34">
        <v>0.84</v>
      </c>
      <c r="T1771" s="353">
        <f t="shared" ref="T1771:T1795" si="333">S1771/V1771</f>
        <v>1.4840989399293285E-2</v>
      </c>
      <c r="U1771" s="57">
        <v>1.1599999999999999</v>
      </c>
      <c r="V1771" s="36">
        <f>RTD("money.excel",,"2926","Price")</f>
        <v>56.6</v>
      </c>
      <c r="W1771" s="66"/>
      <c r="X1771" s="15">
        <f t="shared" ref="X1771:X1795" si="334">V1771-W1771</f>
        <v>56.6</v>
      </c>
      <c r="Y1771" s="3" t="e">
        <f t="shared" ref="Y1771:Y1795" si="335">X1771/W1771</f>
        <v>#DIV/0!</v>
      </c>
      <c r="Z1771" s="413" t="s">
        <v>1801</v>
      </c>
      <c r="AA1771" s="161">
        <v>0</v>
      </c>
      <c r="AB1771" s="409">
        <v>0</v>
      </c>
      <c r="AC1771" s="259">
        <f t="shared" si="326"/>
        <v>0</v>
      </c>
      <c r="AD1771" s="16" t="s">
        <v>5027</v>
      </c>
      <c r="AG1771" s="33">
        <f t="shared" ref="AG1771:AG1795" si="336">AF1771-AE1771</f>
        <v>0</v>
      </c>
      <c r="AH1771" s="120" t="s">
        <v>2530</v>
      </c>
      <c r="AI1771" s="63">
        <f t="shared" ref="AI1771:AI1795" si="337">AJ1771/(A1771*10000)</f>
        <v>8.4388185654008435E-5</v>
      </c>
      <c r="AJ1771" s="307">
        <f>RTD("money.excel",,$G1771,"PredictVolume")</f>
        <v>4</v>
      </c>
      <c r="AK1771" s="339"/>
    </row>
    <row r="1772" spans="1:37">
      <c r="A1772" s="416">
        <v>2.67</v>
      </c>
      <c r="B1772" s="91">
        <v>62</v>
      </c>
      <c r="C1772" s="91">
        <v>65</v>
      </c>
      <c r="D1772" s="91">
        <v>-9</v>
      </c>
      <c r="E1772" s="91">
        <v>369</v>
      </c>
      <c r="F1772" s="6">
        <v>-28.59</v>
      </c>
      <c r="G1772" s="79">
        <v>3064</v>
      </c>
      <c r="H1772" s="8" t="s">
        <v>1030</v>
      </c>
      <c r="I1772" s="16" t="s">
        <v>70</v>
      </c>
      <c r="J1772" s="73">
        <v>53.69</v>
      </c>
      <c r="K1772" s="73">
        <v>1.29</v>
      </c>
      <c r="N1772" s="318">
        <f t="shared" ref="N1772:N1795" si="338">J1772+K1772+L1772+M1772</f>
        <v>54.98</v>
      </c>
      <c r="O1772" s="81" t="str">
        <f>IFERROR(VLOOKUP($G1772,'321買'!A:E,3,0),"'沒有資料'")</f>
        <v>'沒有資料'</v>
      </c>
      <c r="P1772" s="380" t="str">
        <f>IFERROR(VLOOKUP($G1772,'321買'!$A:$G,7,0),"'沒有資料'")</f>
        <v>'沒有資料'</v>
      </c>
      <c r="R1772" s="297">
        <f>IFERROR(RANK(VLOOKUP($G1772,連買!$A:$D,4,0),連買!$D:$D,0),"'沒有資料'")</f>
        <v>1396</v>
      </c>
      <c r="S1772" s="34">
        <v>0</v>
      </c>
      <c r="T1772" s="353" t="e">
        <f t="shared" si="333"/>
        <v>#VALUE!</v>
      </c>
      <c r="U1772" s="95">
        <v>-1.1299999999999999</v>
      </c>
      <c r="V1772" s="13" t="str">
        <f>RTD("money.excel",,"3064","Price")</f>
        <v>無資料</v>
      </c>
      <c r="W1772" s="66"/>
      <c r="X1772" s="15" t="e">
        <f t="shared" si="334"/>
        <v>#VALUE!</v>
      </c>
      <c r="Y1772" s="3" t="e">
        <f t="shared" si="335"/>
        <v>#VALUE!</v>
      </c>
      <c r="AA1772" s="161">
        <v>0</v>
      </c>
      <c r="AB1772" s="409">
        <v>0</v>
      </c>
      <c r="AC1772" s="259">
        <f t="shared" si="326"/>
        <v>0</v>
      </c>
      <c r="AD1772" s="16" t="s">
        <v>70</v>
      </c>
      <c r="AG1772" s="33">
        <f t="shared" si="336"/>
        <v>0</v>
      </c>
      <c r="AH1772" s="120" t="s">
        <v>2529</v>
      </c>
      <c r="AI1772" s="63">
        <f t="shared" si="337"/>
        <v>0</v>
      </c>
      <c r="AJ1772" s="307">
        <f>RTD("money.excel",,$G1772,"PredictVolume")</f>
        <v>0</v>
      </c>
      <c r="AK1772" s="339"/>
    </row>
    <row r="1773" spans="1:37">
      <c r="A1773" s="416">
        <v>8.6300000000000008</v>
      </c>
      <c r="B1773" s="80">
        <v>-252</v>
      </c>
      <c r="C1773" s="80">
        <v>-308</v>
      </c>
      <c r="D1773" s="80">
        <v>-12</v>
      </c>
      <c r="E1773" s="80">
        <v>-17</v>
      </c>
      <c r="F1773" s="57">
        <v>-2.1800000000000002</v>
      </c>
      <c r="G1773" s="79">
        <v>3083</v>
      </c>
      <c r="H1773" s="8" t="s">
        <v>1030</v>
      </c>
      <c r="I1773" s="16" t="s">
        <v>5028</v>
      </c>
      <c r="J1773" s="323">
        <v>53.19</v>
      </c>
      <c r="K1773" s="323">
        <v>1.32</v>
      </c>
      <c r="L1773" s="73">
        <v>18.25</v>
      </c>
      <c r="M1773" s="323">
        <v>54.45</v>
      </c>
      <c r="N1773" s="318">
        <f t="shared" si="338"/>
        <v>127.21</v>
      </c>
      <c r="O1773" s="81">
        <f>IFERROR(VLOOKUP($G1773,'321買'!A:E,3,0),"'沒有資料'")</f>
        <v>4</v>
      </c>
      <c r="P1773" s="380">
        <f>IFERROR(VLOOKUP($G1773,'321買'!$A:$G,7,0),"'沒有資料'")</f>
        <v>592</v>
      </c>
      <c r="Q1773" s="245" t="s">
        <v>3816</v>
      </c>
      <c r="R1773" s="297">
        <f>IFERROR(RANK(VLOOKUP($G1773,連買!$A:$D,4,0),連買!$D:$D,0),"'沒有資料'")</f>
        <v>404</v>
      </c>
      <c r="S1773" s="34">
        <v>0</v>
      </c>
      <c r="T1773" s="353">
        <f t="shared" si="333"/>
        <v>0</v>
      </c>
      <c r="U1773" s="57">
        <v>-0.19</v>
      </c>
      <c r="V1773" s="36">
        <f>RTD("money.excel",,"3083","Price")</f>
        <v>50.9</v>
      </c>
      <c r="W1773" s="66"/>
      <c r="X1773" s="15">
        <f t="shared" si="334"/>
        <v>50.9</v>
      </c>
      <c r="Y1773" s="3" t="e">
        <f t="shared" si="335"/>
        <v>#DIV/0!</v>
      </c>
      <c r="Z1773" s="413" t="s">
        <v>1801</v>
      </c>
      <c r="AA1773" s="161">
        <v>0</v>
      </c>
      <c r="AB1773" s="409">
        <v>0</v>
      </c>
      <c r="AC1773" s="259">
        <f t="shared" si="326"/>
        <v>0</v>
      </c>
      <c r="AD1773" s="16" t="s">
        <v>5028</v>
      </c>
      <c r="AG1773" s="33">
        <f t="shared" si="336"/>
        <v>0</v>
      </c>
      <c r="AH1773" s="120" t="s">
        <v>2147</v>
      </c>
      <c r="AI1773" s="63">
        <f t="shared" si="337"/>
        <v>9.0845886442641934E-3</v>
      </c>
      <c r="AJ1773" s="307">
        <f>RTD("money.excel",,$G1773,"PredictVolume")</f>
        <v>784</v>
      </c>
      <c r="AK1773" s="339"/>
    </row>
    <row r="1774" spans="1:37">
      <c r="A1774" s="415">
        <v>1.94</v>
      </c>
      <c r="B1774" s="93">
        <v>1269</v>
      </c>
      <c r="C1774" s="93">
        <v>2070</v>
      </c>
      <c r="D1774" s="79">
        <v>138</v>
      </c>
      <c r="E1774" s="79">
        <v>31</v>
      </c>
      <c r="F1774" s="57">
        <v>50.91</v>
      </c>
      <c r="G1774" s="79">
        <v>3086</v>
      </c>
      <c r="H1774" s="8" t="s">
        <v>1030</v>
      </c>
      <c r="I1774" s="16" t="s">
        <v>5029</v>
      </c>
      <c r="J1774" s="323">
        <v>71.709999999999994</v>
      </c>
      <c r="K1774" s="73">
        <v>29.75</v>
      </c>
      <c r="L1774" s="73">
        <v>37.979999999999997</v>
      </c>
      <c r="M1774" s="323">
        <v>26.41</v>
      </c>
      <c r="N1774" s="73">
        <f t="shared" si="338"/>
        <v>165.85</v>
      </c>
      <c r="O1774" s="81">
        <f>IFERROR(VLOOKUP($G1774,'321買'!A:E,3,0),"'沒有資料'")</f>
        <v>3</v>
      </c>
      <c r="P1774" s="380">
        <f>IFERROR(VLOOKUP($G1774,'321買'!$A:$G,7,0),"'沒有資料'")</f>
        <v>592</v>
      </c>
      <c r="Q1774" s="245" t="s">
        <v>5063</v>
      </c>
      <c r="R1774" s="297">
        <f>IFERROR(RANK(VLOOKUP($G1774,連買!$A:$D,4,0),連買!$D:$D,0),"'沒有資料'")</f>
        <v>171</v>
      </c>
      <c r="S1774" s="34">
        <v>0</v>
      </c>
      <c r="T1774" s="353">
        <f t="shared" si="333"/>
        <v>0</v>
      </c>
      <c r="U1774" s="57">
        <v>5.7</v>
      </c>
      <c r="V1774" s="36">
        <f>RTD("money.excel",,"3086","Price")</f>
        <v>119.5</v>
      </c>
      <c r="W1774" s="66"/>
      <c r="X1774" s="15">
        <f t="shared" si="334"/>
        <v>119.5</v>
      </c>
      <c r="Y1774" s="3" t="e">
        <f t="shared" si="335"/>
        <v>#DIV/0!</v>
      </c>
      <c r="Z1774" s="413" t="s">
        <v>1801</v>
      </c>
      <c r="AA1774" s="161">
        <v>0</v>
      </c>
      <c r="AB1774" s="409">
        <v>0</v>
      </c>
      <c r="AC1774" s="259">
        <f t="shared" si="326"/>
        <v>0</v>
      </c>
      <c r="AD1774" s="16" t="s">
        <v>5029</v>
      </c>
      <c r="AG1774" s="33">
        <f t="shared" si="336"/>
        <v>0</v>
      </c>
      <c r="AH1774" s="120" t="s">
        <v>2502</v>
      </c>
      <c r="AI1774" s="63">
        <f t="shared" si="337"/>
        <v>4.2989690721649487E-2</v>
      </c>
      <c r="AJ1774" s="307">
        <f>RTD("money.excel",,$G1774,"PredictVolume")</f>
        <v>834</v>
      </c>
      <c r="AK1774" s="339">
        <v>15.07</v>
      </c>
    </row>
    <row r="1775" spans="1:37">
      <c r="A1775" s="415">
        <v>7.05</v>
      </c>
      <c r="B1775" s="79">
        <v>49</v>
      </c>
      <c r="C1775" s="79">
        <v>55</v>
      </c>
      <c r="D1775" s="80">
        <v>-1</v>
      </c>
      <c r="E1775" s="79">
        <v>31</v>
      </c>
      <c r="F1775" s="57">
        <v>52.14</v>
      </c>
      <c r="G1775" s="79">
        <v>3293</v>
      </c>
      <c r="H1775" s="8" t="s">
        <v>1030</v>
      </c>
      <c r="I1775" s="16" t="s">
        <v>262</v>
      </c>
      <c r="J1775" s="73">
        <v>28.35</v>
      </c>
      <c r="K1775" s="323">
        <v>29.16</v>
      </c>
      <c r="L1775" s="73">
        <v>11.91</v>
      </c>
      <c r="N1775" s="318">
        <f t="shared" si="338"/>
        <v>69.42</v>
      </c>
      <c r="O1775" s="81">
        <f>IFERROR(VLOOKUP($G1775,'321買'!A:E,3,0),"'沒有資料'")</f>
        <v>12</v>
      </c>
      <c r="P1775" s="380">
        <f>IFERROR(VLOOKUP($G1775,'321買'!$A:$G,7,0),"'沒有資料'")</f>
        <v>307</v>
      </c>
      <c r="R1775" s="297">
        <f>IFERROR(RANK(VLOOKUP($G1775,連買!$A:$D,4,0),連買!$D:$D,0),"'沒有資料'")</f>
        <v>10</v>
      </c>
      <c r="S1775" s="66">
        <v>42</v>
      </c>
      <c r="T1775" s="353">
        <f t="shared" si="333"/>
        <v>5.6000000000000001E-2</v>
      </c>
      <c r="U1775" s="95">
        <v>59.47</v>
      </c>
      <c r="V1775" s="36">
        <f>RTD("money.excel",,"3293","Price")</f>
        <v>750</v>
      </c>
      <c r="W1775" s="66"/>
      <c r="X1775" s="15">
        <f t="shared" si="334"/>
        <v>750</v>
      </c>
      <c r="Y1775" s="3" t="e">
        <f t="shared" si="335"/>
        <v>#DIV/0!</v>
      </c>
      <c r="Z1775" s="413" t="s">
        <v>1997</v>
      </c>
      <c r="AA1775" s="161">
        <v>0</v>
      </c>
      <c r="AB1775" s="409">
        <v>0</v>
      </c>
      <c r="AC1775" s="259">
        <f t="shared" si="326"/>
        <v>0</v>
      </c>
      <c r="AD1775" s="16" t="s">
        <v>262</v>
      </c>
      <c r="AG1775" s="33">
        <f t="shared" si="336"/>
        <v>0</v>
      </c>
      <c r="AH1775" s="120" t="s">
        <v>2502</v>
      </c>
      <c r="AI1775" s="63">
        <f t="shared" si="337"/>
        <v>1.8723404255319149E-3</v>
      </c>
      <c r="AJ1775" s="307">
        <f>RTD("money.excel",,$G1775,"PredictVolume")</f>
        <v>132</v>
      </c>
      <c r="AK1775" s="339"/>
    </row>
    <row r="1776" spans="1:37">
      <c r="A1776" s="415">
        <v>4.82</v>
      </c>
      <c r="B1776" s="79">
        <v>16</v>
      </c>
      <c r="C1776" s="79">
        <v>27</v>
      </c>
      <c r="D1776" s="80">
        <v>-22</v>
      </c>
      <c r="E1776" s="80">
        <v>-19</v>
      </c>
      <c r="F1776" s="57">
        <v>23.43</v>
      </c>
      <c r="G1776" s="79">
        <v>3546</v>
      </c>
      <c r="H1776" s="8" t="s">
        <v>1030</v>
      </c>
      <c r="I1776" s="16" t="s">
        <v>71</v>
      </c>
      <c r="J1776" s="323">
        <v>21.28</v>
      </c>
      <c r="K1776" s="323">
        <v>9.4</v>
      </c>
      <c r="L1776" s="73">
        <v>24.68</v>
      </c>
      <c r="M1776" s="323">
        <v>10.68</v>
      </c>
      <c r="N1776" s="318">
        <f t="shared" si="338"/>
        <v>66.039999999999992</v>
      </c>
      <c r="O1776" s="81">
        <f>IFERROR(VLOOKUP($G1776,'321買'!A:E,3,0),"'沒有資料'")</f>
        <v>26</v>
      </c>
      <c r="P1776" s="380">
        <f>IFERROR(VLOOKUP($G1776,'321買'!$A:$G,7,0),"'沒有資料'")</f>
        <v>196</v>
      </c>
      <c r="Q1776" s="245" t="s">
        <v>5079</v>
      </c>
      <c r="R1776" s="297">
        <f>IFERROR(RANK(VLOOKUP($G1776,連買!$A:$D,4,0),連買!$D:$D,0),"'沒有資料'")</f>
        <v>220</v>
      </c>
      <c r="S1776" s="66">
        <v>5.18</v>
      </c>
      <c r="T1776" s="353">
        <f t="shared" si="333"/>
        <v>6.3871763255240438E-2</v>
      </c>
      <c r="U1776" s="95">
        <v>6.82</v>
      </c>
      <c r="V1776" s="36">
        <f>RTD("money.excel",,"3546","Price")</f>
        <v>81.099999999999994</v>
      </c>
      <c r="W1776" s="66"/>
      <c r="X1776" s="15">
        <f t="shared" si="334"/>
        <v>81.099999999999994</v>
      </c>
      <c r="Y1776" s="3" t="e">
        <f t="shared" si="335"/>
        <v>#DIV/0!</v>
      </c>
      <c r="Z1776" s="413" t="s">
        <v>1997</v>
      </c>
      <c r="AA1776" s="161">
        <v>0</v>
      </c>
      <c r="AB1776" s="409">
        <v>0</v>
      </c>
      <c r="AC1776" s="259">
        <f t="shared" si="326"/>
        <v>0</v>
      </c>
      <c r="AD1776" s="16" t="s">
        <v>71</v>
      </c>
      <c r="AG1776" s="33">
        <f t="shared" si="336"/>
        <v>0</v>
      </c>
      <c r="AH1776" s="120" t="s">
        <v>3284</v>
      </c>
      <c r="AI1776" s="63">
        <f t="shared" si="337"/>
        <v>2.6970954356846473E-3</v>
      </c>
      <c r="AJ1776" s="307">
        <f>RTD("money.excel",,$G1776,"PredictVolume")</f>
        <v>130</v>
      </c>
      <c r="AK1776" s="339">
        <v>21.3</v>
      </c>
    </row>
    <row r="1777" spans="1:37">
      <c r="A1777" s="415">
        <v>3.22</v>
      </c>
      <c r="B1777" s="91">
        <v>734</v>
      </c>
      <c r="C1777" s="140">
        <v>1285</v>
      </c>
      <c r="D1777" s="91">
        <v>-48</v>
      </c>
      <c r="E1777" s="91">
        <v>-50</v>
      </c>
      <c r="F1777" s="57">
        <v>12.01</v>
      </c>
      <c r="G1777" s="79">
        <v>3629</v>
      </c>
      <c r="H1777" s="8" t="s">
        <v>1030</v>
      </c>
      <c r="I1777" s="16" t="s">
        <v>3208</v>
      </c>
      <c r="J1777" s="73">
        <v>83.03</v>
      </c>
      <c r="K1777" s="73">
        <v>3.62</v>
      </c>
      <c r="L1777" s="73">
        <v>0.03</v>
      </c>
      <c r="N1777" s="318">
        <f t="shared" si="338"/>
        <v>86.68</v>
      </c>
      <c r="O1777" s="81" t="str">
        <f>IFERROR(VLOOKUP($G1777,'321買'!A:E,3,0),"'沒有資料'")</f>
        <v>'沒有資料'</v>
      </c>
      <c r="P1777" s="380" t="str">
        <f>IFERROR(VLOOKUP($G1777,'321買'!$A:$G,7,0),"'沒有資料'")</f>
        <v>'沒有資料'</v>
      </c>
      <c r="R1777" s="297">
        <f>IFERROR(RANK(VLOOKUP($G1777,連買!$A:$D,4,0),連買!$D:$D,0),"'沒有資料'")</f>
        <v>1398</v>
      </c>
      <c r="S1777" s="34">
        <v>0</v>
      </c>
      <c r="T1777" s="353">
        <f t="shared" si="333"/>
        <v>0</v>
      </c>
      <c r="U1777" s="95">
        <v>0.7</v>
      </c>
      <c r="V1777" s="13">
        <f>RTD("money.excel",,"3629","Price")</f>
        <v>55.6</v>
      </c>
      <c r="W1777" s="66"/>
      <c r="X1777" s="15">
        <f t="shared" si="334"/>
        <v>55.6</v>
      </c>
      <c r="Y1777" s="3" t="e">
        <f t="shared" si="335"/>
        <v>#DIV/0!</v>
      </c>
      <c r="AA1777" s="161">
        <v>0</v>
      </c>
      <c r="AB1777" s="409">
        <v>0</v>
      </c>
      <c r="AC1777" s="259">
        <f t="shared" si="326"/>
        <v>0</v>
      </c>
      <c r="AD1777" s="16" t="s">
        <v>3208</v>
      </c>
      <c r="AG1777" s="33">
        <f t="shared" si="336"/>
        <v>0</v>
      </c>
      <c r="AH1777" s="43" t="s">
        <v>3209</v>
      </c>
      <c r="AI1777" s="63">
        <f t="shared" si="337"/>
        <v>2.795031055900621E-4</v>
      </c>
      <c r="AJ1777" s="307">
        <f>RTD("money.excel",,$G1777,"PredictVolume")</f>
        <v>9</v>
      </c>
      <c r="AK1777" s="339"/>
    </row>
    <row r="1778" spans="1:37">
      <c r="A1778" s="416">
        <v>4.5199999999999996</v>
      </c>
      <c r="B1778" s="91">
        <v>31</v>
      </c>
      <c r="C1778" s="91">
        <v>27</v>
      </c>
      <c r="D1778" s="91">
        <v>-74</v>
      </c>
      <c r="E1778" s="91">
        <v>-70</v>
      </c>
      <c r="F1778" s="6">
        <v>-69.28</v>
      </c>
      <c r="G1778" s="79">
        <v>4806</v>
      </c>
      <c r="H1778" s="8" t="s">
        <v>1030</v>
      </c>
      <c r="I1778" s="16" t="s">
        <v>1031</v>
      </c>
      <c r="J1778" s="73">
        <v>52.94</v>
      </c>
      <c r="K1778" s="73">
        <v>12.71</v>
      </c>
      <c r="L1778" s="73">
        <v>0</v>
      </c>
      <c r="N1778" s="318">
        <f t="shared" si="338"/>
        <v>65.650000000000006</v>
      </c>
      <c r="O1778" s="81" t="str">
        <f>IFERROR(VLOOKUP($G1778,'321買'!A:E,3,0),"'沒有資料'")</f>
        <v>'沒有資料'</v>
      </c>
      <c r="P1778" s="380" t="str">
        <f>IFERROR(VLOOKUP($G1778,'321買'!$A:$G,7,0),"'沒有資料'")</f>
        <v>'沒有資料'</v>
      </c>
      <c r="R1778" s="297">
        <f>IFERROR(RANK(VLOOKUP($G1778,連買!$A:$D,4,0),連買!$D:$D,0),"'沒有資料'")</f>
        <v>1404</v>
      </c>
      <c r="S1778" s="34">
        <v>0</v>
      </c>
      <c r="T1778" s="353">
        <f t="shared" si="333"/>
        <v>0</v>
      </c>
      <c r="U1778" s="95">
        <v>-2.77</v>
      </c>
      <c r="V1778" s="13">
        <f>RTD("money.excel",,"4806","Price")</f>
        <v>11.2</v>
      </c>
      <c r="W1778" s="66"/>
      <c r="X1778" s="15">
        <f t="shared" si="334"/>
        <v>11.2</v>
      </c>
      <c r="Y1778" s="3" t="e">
        <f t="shared" si="335"/>
        <v>#DIV/0!</v>
      </c>
      <c r="AA1778" s="161">
        <v>0</v>
      </c>
      <c r="AB1778" s="409">
        <v>0</v>
      </c>
      <c r="AC1778" s="259">
        <f t="shared" si="326"/>
        <v>0</v>
      </c>
      <c r="AD1778" s="16" t="s">
        <v>1031</v>
      </c>
      <c r="AG1778" s="33">
        <f t="shared" si="336"/>
        <v>0</v>
      </c>
      <c r="AH1778" s="43" t="s">
        <v>2532</v>
      </c>
      <c r="AI1778" s="63">
        <f t="shared" si="337"/>
        <v>7.1902654867256645E-3</v>
      </c>
      <c r="AJ1778" s="307">
        <f>RTD("money.excel",,$G1778,"PredictVolume")</f>
        <v>325</v>
      </c>
      <c r="AK1778" s="339"/>
    </row>
    <row r="1779" spans="1:37">
      <c r="A1779" s="416">
        <v>1.37</v>
      </c>
      <c r="B1779" s="91">
        <v>50</v>
      </c>
      <c r="C1779" s="91">
        <v>55</v>
      </c>
      <c r="D1779" s="91">
        <v>-32</v>
      </c>
      <c r="E1779" s="91">
        <v>-93</v>
      </c>
      <c r="F1779" s="6">
        <v>-52.05</v>
      </c>
      <c r="G1779" s="79">
        <v>4946</v>
      </c>
      <c r="H1779" s="8" t="s">
        <v>1030</v>
      </c>
      <c r="I1779" s="16" t="s">
        <v>73</v>
      </c>
      <c r="J1779" s="73">
        <v>28.9</v>
      </c>
      <c r="K1779" s="73">
        <v>19.21</v>
      </c>
      <c r="N1779" s="318">
        <f t="shared" si="338"/>
        <v>48.11</v>
      </c>
      <c r="O1779" s="81" t="str">
        <f>IFERROR(VLOOKUP($G1779,'321買'!A:E,3,0),"'沒有資料'")</f>
        <v>'沒有資料'</v>
      </c>
      <c r="P1779" s="380" t="str">
        <f>IFERROR(VLOOKUP($G1779,'321買'!$A:$G,7,0),"'沒有資料'")</f>
        <v>'沒有資料'</v>
      </c>
      <c r="R1779" s="297">
        <f>IFERROR(RANK(VLOOKUP($G1779,連買!$A:$D,4,0),連買!$D:$D,0),"'沒有資料'")</f>
        <v>576</v>
      </c>
      <c r="S1779" s="34">
        <v>0</v>
      </c>
      <c r="T1779" s="353">
        <f t="shared" si="333"/>
        <v>0</v>
      </c>
      <c r="U1779" s="95">
        <v>-3.27</v>
      </c>
      <c r="V1779" s="36">
        <f>RTD("money.excel",,"4946","Price")</f>
        <v>77.599999999999994</v>
      </c>
      <c r="W1779" s="66"/>
      <c r="X1779" s="15">
        <f t="shared" si="334"/>
        <v>77.599999999999994</v>
      </c>
      <c r="Y1779" s="3" t="e">
        <f t="shared" si="335"/>
        <v>#DIV/0!</v>
      </c>
      <c r="AA1779" s="161">
        <v>0</v>
      </c>
      <c r="AB1779" s="409">
        <v>0</v>
      </c>
      <c r="AC1779" s="259">
        <f t="shared" si="326"/>
        <v>0</v>
      </c>
      <c r="AD1779" s="16" t="s">
        <v>73</v>
      </c>
      <c r="AG1779" s="33">
        <f t="shared" si="336"/>
        <v>0</v>
      </c>
      <c r="AH1779" s="120" t="s">
        <v>2502</v>
      </c>
      <c r="AI1779" s="63">
        <f t="shared" si="337"/>
        <v>5.3430656934306563E-2</v>
      </c>
      <c r="AJ1779" s="307">
        <f>RTD("money.excel",,$G1779,"PredictVolume")</f>
        <v>732</v>
      </c>
      <c r="AK1779" s="339"/>
    </row>
    <row r="1780" spans="1:37">
      <c r="A1780" s="416">
        <v>5.57</v>
      </c>
      <c r="B1780" s="80">
        <v>-113</v>
      </c>
      <c r="C1780" s="80">
        <v>-105</v>
      </c>
      <c r="D1780" s="80">
        <v>-28</v>
      </c>
      <c r="E1780" s="80">
        <v>-58</v>
      </c>
      <c r="F1780" s="6">
        <v>-2.12</v>
      </c>
      <c r="G1780" s="79">
        <v>5263</v>
      </c>
      <c r="H1780" s="8" t="s">
        <v>1030</v>
      </c>
      <c r="I1780" s="16" t="s">
        <v>216</v>
      </c>
      <c r="J1780" s="73">
        <v>45.41</v>
      </c>
      <c r="K1780" s="73">
        <v>11.57</v>
      </c>
      <c r="L1780" s="323">
        <v>22.23</v>
      </c>
      <c r="N1780" s="318">
        <f t="shared" si="338"/>
        <v>79.209999999999994</v>
      </c>
      <c r="O1780" s="81">
        <f>IFERROR(VLOOKUP($G1780,'321買'!A:E,3,0),"'沒有資料'")</f>
        <v>13</v>
      </c>
      <c r="P1780" s="380">
        <f>IFERROR(VLOOKUP($G1780,'321買'!$A:$G,7,0),"'沒有資料'")</f>
        <v>348</v>
      </c>
      <c r="R1780" s="297">
        <f>IFERROR(RANK(VLOOKUP($G1780,連買!$A:$D,4,0),連買!$D:$D,0),"'沒有資料'")</f>
        <v>142</v>
      </c>
      <c r="S1780" s="34">
        <v>0</v>
      </c>
      <c r="T1780" s="353">
        <f t="shared" si="333"/>
        <v>0</v>
      </c>
      <c r="U1780" s="95">
        <v>-0.88</v>
      </c>
      <c r="V1780" s="36">
        <f>RTD("money.excel",,"5263","Price")</f>
        <v>116</v>
      </c>
      <c r="W1780" s="66"/>
      <c r="X1780" s="15">
        <f t="shared" si="334"/>
        <v>116</v>
      </c>
      <c r="Y1780" s="3" t="e">
        <f t="shared" si="335"/>
        <v>#DIV/0!</v>
      </c>
      <c r="AA1780" s="161">
        <v>0</v>
      </c>
      <c r="AB1780" s="409">
        <v>0</v>
      </c>
      <c r="AC1780" s="259">
        <f t="shared" si="326"/>
        <v>0</v>
      </c>
      <c r="AD1780" s="16" t="s">
        <v>216</v>
      </c>
      <c r="AG1780" s="33">
        <f t="shared" si="336"/>
        <v>0</v>
      </c>
      <c r="AH1780" s="120" t="s">
        <v>2878</v>
      </c>
      <c r="AI1780" s="63">
        <f t="shared" si="337"/>
        <v>6.8222621184919213E-4</v>
      </c>
      <c r="AJ1780" s="307">
        <f>RTD("money.excel",,$G1780,"PredictVolume")</f>
        <v>38</v>
      </c>
      <c r="AK1780" s="339"/>
    </row>
    <row r="1781" spans="1:37">
      <c r="A1781" s="415">
        <v>12.7</v>
      </c>
      <c r="B1781" s="80">
        <v>-12</v>
      </c>
      <c r="C1781" s="80">
        <v>-4</v>
      </c>
      <c r="D1781" s="80">
        <v>-8</v>
      </c>
      <c r="E1781" s="80">
        <v>-21</v>
      </c>
      <c r="F1781" s="57">
        <v>15.96</v>
      </c>
      <c r="G1781" s="79">
        <v>5478</v>
      </c>
      <c r="H1781" s="8" t="s">
        <v>1030</v>
      </c>
      <c r="I1781" s="16" t="s">
        <v>219</v>
      </c>
      <c r="J1781" s="323">
        <v>58.95</v>
      </c>
      <c r="K1781" s="73">
        <v>31.35</v>
      </c>
      <c r="L1781" s="323">
        <v>5.03</v>
      </c>
      <c r="M1781" s="73">
        <v>17.239999999999998</v>
      </c>
      <c r="N1781" s="318">
        <f t="shared" si="338"/>
        <v>112.57000000000001</v>
      </c>
      <c r="O1781" s="81">
        <f>IFERROR(VLOOKUP($G1781,'321買'!A:E,3,0),"'沒有資料'")</f>
        <v>1</v>
      </c>
      <c r="P1781" s="380">
        <f>IFERROR(VLOOKUP($G1781,'321買'!$A:$G,7,0),"'沒有資料'")</f>
        <v>783</v>
      </c>
      <c r="Q1781" s="388" t="s">
        <v>3816</v>
      </c>
      <c r="R1781" s="297">
        <f>IFERROR(RANK(VLOOKUP($G1781,連買!$A:$D,4,0),連買!$D:$D,0),"'沒有資料'")</f>
        <v>128</v>
      </c>
      <c r="S1781" s="45">
        <v>5.2</v>
      </c>
      <c r="T1781" s="353">
        <f t="shared" si="333"/>
        <v>5.6830601092896178E-2</v>
      </c>
      <c r="U1781" s="57">
        <v>6.89</v>
      </c>
      <c r="V1781" s="36">
        <f>RTD("money.excel",,"5478","Price")</f>
        <v>91.5</v>
      </c>
      <c r="W1781" s="66"/>
      <c r="X1781" s="15">
        <f t="shared" si="334"/>
        <v>91.5</v>
      </c>
      <c r="Y1781" s="3" t="e">
        <f t="shared" si="335"/>
        <v>#DIV/0!</v>
      </c>
      <c r="Z1781" s="413" t="s">
        <v>8573</v>
      </c>
      <c r="AA1781" s="161">
        <v>0</v>
      </c>
      <c r="AB1781" s="409">
        <v>0</v>
      </c>
      <c r="AC1781" s="259">
        <f t="shared" si="326"/>
        <v>0</v>
      </c>
      <c r="AD1781" s="16" t="s">
        <v>219</v>
      </c>
      <c r="AG1781" s="33">
        <f t="shared" si="336"/>
        <v>0</v>
      </c>
      <c r="AH1781" s="120" t="s">
        <v>2502</v>
      </c>
      <c r="AI1781" s="63">
        <f t="shared" si="337"/>
        <v>1.0708661417322834E-3</v>
      </c>
      <c r="AJ1781" s="307">
        <f>RTD("money.excel",,$G1781,"PredictVolume")</f>
        <v>136</v>
      </c>
      <c r="AK1781" s="339">
        <v>7.58</v>
      </c>
    </row>
    <row r="1782" spans="1:37">
      <c r="A1782" s="416">
        <v>11.6</v>
      </c>
      <c r="B1782" s="91">
        <v>-485</v>
      </c>
      <c r="C1782" s="91">
        <v>-464</v>
      </c>
      <c r="D1782" s="91">
        <v>40</v>
      </c>
      <c r="E1782" s="91">
        <v>70</v>
      </c>
      <c r="F1782" s="73">
        <v>-106.06</v>
      </c>
      <c r="G1782" s="79">
        <v>6101</v>
      </c>
      <c r="H1782" s="8" t="s">
        <v>1030</v>
      </c>
      <c r="I1782" s="16" t="s">
        <v>1032</v>
      </c>
      <c r="J1782" s="73">
        <v>79.94</v>
      </c>
      <c r="K1782" s="73">
        <v>0.68</v>
      </c>
      <c r="L1782" s="73">
        <v>69.98</v>
      </c>
      <c r="N1782" s="318">
        <f t="shared" si="338"/>
        <v>150.60000000000002</v>
      </c>
      <c r="O1782" s="81">
        <f>IFERROR(VLOOKUP($G1782,'321買'!A:E,3,0),"'沒有資料'")</f>
        <v>0</v>
      </c>
      <c r="P1782" s="380">
        <f>IFERROR(VLOOKUP($G1782,'321買'!$A:$G,7,0),"'沒有資料'")</f>
        <v>911</v>
      </c>
      <c r="R1782" s="297">
        <f>IFERROR(RANK(VLOOKUP($G1782,連買!$A:$D,4,0),連買!$D:$D,0),"'沒有資料'")</f>
        <v>1177</v>
      </c>
      <c r="S1782" s="34">
        <v>0</v>
      </c>
      <c r="T1782" s="353">
        <f t="shared" si="333"/>
        <v>0</v>
      </c>
      <c r="U1782" s="95">
        <v>-0.98</v>
      </c>
      <c r="V1782" s="13">
        <f>RTD("money.excel",,"6101","Price")</f>
        <v>22.6</v>
      </c>
      <c r="W1782" s="66"/>
      <c r="X1782" s="15">
        <f t="shared" si="334"/>
        <v>22.6</v>
      </c>
      <c r="Y1782" s="3" t="e">
        <f t="shared" si="335"/>
        <v>#DIV/0!</v>
      </c>
      <c r="AA1782" s="161">
        <v>0</v>
      </c>
      <c r="AB1782" s="409">
        <v>0</v>
      </c>
      <c r="AC1782" s="259">
        <f t="shared" si="326"/>
        <v>0</v>
      </c>
      <c r="AD1782" s="16" t="s">
        <v>1032</v>
      </c>
      <c r="AG1782" s="33">
        <f t="shared" si="336"/>
        <v>0</v>
      </c>
      <c r="AH1782" s="43" t="s">
        <v>2879</v>
      </c>
      <c r="AI1782" s="63">
        <f t="shared" si="337"/>
        <v>7.7586206896551729E-5</v>
      </c>
      <c r="AJ1782" s="307">
        <f>RTD("money.excel",,$G1782,"PredictVolume")</f>
        <v>9</v>
      </c>
      <c r="AK1782" s="339"/>
    </row>
    <row r="1783" spans="1:37">
      <c r="A1783" s="415">
        <v>6.56</v>
      </c>
      <c r="B1783" s="80">
        <v>-202</v>
      </c>
      <c r="C1783" s="80">
        <v>-46</v>
      </c>
      <c r="D1783" s="79">
        <v>3</v>
      </c>
      <c r="E1783" s="79">
        <v>47</v>
      </c>
      <c r="F1783" s="57">
        <v>19.7</v>
      </c>
      <c r="G1783" s="79">
        <v>6111</v>
      </c>
      <c r="H1783" s="8" t="s">
        <v>1030</v>
      </c>
      <c r="I1783" s="16" t="s">
        <v>74</v>
      </c>
      <c r="J1783" s="73">
        <v>49.99</v>
      </c>
      <c r="K1783" s="73">
        <v>30.87</v>
      </c>
      <c r="L1783" s="73">
        <v>40.97</v>
      </c>
      <c r="M1783" s="323">
        <v>14.88</v>
      </c>
      <c r="N1783" s="73">
        <f t="shared" si="338"/>
        <v>136.71</v>
      </c>
      <c r="O1783" s="81">
        <f>IFERROR(VLOOKUP($G1783,'321買'!A:E,3,0),"'沒有資料'")</f>
        <v>14</v>
      </c>
      <c r="P1783" s="380">
        <f>IFERROR(VLOOKUP($G1783,'321買'!$A:$G,7,0),"'沒有資料'")</f>
        <v>307</v>
      </c>
      <c r="Q1783" s="245" t="s">
        <v>3816</v>
      </c>
      <c r="R1783" s="297">
        <f>IFERROR(RANK(VLOOKUP($G1783,連買!$A:$D,4,0),連買!$D:$D,0),"'沒有資料'")</f>
        <v>203</v>
      </c>
      <c r="S1783" s="34">
        <v>0.6</v>
      </c>
      <c r="T1783" s="353">
        <f t="shared" si="333"/>
        <v>6.5573770491803279E-3</v>
      </c>
      <c r="U1783" s="95">
        <v>0.13</v>
      </c>
      <c r="V1783" s="36">
        <f>RTD("money.excel",,"6111","Price")</f>
        <v>91.5</v>
      </c>
      <c r="W1783" s="66"/>
      <c r="X1783" s="15">
        <f t="shared" si="334"/>
        <v>91.5</v>
      </c>
      <c r="Y1783" s="3" t="e">
        <f t="shared" si="335"/>
        <v>#DIV/0!</v>
      </c>
      <c r="Z1783" s="413" t="s">
        <v>1801</v>
      </c>
      <c r="AA1783" s="161">
        <v>0</v>
      </c>
      <c r="AB1783" s="409">
        <v>0</v>
      </c>
      <c r="AC1783" s="259">
        <f t="shared" si="326"/>
        <v>0</v>
      </c>
      <c r="AD1783" s="16" t="s">
        <v>74</v>
      </c>
      <c r="AG1783" s="33">
        <f t="shared" si="336"/>
        <v>0</v>
      </c>
      <c r="AH1783" s="120" t="s">
        <v>2502</v>
      </c>
      <c r="AI1783" s="63">
        <f t="shared" si="337"/>
        <v>5.0503048780487808E-2</v>
      </c>
      <c r="AJ1783" s="307">
        <f>RTD("money.excel",,$G1783,"PredictVolume")</f>
        <v>3313</v>
      </c>
      <c r="AK1783" s="339"/>
    </row>
    <row r="1784" spans="1:37">
      <c r="A1784" s="416">
        <v>3.83</v>
      </c>
      <c r="B1784" s="91">
        <v>90</v>
      </c>
      <c r="C1784" s="91">
        <v>72</v>
      </c>
      <c r="D1784" s="91">
        <v>1</v>
      </c>
      <c r="E1784" s="91">
        <v>-32</v>
      </c>
      <c r="F1784" s="6">
        <v>-5.75</v>
      </c>
      <c r="G1784" s="79">
        <v>6144</v>
      </c>
      <c r="H1784" s="8" t="s">
        <v>1030</v>
      </c>
      <c r="I1784" s="16" t="s">
        <v>1033</v>
      </c>
      <c r="J1784" s="73">
        <v>94.9</v>
      </c>
      <c r="K1784" s="73">
        <v>34.82</v>
      </c>
      <c r="N1784" s="318">
        <f t="shared" si="338"/>
        <v>129.72</v>
      </c>
      <c r="O1784" s="81">
        <f>IFERROR(VLOOKUP($G1784,'321買'!A:E,3,0),"'沒有資料'")</f>
        <v>0</v>
      </c>
      <c r="P1784" s="380">
        <f>IFERROR(VLOOKUP($G1784,'321買'!$A:$G,7,0),"'沒有資料'")</f>
        <v>911</v>
      </c>
      <c r="R1784" s="297">
        <f>IFERROR(RANK(VLOOKUP($G1784,連買!$A:$D,4,0),連買!$D:$D,0),"'沒有資料'")</f>
        <v>1276</v>
      </c>
      <c r="S1784" s="34">
        <v>0</v>
      </c>
      <c r="T1784" s="353">
        <f t="shared" si="333"/>
        <v>0</v>
      </c>
      <c r="U1784" s="95">
        <v>0.05</v>
      </c>
      <c r="V1784" s="13">
        <f>RTD("money.excel",,"6144","Price")</f>
        <v>16.25</v>
      </c>
      <c r="W1784" s="66"/>
      <c r="X1784" s="15">
        <f t="shared" si="334"/>
        <v>16.25</v>
      </c>
      <c r="Y1784" s="3" t="e">
        <f t="shared" si="335"/>
        <v>#DIV/0!</v>
      </c>
      <c r="AA1784" s="161">
        <v>0</v>
      </c>
      <c r="AB1784" s="409">
        <v>0</v>
      </c>
      <c r="AC1784" s="259">
        <f t="shared" si="326"/>
        <v>0</v>
      </c>
      <c r="AD1784" s="16" t="s">
        <v>1033</v>
      </c>
      <c r="AG1784" s="33">
        <f t="shared" si="336"/>
        <v>0</v>
      </c>
      <c r="AH1784" s="43" t="s">
        <v>2880</v>
      </c>
      <c r="AI1784" s="63">
        <f t="shared" si="337"/>
        <v>9.9216710182767624E-4</v>
      </c>
      <c r="AJ1784" s="307">
        <f>RTD("money.excel",,$G1784,"PredictVolume")</f>
        <v>38</v>
      </c>
      <c r="AK1784" s="339"/>
    </row>
    <row r="1785" spans="1:37">
      <c r="A1785" s="416">
        <v>2.34</v>
      </c>
      <c r="B1785" s="91">
        <v>57</v>
      </c>
      <c r="C1785" s="91">
        <v>63</v>
      </c>
      <c r="D1785" s="91">
        <v>14</v>
      </c>
      <c r="E1785" s="91">
        <v>-77</v>
      </c>
      <c r="F1785" s="6">
        <v>-23.77</v>
      </c>
      <c r="G1785" s="79">
        <v>6169</v>
      </c>
      <c r="H1785" s="8" t="s">
        <v>1030</v>
      </c>
      <c r="I1785" s="16" t="s">
        <v>75</v>
      </c>
      <c r="J1785" s="73">
        <v>32.79</v>
      </c>
      <c r="K1785" s="73">
        <v>0.8</v>
      </c>
      <c r="N1785" s="318">
        <f t="shared" si="338"/>
        <v>33.589999999999996</v>
      </c>
      <c r="O1785" s="81" t="str">
        <f>IFERROR(VLOOKUP($G1785,'321買'!A:E,3,0),"'沒有資料'")</f>
        <v>'沒有資料'</v>
      </c>
      <c r="P1785" s="380" t="str">
        <f>IFERROR(VLOOKUP($G1785,'321買'!$A:$G,7,0),"'沒有資料'")</f>
        <v>'沒有資料'</v>
      </c>
      <c r="R1785" s="297">
        <f>IFERROR(RANK(VLOOKUP($G1785,連買!$A:$D,4,0),連買!$D:$D,0),"'沒有資料'")</f>
        <v>1148</v>
      </c>
      <c r="S1785" s="34">
        <v>0</v>
      </c>
      <c r="T1785" s="353">
        <f t="shared" si="333"/>
        <v>0</v>
      </c>
      <c r="U1785" s="95">
        <v>-1.19</v>
      </c>
      <c r="V1785" s="36">
        <f>RTD("money.excel",,"6169","Price")</f>
        <v>22.35</v>
      </c>
      <c r="W1785" s="66"/>
      <c r="X1785" s="15">
        <f t="shared" si="334"/>
        <v>22.35</v>
      </c>
      <c r="Y1785" s="3" t="e">
        <f t="shared" si="335"/>
        <v>#DIV/0!</v>
      </c>
      <c r="AA1785" s="161">
        <v>0</v>
      </c>
      <c r="AB1785" s="409">
        <v>0</v>
      </c>
      <c r="AC1785" s="259">
        <f t="shared" si="326"/>
        <v>0</v>
      </c>
      <c r="AD1785" s="16" t="s">
        <v>75</v>
      </c>
      <c r="AG1785" s="33">
        <f t="shared" si="336"/>
        <v>0</v>
      </c>
      <c r="AH1785" s="120" t="s">
        <v>2502</v>
      </c>
      <c r="AI1785" s="63">
        <f t="shared" si="337"/>
        <v>3.8034188034188035E-3</v>
      </c>
      <c r="AJ1785" s="307">
        <f>RTD("money.excel",,$G1785,"PredictVolume")</f>
        <v>89</v>
      </c>
      <c r="AK1785" s="81"/>
    </row>
    <row r="1786" spans="1:37">
      <c r="A1786" s="415">
        <v>17.5</v>
      </c>
      <c r="B1786" s="79">
        <v>11</v>
      </c>
      <c r="C1786" s="79">
        <v>9</v>
      </c>
      <c r="D1786" s="80">
        <v>-1</v>
      </c>
      <c r="E1786" s="79">
        <v>29</v>
      </c>
      <c r="F1786" s="57">
        <v>14.12</v>
      </c>
      <c r="G1786" s="79">
        <v>6180</v>
      </c>
      <c r="H1786" s="8" t="s">
        <v>1030</v>
      </c>
      <c r="I1786" s="16" t="s">
        <v>76</v>
      </c>
      <c r="J1786" s="73">
        <v>42.84</v>
      </c>
      <c r="K1786" s="73">
        <v>17.53</v>
      </c>
      <c r="L1786" s="73">
        <v>14.53</v>
      </c>
      <c r="M1786" s="323">
        <v>20.77</v>
      </c>
      <c r="N1786" s="318">
        <f t="shared" si="338"/>
        <v>95.67</v>
      </c>
      <c r="O1786" s="81">
        <f>IFERROR(VLOOKUP($G1786,'321買'!A:E,3,0),"'沒有資料'")</f>
        <v>7</v>
      </c>
      <c r="P1786" s="380">
        <f>IFERROR(VLOOKUP($G1786,'321買'!$A:$G,7,0),"'沒有資料'")</f>
        <v>499</v>
      </c>
      <c r="Q1786" s="245" t="s">
        <v>3815</v>
      </c>
      <c r="R1786" s="297">
        <f>IFERROR(RANK(VLOOKUP($G1786,連買!$A:$D,4,0),連買!$D:$D,0),"'沒有資料'")</f>
        <v>240</v>
      </c>
      <c r="S1786" s="66">
        <v>4</v>
      </c>
      <c r="T1786" s="353">
        <f t="shared" si="333"/>
        <v>6.0422960725075525E-2</v>
      </c>
      <c r="U1786" s="95">
        <v>5.56</v>
      </c>
      <c r="V1786" s="36">
        <f>RTD("money.excel",,"6180","Price")</f>
        <v>66.2</v>
      </c>
      <c r="W1786" s="66"/>
      <c r="X1786" s="15">
        <f t="shared" si="334"/>
        <v>66.2</v>
      </c>
      <c r="Y1786" s="3" t="e">
        <f t="shared" si="335"/>
        <v>#DIV/0!</v>
      </c>
      <c r="Z1786" s="413" t="s">
        <v>1997</v>
      </c>
      <c r="AA1786" s="161">
        <v>0</v>
      </c>
      <c r="AB1786" s="409">
        <v>0</v>
      </c>
      <c r="AC1786" s="259">
        <f t="shared" si="326"/>
        <v>0</v>
      </c>
      <c r="AD1786" s="16" t="s">
        <v>76</v>
      </c>
      <c r="AG1786" s="33">
        <f t="shared" si="336"/>
        <v>0</v>
      </c>
      <c r="AH1786" s="120" t="s">
        <v>3284</v>
      </c>
      <c r="AI1786" s="63">
        <f t="shared" si="337"/>
        <v>2.4228571428571428E-3</v>
      </c>
      <c r="AJ1786" s="307">
        <f>RTD("money.excel",,$G1786,"PredictVolume")</f>
        <v>424</v>
      </c>
      <c r="AK1786" s="339"/>
    </row>
    <row r="1787" spans="1:37">
      <c r="A1787" s="415">
        <v>2.34</v>
      </c>
      <c r="B1787" s="79">
        <v>10</v>
      </c>
      <c r="C1787" s="79">
        <v>10</v>
      </c>
      <c r="D1787" s="79">
        <v>7</v>
      </c>
      <c r="E1787" s="79">
        <v>7</v>
      </c>
      <c r="F1787" s="57">
        <v>34.67</v>
      </c>
      <c r="G1787" s="79">
        <v>6294</v>
      </c>
      <c r="H1787" s="8" t="s">
        <v>1030</v>
      </c>
      <c r="I1787" s="16" t="s">
        <v>83</v>
      </c>
      <c r="J1787" s="323">
        <v>47.43</v>
      </c>
      <c r="K1787" s="323">
        <v>10.43</v>
      </c>
      <c r="L1787" s="323">
        <v>3.85</v>
      </c>
      <c r="N1787" s="318">
        <f t="shared" si="338"/>
        <v>61.71</v>
      </c>
      <c r="O1787" s="81">
        <f>IFERROR(VLOOKUP($G1787,'321買'!A:E,3,0),"'沒有資料'")</f>
        <v>0</v>
      </c>
      <c r="P1787" s="380">
        <f>IFERROR(VLOOKUP($G1787,'321買'!$A:$G,7,0),"'沒有資料'")</f>
        <v>911</v>
      </c>
      <c r="R1787" s="297">
        <f>IFERROR(RANK(VLOOKUP($G1787,連買!$A:$D,4,0),連買!$D:$D,0),"'沒有資料'")</f>
        <v>1633</v>
      </c>
      <c r="S1787" s="66">
        <v>8</v>
      </c>
      <c r="T1787" s="353">
        <f t="shared" si="333"/>
        <v>6.3492063492063489E-2</v>
      </c>
      <c r="U1787" s="95">
        <v>11.32</v>
      </c>
      <c r="V1787" s="36">
        <f>RTD("money.excel",,"6294","Price")</f>
        <v>126</v>
      </c>
      <c r="W1787" s="66"/>
      <c r="X1787" s="15">
        <f t="shared" si="334"/>
        <v>126</v>
      </c>
      <c r="Y1787" s="3" t="e">
        <f t="shared" si="335"/>
        <v>#DIV/0!</v>
      </c>
      <c r="Z1787" s="413" t="s">
        <v>1831</v>
      </c>
      <c r="AA1787" s="161">
        <v>0</v>
      </c>
      <c r="AB1787" s="409">
        <v>0</v>
      </c>
      <c r="AC1787" s="259">
        <f t="shared" si="326"/>
        <v>0</v>
      </c>
      <c r="AD1787" s="16" t="s">
        <v>83</v>
      </c>
      <c r="AG1787" s="33">
        <f t="shared" si="336"/>
        <v>0</v>
      </c>
      <c r="AH1787" s="120" t="s">
        <v>2881</v>
      </c>
      <c r="AI1787" s="63">
        <f t="shared" si="337"/>
        <v>2.435897435897436E-3</v>
      </c>
      <c r="AJ1787" s="307">
        <f>RTD("money.excel",,$G1787,"PredictVolume")</f>
        <v>57</v>
      </c>
      <c r="AK1787" s="339"/>
    </row>
    <row r="1788" spans="1:37">
      <c r="A1788" s="416">
        <v>1.71</v>
      </c>
      <c r="B1788" s="80">
        <v>-200</v>
      </c>
      <c r="C1788" s="80">
        <v>-307</v>
      </c>
      <c r="D1788" s="80">
        <v>-23</v>
      </c>
      <c r="E1788" s="79">
        <v>335</v>
      </c>
      <c r="F1788" s="73">
        <v>-105.97</v>
      </c>
      <c r="G1788" s="79">
        <v>6482</v>
      </c>
      <c r="H1788" s="8" t="s">
        <v>1030</v>
      </c>
      <c r="I1788" s="16" t="s">
        <v>1034</v>
      </c>
      <c r="J1788" s="323">
        <v>54.47</v>
      </c>
      <c r="K1788" s="73">
        <v>5.17</v>
      </c>
      <c r="L1788" s="323"/>
      <c r="N1788" s="318">
        <f t="shared" si="338"/>
        <v>59.64</v>
      </c>
      <c r="O1788" s="81" t="str">
        <f>IFERROR(VLOOKUP($G1788,'321買'!A:E,3,0),"'沒有資料'")</f>
        <v>'沒有資料'</v>
      </c>
      <c r="P1788" s="380" t="str">
        <f>IFERROR(VLOOKUP($G1788,'321買'!$A:$G,7,0),"'沒有資料'")</f>
        <v>'沒有資料'</v>
      </c>
      <c r="R1788" s="297">
        <f>IFERROR(RANK(VLOOKUP($G1788,連買!$A:$D,4,0),連買!$D:$D,0),"'沒有資料'")</f>
        <v>1024</v>
      </c>
      <c r="S1788" s="34">
        <v>0</v>
      </c>
      <c r="T1788" s="353">
        <f t="shared" si="333"/>
        <v>0</v>
      </c>
      <c r="U1788" s="57">
        <v>-3.39</v>
      </c>
      <c r="V1788" s="36">
        <f>RTD("money.excel",,"6482","Price")</f>
        <v>39</v>
      </c>
      <c r="W1788" s="66"/>
      <c r="X1788" s="15">
        <f t="shared" si="334"/>
        <v>39</v>
      </c>
      <c r="Y1788" s="3" t="e">
        <f t="shared" si="335"/>
        <v>#DIV/0!</v>
      </c>
      <c r="Z1788" s="413" t="s">
        <v>1801</v>
      </c>
      <c r="AA1788" s="161">
        <v>0</v>
      </c>
      <c r="AB1788" s="409">
        <v>0</v>
      </c>
      <c r="AC1788" s="259">
        <f t="shared" si="326"/>
        <v>0</v>
      </c>
      <c r="AD1788" s="16" t="s">
        <v>1034</v>
      </c>
      <c r="AG1788" s="33">
        <f t="shared" si="336"/>
        <v>0</v>
      </c>
      <c r="AH1788" s="43" t="s">
        <v>2882</v>
      </c>
      <c r="AI1788" s="63">
        <f t="shared" si="337"/>
        <v>1.1695906432748538E-3</v>
      </c>
      <c r="AJ1788" s="307">
        <f>RTD("money.excel",,$G1788,"PredictVolume")</f>
        <v>20</v>
      </c>
      <c r="AK1788" s="339"/>
    </row>
    <row r="1789" spans="1:37">
      <c r="A1789" s="416">
        <v>4.2</v>
      </c>
      <c r="B1789" s="79">
        <v>407</v>
      </c>
      <c r="C1789" s="80">
        <v>-30</v>
      </c>
      <c r="D1789" s="80">
        <v>-2</v>
      </c>
      <c r="E1789" s="80">
        <v>-10</v>
      </c>
      <c r="F1789" s="6">
        <v>7.34</v>
      </c>
      <c r="G1789" s="79">
        <v>6542</v>
      </c>
      <c r="H1789" s="8" t="s">
        <v>1030</v>
      </c>
      <c r="I1789" s="16" t="s">
        <v>5030</v>
      </c>
      <c r="J1789" s="73">
        <v>68.319999999999993</v>
      </c>
      <c r="K1789" s="73">
        <v>20.41</v>
      </c>
      <c r="L1789" s="73">
        <v>2.82</v>
      </c>
      <c r="N1789" s="318">
        <f t="shared" si="338"/>
        <v>91.549999999999983</v>
      </c>
      <c r="O1789" s="81">
        <f>IFERROR(VLOOKUP($G1789,'321買'!A:E,3,0),"'沒有資料'")</f>
        <v>0</v>
      </c>
      <c r="P1789" s="380">
        <f>IFERROR(VLOOKUP($G1789,'321買'!$A:$G,7,0),"'沒有資料'")</f>
        <v>911</v>
      </c>
      <c r="R1789" s="297">
        <f>IFERROR(RANK(VLOOKUP($G1789,連買!$A:$D,4,0),連買!$D:$D,0),"'沒有資料'")</f>
        <v>916</v>
      </c>
      <c r="S1789" s="34">
        <v>0</v>
      </c>
      <c r="T1789" s="353">
        <f t="shared" si="333"/>
        <v>0</v>
      </c>
      <c r="U1789" s="57">
        <v>1.2</v>
      </c>
      <c r="V1789" s="36">
        <f>RTD("money.excel",,"6542","Price")</f>
        <v>48</v>
      </c>
      <c r="W1789" s="66"/>
      <c r="X1789" s="15">
        <f t="shared" si="334"/>
        <v>48</v>
      </c>
      <c r="Y1789" s="3" t="e">
        <f t="shared" si="335"/>
        <v>#DIV/0!</v>
      </c>
      <c r="AA1789" s="161">
        <v>0</v>
      </c>
      <c r="AB1789" s="409">
        <v>0</v>
      </c>
      <c r="AC1789" s="259">
        <f t="shared" si="326"/>
        <v>0</v>
      </c>
      <c r="AD1789" s="16" t="s">
        <v>5030</v>
      </c>
      <c r="AG1789" s="33">
        <f t="shared" si="336"/>
        <v>0</v>
      </c>
      <c r="AH1789" s="120" t="s">
        <v>2502</v>
      </c>
      <c r="AI1789" s="63">
        <f t="shared" si="337"/>
        <v>7.1428571428571434E-5</v>
      </c>
      <c r="AJ1789" s="307">
        <f>RTD("money.excel",,$G1789,"PredictVolume")</f>
        <v>3</v>
      </c>
      <c r="AK1789" s="339"/>
    </row>
    <row r="1790" spans="1:37">
      <c r="A1790" s="416">
        <v>3</v>
      </c>
      <c r="B1790" s="80">
        <v>-38</v>
      </c>
      <c r="C1790" s="80">
        <v>-23</v>
      </c>
      <c r="D1790" s="93">
        <v>1514</v>
      </c>
      <c r="E1790" s="80">
        <v>-95</v>
      </c>
      <c r="F1790" s="6">
        <v>-20.79</v>
      </c>
      <c r="G1790" s="79">
        <v>6596</v>
      </c>
      <c r="H1790" s="8" t="s">
        <v>1030</v>
      </c>
      <c r="I1790" s="16" t="s">
        <v>1035</v>
      </c>
      <c r="J1790" s="73">
        <v>43.09</v>
      </c>
      <c r="K1790" s="323">
        <v>0.24</v>
      </c>
      <c r="L1790" s="73">
        <v>0.56999999999999995</v>
      </c>
      <c r="N1790" s="318">
        <f t="shared" si="338"/>
        <v>43.900000000000006</v>
      </c>
      <c r="O1790" s="81">
        <f>IFERROR(VLOOKUP($G1790,'321買'!A:E,3,0),"'沒有資料'")</f>
        <v>0</v>
      </c>
      <c r="P1790" s="380">
        <f>IFERROR(VLOOKUP($G1790,'321買'!$A:$G,7,0),"'沒有資料'")</f>
        <v>911</v>
      </c>
      <c r="R1790" s="297">
        <f>IFERROR(RANK(VLOOKUP($G1790,連買!$A:$D,4,0),連買!$D:$D,0),"'沒有資料'")</f>
        <v>1456</v>
      </c>
      <c r="S1790" s="66">
        <v>4.5</v>
      </c>
      <c r="T1790" s="353">
        <f t="shared" si="333"/>
        <v>9.1277890466531439E-2</v>
      </c>
      <c r="U1790" s="95">
        <v>2.57</v>
      </c>
      <c r="V1790" s="36">
        <f>RTD("money.excel",,"6596","Price")</f>
        <v>49.3</v>
      </c>
      <c r="W1790" s="66"/>
      <c r="X1790" s="15">
        <f t="shared" si="334"/>
        <v>49.3</v>
      </c>
      <c r="Y1790" s="3" t="e">
        <f t="shared" si="335"/>
        <v>#DIV/0!</v>
      </c>
      <c r="Z1790" s="413" t="s">
        <v>1997</v>
      </c>
      <c r="AA1790" s="161">
        <v>0</v>
      </c>
      <c r="AB1790" s="409">
        <v>0</v>
      </c>
      <c r="AC1790" s="259">
        <f t="shared" si="326"/>
        <v>0</v>
      </c>
      <c r="AD1790" s="16" t="s">
        <v>1035</v>
      </c>
      <c r="AG1790" s="33">
        <f t="shared" si="336"/>
        <v>0</v>
      </c>
      <c r="AH1790" s="43" t="s">
        <v>2111</v>
      </c>
      <c r="AI1790" s="63">
        <f t="shared" si="337"/>
        <v>5.3333333333333336E-4</v>
      </c>
      <c r="AJ1790" s="307">
        <f>RTD("money.excel",,$G1790,"PredictVolume")</f>
        <v>16</v>
      </c>
      <c r="AK1790" s="81"/>
    </row>
    <row r="1791" spans="1:37">
      <c r="A1791" s="415">
        <v>5.29</v>
      </c>
      <c r="B1791" s="80">
        <v>-31</v>
      </c>
      <c r="C1791" s="80">
        <v>-37</v>
      </c>
      <c r="D1791" s="79">
        <v>1</v>
      </c>
      <c r="E1791" s="80">
        <v>-26</v>
      </c>
      <c r="F1791" s="57">
        <v>46.43</v>
      </c>
      <c r="G1791" s="79">
        <v>8446</v>
      </c>
      <c r="H1791" s="8" t="s">
        <v>1030</v>
      </c>
      <c r="I1791" s="16" t="s">
        <v>152</v>
      </c>
      <c r="J1791" s="323">
        <v>49.16</v>
      </c>
      <c r="K1791" s="323">
        <v>3.33</v>
      </c>
      <c r="L1791" s="73">
        <v>4.82</v>
      </c>
      <c r="M1791" s="323">
        <v>34.31</v>
      </c>
      <c r="N1791" s="318">
        <f t="shared" si="338"/>
        <v>91.62</v>
      </c>
      <c r="O1791" s="81">
        <f>IFERROR(VLOOKUP($G1791,'321買'!A:E,3,0),"'沒有資料'")</f>
        <v>0</v>
      </c>
      <c r="P1791" s="380">
        <f>IFERROR(VLOOKUP($G1791,'321買'!$A:$G,7,0),"'沒有資料'")</f>
        <v>911</v>
      </c>
      <c r="Q1791" s="245" t="s">
        <v>3816</v>
      </c>
      <c r="R1791" s="297">
        <f>IFERROR(RANK(VLOOKUP($G1791,連買!$A:$D,4,0),連買!$D:$D,0),"'沒有資料'")</f>
        <v>336</v>
      </c>
      <c r="S1791" s="66">
        <v>3.5</v>
      </c>
      <c r="T1791" s="353">
        <f t="shared" si="333"/>
        <v>3.9954337899543384E-2</v>
      </c>
      <c r="U1791" s="95">
        <v>7.34</v>
      </c>
      <c r="V1791" s="36">
        <f>RTD("money.excel",,"8446","Price")</f>
        <v>87.6</v>
      </c>
      <c r="W1791" s="66"/>
      <c r="X1791" s="15">
        <f t="shared" si="334"/>
        <v>87.6</v>
      </c>
      <c r="Y1791" s="3" t="e">
        <f t="shared" si="335"/>
        <v>#DIV/0!</v>
      </c>
      <c r="Z1791" s="413" t="s">
        <v>1997</v>
      </c>
      <c r="AA1791" s="161">
        <v>0</v>
      </c>
      <c r="AB1791" s="409">
        <v>0</v>
      </c>
      <c r="AC1791" s="259">
        <f t="shared" si="326"/>
        <v>0</v>
      </c>
      <c r="AD1791" s="16" t="s">
        <v>152</v>
      </c>
      <c r="AG1791" s="33">
        <f t="shared" si="336"/>
        <v>0</v>
      </c>
      <c r="AH1791" s="120" t="s">
        <v>1423</v>
      </c>
      <c r="AI1791" s="63">
        <f t="shared" si="337"/>
        <v>1.0586011342155009E-3</v>
      </c>
      <c r="AJ1791" s="307">
        <f>RTD("money.excel",,$G1791,"PredictVolume")</f>
        <v>56</v>
      </c>
      <c r="AK1791" s="339">
        <v>5.99</v>
      </c>
    </row>
    <row r="1792" spans="1:37">
      <c r="A1792" s="416">
        <v>5.13</v>
      </c>
      <c r="B1792" s="80">
        <v>-143</v>
      </c>
      <c r="C1792" s="80">
        <v>-84</v>
      </c>
      <c r="D1792" s="79">
        <v>12</v>
      </c>
      <c r="E1792" s="80">
        <v>-10</v>
      </c>
      <c r="F1792" s="6">
        <v>-30.82</v>
      </c>
      <c r="G1792" s="79">
        <v>8450</v>
      </c>
      <c r="H1792" s="8" t="s">
        <v>1030</v>
      </c>
      <c r="I1792" s="16" t="s">
        <v>85</v>
      </c>
      <c r="J1792" s="73">
        <v>64.91</v>
      </c>
      <c r="K1792" s="73">
        <v>1.55</v>
      </c>
      <c r="L1792" s="73">
        <v>3.14</v>
      </c>
      <c r="N1792" s="318">
        <f t="shared" si="338"/>
        <v>69.599999999999994</v>
      </c>
      <c r="O1792" s="81">
        <f>IFERROR(VLOOKUP($G1792,'321買'!A:E,3,0),"'沒有資料'")</f>
        <v>10</v>
      </c>
      <c r="P1792" s="380">
        <f>IFERROR(VLOOKUP($G1792,'321買'!$A:$G,7,0),"'沒有資料'")</f>
        <v>433</v>
      </c>
      <c r="R1792" s="297">
        <f>IFERROR(RANK(VLOOKUP($G1792,連買!$A:$D,4,0),連買!$D:$D,0),"'沒有資料'")</f>
        <v>760</v>
      </c>
      <c r="S1792" s="34">
        <v>0</v>
      </c>
      <c r="T1792" s="353">
        <f t="shared" si="333"/>
        <v>0</v>
      </c>
      <c r="U1792" s="57">
        <v>-2.89</v>
      </c>
      <c r="V1792" s="36">
        <f>RTD("money.excel",,"8450","Price")</f>
        <v>34.6</v>
      </c>
      <c r="W1792" s="66"/>
      <c r="X1792" s="15">
        <f t="shared" si="334"/>
        <v>34.6</v>
      </c>
      <c r="Y1792" s="3" t="e">
        <f t="shared" si="335"/>
        <v>#DIV/0!</v>
      </c>
      <c r="Z1792" s="413" t="s">
        <v>1801</v>
      </c>
      <c r="AA1792" s="161">
        <v>0</v>
      </c>
      <c r="AB1792" s="409">
        <v>0</v>
      </c>
      <c r="AC1792" s="259">
        <f t="shared" si="326"/>
        <v>0</v>
      </c>
      <c r="AD1792" s="16" t="s">
        <v>85</v>
      </c>
      <c r="AG1792" s="33">
        <f t="shared" si="336"/>
        <v>0</v>
      </c>
      <c r="AH1792" s="120" t="s">
        <v>2883</v>
      </c>
      <c r="AI1792" s="63">
        <f t="shared" si="337"/>
        <v>1.0584795321637426E-2</v>
      </c>
      <c r="AJ1792" s="307">
        <f>RTD("money.excel",,$G1792,"PredictVolume")</f>
        <v>543</v>
      </c>
      <c r="AK1792" s="339"/>
    </row>
    <row r="1793" spans="1:37">
      <c r="A1793" s="415">
        <v>3.78</v>
      </c>
      <c r="B1793" s="80">
        <v>-39</v>
      </c>
      <c r="C1793" s="80">
        <v>-22</v>
      </c>
      <c r="D1793" s="80">
        <v>-5</v>
      </c>
      <c r="E1793" s="80">
        <v>-1</v>
      </c>
      <c r="F1793" s="57">
        <v>11.3</v>
      </c>
      <c r="G1793" s="79">
        <v>8489</v>
      </c>
      <c r="H1793" s="8" t="s">
        <v>1030</v>
      </c>
      <c r="I1793" s="16" t="s">
        <v>1036</v>
      </c>
      <c r="J1793" s="73">
        <v>23.79</v>
      </c>
      <c r="K1793" s="73">
        <v>1.97</v>
      </c>
      <c r="L1793" s="73">
        <v>15.81</v>
      </c>
      <c r="N1793" s="318">
        <f t="shared" si="338"/>
        <v>41.57</v>
      </c>
      <c r="O1793" s="81">
        <f>IFERROR(VLOOKUP($G1793,'321買'!A:E,3,0),"'沒有資料'")</f>
        <v>0</v>
      </c>
      <c r="P1793" s="380">
        <f>IFERROR(VLOOKUP($G1793,'321買'!$A:$G,7,0),"'沒有資料'")</f>
        <v>911</v>
      </c>
      <c r="R1793" s="297">
        <f>IFERROR(RANK(VLOOKUP($G1793,連買!$A:$D,4,0),連買!$D:$D,0),"'沒有資料'")</f>
        <v>484</v>
      </c>
      <c r="S1793" s="34">
        <v>0.7</v>
      </c>
      <c r="T1793" s="353">
        <f t="shared" si="333"/>
        <v>2.247191011235955E-2</v>
      </c>
      <c r="U1793" s="95">
        <v>0.77</v>
      </c>
      <c r="V1793" s="36">
        <f>RTD("money.excel",,"8489","Price")</f>
        <v>31.15</v>
      </c>
      <c r="W1793" s="66"/>
      <c r="X1793" s="15">
        <f t="shared" si="334"/>
        <v>31.15</v>
      </c>
      <c r="Y1793" s="3" t="e">
        <f t="shared" si="335"/>
        <v>#DIV/0!</v>
      </c>
      <c r="AA1793" s="161">
        <v>0</v>
      </c>
      <c r="AB1793" s="409">
        <v>0</v>
      </c>
      <c r="AC1793" s="259">
        <f t="shared" si="326"/>
        <v>0</v>
      </c>
      <c r="AD1793" s="16" t="s">
        <v>1036</v>
      </c>
      <c r="AG1793" s="33">
        <f t="shared" si="336"/>
        <v>0</v>
      </c>
      <c r="AH1793" s="43" t="s">
        <v>2884</v>
      </c>
      <c r="AI1793" s="63">
        <f t="shared" si="337"/>
        <v>1.4021164021164022E-3</v>
      </c>
      <c r="AJ1793" s="307">
        <f>RTD("money.excel",,$G1793,"PredictVolume")</f>
        <v>53</v>
      </c>
      <c r="AK1793" s="339"/>
    </row>
    <row r="1794" spans="1:37">
      <c r="A1794" s="416">
        <v>3.04</v>
      </c>
      <c r="B1794" s="91">
        <v>-29</v>
      </c>
      <c r="C1794" s="91">
        <v>-1</v>
      </c>
      <c r="D1794" s="91">
        <v>-7</v>
      </c>
      <c r="E1794" s="91">
        <v>-2</v>
      </c>
      <c r="F1794" s="6">
        <v>2.2799999999999998</v>
      </c>
      <c r="G1794" s="79">
        <v>8923</v>
      </c>
      <c r="H1794" s="8" t="s">
        <v>1030</v>
      </c>
      <c r="I1794" s="16" t="s">
        <v>1037</v>
      </c>
      <c r="J1794" s="73">
        <v>83.03</v>
      </c>
      <c r="K1794" s="73">
        <v>3.62</v>
      </c>
      <c r="L1794" s="73">
        <v>0.03</v>
      </c>
      <c r="N1794" s="318">
        <f t="shared" si="338"/>
        <v>86.68</v>
      </c>
      <c r="O1794" s="81" t="str">
        <f>IFERROR(VLOOKUP($G1794,'321買'!A:E,3,0),"'沒有資料'")</f>
        <v>'沒有資料'</v>
      </c>
      <c r="P1794" s="380" t="str">
        <f>IFERROR(VLOOKUP($G1794,'321買'!$A:$G,7,0),"'沒有資料'")</f>
        <v>'沒有資料'</v>
      </c>
      <c r="R1794" s="297">
        <f>IFERROR(RANK(VLOOKUP($G1794,連買!$A:$D,4,0),連買!$D:$D,0),"'沒有資料'")</f>
        <v>1304</v>
      </c>
      <c r="S1794" s="34">
        <v>0.85</v>
      </c>
      <c r="T1794" s="353">
        <f t="shared" si="333"/>
        <v>4.1362530413625302E-2</v>
      </c>
      <c r="U1794" s="95">
        <v>0.94</v>
      </c>
      <c r="V1794" s="13">
        <f>RTD("money.excel",,"8923","Price")</f>
        <v>20.55</v>
      </c>
      <c r="W1794" s="66"/>
      <c r="X1794" s="15">
        <f t="shared" si="334"/>
        <v>20.55</v>
      </c>
      <c r="Y1794" s="3" t="e">
        <f t="shared" si="335"/>
        <v>#DIV/0!</v>
      </c>
      <c r="AA1794" s="161">
        <v>0</v>
      </c>
      <c r="AB1794" s="409">
        <v>0</v>
      </c>
      <c r="AC1794" s="259">
        <f t="shared" si="326"/>
        <v>0</v>
      </c>
      <c r="AD1794" s="16" t="s">
        <v>1037</v>
      </c>
      <c r="AG1794" s="33">
        <f t="shared" si="336"/>
        <v>0</v>
      </c>
      <c r="AH1794" s="43" t="s">
        <v>1557</v>
      </c>
      <c r="AI1794" s="63">
        <f t="shared" si="337"/>
        <v>3.2894736842105262E-5</v>
      </c>
      <c r="AJ1794" s="307">
        <f>RTD("money.excel",,$G1794,"PredictVolume")</f>
        <v>1</v>
      </c>
      <c r="AK1794" s="339"/>
    </row>
    <row r="1795" spans="1:37">
      <c r="A1795" s="416">
        <v>4.7</v>
      </c>
      <c r="B1795" s="80">
        <v>-19</v>
      </c>
      <c r="C1795" s="80">
        <v>-35</v>
      </c>
      <c r="D1795" s="80">
        <v>-23</v>
      </c>
      <c r="E1795" s="79">
        <v>102</v>
      </c>
      <c r="F1795" s="6">
        <v>-35.03</v>
      </c>
      <c r="G1795" s="79">
        <v>9949</v>
      </c>
      <c r="H1795" s="8" t="s">
        <v>1030</v>
      </c>
      <c r="I1795" s="16" t="s">
        <v>1038</v>
      </c>
      <c r="J1795" s="323">
        <v>61.91</v>
      </c>
      <c r="K1795" s="323">
        <v>0.12</v>
      </c>
      <c r="L1795" s="323">
        <v>46.74</v>
      </c>
      <c r="N1795" s="318">
        <f t="shared" si="338"/>
        <v>108.77</v>
      </c>
      <c r="O1795" s="81" t="str">
        <f>IFERROR(VLOOKUP($G1795,'321買'!A:E,3,0),"'沒有資料'")</f>
        <v>'沒有資料'</v>
      </c>
      <c r="P1795" s="380" t="str">
        <f>IFERROR(VLOOKUP($G1795,'321買'!$A:$G,7,0),"'沒有資料'")</f>
        <v>'沒有資料'</v>
      </c>
      <c r="R1795" s="297">
        <f>IFERROR(RANK(VLOOKUP($G1795,連買!$A:$D,4,0),連買!$D:$D,0),"'沒有資料'")</f>
        <v>1244</v>
      </c>
      <c r="S1795" s="34">
        <v>0</v>
      </c>
      <c r="T1795" s="353">
        <f t="shared" si="333"/>
        <v>0</v>
      </c>
      <c r="U1795" s="57">
        <v>-0.65</v>
      </c>
      <c r="V1795" s="36">
        <f>RTD("money.excel",,"9949","Price")</f>
        <v>13.3</v>
      </c>
      <c r="W1795" s="66"/>
      <c r="X1795" s="15">
        <f t="shared" si="334"/>
        <v>13.3</v>
      </c>
      <c r="Y1795" s="3" t="e">
        <f t="shared" si="335"/>
        <v>#DIV/0!</v>
      </c>
      <c r="AA1795" s="161">
        <v>0</v>
      </c>
      <c r="AB1795" s="409">
        <v>0</v>
      </c>
      <c r="AC1795" s="259">
        <f t="shared" si="326"/>
        <v>0</v>
      </c>
      <c r="AD1795" s="16" t="s">
        <v>1038</v>
      </c>
      <c r="AG1795" s="33">
        <f t="shared" si="336"/>
        <v>0</v>
      </c>
      <c r="AH1795" s="43" t="s">
        <v>2885</v>
      </c>
      <c r="AI1795" s="63">
        <f t="shared" si="337"/>
        <v>2.7872340425531914E-3</v>
      </c>
      <c r="AJ1795" s="307">
        <f>RTD("money.excel",,$G1795,"PredictVolume")</f>
        <v>131</v>
      </c>
      <c r="AK1795" s="339"/>
    </row>
    <row r="1796" spans="1:37">
      <c r="A1796" s="146"/>
      <c r="B1796" s="80"/>
      <c r="C1796" s="80"/>
      <c r="D1796" s="80"/>
      <c r="E1796" s="79"/>
      <c r="F1796" s="6"/>
      <c r="G1796" s="79"/>
      <c r="H1796" s="8"/>
      <c r="I1796" s="16"/>
      <c r="J1796" s="323"/>
      <c r="K1796" s="323"/>
      <c r="L1796" s="323"/>
      <c r="N1796" s="318"/>
      <c r="O1796" s="26"/>
      <c r="R1796" s="297"/>
      <c r="S1796" s="34"/>
      <c r="U1796" s="57"/>
      <c r="V1796" s="36"/>
      <c r="W1796" s="66"/>
      <c r="X1796" s="15"/>
      <c r="Y1796" s="3"/>
      <c r="AA1796" s="2"/>
      <c r="AD1796" s="16"/>
      <c r="AG1796" s="33"/>
      <c r="AH1796" s="43"/>
      <c r="AK1796" s="339"/>
    </row>
    <row r="1797" spans="1:37">
      <c r="A1797" s="130" t="s">
        <v>1732</v>
      </c>
      <c r="B1797" s="91" t="s">
        <v>1588</v>
      </c>
      <c r="C1797" s="91" t="s">
        <v>1589</v>
      </c>
      <c r="D1797" s="91" t="s">
        <v>1590</v>
      </c>
      <c r="E1797" s="91" t="s">
        <v>1591</v>
      </c>
      <c r="F1797" s="8" t="s">
        <v>1066</v>
      </c>
      <c r="G1797" s="27" t="s">
        <v>1029</v>
      </c>
      <c r="H1797" s="55" t="s">
        <v>322</v>
      </c>
      <c r="I1797" s="50" t="s">
        <v>332</v>
      </c>
      <c r="J1797" s="317" t="s">
        <v>1467</v>
      </c>
      <c r="K1797" s="317" t="s">
        <v>1157</v>
      </c>
      <c r="L1797" s="317" t="s">
        <v>284</v>
      </c>
      <c r="M1797" s="317" t="s">
        <v>1059</v>
      </c>
      <c r="N1797" s="317" t="s">
        <v>5048</v>
      </c>
      <c r="O1797" s="26" t="s">
        <v>5107</v>
      </c>
      <c r="P1797" s="373" t="s">
        <v>5059</v>
      </c>
      <c r="Q1797" s="245" t="s">
        <v>5087</v>
      </c>
      <c r="R1797" s="345" t="s">
        <v>5059</v>
      </c>
      <c r="S1797" s="10" t="s">
        <v>66</v>
      </c>
      <c r="T1797" s="351" t="s">
        <v>5076</v>
      </c>
      <c r="U1797" s="68" t="s">
        <v>3493</v>
      </c>
      <c r="V1797" s="28" t="s">
        <v>2</v>
      </c>
      <c r="W1797" s="17" t="s">
        <v>1405</v>
      </c>
      <c r="X1797" s="14" t="s">
        <v>5</v>
      </c>
      <c r="Y1797" s="21" t="s">
        <v>3</v>
      </c>
      <c r="Z1797" s="97" t="s">
        <v>6627</v>
      </c>
      <c r="AA1797" s="406" t="s">
        <v>8647</v>
      </c>
      <c r="AB1797" s="407" t="s">
        <v>8648</v>
      </c>
      <c r="AC1797" s="408" t="s">
        <v>8649</v>
      </c>
      <c r="AD1797" s="50" t="s">
        <v>332</v>
      </c>
      <c r="AE1797" s="71" t="s">
        <v>1406</v>
      </c>
      <c r="AF1797" s="72" t="s">
        <v>1163</v>
      </c>
      <c r="AG1797" s="32" t="s">
        <v>1164</v>
      </c>
      <c r="AH1797" s="25" t="s">
        <v>8650</v>
      </c>
      <c r="AI1797" s="8" t="s">
        <v>3852</v>
      </c>
      <c r="AJ1797" s="50" t="s">
        <v>3586</v>
      </c>
      <c r="AK1797" s="339" t="s">
        <v>5038</v>
      </c>
    </row>
    <row r="1798" spans="1:37">
      <c r="A1798" s="416">
        <v>4.8</v>
      </c>
      <c r="B1798" s="91">
        <v>64</v>
      </c>
      <c r="C1798" s="91">
        <v>54</v>
      </c>
      <c r="D1798" s="91">
        <v>33</v>
      </c>
      <c r="E1798" s="91">
        <v>86</v>
      </c>
      <c r="F1798" s="6">
        <v>-94.97</v>
      </c>
      <c r="G1798" s="79">
        <v>3085</v>
      </c>
      <c r="H1798" s="8" t="s">
        <v>5057</v>
      </c>
      <c r="I1798" s="16" t="s">
        <v>997</v>
      </c>
      <c r="J1798" s="73">
        <v>64.45</v>
      </c>
      <c r="K1798" s="73">
        <v>23.24</v>
      </c>
      <c r="N1798" s="318">
        <f>J1798+K1798+L1798+M1798</f>
        <v>87.69</v>
      </c>
      <c r="O1798" s="81" t="str">
        <f>IFERROR(VLOOKUP($G1798,'321買'!A:E,3,0),"'沒有資料'")</f>
        <v>'沒有資料'</v>
      </c>
      <c r="P1798" s="380" t="str">
        <f>IFERROR(VLOOKUP($G1798,'321買'!$A:$G,7,0),"'沒有資料'")</f>
        <v>'沒有資料'</v>
      </c>
      <c r="R1798" s="297">
        <f>IFERROR(RANK(VLOOKUP($G1798,連買!$A:$D,4,0),連買!$D:$D,0),"'沒有資料'")</f>
        <v>1408</v>
      </c>
      <c r="S1798" s="34">
        <v>0</v>
      </c>
      <c r="T1798" s="353">
        <f t="shared" ref="T1798:T1806" si="339">S1798/V1798</f>
        <v>0</v>
      </c>
      <c r="U1798" s="95">
        <v>-2.67</v>
      </c>
      <c r="V1798" s="13">
        <f>RTD("money.excel",,"3085","Price")</f>
        <v>10</v>
      </c>
      <c r="W1798" s="66"/>
      <c r="X1798" s="15">
        <f t="shared" ref="X1798:X1806" si="340">V1798-W1798</f>
        <v>10</v>
      </c>
      <c r="Y1798" s="3" t="e">
        <f t="shared" ref="Y1798:Y1806" si="341">X1798/W1798</f>
        <v>#DIV/0!</v>
      </c>
      <c r="AA1798" s="161">
        <v>0</v>
      </c>
      <c r="AB1798" s="409">
        <v>0</v>
      </c>
      <c r="AC1798" s="259">
        <f t="shared" ref="AC1798:AC1816" si="342">AA1798-AB1798</f>
        <v>0</v>
      </c>
      <c r="AD1798" s="16" t="s">
        <v>997</v>
      </c>
      <c r="AG1798" s="33">
        <f t="shared" ref="AG1798:AG1806" si="343">AF1798-AE1798</f>
        <v>0</v>
      </c>
      <c r="AH1798" s="43" t="s">
        <v>332</v>
      </c>
      <c r="AI1798" s="63">
        <f t="shared" ref="AI1798:AI1806" si="344">AJ1798/(A1798*10000)</f>
        <v>2.0833333333333335E-4</v>
      </c>
      <c r="AJ1798" s="307">
        <f>RTD("money.excel",,$G1798,"PredictVolume")</f>
        <v>10</v>
      </c>
      <c r="AK1798" s="339"/>
    </row>
    <row r="1799" spans="1:37">
      <c r="A1799" s="415">
        <v>3.01</v>
      </c>
      <c r="B1799" s="79">
        <v>79</v>
      </c>
      <c r="C1799" s="79">
        <v>101</v>
      </c>
      <c r="D1799" s="79">
        <v>19</v>
      </c>
      <c r="E1799" s="79">
        <v>29</v>
      </c>
      <c r="F1799" s="57">
        <v>22.19</v>
      </c>
      <c r="G1799" s="79">
        <v>3687</v>
      </c>
      <c r="H1799" s="8" t="s">
        <v>5057</v>
      </c>
      <c r="I1799" s="16" t="s">
        <v>72</v>
      </c>
      <c r="J1799" s="73">
        <v>36.99</v>
      </c>
      <c r="K1799" s="73">
        <v>6.21</v>
      </c>
      <c r="L1799" s="73">
        <v>62.7</v>
      </c>
      <c r="M1799" s="323">
        <v>14.55</v>
      </c>
      <c r="N1799" s="318">
        <f t="shared" ref="N1799:N1806" si="345">J1799+K1799+L1799+M1799</f>
        <v>120.45</v>
      </c>
      <c r="O1799" s="81">
        <f>IFERROR(VLOOKUP($G1799,'321買'!A:E,3,0),"'沒有資料'")</f>
        <v>59</v>
      </c>
      <c r="P1799" s="380">
        <f>IFERROR(VLOOKUP($G1799,'321買'!$A:$G,7,0),"'沒有資料'")</f>
        <v>56</v>
      </c>
      <c r="Q1799" s="245" t="s">
        <v>3815</v>
      </c>
      <c r="R1799" s="297">
        <f>IFERROR(RANK(VLOOKUP($G1799,連買!$A:$D,4,0),連買!$D:$D,0),"'沒有資料'")</f>
        <v>101</v>
      </c>
      <c r="S1799" s="34">
        <v>0.6</v>
      </c>
      <c r="T1799" s="353">
        <f t="shared" si="339"/>
        <v>3.9867109634551491E-3</v>
      </c>
      <c r="U1799" s="95">
        <v>2.23</v>
      </c>
      <c r="V1799" s="36">
        <f>RTD("money.excel",,"3687","Price")</f>
        <v>150.5</v>
      </c>
      <c r="W1799" s="66"/>
      <c r="X1799" s="15">
        <f t="shared" si="340"/>
        <v>150.5</v>
      </c>
      <c r="Y1799" s="3" t="e">
        <f t="shared" si="341"/>
        <v>#DIV/0!</v>
      </c>
      <c r="Z1799" s="413" t="s">
        <v>1801</v>
      </c>
      <c r="AA1799" s="161">
        <v>0</v>
      </c>
      <c r="AB1799" s="409">
        <v>0</v>
      </c>
      <c r="AC1799" s="259">
        <f t="shared" si="342"/>
        <v>0</v>
      </c>
      <c r="AD1799" s="16" t="s">
        <v>72</v>
      </c>
      <c r="AG1799" s="33">
        <f t="shared" si="343"/>
        <v>0</v>
      </c>
      <c r="AH1799" s="120" t="s">
        <v>2531</v>
      </c>
      <c r="AI1799" s="63">
        <f t="shared" si="344"/>
        <v>0.10033222591362127</v>
      </c>
      <c r="AJ1799" s="307">
        <f>RTD("money.excel",,$G1799,"PredictVolume")</f>
        <v>3020</v>
      </c>
      <c r="AK1799" s="339"/>
    </row>
    <row r="1800" spans="1:37">
      <c r="A1800" s="415">
        <v>1.52</v>
      </c>
      <c r="B1800" s="80">
        <v>-25</v>
      </c>
      <c r="C1800" s="80">
        <v>-19</v>
      </c>
      <c r="D1800" s="79">
        <v>1</v>
      </c>
      <c r="E1800" s="80">
        <v>-13</v>
      </c>
      <c r="F1800" s="57">
        <v>23.94</v>
      </c>
      <c r="G1800" s="79">
        <v>5278</v>
      </c>
      <c r="H1800" s="8" t="s">
        <v>5057</v>
      </c>
      <c r="I1800" s="16" t="s">
        <v>1040</v>
      </c>
      <c r="J1800" s="323">
        <v>45.06</v>
      </c>
      <c r="K1800" s="73">
        <v>43.09</v>
      </c>
      <c r="L1800" s="323"/>
      <c r="N1800" s="318">
        <f t="shared" si="345"/>
        <v>88.15</v>
      </c>
      <c r="O1800" s="81" t="str">
        <f>IFERROR(VLOOKUP($G1800,'321買'!A:E,3,0),"'沒有資料'")</f>
        <v>'沒有資料'</v>
      </c>
      <c r="P1800" s="380" t="str">
        <f>IFERROR(VLOOKUP($G1800,'321買'!$A:$G,7,0),"'沒有資料'")</f>
        <v>'沒有資料'</v>
      </c>
      <c r="R1800" s="297">
        <f>IFERROR(RANK(VLOOKUP($G1800,連買!$A:$D,4,0),連買!$D:$D,0),"'沒有資料'")</f>
        <v>215</v>
      </c>
      <c r="S1800" s="66">
        <v>3.46</v>
      </c>
      <c r="T1800" s="353">
        <f t="shared" si="339"/>
        <v>1.3007518796992482E-2</v>
      </c>
      <c r="U1800" s="95">
        <v>12.34</v>
      </c>
      <c r="V1800" s="13">
        <f>RTD("money.excel",,"5278","Price")</f>
        <v>266</v>
      </c>
      <c r="W1800" s="66"/>
      <c r="X1800" s="15">
        <f t="shared" si="340"/>
        <v>266</v>
      </c>
      <c r="Y1800" s="3" t="e">
        <f t="shared" si="341"/>
        <v>#DIV/0!</v>
      </c>
      <c r="Z1800" s="413" t="s">
        <v>1831</v>
      </c>
      <c r="AA1800" s="161">
        <v>0</v>
      </c>
      <c r="AB1800" s="409">
        <v>0</v>
      </c>
      <c r="AC1800" s="259">
        <f t="shared" si="342"/>
        <v>0</v>
      </c>
      <c r="AD1800" s="16" t="s">
        <v>1040</v>
      </c>
      <c r="AG1800" s="33">
        <f t="shared" si="343"/>
        <v>0</v>
      </c>
      <c r="AH1800" s="43" t="s">
        <v>2886</v>
      </c>
      <c r="AI1800" s="63">
        <f t="shared" si="344"/>
        <v>4.6052631578947367E-4</v>
      </c>
      <c r="AJ1800" s="307">
        <f>RTD("money.excel",,$G1800,"PredictVolume")</f>
        <v>7</v>
      </c>
      <c r="AK1800" s="339"/>
    </row>
    <row r="1801" spans="1:37">
      <c r="A1801" s="415">
        <v>4.29</v>
      </c>
      <c r="B1801" s="79">
        <v>5</v>
      </c>
      <c r="C1801" s="79">
        <v>4</v>
      </c>
      <c r="D1801" s="80">
        <v>-4</v>
      </c>
      <c r="E1801" s="79">
        <v>8</v>
      </c>
      <c r="F1801" s="57">
        <v>49.97</v>
      </c>
      <c r="G1801" s="79">
        <v>5287</v>
      </c>
      <c r="H1801" s="149" t="s">
        <v>5057</v>
      </c>
      <c r="I1801" s="16" t="s">
        <v>263</v>
      </c>
      <c r="J1801" s="323">
        <v>58.82</v>
      </c>
      <c r="K1801" s="323">
        <v>31.75</v>
      </c>
      <c r="L1801" s="323">
        <v>0.66</v>
      </c>
      <c r="N1801" s="318">
        <f t="shared" si="345"/>
        <v>91.22999999999999</v>
      </c>
      <c r="O1801" s="81">
        <f>IFERROR(VLOOKUP($G1801,'321買'!A:E,3,0),"'沒有資料'")</f>
        <v>0</v>
      </c>
      <c r="P1801" s="380">
        <f>IFERROR(VLOOKUP($G1801,'321買'!$A:$G,7,0),"'沒有資料'")</f>
        <v>911</v>
      </c>
      <c r="R1801" s="297">
        <f>IFERROR(RANK(VLOOKUP($G1801,連買!$A:$D,4,0),連買!$D:$D,0),"'沒有資料'")</f>
        <v>109</v>
      </c>
      <c r="S1801" s="66">
        <v>13.83</v>
      </c>
      <c r="T1801" s="353">
        <f t="shared" si="339"/>
        <v>6.4027777777777781E-2</v>
      </c>
      <c r="U1801" s="95">
        <v>14.74</v>
      </c>
      <c r="V1801" s="36">
        <f>RTD("money.excel",,"5287","Price")</f>
        <v>216</v>
      </c>
      <c r="W1801" s="66"/>
      <c r="X1801" s="15">
        <f t="shared" si="340"/>
        <v>216</v>
      </c>
      <c r="Y1801" s="3" t="e">
        <f t="shared" si="341"/>
        <v>#DIV/0!</v>
      </c>
      <c r="Z1801" s="413" t="s">
        <v>1831</v>
      </c>
      <c r="AA1801" s="161">
        <v>0</v>
      </c>
      <c r="AB1801" s="409">
        <v>0</v>
      </c>
      <c r="AC1801" s="259">
        <f t="shared" si="342"/>
        <v>0</v>
      </c>
      <c r="AD1801" s="16" t="s">
        <v>263</v>
      </c>
      <c r="AG1801" s="33">
        <f t="shared" si="343"/>
        <v>0</v>
      </c>
      <c r="AH1801" s="120" t="s">
        <v>332</v>
      </c>
      <c r="AI1801" s="63">
        <f t="shared" si="344"/>
        <v>8.8578088578088578E-4</v>
      </c>
      <c r="AJ1801" s="307">
        <f>RTD("money.excel",,$G1801,"PredictVolume")</f>
        <v>38</v>
      </c>
      <c r="AK1801" s="339"/>
    </row>
    <row r="1802" spans="1:37">
      <c r="A1802" s="415">
        <v>6.03</v>
      </c>
      <c r="B1802" s="79">
        <v>29</v>
      </c>
      <c r="C1802" s="79">
        <v>56</v>
      </c>
      <c r="D1802" s="80">
        <v>-10</v>
      </c>
      <c r="E1802" s="79">
        <v>16</v>
      </c>
      <c r="F1802" s="57">
        <v>27.97</v>
      </c>
      <c r="G1802" s="79">
        <v>6741</v>
      </c>
      <c r="H1802" s="149" t="s">
        <v>5057</v>
      </c>
      <c r="I1802" s="16" t="s">
        <v>3552</v>
      </c>
      <c r="J1802" s="323">
        <v>75.8</v>
      </c>
      <c r="K1802" s="323">
        <v>62.32</v>
      </c>
      <c r="N1802" s="318">
        <f t="shared" si="345"/>
        <v>138.12</v>
      </c>
      <c r="O1802" s="81">
        <f>IFERROR(VLOOKUP($G1802,'321買'!A:E,3,0),"'沒有資料'")</f>
        <v>14</v>
      </c>
      <c r="P1802" s="380">
        <f>IFERROR(VLOOKUP($G1802,'321買'!$A:$G,7,0),"'沒有資料'")</f>
        <v>348</v>
      </c>
      <c r="R1802" s="297">
        <f>IFERROR(RANK(VLOOKUP($G1802,連買!$A:$D,4,0),連買!$D:$D,0),"'沒有資料'")</f>
        <v>1738</v>
      </c>
      <c r="S1802" s="34"/>
      <c r="T1802" s="353">
        <f t="shared" si="339"/>
        <v>0</v>
      </c>
      <c r="U1802" s="95"/>
      <c r="V1802" s="36">
        <f>RTD("money.excel",,"6741","Price")</f>
        <v>156.5</v>
      </c>
      <c r="W1802" s="66"/>
      <c r="X1802" s="15">
        <f t="shared" si="340"/>
        <v>156.5</v>
      </c>
      <c r="Y1802" s="159" t="e">
        <f t="shared" si="341"/>
        <v>#DIV/0!</v>
      </c>
      <c r="AA1802" s="161">
        <v>0</v>
      </c>
      <c r="AB1802" s="409">
        <v>0</v>
      </c>
      <c r="AC1802" s="259">
        <f t="shared" si="342"/>
        <v>0</v>
      </c>
      <c r="AD1802" s="16" t="s">
        <v>3552</v>
      </c>
      <c r="AG1802" s="33">
        <f t="shared" si="343"/>
        <v>0</v>
      </c>
      <c r="AH1802" s="43" t="s">
        <v>3559</v>
      </c>
      <c r="AI1802" s="63">
        <f t="shared" si="344"/>
        <v>4.2454394693200665E-3</v>
      </c>
      <c r="AJ1802" s="307">
        <f>RTD("money.excel",,$G1802,"PredictVolume")</f>
        <v>256</v>
      </c>
      <c r="AK1802" s="339"/>
    </row>
    <row r="1803" spans="1:37">
      <c r="A1803" s="415">
        <v>1.71</v>
      </c>
      <c r="B1803" s="79">
        <v>74</v>
      </c>
      <c r="C1803" s="79">
        <v>77</v>
      </c>
      <c r="D1803" s="80">
        <v>-19</v>
      </c>
      <c r="E1803" s="79">
        <v>12</v>
      </c>
      <c r="F1803" s="57">
        <v>28.27</v>
      </c>
      <c r="G1803" s="79">
        <v>6763</v>
      </c>
      <c r="H1803" s="149" t="s">
        <v>332</v>
      </c>
      <c r="I1803" s="16" t="s">
        <v>5153</v>
      </c>
      <c r="J1803" s="323">
        <v>25.87</v>
      </c>
      <c r="K1803" s="323">
        <v>6.73</v>
      </c>
      <c r="L1803" s="323"/>
      <c r="M1803" s="73">
        <v>36.28</v>
      </c>
      <c r="N1803" s="318">
        <f t="shared" si="345"/>
        <v>68.88</v>
      </c>
      <c r="O1803" s="81" t="str">
        <f>IFERROR(VLOOKUP($G1803,'321買'!A:E,3,0),"'沒有資料'")</f>
        <v>'沒有資料'</v>
      </c>
      <c r="P1803" s="380" t="str">
        <f>IFERROR(VLOOKUP($G1803,'321買'!$A:$G,7,0),"'沒有資料'")</f>
        <v>'沒有資料'</v>
      </c>
      <c r="R1803" s="297">
        <f>IFERROR(RANK(VLOOKUP($G1803,連買!$A:$D,4,0),連買!$D:$D,0),"'沒有資料'")</f>
        <v>1408</v>
      </c>
      <c r="S1803" s="66">
        <v>8.5</v>
      </c>
      <c r="T1803" s="353">
        <f t="shared" si="339"/>
        <v>1.4358108108108109E-2</v>
      </c>
      <c r="U1803" s="95">
        <v>22.91</v>
      </c>
      <c r="V1803" s="36">
        <f>RTD("money.excel",,"6763","Price")</f>
        <v>592</v>
      </c>
      <c r="W1803" s="66"/>
      <c r="X1803" s="15">
        <f>V1803-W1803</f>
        <v>592</v>
      </c>
      <c r="Y1803" s="159" t="e">
        <f>X1803/W1803</f>
        <v>#DIV/0!</v>
      </c>
      <c r="AA1803" s="161">
        <v>0</v>
      </c>
      <c r="AB1803" s="409">
        <v>0</v>
      </c>
      <c r="AC1803" s="259">
        <f t="shared" si="342"/>
        <v>0</v>
      </c>
      <c r="AD1803" s="16" t="s">
        <v>5153</v>
      </c>
      <c r="AG1803" s="33">
        <f>AF1803-AE1803</f>
        <v>0</v>
      </c>
      <c r="AH1803" s="126" t="s">
        <v>5154</v>
      </c>
      <c r="AI1803" s="63">
        <f t="shared" si="344"/>
        <v>4.0935672514619886E-3</v>
      </c>
      <c r="AJ1803" s="307">
        <f>RTD("money.excel",,$G1803,"PredictVolume")</f>
        <v>70</v>
      </c>
      <c r="AK1803" s="339"/>
    </row>
    <row r="1804" spans="1:37">
      <c r="A1804" s="416">
        <v>11.8</v>
      </c>
      <c r="B1804" s="79">
        <v>20</v>
      </c>
      <c r="C1804" s="80">
        <v>15</v>
      </c>
      <c r="D1804" s="80">
        <v>-7</v>
      </c>
      <c r="E1804" s="79">
        <v>15</v>
      </c>
      <c r="F1804" s="6">
        <v>1.04</v>
      </c>
      <c r="G1804" s="79">
        <v>8044</v>
      </c>
      <c r="H1804" s="149" t="s">
        <v>5057</v>
      </c>
      <c r="I1804" s="16" t="s">
        <v>5031</v>
      </c>
      <c r="J1804" s="73">
        <v>43.7</v>
      </c>
      <c r="K1804" s="73">
        <v>32.75</v>
      </c>
      <c r="L1804" s="323">
        <v>27.47</v>
      </c>
      <c r="N1804" s="318">
        <f t="shared" si="345"/>
        <v>103.92</v>
      </c>
      <c r="O1804" s="81">
        <f>IFERROR(VLOOKUP($G1804,'321買'!A:E,3,0),"'沒有資料'")</f>
        <v>48</v>
      </c>
      <c r="P1804" s="380">
        <f>IFERROR(VLOOKUP($G1804,'321買'!$A:$G,7,0),"'沒有資料'")</f>
        <v>68</v>
      </c>
      <c r="R1804" s="297">
        <f>IFERROR(RANK(VLOOKUP($G1804,連買!$A:$D,4,0),連買!$D:$D,0),"'沒有資料'")</f>
        <v>392</v>
      </c>
      <c r="S1804" s="34">
        <v>1.31</v>
      </c>
      <c r="T1804" s="353">
        <f t="shared" si="339"/>
        <v>1.4920273348519364E-2</v>
      </c>
      <c r="U1804" s="95">
        <v>2.5499999999999998</v>
      </c>
      <c r="V1804" s="36">
        <f>RTD("money.excel",,"8044","Price")</f>
        <v>87.8</v>
      </c>
      <c r="W1804" s="66"/>
      <c r="X1804" s="15">
        <f t="shared" si="340"/>
        <v>87.8</v>
      </c>
      <c r="Y1804" s="3" t="e">
        <f t="shared" si="341"/>
        <v>#DIV/0!</v>
      </c>
      <c r="Z1804" s="413" t="s">
        <v>1801</v>
      </c>
      <c r="AA1804" s="161">
        <v>0</v>
      </c>
      <c r="AB1804" s="409">
        <v>0</v>
      </c>
      <c r="AC1804" s="259">
        <f t="shared" si="342"/>
        <v>0</v>
      </c>
      <c r="AD1804" s="16" t="s">
        <v>5031</v>
      </c>
      <c r="AG1804" s="33">
        <f t="shared" si="343"/>
        <v>0</v>
      </c>
      <c r="AH1804" s="120" t="s">
        <v>332</v>
      </c>
      <c r="AI1804" s="63">
        <f t="shared" si="344"/>
        <v>0.01</v>
      </c>
      <c r="AJ1804" s="307">
        <f>RTD("money.excel",,$G1804,"PredictVolume")</f>
        <v>1180</v>
      </c>
      <c r="AK1804" s="339"/>
    </row>
    <row r="1805" spans="1:37">
      <c r="A1805" s="415">
        <v>1.77</v>
      </c>
      <c r="B1805" s="91">
        <v>21</v>
      </c>
      <c r="C1805" s="91">
        <v>29</v>
      </c>
      <c r="D1805" s="91">
        <v>-2</v>
      </c>
      <c r="E1805" s="91">
        <v>-9</v>
      </c>
      <c r="F1805" s="57">
        <v>11.65</v>
      </c>
      <c r="G1805" s="79">
        <v>8472</v>
      </c>
      <c r="H1805" s="149" t="s">
        <v>5057</v>
      </c>
      <c r="I1805" s="16" t="s">
        <v>1041</v>
      </c>
      <c r="J1805" s="73">
        <v>59.42</v>
      </c>
      <c r="K1805" s="73">
        <v>34.96</v>
      </c>
      <c r="N1805" s="318">
        <f t="shared" si="345"/>
        <v>94.38</v>
      </c>
      <c r="O1805" s="81" t="str">
        <f>IFERROR(VLOOKUP($G1805,'321買'!A:E,3,0),"'沒有資料'")</f>
        <v>'沒有資料'</v>
      </c>
      <c r="P1805" s="380" t="str">
        <f>IFERROR(VLOOKUP($G1805,'321買'!$A:$G,7,0),"'沒有資料'")</f>
        <v>'沒有資料'</v>
      </c>
      <c r="R1805" s="297">
        <f>IFERROR(RANK(VLOOKUP($G1805,連買!$A:$D,4,0),連買!$D:$D,0),"'沒有資料'")</f>
        <v>1282</v>
      </c>
      <c r="S1805" s="34">
        <v>2.5</v>
      </c>
      <c r="T1805" s="353">
        <f t="shared" si="339"/>
        <v>5.0301810865191143E-2</v>
      </c>
      <c r="U1805" s="95">
        <v>2.61</v>
      </c>
      <c r="V1805" s="13">
        <f>RTD("money.excel",,"8472","Price")</f>
        <v>49.7</v>
      </c>
      <c r="W1805" s="66"/>
      <c r="X1805" s="15">
        <f t="shared" si="340"/>
        <v>49.7</v>
      </c>
      <c r="Y1805" s="3" t="e">
        <f t="shared" si="341"/>
        <v>#DIV/0!</v>
      </c>
      <c r="AA1805" s="161">
        <v>0</v>
      </c>
      <c r="AB1805" s="409">
        <v>0</v>
      </c>
      <c r="AC1805" s="259">
        <f t="shared" si="342"/>
        <v>0</v>
      </c>
      <c r="AD1805" s="16" t="s">
        <v>1041</v>
      </c>
      <c r="AG1805" s="33">
        <f t="shared" si="343"/>
        <v>0</v>
      </c>
      <c r="AH1805" s="43" t="s">
        <v>2887</v>
      </c>
      <c r="AI1805" s="63">
        <f t="shared" si="344"/>
        <v>5.6497175141242937E-5</v>
      </c>
      <c r="AJ1805" s="307">
        <f>RTD("money.excel",,$G1805,"PredictVolume")</f>
        <v>1</v>
      </c>
      <c r="AK1805" s="339"/>
    </row>
    <row r="1806" spans="1:37">
      <c r="A1806" s="416">
        <v>2.5</v>
      </c>
      <c r="B1806" s="80">
        <v>-2</v>
      </c>
      <c r="C1806" s="80">
        <v>-4</v>
      </c>
      <c r="D1806" s="80">
        <v>26</v>
      </c>
      <c r="E1806" s="80">
        <v>-33</v>
      </c>
      <c r="F1806" s="6">
        <v>0.98</v>
      </c>
      <c r="G1806" s="79">
        <v>8477</v>
      </c>
      <c r="H1806" s="8" t="s">
        <v>5057</v>
      </c>
      <c r="I1806" s="16" t="s">
        <v>1042</v>
      </c>
      <c r="J1806" s="73">
        <v>43.24</v>
      </c>
      <c r="K1806" s="323">
        <v>26.56</v>
      </c>
      <c r="N1806" s="318">
        <f t="shared" si="345"/>
        <v>69.8</v>
      </c>
      <c r="O1806" s="81">
        <f>IFERROR(VLOOKUP($G1806,'321買'!A:E,3,0),"'沒有資料'")</f>
        <v>0</v>
      </c>
      <c r="P1806" s="380">
        <f>IFERROR(VLOOKUP($G1806,'321買'!$A:$G,7,0),"'沒有資料'")</f>
        <v>911</v>
      </c>
      <c r="R1806" s="297">
        <f>IFERROR(RANK(VLOOKUP($G1806,連買!$A:$D,4,0),連買!$D:$D,0),"'沒有資料'")</f>
        <v>1665</v>
      </c>
      <c r="S1806" s="34">
        <v>2.4500000000000002</v>
      </c>
      <c r="T1806" s="353">
        <f t="shared" si="339"/>
        <v>8.9253187613843363E-2</v>
      </c>
      <c r="U1806" s="95">
        <v>0.5</v>
      </c>
      <c r="V1806" s="36">
        <f>RTD("money.excel",,"8477","Price")</f>
        <v>27.45</v>
      </c>
      <c r="W1806" s="66"/>
      <c r="X1806" s="15">
        <f t="shared" si="340"/>
        <v>27.45</v>
      </c>
      <c r="Y1806" s="3" t="e">
        <f t="shared" si="341"/>
        <v>#DIV/0!</v>
      </c>
      <c r="Z1806" s="413" t="s">
        <v>1801</v>
      </c>
      <c r="AA1806" s="161">
        <v>0</v>
      </c>
      <c r="AB1806" s="409">
        <v>0</v>
      </c>
      <c r="AC1806" s="259">
        <f t="shared" si="342"/>
        <v>0</v>
      </c>
      <c r="AD1806" s="16" t="s">
        <v>1042</v>
      </c>
      <c r="AG1806" s="33">
        <f t="shared" si="343"/>
        <v>0</v>
      </c>
      <c r="AH1806" s="43" t="s">
        <v>332</v>
      </c>
      <c r="AI1806" s="63">
        <f t="shared" si="344"/>
        <v>6.8000000000000005E-4</v>
      </c>
      <c r="AJ1806" s="307">
        <f>RTD("money.excel",,$G1806,"PredictVolume")</f>
        <v>17</v>
      </c>
      <c r="AK1806" s="339"/>
    </row>
    <row r="1807" spans="1:37">
      <c r="A1807" s="146"/>
      <c r="B1807" s="80"/>
      <c r="C1807" s="80"/>
      <c r="D1807" s="80"/>
      <c r="E1807" s="80"/>
      <c r="F1807" s="6"/>
      <c r="G1807" s="79"/>
      <c r="H1807" s="8"/>
      <c r="I1807" s="16"/>
      <c r="J1807" s="73"/>
      <c r="K1807" s="323"/>
      <c r="N1807" s="318"/>
      <c r="O1807" s="26"/>
      <c r="R1807" s="297"/>
      <c r="S1807" s="34"/>
      <c r="U1807" s="95"/>
      <c r="V1807" s="36"/>
      <c r="W1807" s="66"/>
      <c r="X1807" s="15"/>
      <c r="Y1807" s="3"/>
      <c r="AA1807" s="2"/>
      <c r="AD1807" s="16"/>
      <c r="AG1807" s="33"/>
      <c r="AH1807" s="43"/>
      <c r="AI1807" s="63"/>
      <c r="AJ1807" s="307"/>
      <c r="AK1807" s="339"/>
    </row>
    <row r="1808" spans="1:37">
      <c r="A1808" s="130" t="s">
        <v>1732</v>
      </c>
      <c r="B1808" s="91" t="s">
        <v>1588</v>
      </c>
      <c r="C1808" s="91" t="s">
        <v>1589</v>
      </c>
      <c r="D1808" s="91" t="s">
        <v>1590</v>
      </c>
      <c r="E1808" s="91" t="s">
        <v>1591</v>
      </c>
      <c r="F1808" s="8" t="s">
        <v>1066</v>
      </c>
      <c r="G1808" s="27" t="s">
        <v>1039</v>
      </c>
      <c r="H1808" s="55" t="s">
        <v>322</v>
      </c>
      <c r="I1808" s="50" t="s">
        <v>1043</v>
      </c>
      <c r="J1808" s="317" t="s">
        <v>1467</v>
      </c>
      <c r="K1808" s="317" t="s">
        <v>1157</v>
      </c>
      <c r="L1808" s="317" t="s">
        <v>284</v>
      </c>
      <c r="M1808" s="317" t="s">
        <v>1059</v>
      </c>
      <c r="N1808" s="317" t="s">
        <v>5048</v>
      </c>
      <c r="O1808" s="26" t="s">
        <v>5107</v>
      </c>
      <c r="P1808" s="373" t="s">
        <v>5059</v>
      </c>
      <c r="Q1808" s="245" t="s">
        <v>5087</v>
      </c>
      <c r="R1808" s="345" t="s">
        <v>5059</v>
      </c>
      <c r="S1808" s="10" t="s">
        <v>66</v>
      </c>
      <c r="T1808" s="351" t="s">
        <v>5076</v>
      </c>
      <c r="U1808" s="68" t="s">
        <v>3493</v>
      </c>
      <c r="V1808" s="28" t="s">
        <v>2</v>
      </c>
      <c r="W1808" s="17" t="s">
        <v>1405</v>
      </c>
      <c r="X1808" s="14" t="s">
        <v>5</v>
      </c>
      <c r="Y1808" s="21" t="s">
        <v>3</v>
      </c>
      <c r="Z1808" s="97" t="s">
        <v>6627</v>
      </c>
      <c r="AA1808" s="406" t="s">
        <v>8647</v>
      </c>
      <c r="AB1808" s="407" t="s">
        <v>8648</v>
      </c>
      <c r="AC1808" s="408" t="s">
        <v>8649</v>
      </c>
      <c r="AD1808" s="50" t="s">
        <v>1043</v>
      </c>
      <c r="AE1808" s="71" t="s">
        <v>1406</v>
      </c>
      <c r="AF1808" s="72" t="s">
        <v>1163</v>
      </c>
      <c r="AG1808" s="32" t="s">
        <v>1164</v>
      </c>
      <c r="AH1808" s="25" t="s">
        <v>8650</v>
      </c>
      <c r="AI1808" s="8" t="s">
        <v>3852</v>
      </c>
      <c r="AJ1808" s="50" t="s">
        <v>3586</v>
      </c>
      <c r="AK1808" s="339" t="s">
        <v>5038</v>
      </c>
    </row>
    <row r="1809" spans="1:37">
      <c r="A1809" s="416">
        <v>3.93</v>
      </c>
      <c r="B1809" s="80">
        <v>-904</v>
      </c>
      <c r="C1809" s="80">
        <v>-458</v>
      </c>
      <c r="D1809" s="79">
        <v>20</v>
      </c>
      <c r="E1809" s="80">
        <v>-26</v>
      </c>
      <c r="F1809" s="6">
        <v>-14.3</v>
      </c>
      <c r="G1809" s="79">
        <v>6578</v>
      </c>
      <c r="H1809" s="8" t="s">
        <v>1043</v>
      </c>
      <c r="I1809" s="16" t="s">
        <v>1127</v>
      </c>
      <c r="J1809" s="73">
        <v>32.01</v>
      </c>
      <c r="K1809" s="323">
        <v>0.2</v>
      </c>
      <c r="L1809" s="73">
        <v>4.7</v>
      </c>
      <c r="M1809" s="73">
        <v>14.21</v>
      </c>
      <c r="N1809" s="318">
        <f>J1809+K1809+L1809+M1809</f>
        <v>51.120000000000005</v>
      </c>
      <c r="O1809" s="81">
        <f>IFERROR(VLOOKUP($G1809,'321買'!A:E,3,0),"'沒有資料'")</f>
        <v>0</v>
      </c>
      <c r="P1809" s="380">
        <f>IFERROR(VLOOKUP($G1809,'321買'!$A:$G,7,0),"'沒有資料'")</f>
        <v>911</v>
      </c>
      <c r="Q1809" s="245" t="s">
        <v>3816</v>
      </c>
      <c r="R1809" s="297">
        <f>IFERROR(RANK(VLOOKUP($G1809,連買!$A:$D,4,0),連買!$D:$D,0),"'沒有資料'")</f>
        <v>1171</v>
      </c>
      <c r="S1809" s="34">
        <v>1.2</v>
      </c>
      <c r="T1809" s="353">
        <f>S1809/V1809</f>
        <v>5.4176072234762979E-2</v>
      </c>
      <c r="U1809" s="95">
        <v>-1.61</v>
      </c>
      <c r="V1809" s="13">
        <f>RTD("money.excel",,"6578","Price")</f>
        <v>22.15</v>
      </c>
      <c r="W1809" s="66"/>
      <c r="X1809" s="15">
        <f>V1809-W1809</f>
        <v>22.15</v>
      </c>
      <c r="Y1809" s="3" t="e">
        <f>X1809/W1809</f>
        <v>#DIV/0!</v>
      </c>
      <c r="AA1809" s="161">
        <v>0</v>
      </c>
      <c r="AB1809" s="409">
        <v>0</v>
      </c>
      <c r="AC1809" s="259">
        <f t="shared" si="342"/>
        <v>0</v>
      </c>
      <c r="AD1809" s="16" t="s">
        <v>1127</v>
      </c>
      <c r="AG1809" s="33">
        <f>AF1809-AE1809</f>
        <v>0</v>
      </c>
      <c r="AH1809" s="43" t="s">
        <v>2800</v>
      </c>
      <c r="AI1809" s="63">
        <f>AJ1809/(A1809*10000)</f>
        <v>0.12646310432569974</v>
      </c>
      <c r="AJ1809" s="307">
        <f>RTD("money.excel",,$G1809,"PredictVolume")</f>
        <v>4970</v>
      </c>
      <c r="AK1809" s="339">
        <v>1.55</v>
      </c>
    </row>
    <row r="1810" spans="1:37">
      <c r="A1810" s="416">
        <v>3.5</v>
      </c>
      <c r="B1810" s="91">
        <v>2</v>
      </c>
      <c r="C1810" s="91">
        <v>33</v>
      </c>
      <c r="D1810" s="91">
        <v>20</v>
      </c>
      <c r="E1810" s="91">
        <v>17</v>
      </c>
      <c r="F1810" s="6">
        <v>6.23</v>
      </c>
      <c r="G1810" s="79">
        <v>1240</v>
      </c>
      <c r="H1810" s="8" t="s">
        <v>1043</v>
      </c>
      <c r="I1810" s="16" t="s">
        <v>1126</v>
      </c>
      <c r="J1810" s="73">
        <v>57.58</v>
      </c>
      <c r="K1810" s="73">
        <v>0.26</v>
      </c>
      <c r="N1810" s="318">
        <f>J1810+K1810+L1810+M1810</f>
        <v>57.839999999999996</v>
      </c>
      <c r="O1810" s="81" t="str">
        <f>IFERROR(VLOOKUP($G1810,'321買'!A:E,3,0),"'沒有資料'")</f>
        <v>'沒有資料'</v>
      </c>
      <c r="P1810" s="380" t="str">
        <f>IFERROR(VLOOKUP($G1810,'321買'!$A:$G,7,0),"'沒有資料'")</f>
        <v>'沒有資料'</v>
      </c>
      <c r="R1810" s="297">
        <f>IFERROR(RANK(VLOOKUP($G1810,連買!$A:$D,4,0),連買!$D:$D,0),"'沒有資料'")</f>
        <v>1089</v>
      </c>
      <c r="S1810" s="34">
        <v>2.5</v>
      </c>
      <c r="T1810" s="353">
        <f>S1810/V1810</f>
        <v>4.7892720306513405E-2</v>
      </c>
      <c r="U1810" s="95">
        <v>4.51</v>
      </c>
      <c r="V1810" s="13">
        <f>RTD("money.excel",,"1240","Price")</f>
        <v>52.2</v>
      </c>
      <c r="W1810" s="66"/>
      <c r="X1810" s="15">
        <f>V1810-W1810</f>
        <v>52.2</v>
      </c>
      <c r="Y1810" s="3" t="e">
        <f>X1810/W1810</f>
        <v>#DIV/0!</v>
      </c>
      <c r="AA1810" s="161">
        <v>0</v>
      </c>
      <c r="AB1810" s="409">
        <v>0</v>
      </c>
      <c r="AC1810" s="259">
        <f t="shared" si="342"/>
        <v>0</v>
      </c>
      <c r="AD1810" s="16" t="s">
        <v>1126</v>
      </c>
      <c r="AG1810" s="33">
        <f>AF1810-AE1810</f>
        <v>0</v>
      </c>
      <c r="AH1810" s="43" t="s">
        <v>2800</v>
      </c>
      <c r="AI1810" s="63">
        <f>AJ1810/(A1810*10000)</f>
        <v>2.9142857142857143E-3</v>
      </c>
      <c r="AJ1810" s="307">
        <f>RTD("money.excel",,$G1810,"PredictVolume")</f>
        <v>102</v>
      </c>
      <c r="AK1810" s="339"/>
    </row>
    <row r="1811" spans="1:37">
      <c r="A1811" s="415">
        <v>8.5299999999999994</v>
      </c>
      <c r="B1811" s="91">
        <v>-11</v>
      </c>
      <c r="C1811" s="91">
        <v>4</v>
      </c>
      <c r="D1811" s="91">
        <v>52</v>
      </c>
      <c r="E1811" s="91">
        <v>4</v>
      </c>
      <c r="F1811" s="57">
        <v>17.760000000000002</v>
      </c>
      <c r="G1811" s="79">
        <v>6508</v>
      </c>
      <c r="H1811" s="8" t="s">
        <v>1043</v>
      </c>
      <c r="I1811" s="16" t="s">
        <v>1045</v>
      </c>
      <c r="J1811" s="73">
        <v>63.03</v>
      </c>
      <c r="K1811" s="73">
        <v>0.1</v>
      </c>
      <c r="L1811" s="73">
        <v>0.22</v>
      </c>
      <c r="N1811" s="318">
        <f>J1811+K1811+L1811+M1811</f>
        <v>63.35</v>
      </c>
      <c r="O1811" s="81">
        <f>IFERROR(VLOOKUP($G1811,'321買'!A:E,3,0),"'沒有資料'")</f>
        <v>8</v>
      </c>
      <c r="P1811" s="380">
        <f>IFERROR(VLOOKUP($G1811,'321買'!$A:$G,7,0),"'沒有資料'")</f>
        <v>433</v>
      </c>
      <c r="R1811" s="297">
        <f>IFERROR(RANK(VLOOKUP($G1811,連買!$A:$D,4,0),連買!$D:$D,0),"'沒有資料'")</f>
        <v>691</v>
      </c>
      <c r="S1811" s="34">
        <v>1.6</v>
      </c>
      <c r="T1811" s="353">
        <f>S1811/V1811</f>
        <v>2.7923211169284472E-2</v>
      </c>
      <c r="U1811" s="95">
        <v>2.2200000000000002</v>
      </c>
      <c r="V1811" s="13">
        <f>RTD("money.excel",,"6508","Price")</f>
        <v>57.3</v>
      </c>
      <c r="W1811" s="66"/>
      <c r="X1811" s="15">
        <f>V1811-W1811</f>
        <v>57.3</v>
      </c>
      <c r="Y1811" s="3" t="e">
        <f>X1811/W1811</f>
        <v>#DIV/0!</v>
      </c>
      <c r="AA1811" s="161">
        <v>0</v>
      </c>
      <c r="AB1811" s="409">
        <v>0</v>
      </c>
      <c r="AC1811" s="259">
        <f t="shared" si="342"/>
        <v>0</v>
      </c>
      <c r="AD1811" s="16" t="s">
        <v>1045</v>
      </c>
      <c r="AG1811" s="33">
        <f>AF1811-AE1811</f>
        <v>0</v>
      </c>
      <c r="AH1811" s="43" t="s">
        <v>2889</v>
      </c>
      <c r="AI1811" s="63">
        <f>AJ1811/(A1811*10000)</f>
        <v>0.57471277842907387</v>
      </c>
      <c r="AJ1811" s="307">
        <f>RTD("money.excel",,$G1811,"PredictVolume")</f>
        <v>49023</v>
      </c>
      <c r="AK1811" s="339"/>
    </row>
    <row r="1812" spans="1:37">
      <c r="A1812" s="415">
        <v>4.18</v>
      </c>
      <c r="B1812" s="79">
        <v>40</v>
      </c>
      <c r="C1812" s="79">
        <v>35</v>
      </c>
      <c r="D1812" s="80">
        <v>-72</v>
      </c>
      <c r="E1812" s="80">
        <v>-52</v>
      </c>
      <c r="F1812" s="57">
        <v>47.66</v>
      </c>
      <c r="G1812" s="79">
        <v>4171</v>
      </c>
      <c r="H1812" s="8" t="s">
        <v>1043</v>
      </c>
      <c r="I1812" s="16" t="s">
        <v>1044</v>
      </c>
      <c r="J1812" s="323">
        <v>26.41</v>
      </c>
      <c r="K1812" s="323">
        <v>18.21</v>
      </c>
      <c r="L1812" s="73">
        <v>23.08</v>
      </c>
      <c r="M1812" s="323">
        <v>14.58</v>
      </c>
      <c r="N1812" s="318">
        <f>J1812+K1812+L1812+M1812</f>
        <v>82.28</v>
      </c>
      <c r="O1812" s="81">
        <f>IFERROR(VLOOKUP($G1812,'321買'!A:E,3,0),"'沒有資料'")</f>
        <v>10</v>
      </c>
      <c r="P1812" s="380">
        <f>IFERROR(VLOOKUP($G1812,'321買'!$A:$G,7,0),"'沒有資料'")</f>
        <v>336</v>
      </c>
      <c r="Q1812" s="245" t="s">
        <v>6636</v>
      </c>
      <c r="R1812" s="297">
        <f>IFERROR(RANK(VLOOKUP($G1812,連買!$A:$D,4,0),連買!$D:$D,0),"'沒有資料'")</f>
        <v>41</v>
      </c>
      <c r="S1812" s="45">
        <v>6</v>
      </c>
      <c r="T1812" s="353">
        <f>S1812/V1812</f>
        <v>4.5977011494252873E-2</v>
      </c>
      <c r="U1812" s="95">
        <v>9.14</v>
      </c>
      <c r="V1812" s="36">
        <f>RTD("money.excel",,"4171","Price")</f>
        <v>130.5</v>
      </c>
      <c r="W1812" s="66"/>
      <c r="X1812" s="15">
        <f>V1812-W1812</f>
        <v>130.5</v>
      </c>
      <c r="Y1812" s="3" t="e">
        <f>X1812/W1812</f>
        <v>#DIV/0!</v>
      </c>
      <c r="Z1812" s="413" t="s">
        <v>8580</v>
      </c>
      <c r="AA1812" s="161">
        <v>0</v>
      </c>
      <c r="AB1812" s="409">
        <v>0</v>
      </c>
      <c r="AC1812" s="259">
        <f t="shared" si="342"/>
        <v>0</v>
      </c>
      <c r="AD1812" s="16" t="s">
        <v>1044</v>
      </c>
      <c r="AE1812" s="84">
        <v>44659</v>
      </c>
      <c r="AG1812" s="33">
        <f>AF1812-AE1812</f>
        <v>-44659</v>
      </c>
      <c r="AH1812" s="43" t="s">
        <v>2888</v>
      </c>
      <c r="AI1812" s="63">
        <f>AJ1812/(A1812*10000)</f>
        <v>0.19344497607655503</v>
      </c>
      <c r="AJ1812" s="307">
        <f>RTD("money.excel",,$G1812,"PredictVolume")</f>
        <v>8086</v>
      </c>
      <c r="AK1812" s="339">
        <v>22.23</v>
      </c>
    </row>
    <row r="1813" spans="1:37">
      <c r="B1813" s="79"/>
      <c r="C1813" s="79"/>
      <c r="D1813" s="80"/>
      <c r="E1813" s="79"/>
      <c r="F1813" s="57"/>
      <c r="G1813" s="79"/>
      <c r="H1813" s="8"/>
      <c r="I1813" s="16"/>
      <c r="J1813" s="323"/>
      <c r="K1813" s="323"/>
      <c r="N1813" s="318"/>
      <c r="O1813" s="26"/>
      <c r="R1813" s="297"/>
      <c r="S1813" s="66"/>
      <c r="U1813" s="95"/>
      <c r="V1813" s="36"/>
      <c r="W1813" s="66"/>
      <c r="X1813" s="15"/>
      <c r="Y1813" s="3"/>
      <c r="AA1813" s="2"/>
      <c r="AD1813" s="16"/>
      <c r="AG1813" s="33"/>
      <c r="AH1813" s="43"/>
      <c r="AI1813" s="63"/>
      <c r="AJ1813" s="307"/>
      <c r="AK1813" s="339"/>
    </row>
    <row r="1814" spans="1:37">
      <c r="A1814" s="130" t="s">
        <v>1732</v>
      </c>
      <c r="B1814" s="91" t="s">
        <v>1588</v>
      </c>
      <c r="C1814" s="91" t="s">
        <v>1589</v>
      </c>
      <c r="D1814" s="91" t="s">
        <v>1590</v>
      </c>
      <c r="E1814" s="91" t="s">
        <v>1591</v>
      </c>
      <c r="F1814" s="8" t="s">
        <v>1066</v>
      </c>
      <c r="G1814" s="27" t="s">
        <v>882</v>
      </c>
      <c r="H1814" s="55" t="s">
        <v>322</v>
      </c>
      <c r="I1814" s="50" t="s">
        <v>881</v>
      </c>
      <c r="J1814" s="317" t="s">
        <v>252</v>
      </c>
      <c r="K1814" s="317" t="s">
        <v>1157</v>
      </c>
      <c r="L1814" s="317" t="s">
        <v>284</v>
      </c>
      <c r="M1814" s="317" t="s">
        <v>1059</v>
      </c>
      <c r="N1814" s="317" t="s">
        <v>5048</v>
      </c>
      <c r="O1814" s="26" t="s">
        <v>5107</v>
      </c>
      <c r="P1814" s="373" t="s">
        <v>5059</v>
      </c>
      <c r="Q1814" s="245" t="s">
        <v>5087</v>
      </c>
      <c r="R1814" s="345" t="s">
        <v>5059</v>
      </c>
      <c r="S1814" s="10" t="s">
        <v>66</v>
      </c>
      <c r="T1814" s="351" t="s">
        <v>5076</v>
      </c>
      <c r="U1814" s="68" t="s">
        <v>3493</v>
      </c>
      <c r="V1814" s="28" t="s">
        <v>2</v>
      </c>
      <c r="W1814" s="17" t="s">
        <v>1405</v>
      </c>
      <c r="X1814" s="14" t="s">
        <v>5</v>
      </c>
      <c r="Y1814" s="21" t="s">
        <v>3</v>
      </c>
      <c r="Z1814" s="97" t="s">
        <v>6627</v>
      </c>
      <c r="AA1814" s="406" t="s">
        <v>8647</v>
      </c>
      <c r="AB1814" s="407" t="s">
        <v>8648</v>
      </c>
      <c r="AC1814" s="408" t="s">
        <v>8649</v>
      </c>
      <c r="AD1814" s="50" t="s">
        <v>881</v>
      </c>
      <c r="AE1814" s="71" t="s">
        <v>1406</v>
      </c>
      <c r="AF1814" s="72" t="s">
        <v>1163</v>
      </c>
      <c r="AG1814" s="32" t="s">
        <v>1164</v>
      </c>
      <c r="AH1814" s="25" t="s">
        <v>8650</v>
      </c>
      <c r="AI1814" s="8" t="s">
        <v>3852</v>
      </c>
      <c r="AJ1814" s="50" t="s">
        <v>3586</v>
      </c>
      <c r="AK1814" s="339" t="s">
        <v>5038</v>
      </c>
    </row>
    <row r="1815" spans="1:37">
      <c r="A1815" s="416">
        <v>153</v>
      </c>
      <c r="B1815" s="91">
        <v>91</v>
      </c>
      <c r="C1815" s="91">
        <v>-24</v>
      </c>
      <c r="D1815" s="91">
        <v>29</v>
      </c>
      <c r="E1815" s="91">
        <v>48</v>
      </c>
      <c r="F1815" s="6">
        <v>3.28</v>
      </c>
      <c r="G1815" s="79">
        <v>2515</v>
      </c>
      <c r="H1815" s="8" t="s">
        <v>5058</v>
      </c>
      <c r="I1815" s="22" t="s">
        <v>325</v>
      </c>
      <c r="J1815" s="73">
        <v>47.4</v>
      </c>
      <c r="K1815" s="73">
        <v>7.69</v>
      </c>
      <c r="L1815" s="73">
        <v>17.89</v>
      </c>
      <c r="N1815" s="318">
        <f>J1815+K1815+L1815+M1815</f>
        <v>72.97999999999999</v>
      </c>
      <c r="O1815" s="81">
        <f>IFERROR(VLOOKUP($G1815,'321買'!A:E,3,0),"'沒有資料'")</f>
        <v>2</v>
      </c>
      <c r="P1815" s="380">
        <f>IFERROR(VLOOKUP($G1815,'321買'!$A:$G,7,0),"'沒有資料'")</f>
        <v>636</v>
      </c>
      <c r="R1815" s="297">
        <f>IFERROR(RANK(VLOOKUP($G1815,連買!$A:$D,4,0),連買!$D:$D,0),"'沒有資料'")</f>
        <v>1053</v>
      </c>
      <c r="S1815" s="34">
        <v>0.23</v>
      </c>
      <c r="T1815" s="353">
        <f>S1815/V1815</f>
        <v>2.2885572139303482E-2</v>
      </c>
      <c r="U1815" s="95">
        <v>0.4</v>
      </c>
      <c r="V1815" s="36">
        <f>RTD("money.excel",,"2515","Price")</f>
        <v>10.050000000000001</v>
      </c>
      <c r="W1815" s="66"/>
      <c r="X1815" s="15">
        <f>V1815-W1815</f>
        <v>10.050000000000001</v>
      </c>
      <c r="Y1815" s="3" t="e">
        <f>X1815/W1815</f>
        <v>#DIV/0!</v>
      </c>
      <c r="AA1815" s="161">
        <v>0</v>
      </c>
      <c r="AB1815" s="409">
        <v>0</v>
      </c>
      <c r="AC1815" s="259">
        <f t="shared" si="342"/>
        <v>0</v>
      </c>
      <c r="AD1815" s="22" t="s">
        <v>325</v>
      </c>
      <c r="AG1815" s="33">
        <f>AF1815-AE1815</f>
        <v>0</v>
      </c>
      <c r="AH1815" s="43" t="s">
        <v>1550</v>
      </c>
      <c r="AI1815" s="63">
        <f>AJ1815/(A1815*10000)</f>
        <v>1.2879084967320261E-2</v>
      </c>
      <c r="AJ1815" s="307">
        <f>RTD("money.excel",,$G1815,"PredictVolume")</f>
        <v>19705</v>
      </c>
      <c r="AK1815" s="339"/>
    </row>
    <row r="1816" spans="1:37">
      <c r="A1816" s="415">
        <v>78.099999999999994</v>
      </c>
      <c r="B1816" s="79">
        <v>45</v>
      </c>
      <c r="C1816" s="79">
        <v>53</v>
      </c>
      <c r="D1816" s="80">
        <v>-16</v>
      </c>
      <c r="E1816" s="79">
        <v>6</v>
      </c>
      <c r="F1816" s="57">
        <v>24.36</v>
      </c>
      <c r="G1816" s="79">
        <v>5522</v>
      </c>
      <c r="H1816" s="204" t="s">
        <v>5058</v>
      </c>
      <c r="I1816" s="22" t="s">
        <v>135</v>
      </c>
      <c r="J1816" s="323">
        <v>86.7</v>
      </c>
      <c r="K1816" s="323">
        <v>14.79</v>
      </c>
      <c r="L1816" s="323">
        <v>0.25</v>
      </c>
      <c r="N1816" s="318">
        <f>J1816+K1816+L1816+M1816</f>
        <v>101.74000000000001</v>
      </c>
      <c r="O1816" s="81">
        <f>IFERROR(VLOOKUP($G1816,'321買'!A:E,3,0),"'沒有資料'")</f>
        <v>0</v>
      </c>
      <c r="P1816" s="380">
        <f>IFERROR(VLOOKUP($G1816,'321買'!$A:$G,7,0),"'沒有資料'")</f>
        <v>911</v>
      </c>
      <c r="Q1816" s="245" t="s">
        <v>3816</v>
      </c>
      <c r="R1816" s="297">
        <f>IFERROR(RANK(VLOOKUP($G1816,連買!$A:$D,4,0),連買!$D:$D,0),"'沒有資料'")</f>
        <v>1023</v>
      </c>
      <c r="S1816" s="66">
        <v>1</v>
      </c>
      <c r="T1816" s="353">
        <f>S1816/V1816</f>
        <v>1.4534883720930232E-2</v>
      </c>
      <c r="U1816" s="57">
        <v>6.13</v>
      </c>
      <c r="V1816" s="36">
        <f>RTD("money.excel",,"5522","Price")</f>
        <v>68.8</v>
      </c>
      <c r="W1816" s="66"/>
      <c r="X1816" s="15">
        <f>V1816-W1816</f>
        <v>68.8</v>
      </c>
      <c r="Y1816" s="3" t="e">
        <f>X1816/W1816</f>
        <v>#DIV/0!</v>
      </c>
      <c r="Z1816" s="413" t="s">
        <v>1997</v>
      </c>
      <c r="AA1816" s="161">
        <v>0</v>
      </c>
      <c r="AB1816" s="409">
        <v>0</v>
      </c>
      <c r="AC1816" s="259">
        <f t="shared" si="342"/>
        <v>0</v>
      </c>
      <c r="AD1816" s="22" t="s">
        <v>135</v>
      </c>
      <c r="AG1816" s="33">
        <f>AF1816-AE1816</f>
        <v>0</v>
      </c>
      <c r="AH1816" s="120" t="s">
        <v>2155</v>
      </c>
      <c r="AI1816" s="63">
        <f>AJ1816/(A1816*10000)</f>
        <v>2.9961587708066584E-4</v>
      </c>
      <c r="AJ1816" s="307">
        <f>RTD("money.excel",,$G1816,"PredictVolume")</f>
        <v>234</v>
      </c>
      <c r="AK1816" s="339"/>
    </row>
    <row r="1817" spans="1:37">
      <c r="A1817" s="264"/>
      <c r="B1817" s="264"/>
      <c r="C1817" s="264"/>
      <c r="D1817" s="264"/>
      <c r="E1817" s="264"/>
      <c r="F1817" s="264"/>
      <c r="G1817" s="199"/>
      <c r="H1817" s="199"/>
      <c r="I1817" s="264"/>
      <c r="J1817" s="264"/>
      <c r="K1817" s="264"/>
      <c r="L1817" s="264"/>
      <c r="M1817" s="264"/>
      <c r="N1817" s="264"/>
      <c r="O1817" s="366"/>
      <c r="P1817" s="377"/>
      <c r="Q1817" s="390"/>
      <c r="R1817" s="297"/>
      <c r="S1817" s="264"/>
      <c r="U1817" s="264"/>
      <c r="V1817" s="264"/>
      <c r="W1817" s="264"/>
      <c r="X1817" s="264"/>
      <c r="Y1817" s="264"/>
      <c r="Z1817" s="422"/>
      <c r="AA1817" s="2"/>
      <c r="AB1817" s="289"/>
      <c r="AC1817" s="22"/>
      <c r="AD1817" s="264"/>
      <c r="AE1817" s="264"/>
      <c r="AF1817" s="264"/>
      <c r="AG1817" s="264"/>
      <c r="AH1817" s="264"/>
      <c r="AI1817" s="264"/>
      <c r="AJ1817" s="264"/>
      <c r="AK1817" s="339"/>
    </row>
    <row r="1818" spans="1:37">
      <c r="B1818" s="91"/>
      <c r="C1818" s="91"/>
      <c r="D1818" s="91"/>
      <c r="E1818" s="91"/>
      <c r="F1818" s="8"/>
      <c r="G1818" s="27"/>
      <c r="H1818" s="55"/>
      <c r="I1818" s="50"/>
      <c r="J1818" s="317"/>
      <c r="K1818" s="317"/>
      <c r="L1818" s="317"/>
      <c r="M1818" s="317"/>
      <c r="N1818" s="317"/>
      <c r="O1818" s="26"/>
      <c r="P1818" s="373"/>
      <c r="R1818" s="297"/>
      <c r="S1818" s="10"/>
      <c r="U1818" s="68"/>
      <c r="V1818" s="28"/>
      <c r="W1818" s="17"/>
      <c r="X1818" s="14"/>
      <c r="Y1818" s="21"/>
      <c r="AA1818" s="125"/>
      <c r="AD1818" s="50"/>
      <c r="AE1818" s="71"/>
      <c r="AF1818" s="72"/>
      <c r="AG1818" s="32"/>
      <c r="AH1818" s="43"/>
      <c r="AI1818" s="8"/>
      <c r="AJ1818" s="50"/>
      <c r="AK1818" s="339"/>
    </row>
    <row r="1819" spans="1:37">
      <c r="B1819" s="91"/>
      <c r="C1819" s="91"/>
      <c r="D1819" s="91"/>
      <c r="E1819" s="91"/>
      <c r="F1819" s="8"/>
      <c r="G1819" s="27"/>
      <c r="H1819" s="55"/>
      <c r="I1819" s="50"/>
      <c r="J1819" s="317"/>
      <c r="K1819" s="317"/>
      <c r="L1819" s="317"/>
      <c r="M1819" s="317"/>
      <c r="N1819" s="317"/>
      <c r="O1819" s="26"/>
      <c r="P1819" s="373"/>
      <c r="R1819" s="297"/>
      <c r="S1819" s="10"/>
      <c r="U1819" s="68"/>
      <c r="V1819" s="28"/>
      <c r="W1819" s="17"/>
      <c r="X1819" s="14"/>
      <c r="Y1819" s="21"/>
      <c r="AA1819" s="125"/>
      <c r="AD1819" s="50"/>
      <c r="AE1819" s="71"/>
      <c r="AF1819" s="72"/>
      <c r="AG1819" s="32"/>
      <c r="AH1819" s="43"/>
      <c r="AI1819" s="8"/>
      <c r="AJ1819" s="50"/>
      <c r="AK1819" s="339"/>
    </row>
    <row r="1820" spans="1:37">
      <c r="B1820" s="91"/>
      <c r="C1820" s="91"/>
      <c r="D1820" s="91"/>
      <c r="E1820" s="91"/>
      <c r="F1820" s="8"/>
      <c r="G1820" s="27"/>
      <c r="H1820" s="55"/>
      <c r="I1820" s="50"/>
      <c r="J1820" s="317"/>
      <c r="K1820" s="317"/>
      <c r="L1820" s="317"/>
      <c r="M1820" s="317"/>
      <c r="N1820" s="317"/>
      <c r="O1820" s="26"/>
      <c r="P1820" s="373"/>
      <c r="R1820" s="297"/>
      <c r="S1820" s="10"/>
      <c r="U1820" s="68"/>
      <c r="V1820" s="28"/>
      <c r="W1820" s="17"/>
      <c r="X1820" s="14"/>
      <c r="Y1820" s="21"/>
      <c r="AA1820" s="125"/>
      <c r="AD1820" s="50"/>
      <c r="AE1820" s="71"/>
      <c r="AF1820" s="72"/>
      <c r="AG1820" s="32"/>
      <c r="AH1820" s="43"/>
      <c r="AI1820" s="8"/>
      <c r="AJ1820" s="50"/>
      <c r="AK1820" s="339"/>
    </row>
    <row r="1821" spans="1:37">
      <c r="B1821" s="91"/>
      <c r="C1821" s="91"/>
      <c r="D1821" s="91"/>
      <c r="E1821" s="91"/>
      <c r="F1821" s="8"/>
      <c r="G1821" s="27"/>
      <c r="H1821" s="55"/>
      <c r="I1821" s="50"/>
      <c r="J1821" s="317"/>
      <c r="K1821" s="317"/>
      <c r="L1821" s="317"/>
      <c r="M1821" s="317"/>
      <c r="N1821" s="317"/>
      <c r="O1821" s="26"/>
      <c r="P1821" s="373"/>
      <c r="R1821" s="297"/>
      <c r="S1821" s="10"/>
      <c r="U1821" s="68"/>
      <c r="V1821" s="28"/>
      <c r="W1821" s="17"/>
      <c r="X1821" s="14"/>
      <c r="Y1821" s="21"/>
      <c r="AA1821" s="125"/>
      <c r="AD1821" s="50"/>
      <c r="AE1821" s="71"/>
      <c r="AF1821" s="72"/>
      <c r="AG1821" s="32"/>
      <c r="AH1821" s="43"/>
      <c r="AI1821" s="8"/>
      <c r="AJ1821" s="50"/>
      <c r="AK1821" s="339"/>
    </row>
    <row r="1822" spans="1:37">
      <c r="B1822" s="91"/>
      <c r="C1822" s="91"/>
      <c r="D1822" s="91"/>
      <c r="E1822" s="91"/>
      <c r="F1822" s="8"/>
      <c r="G1822" s="27"/>
      <c r="H1822" s="55"/>
      <c r="I1822" s="50"/>
      <c r="J1822" s="317"/>
      <c r="K1822" s="317"/>
      <c r="L1822" s="317"/>
      <c r="M1822" s="317"/>
      <c r="N1822" s="317"/>
      <c r="O1822" s="26"/>
      <c r="P1822" s="373"/>
      <c r="R1822" s="297"/>
      <c r="S1822" s="10"/>
      <c r="U1822" s="68"/>
      <c r="V1822" s="28"/>
      <c r="W1822" s="17"/>
      <c r="X1822" s="14"/>
      <c r="Y1822" s="21"/>
      <c r="AA1822" s="125"/>
      <c r="AD1822" s="50"/>
      <c r="AE1822" s="71"/>
      <c r="AF1822" s="72"/>
      <c r="AG1822" s="32"/>
      <c r="AH1822" s="43"/>
      <c r="AI1822" s="8"/>
      <c r="AJ1822" s="50"/>
      <c r="AK1822" s="339"/>
    </row>
    <row r="1823" spans="1:37">
      <c r="B1823" s="91"/>
      <c r="C1823" s="91"/>
      <c r="D1823" s="91"/>
      <c r="E1823" s="91"/>
      <c r="F1823" s="8"/>
      <c r="G1823" s="27"/>
      <c r="H1823" s="55"/>
      <c r="I1823" s="50"/>
      <c r="J1823" s="317"/>
      <c r="K1823" s="317"/>
      <c r="L1823" s="317"/>
      <c r="M1823" s="317"/>
      <c r="N1823" s="317"/>
      <c r="O1823" s="26"/>
      <c r="P1823" s="373"/>
      <c r="R1823" s="297"/>
      <c r="S1823" s="10"/>
      <c r="U1823" s="68"/>
      <c r="V1823" s="28"/>
      <c r="W1823" s="17"/>
      <c r="X1823" s="14"/>
      <c r="Y1823" s="21"/>
      <c r="AA1823" s="125"/>
      <c r="AD1823" s="50"/>
      <c r="AE1823" s="71"/>
      <c r="AF1823" s="72"/>
      <c r="AG1823" s="32"/>
      <c r="AH1823" s="43"/>
      <c r="AI1823" s="8"/>
      <c r="AJ1823" s="50"/>
      <c r="AK1823" s="339"/>
    </row>
    <row r="1824" spans="1:37">
      <c r="B1824" s="91"/>
      <c r="C1824" s="91"/>
      <c r="D1824" s="91"/>
      <c r="E1824" s="91"/>
      <c r="F1824" s="8"/>
      <c r="G1824" s="27"/>
      <c r="H1824" s="55"/>
      <c r="I1824" s="50"/>
      <c r="J1824" s="317"/>
      <c r="K1824" s="317"/>
      <c r="L1824" s="317"/>
      <c r="M1824" s="317"/>
      <c r="N1824" s="317"/>
      <c r="O1824" s="26"/>
      <c r="P1824" s="373"/>
      <c r="R1824" s="297"/>
      <c r="S1824" s="10"/>
      <c r="U1824" s="68"/>
      <c r="V1824" s="28"/>
      <c r="W1824" s="17"/>
      <c r="X1824" s="14"/>
      <c r="Y1824" s="21"/>
      <c r="AA1824" s="125"/>
      <c r="AD1824" s="50"/>
      <c r="AE1824" s="71"/>
      <c r="AF1824" s="72"/>
      <c r="AG1824" s="32"/>
      <c r="AH1824" s="43"/>
      <c r="AI1824" s="8"/>
      <c r="AJ1824" s="50"/>
      <c r="AK1824" s="339"/>
    </row>
    <row r="1825" spans="2:37">
      <c r="B1825" s="91"/>
      <c r="C1825" s="91"/>
      <c r="D1825" s="91"/>
      <c r="E1825" s="91"/>
      <c r="F1825" s="8"/>
      <c r="G1825" s="27"/>
      <c r="H1825" s="55"/>
      <c r="I1825" s="50"/>
      <c r="J1825" s="317"/>
      <c r="K1825" s="317"/>
      <c r="L1825" s="317"/>
      <c r="M1825" s="317"/>
      <c r="N1825" s="317"/>
      <c r="O1825" s="26"/>
      <c r="P1825" s="373"/>
      <c r="R1825" s="297"/>
      <c r="S1825" s="10"/>
      <c r="U1825" s="68"/>
      <c r="V1825" s="28"/>
      <c r="W1825" s="17"/>
      <c r="X1825" s="14"/>
      <c r="Y1825" s="21"/>
      <c r="AA1825" s="125"/>
      <c r="AD1825" s="50"/>
      <c r="AE1825" s="71"/>
      <c r="AF1825" s="72"/>
      <c r="AG1825" s="32"/>
      <c r="AH1825" s="43"/>
      <c r="AI1825" s="8"/>
      <c r="AJ1825" s="50"/>
      <c r="AK1825" s="339"/>
    </row>
    <row r="1826" spans="2:37">
      <c r="B1826" s="91"/>
      <c r="C1826" s="91"/>
      <c r="D1826" s="91"/>
      <c r="E1826" s="91"/>
      <c r="F1826" s="8"/>
      <c r="G1826" s="27"/>
      <c r="H1826" s="55"/>
      <c r="I1826" s="50"/>
      <c r="J1826" s="317"/>
      <c r="K1826" s="317"/>
      <c r="L1826" s="317"/>
      <c r="M1826" s="317"/>
      <c r="N1826" s="317"/>
      <c r="O1826" s="26"/>
      <c r="P1826" s="373"/>
      <c r="R1826" s="297"/>
      <c r="S1826" s="10"/>
      <c r="U1826" s="68"/>
      <c r="V1826" s="28"/>
      <c r="W1826" s="17"/>
      <c r="X1826" s="14"/>
      <c r="Y1826" s="21"/>
      <c r="AA1826" s="125"/>
      <c r="AD1826" s="50"/>
      <c r="AE1826" s="71"/>
      <c r="AF1826" s="72"/>
      <c r="AG1826" s="32"/>
      <c r="AH1826" s="43"/>
      <c r="AI1826" s="8"/>
      <c r="AJ1826" s="50"/>
      <c r="AK1826" s="339"/>
    </row>
    <row r="1827" spans="2:37">
      <c r="B1827" s="91"/>
      <c r="C1827" s="91"/>
      <c r="D1827" s="91"/>
      <c r="E1827" s="91"/>
      <c r="F1827" s="8"/>
      <c r="G1827" s="27"/>
      <c r="H1827" s="55"/>
      <c r="I1827" s="50"/>
      <c r="J1827" s="317"/>
      <c r="K1827" s="317"/>
      <c r="L1827" s="317"/>
      <c r="M1827" s="317"/>
      <c r="N1827" s="317"/>
      <c r="O1827" s="26"/>
      <c r="P1827" s="373"/>
      <c r="R1827" s="297"/>
      <c r="S1827" s="10"/>
      <c r="U1827" s="68"/>
      <c r="V1827" s="28"/>
      <c r="W1827" s="17"/>
      <c r="X1827" s="14"/>
      <c r="Y1827" s="21"/>
      <c r="AA1827" s="125"/>
      <c r="AD1827" s="50"/>
      <c r="AE1827" s="71"/>
      <c r="AF1827" s="72"/>
      <c r="AG1827" s="32"/>
      <c r="AH1827" s="43"/>
      <c r="AI1827" s="8"/>
      <c r="AJ1827" s="50"/>
      <c r="AK1827" s="339"/>
    </row>
    <row r="1828" spans="2:37">
      <c r="B1828" s="91"/>
      <c r="C1828" s="91"/>
      <c r="D1828" s="91"/>
      <c r="E1828" s="91"/>
      <c r="F1828" s="8"/>
      <c r="G1828" s="27"/>
      <c r="H1828" s="55"/>
      <c r="I1828" s="50"/>
      <c r="J1828" s="317"/>
      <c r="K1828" s="317"/>
      <c r="L1828" s="317"/>
      <c r="M1828" s="317"/>
      <c r="N1828" s="317"/>
      <c r="O1828" s="26"/>
      <c r="P1828" s="373"/>
      <c r="R1828" s="297"/>
      <c r="S1828" s="10"/>
      <c r="U1828" s="68"/>
      <c r="V1828" s="28"/>
      <c r="W1828" s="17"/>
      <c r="X1828" s="14"/>
      <c r="Y1828" s="21"/>
      <c r="AA1828" s="125"/>
      <c r="AD1828" s="50"/>
      <c r="AE1828" s="71"/>
      <c r="AF1828" s="72"/>
      <c r="AG1828" s="32"/>
      <c r="AH1828" s="43"/>
      <c r="AI1828" s="8"/>
      <c r="AJ1828" s="50"/>
      <c r="AK1828" s="339"/>
    </row>
    <row r="1829" spans="2:37">
      <c r="B1829" s="91"/>
      <c r="C1829" s="91"/>
      <c r="D1829" s="91"/>
      <c r="E1829" s="91"/>
      <c r="F1829" s="8"/>
      <c r="G1829" s="27"/>
      <c r="H1829" s="55"/>
      <c r="I1829" s="50"/>
      <c r="J1829" s="317"/>
      <c r="K1829" s="317"/>
      <c r="L1829" s="317"/>
      <c r="M1829" s="317"/>
      <c r="N1829" s="317"/>
      <c r="O1829" s="26"/>
      <c r="P1829" s="373"/>
      <c r="R1829" s="297"/>
      <c r="S1829" s="10"/>
      <c r="U1829" s="68"/>
      <c r="V1829" s="28"/>
      <c r="W1829" s="17"/>
      <c r="X1829" s="14"/>
      <c r="Y1829" s="21"/>
      <c r="AA1829" s="125"/>
      <c r="AD1829" s="50"/>
      <c r="AE1829" s="71"/>
      <c r="AF1829" s="72"/>
      <c r="AG1829" s="33"/>
      <c r="AH1829" s="43"/>
      <c r="AI1829" s="8"/>
      <c r="AJ1829" s="50"/>
      <c r="AK1829" s="339"/>
    </row>
    <row r="1830" spans="2:37">
      <c r="B1830" s="91"/>
      <c r="C1830" s="91"/>
      <c r="D1830" s="91"/>
      <c r="E1830" s="91"/>
      <c r="F1830" s="8"/>
      <c r="G1830" s="27"/>
      <c r="H1830" s="55"/>
      <c r="I1830" s="50"/>
      <c r="J1830" s="317"/>
      <c r="K1830" s="317"/>
      <c r="L1830" s="317"/>
      <c r="M1830" s="317"/>
      <c r="N1830" s="317"/>
      <c r="O1830" s="26"/>
      <c r="P1830" s="373"/>
      <c r="R1830" s="297"/>
      <c r="S1830" s="10"/>
      <c r="U1830" s="68"/>
      <c r="V1830" s="28"/>
      <c r="W1830" s="17"/>
      <c r="X1830" s="14"/>
      <c r="Y1830" s="21"/>
      <c r="AA1830" s="2"/>
      <c r="AD1830" s="50"/>
      <c r="AE1830" s="71"/>
      <c r="AF1830" s="72"/>
      <c r="AG1830" s="32"/>
      <c r="AH1830" s="43"/>
      <c r="AI1830" s="8"/>
      <c r="AJ1830" s="50"/>
      <c r="AK1830" s="339"/>
    </row>
    <row r="1831" spans="2:37">
      <c r="B1831" s="91"/>
      <c r="C1831" s="91"/>
      <c r="D1831" s="91"/>
      <c r="E1831" s="91"/>
      <c r="F1831" s="8"/>
      <c r="G1831" s="27"/>
      <c r="H1831" s="55"/>
      <c r="I1831" s="50"/>
      <c r="J1831" s="317"/>
      <c r="K1831" s="317"/>
      <c r="L1831" s="317"/>
      <c r="M1831" s="317"/>
      <c r="N1831" s="317"/>
      <c r="O1831" s="26"/>
      <c r="P1831" s="373"/>
      <c r="R1831" s="297"/>
      <c r="S1831" s="10"/>
      <c r="U1831" s="68"/>
      <c r="V1831" s="28"/>
      <c r="W1831" s="17"/>
      <c r="X1831" s="14"/>
      <c r="Y1831" s="21"/>
      <c r="AA1831" s="125"/>
      <c r="AD1831" s="50"/>
      <c r="AE1831" s="71"/>
      <c r="AF1831" s="72"/>
      <c r="AG1831" s="32"/>
      <c r="AH1831" s="43"/>
      <c r="AI1831" s="8"/>
      <c r="AJ1831" s="50"/>
      <c r="AK1831" s="339"/>
    </row>
    <row r="1832" spans="2:37">
      <c r="B1832" s="91"/>
      <c r="C1832" s="91"/>
      <c r="D1832" s="91"/>
      <c r="E1832" s="91"/>
      <c r="F1832" s="8"/>
      <c r="G1832" s="27"/>
      <c r="H1832" s="55"/>
      <c r="I1832" s="50"/>
      <c r="J1832" s="317"/>
      <c r="K1832" s="317"/>
      <c r="L1832" s="317"/>
      <c r="M1832" s="317"/>
      <c r="N1832" s="317"/>
      <c r="O1832" s="26"/>
      <c r="P1832" s="373"/>
      <c r="R1832" s="297"/>
      <c r="S1832" s="10"/>
      <c r="U1832" s="68"/>
      <c r="V1832" s="28"/>
      <c r="W1832" s="17"/>
      <c r="X1832" s="14"/>
      <c r="Y1832" s="21"/>
      <c r="AA1832" s="2"/>
      <c r="AD1832" s="50"/>
      <c r="AE1832" s="71"/>
      <c r="AF1832" s="72"/>
      <c r="AG1832" s="32"/>
      <c r="AH1832" s="43"/>
      <c r="AI1832" s="8"/>
      <c r="AJ1832" s="50"/>
      <c r="AK1832" s="339"/>
    </row>
    <row r="1833" spans="2:37">
      <c r="B1833" s="91"/>
      <c r="C1833" s="91"/>
      <c r="D1833" s="91"/>
      <c r="E1833" s="91"/>
      <c r="F1833" s="8"/>
      <c r="G1833" s="27"/>
      <c r="H1833" s="55"/>
      <c r="I1833" s="50"/>
      <c r="J1833" s="317"/>
      <c r="K1833" s="317"/>
      <c r="L1833" s="317"/>
      <c r="M1833" s="317"/>
      <c r="N1833" s="317"/>
      <c r="O1833" s="26"/>
      <c r="P1833" s="373"/>
      <c r="R1833" s="297"/>
      <c r="S1833" s="10"/>
      <c r="U1833" s="68"/>
      <c r="V1833" s="28"/>
      <c r="W1833" s="17"/>
      <c r="X1833" s="14"/>
      <c r="Y1833" s="21"/>
      <c r="AA1833" s="125"/>
      <c r="AD1833" s="50"/>
      <c r="AE1833" s="71"/>
      <c r="AF1833" s="72"/>
      <c r="AG1833" s="32"/>
      <c r="AH1833" s="43"/>
      <c r="AI1833" s="8"/>
      <c r="AJ1833" s="50"/>
      <c r="AK1833" s="339"/>
    </row>
    <row r="1834" spans="2:37">
      <c r="B1834" s="91"/>
      <c r="C1834" s="91"/>
      <c r="D1834" s="91"/>
      <c r="E1834" s="91"/>
      <c r="F1834" s="8"/>
      <c r="G1834" s="27"/>
      <c r="H1834" s="55"/>
      <c r="I1834" s="8"/>
      <c r="J1834" s="317"/>
      <c r="K1834" s="317"/>
      <c r="L1834" s="317"/>
      <c r="M1834" s="317"/>
      <c r="N1834" s="317"/>
      <c r="O1834" s="26"/>
      <c r="P1834" s="373"/>
      <c r="R1834" s="297"/>
      <c r="S1834" s="10"/>
      <c r="U1834" s="68"/>
      <c r="V1834" s="28"/>
      <c r="W1834" s="17"/>
      <c r="X1834" s="14"/>
      <c r="Y1834" s="21"/>
      <c r="AA1834" s="125"/>
      <c r="AD1834" s="8"/>
      <c r="AE1834" s="71"/>
      <c r="AF1834" s="72"/>
      <c r="AG1834" s="32"/>
      <c r="AH1834" s="43"/>
      <c r="AI1834" s="8"/>
      <c r="AJ1834" s="50"/>
      <c r="AK1834" s="339"/>
    </row>
    <row r="1835" spans="2:37">
      <c r="B1835" s="91"/>
      <c r="C1835" s="91"/>
      <c r="D1835" s="91"/>
      <c r="E1835" s="91"/>
      <c r="F1835" s="8"/>
      <c r="G1835" s="27"/>
      <c r="H1835" s="55"/>
      <c r="I1835" s="8"/>
      <c r="J1835" s="317"/>
      <c r="K1835" s="317"/>
      <c r="L1835" s="317"/>
      <c r="M1835" s="317"/>
      <c r="N1835" s="317"/>
      <c r="O1835" s="26"/>
      <c r="P1835" s="373"/>
      <c r="R1835" s="297"/>
      <c r="S1835" s="10"/>
      <c r="U1835" s="68"/>
      <c r="V1835" s="28"/>
      <c r="W1835" s="17"/>
      <c r="X1835" s="14"/>
      <c r="Y1835" s="21"/>
      <c r="AA1835" s="125"/>
      <c r="AD1835" s="8"/>
      <c r="AE1835" s="71"/>
      <c r="AF1835" s="72"/>
      <c r="AG1835" s="32"/>
      <c r="AH1835" s="43"/>
      <c r="AI1835" s="8"/>
      <c r="AJ1835" s="50"/>
      <c r="AK1835" s="339"/>
    </row>
    <row r="1836" spans="2:37">
      <c r="B1836" s="91"/>
      <c r="C1836" s="91"/>
      <c r="D1836" s="91"/>
      <c r="E1836" s="91"/>
      <c r="F1836" s="8"/>
      <c r="G1836" s="27"/>
      <c r="H1836" s="55"/>
      <c r="I1836" s="8"/>
      <c r="J1836" s="317"/>
      <c r="K1836" s="317"/>
      <c r="L1836" s="317"/>
      <c r="M1836" s="317"/>
      <c r="N1836" s="317"/>
      <c r="O1836" s="26"/>
      <c r="P1836" s="373"/>
      <c r="R1836" s="297"/>
      <c r="S1836" s="10"/>
      <c r="U1836" s="68"/>
      <c r="V1836" s="28"/>
      <c r="W1836" s="17"/>
      <c r="X1836" s="14"/>
      <c r="Y1836" s="21"/>
      <c r="AA1836" s="125"/>
      <c r="AD1836" s="8"/>
      <c r="AE1836" s="71"/>
      <c r="AF1836" s="72"/>
      <c r="AG1836" s="32"/>
      <c r="AH1836" s="43"/>
      <c r="AI1836" s="8"/>
      <c r="AJ1836" s="50"/>
      <c r="AK1836" s="339"/>
    </row>
    <row r="1837" spans="2:37">
      <c r="B1837" s="91"/>
      <c r="C1837" s="91"/>
      <c r="D1837" s="91"/>
      <c r="E1837" s="91"/>
      <c r="F1837" s="8"/>
      <c r="G1837" s="27"/>
      <c r="H1837" s="55"/>
      <c r="I1837" s="8"/>
      <c r="J1837" s="317"/>
      <c r="K1837" s="317"/>
      <c r="L1837" s="317"/>
      <c r="M1837" s="317"/>
      <c r="N1837" s="317"/>
      <c r="O1837" s="26"/>
      <c r="P1837" s="373"/>
      <c r="R1837" s="297"/>
      <c r="S1837" s="10"/>
      <c r="U1837" s="68"/>
      <c r="V1837" s="28"/>
      <c r="W1837" s="17"/>
      <c r="X1837" s="14"/>
      <c r="Y1837" s="21"/>
      <c r="AA1837" s="2"/>
      <c r="AD1837" s="8"/>
      <c r="AE1837" s="71"/>
      <c r="AF1837" s="72"/>
      <c r="AG1837" s="32"/>
      <c r="AH1837" s="43"/>
      <c r="AI1837" s="8"/>
      <c r="AJ1837" s="50"/>
      <c r="AK1837" s="339"/>
    </row>
    <row r="1838" spans="2:37">
      <c r="B1838" s="91"/>
      <c r="C1838" s="91"/>
      <c r="D1838" s="91"/>
      <c r="E1838" s="91"/>
      <c r="F1838" s="8"/>
      <c r="G1838" s="27"/>
      <c r="H1838" s="55"/>
      <c r="I1838" s="8"/>
      <c r="J1838" s="317"/>
      <c r="K1838" s="317"/>
      <c r="L1838" s="317"/>
      <c r="M1838" s="317"/>
      <c r="N1838" s="317"/>
      <c r="O1838" s="26"/>
      <c r="P1838" s="373"/>
      <c r="R1838" s="297"/>
      <c r="S1838" s="10"/>
      <c r="U1838" s="68"/>
      <c r="V1838" s="28"/>
      <c r="W1838" s="17"/>
      <c r="X1838" s="14"/>
      <c r="Y1838" s="21"/>
      <c r="AA1838" s="2"/>
      <c r="AD1838" s="8"/>
      <c r="AE1838" s="71"/>
      <c r="AF1838" s="72"/>
      <c r="AG1838" s="32"/>
      <c r="AH1838" s="43"/>
      <c r="AI1838" s="8"/>
      <c r="AJ1838" s="50"/>
      <c r="AK1838" s="339"/>
    </row>
    <row r="1839" spans="2:37">
      <c r="B1839" s="91"/>
      <c r="C1839" s="91"/>
      <c r="D1839" s="91"/>
      <c r="E1839" s="91"/>
      <c r="F1839" s="8"/>
      <c r="G1839" s="27"/>
      <c r="H1839" s="55"/>
      <c r="I1839" s="8"/>
      <c r="J1839" s="317"/>
      <c r="K1839" s="317"/>
      <c r="L1839" s="317"/>
      <c r="M1839" s="317"/>
      <c r="N1839" s="317"/>
      <c r="O1839" s="26"/>
      <c r="P1839" s="373"/>
      <c r="R1839" s="297"/>
      <c r="S1839" s="10"/>
      <c r="U1839" s="68"/>
      <c r="V1839" s="28"/>
      <c r="W1839" s="17"/>
      <c r="X1839" s="14"/>
      <c r="Y1839" s="21"/>
      <c r="AA1839" s="2"/>
      <c r="AD1839" s="8"/>
      <c r="AE1839" s="71"/>
      <c r="AF1839" s="72"/>
      <c r="AG1839" s="32"/>
      <c r="AH1839" s="43"/>
      <c r="AI1839" s="8"/>
      <c r="AJ1839" s="50"/>
      <c r="AK1839" s="339"/>
    </row>
    <row r="1840" spans="2:37">
      <c r="B1840" s="91"/>
      <c r="C1840" s="91"/>
      <c r="D1840" s="91"/>
      <c r="E1840" s="91"/>
      <c r="F1840" s="8"/>
      <c r="G1840" s="27"/>
      <c r="H1840" s="55"/>
      <c r="I1840" s="8"/>
      <c r="J1840" s="317"/>
      <c r="K1840" s="317"/>
      <c r="L1840" s="317"/>
      <c r="M1840" s="317"/>
      <c r="N1840" s="317"/>
      <c r="O1840" s="26"/>
      <c r="P1840" s="373"/>
      <c r="R1840" s="297"/>
      <c r="S1840" s="10"/>
      <c r="U1840" s="68"/>
      <c r="V1840" s="28"/>
      <c r="W1840" s="17"/>
      <c r="X1840" s="14"/>
      <c r="Y1840" s="21"/>
      <c r="AA1840" s="2"/>
      <c r="AD1840" s="8"/>
      <c r="AE1840" s="71"/>
      <c r="AF1840" s="72"/>
      <c r="AG1840" s="32"/>
      <c r="AH1840" s="43"/>
      <c r="AI1840" s="8"/>
      <c r="AJ1840" s="50"/>
      <c r="AK1840" s="339"/>
    </row>
    <row r="1841" spans="1:34">
      <c r="A1841" s="146"/>
      <c r="B1841" s="91"/>
      <c r="C1841" s="91"/>
      <c r="D1841" s="91"/>
      <c r="E1841" s="91"/>
      <c r="F1841" s="6"/>
      <c r="H1841" s="8"/>
      <c r="I1841" s="22"/>
      <c r="J1841" s="323"/>
      <c r="K1841" s="323"/>
      <c r="N1841" s="318"/>
      <c r="O1841" s="19"/>
      <c r="R1841" s="297"/>
      <c r="S1841" s="34"/>
      <c r="U1841" s="95"/>
      <c r="V1841" s="36"/>
      <c r="W1841" s="66"/>
      <c r="X1841" s="15"/>
      <c r="Y1841" s="3"/>
      <c r="AD1841" s="22"/>
      <c r="AG1841" s="33"/>
      <c r="AH1841" s="43"/>
    </row>
    <row r="1842" spans="1:34">
      <c r="R1842" s="297"/>
    </row>
    <row r="1843" spans="1:34">
      <c r="R1843" s="297"/>
    </row>
    <row r="1844" spans="1:34">
      <c r="R1844" s="297"/>
    </row>
    <row r="1845" spans="1:34">
      <c r="R1845" s="297"/>
    </row>
    <row r="1846" spans="1:34">
      <c r="R1846" s="297"/>
    </row>
    <row r="1847" spans="1:34">
      <c r="R1847" s="297"/>
    </row>
    <row r="1848" spans="1:34">
      <c r="R1848" s="297"/>
    </row>
    <row r="1849" spans="1:34">
      <c r="R1849" s="297"/>
    </row>
    <row r="1850" spans="1:34">
      <c r="R1850" s="297"/>
    </row>
    <row r="1851" spans="1:34" ht="17.25" customHeight="1">
      <c r="R1851" s="297"/>
    </row>
    <row r="1852" spans="1:34">
      <c r="R1852" s="297"/>
    </row>
    <row r="1853" spans="1:34">
      <c r="R1853" s="297"/>
    </row>
    <row r="1854" spans="1:34">
      <c r="R1854" s="297"/>
    </row>
  </sheetData>
  <sortState ref="A3:AH1862">
    <sortCondition ref="N949"/>
  </sortState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1">
    <tabColor rgb="FF7030A0"/>
  </sheetPr>
  <dimension ref="A1:AP5939"/>
  <sheetViews>
    <sheetView topLeftCell="A32" workbookViewId="0">
      <selection activeCell="Z55" sqref="Z55"/>
    </sheetView>
  </sheetViews>
  <sheetFormatPr defaultColWidth="9.140625" defaultRowHeight="16.5"/>
  <cols>
    <col min="1" max="1" width="5.7109375" style="130" customWidth="1"/>
    <col min="2" max="5" width="5.7109375" style="92" customWidth="1"/>
    <col min="6" max="6" width="8.7109375" style="63" customWidth="1"/>
    <col min="7" max="7" width="7.7109375" style="19" customWidth="1"/>
    <col min="8" max="8" width="5.7109375" style="12" customWidth="1"/>
    <col min="9" max="9" width="8.7109375" style="9" customWidth="1"/>
    <col min="10" max="10" width="6.7109375" style="31" customWidth="1"/>
    <col min="11" max="11" width="6.7109375" style="320" customWidth="1"/>
    <col min="12" max="12" width="6.7109375" style="73" customWidth="1"/>
    <col min="13" max="13" width="6.7109375" style="318" customWidth="1"/>
    <col min="14" max="14" width="7.7109375" style="320" customWidth="1"/>
    <col min="15" max="15" width="4.7109375" style="26" customWidth="1"/>
    <col min="16" max="16" width="5.7109375" style="374" customWidth="1"/>
    <col min="17" max="17" width="2.7109375" style="303" customWidth="1"/>
    <col min="18" max="18" width="7.140625" style="151" customWidth="1"/>
    <col min="19" max="19" width="7.7109375" style="61" customWidth="1"/>
    <col min="20" max="20" width="6.7109375" style="354" customWidth="1"/>
    <col min="21" max="21" width="7.7109375" style="228" customWidth="1"/>
    <col min="22" max="22" width="9.7109375" style="265" customWidth="1"/>
    <col min="23" max="23" width="9.7109375" style="69" customWidth="1"/>
    <col min="24" max="24" width="9.7109375" style="58" customWidth="1"/>
    <col min="25" max="25" width="8.7109375" style="11" customWidth="1"/>
    <col min="26" max="26" width="6.7109375" style="99" customWidth="1"/>
    <col min="27" max="27" width="3.7109375" style="124" customWidth="1"/>
    <col min="28" max="28" width="3.7109375" style="251" customWidth="1"/>
    <col min="29" max="29" width="4.7109375" style="410" customWidth="1"/>
    <col min="30" max="30" width="7.7109375" style="9" customWidth="1"/>
    <col min="31" max="31" width="11.7109375" style="84" customWidth="1"/>
    <col min="32" max="32" width="11.7109375" style="83" customWidth="1"/>
    <col min="33" max="33" width="4.7109375" style="308" customWidth="1"/>
    <col min="34" max="34" width="3.7109375" style="78" customWidth="1"/>
    <col min="35" max="35" width="3.7109375" style="264" customWidth="1"/>
    <col min="36" max="36" width="13.7109375" style="240" customWidth="1"/>
    <col min="37" max="37" width="7.7109375" style="9" customWidth="1"/>
    <col min="38" max="38" width="7.7109375" style="280" customWidth="1"/>
    <col min="39" max="39" width="7.7109375" style="270" customWidth="1"/>
    <col min="40" max="40" width="7.7109375" style="22" customWidth="1"/>
    <col min="41" max="41" width="5.7109375" style="41" customWidth="1"/>
    <col min="42" max="42" width="4.7109375" style="308" customWidth="1"/>
    <col min="43" max="16384" width="9.140625" style="264"/>
  </cols>
  <sheetData>
    <row r="1" spans="1:42" s="268" customFormat="1">
      <c r="A1" s="161" t="s">
        <v>3846</v>
      </c>
      <c r="B1" s="80"/>
      <c r="C1" s="80"/>
      <c r="D1" s="80"/>
      <c r="E1" s="79"/>
      <c r="F1" s="6"/>
      <c r="G1" s="51" t="s">
        <v>3394</v>
      </c>
      <c r="H1" s="5" t="s">
        <v>3396</v>
      </c>
      <c r="I1" s="158" t="s">
        <v>3395</v>
      </c>
      <c r="J1" s="322" t="s">
        <v>3836</v>
      </c>
      <c r="K1" s="322" t="s">
        <v>8447</v>
      </c>
      <c r="L1" s="328" t="s">
        <v>1157</v>
      </c>
      <c r="M1" s="322" t="s">
        <v>284</v>
      </c>
      <c r="O1" s="367"/>
      <c r="P1" s="373"/>
      <c r="Q1" s="303"/>
      <c r="R1" s="345"/>
      <c r="S1" s="248"/>
      <c r="T1" s="161" t="s">
        <v>5072</v>
      </c>
      <c r="U1" s="254"/>
      <c r="Z1" s="418"/>
      <c r="AA1" s="406"/>
      <c r="AB1" s="407"/>
      <c r="AC1" s="408"/>
      <c r="AD1" s="158" t="s">
        <v>3395</v>
      </c>
      <c r="AE1" s="118"/>
      <c r="AF1" s="129"/>
      <c r="AG1" s="401"/>
      <c r="AH1" s="119"/>
      <c r="AK1" s="158" t="s">
        <v>3395</v>
      </c>
      <c r="AL1" s="310"/>
      <c r="AN1" s="22"/>
      <c r="AO1" s="41"/>
      <c r="AP1" s="401"/>
    </row>
    <row r="2" spans="1:42" s="268" customFormat="1">
      <c r="A2" s="161" t="s">
        <v>3847</v>
      </c>
      <c r="B2" s="80"/>
      <c r="C2" s="80"/>
      <c r="D2" s="80"/>
      <c r="E2" s="79"/>
      <c r="F2" s="6"/>
      <c r="G2" s="51" t="s">
        <v>3397</v>
      </c>
      <c r="H2" s="5" t="s">
        <v>3396</v>
      </c>
      <c r="I2" s="171" t="s">
        <v>3398</v>
      </c>
      <c r="J2" s="322" t="s">
        <v>3836</v>
      </c>
      <c r="K2" s="328" t="s">
        <v>8447</v>
      </c>
      <c r="L2" s="328" t="s">
        <v>1157</v>
      </c>
      <c r="M2" s="322" t="s">
        <v>284</v>
      </c>
      <c r="O2" s="367"/>
      <c r="P2" s="373"/>
      <c r="Q2" s="303"/>
      <c r="R2" s="345"/>
      <c r="S2" s="248"/>
      <c r="T2" s="161" t="s">
        <v>5073</v>
      </c>
      <c r="Z2" s="418"/>
      <c r="AA2" s="406"/>
      <c r="AB2" s="407"/>
      <c r="AC2" s="408"/>
      <c r="AD2" s="171" t="s">
        <v>3398</v>
      </c>
      <c r="AE2" s="118"/>
      <c r="AF2" s="86"/>
      <c r="AG2" s="401"/>
      <c r="AH2" s="119"/>
      <c r="AK2" s="171" t="s">
        <v>3398</v>
      </c>
      <c r="AL2" s="310"/>
      <c r="AN2" s="259"/>
      <c r="AO2" s="41"/>
      <c r="AP2" s="401"/>
    </row>
    <row r="3" spans="1:42" s="268" customFormat="1">
      <c r="A3" s="161" t="s">
        <v>3848</v>
      </c>
      <c r="B3" s="80"/>
      <c r="C3" s="80"/>
      <c r="D3" s="80"/>
      <c r="E3" s="79"/>
      <c r="F3" s="6"/>
      <c r="G3" s="27" t="s">
        <v>3394</v>
      </c>
      <c r="H3" s="8" t="s">
        <v>3396</v>
      </c>
      <c r="I3" s="158" t="s">
        <v>3479</v>
      </c>
      <c r="J3" s="334"/>
      <c r="K3" s="322" t="s">
        <v>8447</v>
      </c>
      <c r="L3" s="322" t="s">
        <v>1157</v>
      </c>
      <c r="M3" s="322" t="s">
        <v>284</v>
      </c>
      <c r="O3" s="367"/>
      <c r="P3" s="373"/>
      <c r="Q3" s="303"/>
      <c r="R3" s="345"/>
      <c r="S3" s="248"/>
      <c r="T3" s="161" t="s">
        <v>5074</v>
      </c>
      <c r="Z3" s="418"/>
      <c r="AA3" s="161"/>
      <c r="AB3" s="409"/>
      <c r="AC3" s="259"/>
      <c r="AD3" s="158" t="s">
        <v>3479</v>
      </c>
      <c r="AE3" s="118"/>
      <c r="AF3" s="86"/>
      <c r="AG3" s="401"/>
      <c r="AH3" s="119"/>
      <c r="AJ3" s="236"/>
      <c r="AK3" s="158" t="s">
        <v>3479</v>
      </c>
      <c r="AL3" s="310"/>
      <c r="AN3" s="259"/>
      <c r="AO3" s="41"/>
      <c r="AP3" s="401"/>
    </row>
    <row r="4" spans="1:42" s="268" customFormat="1">
      <c r="A4" s="161" t="s">
        <v>3849</v>
      </c>
      <c r="B4" s="80"/>
      <c r="C4" s="80"/>
      <c r="D4" s="80"/>
      <c r="E4" s="79"/>
      <c r="F4" s="6"/>
      <c r="G4" s="27" t="s">
        <v>3394</v>
      </c>
      <c r="H4" s="8" t="s">
        <v>3396</v>
      </c>
      <c r="I4" s="158" t="s">
        <v>3465</v>
      </c>
      <c r="J4" s="334"/>
      <c r="K4" s="328" t="s">
        <v>8447</v>
      </c>
      <c r="L4" s="322" t="s">
        <v>1157</v>
      </c>
      <c r="M4" s="322" t="s">
        <v>284</v>
      </c>
      <c r="O4" s="367"/>
      <c r="P4" s="373"/>
      <c r="Q4" s="303"/>
      <c r="R4" s="345"/>
      <c r="S4" s="247"/>
      <c r="T4" s="161" t="s">
        <v>5075</v>
      </c>
      <c r="U4" s="348"/>
      <c r="Z4" s="418"/>
      <c r="AA4" s="161"/>
      <c r="AB4" s="409"/>
      <c r="AC4" s="259"/>
      <c r="AD4" s="158" t="s">
        <v>3465</v>
      </c>
      <c r="AE4" s="118"/>
      <c r="AF4" s="86"/>
      <c r="AG4" s="401"/>
      <c r="AH4" s="119"/>
      <c r="AJ4" s="236"/>
      <c r="AK4" s="158" t="s">
        <v>3465</v>
      </c>
      <c r="AL4" s="310"/>
      <c r="AN4" s="259"/>
      <c r="AO4" s="41"/>
      <c r="AP4" s="401"/>
    </row>
    <row r="5" spans="1:42" s="268" customFormat="1">
      <c r="A5" s="171" t="s">
        <v>3859</v>
      </c>
      <c r="B5" s="80"/>
      <c r="C5" s="80"/>
      <c r="D5" s="80"/>
      <c r="E5" s="79"/>
      <c r="F5" s="6"/>
      <c r="G5" s="51" t="s">
        <v>3394</v>
      </c>
      <c r="H5" s="5" t="s">
        <v>3396</v>
      </c>
      <c r="I5" s="158" t="s">
        <v>3547</v>
      </c>
      <c r="J5" s="334"/>
      <c r="K5" s="322" t="s">
        <v>8447</v>
      </c>
      <c r="L5" s="328" t="s">
        <v>1157</v>
      </c>
      <c r="M5" s="322" t="s">
        <v>284</v>
      </c>
      <c r="O5" s="367"/>
      <c r="P5" s="373"/>
      <c r="Q5" s="303"/>
      <c r="R5" s="345"/>
      <c r="S5" s="248"/>
      <c r="T5" s="352"/>
      <c r="U5" s="161" t="s">
        <v>8659</v>
      </c>
      <c r="V5" s="161"/>
      <c r="Z5" s="418"/>
      <c r="AA5" s="161"/>
      <c r="AB5" s="409"/>
      <c r="AC5" s="259"/>
      <c r="AD5" s="158" t="s">
        <v>3547</v>
      </c>
      <c r="AE5" s="86"/>
      <c r="AF5" s="84"/>
      <c r="AG5" s="401"/>
      <c r="AH5" s="119"/>
      <c r="AJ5" s="236"/>
      <c r="AK5" s="158" t="s">
        <v>3547</v>
      </c>
      <c r="AL5" s="310"/>
      <c r="AN5" s="22"/>
      <c r="AO5" s="41"/>
      <c r="AP5" s="401"/>
    </row>
    <row r="6" spans="1:42" s="268" customFormat="1">
      <c r="A6" s="161" t="s">
        <v>3870</v>
      </c>
      <c r="B6" s="80"/>
      <c r="C6" s="80"/>
      <c r="D6" s="80"/>
      <c r="E6" s="79"/>
      <c r="F6" s="6"/>
      <c r="G6" s="27" t="s">
        <v>3394</v>
      </c>
      <c r="H6" s="8" t="s">
        <v>3396</v>
      </c>
      <c r="I6" s="158" t="s">
        <v>3455</v>
      </c>
      <c r="J6" s="334"/>
      <c r="K6" s="322" t="s">
        <v>8447</v>
      </c>
      <c r="L6" s="322" t="s">
        <v>1157</v>
      </c>
      <c r="M6" s="328" t="s">
        <v>284</v>
      </c>
      <c r="O6" s="367"/>
      <c r="P6" s="373"/>
      <c r="Q6" s="303"/>
      <c r="R6" s="345"/>
      <c r="S6" s="248"/>
      <c r="U6" s="161" t="s">
        <v>8658</v>
      </c>
      <c r="V6" s="161"/>
      <c r="Y6" s="273"/>
      <c r="Z6" s="419"/>
      <c r="AA6" s="161"/>
      <c r="AB6" s="409"/>
      <c r="AC6" s="259"/>
      <c r="AD6" s="158" t="s">
        <v>3455</v>
      </c>
      <c r="AE6" s="86"/>
      <c r="AF6" s="86"/>
      <c r="AG6" s="401"/>
      <c r="AH6" s="119"/>
      <c r="AJ6" s="236"/>
      <c r="AK6" s="158" t="s">
        <v>3455</v>
      </c>
      <c r="AL6" s="310"/>
      <c r="AN6" s="22"/>
      <c r="AO6" s="41"/>
      <c r="AP6" s="401"/>
    </row>
    <row r="7" spans="1:42">
      <c r="A7" s="335" t="s">
        <v>3881</v>
      </c>
      <c r="G7" s="51" t="s">
        <v>3397</v>
      </c>
      <c r="H7" s="5" t="s">
        <v>3396</v>
      </c>
      <c r="I7" s="171" t="s">
        <v>3547</v>
      </c>
      <c r="J7" s="323"/>
      <c r="K7" s="328" t="s">
        <v>8447</v>
      </c>
      <c r="L7" s="328" t="s">
        <v>1157</v>
      </c>
      <c r="M7" s="322" t="s">
        <v>284</v>
      </c>
      <c r="P7" s="373"/>
      <c r="R7" s="345"/>
      <c r="S7" s="248"/>
      <c r="T7" s="352"/>
      <c r="V7" s="352" t="s">
        <v>8652</v>
      </c>
      <c r="Y7" s="42"/>
      <c r="Z7" s="46"/>
      <c r="AA7" s="161"/>
      <c r="AB7" s="409"/>
      <c r="AC7" s="259"/>
      <c r="AD7" s="171" t="s">
        <v>3547</v>
      </c>
      <c r="AE7" s="118"/>
      <c r="AF7" s="86"/>
      <c r="AG7" s="402"/>
      <c r="AI7" s="69"/>
      <c r="AK7" s="171" t="s">
        <v>3547</v>
      </c>
      <c r="AL7" s="310"/>
      <c r="AP7" s="402"/>
    </row>
    <row r="8" spans="1:42">
      <c r="G8" s="27" t="s">
        <v>3397</v>
      </c>
      <c r="H8" s="8" t="s">
        <v>3396</v>
      </c>
      <c r="I8" s="171" t="s">
        <v>3455</v>
      </c>
      <c r="J8" s="323"/>
      <c r="K8" s="328" t="s">
        <v>8447</v>
      </c>
      <c r="L8" s="322" t="s">
        <v>1157</v>
      </c>
      <c r="M8" s="322" t="s">
        <v>284</v>
      </c>
      <c r="P8" s="373"/>
      <c r="R8" s="345"/>
      <c r="S8" s="248"/>
      <c r="T8" s="352"/>
      <c r="U8" s="4" t="s">
        <v>1467</v>
      </c>
      <c r="V8" s="30" t="s">
        <v>1157</v>
      </c>
      <c r="W8" s="17" t="s">
        <v>284</v>
      </c>
      <c r="Y8" s="42"/>
      <c r="Z8" s="46" t="s">
        <v>6579</v>
      </c>
      <c r="AA8" s="161"/>
      <c r="AB8" s="409"/>
      <c r="AC8" s="259"/>
      <c r="AD8" s="171" t="s">
        <v>3455</v>
      </c>
      <c r="AE8" s="86"/>
      <c r="AF8" s="84"/>
      <c r="AG8" s="402"/>
      <c r="AI8" s="69"/>
      <c r="AJ8" s="264"/>
      <c r="AK8" s="171" t="s">
        <v>3455</v>
      </c>
      <c r="AL8" s="310"/>
      <c r="AP8" s="402"/>
    </row>
    <row r="9" spans="1:42" s="268" customFormat="1">
      <c r="A9" s="130" t="s">
        <v>1732</v>
      </c>
      <c r="B9" s="91" t="s">
        <v>1588</v>
      </c>
      <c r="C9" s="91" t="s">
        <v>1589</v>
      </c>
      <c r="D9" s="91" t="s">
        <v>1590</v>
      </c>
      <c r="E9" s="91" t="s">
        <v>1591</v>
      </c>
      <c r="F9" s="8" t="s">
        <v>1066</v>
      </c>
      <c r="G9" s="89" t="s">
        <v>3691</v>
      </c>
      <c r="H9" s="294" t="s">
        <v>322</v>
      </c>
      <c r="I9" s="8" t="s">
        <v>2425</v>
      </c>
      <c r="J9" s="306" t="s">
        <v>1467</v>
      </c>
      <c r="K9" s="317" t="s">
        <v>1157</v>
      </c>
      <c r="L9" s="317" t="s">
        <v>284</v>
      </c>
      <c r="M9" s="306" t="s">
        <v>1059</v>
      </c>
      <c r="N9" s="317" t="s">
        <v>5048</v>
      </c>
      <c r="O9" s="26" t="s">
        <v>5107</v>
      </c>
      <c r="P9" s="373" t="s">
        <v>5059</v>
      </c>
      <c r="Q9" s="303" t="s">
        <v>5087</v>
      </c>
      <c r="R9" s="345" t="s">
        <v>5059</v>
      </c>
      <c r="S9" s="10" t="s">
        <v>3310</v>
      </c>
      <c r="T9" s="351" t="s">
        <v>5076</v>
      </c>
      <c r="U9" s="68" t="s">
        <v>3844</v>
      </c>
      <c r="V9" s="28" t="s">
        <v>3860</v>
      </c>
      <c r="W9" s="17" t="s">
        <v>1405</v>
      </c>
      <c r="X9" s="14" t="s">
        <v>2430</v>
      </c>
      <c r="Y9" s="21" t="s">
        <v>3</v>
      </c>
      <c r="Z9" s="420" t="s">
        <v>6627</v>
      </c>
      <c r="AA9" s="406" t="s">
        <v>8647</v>
      </c>
      <c r="AB9" s="407" t="s">
        <v>8648</v>
      </c>
      <c r="AC9" s="408" t="s">
        <v>8649</v>
      </c>
      <c r="AD9" s="8" t="s">
        <v>2425</v>
      </c>
      <c r="AE9" s="71" t="s">
        <v>6576</v>
      </c>
      <c r="AF9" s="72" t="s">
        <v>6577</v>
      </c>
      <c r="AG9" s="32" t="s">
        <v>3506</v>
      </c>
      <c r="AH9" s="8" t="s">
        <v>3718</v>
      </c>
      <c r="AJ9" s="236">
        <v>635767</v>
      </c>
      <c r="AK9" s="8" t="s">
        <v>2425</v>
      </c>
      <c r="AL9" s="8" t="s">
        <v>3852</v>
      </c>
      <c r="AM9" s="50" t="s">
        <v>3586</v>
      </c>
      <c r="AN9" s="22" t="s">
        <v>5038</v>
      </c>
      <c r="AO9" s="41" t="s">
        <v>5060</v>
      </c>
      <c r="AP9" s="403"/>
    </row>
    <row r="10" spans="1:42">
      <c r="B10" s="79"/>
      <c r="C10" s="79"/>
      <c r="D10" s="79"/>
      <c r="E10" s="79"/>
      <c r="F10" s="57"/>
      <c r="G10" s="51" t="s">
        <v>3740</v>
      </c>
      <c r="H10" s="5" t="s">
        <v>3396</v>
      </c>
      <c r="I10" s="22" t="s">
        <v>3741</v>
      </c>
      <c r="J10" s="326">
        <v>44.7</v>
      </c>
      <c r="K10" s="323">
        <v>18.52</v>
      </c>
      <c r="L10" s="73">
        <v>0.55000000000000004</v>
      </c>
      <c r="M10" s="323"/>
      <c r="N10" s="318">
        <f>K10+J10+L10+M10</f>
        <v>63.769999999999996</v>
      </c>
      <c r="P10" s="380"/>
      <c r="R10" s="297"/>
      <c r="S10" s="382">
        <v>3.2</v>
      </c>
      <c r="T10" s="353">
        <f t="shared" ref="T10:T13" si="0">S10/V10</f>
        <v>2.3782980304719436E-2</v>
      </c>
      <c r="U10" s="198"/>
      <c r="V10" s="36">
        <f>RTD("money.excel",,"0050","Price")</f>
        <v>134.55000000000001</v>
      </c>
      <c r="W10" s="65"/>
      <c r="X10" s="15">
        <f t="shared" ref="X10:X13" si="1">V10-W10</f>
        <v>134.55000000000001</v>
      </c>
      <c r="Y10" s="3" t="e">
        <f t="shared" ref="Y10:Y13" si="2">X10/W10</f>
        <v>#DIV/0!</v>
      </c>
      <c r="Z10" s="100"/>
      <c r="AA10" s="161"/>
      <c r="AB10" s="409"/>
      <c r="AC10" s="259"/>
      <c r="AD10" s="22" t="s">
        <v>3741</v>
      </c>
      <c r="AG10" s="33">
        <f t="shared" ref="AG10" si="3">AF10-AE10</f>
        <v>0</v>
      </c>
      <c r="AI10" s="249" t="s">
        <v>1949</v>
      </c>
      <c r="AJ10" s="236">
        <v>506448</v>
      </c>
      <c r="AK10" s="22" t="s">
        <v>3741</v>
      </c>
      <c r="AP10" s="402"/>
    </row>
    <row r="11" spans="1:42">
      <c r="A11" s="130" t="s">
        <v>2068</v>
      </c>
      <c r="B11" s="80">
        <v>-49</v>
      </c>
      <c r="C11" s="80">
        <v>-45</v>
      </c>
      <c r="D11" s="79">
        <v>27</v>
      </c>
      <c r="E11" s="79">
        <v>212</v>
      </c>
      <c r="F11" s="57">
        <v>17.64</v>
      </c>
      <c r="G11" s="79">
        <v>6477</v>
      </c>
      <c r="H11" s="5" t="s">
        <v>1985</v>
      </c>
      <c r="I11" s="22" t="s">
        <v>453</v>
      </c>
      <c r="J11" s="323">
        <v>40.96</v>
      </c>
      <c r="K11" s="73">
        <v>5.98</v>
      </c>
      <c r="L11" s="73">
        <v>30.94</v>
      </c>
      <c r="M11" s="73">
        <v>19.07</v>
      </c>
      <c r="N11" s="318">
        <f>K11+J11+L11+M11</f>
        <v>96.949999999999989</v>
      </c>
      <c r="O11" s="81">
        <f>IFERROR(VLOOKUP($G11,'321買'!A:E,3,0),"'沒有資料'")</f>
        <v>44</v>
      </c>
      <c r="P11" s="380">
        <f>IFERROR(VLOOKUP($G11,'321買'!$A:$G,7,0),"'沒有資料'")</f>
        <v>71</v>
      </c>
      <c r="R11" s="297">
        <f>IFERROR(RANK(VLOOKUP($G11,連買!$A:$D,4,0),連買!$D:$D,0),"'沒有資料'")</f>
        <v>310</v>
      </c>
      <c r="S11" s="230">
        <v>0.52</v>
      </c>
      <c r="T11" s="353">
        <f t="shared" si="0"/>
        <v>8.1377151799687016E-3</v>
      </c>
      <c r="U11" s="95">
        <v>1.17</v>
      </c>
      <c r="V11" s="36">
        <f>RTD("money.excel",,"6477","Price")</f>
        <v>63.9</v>
      </c>
      <c r="W11" s="66">
        <v>55</v>
      </c>
      <c r="X11" s="15">
        <f t="shared" si="1"/>
        <v>8.8999999999999986</v>
      </c>
      <c r="Y11" s="63">
        <f t="shared" si="2"/>
        <v>0.16181818181818181</v>
      </c>
      <c r="Z11" s="414">
        <v>16.18</v>
      </c>
      <c r="AA11" s="79">
        <v>1</v>
      </c>
      <c r="AB11" s="80">
        <v>2</v>
      </c>
      <c r="AC11" s="64">
        <f>AA11-AB11</f>
        <v>-1</v>
      </c>
      <c r="AD11" s="22" t="s">
        <v>453</v>
      </c>
      <c r="AG11" s="33">
        <f t="shared" ref="AG11:AG13" si="4">AF11-AE11</f>
        <v>0</v>
      </c>
      <c r="AH11" s="309"/>
      <c r="AI11" s="41"/>
      <c r="AJ11" s="237"/>
      <c r="AK11" s="22" t="s">
        <v>453</v>
      </c>
      <c r="AL11" s="336">
        <f>AM11/(A11*10000)</f>
        <v>0.13557894736842105</v>
      </c>
      <c r="AM11" s="307">
        <f>RTD("money.excel",,"6477","PredictVolume")</f>
        <v>15456</v>
      </c>
      <c r="AN11" s="22">
        <v>96.9</v>
      </c>
      <c r="AO11" s="41" t="s">
        <v>1727</v>
      </c>
      <c r="AP11" s="404"/>
    </row>
    <row r="12" spans="1:42">
      <c r="A12" s="146" t="s">
        <v>1786</v>
      </c>
      <c r="B12" s="80">
        <v>-88</v>
      </c>
      <c r="C12" s="80">
        <v>-81</v>
      </c>
      <c r="D12" s="79">
        <v>16</v>
      </c>
      <c r="E12" s="80">
        <v>-6</v>
      </c>
      <c r="F12" s="6">
        <v>5.15</v>
      </c>
      <c r="G12" s="79">
        <v>9919</v>
      </c>
      <c r="H12" s="8" t="s">
        <v>235</v>
      </c>
      <c r="I12" s="22" t="s">
        <v>700</v>
      </c>
      <c r="J12" s="73">
        <v>44.37</v>
      </c>
      <c r="K12" s="323">
        <v>4.22</v>
      </c>
      <c r="L12" s="73">
        <v>12.63</v>
      </c>
      <c r="M12" s="323">
        <v>27.12</v>
      </c>
      <c r="N12" s="318">
        <f>K12+J12+L12+M12</f>
        <v>88.34</v>
      </c>
      <c r="O12" s="81">
        <f>IFERROR(VLOOKUP($G12,'321買'!A:E,3,0),"'沒有資料'")</f>
        <v>8</v>
      </c>
      <c r="P12" s="380">
        <f>IFERROR(VLOOKUP($G12,'321買'!$A:$G,7,0),"'沒有資料'")</f>
        <v>448</v>
      </c>
      <c r="R12" s="297">
        <f>IFERROR(RANK(VLOOKUP($G12,連買!$A:$D,4,0),連買!$D:$D,0),"'沒有資料'")</f>
        <v>558</v>
      </c>
      <c r="S12" s="230">
        <v>0.3</v>
      </c>
      <c r="T12" s="355">
        <f t="shared" si="0"/>
        <v>1.2396694214876033E-2</v>
      </c>
      <c r="U12" s="95">
        <v>0.5</v>
      </c>
      <c r="V12" s="36">
        <f>RTD("money.excel",,"9919","Price")</f>
        <v>24.2</v>
      </c>
      <c r="W12" s="66">
        <v>32.1</v>
      </c>
      <c r="X12" s="15">
        <f t="shared" si="1"/>
        <v>-7.9000000000000021</v>
      </c>
      <c r="Y12" s="76">
        <f t="shared" si="2"/>
        <v>-0.24610591900311532</v>
      </c>
      <c r="Z12" s="413">
        <v>-24.61</v>
      </c>
      <c r="AA12" s="79">
        <v>0</v>
      </c>
      <c r="AB12" s="80">
        <v>0</v>
      </c>
      <c r="AC12" s="64">
        <f t="shared" ref="AC12:AC13" si="5">AA12-AB12</f>
        <v>0</v>
      </c>
      <c r="AD12" s="22" t="s">
        <v>700</v>
      </c>
      <c r="AG12" s="33">
        <f t="shared" si="4"/>
        <v>0</v>
      </c>
      <c r="AH12" s="309"/>
      <c r="AI12" s="41"/>
      <c r="AJ12" s="237"/>
      <c r="AK12" s="22" t="s">
        <v>700</v>
      </c>
      <c r="AL12" s="336">
        <f>AM12/(A12*10000)</f>
        <v>2.2815384615384616E-2</v>
      </c>
      <c r="AM12" s="307">
        <f>RTD("money.excel",,"9919","PredictVolume")</f>
        <v>4449</v>
      </c>
      <c r="AN12" s="22">
        <v>62.6</v>
      </c>
      <c r="AO12" s="41" t="s">
        <v>8665</v>
      </c>
      <c r="AP12" s="404"/>
    </row>
    <row r="13" spans="1:42">
      <c r="A13" s="146" t="s">
        <v>1703</v>
      </c>
      <c r="B13" s="80">
        <v>-49</v>
      </c>
      <c r="C13" s="80">
        <v>-63</v>
      </c>
      <c r="D13" s="79">
        <v>18</v>
      </c>
      <c r="E13" s="80">
        <v>-6</v>
      </c>
      <c r="F13" s="6">
        <v>3.26</v>
      </c>
      <c r="G13" s="79">
        <v>1732</v>
      </c>
      <c r="H13" s="8" t="s">
        <v>3879</v>
      </c>
      <c r="I13" s="22" t="s">
        <v>769</v>
      </c>
      <c r="J13" s="323">
        <v>44.11</v>
      </c>
      <c r="K13" s="323">
        <v>3.65</v>
      </c>
      <c r="L13" s="323">
        <v>31.43</v>
      </c>
      <c r="M13" s="323">
        <v>28.63</v>
      </c>
      <c r="N13" s="318">
        <f>J13+K13+L13+M13</f>
        <v>107.82</v>
      </c>
      <c r="O13" s="81">
        <f>IFERROR(VLOOKUP($G13,'321買'!A:E,3,0),"'沒有資料'")</f>
        <v>51</v>
      </c>
      <c r="P13" s="380">
        <f>IFERROR(VLOOKUP($G13,'321買'!$A:$G,7,0),"'沒有資料'")</f>
        <v>71</v>
      </c>
      <c r="R13" s="297">
        <f>IFERROR(RANK(VLOOKUP($G13,連買!$A:$D,4,0),連買!$D:$D,0),"'沒有資料'")</f>
        <v>442</v>
      </c>
      <c r="S13" s="230">
        <v>0.35</v>
      </c>
      <c r="T13" s="353">
        <f t="shared" si="0"/>
        <v>7.8387458006718928E-3</v>
      </c>
      <c r="U13" s="95">
        <v>0.73</v>
      </c>
      <c r="V13" s="36">
        <f>RTD("money.excel",,"1732","Price")</f>
        <v>44.65</v>
      </c>
      <c r="W13" s="66">
        <v>32</v>
      </c>
      <c r="X13" s="15">
        <f t="shared" si="1"/>
        <v>12.649999999999999</v>
      </c>
      <c r="Y13" s="63">
        <f t="shared" si="2"/>
        <v>0.39531249999999996</v>
      </c>
      <c r="Z13" s="414">
        <v>39.53</v>
      </c>
      <c r="AA13" s="79">
        <v>0</v>
      </c>
      <c r="AB13" s="80">
        <v>0</v>
      </c>
      <c r="AC13" s="64">
        <f t="shared" si="5"/>
        <v>0</v>
      </c>
      <c r="AD13" s="22" t="s">
        <v>769</v>
      </c>
      <c r="AG13" s="33">
        <f t="shared" si="4"/>
        <v>0</v>
      </c>
      <c r="AH13" s="309"/>
      <c r="AI13" s="43"/>
      <c r="AJ13" s="126"/>
      <c r="AK13" s="22" t="s">
        <v>769</v>
      </c>
      <c r="AL13" s="337">
        <f>AM13/(A13*10000)</f>
        <v>0.34424528301886792</v>
      </c>
      <c r="AM13" s="307">
        <f>RTD("money.excel",,"1732","PredictVolume")</f>
        <v>14596</v>
      </c>
      <c r="AN13" s="22">
        <v>172.15</v>
      </c>
      <c r="AO13" s="41" t="s">
        <v>8666</v>
      </c>
      <c r="AP13" s="404"/>
    </row>
    <row r="14" spans="1:42" s="268" customFormat="1">
      <c r="A14" s="130" t="s">
        <v>3399</v>
      </c>
      <c r="B14" s="91" t="s">
        <v>3400</v>
      </c>
      <c r="C14" s="91" t="s">
        <v>3401</v>
      </c>
      <c r="D14" s="91" t="s">
        <v>3402</v>
      </c>
      <c r="E14" s="91" t="s">
        <v>3403</v>
      </c>
      <c r="F14" s="8" t="s">
        <v>3404</v>
      </c>
      <c r="G14" s="89" t="s">
        <v>3691</v>
      </c>
      <c r="H14" s="294" t="s">
        <v>322</v>
      </c>
      <c r="I14" s="8" t="s">
        <v>2425</v>
      </c>
      <c r="J14" s="306" t="s">
        <v>1467</v>
      </c>
      <c r="K14" s="317" t="s">
        <v>1157</v>
      </c>
      <c r="L14" s="317" t="s">
        <v>284</v>
      </c>
      <c r="M14" s="306" t="s">
        <v>1059</v>
      </c>
      <c r="N14" s="317" t="s">
        <v>5048</v>
      </c>
      <c r="O14" s="26" t="s">
        <v>5107</v>
      </c>
      <c r="P14" s="380" t="str">
        <f>IFERROR(VLOOKUP($G14,'321買'!$A:$G,7,0),"'沒有資料'")</f>
        <v>'沒有資料'</v>
      </c>
      <c r="Q14" s="303" t="s">
        <v>5087</v>
      </c>
      <c r="R14" s="297" t="str">
        <f>IFERROR(RANK(VLOOKUP($G14,連買!$A:$D,4,0),連買!$D:$D,0),"'沒有資料'")</f>
        <v>'沒有資料'</v>
      </c>
      <c r="S14" s="10" t="s">
        <v>3310</v>
      </c>
      <c r="T14" s="351" t="s">
        <v>5076</v>
      </c>
      <c r="U14" s="68" t="s">
        <v>3844</v>
      </c>
      <c r="V14" s="28" t="s">
        <v>3860</v>
      </c>
      <c r="W14" s="17" t="s">
        <v>1405</v>
      </c>
      <c r="X14" s="14" t="s">
        <v>3406</v>
      </c>
      <c r="Y14" s="21" t="s">
        <v>3407</v>
      </c>
      <c r="Z14" s="420" t="s">
        <v>6627</v>
      </c>
      <c r="AA14" s="406" t="s">
        <v>8647</v>
      </c>
      <c r="AB14" s="407" t="s">
        <v>8648</v>
      </c>
      <c r="AC14" s="408" t="s">
        <v>8649</v>
      </c>
      <c r="AD14" s="8" t="s">
        <v>3405</v>
      </c>
      <c r="AE14" s="71" t="s">
        <v>6576</v>
      </c>
      <c r="AF14" s="72" t="s">
        <v>6577</v>
      </c>
      <c r="AG14" s="32" t="s">
        <v>3506</v>
      </c>
      <c r="AH14" s="32"/>
      <c r="AI14" s="8"/>
      <c r="AJ14" s="236">
        <f>SUM(AJ9:AJ13)</f>
        <v>1142215</v>
      </c>
      <c r="AK14" s="8" t="s">
        <v>2425</v>
      </c>
      <c r="AL14" s="8" t="s">
        <v>3852</v>
      </c>
      <c r="AM14" s="50" t="s">
        <v>3586</v>
      </c>
      <c r="AN14" s="22" t="s">
        <v>5038</v>
      </c>
      <c r="AO14" s="41" t="s">
        <v>5060</v>
      </c>
      <c r="AP14" s="404"/>
    </row>
    <row r="15" spans="1:42">
      <c r="A15" s="130" t="s">
        <v>1998</v>
      </c>
      <c r="B15" s="80">
        <v>-86</v>
      </c>
      <c r="C15" s="80">
        <v>-85</v>
      </c>
      <c r="D15" s="79">
        <v>4</v>
      </c>
      <c r="E15" s="80">
        <v>-69</v>
      </c>
      <c r="F15" s="57">
        <v>35.44</v>
      </c>
      <c r="G15" s="80">
        <v>1325</v>
      </c>
      <c r="H15" s="5" t="s">
        <v>3551</v>
      </c>
      <c r="I15" s="22" t="s">
        <v>604</v>
      </c>
      <c r="J15" s="323">
        <v>40.86</v>
      </c>
      <c r="K15" s="323">
        <v>8.8699999999999992</v>
      </c>
      <c r="L15" s="323">
        <v>18.989999999999998</v>
      </c>
      <c r="M15" s="323">
        <v>32.299999999999997</v>
      </c>
      <c r="N15" s="318">
        <f t="shared" ref="N15:N20" si="6">K15+J15+L15+M15</f>
        <v>101.02</v>
      </c>
      <c r="O15" s="81">
        <f>IFERROR(VLOOKUP($G15,'321買'!A:E,3,0),"'沒有資料'")</f>
        <v>16</v>
      </c>
      <c r="P15" s="380">
        <f>IFERROR(VLOOKUP($G15,'321買'!$A:$G,7,0),"'沒有資料'")</f>
        <v>273</v>
      </c>
      <c r="R15" s="297">
        <f>IFERROR(RANK(VLOOKUP($G15,連買!$A:$D,4,0),連買!$D:$D,0),"'沒有資料'")</f>
        <v>169</v>
      </c>
      <c r="S15" s="230">
        <v>2</v>
      </c>
      <c r="T15" s="355">
        <f t="shared" ref="T15:T39" si="7">S15/V15</f>
        <v>4.6511627906976744E-2</v>
      </c>
      <c r="U15" s="95">
        <v>3.26</v>
      </c>
      <c r="V15" s="36">
        <f>RTD("money.excel",,"1325","Price")</f>
        <v>43</v>
      </c>
      <c r="W15" s="66">
        <f>104.5-12</f>
        <v>92.5</v>
      </c>
      <c r="X15" s="15">
        <f t="shared" ref="X15:X39" si="8">V15-W15</f>
        <v>-49.5</v>
      </c>
      <c r="Y15" s="76">
        <f t="shared" ref="Y15:Y39" si="9">X15/W15</f>
        <v>-0.53513513513513511</v>
      </c>
      <c r="Z15" s="413">
        <v>-53.51</v>
      </c>
      <c r="AA15" s="79">
        <v>0</v>
      </c>
      <c r="AB15" s="80">
        <v>1</v>
      </c>
      <c r="AC15" s="64">
        <f t="shared" ref="AC15:AC39" si="10">AA15-AB15</f>
        <v>-1</v>
      </c>
      <c r="AD15" s="22" t="s">
        <v>604</v>
      </c>
      <c r="AG15" s="33">
        <f t="shared" ref="AG15:AG19" si="11">AF15-AE15</f>
        <v>0</v>
      </c>
      <c r="AH15" s="81">
        <v>6</v>
      </c>
      <c r="AI15" s="79">
        <v>4</v>
      </c>
      <c r="AJ15" s="237">
        <f t="shared" ref="AJ15:AJ39" si="12">V15*AH15*1000</f>
        <v>258000</v>
      </c>
      <c r="AK15" s="22" t="s">
        <v>604</v>
      </c>
      <c r="AL15" s="336">
        <f t="shared" ref="AL15:AL39" si="13">AM15/(A15*10000)</f>
        <v>1.3774912075029308E-2</v>
      </c>
      <c r="AM15" s="307">
        <f>RTD("money.excel",,"1325","PredictVolume")</f>
        <v>1175</v>
      </c>
      <c r="AN15" s="22">
        <v>54.39</v>
      </c>
      <c r="AO15" s="41" t="s">
        <v>1767</v>
      </c>
      <c r="AP15" s="404"/>
    </row>
    <row r="16" spans="1:42">
      <c r="A16" s="130" t="s">
        <v>2290</v>
      </c>
      <c r="B16" s="80">
        <v>-55</v>
      </c>
      <c r="C16" s="80">
        <v>58</v>
      </c>
      <c r="D16" s="79">
        <v>12</v>
      </c>
      <c r="E16" s="79">
        <v>10</v>
      </c>
      <c r="F16" s="57">
        <v>35.53</v>
      </c>
      <c r="G16" s="80">
        <v>6523</v>
      </c>
      <c r="H16" s="5" t="s">
        <v>311</v>
      </c>
      <c r="I16" s="16" t="s">
        <v>4148</v>
      </c>
      <c r="J16" s="73">
        <v>61.74</v>
      </c>
      <c r="K16" s="73">
        <v>3.54</v>
      </c>
      <c r="L16" s="73">
        <v>6.49</v>
      </c>
      <c r="M16" s="323">
        <v>33.58</v>
      </c>
      <c r="N16" s="318">
        <f t="shared" si="6"/>
        <v>105.35</v>
      </c>
      <c r="O16" s="81">
        <f>IFERROR(VLOOKUP($G16,'321買'!A:E,3,0),"'沒有資料'")</f>
        <v>7</v>
      </c>
      <c r="P16" s="380">
        <f>IFERROR(VLOOKUP($G16,'321買'!$A:$G,7,0),"'沒有資料'")</f>
        <v>499</v>
      </c>
      <c r="R16" s="297">
        <f>IFERROR(RANK(VLOOKUP($G16,連買!$A:$D,4,0),連買!$D:$D,0),"'沒有資料'")</f>
        <v>1187</v>
      </c>
      <c r="S16" s="230">
        <v>2</v>
      </c>
      <c r="T16" s="353">
        <f t="shared" si="7"/>
        <v>2.23463687150838E-2</v>
      </c>
      <c r="U16" s="57">
        <v>6.58</v>
      </c>
      <c r="V16" s="36">
        <f>RTD("money.excel",,"6523","Price")</f>
        <v>89.5</v>
      </c>
      <c r="W16" s="230">
        <f>76.5-4-4-5.22-2</f>
        <v>61.28</v>
      </c>
      <c r="X16" s="15">
        <f t="shared" si="8"/>
        <v>28.22</v>
      </c>
      <c r="Y16" s="63">
        <f t="shared" si="9"/>
        <v>0.460509138381201</v>
      </c>
      <c r="Z16" s="414">
        <v>46.05</v>
      </c>
      <c r="AA16" s="79">
        <v>0</v>
      </c>
      <c r="AB16" s="80">
        <v>0</v>
      </c>
      <c r="AC16" s="64">
        <f t="shared" si="10"/>
        <v>0</v>
      </c>
      <c r="AD16" s="16" t="s">
        <v>624</v>
      </c>
      <c r="AG16" s="33">
        <f t="shared" si="11"/>
        <v>0</v>
      </c>
      <c r="AH16" s="81">
        <v>4</v>
      </c>
      <c r="AI16" s="79">
        <v>2</v>
      </c>
      <c r="AJ16" s="237">
        <f t="shared" si="12"/>
        <v>358000</v>
      </c>
      <c r="AK16" s="16" t="s">
        <v>624</v>
      </c>
      <c r="AL16" s="63">
        <f t="shared" si="13"/>
        <v>2.8222222222222221E-3</v>
      </c>
      <c r="AM16" s="307">
        <f>RTD("money.excel",,"6523","PredictVolume")</f>
        <v>127</v>
      </c>
      <c r="AN16" s="22">
        <v>15.2</v>
      </c>
      <c r="AP16" s="404"/>
    </row>
    <row r="17" spans="1:42">
      <c r="A17" s="130" t="s">
        <v>1706</v>
      </c>
      <c r="B17" s="80">
        <v>-29</v>
      </c>
      <c r="C17" s="80">
        <v>-55</v>
      </c>
      <c r="D17" s="79">
        <v>734</v>
      </c>
      <c r="E17" s="79">
        <v>67</v>
      </c>
      <c r="F17" s="57">
        <v>50.43</v>
      </c>
      <c r="G17" s="79">
        <v>4162</v>
      </c>
      <c r="H17" s="5" t="s">
        <v>311</v>
      </c>
      <c r="I17" s="16" t="s">
        <v>37</v>
      </c>
      <c r="J17" s="323">
        <v>40.229999999999997</v>
      </c>
      <c r="K17" s="323">
        <v>8.0299999999999994</v>
      </c>
      <c r="L17" s="323">
        <v>22.7</v>
      </c>
      <c r="M17" s="73">
        <v>33.450000000000003</v>
      </c>
      <c r="N17" s="318">
        <f t="shared" ref="N17" si="14">K17+J17+L17+M17</f>
        <v>104.41</v>
      </c>
      <c r="O17" s="81">
        <f>IFERROR(VLOOKUP($G17,'321買'!A:E,3,0),"'沒有資料'")</f>
        <v>15</v>
      </c>
      <c r="P17" s="380">
        <f>IFERROR(VLOOKUP($G17,'321買'!$A:$G,7,0),"'沒有資料'")</f>
        <v>290</v>
      </c>
      <c r="R17" s="297">
        <f>IFERROR(RANK(VLOOKUP($G17,連買!$A:$D,4,0),連買!$D:$D,0),"'沒有資料'")</f>
        <v>224</v>
      </c>
      <c r="S17" s="230">
        <v>2.7</v>
      </c>
      <c r="T17" s="353">
        <f>S17/V17</f>
        <v>3.0405405405405407E-2</v>
      </c>
      <c r="U17" s="95">
        <v>2.94</v>
      </c>
      <c r="V17" s="36">
        <f>RTD("money.excel",,"4162","Price")</f>
        <v>88.8</v>
      </c>
      <c r="W17" s="66">
        <v>79.2</v>
      </c>
      <c r="X17" s="15">
        <f>V17-W17</f>
        <v>9.5999999999999943</v>
      </c>
      <c r="Y17" s="63">
        <f>X17/W17</f>
        <v>0.12121212121212113</v>
      </c>
      <c r="Z17" s="414">
        <v>12.12</v>
      </c>
      <c r="AA17" s="79">
        <v>0</v>
      </c>
      <c r="AB17" s="80">
        <v>0</v>
      </c>
      <c r="AC17" s="64">
        <f>AA17-AB17</f>
        <v>0</v>
      </c>
      <c r="AD17" s="16" t="s">
        <v>37</v>
      </c>
      <c r="AG17" s="33">
        <f>AF17-AE17</f>
        <v>0</v>
      </c>
      <c r="AH17" s="79">
        <v>0</v>
      </c>
      <c r="AI17" s="41"/>
      <c r="AJ17" s="237">
        <f>V17*AH17*1000</f>
        <v>0</v>
      </c>
      <c r="AK17" s="16" t="s">
        <v>37</v>
      </c>
      <c r="AL17" s="336">
        <f>AM17/(A17*10000)</f>
        <v>5.9815068493150686E-2</v>
      </c>
      <c r="AM17" s="307">
        <f>RTD("money.excel",,"4162","PredictVolume")</f>
        <v>8733</v>
      </c>
      <c r="AN17" s="22">
        <v>13.7</v>
      </c>
      <c r="AO17" s="41" t="s">
        <v>3515</v>
      </c>
      <c r="AP17" s="404"/>
    </row>
    <row r="18" spans="1:42" s="268" customFormat="1">
      <c r="A18" s="130" t="s">
        <v>1686</v>
      </c>
      <c r="B18" s="79">
        <v>88</v>
      </c>
      <c r="C18" s="79">
        <v>111</v>
      </c>
      <c r="D18" s="79">
        <v>17</v>
      </c>
      <c r="E18" s="79">
        <v>59</v>
      </c>
      <c r="F18" s="57">
        <v>14.66</v>
      </c>
      <c r="G18" s="79">
        <v>3265</v>
      </c>
      <c r="H18" s="149" t="s">
        <v>3254</v>
      </c>
      <c r="I18" s="171" t="s">
        <v>78</v>
      </c>
      <c r="J18" s="323">
        <v>58.99</v>
      </c>
      <c r="K18" s="73">
        <v>7.26</v>
      </c>
      <c r="L18" s="323">
        <v>4.25</v>
      </c>
      <c r="M18" s="323">
        <v>52.33</v>
      </c>
      <c r="N18" s="318">
        <f t="shared" si="6"/>
        <v>122.83</v>
      </c>
      <c r="O18" s="81">
        <f>IFERROR(VLOOKUP($G18,'321買'!A:E,3,0),"'沒有資料'")</f>
        <v>1</v>
      </c>
      <c r="P18" s="380">
        <f>IFERROR(VLOOKUP($G18,'321買'!$A:$G,7,0),"'沒有資料'")</f>
        <v>783</v>
      </c>
      <c r="Q18" s="303"/>
      <c r="R18" s="297">
        <f>IFERROR(RANK(VLOOKUP($G18,連買!$A:$D,4,0),連買!$D:$D,0),"'沒有資料'")</f>
        <v>590</v>
      </c>
      <c r="S18" s="383">
        <v>2.2999999999999998</v>
      </c>
      <c r="T18" s="353">
        <f>S18/V18</f>
        <v>6.3888888888888884E-2</v>
      </c>
      <c r="U18" s="57">
        <v>2.89</v>
      </c>
      <c r="V18" s="166">
        <f>RTD("money.excel",,"3265","Price")</f>
        <v>36</v>
      </c>
      <c r="W18" s="65">
        <f>33.4-1.23</f>
        <v>32.17</v>
      </c>
      <c r="X18" s="15">
        <f t="shared" si="8"/>
        <v>3.8299999999999983</v>
      </c>
      <c r="Y18" s="63">
        <f t="shared" si="9"/>
        <v>0.11905502020516003</v>
      </c>
      <c r="Z18" s="414">
        <v>11.91</v>
      </c>
      <c r="AA18" s="79">
        <v>1</v>
      </c>
      <c r="AB18" s="80">
        <v>0</v>
      </c>
      <c r="AC18" s="64">
        <f t="shared" si="10"/>
        <v>1</v>
      </c>
      <c r="AD18" s="171" t="s">
        <v>2415</v>
      </c>
      <c r="AE18" s="84"/>
      <c r="AF18" s="83"/>
      <c r="AG18" s="33">
        <f t="shared" si="11"/>
        <v>0</v>
      </c>
      <c r="AH18" s="81">
        <v>4</v>
      </c>
      <c r="AI18" s="41"/>
      <c r="AJ18" s="237">
        <f t="shared" si="12"/>
        <v>144000</v>
      </c>
      <c r="AK18" s="171" t="s">
        <v>2415</v>
      </c>
      <c r="AL18" s="63">
        <f t="shared" si="13"/>
        <v>3.5661764705882354E-3</v>
      </c>
      <c r="AM18" s="307">
        <f>RTD("money.excel",,"3265","PredictVolume")</f>
        <v>485</v>
      </c>
      <c r="AN18" s="22">
        <v>6.21</v>
      </c>
      <c r="AO18" s="41"/>
      <c r="AP18" s="404"/>
    </row>
    <row r="19" spans="1:42">
      <c r="A19" s="146" t="s">
        <v>2259</v>
      </c>
      <c r="B19" s="79">
        <v>19</v>
      </c>
      <c r="C19" s="80">
        <v>11</v>
      </c>
      <c r="D19" s="79">
        <v>36</v>
      </c>
      <c r="E19" s="79">
        <v>45</v>
      </c>
      <c r="F19" s="6">
        <v>7.59</v>
      </c>
      <c r="G19" s="79">
        <v>4958</v>
      </c>
      <c r="H19" s="255" t="s">
        <v>310</v>
      </c>
      <c r="I19" s="22" t="s">
        <v>27</v>
      </c>
      <c r="J19" s="323">
        <v>72.290000000000006</v>
      </c>
      <c r="K19" s="73">
        <v>63.53</v>
      </c>
      <c r="L19" s="73">
        <v>4.45</v>
      </c>
      <c r="M19" s="73">
        <v>32.75</v>
      </c>
      <c r="N19" s="73">
        <f t="shared" si="6"/>
        <v>173.01999999999998</v>
      </c>
      <c r="O19" s="81">
        <f>IFERROR(VLOOKUP($G19,'321買'!A:E,3,0),"'沒有資料'")</f>
        <v>3</v>
      </c>
      <c r="P19" s="380">
        <f>IFERROR(VLOOKUP($G19,'321買'!$A:$G,7,0),"'沒有資料'")</f>
        <v>636</v>
      </c>
      <c r="R19" s="297">
        <f>IFERROR(RANK(VLOOKUP($G19,連買!$A:$D,4,0),連買!$D:$D,0),"'沒有資料'")</f>
        <v>212</v>
      </c>
      <c r="S19" s="382">
        <v>5</v>
      </c>
      <c r="T19" s="353">
        <f>S19/V19</f>
        <v>4.6511627906976744E-2</v>
      </c>
      <c r="U19" s="57">
        <v>10.210000000000001</v>
      </c>
      <c r="V19" s="13">
        <f>RTD("money.excel",,"4958","Price")</f>
        <v>107.5</v>
      </c>
      <c r="W19" s="66">
        <f>106-4.5</f>
        <v>101.5</v>
      </c>
      <c r="X19" s="15">
        <f t="shared" si="8"/>
        <v>6</v>
      </c>
      <c r="Y19" s="63">
        <f t="shared" si="9"/>
        <v>5.9113300492610835E-2</v>
      </c>
      <c r="Z19" s="414">
        <v>5.91</v>
      </c>
      <c r="AA19" s="79">
        <v>1</v>
      </c>
      <c r="AB19" s="80">
        <v>0</v>
      </c>
      <c r="AC19" s="64">
        <f t="shared" si="10"/>
        <v>1</v>
      </c>
      <c r="AD19" s="22" t="s">
        <v>27</v>
      </c>
      <c r="AG19" s="33">
        <f t="shared" si="11"/>
        <v>0</v>
      </c>
      <c r="AH19" s="81">
        <v>3</v>
      </c>
      <c r="AI19" s="41"/>
      <c r="AJ19" s="237">
        <f t="shared" si="12"/>
        <v>322500</v>
      </c>
      <c r="AK19" s="22" t="s">
        <v>27</v>
      </c>
      <c r="AL19" s="63">
        <f t="shared" si="13"/>
        <v>4.1869060190073918E-3</v>
      </c>
      <c r="AM19" s="307">
        <f>RTD("money.excel",,"4958","PredictVolume")</f>
        <v>3965</v>
      </c>
      <c r="AN19" s="22">
        <v>1.89</v>
      </c>
      <c r="AP19" s="404"/>
    </row>
    <row r="20" spans="1:42" s="268" customFormat="1">
      <c r="A20" s="146" t="s">
        <v>1820</v>
      </c>
      <c r="B20" s="79">
        <v>11</v>
      </c>
      <c r="C20" s="80">
        <v>-11</v>
      </c>
      <c r="D20" s="79">
        <v>35</v>
      </c>
      <c r="E20" s="79">
        <v>43</v>
      </c>
      <c r="F20" s="6">
        <v>1.1200000000000001</v>
      </c>
      <c r="G20" s="79">
        <v>4938</v>
      </c>
      <c r="H20" s="210" t="s">
        <v>1152</v>
      </c>
      <c r="I20" s="158" t="s">
        <v>3408</v>
      </c>
      <c r="J20" s="73">
        <v>68.8</v>
      </c>
      <c r="K20" s="73">
        <v>37.18</v>
      </c>
      <c r="L20" s="323">
        <v>1.03</v>
      </c>
      <c r="M20" s="323">
        <v>4.3600000000000003</v>
      </c>
      <c r="N20" s="318">
        <f t="shared" si="6"/>
        <v>111.36999999999999</v>
      </c>
      <c r="O20" s="81">
        <f>IFERROR(VLOOKUP($G20,'321買'!A:E,3,0),"'沒有資料'")</f>
        <v>1</v>
      </c>
      <c r="P20" s="380">
        <f>IFERROR(VLOOKUP($G20,'321買'!$A:$G,7,0),"'沒有資料'")</f>
        <v>783</v>
      </c>
      <c r="Q20" s="303"/>
      <c r="R20" s="297">
        <f>IFERROR(RANK(VLOOKUP($G20,連買!$A:$D,4,0),連買!$D:$D,0),"'沒有資料'")</f>
        <v>92</v>
      </c>
      <c r="S20" s="218">
        <v>5</v>
      </c>
      <c r="T20" s="353">
        <f>S20/V20</f>
        <v>6.9930069930069935E-2</v>
      </c>
      <c r="U20" s="57">
        <v>7.71</v>
      </c>
      <c r="V20" s="166">
        <f>RTD("money.excel",,"4938","Price")</f>
        <v>71.5</v>
      </c>
      <c r="W20" s="65">
        <f>73.1-4.49</f>
        <v>68.61</v>
      </c>
      <c r="X20" s="15">
        <f>V20-W20</f>
        <v>2.8900000000000006</v>
      </c>
      <c r="Y20" s="63">
        <f>X20/W20</f>
        <v>4.2122139629791583E-2</v>
      </c>
      <c r="Z20" s="414">
        <v>4.21</v>
      </c>
      <c r="AA20" s="79">
        <v>1</v>
      </c>
      <c r="AB20" s="80">
        <v>1</v>
      </c>
      <c r="AC20" s="64">
        <f>AA20-AB20</f>
        <v>0</v>
      </c>
      <c r="AD20" s="158" t="s">
        <v>3408</v>
      </c>
      <c r="AE20" s="84"/>
      <c r="AF20" s="83"/>
      <c r="AG20" s="33">
        <f t="shared" ref="AG20:AG39" si="15">AF20-AE20</f>
        <v>0</v>
      </c>
      <c r="AH20" s="81">
        <v>1</v>
      </c>
      <c r="AI20" s="41"/>
      <c r="AJ20" s="237">
        <f>V20*AH20*1000</f>
        <v>71500</v>
      </c>
      <c r="AK20" s="158" t="s">
        <v>3408</v>
      </c>
      <c r="AL20" s="63">
        <f>AM20/(A20*10000)</f>
        <v>1.0917293233082706E-3</v>
      </c>
      <c r="AM20" s="307">
        <f>RTD("money.excel",,"4938","PredictVolume")</f>
        <v>2904</v>
      </c>
      <c r="AN20" s="22">
        <v>5.44</v>
      </c>
      <c r="AO20" s="41"/>
      <c r="AP20" s="404"/>
    </row>
    <row r="21" spans="1:42">
      <c r="A21" s="146" t="s">
        <v>1978</v>
      </c>
      <c r="B21" s="80">
        <v>-144</v>
      </c>
      <c r="C21" s="80">
        <v>-5</v>
      </c>
      <c r="D21" s="79">
        <v>21</v>
      </c>
      <c r="E21" s="80">
        <v>-6</v>
      </c>
      <c r="F21" s="6">
        <v>-44.61</v>
      </c>
      <c r="G21" s="80">
        <v>4128</v>
      </c>
      <c r="H21" s="5" t="s">
        <v>311</v>
      </c>
      <c r="I21" s="16" t="s">
        <v>4055</v>
      </c>
      <c r="J21" s="323">
        <v>49.1</v>
      </c>
      <c r="K21" s="323">
        <v>6.32</v>
      </c>
      <c r="L21" s="323">
        <v>15.47</v>
      </c>
      <c r="M21" s="73">
        <v>8.3000000000000007</v>
      </c>
      <c r="N21" s="318">
        <f t="shared" ref="N21" si="16">K21+J21+L21+M21</f>
        <v>79.19</v>
      </c>
      <c r="O21" s="81">
        <f>IFERROR(VLOOKUP($G21,'321買'!A:E,3,0),"'沒有資料'")</f>
        <v>2</v>
      </c>
      <c r="P21" s="380">
        <f>IFERROR(VLOOKUP($G21,'321買'!$A:$G,7,0),"'沒有資料'")</f>
        <v>706</v>
      </c>
      <c r="R21" s="297">
        <f>IFERROR(RANK(VLOOKUP($G21,連買!$A:$D,4,0),連買!$D:$D,0),"'沒有資料'")</f>
        <v>343</v>
      </c>
      <c r="S21" s="230">
        <v>1</v>
      </c>
      <c r="T21" s="353">
        <f t="shared" ref="T21" si="17">S21/V21</f>
        <v>1.6835016835016835E-2</v>
      </c>
      <c r="U21" s="95">
        <v>0.11</v>
      </c>
      <c r="V21" s="36">
        <f>RTD("money.excel",,"4128","Price")</f>
        <v>59.4</v>
      </c>
      <c r="W21" s="66">
        <f>57.1</f>
        <v>57.1</v>
      </c>
      <c r="X21" s="15">
        <f t="shared" si="8"/>
        <v>2.2999999999999972</v>
      </c>
      <c r="Y21" s="63">
        <f t="shared" si="9"/>
        <v>4.0280210157618165E-2</v>
      </c>
      <c r="Z21" s="414">
        <v>4.03</v>
      </c>
      <c r="AA21" s="79">
        <v>0</v>
      </c>
      <c r="AB21" s="80">
        <v>2</v>
      </c>
      <c r="AC21" s="64">
        <f t="shared" si="10"/>
        <v>-2</v>
      </c>
      <c r="AD21" s="16" t="s">
        <v>613</v>
      </c>
      <c r="AG21" s="33">
        <f t="shared" si="15"/>
        <v>0</v>
      </c>
      <c r="AH21" s="81">
        <v>6</v>
      </c>
      <c r="AI21" s="79">
        <v>1</v>
      </c>
      <c r="AJ21" s="237">
        <f t="shared" si="12"/>
        <v>356400</v>
      </c>
      <c r="AK21" s="16" t="s">
        <v>613</v>
      </c>
      <c r="AL21" s="63">
        <f t="shared" si="13"/>
        <v>2.6888412017167383E-3</v>
      </c>
      <c r="AM21" s="307">
        <f>RTD("money.excel",,"4128","PredictVolume")</f>
        <v>1253</v>
      </c>
      <c r="AN21" s="22">
        <v>10.29</v>
      </c>
      <c r="AP21" s="404"/>
    </row>
    <row r="22" spans="1:42">
      <c r="A22" s="146" t="s">
        <v>3214</v>
      </c>
      <c r="B22" s="80">
        <v>-17</v>
      </c>
      <c r="C22" s="80">
        <v>-28</v>
      </c>
      <c r="D22" s="79">
        <v>13</v>
      </c>
      <c r="E22" s="80">
        <v>-15</v>
      </c>
      <c r="F22" s="6">
        <v>5.91</v>
      </c>
      <c r="G22" s="79">
        <v>6179</v>
      </c>
      <c r="H22" s="8" t="s">
        <v>235</v>
      </c>
      <c r="I22" s="16" t="s">
        <v>6622</v>
      </c>
      <c r="J22" s="73">
        <v>43.64</v>
      </c>
      <c r="K22" s="73">
        <v>0.78</v>
      </c>
      <c r="L22" s="73">
        <v>15.99</v>
      </c>
      <c r="M22" s="323">
        <v>15.63</v>
      </c>
      <c r="N22" s="318">
        <f>K22+J22+L22+M22</f>
        <v>76.040000000000006</v>
      </c>
      <c r="O22" s="81">
        <f>IFERROR(VLOOKUP($G22,'321買'!A:E,3,0),"'沒有資料'")</f>
        <v>1</v>
      </c>
      <c r="P22" s="380">
        <f>IFERROR(VLOOKUP($G22,'321買'!$A:$G,7,0),"'沒有資料'")</f>
        <v>783</v>
      </c>
      <c r="R22" s="297">
        <f>IFERROR(RANK(VLOOKUP($G22,連買!$A:$D,4,0),連買!$D:$D,0),"'沒有資料'")</f>
        <v>810</v>
      </c>
      <c r="S22" s="230">
        <v>1.5</v>
      </c>
      <c r="T22" s="353">
        <f>S22/V22</f>
        <v>4.7468354430379743E-2</v>
      </c>
      <c r="U22" s="95">
        <v>1.9</v>
      </c>
      <c r="V22" s="36">
        <f>RTD("money.excel",,"6179","Price")</f>
        <v>31.6</v>
      </c>
      <c r="W22" s="66">
        <v>30.75</v>
      </c>
      <c r="X22" s="15">
        <f>V22-W22</f>
        <v>0.85000000000000142</v>
      </c>
      <c r="Y22" s="63">
        <f>X22/W22</f>
        <v>2.7642276422764275E-2</v>
      </c>
      <c r="Z22" s="414">
        <v>2.76</v>
      </c>
      <c r="AA22" s="79">
        <v>1</v>
      </c>
      <c r="AB22" s="80">
        <v>0</v>
      </c>
      <c r="AC22" s="64">
        <f>AA22-AB22</f>
        <v>1</v>
      </c>
      <c r="AD22" s="16" t="s">
        <v>647</v>
      </c>
      <c r="AG22" s="33">
        <f>AF22-AE22</f>
        <v>0</v>
      </c>
      <c r="AH22" s="81">
        <v>1</v>
      </c>
      <c r="AI22" s="41"/>
      <c r="AJ22" s="237">
        <f>V22*AH22*1000</f>
        <v>31600</v>
      </c>
      <c r="AK22" s="16" t="s">
        <v>647</v>
      </c>
      <c r="AL22" s="208">
        <f>AM22/(A22*10000)</f>
        <v>7.5822928490351877E-3</v>
      </c>
      <c r="AM22" s="307">
        <f>RTD("money.excel",,"6179","PredictVolume")</f>
        <v>668</v>
      </c>
      <c r="AN22" s="22">
        <v>4.28</v>
      </c>
      <c r="AO22" s="41" t="s">
        <v>8667</v>
      </c>
      <c r="AP22" s="404"/>
    </row>
    <row r="23" spans="1:42">
      <c r="A23" s="130" t="s">
        <v>3176</v>
      </c>
      <c r="B23" s="80">
        <v>-18</v>
      </c>
      <c r="C23" s="80">
        <v>-29</v>
      </c>
      <c r="D23" s="79">
        <v>87</v>
      </c>
      <c r="E23" s="79">
        <v>33</v>
      </c>
      <c r="F23" s="57">
        <v>12.81</v>
      </c>
      <c r="G23" s="80">
        <v>5223</v>
      </c>
      <c r="H23" s="149" t="s">
        <v>1152</v>
      </c>
      <c r="I23" s="16" t="s">
        <v>2396</v>
      </c>
      <c r="J23" s="73">
        <v>53.28</v>
      </c>
      <c r="K23" s="323">
        <v>42.93</v>
      </c>
      <c r="L23" s="73">
        <v>17.440000000000001</v>
      </c>
      <c r="M23" s="73">
        <v>43.28</v>
      </c>
      <c r="N23" s="73">
        <f>K23+J23+L23+M23</f>
        <v>156.93</v>
      </c>
      <c r="O23" s="81">
        <f>IFERROR(VLOOKUP($G23,'321買'!A:E,3,0),"'沒有資料'")</f>
        <v>3</v>
      </c>
      <c r="P23" s="380">
        <f>IFERROR(VLOOKUP($G23,'321買'!$A:$G,7,0),"'沒有資料'")</f>
        <v>636</v>
      </c>
      <c r="R23" s="297">
        <f>IFERROR(RANK(VLOOKUP($G23,連買!$A:$D,4,0),連買!$D:$D,0),"'沒有資料'")</f>
        <v>246</v>
      </c>
      <c r="S23" s="230">
        <v>2.7</v>
      </c>
      <c r="T23" s="353">
        <f t="shared" ref="T23:T25" si="18">S23/V23</f>
        <v>5.2023121387283239E-2</v>
      </c>
      <c r="U23" s="57">
        <v>5.23</v>
      </c>
      <c r="V23" s="13">
        <f>RTD("money.excel",,"5223","Price")</f>
        <v>51.9</v>
      </c>
      <c r="W23" s="66">
        <v>53.3</v>
      </c>
      <c r="X23" s="15">
        <f t="shared" si="8"/>
        <v>-1.3999999999999986</v>
      </c>
      <c r="Y23" s="76">
        <f t="shared" si="9"/>
        <v>-2.6266416510318923E-2</v>
      </c>
      <c r="Z23" s="413">
        <v>-2.63</v>
      </c>
      <c r="AA23" s="79">
        <v>1</v>
      </c>
      <c r="AB23" s="80">
        <v>0</v>
      </c>
      <c r="AC23" s="64">
        <f t="shared" si="10"/>
        <v>1</v>
      </c>
      <c r="AD23" s="16" t="s">
        <v>2396</v>
      </c>
      <c r="AG23" s="33">
        <f t="shared" si="15"/>
        <v>0</v>
      </c>
      <c r="AH23" s="81">
        <v>4</v>
      </c>
      <c r="AI23" s="41"/>
      <c r="AJ23" s="237">
        <f t="shared" si="12"/>
        <v>207600</v>
      </c>
      <c r="AK23" s="16" t="s">
        <v>2396</v>
      </c>
      <c r="AL23" s="63">
        <f t="shared" si="13"/>
        <v>5.3932584269662917E-4</v>
      </c>
      <c r="AM23" s="307">
        <f>RTD("money.excel",,"5223","PredictVolume")</f>
        <v>24</v>
      </c>
      <c r="AN23" s="22">
        <v>43.31</v>
      </c>
      <c r="AP23" s="404"/>
    </row>
    <row r="24" spans="1:42">
      <c r="A24" s="146" t="s">
        <v>2062</v>
      </c>
      <c r="B24" s="79">
        <v>15</v>
      </c>
      <c r="C24" s="80">
        <v>45</v>
      </c>
      <c r="D24" s="79">
        <v>29</v>
      </c>
      <c r="E24" s="80">
        <v>-15</v>
      </c>
      <c r="F24" s="6">
        <v>4.54</v>
      </c>
      <c r="G24" s="80">
        <v>3015</v>
      </c>
      <c r="H24" s="5" t="s">
        <v>310</v>
      </c>
      <c r="I24" s="22" t="s">
        <v>390</v>
      </c>
      <c r="J24" s="323">
        <v>54.8</v>
      </c>
      <c r="K24" s="323">
        <v>11.68</v>
      </c>
      <c r="L24" s="73">
        <v>5.73</v>
      </c>
      <c r="M24" s="323">
        <v>24.24</v>
      </c>
      <c r="N24" s="318">
        <f>K24+J24+L24+M24</f>
        <v>96.449999999999989</v>
      </c>
      <c r="O24" s="81">
        <f>IFERROR(VLOOKUP($G24,'321買'!A:E,3,0),"'沒有資料'")</f>
        <v>0</v>
      </c>
      <c r="P24" s="380">
        <f>IFERROR(VLOOKUP($G24,'321買'!$A:$G,7,0),"'沒有資料'")</f>
        <v>911</v>
      </c>
      <c r="R24" s="297">
        <f>IFERROR(RANK(VLOOKUP($G24,連買!$A:$D,4,0),連買!$D:$D,0),"'沒有資料'")</f>
        <v>530</v>
      </c>
      <c r="S24" s="382">
        <v>3.3</v>
      </c>
      <c r="T24" s="353">
        <f t="shared" si="18"/>
        <v>7.8014184397163122E-2</v>
      </c>
      <c r="U24" s="57">
        <v>4.03</v>
      </c>
      <c r="V24" s="36">
        <f>RTD("money.excel",,"3015","Price")</f>
        <v>42.3</v>
      </c>
      <c r="W24" s="66">
        <v>44.4</v>
      </c>
      <c r="X24" s="15">
        <f t="shared" si="8"/>
        <v>-2.1000000000000014</v>
      </c>
      <c r="Y24" s="76">
        <f t="shared" si="9"/>
        <v>-4.7297297297297328E-2</v>
      </c>
      <c r="Z24" s="413">
        <v>-4.7300000000000004</v>
      </c>
      <c r="AA24" s="79">
        <v>0</v>
      </c>
      <c r="AB24" s="80">
        <v>0</v>
      </c>
      <c r="AC24" s="64">
        <f t="shared" si="10"/>
        <v>0</v>
      </c>
      <c r="AD24" s="22" t="s">
        <v>390</v>
      </c>
      <c r="AG24" s="33">
        <f t="shared" si="15"/>
        <v>0</v>
      </c>
      <c r="AH24" s="81">
        <v>1</v>
      </c>
      <c r="AI24" s="60"/>
      <c r="AJ24" s="237">
        <f t="shared" si="12"/>
        <v>42300</v>
      </c>
      <c r="AK24" s="22" t="s">
        <v>390</v>
      </c>
      <c r="AL24" s="63">
        <f t="shared" si="13"/>
        <v>3.7967914438502673E-4</v>
      </c>
      <c r="AM24" s="307">
        <f>RTD("money.excel",,"3015","PredictVolume")</f>
        <v>71</v>
      </c>
      <c r="AN24" s="22">
        <v>8.9499999999999993</v>
      </c>
      <c r="AP24" s="404"/>
    </row>
    <row r="25" spans="1:42">
      <c r="A25" s="130" t="s">
        <v>3185</v>
      </c>
      <c r="B25" s="80">
        <v>-8</v>
      </c>
      <c r="C25" s="80">
        <v>-32</v>
      </c>
      <c r="D25" s="79">
        <v>28</v>
      </c>
      <c r="E25" s="79">
        <v>18</v>
      </c>
      <c r="F25" s="57">
        <v>11.44</v>
      </c>
      <c r="G25" s="80">
        <v>4163</v>
      </c>
      <c r="H25" s="8" t="s">
        <v>311</v>
      </c>
      <c r="I25" s="16" t="s">
        <v>142</v>
      </c>
      <c r="J25" s="73">
        <v>34.14</v>
      </c>
      <c r="K25" s="73">
        <v>2.5499999999999998</v>
      </c>
      <c r="L25" s="323">
        <v>1.78</v>
      </c>
      <c r="M25" s="323">
        <v>8.9499999999999993</v>
      </c>
      <c r="N25" s="318">
        <f>K25+J25+L25+M25</f>
        <v>47.42</v>
      </c>
      <c r="O25" s="81">
        <f>IFERROR(VLOOKUP($G25,'321買'!A:E,3,0),"'沒有資料'")</f>
        <v>0</v>
      </c>
      <c r="P25" s="380">
        <f>IFERROR(VLOOKUP($G25,'321買'!$A:$G,7,0),"'沒有資料'")</f>
        <v>911</v>
      </c>
      <c r="R25" s="297">
        <f>IFERROR(RANK(VLOOKUP($G25,連買!$A:$D,4,0),連買!$D:$D,0),"'沒有資料'")</f>
        <v>1541</v>
      </c>
      <c r="S25" s="230">
        <v>2.5</v>
      </c>
      <c r="T25" s="353">
        <f t="shared" si="18"/>
        <v>3.0339805825242715E-2</v>
      </c>
      <c r="U25" s="95">
        <v>4.7300000000000004</v>
      </c>
      <c r="V25" s="36">
        <f>RTD("money.excel",,"4163","Price")</f>
        <v>82.4</v>
      </c>
      <c r="W25" s="66">
        <f>91.7-3.5</f>
        <v>88.2</v>
      </c>
      <c r="X25" s="15">
        <f t="shared" si="8"/>
        <v>-5.7999999999999972</v>
      </c>
      <c r="Y25" s="76">
        <f t="shared" si="9"/>
        <v>-6.5759637188208583E-2</v>
      </c>
      <c r="Z25" s="413">
        <v>-6.58</v>
      </c>
      <c r="AA25" s="79">
        <v>0</v>
      </c>
      <c r="AB25" s="80">
        <v>0</v>
      </c>
      <c r="AC25" s="64">
        <f t="shared" si="10"/>
        <v>0</v>
      </c>
      <c r="AD25" s="16" t="s">
        <v>142</v>
      </c>
      <c r="AG25" s="33">
        <f t="shared" si="15"/>
        <v>0</v>
      </c>
      <c r="AH25" s="81">
        <v>2</v>
      </c>
      <c r="AI25" s="79">
        <v>1</v>
      </c>
      <c r="AJ25" s="237">
        <f t="shared" si="12"/>
        <v>164800</v>
      </c>
      <c r="AK25" s="16" t="s">
        <v>142</v>
      </c>
      <c r="AL25" s="63">
        <f t="shared" si="13"/>
        <v>2.0703933747412008E-4</v>
      </c>
      <c r="AM25" s="307">
        <f>RTD("money.excel",,"4163","PredictVolume")</f>
        <v>10</v>
      </c>
      <c r="AN25" s="22">
        <v>0.74</v>
      </c>
      <c r="AP25" s="404"/>
    </row>
    <row r="26" spans="1:42">
      <c r="A26" s="130" t="s">
        <v>1807</v>
      </c>
      <c r="B26" s="80">
        <v>-3</v>
      </c>
      <c r="C26" s="80">
        <v>-7</v>
      </c>
      <c r="D26" s="79">
        <v>15</v>
      </c>
      <c r="E26" s="80">
        <v>-11</v>
      </c>
      <c r="F26" s="57">
        <v>11.17</v>
      </c>
      <c r="G26" s="80">
        <v>1309</v>
      </c>
      <c r="H26" s="8" t="s">
        <v>3551</v>
      </c>
      <c r="I26" s="22" t="s">
        <v>317</v>
      </c>
      <c r="J26" s="73">
        <v>42.25</v>
      </c>
      <c r="K26" s="323">
        <v>3.16</v>
      </c>
      <c r="L26" s="73">
        <v>6.43</v>
      </c>
      <c r="M26" s="323">
        <v>39.380000000000003</v>
      </c>
      <c r="N26" s="318">
        <f t="shared" ref="N26" si="19">K26+J26+L26+M26</f>
        <v>91.22</v>
      </c>
      <c r="O26" s="81">
        <f>IFERROR(VLOOKUP($G26,'321買'!A:E,3,0),"'沒有資料'")</f>
        <v>9</v>
      </c>
      <c r="P26" s="380">
        <f>IFERROR(VLOOKUP($G26,'321買'!$A:$G,7,0),"'沒有資料'")</f>
        <v>433</v>
      </c>
      <c r="R26" s="297">
        <f>IFERROR(RANK(VLOOKUP($G26,連買!$A:$D,4,0),連買!$D:$D,0),"'沒有資料'")</f>
        <v>713</v>
      </c>
      <c r="S26" s="230">
        <v>2.5</v>
      </c>
      <c r="T26" s="353">
        <f t="shared" ref="T26" si="20">S26/V26</f>
        <v>7.6804915514592939E-2</v>
      </c>
      <c r="U26" s="95">
        <v>5.12</v>
      </c>
      <c r="V26" s="36">
        <f>RTD("money.excel",,"1309","Price")</f>
        <v>32.549999999999997</v>
      </c>
      <c r="W26" s="66">
        <v>35.549999999999997</v>
      </c>
      <c r="X26" s="15">
        <f t="shared" si="8"/>
        <v>-3</v>
      </c>
      <c r="Y26" s="76">
        <f t="shared" si="9"/>
        <v>-8.4388185654008449E-2</v>
      </c>
      <c r="Z26" s="413">
        <v>-8.44</v>
      </c>
      <c r="AA26" s="79">
        <v>0</v>
      </c>
      <c r="AB26" s="80">
        <v>0</v>
      </c>
      <c r="AC26" s="64">
        <f t="shared" si="10"/>
        <v>0</v>
      </c>
      <c r="AD26" s="22" t="s">
        <v>317</v>
      </c>
      <c r="AG26" s="33">
        <f t="shared" si="15"/>
        <v>0</v>
      </c>
      <c r="AH26" s="81">
        <v>1</v>
      </c>
      <c r="AI26" s="60"/>
      <c r="AJ26" s="237">
        <f t="shared" si="12"/>
        <v>32549.999999999996</v>
      </c>
      <c r="AK26" s="22" t="s">
        <v>317</v>
      </c>
      <c r="AL26" s="63">
        <f t="shared" si="13"/>
        <v>1.0608465608465609E-3</v>
      </c>
      <c r="AM26" s="307">
        <f>RTD("money.excel",,"1309","PredictVolume")</f>
        <v>401</v>
      </c>
      <c r="AN26" s="22">
        <v>37.53</v>
      </c>
      <c r="AP26" s="404"/>
    </row>
    <row r="27" spans="1:42" s="268" customFormat="1">
      <c r="A27" s="130" t="s">
        <v>1827</v>
      </c>
      <c r="B27" s="79">
        <v>26</v>
      </c>
      <c r="C27" s="80">
        <v>34</v>
      </c>
      <c r="D27" s="79">
        <v>12</v>
      </c>
      <c r="E27" s="79">
        <v>26</v>
      </c>
      <c r="F27" s="57">
        <v>24.05</v>
      </c>
      <c r="G27" s="79">
        <v>6592</v>
      </c>
      <c r="H27" s="5" t="s">
        <v>235</v>
      </c>
      <c r="I27" s="158" t="s">
        <v>1819</v>
      </c>
      <c r="J27" s="73">
        <v>78.33</v>
      </c>
      <c r="K27" s="323">
        <v>28.54</v>
      </c>
      <c r="L27" s="323">
        <v>1.52</v>
      </c>
      <c r="M27" s="73">
        <v>68.400000000000006</v>
      </c>
      <c r="N27" s="73">
        <f>K27+J27+L27+M27</f>
        <v>176.79000000000002</v>
      </c>
      <c r="O27" s="81">
        <f>IFERROR(VLOOKUP($G27,'321買'!A:E,3,0),"'沒有資料'")</f>
        <v>0</v>
      </c>
      <c r="P27" s="380">
        <f>IFERROR(VLOOKUP($G27,'321買'!$A:$G,7,0),"'沒有資料'")</f>
        <v>911</v>
      </c>
      <c r="Q27" s="303"/>
      <c r="R27" s="297">
        <f>IFERROR(RANK(VLOOKUP($G27,連買!$A:$D,4,0),連買!$D:$D,0),"'沒有資料'")</f>
        <v>183</v>
      </c>
      <c r="S27" s="218">
        <v>4.2</v>
      </c>
      <c r="T27" s="353">
        <f t="shared" ref="T27:T35" si="21">S27/V27</f>
        <v>3.7004405286343613E-2</v>
      </c>
      <c r="U27" s="57">
        <v>6.1</v>
      </c>
      <c r="V27" s="166">
        <f>RTD("money.excel",,"6592","Price")</f>
        <v>113.5</v>
      </c>
      <c r="W27" s="65">
        <v>125</v>
      </c>
      <c r="X27" s="15">
        <f t="shared" si="8"/>
        <v>-11.5</v>
      </c>
      <c r="Y27" s="76">
        <f t="shared" si="9"/>
        <v>-9.1999999999999998E-2</v>
      </c>
      <c r="Z27" s="413">
        <v>-9.1999999999999993</v>
      </c>
      <c r="AA27" s="79">
        <v>0</v>
      </c>
      <c r="AB27" s="80">
        <v>0</v>
      </c>
      <c r="AC27" s="64">
        <f t="shared" si="10"/>
        <v>0</v>
      </c>
      <c r="AD27" s="158" t="s">
        <v>1819</v>
      </c>
      <c r="AE27" s="84"/>
      <c r="AF27" s="83"/>
      <c r="AG27" s="33">
        <f t="shared" si="15"/>
        <v>0</v>
      </c>
      <c r="AH27" s="81">
        <v>0</v>
      </c>
      <c r="AI27" s="41"/>
      <c r="AJ27" s="237">
        <f t="shared" si="12"/>
        <v>0</v>
      </c>
      <c r="AK27" s="158" t="s">
        <v>1819</v>
      </c>
      <c r="AL27" s="63">
        <f t="shared" si="13"/>
        <v>8.1941747572815535E-4</v>
      </c>
      <c r="AM27" s="307">
        <f>RTD("money.excel",,"6592","PredictVolume")</f>
        <v>422</v>
      </c>
      <c r="AN27" s="22">
        <v>1.1200000000000001</v>
      </c>
      <c r="AO27" s="41"/>
      <c r="AP27" s="404"/>
    </row>
    <row r="28" spans="1:42">
      <c r="A28" s="130" t="s">
        <v>1736</v>
      </c>
      <c r="B28" s="79">
        <v>42</v>
      </c>
      <c r="C28" s="79">
        <v>49</v>
      </c>
      <c r="D28" s="79">
        <v>26</v>
      </c>
      <c r="E28" s="80">
        <v>-23</v>
      </c>
      <c r="F28" s="57">
        <v>32.22</v>
      </c>
      <c r="G28" s="80">
        <v>5471</v>
      </c>
      <c r="H28" s="5" t="s">
        <v>3254</v>
      </c>
      <c r="I28" s="22" t="s">
        <v>4384</v>
      </c>
      <c r="J28" s="323">
        <v>23.88</v>
      </c>
      <c r="K28" s="323">
        <v>14.16</v>
      </c>
      <c r="L28" s="323">
        <v>17.559999999999999</v>
      </c>
      <c r="M28" s="323">
        <v>11.18</v>
      </c>
      <c r="N28" s="318">
        <f>K28+J28+L28+M28</f>
        <v>66.78</v>
      </c>
      <c r="O28" s="81">
        <f>IFERROR(VLOOKUP($G28,'321買'!A:E,3,0),"'沒有資料'")</f>
        <v>21</v>
      </c>
      <c r="P28" s="380">
        <f>IFERROR(VLOOKUP($G28,'321買'!$A:$G,7,0),"'沒有資料'")</f>
        <v>222</v>
      </c>
      <c r="R28" s="297">
        <f>IFERROR(RANK(VLOOKUP($G28,連買!$A:$D,4,0),連買!$D:$D,0),"'沒有資料'")</f>
        <v>197</v>
      </c>
      <c r="S28" s="382">
        <v>7</v>
      </c>
      <c r="T28" s="353">
        <f>S28/V28</f>
        <v>8.4439083232810616E-2</v>
      </c>
      <c r="U28" s="95">
        <v>8.7100000000000009</v>
      </c>
      <c r="V28" s="36">
        <f>RTD("money.excel",,"5471","Price")</f>
        <v>82.9</v>
      </c>
      <c r="W28" s="66">
        <v>91.8</v>
      </c>
      <c r="X28" s="15">
        <f>V28-W28</f>
        <v>-8.8999999999999915</v>
      </c>
      <c r="Y28" s="76">
        <f>X28/W28</f>
        <v>-9.6949891067538041E-2</v>
      </c>
      <c r="Z28" s="413">
        <v>-9.69</v>
      </c>
      <c r="AA28" s="79">
        <v>1</v>
      </c>
      <c r="AB28" s="80">
        <v>2</v>
      </c>
      <c r="AC28" s="64">
        <f>AA28-AB28</f>
        <v>-1</v>
      </c>
      <c r="AD28" s="22" t="s">
        <v>354</v>
      </c>
      <c r="AG28" s="33">
        <f t="shared" si="15"/>
        <v>0</v>
      </c>
      <c r="AH28" s="81">
        <v>2</v>
      </c>
      <c r="AI28" s="41"/>
      <c r="AJ28" s="237">
        <f>V28*AH28*1000</f>
        <v>165800</v>
      </c>
      <c r="AK28" s="22" t="s">
        <v>354</v>
      </c>
      <c r="AL28" s="63">
        <f>AM28/(A28*10000)</f>
        <v>3.592814371257485E-3</v>
      </c>
      <c r="AM28" s="307">
        <f>RTD("money.excel",,"5471","PredictVolume")</f>
        <v>600</v>
      </c>
      <c r="AN28" s="22">
        <v>35.799999999999997</v>
      </c>
      <c r="AP28" s="404"/>
    </row>
    <row r="29" spans="1:42">
      <c r="A29" s="146" t="s">
        <v>3166</v>
      </c>
      <c r="B29" s="79">
        <v>734</v>
      </c>
      <c r="C29" s="79">
        <v>429</v>
      </c>
      <c r="D29" s="79">
        <v>74</v>
      </c>
      <c r="E29" s="79">
        <v>23</v>
      </c>
      <c r="F29" s="6">
        <v>5.64</v>
      </c>
      <c r="G29" s="80">
        <v>3162</v>
      </c>
      <c r="H29" s="5" t="s">
        <v>297</v>
      </c>
      <c r="I29" s="16" t="s">
        <v>533</v>
      </c>
      <c r="J29" s="323">
        <v>52.49</v>
      </c>
      <c r="K29" s="73">
        <v>51.33</v>
      </c>
      <c r="L29" s="73">
        <v>17.59</v>
      </c>
      <c r="M29" s="323">
        <v>39.03</v>
      </c>
      <c r="N29" s="73">
        <f t="shared" ref="N29" si="22">K29+J29+L29+M29</f>
        <v>160.44</v>
      </c>
      <c r="O29" s="81">
        <f>IFERROR(VLOOKUP($G29,'321買'!A:E,3,0),"'沒有資料'")</f>
        <v>0</v>
      </c>
      <c r="P29" s="380">
        <f>IFERROR(VLOOKUP($G29,'321買'!$A:$G,7,0),"'沒有資料'")</f>
        <v>911</v>
      </c>
      <c r="R29" s="297">
        <f>IFERROR(RANK(VLOOKUP($G29,連買!$A:$D,4,0),連買!$D:$D,0),"'沒有資料'")</f>
        <v>978</v>
      </c>
      <c r="S29" s="230">
        <v>0</v>
      </c>
      <c r="T29" s="353">
        <f>S29/V29</f>
        <v>0</v>
      </c>
      <c r="U29" s="57">
        <v>0.85</v>
      </c>
      <c r="V29" s="13">
        <f>RTD("money.excel",,"3162","Price")</f>
        <v>41.45</v>
      </c>
      <c r="W29" s="66">
        <v>46.2</v>
      </c>
      <c r="X29" s="15">
        <f>V29-W29</f>
        <v>-4.75</v>
      </c>
      <c r="Y29" s="76">
        <f>X29/W29</f>
        <v>-0.1028138528138528</v>
      </c>
      <c r="Z29" s="413">
        <v>-10.28</v>
      </c>
      <c r="AA29" s="79">
        <v>0</v>
      </c>
      <c r="AB29" s="80">
        <v>0</v>
      </c>
      <c r="AC29" s="64">
        <f>AA29-AB29</f>
        <v>0</v>
      </c>
      <c r="AD29" s="16" t="s">
        <v>533</v>
      </c>
      <c r="AG29" s="33">
        <f>AF29-AE29</f>
        <v>0</v>
      </c>
      <c r="AH29" s="81">
        <v>1</v>
      </c>
      <c r="AI29" s="43"/>
      <c r="AJ29" s="237">
        <f>V29*AH29*1000</f>
        <v>41450</v>
      </c>
      <c r="AK29" s="16" t="s">
        <v>533</v>
      </c>
      <c r="AL29" s="63">
        <f>AM29/(A29*10000)</f>
        <v>1.7247706422018349E-3</v>
      </c>
      <c r="AM29" s="307">
        <f>RTD("money.excel",,"3162","PredictVolume")</f>
        <v>188</v>
      </c>
      <c r="AN29" s="22">
        <v>6.96</v>
      </c>
      <c r="AP29" s="404"/>
    </row>
    <row r="30" spans="1:42">
      <c r="A30" s="130" t="s">
        <v>1700</v>
      </c>
      <c r="B30" s="79">
        <v>184</v>
      </c>
      <c r="C30" s="79">
        <v>62</v>
      </c>
      <c r="D30" s="79">
        <v>13</v>
      </c>
      <c r="E30" s="79">
        <v>9</v>
      </c>
      <c r="F30" s="57">
        <v>13.48</v>
      </c>
      <c r="G30" s="79">
        <v>8936</v>
      </c>
      <c r="H30" s="8" t="s">
        <v>235</v>
      </c>
      <c r="I30" s="16" t="s">
        <v>670</v>
      </c>
      <c r="J30" s="73">
        <v>37.72</v>
      </c>
      <c r="K30" s="73">
        <v>6.2</v>
      </c>
      <c r="L30" s="323">
        <v>21.19</v>
      </c>
      <c r="M30" s="323">
        <v>4.9000000000000004</v>
      </c>
      <c r="N30" s="318">
        <f>K30+J30+L30+M30</f>
        <v>70.010000000000005</v>
      </c>
      <c r="O30" s="81">
        <f>IFERROR(VLOOKUP($G30,'321買'!A:E,3,0),"'沒有資料'")</f>
        <v>6</v>
      </c>
      <c r="P30" s="380">
        <f>IFERROR(VLOOKUP($G30,'321買'!$A:$G,7,0),"'沒有資料'")</f>
        <v>521</v>
      </c>
      <c r="R30" s="297">
        <f>IFERROR(RANK(VLOOKUP($G30,連買!$A:$D,4,0),連買!$D:$D,0),"'沒有資料'")</f>
        <v>1663</v>
      </c>
      <c r="S30" s="230">
        <v>0.5</v>
      </c>
      <c r="T30" s="353">
        <f t="shared" si="21"/>
        <v>2.2573363431151242E-2</v>
      </c>
      <c r="U30" s="95">
        <v>1.81</v>
      </c>
      <c r="V30" s="36">
        <f>RTD("money.excel",,"8936","Price")</f>
        <v>22.15</v>
      </c>
      <c r="W30" s="66">
        <f>25.1-0.25</f>
        <v>24.85</v>
      </c>
      <c r="X30" s="15">
        <f t="shared" si="8"/>
        <v>-2.7000000000000028</v>
      </c>
      <c r="Y30" s="76">
        <f t="shared" si="9"/>
        <v>-0.10865191146881299</v>
      </c>
      <c r="Z30" s="413">
        <v>-10.87</v>
      </c>
      <c r="AA30" s="79">
        <v>0</v>
      </c>
      <c r="AB30" s="80">
        <v>0</v>
      </c>
      <c r="AC30" s="64">
        <f t="shared" si="10"/>
        <v>0</v>
      </c>
      <c r="AD30" s="16" t="s">
        <v>670</v>
      </c>
      <c r="AG30" s="33">
        <f t="shared" si="15"/>
        <v>0</v>
      </c>
      <c r="AH30" s="81">
        <v>3</v>
      </c>
      <c r="AI30" s="41"/>
      <c r="AJ30" s="237">
        <f t="shared" si="12"/>
        <v>66449.999999999985</v>
      </c>
      <c r="AK30" s="16" t="s">
        <v>670</v>
      </c>
      <c r="AL30" s="63">
        <f t="shared" si="13"/>
        <v>1.6814516129032258E-3</v>
      </c>
      <c r="AM30" s="307">
        <f>RTD("money.excel",,"8936","PredictVolume")</f>
        <v>417</v>
      </c>
      <c r="AN30" s="22">
        <v>14.39</v>
      </c>
      <c r="AP30" s="404"/>
    </row>
    <row r="31" spans="1:42" s="268" customFormat="1">
      <c r="A31" s="130" t="s">
        <v>1724</v>
      </c>
      <c r="B31" s="79">
        <v>8</v>
      </c>
      <c r="C31" s="79">
        <v>25</v>
      </c>
      <c r="D31" s="79">
        <v>33</v>
      </c>
      <c r="E31" s="79">
        <v>6</v>
      </c>
      <c r="F31" s="57">
        <v>28.32</v>
      </c>
      <c r="G31" s="80">
        <v>3374</v>
      </c>
      <c r="H31" s="149" t="s">
        <v>3254</v>
      </c>
      <c r="I31" s="16" t="s">
        <v>167</v>
      </c>
      <c r="J31" s="323">
        <v>47.3</v>
      </c>
      <c r="K31" s="323">
        <v>6.66</v>
      </c>
      <c r="L31" s="73">
        <v>17.32</v>
      </c>
      <c r="M31" s="73">
        <v>41.22</v>
      </c>
      <c r="N31" s="318">
        <f>K31+J31+L31+M31</f>
        <v>112.5</v>
      </c>
      <c r="O31" s="81">
        <f>IFERROR(VLOOKUP($G31,'321買'!A:E,3,0),"'沒有資料'")</f>
        <v>20</v>
      </c>
      <c r="P31" s="380">
        <f>IFERROR(VLOOKUP($G31,'321買'!$A:$G,7,0),"'沒有資料'")</f>
        <v>222</v>
      </c>
      <c r="Q31" s="303"/>
      <c r="R31" s="297">
        <f>IFERROR(RANK(VLOOKUP($G31,連買!$A:$D,4,0),連買!$D:$D,0),"'沒有資料'")</f>
        <v>174</v>
      </c>
      <c r="S31" s="382">
        <v>3</v>
      </c>
      <c r="T31" s="353">
        <f>S31/V31</f>
        <v>2.4590163934426229E-2</v>
      </c>
      <c r="U31" s="95">
        <v>6.92</v>
      </c>
      <c r="V31" s="36">
        <f>RTD("money.excel",,"3374","Price")</f>
        <v>122</v>
      </c>
      <c r="W31" s="65">
        <v>137</v>
      </c>
      <c r="X31" s="15">
        <f>V31-W31</f>
        <v>-15</v>
      </c>
      <c r="Y31" s="76">
        <f>X31/W31</f>
        <v>-0.10948905109489052</v>
      </c>
      <c r="Z31" s="413">
        <v>-10.95</v>
      </c>
      <c r="AA31" s="79">
        <v>0</v>
      </c>
      <c r="AB31" s="80">
        <v>1</v>
      </c>
      <c r="AC31" s="64">
        <f>AA31-AB31</f>
        <v>-1</v>
      </c>
      <c r="AD31" s="171" t="s">
        <v>167</v>
      </c>
      <c r="AE31" s="84"/>
      <c r="AF31" s="83"/>
      <c r="AG31" s="33">
        <f t="shared" si="15"/>
        <v>0</v>
      </c>
      <c r="AH31" s="81">
        <v>5</v>
      </c>
      <c r="AI31" s="41"/>
      <c r="AJ31" s="237">
        <f>V31*AH31*1000</f>
        <v>610000</v>
      </c>
      <c r="AK31" s="16" t="s">
        <v>167</v>
      </c>
      <c r="AL31" s="63">
        <f>AM31/(A31*10000)</f>
        <v>1.8413284132841328E-3</v>
      </c>
      <c r="AM31" s="307">
        <f>RTD("money.excel",,"3374","PredictVolume")</f>
        <v>499</v>
      </c>
      <c r="AN31" s="22">
        <v>24.49</v>
      </c>
      <c r="AO31" s="41"/>
      <c r="AP31" s="404"/>
    </row>
    <row r="32" spans="1:42">
      <c r="A32" s="146" t="s">
        <v>3854</v>
      </c>
      <c r="B32" s="80">
        <v>-99</v>
      </c>
      <c r="C32" s="80">
        <v>-102</v>
      </c>
      <c r="D32" s="79">
        <v>32</v>
      </c>
      <c r="E32" s="79">
        <v>0</v>
      </c>
      <c r="F32" s="6">
        <v>-1.24</v>
      </c>
      <c r="G32" s="79">
        <v>4130</v>
      </c>
      <c r="H32" s="8" t="s">
        <v>311</v>
      </c>
      <c r="I32" s="16" t="s">
        <v>4059</v>
      </c>
      <c r="J32" s="323">
        <v>29.78</v>
      </c>
      <c r="K32" s="73">
        <v>0.59</v>
      </c>
      <c r="L32" s="73">
        <v>6.73</v>
      </c>
      <c r="M32" s="73">
        <v>27.19</v>
      </c>
      <c r="N32" s="318">
        <f>K32+J32+L32+M32</f>
        <v>64.290000000000006</v>
      </c>
      <c r="O32" s="81">
        <f>IFERROR(VLOOKUP($G32,'321買'!A:E,3,0),"'沒有資料'")</f>
        <v>0</v>
      </c>
      <c r="P32" s="380">
        <f>IFERROR(VLOOKUP($G32,'321買'!$A:$G,7,0),"'沒有資料'")</f>
        <v>911</v>
      </c>
      <c r="R32" s="297">
        <f>IFERROR(RANK(VLOOKUP($G32,連買!$A:$D,4,0),連買!$D:$D,0),"'沒有資料'")</f>
        <v>506</v>
      </c>
      <c r="S32" s="230">
        <v>0.35</v>
      </c>
      <c r="T32" s="353">
        <f>S32/V32</f>
        <v>1.3916500994035786E-2</v>
      </c>
      <c r="U32" s="95">
        <v>0</v>
      </c>
      <c r="V32" s="36">
        <f>RTD("money.excel",,"4130","Price")</f>
        <v>25.15</v>
      </c>
      <c r="W32" s="66">
        <f>28.65</f>
        <v>28.65</v>
      </c>
      <c r="X32" s="15">
        <f>V32-W32</f>
        <v>-3.5</v>
      </c>
      <c r="Y32" s="76">
        <f>X32/W32</f>
        <v>-0.12216404886561955</v>
      </c>
      <c r="Z32" s="413">
        <v>-12.22</v>
      </c>
      <c r="AA32" s="79">
        <v>1</v>
      </c>
      <c r="AB32" s="80">
        <v>0</v>
      </c>
      <c r="AC32" s="64">
        <f>AA32-AB32</f>
        <v>1</v>
      </c>
      <c r="AD32" s="16" t="s">
        <v>614</v>
      </c>
      <c r="AG32" s="33">
        <f>AF32-AE32</f>
        <v>0</v>
      </c>
      <c r="AH32" s="81">
        <v>3</v>
      </c>
      <c r="AI32" s="79">
        <v>1</v>
      </c>
      <c r="AJ32" s="237">
        <f>V32*AH32*1000</f>
        <v>75449.999999999985</v>
      </c>
      <c r="AK32" s="16" t="s">
        <v>614</v>
      </c>
      <c r="AL32" s="208">
        <f>AM32/(A32*10000)</f>
        <v>5.1000000000000004E-3</v>
      </c>
      <c r="AM32" s="307">
        <f>RTD("money.excel",,"4130","PredictVolume")</f>
        <v>561</v>
      </c>
      <c r="AN32" s="22">
        <v>4.2</v>
      </c>
      <c r="AO32" s="41" t="s">
        <v>8668</v>
      </c>
      <c r="AP32" s="404"/>
    </row>
    <row r="33" spans="1:42">
      <c r="A33" s="130" t="s">
        <v>1683</v>
      </c>
      <c r="B33" s="79">
        <v>21</v>
      </c>
      <c r="C33" s="79">
        <v>16</v>
      </c>
      <c r="D33" s="79">
        <v>34</v>
      </c>
      <c r="E33" s="79">
        <v>19</v>
      </c>
      <c r="F33" s="57">
        <v>18.47</v>
      </c>
      <c r="G33" s="80">
        <v>1476</v>
      </c>
      <c r="H33" s="8" t="s">
        <v>296</v>
      </c>
      <c r="I33" s="22" t="s">
        <v>3890</v>
      </c>
      <c r="J33" s="323">
        <v>67.569999999999993</v>
      </c>
      <c r="K33" s="323">
        <v>41.94</v>
      </c>
      <c r="L33" s="323">
        <v>0.84</v>
      </c>
      <c r="M33" s="73">
        <v>20.62</v>
      </c>
      <c r="N33" s="73">
        <f t="shared" ref="N33" si="23">J33+K33+L33+M33</f>
        <v>130.97</v>
      </c>
      <c r="O33" s="81">
        <f>IFERROR(VLOOKUP($G33,'321買'!A:E,3,0),"'沒有資料'")</f>
        <v>5</v>
      </c>
      <c r="P33" s="380">
        <f>IFERROR(VLOOKUP($G33,'321買'!$A:$G,7,0),"'沒有資料'")</f>
        <v>558</v>
      </c>
      <c r="R33" s="297">
        <f>IFERROR(RANK(VLOOKUP($G33,連買!$A:$D,4,0),連買!$D:$D,0),"'沒有資料'")</f>
        <v>1719</v>
      </c>
      <c r="S33" s="382">
        <v>12</v>
      </c>
      <c r="T33" s="353">
        <f t="shared" ref="T33:T34" si="24">S33/V33</f>
        <v>2.4896265560165973E-2</v>
      </c>
      <c r="U33" s="57">
        <v>18.77</v>
      </c>
      <c r="V33" s="13">
        <f>RTD("money.excel",,"1476","Price")</f>
        <v>482</v>
      </c>
      <c r="W33" s="66">
        <v>587</v>
      </c>
      <c r="X33" s="141">
        <f>V33-W33</f>
        <v>-105</v>
      </c>
      <c r="Y33" s="76">
        <f>X33/W33</f>
        <v>-0.17887563884156729</v>
      </c>
      <c r="Z33" s="413">
        <v>-17.89</v>
      </c>
      <c r="AA33" s="79">
        <v>1</v>
      </c>
      <c r="AB33" s="80">
        <v>1</v>
      </c>
      <c r="AC33" s="64">
        <f>AA33-AB33</f>
        <v>0</v>
      </c>
      <c r="AD33" s="22" t="s">
        <v>3890</v>
      </c>
      <c r="AG33" s="33">
        <f t="shared" si="15"/>
        <v>0</v>
      </c>
      <c r="AH33" s="79">
        <v>0</v>
      </c>
      <c r="AI33" s="60"/>
      <c r="AJ33" s="237">
        <f>V33*AH33*1000</f>
        <v>0</v>
      </c>
      <c r="AK33" s="22" t="s">
        <v>3890</v>
      </c>
      <c r="AL33" s="63">
        <f>AM33/(A33*10000)</f>
        <v>1.3832116788321169E-3</v>
      </c>
      <c r="AM33" s="307">
        <f>RTD("money.excel",,$G33,"PredictVolume")</f>
        <v>379</v>
      </c>
      <c r="AN33" s="339">
        <v>2.02</v>
      </c>
      <c r="AP33" s="404"/>
    </row>
    <row r="34" spans="1:42" s="268" customFormat="1" ht="16.5" customHeight="1">
      <c r="A34" s="146">
        <v>5.0599999999999996</v>
      </c>
      <c r="B34" s="94">
        <v>-1063</v>
      </c>
      <c r="C34" s="80">
        <v>-409</v>
      </c>
      <c r="D34" s="80">
        <v>-40</v>
      </c>
      <c r="E34" s="79">
        <v>34</v>
      </c>
      <c r="F34" s="6">
        <v>-5.67</v>
      </c>
      <c r="G34" s="80">
        <v>4432</v>
      </c>
      <c r="H34" s="17" t="s">
        <v>296</v>
      </c>
      <c r="I34" s="171" t="s">
        <v>3892</v>
      </c>
      <c r="J34" s="323">
        <v>44.94</v>
      </c>
      <c r="K34" s="73">
        <v>0.89</v>
      </c>
      <c r="L34" s="73">
        <v>5.48</v>
      </c>
      <c r="M34" s="323">
        <v>45.43</v>
      </c>
      <c r="N34" s="318">
        <f t="shared" ref="N34:N38" si="25">K34+J34+L34+M34</f>
        <v>96.740000000000009</v>
      </c>
      <c r="O34" s="81">
        <f>IFERROR(VLOOKUP($G34,'321買'!A:E,3,0),"'沒有資料'")</f>
        <v>0</v>
      </c>
      <c r="P34" s="380">
        <f>IFERROR(VLOOKUP($G34,'321買'!$A:$G,7,0),"'沒有資料'")</f>
        <v>911</v>
      </c>
      <c r="Q34" s="303"/>
      <c r="R34" s="297">
        <f>IFERROR(RANK(VLOOKUP($G34,連買!$A:$D,4,0),連買!$D:$D,0),"'沒有資料'")</f>
        <v>1159</v>
      </c>
      <c r="S34" s="383">
        <v>0</v>
      </c>
      <c r="T34" s="353">
        <f t="shared" si="24"/>
        <v>0</v>
      </c>
      <c r="U34" s="95">
        <v>-2.04</v>
      </c>
      <c r="V34" s="166">
        <f>RTD("money.excel",,"4432","Price")</f>
        <v>15.55</v>
      </c>
      <c r="W34" s="65">
        <v>17.899999999999999</v>
      </c>
      <c r="X34" s="15">
        <f>V34-W34</f>
        <v>-2.3499999999999979</v>
      </c>
      <c r="Y34" s="76">
        <f>X34/W34</f>
        <v>-0.13128491620111721</v>
      </c>
      <c r="Z34" s="413">
        <v>-13.13</v>
      </c>
      <c r="AA34" s="79">
        <v>0</v>
      </c>
      <c r="AB34" s="80">
        <v>1</v>
      </c>
      <c r="AC34" s="64">
        <f>AA34-AB34</f>
        <v>-1</v>
      </c>
      <c r="AD34" s="171" t="s">
        <v>206</v>
      </c>
      <c r="AE34" s="84"/>
      <c r="AF34" s="83"/>
      <c r="AG34" s="33">
        <f t="shared" si="15"/>
        <v>0</v>
      </c>
      <c r="AH34" s="79">
        <v>8</v>
      </c>
      <c r="AI34" s="79">
        <v>8</v>
      </c>
      <c r="AJ34" s="237">
        <f>V34*AH34*1000</f>
        <v>124400</v>
      </c>
      <c r="AK34" s="171" t="s">
        <v>206</v>
      </c>
      <c r="AL34" s="153">
        <f>AM34/(A34*10000)</f>
        <v>1.897233201581028E-3</v>
      </c>
      <c r="AM34" s="307">
        <f>RTD("money.excel",,"4432","PredictVolume")</f>
        <v>96</v>
      </c>
      <c r="AN34" s="22">
        <v>5.74</v>
      </c>
      <c r="AO34" s="41"/>
      <c r="AP34" s="404"/>
    </row>
    <row r="35" spans="1:42">
      <c r="A35" s="130" t="s">
        <v>1982</v>
      </c>
      <c r="B35" s="79">
        <v>771</v>
      </c>
      <c r="C35" s="93">
        <v>1228</v>
      </c>
      <c r="D35" s="79">
        <v>257</v>
      </c>
      <c r="E35" s="79">
        <v>128</v>
      </c>
      <c r="F35" s="57">
        <v>10.210000000000001</v>
      </c>
      <c r="G35" s="80">
        <v>3713</v>
      </c>
      <c r="H35" s="8" t="s">
        <v>1985</v>
      </c>
      <c r="I35" s="16" t="s">
        <v>2204</v>
      </c>
      <c r="J35" s="73">
        <v>50.74</v>
      </c>
      <c r="K35" s="73">
        <v>0.36</v>
      </c>
      <c r="L35" s="323"/>
      <c r="M35" s="323">
        <v>35.54</v>
      </c>
      <c r="N35" s="318">
        <f t="shared" si="25"/>
        <v>86.64</v>
      </c>
      <c r="O35" s="81" t="str">
        <f>IFERROR(VLOOKUP($G35,'321買'!A:E,3,0),"'沒有資料'")</f>
        <v>'沒有資料'</v>
      </c>
      <c r="P35" s="380" t="str">
        <f>IFERROR(VLOOKUP($G35,'321買'!$A:$G,7,0),"'沒有資料'")</f>
        <v>'沒有資料'</v>
      </c>
      <c r="R35" s="297">
        <f>IFERROR(RANK(VLOOKUP($G35,連買!$A:$D,4,0),連買!$D:$D,0),"'沒有資料'")</f>
        <v>1655</v>
      </c>
      <c r="S35" s="230">
        <v>0</v>
      </c>
      <c r="T35" s="353">
        <f t="shared" si="21"/>
        <v>0</v>
      </c>
      <c r="U35" s="57">
        <v>0.43</v>
      </c>
      <c r="V35" s="36">
        <f>RTD("money.excel",,"3713","Price")</f>
        <v>34.6</v>
      </c>
      <c r="W35" s="66">
        <v>40.75</v>
      </c>
      <c r="X35" s="15">
        <f t="shared" si="8"/>
        <v>-6.1499999999999986</v>
      </c>
      <c r="Y35" s="76">
        <f t="shared" si="9"/>
        <v>-0.15092024539877297</v>
      </c>
      <c r="Z35" s="413">
        <v>-15.09</v>
      </c>
      <c r="AA35" s="79"/>
      <c r="AB35" s="80"/>
      <c r="AC35" s="64">
        <f t="shared" si="10"/>
        <v>0</v>
      </c>
      <c r="AD35" s="16" t="s">
        <v>2204</v>
      </c>
      <c r="AG35" s="33">
        <f t="shared" si="15"/>
        <v>0</v>
      </c>
      <c r="AH35" s="81">
        <v>2</v>
      </c>
      <c r="AI35" s="41"/>
      <c r="AJ35" s="237">
        <f t="shared" si="12"/>
        <v>69200</v>
      </c>
      <c r="AK35" s="16" t="s">
        <v>2204</v>
      </c>
      <c r="AL35" s="63">
        <f t="shared" si="13"/>
        <v>3.0729833546734955E-4</v>
      </c>
      <c r="AM35" s="307">
        <f>RTD("money.excel",,"3713","PredictVolume")</f>
        <v>24</v>
      </c>
      <c r="AN35" s="22">
        <v>2.37</v>
      </c>
      <c r="AP35" s="404"/>
    </row>
    <row r="36" spans="1:42" ht="17.25" customHeight="1">
      <c r="A36" s="146" t="s">
        <v>1786</v>
      </c>
      <c r="B36" s="80">
        <v>-19</v>
      </c>
      <c r="C36" s="80">
        <v>-22</v>
      </c>
      <c r="D36" s="79">
        <v>35</v>
      </c>
      <c r="E36" s="79">
        <v>14</v>
      </c>
      <c r="F36" s="6">
        <v>7.05</v>
      </c>
      <c r="G36" s="80">
        <v>2387</v>
      </c>
      <c r="H36" s="205" t="s">
        <v>1152</v>
      </c>
      <c r="I36" s="22" t="s">
        <v>6527</v>
      </c>
      <c r="J36" s="73">
        <v>64.319999999999993</v>
      </c>
      <c r="K36" s="323">
        <v>1.02</v>
      </c>
      <c r="L36" s="323">
        <v>10.95</v>
      </c>
      <c r="M36" s="323">
        <v>33.369999999999997</v>
      </c>
      <c r="N36" s="318">
        <f t="shared" si="25"/>
        <v>109.66</v>
      </c>
      <c r="O36" s="81">
        <f>IFERROR(VLOOKUP($G36,'321買'!A:E,3,0),"'沒有資料'")</f>
        <v>3</v>
      </c>
      <c r="P36" s="380">
        <f>IFERROR(VLOOKUP($G36,'321買'!$A:$G,7,0),"'沒有資料'")</f>
        <v>636</v>
      </c>
      <c r="R36" s="297">
        <f>IFERROR(RANK(VLOOKUP($G36,連買!$A:$D,4,0),連買!$D:$D,0),"'沒有資料'")</f>
        <v>286</v>
      </c>
      <c r="S36" s="382">
        <v>3</v>
      </c>
      <c r="T36" s="353">
        <f t="shared" ref="T36" si="26">S36/V36</f>
        <v>7.281553398058252E-2</v>
      </c>
      <c r="U36" s="57">
        <v>5.31</v>
      </c>
      <c r="V36" s="36">
        <f>RTD("money.excel",,"2387","Price")</f>
        <v>41.2</v>
      </c>
      <c r="W36" s="66">
        <f>51.9-2</f>
        <v>49.9</v>
      </c>
      <c r="X36" s="15">
        <f t="shared" si="8"/>
        <v>-8.6999999999999957</v>
      </c>
      <c r="Y36" s="76">
        <f t="shared" si="9"/>
        <v>-0.1743486973947895</v>
      </c>
      <c r="Z36" s="413">
        <v>-17.43</v>
      </c>
      <c r="AA36" s="79">
        <v>0</v>
      </c>
      <c r="AB36" s="80">
        <v>1</v>
      </c>
      <c r="AC36" s="64">
        <f t="shared" si="10"/>
        <v>-1</v>
      </c>
      <c r="AD36" s="22" t="s">
        <v>234</v>
      </c>
      <c r="AG36" s="33">
        <f t="shared" si="15"/>
        <v>0</v>
      </c>
      <c r="AH36" s="81">
        <v>1</v>
      </c>
      <c r="AI36" s="41"/>
      <c r="AJ36" s="237">
        <f t="shared" si="12"/>
        <v>41200</v>
      </c>
      <c r="AK36" s="22" t="s">
        <v>234</v>
      </c>
      <c r="AL36" s="63">
        <f t="shared" si="13"/>
        <v>1.1794871794871796E-3</v>
      </c>
      <c r="AM36" s="307">
        <f>RTD("money.excel",,"2387","PredictVolume")</f>
        <v>230</v>
      </c>
      <c r="AN36" s="22">
        <v>8.2799999999999994</v>
      </c>
      <c r="AP36" s="404"/>
    </row>
    <row r="37" spans="1:42">
      <c r="A37" s="130" t="s">
        <v>3853</v>
      </c>
      <c r="B37" s="80">
        <v>-39</v>
      </c>
      <c r="C37" s="80">
        <v>-41</v>
      </c>
      <c r="D37" s="79">
        <v>14</v>
      </c>
      <c r="E37" s="80">
        <v>-71</v>
      </c>
      <c r="F37" s="57">
        <v>18.739999999999998</v>
      </c>
      <c r="G37" s="80">
        <v>4735</v>
      </c>
      <c r="H37" s="5" t="s">
        <v>311</v>
      </c>
      <c r="I37" s="16" t="s">
        <v>619</v>
      </c>
      <c r="J37" s="73">
        <v>22.23</v>
      </c>
      <c r="K37" s="323">
        <v>1.32</v>
      </c>
      <c r="L37" s="323">
        <v>8.3699999999999992</v>
      </c>
      <c r="M37" s="73">
        <v>24.49</v>
      </c>
      <c r="N37" s="318">
        <f t="shared" si="25"/>
        <v>56.41</v>
      </c>
      <c r="O37" s="81">
        <f>IFERROR(VLOOKUP($G37,'321買'!A:E,3,0),"'沒有資料'")</f>
        <v>4</v>
      </c>
      <c r="P37" s="380">
        <f>IFERROR(VLOOKUP($G37,'321買'!$A:$G,7,0),"'沒有資料'")</f>
        <v>592</v>
      </c>
      <c r="R37" s="297">
        <f>IFERROR(RANK(VLOOKUP($G37,連買!$A:$D,4,0),連買!$D:$D,0),"'沒有資料'")</f>
        <v>1717</v>
      </c>
      <c r="S37" s="230">
        <v>1</v>
      </c>
      <c r="T37" s="353">
        <f>S37/V37</f>
        <v>2.0202020202020204E-2</v>
      </c>
      <c r="U37" s="95">
        <v>8.65</v>
      </c>
      <c r="V37" s="36">
        <f>RTD("money.excel",,"4735","Price")</f>
        <v>49.5</v>
      </c>
      <c r="W37" s="230">
        <f>71.1-2.5-1.2-1</f>
        <v>66.399999999999991</v>
      </c>
      <c r="X37" s="15">
        <f t="shared" si="8"/>
        <v>-16.899999999999991</v>
      </c>
      <c r="Y37" s="76">
        <f t="shared" si="9"/>
        <v>-0.25451807228915652</v>
      </c>
      <c r="Z37" s="413">
        <v>-25.45</v>
      </c>
      <c r="AA37" s="79">
        <v>0</v>
      </c>
      <c r="AB37" s="80">
        <v>1</v>
      </c>
      <c r="AC37" s="64">
        <f t="shared" si="10"/>
        <v>-1</v>
      </c>
      <c r="AD37" s="16" t="s">
        <v>619</v>
      </c>
      <c r="AG37" s="33">
        <f t="shared" si="15"/>
        <v>0</v>
      </c>
      <c r="AH37" s="81">
        <v>3</v>
      </c>
      <c r="AI37" s="79">
        <v>1</v>
      </c>
      <c r="AJ37" s="237">
        <f t="shared" si="12"/>
        <v>148500</v>
      </c>
      <c r="AK37" s="16" t="s">
        <v>619</v>
      </c>
      <c r="AL37" s="63">
        <f t="shared" si="13"/>
        <v>1.5718157181571816E-3</v>
      </c>
      <c r="AM37" s="307">
        <f>RTD("money.excel",,"4735","PredictVolume")</f>
        <v>58</v>
      </c>
      <c r="AN37" s="180">
        <v>52.6</v>
      </c>
      <c r="AP37" s="404"/>
    </row>
    <row r="38" spans="1:42">
      <c r="A38" s="146" t="s">
        <v>3211</v>
      </c>
      <c r="B38" s="80">
        <v>-94</v>
      </c>
      <c r="C38" s="80">
        <v>-71</v>
      </c>
      <c r="D38" s="79">
        <v>44</v>
      </c>
      <c r="E38" s="80">
        <v>-46</v>
      </c>
      <c r="F38" s="6">
        <v>4.4000000000000004</v>
      </c>
      <c r="G38" s="80">
        <v>6558</v>
      </c>
      <c r="H38" s="5" t="s">
        <v>316</v>
      </c>
      <c r="I38" s="22" t="s">
        <v>6623</v>
      </c>
      <c r="J38" s="73">
        <v>44.28</v>
      </c>
      <c r="K38" s="323">
        <v>2.1</v>
      </c>
      <c r="L38" s="323">
        <v>13.46</v>
      </c>
      <c r="M38" s="73">
        <v>15.73</v>
      </c>
      <c r="N38" s="318">
        <f t="shared" si="25"/>
        <v>75.570000000000007</v>
      </c>
      <c r="O38" s="81">
        <f>IFERROR(VLOOKUP($G38,'321買'!A:E,3,0),"'沒有資料'")</f>
        <v>0</v>
      </c>
      <c r="P38" s="380">
        <f>IFERROR(VLOOKUP($G38,'321買'!$A:$G,7,0),"'沒有資料'")</f>
        <v>911</v>
      </c>
      <c r="R38" s="297">
        <f>IFERROR(RANK(VLOOKUP($G38,連買!$A:$D,4,0),連買!$D:$D,0),"'沒有資料'")</f>
        <v>917</v>
      </c>
      <c r="S38" s="230">
        <v>0</v>
      </c>
      <c r="T38" s="353">
        <f>S38/V38</f>
        <v>0</v>
      </c>
      <c r="U38" s="95">
        <v>0.04</v>
      </c>
      <c r="V38" s="36">
        <f>RTD("money.excel",,"6558","Price")</f>
        <v>28.2</v>
      </c>
      <c r="W38" s="66">
        <f>39.1-0.3</f>
        <v>38.800000000000004</v>
      </c>
      <c r="X38" s="15">
        <f t="shared" si="8"/>
        <v>-10.600000000000005</v>
      </c>
      <c r="Y38" s="76">
        <f t="shared" si="9"/>
        <v>-0.27319587628865988</v>
      </c>
      <c r="Z38" s="413">
        <v>-27.32</v>
      </c>
      <c r="AA38" s="79">
        <v>0</v>
      </c>
      <c r="AB38" s="80">
        <v>0</v>
      </c>
      <c r="AC38" s="64">
        <f t="shared" si="10"/>
        <v>0</v>
      </c>
      <c r="AD38" s="22" t="s">
        <v>1071</v>
      </c>
      <c r="AG38" s="33">
        <f t="shared" si="15"/>
        <v>0</v>
      </c>
      <c r="AH38" s="81">
        <v>2</v>
      </c>
      <c r="AI38" s="41"/>
      <c r="AJ38" s="237">
        <f t="shared" si="12"/>
        <v>56400</v>
      </c>
      <c r="AK38" s="22" t="s">
        <v>1071</v>
      </c>
      <c r="AL38" s="63">
        <f t="shared" si="13"/>
        <v>3.6382978723404256E-3</v>
      </c>
      <c r="AM38" s="307">
        <f>RTD("money.excel",,"6558","PredictVolume")</f>
        <v>342</v>
      </c>
      <c r="AN38" s="22">
        <v>44.65</v>
      </c>
      <c r="AP38" s="404"/>
    </row>
    <row r="39" spans="1:42">
      <c r="A39" s="146" t="s">
        <v>1698</v>
      </c>
      <c r="B39" s="80">
        <v>-66</v>
      </c>
      <c r="C39" s="80">
        <v>-57</v>
      </c>
      <c r="D39" s="79">
        <v>15</v>
      </c>
      <c r="E39" s="80">
        <v>-35</v>
      </c>
      <c r="F39" s="6">
        <v>7.84</v>
      </c>
      <c r="G39" s="80">
        <v>1598</v>
      </c>
      <c r="H39" s="5" t="s">
        <v>311</v>
      </c>
      <c r="I39" s="22" t="s">
        <v>629</v>
      </c>
      <c r="J39" s="323">
        <v>48.13</v>
      </c>
      <c r="K39" s="73">
        <v>4.5</v>
      </c>
      <c r="L39" s="323">
        <v>13.41</v>
      </c>
      <c r="M39" s="323">
        <v>9.9700000000000006</v>
      </c>
      <c r="N39" s="318">
        <f t="shared" ref="N39" si="27">K39+J39+L39+M39</f>
        <v>76.010000000000005</v>
      </c>
      <c r="O39" s="81">
        <f>IFERROR(VLOOKUP($G39,'321買'!A:E,3,0),"'沒有資料'")</f>
        <v>4</v>
      </c>
      <c r="P39" s="380">
        <f>IFERROR(VLOOKUP($G39,'321買'!$A:$G,7,0),"'沒有資料'")</f>
        <v>592</v>
      </c>
      <c r="R39" s="297">
        <f>IFERROR(RANK(VLOOKUP($G39,連買!$A:$D,4,0),連買!$D:$D,0),"'沒有資料'")</f>
        <v>1736</v>
      </c>
      <c r="S39" s="230">
        <v>2.5</v>
      </c>
      <c r="T39" s="353">
        <f t="shared" si="7"/>
        <v>5.5865921787709494E-2</v>
      </c>
      <c r="U39" s="95">
        <v>3.47</v>
      </c>
      <c r="V39" s="36">
        <f>RTD("money.excel",,"1598","Price")</f>
        <v>44.75</v>
      </c>
      <c r="W39" s="66">
        <f>89.4-7.47</f>
        <v>81.93</v>
      </c>
      <c r="X39" s="15">
        <f t="shared" si="8"/>
        <v>-37.180000000000007</v>
      </c>
      <c r="Y39" s="76">
        <f t="shared" si="9"/>
        <v>-0.45380202611985848</v>
      </c>
      <c r="Z39" s="413">
        <v>-45.38</v>
      </c>
      <c r="AA39" s="79">
        <v>0</v>
      </c>
      <c r="AB39" s="80">
        <v>0</v>
      </c>
      <c r="AC39" s="64">
        <f t="shared" si="10"/>
        <v>0</v>
      </c>
      <c r="AD39" s="22" t="s">
        <v>629</v>
      </c>
      <c r="AG39" s="33">
        <f t="shared" si="15"/>
        <v>0</v>
      </c>
      <c r="AH39" s="81">
        <v>4</v>
      </c>
      <c r="AI39" s="79">
        <v>2</v>
      </c>
      <c r="AJ39" s="237">
        <f t="shared" si="12"/>
        <v>179000</v>
      </c>
      <c r="AK39" s="22" t="s">
        <v>629</v>
      </c>
      <c r="AL39" s="63">
        <f t="shared" si="13"/>
        <v>1.6417910447761193E-3</v>
      </c>
      <c r="AM39" s="307">
        <f>RTD("money.excel",,"1598","PredictVolume")</f>
        <v>220</v>
      </c>
      <c r="AN39" s="22">
        <v>13.66</v>
      </c>
      <c r="AP39" s="404"/>
    </row>
    <row r="40" spans="1:42" s="268" customFormat="1">
      <c r="A40" s="130"/>
      <c r="B40" s="91"/>
      <c r="C40" s="91"/>
      <c r="D40" s="80"/>
      <c r="E40" s="80"/>
      <c r="F40" s="8"/>
      <c r="G40" s="27"/>
      <c r="H40" s="8"/>
      <c r="I40" s="158"/>
      <c r="J40" s="323"/>
      <c r="K40" s="328"/>
      <c r="L40" s="328"/>
      <c r="M40" s="328"/>
      <c r="N40" s="318"/>
      <c r="O40" s="26"/>
      <c r="P40" s="373"/>
      <c r="Q40" s="303"/>
      <c r="R40" s="345"/>
      <c r="S40" s="315"/>
      <c r="T40" s="351"/>
      <c r="V40" s="171"/>
      <c r="Z40" s="418"/>
      <c r="AA40" s="161"/>
      <c r="AB40" s="409"/>
      <c r="AC40" s="259"/>
      <c r="AD40" s="304"/>
      <c r="AE40" s="55"/>
      <c r="AF40" s="342"/>
      <c r="AG40" s="403"/>
      <c r="AH40" s="50"/>
      <c r="AI40" s="256" t="s">
        <v>3584</v>
      </c>
      <c r="AJ40" s="238">
        <f>SUM(AJ15:AJ39)</f>
        <v>3567100</v>
      </c>
      <c r="AK40" s="158"/>
      <c r="AL40" s="63"/>
      <c r="AM40" s="307"/>
      <c r="AN40" s="22"/>
      <c r="AO40" s="41"/>
      <c r="AP40" s="403"/>
    </row>
    <row r="41" spans="1:42" s="268" customFormat="1">
      <c r="A41" s="46"/>
      <c r="B41" s="91"/>
      <c r="C41" s="91"/>
      <c r="D41" s="80"/>
      <c r="E41" s="80"/>
      <c r="F41" s="8"/>
      <c r="G41" s="27"/>
      <c r="H41" s="8"/>
      <c r="I41" s="158"/>
      <c r="J41" s="323"/>
      <c r="K41" s="328"/>
      <c r="L41" s="322"/>
      <c r="M41" s="317"/>
      <c r="N41" s="318"/>
      <c r="O41" s="26"/>
      <c r="P41" s="373"/>
      <c r="Q41" s="303"/>
      <c r="R41" s="345"/>
      <c r="S41" s="247"/>
      <c r="T41" s="351"/>
      <c r="Z41" s="418"/>
      <c r="AA41" s="406"/>
      <c r="AB41" s="407"/>
      <c r="AC41" s="408"/>
      <c r="AG41" s="403"/>
      <c r="AH41" s="8"/>
      <c r="AI41" s="257" t="s">
        <v>3553</v>
      </c>
      <c r="AJ41" s="239">
        <f>AJ40+AJ14</f>
        <v>4709315</v>
      </c>
      <c r="AK41" s="158"/>
      <c r="AL41" s="63"/>
      <c r="AM41" s="307"/>
      <c r="AN41" s="22"/>
      <c r="AO41" s="41"/>
      <c r="AP41" s="403"/>
    </row>
    <row r="42" spans="1:42" s="268" customFormat="1">
      <c r="A42" s="46"/>
      <c r="B42" s="91"/>
      <c r="C42" s="91"/>
      <c r="D42" s="80"/>
      <c r="E42" s="80"/>
      <c r="F42" s="8"/>
      <c r="G42" s="27"/>
      <c r="H42" s="8"/>
      <c r="I42" s="158"/>
      <c r="J42" s="323"/>
      <c r="K42" s="328"/>
      <c r="L42" s="322"/>
      <c r="M42" s="317"/>
      <c r="N42" s="318"/>
      <c r="O42" s="26"/>
      <c r="P42" s="373"/>
      <c r="Q42" s="303"/>
      <c r="R42" s="345"/>
      <c r="S42" s="247"/>
      <c r="T42" s="351"/>
      <c r="U42" s="4" t="s">
        <v>1467</v>
      </c>
      <c r="V42" s="4" t="s">
        <v>1157</v>
      </c>
      <c r="W42" s="10" t="s">
        <v>284</v>
      </c>
      <c r="Z42" s="46" t="s">
        <v>6579</v>
      </c>
      <c r="AA42" s="126"/>
      <c r="AB42" s="251"/>
      <c r="AC42" s="410"/>
      <c r="AG42" s="403"/>
      <c r="AH42" s="8"/>
      <c r="AI42" s="257"/>
      <c r="AJ42" s="239"/>
      <c r="AK42" s="158"/>
      <c r="AL42" s="63"/>
      <c r="AM42" s="307"/>
      <c r="AN42" s="22"/>
      <c r="AO42" s="41"/>
      <c r="AP42" s="403"/>
    </row>
    <row r="43" spans="1:42" s="268" customFormat="1">
      <c r="A43" s="130" t="s">
        <v>1732</v>
      </c>
      <c r="B43" s="91" t="s">
        <v>1588</v>
      </c>
      <c r="C43" s="91" t="s">
        <v>1589</v>
      </c>
      <c r="D43" s="91" t="s">
        <v>1590</v>
      </c>
      <c r="E43" s="91" t="s">
        <v>1591</v>
      </c>
      <c r="F43" s="8" t="s">
        <v>1066</v>
      </c>
      <c r="G43" s="89" t="s">
        <v>3691</v>
      </c>
      <c r="H43" s="294" t="s">
        <v>322</v>
      </c>
      <c r="I43" s="50" t="s">
        <v>5046</v>
      </c>
      <c r="J43" s="306" t="s">
        <v>1467</v>
      </c>
      <c r="K43" s="317" t="s">
        <v>1157</v>
      </c>
      <c r="L43" s="317" t="s">
        <v>284</v>
      </c>
      <c r="M43" s="306" t="s">
        <v>1059</v>
      </c>
      <c r="N43" s="317" t="s">
        <v>5048</v>
      </c>
      <c r="O43" s="26" t="s">
        <v>5107</v>
      </c>
      <c r="P43" s="373" t="s">
        <v>5059</v>
      </c>
      <c r="Q43" s="303" t="s">
        <v>5087</v>
      </c>
      <c r="R43" s="345" t="s">
        <v>5059</v>
      </c>
      <c r="S43" s="10" t="s">
        <v>66</v>
      </c>
      <c r="T43" s="351" t="s">
        <v>5076</v>
      </c>
      <c r="U43" s="68" t="s">
        <v>3844</v>
      </c>
      <c r="V43" s="28" t="s">
        <v>3860</v>
      </c>
      <c r="W43" s="17" t="s">
        <v>1405</v>
      </c>
      <c r="X43" s="14" t="s">
        <v>2430</v>
      </c>
      <c r="Y43" s="21" t="s">
        <v>3</v>
      </c>
      <c r="Z43" s="420" t="s">
        <v>6627</v>
      </c>
      <c r="AA43" s="406" t="s">
        <v>8647</v>
      </c>
      <c r="AB43" s="407" t="s">
        <v>8648</v>
      </c>
      <c r="AC43" s="408" t="s">
        <v>8649</v>
      </c>
      <c r="AD43" s="50" t="s">
        <v>5046</v>
      </c>
      <c r="AE43" s="71" t="s">
        <v>2434</v>
      </c>
      <c r="AF43" s="72" t="s">
        <v>1163</v>
      </c>
      <c r="AG43" s="32" t="s">
        <v>3506</v>
      </c>
      <c r="AI43" s="24" t="s">
        <v>5046</v>
      </c>
      <c r="AJ43" s="236"/>
      <c r="AK43" s="8" t="s">
        <v>69</v>
      </c>
      <c r="AL43" s="8" t="s">
        <v>3852</v>
      </c>
      <c r="AM43" s="50" t="s">
        <v>3586</v>
      </c>
      <c r="AN43" s="22" t="s">
        <v>5038</v>
      </c>
      <c r="AO43" s="41"/>
      <c r="AP43" s="403"/>
    </row>
    <row r="44" spans="1:42">
      <c r="B44" s="79"/>
      <c r="C44" s="79"/>
      <c r="D44" s="79"/>
      <c r="E44" s="79"/>
      <c r="F44" s="57"/>
      <c r="G44" s="79"/>
      <c r="H44" s="8"/>
      <c r="I44" s="16"/>
      <c r="J44" s="323"/>
      <c r="K44" s="323"/>
      <c r="L44" s="323"/>
      <c r="M44" s="73"/>
      <c r="N44" s="318"/>
      <c r="S44" s="34"/>
      <c r="T44" s="353"/>
      <c r="U44" s="57"/>
      <c r="V44" s="36"/>
      <c r="W44" s="66"/>
      <c r="X44" s="15"/>
      <c r="Y44" s="3"/>
      <c r="Z44" s="100"/>
      <c r="AA44" s="406"/>
      <c r="AB44" s="407"/>
      <c r="AC44" s="408"/>
      <c r="AD44" s="16"/>
      <c r="AH44" s="33"/>
      <c r="AI44" s="60"/>
      <c r="AJ44" s="123"/>
      <c r="AK44" s="251"/>
      <c r="AL44" s="63"/>
      <c r="AM44" s="307"/>
      <c r="AN44" s="81"/>
      <c r="AO44" s="387"/>
    </row>
    <row r="45" spans="1:42">
      <c r="A45" s="46" t="s">
        <v>3582</v>
      </c>
      <c r="B45" s="79"/>
      <c r="C45" s="79"/>
      <c r="D45" s="79"/>
      <c r="E45" s="79"/>
      <c r="F45" s="6"/>
      <c r="G45" s="41"/>
      <c r="H45" s="69" t="s">
        <v>3714</v>
      </c>
      <c r="I45" s="22"/>
      <c r="J45" s="331"/>
      <c r="K45" s="330"/>
      <c r="M45" s="332"/>
      <c r="N45" s="137" t="s">
        <v>3842</v>
      </c>
      <c r="S45" s="26" t="s">
        <v>1508</v>
      </c>
      <c r="U45" s="69" t="s">
        <v>3450</v>
      </c>
      <c r="V45" s="211"/>
      <c r="W45" s="66"/>
      <c r="X45" s="15"/>
      <c r="Y45" s="305" t="s">
        <v>6624</v>
      </c>
      <c r="Z45" s="100"/>
      <c r="AA45" s="126"/>
      <c r="AD45" s="22"/>
      <c r="AE45" s="299"/>
      <c r="AH45" s="33"/>
      <c r="AI45" s="43"/>
      <c r="AJ45" s="126"/>
      <c r="AK45" s="264"/>
      <c r="AL45" s="199"/>
      <c r="AM45" s="308"/>
    </row>
    <row r="46" spans="1:42">
      <c r="A46" s="46" t="s">
        <v>3664</v>
      </c>
      <c r="B46" s="93"/>
      <c r="C46" s="93"/>
      <c r="D46" s="79"/>
      <c r="E46" s="80"/>
      <c r="F46" s="69"/>
      <c r="H46" s="69" t="s">
        <v>3715</v>
      </c>
      <c r="I46" s="16"/>
      <c r="J46" s="331"/>
      <c r="K46" s="330"/>
      <c r="N46" s="343" t="s">
        <v>5047</v>
      </c>
      <c r="S46" s="211"/>
      <c r="U46" s="2" t="s">
        <v>3451</v>
      </c>
      <c r="V46" s="211"/>
      <c r="Y46" s="305" t="s">
        <v>5069</v>
      </c>
      <c r="Z46" s="100"/>
      <c r="AA46" s="126"/>
      <c r="AD46" s="22"/>
      <c r="AF46" s="237"/>
      <c r="AH46" s="33"/>
      <c r="AI46" s="417">
        <v>1</v>
      </c>
      <c r="AJ46" s="237">
        <f>AJ9+AF49</f>
        <v>635767</v>
      </c>
      <c r="AK46" s="16"/>
    </row>
    <row r="47" spans="1:42">
      <c r="A47" s="46" t="s">
        <v>3665</v>
      </c>
      <c r="B47" s="93"/>
      <c r="C47" s="79"/>
      <c r="D47" s="79"/>
      <c r="E47" s="79"/>
      <c r="F47" s="6"/>
      <c r="H47" s="69" t="s">
        <v>3792</v>
      </c>
      <c r="I47" s="160"/>
      <c r="J47" s="323"/>
      <c r="K47" s="73"/>
      <c r="N47" s="329"/>
      <c r="S47" s="211"/>
      <c r="U47" s="2" t="s">
        <v>3452</v>
      </c>
      <c r="V47" s="211"/>
      <c r="W47" s="66"/>
      <c r="X47" s="15"/>
      <c r="Y47" s="137" t="s">
        <v>3835</v>
      </c>
      <c r="Z47" s="101"/>
      <c r="AA47" s="126"/>
      <c r="AD47" s="16"/>
      <c r="AF47" s="237"/>
      <c r="AH47" s="33"/>
      <c r="AI47" s="417">
        <v>2</v>
      </c>
      <c r="AJ47" s="237">
        <f>AJ9+AF50</f>
        <v>635767</v>
      </c>
      <c r="AK47" s="16"/>
    </row>
    <row r="48" spans="1:42">
      <c r="A48" s="208" t="s">
        <v>3796</v>
      </c>
      <c r="B48" s="93"/>
      <c r="C48" s="79"/>
      <c r="D48" s="79"/>
      <c r="E48" s="79"/>
      <c r="F48" s="8"/>
      <c r="H48" s="42" t="s">
        <v>3840</v>
      </c>
      <c r="I48" s="16"/>
      <c r="J48" s="323"/>
      <c r="K48" s="73"/>
      <c r="S48" s="211"/>
      <c r="U48" s="2" t="s">
        <v>3453</v>
      </c>
      <c r="V48" s="211"/>
      <c r="Y48" s="137" t="s">
        <v>5078</v>
      </c>
      <c r="Z48" s="103"/>
      <c r="AA48" s="168"/>
      <c r="AB48" s="268"/>
      <c r="AC48" s="411"/>
      <c r="AD48" s="16"/>
      <c r="AF48" s="237"/>
      <c r="AH48" s="33"/>
      <c r="AI48" s="417">
        <v>3</v>
      </c>
      <c r="AJ48" s="237">
        <f>AJ9+AF46</f>
        <v>635767</v>
      </c>
      <c r="AK48" s="16"/>
    </row>
    <row r="49" spans="1:41">
      <c r="B49" s="91"/>
      <c r="C49" s="91"/>
      <c r="D49" s="91"/>
      <c r="E49" s="91"/>
      <c r="F49" s="8"/>
      <c r="H49" s="42" t="s">
        <v>3839</v>
      </c>
      <c r="I49" s="82"/>
      <c r="J49" s="323"/>
      <c r="K49" s="73"/>
      <c r="L49" s="137"/>
      <c r="M49" s="332"/>
      <c r="S49" s="211"/>
      <c r="U49" s="2" t="s">
        <v>3454</v>
      </c>
      <c r="V49" s="211"/>
      <c r="Y49" s="24" t="s">
        <v>6625</v>
      </c>
      <c r="Z49" s="100"/>
      <c r="AA49" s="126"/>
      <c r="AD49" s="16"/>
      <c r="AF49" s="237"/>
      <c r="AH49" s="33"/>
      <c r="AI49" s="417">
        <v>4</v>
      </c>
      <c r="AJ49" s="237">
        <f>AJ9+AF47</f>
        <v>635767</v>
      </c>
      <c r="AK49" s="82"/>
      <c r="AL49" s="312"/>
    </row>
    <row r="50" spans="1:41">
      <c r="B50" s="91"/>
      <c r="C50" s="91"/>
      <c r="D50" s="91"/>
      <c r="E50" s="91"/>
      <c r="F50" s="8"/>
      <c r="G50" s="46"/>
      <c r="H50" s="42" t="s">
        <v>3838</v>
      </c>
      <c r="I50" s="82"/>
      <c r="J50" s="322"/>
      <c r="K50" s="322"/>
      <c r="N50" s="318"/>
      <c r="P50" s="373"/>
      <c r="R50" s="345"/>
      <c r="S50" s="135"/>
      <c r="U50" s="69"/>
      <c r="V50" s="42"/>
      <c r="W50" s="216"/>
      <c r="X50" s="69"/>
      <c r="Y50" s="24" t="s">
        <v>6626</v>
      </c>
      <c r="AA50" s="126"/>
      <c r="AF50" s="237"/>
      <c r="AH50" s="33"/>
      <c r="AI50" s="417">
        <v>5</v>
      </c>
      <c r="AJ50" s="237">
        <f>AJ9+AF48</f>
        <v>635767</v>
      </c>
      <c r="AK50" s="82"/>
      <c r="AL50" s="312"/>
    </row>
    <row r="51" spans="1:41">
      <c r="A51" s="69"/>
      <c r="B51" s="135"/>
      <c r="G51" s="81"/>
      <c r="H51" s="161"/>
      <c r="I51" s="82"/>
      <c r="J51" s="322"/>
      <c r="K51" s="322"/>
      <c r="L51" s="322"/>
      <c r="M51" s="317"/>
      <c r="N51" s="319"/>
      <c r="P51" s="375"/>
      <c r="R51" s="343"/>
      <c r="S51" s="215"/>
      <c r="U51" s="4" t="s">
        <v>1467</v>
      </c>
      <c r="V51" s="4" t="s">
        <v>1157</v>
      </c>
      <c r="W51" s="10" t="s">
        <v>284</v>
      </c>
      <c r="X51" s="69"/>
      <c r="AA51" s="126"/>
      <c r="AD51" s="42"/>
      <c r="AF51" s="300"/>
      <c r="AH51" s="149"/>
      <c r="AI51" s="43"/>
      <c r="AK51" s="82"/>
      <c r="AL51" s="312"/>
    </row>
    <row r="52" spans="1:41">
      <c r="A52" s="130" t="s">
        <v>1732</v>
      </c>
      <c r="B52" s="91" t="s">
        <v>1588</v>
      </c>
      <c r="C52" s="91" t="s">
        <v>1589</v>
      </c>
      <c r="D52" s="91" t="s">
        <v>1590</v>
      </c>
      <c r="E52" s="91" t="s">
        <v>1591</v>
      </c>
      <c r="F52" s="8" t="s">
        <v>1066</v>
      </c>
      <c r="G52" s="26" t="s">
        <v>3691</v>
      </c>
      <c r="H52" s="55" t="s">
        <v>322</v>
      </c>
      <c r="I52" s="8" t="s">
        <v>2461</v>
      </c>
      <c r="J52" s="317" t="s">
        <v>1467</v>
      </c>
      <c r="K52" s="317" t="s">
        <v>1157</v>
      </c>
      <c r="L52" s="317" t="s">
        <v>284</v>
      </c>
      <c r="M52" s="317" t="s">
        <v>1059</v>
      </c>
      <c r="N52" s="317" t="s">
        <v>5048</v>
      </c>
      <c r="O52" s="26" t="s">
        <v>5107</v>
      </c>
      <c r="P52" s="373" t="s">
        <v>5059</v>
      </c>
      <c r="Q52" s="303" t="s">
        <v>5087</v>
      </c>
      <c r="R52" s="345" t="s">
        <v>5059</v>
      </c>
      <c r="S52" s="10" t="s">
        <v>66</v>
      </c>
      <c r="T52" s="351" t="s">
        <v>5076</v>
      </c>
      <c r="U52" s="68" t="s">
        <v>3844</v>
      </c>
      <c r="V52" s="28" t="s">
        <v>3860</v>
      </c>
      <c r="W52" s="17" t="s">
        <v>1405</v>
      </c>
      <c r="X52" s="14" t="s">
        <v>5</v>
      </c>
      <c r="Y52" s="21" t="s">
        <v>3</v>
      </c>
      <c r="Z52" s="420" t="s">
        <v>6627</v>
      </c>
      <c r="AA52" s="406" t="s">
        <v>8647</v>
      </c>
      <c r="AB52" s="407" t="s">
        <v>8648</v>
      </c>
      <c r="AC52" s="408" t="s">
        <v>8649</v>
      </c>
      <c r="AD52" s="8" t="s">
        <v>2461</v>
      </c>
      <c r="AE52" s="71" t="s">
        <v>1406</v>
      </c>
      <c r="AF52" s="72" t="s">
        <v>1163</v>
      </c>
      <c r="AG52" s="32" t="s">
        <v>1164</v>
      </c>
      <c r="AH52" s="42" t="s">
        <v>2462</v>
      </c>
      <c r="AL52" s="283"/>
    </row>
    <row r="53" spans="1:41">
      <c r="B53" s="91"/>
      <c r="C53" s="91"/>
      <c r="D53" s="91"/>
      <c r="E53" s="91"/>
      <c r="F53" s="8"/>
      <c r="G53" s="26"/>
      <c r="H53" s="55"/>
      <c r="I53" s="8"/>
      <c r="J53" s="317"/>
      <c r="K53" s="317"/>
      <c r="L53" s="317"/>
      <c r="M53" s="317"/>
      <c r="N53" s="317"/>
      <c r="P53" s="373"/>
      <c r="R53" s="345"/>
      <c r="S53" s="10"/>
      <c r="T53" s="351"/>
      <c r="U53" s="68"/>
      <c r="V53" s="28"/>
      <c r="W53" s="17"/>
      <c r="X53" s="14"/>
      <c r="Y53" s="21"/>
      <c r="Z53" s="420"/>
      <c r="AA53" s="126"/>
      <c r="AD53" s="8"/>
      <c r="AE53" s="71"/>
      <c r="AF53" s="72"/>
      <c r="AH53" s="8"/>
      <c r="AI53" s="42"/>
      <c r="AL53" s="283"/>
    </row>
    <row r="54" spans="1:41">
      <c r="A54" s="130" t="s">
        <v>2412</v>
      </c>
      <c r="B54" s="79">
        <v>10</v>
      </c>
      <c r="C54" s="79">
        <v>15</v>
      </c>
      <c r="D54" s="79"/>
      <c r="E54" s="80">
        <v>-98</v>
      </c>
      <c r="F54" s="57">
        <v>14.02</v>
      </c>
      <c r="G54" s="79">
        <v>6186</v>
      </c>
      <c r="H54" s="8" t="s">
        <v>881</v>
      </c>
      <c r="I54" s="16" t="s">
        <v>898</v>
      </c>
      <c r="J54" s="73">
        <v>49.37</v>
      </c>
      <c r="K54" s="323">
        <v>0.46</v>
      </c>
      <c r="L54" s="73">
        <v>6.22</v>
      </c>
      <c r="M54" s="323">
        <v>26.7</v>
      </c>
      <c r="N54" s="318">
        <f t="shared" ref="N54" si="28">J54+K54+L54+M54</f>
        <v>82.75</v>
      </c>
      <c r="O54" s="81">
        <f>IFERROR(VLOOKUP($G54,'321買'!A:E,3,0),"'沒有資料'")</f>
        <v>1</v>
      </c>
      <c r="P54" s="380">
        <f>IFERROR(VLOOKUP($G54,'321買'!$A:$G,7,0),"'沒有資料'")</f>
        <v>783</v>
      </c>
      <c r="R54" s="297">
        <f>IFERROR(RANK(VLOOKUP($G54,連買!$A:$D,4,0),連買!$D:$D,0),"'沒有資料'")</f>
        <v>956</v>
      </c>
      <c r="S54" s="66"/>
      <c r="T54" s="353">
        <f t="shared" ref="T54" si="29">S54/V54</f>
        <v>0</v>
      </c>
      <c r="U54" s="95">
        <v>3.15</v>
      </c>
      <c r="V54" s="36">
        <f>RTD("money.excel",,"6186","Price")</f>
        <v>27.3</v>
      </c>
      <c r="W54" s="66">
        <v>24.5</v>
      </c>
      <c r="X54" s="15">
        <f t="shared" ref="X54" si="30">V54-W54</f>
        <v>2.8000000000000007</v>
      </c>
      <c r="Y54" s="3">
        <f t="shared" ref="Y54" si="31">X54/W54</f>
        <v>0.11428571428571431</v>
      </c>
      <c r="Z54" s="421" t="s">
        <v>8669</v>
      </c>
      <c r="AA54" s="126"/>
      <c r="AD54" s="16" t="s">
        <v>898</v>
      </c>
      <c r="AE54" s="84">
        <v>44665</v>
      </c>
      <c r="AF54" s="83">
        <v>44675</v>
      </c>
      <c r="AG54" s="33">
        <f>AF54-AE54</f>
        <v>10</v>
      </c>
      <c r="AH54" s="43" t="s">
        <v>2150</v>
      </c>
      <c r="AL54" s="63">
        <f>AM54/(A54*10000)</f>
        <v>7.2933333333333331E-3</v>
      </c>
      <c r="AM54" s="307">
        <f>RTD("money.excel",,$G54,"PredictVolume")</f>
        <v>1094</v>
      </c>
      <c r="AN54" s="339">
        <v>1.1000000000000001</v>
      </c>
      <c r="AO54" s="387"/>
    </row>
    <row r="55" spans="1:41">
      <c r="A55" s="130" t="s">
        <v>1774</v>
      </c>
      <c r="B55" s="79">
        <v>31</v>
      </c>
      <c r="C55" s="79">
        <v>25</v>
      </c>
      <c r="D55" s="91"/>
      <c r="E55" s="91"/>
      <c r="F55" s="57">
        <v>19.5</v>
      </c>
      <c r="G55" s="79">
        <v>4768</v>
      </c>
      <c r="H55" s="8" t="s">
        <v>3879</v>
      </c>
      <c r="I55" s="16" t="s">
        <v>8433</v>
      </c>
      <c r="J55" s="73">
        <v>23.52</v>
      </c>
      <c r="K55" s="73">
        <v>2.16</v>
      </c>
      <c r="N55" s="318">
        <f t="shared" ref="N55" si="32">J55+K55+L55+M55</f>
        <v>25.68</v>
      </c>
      <c r="O55" s="81" t="str">
        <f>IFERROR(VLOOKUP($G55,'321買'!A:E,3,0),"'沒有資料'")</f>
        <v>'沒有資料'</v>
      </c>
      <c r="P55" s="380" t="str">
        <f>IFERROR(VLOOKUP($G55,'321買'!$A:$G,7,0),"'沒有資料'")</f>
        <v>'沒有資料'</v>
      </c>
      <c r="Q55" s="245"/>
      <c r="R55" s="297" t="str">
        <f>IFERROR(RANK(VLOOKUP($G55,連買!$A:$D,4,0),連買!$D:$D,0),"'沒有資料'")</f>
        <v>'沒有資料'</v>
      </c>
      <c r="S55" s="34">
        <v>1</v>
      </c>
      <c r="T55" s="353">
        <f t="shared" ref="T55" si="33">S55/V55</f>
        <v>8.3333333333333332E-3</v>
      </c>
      <c r="U55" s="95" t="s">
        <v>8434</v>
      </c>
      <c r="V55" s="36">
        <f>RTD("money.excel",,"4768","Price")</f>
        <v>120</v>
      </c>
      <c r="W55" s="66">
        <v>86.8</v>
      </c>
      <c r="X55" s="15">
        <f t="shared" ref="X55" si="34">V55-W55</f>
        <v>33.200000000000003</v>
      </c>
      <c r="Y55" s="3">
        <f t="shared" ref="Y55" si="35">X55/W55</f>
        <v>0.38248847926267288</v>
      </c>
      <c r="Z55" s="421" t="s">
        <v>8660</v>
      </c>
      <c r="AA55" s="126"/>
      <c r="AD55" s="16" t="s">
        <v>8433</v>
      </c>
      <c r="AE55" s="84">
        <v>44664</v>
      </c>
      <c r="AF55" s="83">
        <v>44674</v>
      </c>
      <c r="AG55" s="33">
        <f>AF55-AE55</f>
        <v>10</v>
      </c>
      <c r="AH55" s="43" t="s">
        <v>8435</v>
      </c>
      <c r="AL55" s="63">
        <f t="shared" ref="AL55" si="36">AM55/(A55*10000)</f>
        <v>4.2915360501567398E-2</v>
      </c>
      <c r="AM55" s="307">
        <f>RTD("money.excel",,$G55,"PredictVolume")</f>
        <v>1369</v>
      </c>
      <c r="AN55" s="339"/>
      <c r="AO55" s="302"/>
    </row>
    <row r="56" spans="1:41">
      <c r="B56" s="93"/>
      <c r="C56" s="93"/>
      <c r="D56" s="79"/>
      <c r="E56" s="80"/>
      <c r="F56" s="57"/>
      <c r="G56" s="79"/>
      <c r="H56" s="8"/>
      <c r="I56" s="16"/>
      <c r="J56" s="73"/>
      <c r="K56" s="323"/>
      <c r="N56" s="318"/>
      <c r="O56" s="81"/>
      <c r="P56" s="380"/>
      <c r="R56" s="297"/>
      <c r="S56" s="66"/>
      <c r="T56" s="353"/>
      <c r="U56" s="95"/>
      <c r="V56" s="36"/>
      <c r="W56" s="66"/>
      <c r="X56" s="15"/>
      <c r="Y56" s="3"/>
      <c r="Z56" s="421"/>
      <c r="AA56" s="126"/>
      <c r="AD56" s="16"/>
      <c r="AG56" s="33"/>
      <c r="AH56" s="43"/>
      <c r="AL56" s="63"/>
      <c r="AM56" s="307"/>
      <c r="AN56" s="339"/>
      <c r="AO56" s="387"/>
    </row>
    <row r="57" spans="1:41">
      <c r="A57" s="130" t="s">
        <v>6578</v>
      </c>
      <c r="B57" s="80">
        <v>-2</v>
      </c>
      <c r="C57" s="80">
        <v>-4</v>
      </c>
      <c r="D57" s="80">
        <v>-16</v>
      </c>
      <c r="E57" s="79">
        <v>19</v>
      </c>
      <c r="F57" s="57">
        <v>19.14</v>
      </c>
      <c r="G57" s="79">
        <v>4580</v>
      </c>
      <c r="H57" s="8" t="s">
        <v>297</v>
      </c>
      <c r="I57" s="16" t="s">
        <v>1866</v>
      </c>
      <c r="J57" s="323">
        <v>46.87</v>
      </c>
      <c r="K57" s="323">
        <v>2.16</v>
      </c>
      <c r="L57" s="73">
        <v>1.42</v>
      </c>
      <c r="M57" s="73">
        <v>12.08</v>
      </c>
      <c r="N57" s="318">
        <f t="shared" ref="N57" si="37">J57+K57+L57+M57</f>
        <v>62.53</v>
      </c>
      <c r="O57" s="81">
        <f>IFERROR(VLOOKUP($G57,'321買'!A:E,3,0),"'沒有資料'")</f>
        <v>0</v>
      </c>
      <c r="P57" s="380">
        <f>IFERROR(VLOOKUP($G57,'321買'!$A:$G,7,0),"'沒有資料'")</f>
        <v>911</v>
      </c>
      <c r="R57" s="297">
        <f>IFERROR(RANK(VLOOKUP($G57,連買!$A:$D,4,0),連買!$D:$D,0),"'沒有資料'")</f>
        <v>121</v>
      </c>
      <c r="S57" s="66"/>
      <c r="T57" s="353">
        <f t="shared" ref="T57" si="38">S57/V57</f>
        <v>0</v>
      </c>
      <c r="U57" s="95">
        <v>7.39</v>
      </c>
      <c r="V57" s="36">
        <f>RTD("money.excel",,"4580","Price")</f>
        <v>88.8</v>
      </c>
      <c r="W57" s="66">
        <v>84</v>
      </c>
      <c r="X57" s="15">
        <f t="shared" ref="X57" si="39">V57-W57</f>
        <v>4.7999999999999972</v>
      </c>
      <c r="Y57" s="3">
        <f t="shared" ref="Y57" si="40">X57/W57</f>
        <v>5.7142857142857106E-2</v>
      </c>
      <c r="Z57" s="421" t="s">
        <v>8651</v>
      </c>
      <c r="AA57" s="126"/>
      <c r="AD57" s="16" t="s">
        <v>1866</v>
      </c>
      <c r="AE57" s="84">
        <v>44663</v>
      </c>
      <c r="AF57" s="83">
        <v>44673</v>
      </c>
      <c r="AG57" s="33">
        <f>AF57-AE57</f>
        <v>10</v>
      </c>
      <c r="AH57" s="122" t="s">
        <v>1867</v>
      </c>
      <c r="AL57" s="63">
        <f>AM57/(A57*10000)</f>
        <v>2.4361948955916478E-3</v>
      </c>
      <c r="AM57" s="307">
        <f>RTD("money.excel",,$G57,"PredictVolume")</f>
        <v>105</v>
      </c>
      <c r="AN57" s="339">
        <v>2.35</v>
      </c>
      <c r="AO57" s="387"/>
    </row>
    <row r="58" spans="1:41">
      <c r="B58" s="91"/>
      <c r="C58" s="91"/>
      <c r="D58" s="91"/>
      <c r="E58" s="91"/>
      <c r="F58" s="8"/>
      <c r="G58" s="26"/>
      <c r="H58" s="55"/>
      <c r="I58" s="8"/>
      <c r="J58" s="317"/>
      <c r="K58" s="317"/>
      <c r="L58" s="317"/>
      <c r="M58" s="317"/>
      <c r="N58" s="317"/>
      <c r="P58" s="380"/>
      <c r="R58" s="297"/>
      <c r="S58" s="10"/>
      <c r="T58" s="351"/>
      <c r="U58" s="68"/>
      <c r="V58" s="28"/>
      <c r="W58" s="17"/>
      <c r="X58" s="14"/>
      <c r="Y58" s="21"/>
      <c r="Z58" s="421"/>
      <c r="AA58" s="126"/>
      <c r="AD58" s="8"/>
      <c r="AE58" s="71"/>
      <c r="AF58" s="405"/>
      <c r="AG58" s="32"/>
      <c r="AH58" s="42"/>
      <c r="AL58" s="283"/>
    </row>
    <row r="59" spans="1:41">
      <c r="A59" s="146" t="s">
        <v>6571</v>
      </c>
      <c r="B59" s="80">
        <v>-23</v>
      </c>
      <c r="C59" s="80">
        <v>-53</v>
      </c>
      <c r="D59" s="80">
        <v>-1</v>
      </c>
      <c r="E59" s="79">
        <v>115</v>
      </c>
      <c r="F59" s="6">
        <v>6.2</v>
      </c>
      <c r="G59" s="79">
        <v>6569</v>
      </c>
      <c r="H59" s="8" t="s">
        <v>311</v>
      </c>
      <c r="I59" s="16" t="s">
        <v>4156</v>
      </c>
      <c r="J59" s="323">
        <v>66.83</v>
      </c>
      <c r="K59" s="323">
        <v>2.63</v>
      </c>
      <c r="M59" s="323">
        <v>62.35</v>
      </c>
      <c r="N59" s="73">
        <f t="shared" ref="N59" si="41">J59+K59+L59+M59</f>
        <v>131.81</v>
      </c>
      <c r="O59" s="81" t="str">
        <f>IFERROR(VLOOKUP($G59,'321買'!A:E,3,0),"'沒有資料'")</f>
        <v>'沒有資料'</v>
      </c>
      <c r="P59" s="380" t="str">
        <f>IFERROR(VLOOKUP($G59,'321買'!$A:$G,7,0),"'沒有資料'")</f>
        <v>'沒有資料'</v>
      </c>
      <c r="R59" s="297">
        <f>IFERROR(RANK(VLOOKUP($G59,連買!$A:$D,4,0),連買!$D:$D,0),"'沒有資料'")</f>
        <v>1628</v>
      </c>
      <c r="S59" s="34"/>
      <c r="T59" s="353">
        <f t="shared" ref="T59" si="42">S59/V59</f>
        <v>0</v>
      </c>
      <c r="U59" s="57">
        <v>4.42</v>
      </c>
      <c r="V59" s="36">
        <f>RTD("money.excel",,"6569","Price")</f>
        <v>104</v>
      </c>
      <c r="W59" s="66">
        <v>88</v>
      </c>
      <c r="X59" s="15">
        <f t="shared" ref="X59" si="43">V59-W59</f>
        <v>16</v>
      </c>
      <c r="Y59" s="3">
        <f t="shared" ref="Y59" si="44">X59/W59</f>
        <v>0.18181818181818182</v>
      </c>
      <c r="Z59" s="421" t="s">
        <v>8581</v>
      </c>
      <c r="AA59" s="126"/>
      <c r="AD59" s="16" t="s">
        <v>4156</v>
      </c>
      <c r="AE59" s="84">
        <v>44659</v>
      </c>
      <c r="AF59" s="86">
        <v>44669</v>
      </c>
      <c r="AG59" s="33">
        <f>AF59-AE59</f>
        <v>10</v>
      </c>
      <c r="AH59" s="43" t="s">
        <v>4157</v>
      </c>
      <c r="AL59" s="63">
        <f>AM59/(A59*10000)</f>
        <v>5.7057057057057056E-4</v>
      </c>
      <c r="AM59" s="307">
        <f>RTD("money.excel",,$G59,"PredictVolume")</f>
        <v>19</v>
      </c>
      <c r="AN59" s="339">
        <v>1.31</v>
      </c>
      <c r="AO59" s="387"/>
    </row>
    <row r="60" spans="1:41">
      <c r="A60" s="146" t="s">
        <v>3225</v>
      </c>
      <c r="B60" s="80">
        <v>-87</v>
      </c>
      <c r="C60" s="79">
        <v>76</v>
      </c>
      <c r="D60" s="80">
        <v>-29</v>
      </c>
      <c r="E60" s="80">
        <v>-21</v>
      </c>
      <c r="F60" s="6">
        <v>-4.7699999999999996</v>
      </c>
      <c r="G60" s="79">
        <v>5484</v>
      </c>
      <c r="H60" s="8" t="s">
        <v>308</v>
      </c>
      <c r="I60" s="22" t="s">
        <v>4589</v>
      </c>
      <c r="J60" s="323">
        <v>38.200000000000003</v>
      </c>
      <c r="K60" s="323">
        <v>0.59</v>
      </c>
      <c r="M60" s="73">
        <v>15.3</v>
      </c>
      <c r="N60" s="318">
        <f t="shared" ref="N60" si="45">J60+K60+L60+M60</f>
        <v>54.09</v>
      </c>
      <c r="O60" s="81">
        <f>IFERROR(VLOOKUP($G60,'321買'!A:E,3,0),"'沒有資料'")</f>
        <v>0</v>
      </c>
      <c r="P60" s="380">
        <f>IFERROR(VLOOKUP($G60,'321買'!$A:$G,7,0),"'沒有資料'")</f>
        <v>911</v>
      </c>
      <c r="R60" s="297">
        <f>IFERROR(RANK(VLOOKUP($G60,連買!$A:$D,4,0),連買!$D:$D,0),"'沒有資料'")</f>
        <v>1319</v>
      </c>
      <c r="S60" s="34"/>
      <c r="T60" s="353">
        <f t="shared" ref="T60" si="46">S60/V60</f>
        <v>0</v>
      </c>
      <c r="U60" s="95">
        <v>-0.98</v>
      </c>
      <c r="V60" s="36">
        <f>RTD("money.excel",,"5484","Price")</f>
        <v>14.25</v>
      </c>
      <c r="W60" s="66">
        <v>14</v>
      </c>
      <c r="X60" s="15">
        <f t="shared" ref="X60" si="47">V60-W60</f>
        <v>0.25</v>
      </c>
      <c r="Y60" s="3">
        <f t="shared" ref="Y60" si="48">X60/W60</f>
        <v>1.7857142857142856E-2</v>
      </c>
      <c r="Z60" s="421" t="s">
        <v>8582</v>
      </c>
      <c r="AA60" s="126"/>
      <c r="AD60" s="22" t="s">
        <v>4589</v>
      </c>
      <c r="AE60" s="84">
        <v>44659</v>
      </c>
      <c r="AF60" s="86">
        <v>44669</v>
      </c>
      <c r="AG60" s="33">
        <f>AF60-AE60</f>
        <v>10</v>
      </c>
      <c r="AH60" s="43" t="s">
        <v>4590</v>
      </c>
      <c r="AL60" s="63">
        <f>AM60/(A60*10000)</f>
        <v>2.7694610778443113E-3</v>
      </c>
      <c r="AM60" s="307">
        <f>RTD("money.excel",,$G60,"PredictVolume")</f>
        <v>185</v>
      </c>
      <c r="AN60" s="339">
        <v>4.88</v>
      </c>
      <c r="AO60" s="387"/>
    </row>
    <row r="61" spans="1:41">
      <c r="A61" s="146" t="s">
        <v>6572</v>
      </c>
      <c r="B61" s="79">
        <v>214</v>
      </c>
      <c r="C61" s="79">
        <v>165</v>
      </c>
      <c r="D61" s="80">
        <v>-35</v>
      </c>
      <c r="E61" s="80">
        <v>-28</v>
      </c>
      <c r="F61" s="6">
        <v>1.33</v>
      </c>
      <c r="G61" s="79">
        <v>3346</v>
      </c>
      <c r="H61" s="8" t="s">
        <v>303</v>
      </c>
      <c r="I61" s="22" t="s">
        <v>579</v>
      </c>
      <c r="J61" s="323">
        <v>28.88</v>
      </c>
      <c r="K61" s="323">
        <v>2.94</v>
      </c>
      <c r="L61" s="73">
        <v>23.69</v>
      </c>
      <c r="M61" s="323">
        <v>11.7</v>
      </c>
      <c r="N61" s="318">
        <f t="shared" ref="N61" si="49">J61+K61+L61+M61</f>
        <v>67.210000000000008</v>
      </c>
      <c r="O61" s="81">
        <f>IFERROR(VLOOKUP($G61,'321買'!A:E,3,0),"'沒有資料'")</f>
        <v>5</v>
      </c>
      <c r="P61" s="380">
        <f>IFERROR(VLOOKUP($G61,'321買'!$A:$G,7,0),"'沒有資料'")</f>
        <v>558</v>
      </c>
      <c r="R61" s="297">
        <f>IFERROR(RANK(VLOOKUP($G61,連買!$A:$D,4,0),連買!$D:$D,0),"'沒有資料'")</f>
        <v>450</v>
      </c>
      <c r="S61" s="34"/>
      <c r="T61" s="353">
        <f t="shared" ref="T61" si="50">S61/V61</f>
        <v>0</v>
      </c>
      <c r="U61" s="95">
        <v>1.36</v>
      </c>
      <c r="V61" s="36">
        <f>RTD("money.excel",,"3346","Price")</f>
        <v>36.200000000000003</v>
      </c>
      <c r="W61" s="66">
        <v>33</v>
      </c>
      <c r="X61" s="15">
        <f t="shared" ref="X61" si="51">V61-W61</f>
        <v>3.2000000000000028</v>
      </c>
      <c r="Y61" s="3">
        <f t="shared" ref="Y61" si="52">X61/W61</f>
        <v>9.6969696969697053E-2</v>
      </c>
      <c r="Z61" s="421" t="s">
        <v>8583</v>
      </c>
      <c r="AA61" s="126"/>
      <c r="AD61" s="22" t="s">
        <v>579</v>
      </c>
      <c r="AE61" s="84">
        <v>44659</v>
      </c>
      <c r="AF61" s="86">
        <v>44669</v>
      </c>
      <c r="AG61" s="33">
        <f>AF61-AE61</f>
        <v>10</v>
      </c>
      <c r="AH61" s="43" t="s">
        <v>2242</v>
      </c>
      <c r="AL61" s="63">
        <f>AM61/(A61*10000)</f>
        <v>3.1792452830188681E-3</v>
      </c>
      <c r="AM61" s="307">
        <f>RTD("money.excel",,$G61,"PredictVolume")</f>
        <v>337</v>
      </c>
      <c r="AN61" s="339">
        <v>65.78</v>
      </c>
      <c r="AO61" s="387"/>
    </row>
    <row r="62" spans="1:41">
      <c r="A62" s="146" t="s">
        <v>2068</v>
      </c>
      <c r="B62" s="80">
        <v>-3</v>
      </c>
      <c r="C62" s="80">
        <v>-16</v>
      </c>
      <c r="D62" s="80">
        <v>-28</v>
      </c>
      <c r="E62" s="80">
        <v>-10</v>
      </c>
      <c r="F62" s="6">
        <v>-4.24</v>
      </c>
      <c r="G62" s="79">
        <v>3625</v>
      </c>
      <c r="H62" s="149" t="s">
        <v>1152</v>
      </c>
      <c r="I62" s="24" t="s">
        <v>2388</v>
      </c>
      <c r="J62" s="323">
        <v>35.92</v>
      </c>
      <c r="K62" s="73">
        <v>8.5399999999999991</v>
      </c>
      <c r="L62" s="323">
        <v>14.31</v>
      </c>
      <c r="M62" s="323">
        <v>17.46</v>
      </c>
      <c r="N62" s="318">
        <f t="shared" ref="N62" si="53">J62+K62+L62+M62</f>
        <v>76.23</v>
      </c>
      <c r="O62" s="81">
        <f>IFERROR(VLOOKUP($G62,'321買'!A:E,3,0),"'沒有資料'")</f>
        <v>9</v>
      </c>
      <c r="P62" s="380">
        <f>IFERROR(VLOOKUP($G62,'321買'!$A:$G,7,0),"'沒有資料'")</f>
        <v>408</v>
      </c>
      <c r="R62" s="297">
        <f>IFERROR(RANK(VLOOKUP($G62,連買!$A:$D,4,0),連買!$D:$D,0),"'沒有資料'")</f>
        <v>844</v>
      </c>
      <c r="S62" s="34"/>
      <c r="T62" s="353">
        <f t="shared" ref="T62" si="54">S62/V62</f>
        <v>0</v>
      </c>
      <c r="U62" s="95">
        <v>-2.0099999999999998</v>
      </c>
      <c r="V62" s="36">
        <f>RTD("money.excel",,"3625","Price")</f>
        <v>20.2</v>
      </c>
      <c r="W62" s="66">
        <v>20</v>
      </c>
      <c r="X62" s="15">
        <f t="shared" ref="X62" si="55">V62-W62</f>
        <v>0.19999999999999929</v>
      </c>
      <c r="Y62" s="3">
        <f t="shared" ref="Y62" si="56">X62/W62</f>
        <v>9.9999999999999638E-3</v>
      </c>
      <c r="Z62" s="421" t="s">
        <v>8578</v>
      </c>
      <c r="AA62" s="126"/>
      <c r="AD62" s="24" t="s">
        <v>2388</v>
      </c>
      <c r="AE62" s="84">
        <v>44658</v>
      </c>
      <c r="AF62" s="86">
        <v>44669</v>
      </c>
      <c r="AG62" s="33">
        <f>AF62-AE62</f>
        <v>11</v>
      </c>
      <c r="AH62" s="122" t="s">
        <v>2389</v>
      </c>
      <c r="AL62" s="63">
        <f>AM62/(A62*10000)</f>
        <v>1.9122807017543859E-3</v>
      </c>
      <c r="AM62" s="307">
        <f>RTD("money.excel",,$G62,"PredictVolume")</f>
        <v>218</v>
      </c>
      <c r="AN62" s="339">
        <v>21.99</v>
      </c>
      <c r="AO62" s="387"/>
    </row>
    <row r="63" spans="1:41">
      <c r="A63" s="146"/>
      <c r="B63" s="80"/>
      <c r="C63" s="80"/>
      <c r="D63" s="80"/>
      <c r="E63" s="80"/>
      <c r="F63" s="6"/>
      <c r="G63" s="79"/>
      <c r="H63" s="149"/>
      <c r="I63" s="24"/>
      <c r="J63" s="323"/>
      <c r="K63" s="73"/>
      <c r="L63" s="323"/>
      <c r="M63" s="323"/>
      <c r="N63" s="318"/>
      <c r="O63" s="81"/>
      <c r="P63" s="380"/>
      <c r="R63" s="297"/>
      <c r="S63" s="34"/>
      <c r="T63" s="353"/>
      <c r="U63" s="95"/>
      <c r="V63" s="36"/>
      <c r="W63" s="66"/>
      <c r="X63" s="15"/>
      <c r="Y63" s="3"/>
      <c r="Z63" s="421"/>
      <c r="AA63" s="126"/>
      <c r="AD63" s="24"/>
      <c r="AG63" s="33"/>
      <c r="AH63" s="122"/>
      <c r="AL63" s="63"/>
      <c r="AM63" s="307"/>
      <c r="AN63" s="339"/>
      <c r="AO63" s="387"/>
    </row>
    <row r="64" spans="1:41">
      <c r="A64" s="189"/>
      <c r="B64" s="177"/>
      <c r="C64" s="177"/>
      <c r="D64" s="177"/>
      <c r="E64" s="177"/>
      <c r="F64" s="178"/>
      <c r="G64" s="179"/>
      <c r="H64" s="181"/>
      <c r="I64" s="180"/>
      <c r="J64" s="319"/>
      <c r="K64" s="319"/>
      <c r="L64" s="324"/>
      <c r="M64" s="325"/>
      <c r="N64" s="319">
        <v>130</v>
      </c>
      <c r="Q64" s="322" t="s">
        <v>3841</v>
      </c>
      <c r="S64" s="178"/>
      <c r="U64" s="4" t="s">
        <v>1467</v>
      </c>
      <c r="V64" s="4" t="s">
        <v>1157</v>
      </c>
      <c r="W64" s="10" t="s">
        <v>284</v>
      </c>
      <c r="X64" s="182"/>
      <c r="Y64" s="183"/>
      <c r="Z64" s="184"/>
      <c r="AA64" s="126"/>
      <c r="AD64" s="180"/>
      <c r="AF64" s="187"/>
      <c r="AG64" s="185">
        <f>AF64-AE64</f>
        <v>0</v>
      </c>
      <c r="AJ64" s="186"/>
      <c r="AK64" s="180"/>
      <c r="AL64" s="313"/>
      <c r="AM64" s="274"/>
    </row>
    <row r="65" spans="1:41">
      <c r="A65" s="130" t="s">
        <v>1732</v>
      </c>
      <c r="B65" s="91" t="s">
        <v>1588</v>
      </c>
      <c r="C65" s="91" t="s">
        <v>1589</v>
      </c>
      <c r="D65" s="91" t="s">
        <v>1590</v>
      </c>
      <c r="E65" s="91" t="s">
        <v>1591</v>
      </c>
      <c r="F65" s="8" t="s">
        <v>1066</v>
      </c>
      <c r="G65" s="26" t="s">
        <v>3691</v>
      </c>
      <c r="H65" s="55" t="s">
        <v>322</v>
      </c>
      <c r="I65" s="8" t="s">
        <v>2455</v>
      </c>
      <c r="J65" s="317" t="s">
        <v>1467</v>
      </c>
      <c r="K65" s="317" t="s">
        <v>1157</v>
      </c>
      <c r="L65" s="317" t="s">
        <v>284</v>
      </c>
      <c r="M65" s="317" t="s">
        <v>1059</v>
      </c>
      <c r="N65" s="317" t="s">
        <v>5048</v>
      </c>
      <c r="O65" s="26" t="s">
        <v>5107</v>
      </c>
      <c r="P65" s="373" t="s">
        <v>3837</v>
      </c>
      <c r="Q65" s="303" t="s">
        <v>3814</v>
      </c>
      <c r="R65" s="345" t="s">
        <v>3837</v>
      </c>
      <c r="S65" s="10" t="s">
        <v>66</v>
      </c>
      <c r="T65" s="351" t="s">
        <v>5076</v>
      </c>
      <c r="U65" s="68" t="s">
        <v>3844</v>
      </c>
      <c r="V65" s="28" t="s">
        <v>3860</v>
      </c>
      <c r="W65" s="17" t="s">
        <v>1405</v>
      </c>
      <c r="X65" s="14" t="s">
        <v>5</v>
      </c>
      <c r="Y65" s="21" t="s">
        <v>3</v>
      </c>
      <c r="Z65" s="420" t="s">
        <v>6627</v>
      </c>
      <c r="AA65" s="406" t="s">
        <v>8647</v>
      </c>
      <c r="AB65" s="407" t="s">
        <v>8648</v>
      </c>
      <c r="AC65" s="408" t="s">
        <v>8649</v>
      </c>
      <c r="AD65" s="8" t="s">
        <v>2455</v>
      </c>
      <c r="AE65" s="71" t="s">
        <v>1406</v>
      </c>
      <c r="AF65" s="72" t="s">
        <v>1163</v>
      </c>
      <c r="AG65" s="32" t="s">
        <v>1164</v>
      </c>
      <c r="AH65" s="42" t="s">
        <v>2456</v>
      </c>
      <c r="AI65" s="283"/>
      <c r="AK65" s="264"/>
      <c r="AL65" s="264"/>
    </row>
    <row r="66" spans="1:41">
      <c r="A66" s="146" t="s">
        <v>8640</v>
      </c>
      <c r="B66" s="79">
        <v>91</v>
      </c>
      <c r="C66" s="79">
        <v>74</v>
      </c>
      <c r="D66" s="79">
        <v>8</v>
      </c>
      <c r="E66" s="79">
        <v>56</v>
      </c>
      <c r="F66" s="6">
        <v>4</v>
      </c>
      <c r="G66" s="80">
        <v>6804</v>
      </c>
      <c r="H66" s="5" t="s">
        <v>235</v>
      </c>
      <c r="I66" s="16" t="s">
        <v>6567</v>
      </c>
      <c r="J66" s="73">
        <v>72.75</v>
      </c>
      <c r="K66" s="323">
        <v>8.6999999999999993</v>
      </c>
      <c r="L66" s="323"/>
      <c r="M66" s="73">
        <v>27.56</v>
      </c>
      <c r="N66" s="318">
        <f t="shared" ref="N66" si="57">J66+K66+L66+M66</f>
        <v>109.01</v>
      </c>
      <c r="O66" s="81" t="str">
        <f>IFERROR(VLOOKUP($G66,'321買'!A:E,3,0),"'沒有資料'")</f>
        <v>'沒有資料'</v>
      </c>
      <c r="P66" s="380" t="str">
        <f>IFERROR(VLOOKUP($G66,'321買'!$A:$G,7,0),"'沒有資料'")</f>
        <v>'沒有資料'</v>
      </c>
      <c r="R66" s="297" t="str">
        <f>IFERROR(RANK(VLOOKUP($G66,連買!$A:$D,4,0),連買!$D:$D,0),"'沒有資料'")</f>
        <v>'沒有資料'</v>
      </c>
      <c r="S66" s="34">
        <v>0.65</v>
      </c>
      <c r="T66" s="353">
        <f t="shared" ref="T66" si="58">S66/V66</f>
        <v>1.3265306122448981E-2</v>
      </c>
      <c r="U66" s="57" t="s">
        <v>3500</v>
      </c>
      <c r="V66" s="36">
        <v>49</v>
      </c>
      <c r="W66" s="66">
        <v>40</v>
      </c>
      <c r="X66" s="15">
        <f t="shared" ref="X66" si="59">V66-W66</f>
        <v>9</v>
      </c>
      <c r="Y66" s="63">
        <f t="shared" ref="Y66" si="60">X66/W66</f>
        <v>0.22500000000000001</v>
      </c>
      <c r="Z66" s="100" t="s">
        <v>1130</v>
      </c>
      <c r="AA66" s="126"/>
      <c r="AD66" s="16" t="s">
        <v>6567</v>
      </c>
      <c r="AE66" s="84">
        <v>44651</v>
      </c>
      <c r="AF66" s="86">
        <v>44662</v>
      </c>
      <c r="AG66" s="33">
        <f t="shared" ref="AG66:AG129" si="61">AF66-AE66</f>
        <v>11</v>
      </c>
      <c r="AH66" s="120" t="s">
        <v>6568</v>
      </c>
      <c r="AI66" s="63"/>
      <c r="AK66" s="264"/>
      <c r="AL66" s="264"/>
      <c r="AM66" s="307"/>
      <c r="AN66" s="339"/>
      <c r="AO66" s="387"/>
    </row>
    <row r="67" spans="1:41">
      <c r="A67" s="146" t="s">
        <v>6562</v>
      </c>
      <c r="B67" s="80">
        <v>-15</v>
      </c>
      <c r="C67" s="80">
        <v>-17</v>
      </c>
      <c r="D67" s="80">
        <v>-21</v>
      </c>
      <c r="E67" s="79">
        <v>74</v>
      </c>
      <c r="F67" s="47">
        <v>-9141</v>
      </c>
      <c r="G67" s="80">
        <v>4174</v>
      </c>
      <c r="H67" s="5" t="s">
        <v>311</v>
      </c>
      <c r="I67" s="16" t="s">
        <v>4100</v>
      </c>
      <c r="J67" s="73">
        <v>50.65</v>
      </c>
      <c r="K67" s="323">
        <v>11.59</v>
      </c>
      <c r="L67" s="323"/>
      <c r="M67" s="323">
        <v>16.510000000000002</v>
      </c>
      <c r="N67" s="318">
        <f t="shared" ref="N67" si="62">J67+K67+L67+M67</f>
        <v>78.75</v>
      </c>
      <c r="O67" s="81">
        <f>IFERROR(VLOOKUP($G67,'321買'!A:E,3,0),"'沒有資料'")</f>
        <v>1</v>
      </c>
      <c r="P67" s="380">
        <f>IFERROR(VLOOKUP($G67,'321買'!$A:$G,7,0),"'沒有資料'")</f>
        <v>783</v>
      </c>
      <c r="R67" s="297">
        <f>IFERROR(RANK(VLOOKUP($G67,連買!$A:$D,4,0),連買!$D:$D,0),"'沒有資料'")</f>
        <v>168</v>
      </c>
      <c r="S67" s="34">
        <v>0</v>
      </c>
      <c r="T67" s="353">
        <f t="shared" ref="T67" si="63">S67/V67</f>
        <v>0</v>
      </c>
      <c r="U67" s="57">
        <v>-7.7</v>
      </c>
      <c r="V67" s="36">
        <v>107.5</v>
      </c>
      <c r="W67" s="66">
        <v>105</v>
      </c>
      <c r="X67" s="15">
        <f t="shared" ref="X67" si="64">V67-W67</f>
        <v>2.5</v>
      </c>
      <c r="Y67" s="63">
        <f t="shared" ref="Y67" si="65">X67/W67</f>
        <v>2.3809523809523808E-2</v>
      </c>
      <c r="Z67" s="100" t="s">
        <v>1465</v>
      </c>
      <c r="AA67" s="126"/>
      <c r="AD67" s="16" t="s">
        <v>4100</v>
      </c>
      <c r="AE67" s="84">
        <v>44650</v>
      </c>
      <c r="AF67" s="86">
        <v>44662</v>
      </c>
      <c r="AG67" s="33">
        <f t="shared" si="61"/>
        <v>12</v>
      </c>
      <c r="AH67" s="43" t="s">
        <v>4101</v>
      </c>
      <c r="AI67" s="63"/>
      <c r="AK67" s="264"/>
      <c r="AL67" s="264"/>
      <c r="AM67" s="307"/>
      <c r="AN67" s="339"/>
      <c r="AO67" s="387"/>
    </row>
    <row r="68" spans="1:41">
      <c r="A68" s="146" t="s">
        <v>2135</v>
      </c>
      <c r="B68" s="80">
        <v>-24</v>
      </c>
      <c r="C68" s="80">
        <v>-175</v>
      </c>
      <c r="D68" s="80">
        <f>-35-4</f>
        <v>-39</v>
      </c>
      <c r="E68" s="80">
        <v>-23</v>
      </c>
      <c r="F68" s="6">
        <v>-0.83</v>
      </c>
      <c r="G68" s="80">
        <v>2867</v>
      </c>
      <c r="H68" s="18" t="s">
        <v>4977</v>
      </c>
      <c r="I68" s="22" t="s">
        <v>116</v>
      </c>
      <c r="J68" s="323">
        <v>72.56</v>
      </c>
      <c r="K68" s="323">
        <v>5.61</v>
      </c>
      <c r="L68" s="323">
        <v>4.59</v>
      </c>
      <c r="M68" s="323">
        <v>40.74</v>
      </c>
      <c r="N68" s="318">
        <f t="shared" ref="N68:N69" si="66">J68+K68+L68+M68</f>
        <v>123.5</v>
      </c>
      <c r="O68" s="81">
        <f>IFERROR(VLOOKUP($G68,'321買'!A:E,3,0),"'沒有資料'")</f>
        <v>0</v>
      </c>
      <c r="P68" s="380">
        <f>IFERROR(VLOOKUP($G68,'321買'!$A:$G,7,0),"'沒有資料'")</f>
        <v>911</v>
      </c>
      <c r="R68" s="297">
        <f>IFERROR(RANK(VLOOKUP($G68,連買!$A:$D,4,0),連買!$D:$D,0),"'沒有資料'")</f>
        <v>1233</v>
      </c>
      <c r="S68" s="34">
        <v>0</v>
      </c>
      <c r="T68" s="353">
        <f>S68/V68</f>
        <v>0</v>
      </c>
      <c r="U68" s="57">
        <v>0.43</v>
      </c>
      <c r="V68" s="36">
        <v>8.65</v>
      </c>
      <c r="W68" s="66">
        <v>8.1999999999999993</v>
      </c>
      <c r="X68" s="15">
        <f>V68-W68</f>
        <v>0.45000000000000107</v>
      </c>
      <c r="Y68" s="63">
        <f>X68/W68</f>
        <v>5.4878048780487937E-2</v>
      </c>
      <c r="Z68" s="100" t="s">
        <v>1787</v>
      </c>
      <c r="AA68" s="126"/>
      <c r="AD68" s="22" t="s">
        <v>116</v>
      </c>
      <c r="AE68" s="84">
        <v>44644</v>
      </c>
      <c r="AF68" s="86">
        <v>44657</v>
      </c>
      <c r="AG68" s="33">
        <f t="shared" si="61"/>
        <v>13</v>
      </c>
      <c r="AH68" s="120" t="s">
        <v>2323</v>
      </c>
      <c r="AI68" s="63"/>
      <c r="AK68" s="264"/>
      <c r="AL68" s="264"/>
      <c r="AM68" s="307"/>
      <c r="AN68" s="339"/>
      <c r="AO68" s="387"/>
    </row>
    <row r="69" spans="1:41">
      <c r="A69" s="146" t="s">
        <v>1764</v>
      </c>
      <c r="B69" s="79">
        <v>181</v>
      </c>
      <c r="C69" s="79">
        <v>283</v>
      </c>
      <c r="D69" s="80">
        <v>-51</v>
      </c>
      <c r="E69" s="80">
        <v>-30</v>
      </c>
      <c r="F69" s="6">
        <v>5.67</v>
      </c>
      <c r="G69" s="80">
        <v>3349</v>
      </c>
      <c r="H69" s="195" t="s">
        <v>1152</v>
      </c>
      <c r="I69" s="16" t="s">
        <v>5160</v>
      </c>
      <c r="J69" s="323">
        <v>36.880000000000003</v>
      </c>
      <c r="K69" s="323">
        <v>0.01</v>
      </c>
      <c r="L69" s="323"/>
      <c r="M69" s="73">
        <v>16.88</v>
      </c>
      <c r="N69" s="318">
        <f t="shared" si="66"/>
        <v>53.769999999999996</v>
      </c>
      <c r="O69" s="81" t="str">
        <f>IFERROR(VLOOKUP($G69,'321買'!A:E,3,0),"'沒有資料'")</f>
        <v>'沒有資料'</v>
      </c>
      <c r="P69" s="380" t="str">
        <f>IFERROR(VLOOKUP($G69,'321買'!$A:$G,7,0),"'沒有資料'")</f>
        <v>'沒有資料'</v>
      </c>
      <c r="R69" s="297">
        <f>IFERROR(RANK(VLOOKUP($G69,連買!$A:$D,4,0),連買!$D:$D,0),"'沒有資料'")</f>
        <v>1408</v>
      </c>
      <c r="S69" s="34">
        <v>1.2</v>
      </c>
      <c r="T69" s="353">
        <f>S69/V69</f>
        <v>5.8111380145278453E-2</v>
      </c>
      <c r="U69" s="95" t="s">
        <v>3500</v>
      </c>
      <c r="V69" s="36">
        <v>20.65</v>
      </c>
      <c r="W69" s="66">
        <v>18.88</v>
      </c>
      <c r="X69" s="15">
        <f>V69-W69</f>
        <v>1.7699999999999996</v>
      </c>
      <c r="Y69" s="63">
        <f>X69/W69</f>
        <v>9.3749999999999986E-2</v>
      </c>
      <c r="Z69" s="100" t="s">
        <v>6574</v>
      </c>
      <c r="AA69" s="264"/>
      <c r="AD69" s="16" t="s">
        <v>5160</v>
      </c>
      <c r="AE69" s="84">
        <v>44643</v>
      </c>
      <c r="AF69" s="86">
        <v>44657</v>
      </c>
      <c r="AG69" s="33">
        <f t="shared" si="61"/>
        <v>14</v>
      </c>
      <c r="AH69" s="43" t="s">
        <v>5161</v>
      </c>
      <c r="AI69" s="63"/>
      <c r="AK69" s="264"/>
      <c r="AL69" s="264"/>
      <c r="AM69" s="307"/>
      <c r="AN69" s="339"/>
      <c r="AO69" s="387"/>
    </row>
    <row r="70" spans="1:41">
      <c r="A70" s="130" t="s">
        <v>3158</v>
      </c>
      <c r="B70" s="79">
        <v>297</v>
      </c>
      <c r="C70" s="79">
        <v>266</v>
      </c>
      <c r="D70" s="80">
        <v>-13</v>
      </c>
      <c r="E70" s="79">
        <v>15</v>
      </c>
      <c r="F70" s="57">
        <v>11.54</v>
      </c>
      <c r="G70" s="80">
        <v>4558</v>
      </c>
      <c r="H70" s="5" t="s">
        <v>297</v>
      </c>
      <c r="I70" s="16" t="s">
        <v>5158</v>
      </c>
      <c r="J70" s="73">
        <v>47.6</v>
      </c>
      <c r="K70" s="323">
        <v>0.01</v>
      </c>
      <c r="M70" s="73">
        <v>9.89</v>
      </c>
      <c r="N70" s="318">
        <f t="shared" ref="N70" si="67">J70+K70+L70+M70</f>
        <v>57.5</v>
      </c>
      <c r="O70" s="81" t="str">
        <f>IFERROR(VLOOKUP($G70,'321買'!#REF!,3,0),"'沒有資料'")</f>
        <v>'沒有資料'</v>
      </c>
      <c r="P70" s="380" t="str">
        <f>IFERROR(VLOOKUP($G70,'321買'!$A:$G,7,0),"'沒有資料'")</f>
        <v>'沒有資料'</v>
      </c>
      <c r="R70" s="297">
        <f>IFERROR(RANK(VLOOKUP($G70,連買!$A:$D,4,0),連買!$D:$D,0),"'沒有資料'")</f>
        <v>1408</v>
      </c>
      <c r="S70" s="45">
        <v>3</v>
      </c>
      <c r="T70" s="353">
        <f>S70/V70</f>
        <v>6.500541711809317E-2</v>
      </c>
      <c r="U70" s="95" t="s">
        <v>3500</v>
      </c>
      <c r="V70" s="13">
        <v>46.15</v>
      </c>
      <c r="W70" s="66">
        <v>40</v>
      </c>
      <c r="X70" s="15">
        <f>V70-W70</f>
        <v>6.1499999999999986</v>
      </c>
      <c r="Y70" s="63">
        <f>X70/W70</f>
        <v>0.15374999999999997</v>
      </c>
      <c r="Z70" s="100" t="s">
        <v>6566</v>
      </c>
      <c r="AA70" s="126"/>
      <c r="AD70" s="16" t="s">
        <v>5158</v>
      </c>
      <c r="AE70" s="84">
        <v>44637</v>
      </c>
      <c r="AF70" s="86">
        <v>44648</v>
      </c>
      <c r="AG70" s="33">
        <f t="shared" si="61"/>
        <v>11</v>
      </c>
      <c r="AH70" s="43" t="s">
        <v>5159</v>
      </c>
      <c r="AI70" s="63"/>
      <c r="AK70" s="264"/>
      <c r="AL70" s="264"/>
      <c r="AM70" s="307"/>
      <c r="AN70" s="339"/>
      <c r="AO70" s="387"/>
    </row>
    <row r="71" spans="1:41">
      <c r="A71" s="130" t="s">
        <v>1621</v>
      </c>
      <c r="B71" s="79">
        <v>74</v>
      </c>
      <c r="C71" s="79">
        <v>77</v>
      </c>
      <c r="D71" s="80">
        <v>-19</v>
      </c>
      <c r="E71" s="79">
        <v>12</v>
      </c>
      <c r="F71" s="57">
        <v>28.27</v>
      </c>
      <c r="G71" s="80">
        <v>6763</v>
      </c>
      <c r="H71" s="195" t="s">
        <v>332</v>
      </c>
      <c r="I71" s="16" t="s">
        <v>5153</v>
      </c>
      <c r="J71" s="323">
        <v>25.87</v>
      </c>
      <c r="K71" s="323">
        <v>6.73</v>
      </c>
      <c r="L71" s="323"/>
      <c r="M71" s="73">
        <v>36.28</v>
      </c>
      <c r="N71" s="318">
        <f>J71+K71+L71+M71</f>
        <v>68.88</v>
      </c>
      <c r="O71" s="81" t="str">
        <f>IFERROR(VLOOKUP($G71,'321買'!A:E,3,0),"'沒有資料'")</f>
        <v>'沒有資料'</v>
      </c>
      <c r="P71" s="380" t="str">
        <f>IFERROR(VLOOKUP($G71,'321買'!$A:$G,7,0),"'沒有資料'")</f>
        <v>'沒有資料'</v>
      </c>
      <c r="R71" s="297">
        <f>IFERROR(RANK(VLOOKUP($G71,連買!$A:$D,4,0),連買!$D:$D,0),"'沒有資料'")</f>
        <v>1408</v>
      </c>
      <c r="S71" s="45">
        <v>8.5</v>
      </c>
      <c r="T71" s="353">
        <f t="shared" ref="T71" si="68">S71/V71</f>
        <v>1.1067708333333334E-2</v>
      </c>
      <c r="U71" s="95">
        <v>22.91</v>
      </c>
      <c r="V71" s="36">
        <v>768</v>
      </c>
      <c r="W71" s="66">
        <v>760</v>
      </c>
      <c r="X71" s="15">
        <f t="shared" ref="X71" si="69">V71-W71</f>
        <v>8</v>
      </c>
      <c r="Y71" s="153">
        <f t="shared" ref="Y71" si="70">X71/W71</f>
        <v>1.0526315789473684E-2</v>
      </c>
      <c r="Z71" s="100" t="s">
        <v>6561</v>
      </c>
      <c r="AA71" s="264"/>
      <c r="AD71" s="16" t="s">
        <v>5153</v>
      </c>
      <c r="AE71" s="84">
        <v>44635</v>
      </c>
      <c r="AF71" s="86">
        <v>44645</v>
      </c>
      <c r="AG71" s="33">
        <f t="shared" si="61"/>
        <v>10</v>
      </c>
      <c r="AH71" s="126" t="s">
        <v>5154</v>
      </c>
      <c r="AI71" s="63"/>
      <c r="AK71" s="264"/>
      <c r="AL71" s="264"/>
      <c r="AM71" s="307"/>
      <c r="AN71" s="339"/>
      <c r="AO71" s="387"/>
    </row>
    <row r="72" spans="1:41">
      <c r="A72" s="130" t="s">
        <v>2146</v>
      </c>
      <c r="B72" s="79">
        <v>854</v>
      </c>
      <c r="C72" s="79">
        <v>622</v>
      </c>
      <c r="D72" s="79">
        <v>1</v>
      </c>
      <c r="E72" s="79">
        <v>60</v>
      </c>
      <c r="F72" s="57">
        <v>15.92</v>
      </c>
      <c r="G72" s="80">
        <v>4923</v>
      </c>
      <c r="H72" s="149" t="s">
        <v>3254</v>
      </c>
      <c r="I72" s="16" t="s">
        <v>5152</v>
      </c>
      <c r="J72" s="323">
        <v>10.44</v>
      </c>
      <c r="K72" s="323">
        <v>2.91</v>
      </c>
      <c r="L72" s="323"/>
      <c r="M72" s="73">
        <v>20.97</v>
      </c>
      <c r="N72" s="318">
        <f>J72+K72+L72+M72</f>
        <v>34.32</v>
      </c>
      <c r="O72" s="81" t="str">
        <f>IFERROR(VLOOKUP($G72,'321買'!A:E,3,0),"'沒有資料'")</f>
        <v>'沒有資料'</v>
      </c>
      <c r="P72" s="380" t="str">
        <f>IFERROR(VLOOKUP($G72,'321買'!$A:$G,7,0),"'沒有資料'")</f>
        <v>'沒有資料'</v>
      </c>
      <c r="R72" s="297">
        <f>IFERROR(RANK(VLOOKUP($G72,連買!$A:$D,4,0),連買!$D:$D,0),"'沒有資料'")</f>
        <v>1408</v>
      </c>
      <c r="S72" s="45">
        <v>5</v>
      </c>
      <c r="T72" s="353">
        <f>S72/V72</f>
        <v>6.1576354679802957E-2</v>
      </c>
      <c r="U72" s="95" t="s">
        <v>3500</v>
      </c>
      <c r="V72" s="36">
        <v>81.2</v>
      </c>
      <c r="W72" s="66">
        <v>61.88</v>
      </c>
      <c r="X72" s="15">
        <f>V72-W72</f>
        <v>19.32</v>
      </c>
      <c r="Y72" s="63">
        <f>X72/W72</f>
        <v>0.31221719457013575</v>
      </c>
      <c r="Z72" s="100" t="s">
        <v>6560</v>
      </c>
      <c r="AA72" s="126"/>
      <c r="AD72" s="16" t="s">
        <v>5152</v>
      </c>
      <c r="AE72" s="84">
        <v>44634</v>
      </c>
      <c r="AF72" s="86">
        <v>44644</v>
      </c>
      <c r="AG72" s="33">
        <f t="shared" si="61"/>
        <v>10</v>
      </c>
      <c r="AH72" s="126" t="s">
        <v>5155</v>
      </c>
      <c r="AI72" s="63"/>
      <c r="AK72" s="264"/>
      <c r="AL72" s="264"/>
      <c r="AM72" s="307"/>
      <c r="AN72" s="339"/>
      <c r="AO72" s="387"/>
    </row>
    <row r="73" spans="1:41">
      <c r="A73" s="146" t="s">
        <v>6569</v>
      </c>
      <c r="B73" s="79">
        <v>307</v>
      </c>
      <c r="C73" s="79">
        <v>189</v>
      </c>
      <c r="D73" s="79">
        <v>5</v>
      </c>
      <c r="E73" s="79">
        <v>22</v>
      </c>
      <c r="F73" s="6">
        <v>6.56</v>
      </c>
      <c r="G73" s="80">
        <v>8438</v>
      </c>
      <c r="H73" s="5" t="s">
        <v>2084</v>
      </c>
      <c r="I73" s="22" t="s">
        <v>5151</v>
      </c>
      <c r="J73" s="323">
        <v>83.25</v>
      </c>
      <c r="K73" s="73">
        <v>0.02</v>
      </c>
      <c r="L73" s="323"/>
      <c r="M73" s="73">
        <v>56.9</v>
      </c>
      <c r="N73" s="73">
        <f t="shared" ref="N73:N76" si="71">J73+K73+L73+M73</f>
        <v>140.16999999999999</v>
      </c>
      <c r="O73" s="81" t="str">
        <f>IFERROR(VLOOKUP($G73,'321買'!A:E,3,0),"'沒有資料'")</f>
        <v>'沒有資料'</v>
      </c>
      <c r="P73" s="380" t="str">
        <f>IFERROR(VLOOKUP($G73,'321買'!$A:$G,7,0),"'沒有資料'")</f>
        <v>'沒有資料'</v>
      </c>
      <c r="R73" s="297">
        <f>IFERROR(RANK(VLOOKUP($G73,連買!$A:$D,4,0),連買!$D:$D,0),"'沒有資料'")</f>
        <v>1428</v>
      </c>
      <c r="S73" s="34">
        <v>2</v>
      </c>
      <c r="T73" s="353">
        <f t="shared" ref="T73:T80" si="72">S73/V73</f>
        <v>5.0062578222778473E-2</v>
      </c>
      <c r="U73" s="57" t="s">
        <v>3500</v>
      </c>
      <c r="V73" s="13">
        <v>39.950000000000003</v>
      </c>
      <c r="W73" s="66">
        <v>40</v>
      </c>
      <c r="X73" s="15">
        <f t="shared" ref="X73:X80" si="73">V73-W73</f>
        <v>-4.9999999999997158E-2</v>
      </c>
      <c r="Y73" s="76">
        <f t="shared" ref="Y73:Y80" si="74">X73/W73</f>
        <v>-1.2499999999999289E-3</v>
      </c>
      <c r="Z73" s="100" t="s">
        <v>5162</v>
      </c>
      <c r="AA73" s="126"/>
      <c r="AD73" s="22" t="s">
        <v>5151</v>
      </c>
      <c r="AE73" s="84">
        <v>44631</v>
      </c>
      <c r="AF73" s="86">
        <v>44641</v>
      </c>
      <c r="AG73" s="33">
        <f t="shared" si="61"/>
        <v>10</v>
      </c>
      <c r="AH73" s="126" t="s">
        <v>5156</v>
      </c>
      <c r="AI73" s="63"/>
      <c r="AK73" s="264"/>
      <c r="AL73" s="264"/>
      <c r="AM73" s="307"/>
      <c r="AN73" s="339"/>
      <c r="AO73" s="387"/>
    </row>
    <row r="74" spans="1:41">
      <c r="A74" s="130" t="s">
        <v>6570</v>
      </c>
      <c r="B74" s="234">
        <v>32360</v>
      </c>
      <c r="C74" s="234">
        <v>40163</v>
      </c>
      <c r="D74" s="79">
        <v>10</v>
      </c>
      <c r="E74" s="79">
        <v>137</v>
      </c>
      <c r="F74" s="57">
        <v>18.260000000000002</v>
      </c>
      <c r="G74" s="80">
        <v>6829</v>
      </c>
      <c r="H74" s="8" t="s">
        <v>297</v>
      </c>
      <c r="I74" s="16" t="s">
        <v>5150</v>
      </c>
      <c r="J74" s="323">
        <v>69.3</v>
      </c>
      <c r="K74" s="323">
        <v>1.36</v>
      </c>
      <c r="L74" s="323"/>
      <c r="M74" s="73">
        <v>71.290000000000006</v>
      </c>
      <c r="N74" s="73">
        <f t="shared" si="71"/>
        <v>141.94999999999999</v>
      </c>
      <c r="O74" s="81" t="str">
        <f>IFERROR(VLOOKUP($G74,'321買'!A:E,3,0),"'沒有資料'")</f>
        <v>'沒有資料'</v>
      </c>
      <c r="P74" s="380" t="str">
        <f>IFERROR(VLOOKUP($G74,'321買'!$A:$G,7,0),"'沒有資料'")</f>
        <v>'沒有資料'</v>
      </c>
      <c r="R74" s="297">
        <f>IFERROR(RANK(VLOOKUP($G74,連買!$A:$D,4,0),連買!$D:$D,0),"'沒有資料'")</f>
        <v>1408</v>
      </c>
      <c r="S74" s="45">
        <v>4</v>
      </c>
      <c r="T74" s="353">
        <f t="shared" si="72"/>
        <v>4.7675804529201428E-2</v>
      </c>
      <c r="U74" s="57" t="s">
        <v>3500</v>
      </c>
      <c r="V74" s="36">
        <v>83.9</v>
      </c>
      <c r="W74" s="66">
        <v>66</v>
      </c>
      <c r="X74" s="15">
        <f t="shared" si="73"/>
        <v>17.900000000000006</v>
      </c>
      <c r="Y74" s="63">
        <f t="shared" si="74"/>
        <v>0.27121212121212129</v>
      </c>
      <c r="Z74" s="100" t="s">
        <v>5163</v>
      </c>
      <c r="AA74" s="126"/>
      <c r="AD74" s="16" t="s">
        <v>5150</v>
      </c>
      <c r="AE74" s="84">
        <v>44631</v>
      </c>
      <c r="AF74" s="86">
        <v>44641</v>
      </c>
      <c r="AG74" s="33">
        <f t="shared" si="61"/>
        <v>10</v>
      </c>
      <c r="AH74" s="126" t="s">
        <v>5157</v>
      </c>
      <c r="AI74" s="63"/>
      <c r="AK74" s="264"/>
      <c r="AL74" s="264"/>
      <c r="AM74" s="307"/>
      <c r="AN74" s="339"/>
      <c r="AO74" s="387"/>
    </row>
    <row r="75" spans="1:41">
      <c r="A75" s="146" t="s">
        <v>2305</v>
      </c>
      <c r="B75" s="79">
        <v>3</v>
      </c>
      <c r="C75" s="80">
        <v>-4</v>
      </c>
      <c r="D75" s="80">
        <v>-24</v>
      </c>
      <c r="E75" s="80">
        <v>-26</v>
      </c>
      <c r="F75" s="6">
        <v>3.12</v>
      </c>
      <c r="G75" s="80">
        <v>6751</v>
      </c>
      <c r="H75" s="5" t="s">
        <v>315</v>
      </c>
      <c r="I75" s="16" t="s">
        <v>2301</v>
      </c>
      <c r="J75" s="73">
        <v>56.75</v>
      </c>
      <c r="K75" s="73">
        <v>0.04</v>
      </c>
      <c r="L75" s="323"/>
      <c r="M75" s="323">
        <v>58.99</v>
      </c>
      <c r="N75" s="318">
        <f t="shared" si="71"/>
        <v>115.78</v>
      </c>
      <c r="O75" s="81" t="str">
        <f>IFERROR(VLOOKUP($G75,'321買'!A:E,3,0),"'沒有資料'")</f>
        <v>'沒有資料'</v>
      </c>
      <c r="P75" s="380" t="str">
        <f>IFERROR(VLOOKUP($G75,'321買'!$A:$G,7,0),"'沒有資料'")</f>
        <v>'沒有資料'</v>
      </c>
      <c r="R75" s="297">
        <f>IFERROR(RANK(VLOOKUP($G75,連買!$A:$D,4,0),連買!$D:$D,0),"'沒有資料'")</f>
        <v>1559</v>
      </c>
      <c r="S75" s="34">
        <v>2.1</v>
      </c>
      <c r="T75" s="353">
        <f t="shared" si="72"/>
        <v>4.7511312217194568E-2</v>
      </c>
      <c r="U75" s="57">
        <v>2.44</v>
      </c>
      <c r="V75" s="36">
        <v>44.2</v>
      </c>
      <c r="W75" s="66">
        <v>45</v>
      </c>
      <c r="X75" s="15">
        <f t="shared" si="73"/>
        <v>-0.79999999999999716</v>
      </c>
      <c r="Y75" s="76">
        <f t="shared" si="74"/>
        <v>-1.7777777777777715E-2</v>
      </c>
      <c r="Z75" s="100" t="s">
        <v>5164</v>
      </c>
      <c r="AA75" s="126"/>
      <c r="AD75" s="16" t="s">
        <v>2301</v>
      </c>
      <c r="AE75" s="84">
        <v>44631</v>
      </c>
      <c r="AF75" s="86">
        <v>44641</v>
      </c>
      <c r="AG75" s="33">
        <f t="shared" si="61"/>
        <v>10</v>
      </c>
      <c r="AH75" s="43" t="s">
        <v>2302</v>
      </c>
      <c r="AI75" s="63"/>
      <c r="AK75" s="264"/>
      <c r="AL75" s="264"/>
      <c r="AM75" s="307"/>
      <c r="AN75" s="339"/>
      <c r="AO75" s="387"/>
    </row>
    <row r="76" spans="1:41">
      <c r="A76" s="146" t="s">
        <v>5135</v>
      </c>
      <c r="B76" s="80">
        <v>-371</v>
      </c>
      <c r="C76" s="80">
        <v>-246</v>
      </c>
      <c r="D76" s="79">
        <v>5</v>
      </c>
      <c r="E76" s="79">
        <v>1</v>
      </c>
      <c r="F76" s="6">
        <v>-12.09</v>
      </c>
      <c r="G76" s="80">
        <v>2314</v>
      </c>
      <c r="H76" s="5" t="s">
        <v>4645</v>
      </c>
      <c r="I76" s="22" t="s">
        <v>4646</v>
      </c>
      <c r="J76" s="323">
        <v>32.799999999999997</v>
      </c>
      <c r="K76" s="323">
        <v>6.4</v>
      </c>
      <c r="L76" s="323">
        <v>0</v>
      </c>
      <c r="M76" s="323">
        <v>24.5</v>
      </c>
      <c r="N76" s="318">
        <f t="shared" si="71"/>
        <v>63.699999999999996</v>
      </c>
      <c r="O76" s="81">
        <f>IFERROR(VLOOKUP($G76,'321買'!A:E,3,0),"'沒有資料'")</f>
        <v>46</v>
      </c>
      <c r="P76" s="380">
        <f>IFERROR(VLOOKUP($G76,'321買'!$A:$G,7,0),"'沒有資料'")</f>
        <v>79</v>
      </c>
      <c r="R76" s="297">
        <f>IFERROR(RANK(VLOOKUP($G76,連買!$A:$D,4,0),連買!$D:$D,0),"'沒有資料'")</f>
        <v>1671</v>
      </c>
      <c r="S76" s="34">
        <v>0</v>
      </c>
      <c r="T76" s="353">
        <f t="shared" si="72"/>
        <v>0</v>
      </c>
      <c r="U76" s="95">
        <v>-1.97</v>
      </c>
      <c r="V76" s="36">
        <v>57.7</v>
      </c>
      <c r="W76" s="66">
        <v>52</v>
      </c>
      <c r="X76" s="15">
        <f t="shared" si="73"/>
        <v>5.7000000000000028</v>
      </c>
      <c r="Y76" s="63">
        <f t="shared" si="74"/>
        <v>0.10961538461538467</v>
      </c>
      <c r="Z76" s="100" t="s">
        <v>3756</v>
      </c>
      <c r="AA76" s="126"/>
      <c r="AD76" s="22" t="s">
        <v>4646</v>
      </c>
      <c r="AE76" s="84">
        <v>44631</v>
      </c>
      <c r="AF76" s="86">
        <v>44641</v>
      </c>
      <c r="AG76" s="33">
        <f t="shared" si="61"/>
        <v>10</v>
      </c>
      <c r="AH76" s="122" t="s">
        <v>4647</v>
      </c>
      <c r="AI76" s="63"/>
      <c r="AK76" s="264"/>
      <c r="AL76" s="264"/>
      <c r="AM76" s="307"/>
      <c r="AN76" s="339"/>
      <c r="AO76" s="387"/>
    </row>
    <row r="77" spans="1:41">
      <c r="A77" s="130" t="s">
        <v>5104</v>
      </c>
      <c r="B77" s="79">
        <v>296</v>
      </c>
      <c r="C77" s="79">
        <v>82</v>
      </c>
      <c r="D77" s="80">
        <v>-22</v>
      </c>
      <c r="E77" s="80">
        <v>-3</v>
      </c>
      <c r="F77" s="57">
        <v>22.41</v>
      </c>
      <c r="G77" s="80">
        <v>8367</v>
      </c>
      <c r="H77" s="8" t="s">
        <v>304</v>
      </c>
      <c r="I77" s="22" t="s">
        <v>1861</v>
      </c>
      <c r="J77" s="323">
        <v>60.79</v>
      </c>
      <c r="K77" s="323">
        <v>1.9</v>
      </c>
      <c r="L77" s="323">
        <v>6.64</v>
      </c>
      <c r="M77" s="323">
        <v>48.38</v>
      </c>
      <c r="N77" s="318">
        <f t="shared" ref="N77:N79" si="75">J77+K77+L77+M77</f>
        <v>117.71000000000001</v>
      </c>
      <c r="O77" s="81">
        <f>IFERROR(VLOOKUP($G77,'321買'!A:E,3,0),"'沒有資料'")</f>
        <v>13</v>
      </c>
      <c r="P77" s="380">
        <f>IFERROR(VLOOKUP($G77,'321買'!$A:$G,7,0),"'沒有資料'")</f>
        <v>348</v>
      </c>
      <c r="R77" s="297">
        <f>IFERROR(RANK(VLOOKUP($G77,連買!$A:$D,4,0),連買!$D:$D,0),"'沒有資料'")</f>
        <v>1667</v>
      </c>
      <c r="S77" s="34">
        <v>2.8</v>
      </c>
      <c r="T77" s="353">
        <f t="shared" si="72"/>
        <v>5.4901960784313725E-2</v>
      </c>
      <c r="U77" s="57">
        <v>7.19</v>
      </c>
      <c r="V77" s="36">
        <v>51</v>
      </c>
      <c r="W77" s="66">
        <v>42.5</v>
      </c>
      <c r="X77" s="15">
        <f t="shared" si="73"/>
        <v>8.5</v>
      </c>
      <c r="Y77" s="63">
        <f t="shared" si="74"/>
        <v>0.2</v>
      </c>
      <c r="Z77" s="100" t="s">
        <v>5147</v>
      </c>
      <c r="AA77" s="126"/>
      <c r="AD77" s="22" t="s">
        <v>1861</v>
      </c>
      <c r="AE77" s="84">
        <v>44623</v>
      </c>
      <c r="AF77" s="86">
        <v>44634</v>
      </c>
      <c r="AG77" s="33">
        <f t="shared" si="61"/>
        <v>11</v>
      </c>
      <c r="AH77" s="43" t="s">
        <v>1862</v>
      </c>
      <c r="AI77" s="63"/>
      <c r="AK77" s="264"/>
      <c r="AL77" s="264"/>
      <c r="AM77" s="307"/>
      <c r="AN77" s="339"/>
      <c r="AO77" s="387"/>
    </row>
    <row r="78" spans="1:41">
      <c r="A78" s="146" t="s">
        <v>1585</v>
      </c>
      <c r="B78" s="80">
        <v>-32</v>
      </c>
      <c r="C78" s="80">
        <v>-39</v>
      </c>
      <c r="D78" s="80">
        <v>-31</v>
      </c>
      <c r="E78" s="80">
        <v>-19</v>
      </c>
      <c r="F78" s="6">
        <v>9.8699999999999992</v>
      </c>
      <c r="G78" s="80">
        <v>6715</v>
      </c>
      <c r="H78" s="5" t="s">
        <v>3620</v>
      </c>
      <c r="I78" s="22" t="s">
        <v>2039</v>
      </c>
      <c r="J78" s="73">
        <v>73.23</v>
      </c>
      <c r="K78" s="323">
        <v>1.47</v>
      </c>
      <c r="L78" s="323">
        <v>16.260000000000002</v>
      </c>
      <c r="M78" s="323">
        <v>54.88</v>
      </c>
      <c r="N78" s="73">
        <f t="shared" si="75"/>
        <v>145.84</v>
      </c>
      <c r="O78" s="81">
        <f>IFERROR(VLOOKUP($G78,'321買'!A:E,3,0),"'沒有資料'")</f>
        <v>1</v>
      </c>
      <c r="P78" s="380">
        <f>IFERROR(VLOOKUP($G78,'321買'!$A:$G,7,0),"'沒有資料'")</f>
        <v>783</v>
      </c>
      <c r="R78" s="297">
        <f>IFERROR(RANK(VLOOKUP($G78,連買!$A:$D,4,0),連買!$D:$D,0),"'沒有資料'")</f>
        <v>251</v>
      </c>
      <c r="S78" s="34">
        <v>2.5</v>
      </c>
      <c r="T78" s="353">
        <f t="shared" si="72"/>
        <v>2.4390243902439025E-2</v>
      </c>
      <c r="U78" s="57">
        <v>3.51</v>
      </c>
      <c r="V78" s="36">
        <v>102.5</v>
      </c>
      <c r="W78" s="66">
        <v>95</v>
      </c>
      <c r="X78" s="15">
        <f t="shared" si="73"/>
        <v>7.5</v>
      </c>
      <c r="Y78" s="63">
        <f t="shared" si="74"/>
        <v>7.8947368421052627E-2</v>
      </c>
      <c r="Z78" s="100" t="s">
        <v>5146</v>
      </c>
      <c r="AA78" s="126"/>
      <c r="AD78" s="22" t="s">
        <v>2039</v>
      </c>
      <c r="AE78" s="84">
        <v>44623</v>
      </c>
      <c r="AF78" s="86">
        <v>44634</v>
      </c>
      <c r="AG78" s="33">
        <f t="shared" si="61"/>
        <v>11</v>
      </c>
      <c r="AH78" s="122" t="s">
        <v>2040</v>
      </c>
      <c r="AI78" s="63"/>
      <c r="AK78" s="264"/>
      <c r="AL78" s="264"/>
      <c r="AM78" s="307"/>
      <c r="AN78" s="339"/>
      <c r="AO78" s="387"/>
    </row>
    <row r="79" spans="1:41">
      <c r="A79" s="146" t="s">
        <v>2211</v>
      </c>
      <c r="B79" s="79">
        <v>97</v>
      </c>
      <c r="C79" s="79">
        <v>155</v>
      </c>
      <c r="D79" s="80">
        <v>-4</v>
      </c>
      <c r="E79" s="80">
        <v>-8</v>
      </c>
      <c r="F79" s="6">
        <v>1.86</v>
      </c>
      <c r="G79" s="80">
        <v>2406</v>
      </c>
      <c r="H79" s="8" t="s">
        <v>308</v>
      </c>
      <c r="I79" s="22" t="s">
        <v>446</v>
      </c>
      <c r="J79" s="323">
        <v>24.38</v>
      </c>
      <c r="K79" s="73">
        <v>5.43</v>
      </c>
      <c r="L79" s="73">
        <v>24.8</v>
      </c>
      <c r="M79" s="73">
        <v>7.43</v>
      </c>
      <c r="N79" s="318">
        <f t="shared" si="75"/>
        <v>62.04</v>
      </c>
      <c r="O79" s="81">
        <f>IFERROR(VLOOKUP($G79,'321買'!A:E,3,0),"'沒有資料'")</f>
        <v>24</v>
      </c>
      <c r="P79" s="380">
        <f>IFERROR(VLOOKUP($G79,'321買'!$A:$G,7,0),"'沒有資料'")</f>
        <v>196</v>
      </c>
      <c r="R79" s="297">
        <f>IFERROR(RANK(VLOOKUP($G79,連買!$A:$D,4,0),連買!$D:$D,0),"'沒有資料'")</f>
        <v>931</v>
      </c>
      <c r="S79" s="34">
        <v>0</v>
      </c>
      <c r="T79" s="353">
        <f t="shared" si="72"/>
        <v>0</v>
      </c>
      <c r="U79" s="95">
        <v>0.41</v>
      </c>
      <c r="V79" s="36">
        <v>25.65</v>
      </c>
      <c r="W79" s="66">
        <v>25</v>
      </c>
      <c r="X79" s="15">
        <f t="shared" si="73"/>
        <v>0.64999999999999858</v>
      </c>
      <c r="Y79" s="63">
        <f t="shared" si="74"/>
        <v>2.5999999999999943E-2</v>
      </c>
      <c r="Z79" s="101" t="s">
        <v>5148</v>
      </c>
      <c r="AA79" s="126"/>
      <c r="AD79" s="22" t="s">
        <v>446</v>
      </c>
      <c r="AE79" s="84">
        <v>44622</v>
      </c>
      <c r="AF79" s="86">
        <v>44634</v>
      </c>
      <c r="AG79" s="33">
        <f t="shared" si="61"/>
        <v>12</v>
      </c>
      <c r="AH79" s="43" t="s">
        <v>4462</v>
      </c>
      <c r="AI79" s="63"/>
      <c r="AK79" s="264"/>
      <c r="AL79" s="264"/>
      <c r="AM79" s="307"/>
      <c r="AN79" s="339"/>
      <c r="AO79" s="387"/>
    </row>
    <row r="80" spans="1:41">
      <c r="A80" s="130" t="s">
        <v>3640</v>
      </c>
      <c r="B80" s="79">
        <v>320</v>
      </c>
      <c r="C80" s="79">
        <v>264</v>
      </c>
      <c r="D80" s="80">
        <v>-9</v>
      </c>
      <c r="E80" s="79">
        <v>32</v>
      </c>
      <c r="F80" s="57">
        <v>11.47</v>
      </c>
      <c r="G80" s="79">
        <v>6693</v>
      </c>
      <c r="H80" s="204" t="s">
        <v>3254</v>
      </c>
      <c r="I80" s="16" t="s">
        <v>5103</v>
      </c>
      <c r="J80" s="73">
        <v>43.1</v>
      </c>
      <c r="K80" s="73">
        <v>0.26</v>
      </c>
      <c r="M80" s="73">
        <v>31.56</v>
      </c>
      <c r="N80" s="318">
        <f>J80+K80+L80+M80</f>
        <v>74.92</v>
      </c>
      <c r="O80" s="81" t="str">
        <f>IFERROR(VLOOKUP($G80,'321買'!A:E,3,0),"'沒有資料'")</f>
        <v>'沒有資料'</v>
      </c>
      <c r="P80" s="380" t="str">
        <f>IFERROR(VLOOKUP($G80,'321買'!$A:$G,7,0),"'沒有資料'")</f>
        <v>'沒有資料'</v>
      </c>
      <c r="R80" s="297">
        <f>IFERROR(RANK(VLOOKUP($G80,連買!$A:$D,4,0),連買!$D:$D,0),"'沒有資料'")</f>
        <v>1361</v>
      </c>
      <c r="S80" s="34">
        <v>0.2</v>
      </c>
      <c r="T80" s="353">
        <f t="shared" si="72"/>
        <v>2E-3</v>
      </c>
      <c r="U80" s="95" t="s">
        <v>3500</v>
      </c>
      <c r="V80" s="36">
        <v>100</v>
      </c>
      <c r="W80" s="66">
        <v>116</v>
      </c>
      <c r="X80" s="15">
        <f t="shared" si="73"/>
        <v>-16</v>
      </c>
      <c r="Y80" s="76">
        <f t="shared" si="74"/>
        <v>-0.13793103448275862</v>
      </c>
      <c r="Z80" s="100" t="s">
        <v>1722</v>
      </c>
      <c r="AA80" s="126"/>
      <c r="AD80" s="16" t="s">
        <v>5103</v>
      </c>
      <c r="AE80" s="84">
        <v>44621</v>
      </c>
      <c r="AF80" s="86">
        <v>44631</v>
      </c>
      <c r="AG80" s="33">
        <f t="shared" si="61"/>
        <v>10</v>
      </c>
      <c r="AH80" s="43" t="s">
        <v>5105</v>
      </c>
      <c r="AI80" s="63"/>
      <c r="AK80" s="264"/>
      <c r="AL80" s="264"/>
      <c r="AM80" s="307"/>
      <c r="AN80" s="339"/>
      <c r="AO80" s="387"/>
    </row>
    <row r="81" spans="1:41">
      <c r="A81" s="146" t="s">
        <v>2199</v>
      </c>
      <c r="B81" s="79">
        <v>40</v>
      </c>
      <c r="C81" s="79">
        <v>26</v>
      </c>
      <c r="D81" s="79">
        <v>451</v>
      </c>
      <c r="E81" s="93">
        <v>1331</v>
      </c>
      <c r="F81" s="151">
        <v>-118.69</v>
      </c>
      <c r="G81" s="79">
        <v>6649</v>
      </c>
      <c r="H81" s="8" t="s">
        <v>5070</v>
      </c>
      <c r="I81" s="16" t="s">
        <v>4166</v>
      </c>
      <c r="J81" s="323">
        <v>45.02</v>
      </c>
      <c r="K81" s="323">
        <v>2.91</v>
      </c>
      <c r="L81" s="323"/>
      <c r="M81" s="323">
        <v>31.43</v>
      </c>
      <c r="N81" s="318">
        <f t="shared" ref="N81" si="76">J81+K81+L81+M81</f>
        <v>79.360000000000014</v>
      </c>
      <c r="O81" s="81" t="str">
        <f>IFERROR(VLOOKUP($G81,'321買'!A:E,3,0),"'沒有資料'")</f>
        <v>'沒有資料'</v>
      </c>
      <c r="P81" s="380" t="str">
        <f>IFERROR(VLOOKUP($G81,'321買'!$A:$G,7,0),"'沒有資料'")</f>
        <v>'沒有資料'</v>
      </c>
      <c r="R81" s="297">
        <f>IFERROR(RANK(VLOOKUP($G81,連買!$A:$D,4,0),連買!$D:$D,0),"'沒有資料'")</f>
        <v>1558</v>
      </c>
      <c r="S81" s="34">
        <v>0</v>
      </c>
      <c r="T81" s="353">
        <f t="shared" ref="T81:T92" si="77">S81/V81</f>
        <v>0</v>
      </c>
      <c r="U81" s="95">
        <v>-1.03</v>
      </c>
      <c r="V81" s="36">
        <v>23.45</v>
      </c>
      <c r="W81" s="66">
        <v>21.2</v>
      </c>
      <c r="X81" s="15">
        <f t="shared" ref="X81:X112" si="78">V81-W81</f>
        <v>2.25</v>
      </c>
      <c r="Y81" s="63">
        <f t="shared" ref="Y81:Y112" si="79">X81/W81</f>
        <v>0.10613207547169812</v>
      </c>
      <c r="Z81" s="100" t="s">
        <v>5134</v>
      </c>
      <c r="AA81" s="264"/>
      <c r="AD81" s="16" t="s">
        <v>4166</v>
      </c>
      <c r="AE81" s="84">
        <v>44613</v>
      </c>
      <c r="AF81" s="86">
        <v>44623</v>
      </c>
      <c r="AG81" s="33">
        <f t="shared" si="61"/>
        <v>10</v>
      </c>
      <c r="AH81" s="43" t="s">
        <v>4167</v>
      </c>
      <c r="AI81" s="63"/>
      <c r="AK81" s="264"/>
      <c r="AL81" s="264"/>
      <c r="AM81" s="307"/>
      <c r="AN81" s="339"/>
      <c r="AO81" s="387"/>
    </row>
    <row r="82" spans="1:41">
      <c r="A82" s="146" t="s">
        <v>1757</v>
      </c>
      <c r="B82" s="80">
        <v>-904</v>
      </c>
      <c r="C82" s="80">
        <v>-458</v>
      </c>
      <c r="D82" s="79">
        <v>20</v>
      </c>
      <c r="E82" s="80">
        <v>-26</v>
      </c>
      <c r="F82" s="6">
        <v>-14.3</v>
      </c>
      <c r="G82" s="80">
        <v>6578</v>
      </c>
      <c r="H82" s="5" t="s">
        <v>1043</v>
      </c>
      <c r="I82" s="16" t="s">
        <v>1127</v>
      </c>
      <c r="J82" s="73">
        <v>32.01</v>
      </c>
      <c r="K82" s="323">
        <v>0.2</v>
      </c>
      <c r="L82" s="73">
        <v>4.7</v>
      </c>
      <c r="M82" s="73">
        <v>14.21</v>
      </c>
      <c r="N82" s="318">
        <f>J82+K82+L82+M82</f>
        <v>51.120000000000005</v>
      </c>
      <c r="O82" s="81">
        <f>IFERROR(VLOOKUP($G82,'321買'!A:E,3,0),"'沒有資料'")</f>
        <v>0</v>
      </c>
      <c r="P82" s="380">
        <f>IFERROR(VLOOKUP($G82,'321買'!$A:$G,7,0),"'沒有資料'")</f>
        <v>911</v>
      </c>
      <c r="R82" s="297">
        <f>IFERROR(RANK(VLOOKUP($G82,連買!$A:$D,4,0),連買!$D:$D,0),"'沒有資料'")</f>
        <v>1171</v>
      </c>
      <c r="S82" s="34">
        <v>1.2</v>
      </c>
      <c r="T82" s="353">
        <f t="shared" si="77"/>
        <v>7.2289156626506021E-2</v>
      </c>
      <c r="U82" s="95">
        <v>-1.61</v>
      </c>
      <c r="V82" s="36">
        <v>16.600000000000001</v>
      </c>
      <c r="W82" s="66">
        <v>16</v>
      </c>
      <c r="X82" s="15">
        <f t="shared" si="78"/>
        <v>0.60000000000000142</v>
      </c>
      <c r="Y82" s="63">
        <f t="shared" si="79"/>
        <v>3.7500000000000089E-2</v>
      </c>
      <c r="Z82" s="100" t="s">
        <v>1720</v>
      </c>
      <c r="AA82" s="126"/>
      <c r="AD82" s="16" t="s">
        <v>1127</v>
      </c>
      <c r="AE82" s="84">
        <v>44586</v>
      </c>
      <c r="AF82" s="86">
        <v>44599</v>
      </c>
      <c r="AG82" s="33">
        <f t="shared" si="61"/>
        <v>13</v>
      </c>
      <c r="AH82" s="43" t="s">
        <v>2800</v>
      </c>
      <c r="AI82" s="63"/>
      <c r="AK82" s="264"/>
      <c r="AL82" s="264"/>
      <c r="AM82" s="307"/>
      <c r="AN82" s="339"/>
      <c r="AO82" s="346"/>
    </row>
    <row r="83" spans="1:41">
      <c r="A83" s="130" t="s">
        <v>5065</v>
      </c>
      <c r="B83" s="79">
        <v>69</v>
      </c>
      <c r="C83" s="79">
        <v>74</v>
      </c>
      <c r="D83" s="79">
        <v>13</v>
      </c>
      <c r="E83" s="80">
        <v>-4</v>
      </c>
      <c r="F83" s="57">
        <v>27.49</v>
      </c>
      <c r="G83" s="80">
        <v>5244</v>
      </c>
      <c r="H83" s="5" t="s">
        <v>308</v>
      </c>
      <c r="I83" s="22" t="s">
        <v>5049</v>
      </c>
      <c r="J83" s="73">
        <v>36.9</v>
      </c>
      <c r="K83" s="73">
        <v>1.01</v>
      </c>
      <c r="L83" s="323"/>
      <c r="M83" s="73">
        <v>18.7</v>
      </c>
      <c r="N83" s="318">
        <f t="shared" ref="N83" si="80">J83+K83+L83+M83</f>
        <v>56.61</v>
      </c>
      <c r="O83" s="81" t="str">
        <f>IFERROR(VLOOKUP($G83,'321買'!A:E,3,0),"'沒有資料'")</f>
        <v>'沒有資料'</v>
      </c>
      <c r="P83" s="380" t="str">
        <f>IFERROR(VLOOKUP($G83,'321買'!$A:$G,7,0),"'沒有資料'")</f>
        <v>'沒有資料'</v>
      </c>
      <c r="R83" s="297">
        <f>IFERROR(RANK(VLOOKUP($G83,連買!$A:$D,4,0),連買!$D:$D,0),"'沒有資料'")</f>
        <v>1491</v>
      </c>
      <c r="S83" s="34">
        <v>2</v>
      </c>
      <c r="T83" s="353">
        <f t="shared" si="77"/>
        <v>4.3103448275862072E-2</v>
      </c>
      <c r="U83" s="95" t="s">
        <v>5050</v>
      </c>
      <c r="V83" s="36">
        <v>46.4</v>
      </c>
      <c r="W83" s="66">
        <v>41</v>
      </c>
      <c r="X83" s="15">
        <f t="shared" si="78"/>
        <v>5.3999999999999986</v>
      </c>
      <c r="Y83" s="63">
        <f t="shared" si="79"/>
        <v>0.13170731707317071</v>
      </c>
      <c r="Z83" s="100" t="s">
        <v>5080</v>
      </c>
      <c r="AA83" s="126"/>
      <c r="AD83" s="22" t="s">
        <v>5049</v>
      </c>
      <c r="AE83" s="84">
        <v>44580</v>
      </c>
      <c r="AF83" s="86">
        <v>44599</v>
      </c>
      <c r="AG83" s="33">
        <f t="shared" si="61"/>
        <v>19</v>
      </c>
      <c r="AH83" s="43" t="s">
        <v>2693</v>
      </c>
      <c r="AI83" s="63"/>
      <c r="AK83" s="264"/>
      <c r="AL83" s="264"/>
      <c r="AM83" s="307"/>
      <c r="AN83" s="339"/>
      <c r="AO83" s="281"/>
    </row>
    <row r="84" spans="1:41">
      <c r="A84" s="146" t="s">
        <v>1704</v>
      </c>
      <c r="B84" s="79">
        <v>303</v>
      </c>
      <c r="C84" s="79">
        <v>712</v>
      </c>
      <c r="D84" s="79">
        <v>0</v>
      </c>
      <c r="E84" s="80">
        <v>-2</v>
      </c>
      <c r="F84" s="6">
        <v>4.66</v>
      </c>
      <c r="G84" s="80">
        <v>5014</v>
      </c>
      <c r="H84" s="8" t="s">
        <v>301</v>
      </c>
      <c r="I84" s="16" t="s">
        <v>4299</v>
      </c>
      <c r="J84" s="323">
        <v>28.15</v>
      </c>
      <c r="K84" s="73">
        <v>1.47</v>
      </c>
      <c r="L84" s="73">
        <v>33.21</v>
      </c>
      <c r="M84" s="323">
        <v>16.190000000000001</v>
      </c>
      <c r="N84" s="318">
        <f>J84+K84+L84+M84</f>
        <v>79.02</v>
      </c>
      <c r="O84" s="81">
        <f>IFERROR(VLOOKUP($G84,'321買'!A:E,3,0),"'沒有資料'")</f>
        <v>39</v>
      </c>
      <c r="P84" s="380">
        <f>IFERROR(VLOOKUP($G84,'321買'!$A:$G,7,0),"'沒有資料'")</f>
        <v>94</v>
      </c>
      <c r="R84" s="297">
        <f>IFERROR(RANK(VLOOKUP($G84,連買!$A:$D,4,0),連買!$D:$D,0),"'沒有資料'")</f>
        <v>770</v>
      </c>
      <c r="S84" s="34">
        <v>0</v>
      </c>
      <c r="T84" s="353">
        <f t="shared" si="77"/>
        <v>0</v>
      </c>
      <c r="U84" s="95">
        <v>2.84</v>
      </c>
      <c r="V84" s="36">
        <v>19.75</v>
      </c>
      <c r="W84" s="66">
        <v>19</v>
      </c>
      <c r="X84" s="15">
        <f t="shared" si="78"/>
        <v>0.75</v>
      </c>
      <c r="Y84" s="63">
        <f t="shared" si="79"/>
        <v>3.9473684210526314E-2</v>
      </c>
      <c r="Z84" s="100" t="s">
        <v>4285</v>
      </c>
      <c r="AA84" s="126"/>
      <c r="AD84" s="16" t="s">
        <v>4299</v>
      </c>
      <c r="AE84" s="84">
        <v>44578</v>
      </c>
      <c r="AF84" s="86">
        <v>44599</v>
      </c>
      <c r="AG84" s="33">
        <f t="shared" si="61"/>
        <v>21</v>
      </c>
      <c r="AH84" s="43" t="s">
        <v>4300</v>
      </c>
      <c r="AI84" s="63"/>
      <c r="AK84" s="264"/>
      <c r="AL84" s="264"/>
      <c r="AM84" s="307"/>
      <c r="AO84" s="281"/>
    </row>
    <row r="85" spans="1:41">
      <c r="A85" s="130" t="s">
        <v>3690</v>
      </c>
      <c r="B85" s="79">
        <v>733</v>
      </c>
      <c r="C85" s="79">
        <v>138</v>
      </c>
      <c r="D85" s="79">
        <v>35</v>
      </c>
      <c r="E85" s="79">
        <v>16</v>
      </c>
      <c r="F85" s="57">
        <v>19.98</v>
      </c>
      <c r="G85" s="80">
        <v>2756</v>
      </c>
      <c r="H85" s="5" t="s">
        <v>305</v>
      </c>
      <c r="I85" s="16" t="s">
        <v>5033</v>
      </c>
      <c r="J85" s="323">
        <v>53.47</v>
      </c>
      <c r="K85" s="73">
        <v>0.05</v>
      </c>
      <c r="M85" s="73">
        <v>22.26</v>
      </c>
      <c r="N85" s="318">
        <f t="shared" ref="N85:N90" si="81">J85+K85+L85+M85</f>
        <v>75.78</v>
      </c>
      <c r="O85" s="81" t="str">
        <f>IFERROR(VLOOKUP($G85,'321買'!A:E,3,0),"'沒有資料'")</f>
        <v>'沒有資料'</v>
      </c>
      <c r="P85" s="380" t="str">
        <f>IFERROR(VLOOKUP($G85,'321買'!$A:$G,7,0),"'沒有資料'")</f>
        <v>'沒有資料'</v>
      </c>
      <c r="R85" s="297">
        <f>IFERROR(RANK(VLOOKUP($G85,連買!$A:$D,4,0),連買!$D:$D,0),"'沒有資料'")</f>
        <v>1335</v>
      </c>
      <c r="S85" s="34">
        <v>2</v>
      </c>
      <c r="T85" s="353">
        <f t="shared" si="77"/>
        <v>1.7777777777777778E-2</v>
      </c>
      <c r="U85" s="57">
        <v>6.9</v>
      </c>
      <c r="V85" s="36">
        <v>112.5</v>
      </c>
      <c r="W85" s="66">
        <v>78.8</v>
      </c>
      <c r="X85" s="15">
        <f t="shared" si="78"/>
        <v>33.700000000000003</v>
      </c>
      <c r="Y85" s="63">
        <f t="shared" si="79"/>
        <v>0.42766497461928937</v>
      </c>
      <c r="Z85" s="100" t="s">
        <v>5068</v>
      </c>
      <c r="AA85" s="126"/>
      <c r="AD85" s="16" t="s">
        <v>5033</v>
      </c>
      <c r="AE85" s="84">
        <v>44575</v>
      </c>
      <c r="AF85" s="86">
        <v>44585</v>
      </c>
      <c r="AG85" s="33">
        <f t="shared" si="61"/>
        <v>10</v>
      </c>
      <c r="AH85" s="43" t="s">
        <v>5035</v>
      </c>
      <c r="AI85" s="63"/>
      <c r="AK85" s="264"/>
      <c r="AL85" s="264"/>
      <c r="AM85" s="307"/>
      <c r="AO85" s="281"/>
    </row>
    <row r="86" spans="1:41">
      <c r="A86" s="130" t="s">
        <v>5037</v>
      </c>
      <c r="B86" s="79">
        <v>147</v>
      </c>
      <c r="C86" s="79">
        <v>153</v>
      </c>
      <c r="D86" s="79">
        <v>1</v>
      </c>
      <c r="E86" s="79">
        <v>62</v>
      </c>
      <c r="F86" s="57">
        <v>22.55</v>
      </c>
      <c r="G86" s="79">
        <v>6719</v>
      </c>
      <c r="H86" s="204" t="s">
        <v>3254</v>
      </c>
      <c r="I86" s="22" t="s">
        <v>5034</v>
      </c>
      <c r="J86" s="323">
        <v>46.14</v>
      </c>
      <c r="K86" s="73">
        <v>3.95</v>
      </c>
      <c r="M86" s="73">
        <v>39.69</v>
      </c>
      <c r="N86" s="318">
        <f t="shared" si="81"/>
        <v>89.78</v>
      </c>
      <c r="O86" s="81" t="str">
        <f>IFERROR(VLOOKUP($G86,'321買'!A:E,3,0),"'沒有資料'")</f>
        <v>'沒有資料'</v>
      </c>
      <c r="P86" s="380" t="str">
        <f>IFERROR(VLOOKUP($G86,'321買'!$A:$G,7,0),"'沒有資料'")</f>
        <v>'沒有資料'</v>
      </c>
      <c r="R86" s="297">
        <f>IFERROR(RANK(VLOOKUP($G86,連買!$A:$D,4,0),連買!$D:$D,0),"'沒有資料'")</f>
        <v>1708</v>
      </c>
      <c r="S86" s="34">
        <v>1.5</v>
      </c>
      <c r="T86" s="353">
        <f t="shared" si="77"/>
        <v>1.5625000000000001E-3</v>
      </c>
      <c r="U86" s="95" t="s">
        <v>3500</v>
      </c>
      <c r="V86" s="36">
        <v>960</v>
      </c>
      <c r="W86" s="66">
        <v>589</v>
      </c>
      <c r="X86" s="15">
        <f t="shared" si="78"/>
        <v>371</v>
      </c>
      <c r="Y86" s="63">
        <f t="shared" si="79"/>
        <v>0.62988115449915105</v>
      </c>
      <c r="Z86" s="100" t="s">
        <v>5064</v>
      </c>
      <c r="AA86" s="126"/>
      <c r="AD86" s="22" t="s">
        <v>5034</v>
      </c>
      <c r="AE86" s="84">
        <v>44574</v>
      </c>
      <c r="AF86" s="86">
        <v>44585</v>
      </c>
      <c r="AG86" s="33">
        <f t="shared" si="61"/>
        <v>11</v>
      </c>
      <c r="AH86" s="43" t="s">
        <v>5036</v>
      </c>
      <c r="AI86" s="63"/>
      <c r="AK86" s="264"/>
      <c r="AL86" s="264"/>
      <c r="AM86" s="307"/>
      <c r="AO86" s="281"/>
    </row>
    <row r="87" spans="1:41">
      <c r="A87" s="130" t="s">
        <v>3673</v>
      </c>
      <c r="B87" s="79">
        <v>592</v>
      </c>
      <c r="C87" s="79">
        <v>551</v>
      </c>
      <c r="D87" s="79">
        <v>8</v>
      </c>
      <c r="E87" s="79">
        <v>52</v>
      </c>
      <c r="F87" s="57">
        <v>20.25</v>
      </c>
      <c r="G87" s="79">
        <v>3592</v>
      </c>
      <c r="H87" s="8" t="s">
        <v>3254</v>
      </c>
      <c r="I87" s="22" t="s">
        <v>3876</v>
      </c>
      <c r="J87" s="323">
        <v>20.100000000000001</v>
      </c>
      <c r="K87" s="73">
        <v>11.32</v>
      </c>
      <c r="L87" s="323"/>
      <c r="M87" s="73">
        <v>17.350000000000001</v>
      </c>
      <c r="N87" s="318">
        <f t="shared" si="81"/>
        <v>48.77</v>
      </c>
      <c r="O87" s="81" t="str">
        <f>IFERROR(VLOOKUP($G87,'321買'!A:E,3,0),"'沒有資料'")</f>
        <v>'沒有資料'</v>
      </c>
      <c r="P87" s="380" t="str">
        <f>IFERROR(VLOOKUP($G87,'321買'!$A:$G,7,0),"'沒有資料'")</f>
        <v>'沒有資料'</v>
      </c>
      <c r="R87" s="297">
        <f>IFERROR(RANK(VLOOKUP($G87,連買!$A:$D,4,0),連買!$D:$D,0),"'沒有資料'")</f>
        <v>1703</v>
      </c>
      <c r="S87" s="45">
        <v>10.5</v>
      </c>
      <c r="T87" s="353">
        <f t="shared" si="77"/>
        <v>1.6826923076923076E-2</v>
      </c>
      <c r="U87" s="95" t="s">
        <v>3877</v>
      </c>
      <c r="V87" s="36">
        <v>624</v>
      </c>
      <c r="W87" s="66">
        <v>308</v>
      </c>
      <c r="X87" s="15">
        <f t="shared" si="78"/>
        <v>316</v>
      </c>
      <c r="Y87" s="153">
        <f t="shared" si="79"/>
        <v>1.025974025974026</v>
      </c>
      <c r="Z87" s="100" t="s">
        <v>5051</v>
      </c>
      <c r="AA87" s="126"/>
      <c r="AD87" s="22" t="s">
        <v>3876</v>
      </c>
      <c r="AE87" s="84">
        <v>44568</v>
      </c>
      <c r="AF87" s="86">
        <v>44578</v>
      </c>
      <c r="AG87" s="33">
        <f t="shared" si="61"/>
        <v>10</v>
      </c>
      <c r="AH87" s="43" t="s">
        <v>3878</v>
      </c>
      <c r="AI87" s="63"/>
      <c r="AK87" s="264"/>
      <c r="AL87" s="264"/>
      <c r="AM87" s="307"/>
    </row>
    <row r="88" spans="1:41">
      <c r="A88" s="146" t="s">
        <v>1785</v>
      </c>
      <c r="B88" s="79">
        <v>7</v>
      </c>
      <c r="C88" s="80">
        <v>-2</v>
      </c>
      <c r="D88" s="79">
        <v>15</v>
      </c>
      <c r="E88" s="79">
        <v>13</v>
      </c>
      <c r="F88" s="6">
        <v>3.65</v>
      </c>
      <c r="G88" s="79">
        <v>6414</v>
      </c>
      <c r="H88" s="205" t="s">
        <v>1152</v>
      </c>
      <c r="I88" s="22" t="s">
        <v>213</v>
      </c>
      <c r="J88" s="323">
        <v>40.86</v>
      </c>
      <c r="K88" s="323">
        <v>11.18</v>
      </c>
      <c r="L88" s="323">
        <v>27.73</v>
      </c>
      <c r="M88" s="323">
        <v>33.869999999999997</v>
      </c>
      <c r="N88" s="318">
        <f t="shared" si="81"/>
        <v>113.63999999999999</v>
      </c>
      <c r="O88" s="81">
        <f>IFERROR(VLOOKUP($G88,'321買'!A:E,3,0),"'沒有資料'")</f>
        <v>15</v>
      </c>
      <c r="P88" s="380">
        <f>IFERROR(VLOOKUP($G88,'321買'!$A:$G,7,0),"'沒有資料'")</f>
        <v>321</v>
      </c>
      <c r="R88" s="297">
        <f>IFERROR(RANK(VLOOKUP($G88,連買!$A:$D,4,0),連買!$D:$D,0),"'沒有資料'")</f>
        <v>273</v>
      </c>
      <c r="S88" s="45">
        <v>5</v>
      </c>
      <c r="T88" s="353">
        <f t="shared" si="77"/>
        <v>2.1276595744680851E-2</v>
      </c>
      <c r="U88" s="95">
        <v>12.77</v>
      </c>
      <c r="V88" s="36">
        <v>235</v>
      </c>
      <c r="W88" s="66">
        <v>195</v>
      </c>
      <c r="X88" s="15">
        <f t="shared" si="78"/>
        <v>40</v>
      </c>
      <c r="Y88" s="63">
        <f t="shared" si="79"/>
        <v>0.20512820512820512</v>
      </c>
      <c r="Z88" s="100" t="s">
        <v>5043</v>
      </c>
      <c r="AA88" s="126"/>
      <c r="AD88" s="22" t="s">
        <v>213</v>
      </c>
      <c r="AE88" s="84">
        <v>44566</v>
      </c>
      <c r="AF88" s="86">
        <v>44578</v>
      </c>
      <c r="AG88" s="33">
        <f t="shared" si="61"/>
        <v>12</v>
      </c>
      <c r="AH88" s="120" t="s">
        <v>1518</v>
      </c>
      <c r="AI88" s="33"/>
      <c r="AK88" s="264"/>
      <c r="AL88" s="264"/>
      <c r="AM88" s="33"/>
    </row>
    <row r="89" spans="1:41">
      <c r="A89" s="130" t="s">
        <v>2232</v>
      </c>
      <c r="B89" s="79">
        <v>253</v>
      </c>
      <c r="C89" s="79">
        <v>320</v>
      </c>
      <c r="D89" s="80">
        <v>-13</v>
      </c>
      <c r="E89" s="79">
        <v>126</v>
      </c>
      <c r="F89" s="57">
        <v>36.520000000000003</v>
      </c>
      <c r="G89" s="80">
        <v>5608</v>
      </c>
      <c r="H89" s="5" t="s">
        <v>304</v>
      </c>
      <c r="I89" s="22" t="s">
        <v>880</v>
      </c>
      <c r="J89" s="323">
        <v>29.53</v>
      </c>
      <c r="K89" s="73">
        <v>4.92</v>
      </c>
      <c r="L89" s="323">
        <v>21.31</v>
      </c>
      <c r="M89" s="323">
        <v>9.3699999999999992</v>
      </c>
      <c r="N89" s="318">
        <f t="shared" si="81"/>
        <v>65.13000000000001</v>
      </c>
      <c r="O89" s="81">
        <f>IFERROR(VLOOKUP($G89,'321買'!A:E,3,0),"'沒有資料'")</f>
        <v>52</v>
      </c>
      <c r="P89" s="380">
        <f>IFERROR(VLOOKUP($G89,'321買'!$A:$G,7,0),"'沒有資料'")</f>
        <v>68</v>
      </c>
      <c r="R89" s="297">
        <f>IFERROR(RANK(VLOOKUP($G89,連買!$A:$D,4,0),連買!$D:$D,0),"'沒有資料'")</f>
        <v>328</v>
      </c>
      <c r="S89" s="34">
        <v>0</v>
      </c>
      <c r="T89" s="353">
        <f t="shared" si="77"/>
        <v>0</v>
      </c>
      <c r="U89" s="95">
        <v>4.43</v>
      </c>
      <c r="V89" s="36">
        <v>39.5</v>
      </c>
      <c r="W89" s="66">
        <v>32.799999999999997</v>
      </c>
      <c r="X89" s="15">
        <f t="shared" si="78"/>
        <v>6.7000000000000028</v>
      </c>
      <c r="Y89" s="63">
        <f t="shared" si="79"/>
        <v>0.20426829268292693</v>
      </c>
      <c r="Z89" s="100" t="s">
        <v>5044</v>
      </c>
      <c r="AA89" s="126"/>
      <c r="AD89" s="22" t="s">
        <v>880</v>
      </c>
      <c r="AE89" s="84">
        <v>44566</v>
      </c>
      <c r="AF89" s="86">
        <v>44578</v>
      </c>
      <c r="AG89" s="33">
        <f t="shared" si="61"/>
        <v>12</v>
      </c>
      <c r="AH89" s="43" t="s">
        <v>1543</v>
      </c>
      <c r="AK89" s="264"/>
      <c r="AL89" s="264"/>
      <c r="AM89" s="264"/>
    </row>
    <row r="90" spans="1:41">
      <c r="A90" s="146" t="s">
        <v>3864</v>
      </c>
      <c r="B90" s="80">
        <v>-57</v>
      </c>
      <c r="C90" s="80">
        <v>-74</v>
      </c>
      <c r="D90" s="79">
        <v>24</v>
      </c>
      <c r="E90" s="79">
        <v>126</v>
      </c>
      <c r="F90" s="6">
        <v>1.42</v>
      </c>
      <c r="G90" s="79">
        <v>4542</v>
      </c>
      <c r="H90" s="5" t="s">
        <v>3620</v>
      </c>
      <c r="I90" s="16" t="s">
        <v>411</v>
      </c>
      <c r="J90" s="73">
        <v>49.92</v>
      </c>
      <c r="K90" s="323">
        <v>3.54</v>
      </c>
      <c r="M90" s="323">
        <v>18.75</v>
      </c>
      <c r="N90" s="318">
        <f t="shared" si="81"/>
        <v>72.210000000000008</v>
      </c>
      <c r="O90" s="81">
        <f>IFERROR(VLOOKUP($G90,'321買'!A:E,3,0),"'沒有資料'")</f>
        <v>0</v>
      </c>
      <c r="P90" s="380">
        <f>IFERROR(VLOOKUP($G90,'321買'!$A:$G,7,0),"'沒有資料'")</f>
        <v>911</v>
      </c>
      <c r="R90" s="297">
        <f>IFERROR(RANK(VLOOKUP($G90,連買!$A:$D,4,0),連買!$D:$D,0),"'沒有資料'")</f>
        <v>1286</v>
      </c>
      <c r="S90" s="34">
        <v>1</v>
      </c>
      <c r="T90" s="353">
        <f t="shared" si="77"/>
        <v>3.3388981636060099E-2</v>
      </c>
      <c r="U90" s="95">
        <v>0.24</v>
      </c>
      <c r="V90" s="36">
        <v>29.95</v>
      </c>
      <c r="W90" s="66">
        <v>25.7</v>
      </c>
      <c r="X90" s="15">
        <f t="shared" si="78"/>
        <v>4.25</v>
      </c>
      <c r="Y90" s="63">
        <f t="shared" si="79"/>
        <v>0.16536964980544747</v>
      </c>
      <c r="Z90" s="100" t="s">
        <v>5037</v>
      </c>
      <c r="AA90" s="264"/>
      <c r="AD90" s="16" t="s">
        <v>411</v>
      </c>
      <c r="AE90" s="84">
        <v>44565</v>
      </c>
      <c r="AF90" s="86">
        <v>44575</v>
      </c>
      <c r="AG90" s="33">
        <f t="shared" si="61"/>
        <v>10</v>
      </c>
      <c r="AH90" s="43" t="s">
        <v>2475</v>
      </c>
      <c r="AK90" s="264"/>
      <c r="AL90" s="264"/>
      <c r="AM90" s="264"/>
    </row>
    <row r="91" spans="1:41">
      <c r="A91" s="130" t="s">
        <v>5065</v>
      </c>
      <c r="B91" s="79">
        <v>131</v>
      </c>
      <c r="C91" s="79">
        <v>138</v>
      </c>
      <c r="D91" s="79">
        <v>57</v>
      </c>
      <c r="E91" s="79">
        <v>58</v>
      </c>
      <c r="F91" s="57">
        <v>11.18</v>
      </c>
      <c r="G91" s="80">
        <v>6691</v>
      </c>
      <c r="H91" s="5" t="s">
        <v>316</v>
      </c>
      <c r="I91" s="22" t="s">
        <v>3868</v>
      </c>
      <c r="J91" s="323">
        <v>60.57</v>
      </c>
      <c r="K91" s="323">
        <v>0.14000000000000001</v>
      </c>
      <c r="M91" s="73">
        <v>26.73</v>
      </c>
      <c r="N91" s="318">
        <f>J91+K91+L91+M91</f>
        <v>87.44</v>
      </c>
      <c r="O91" s="81" t="str">
        <f>IFERROR(VLOOKUP($G91,'321買'!A:E,3,0),"'沒有資料'")</f>
        <v>'沒有資料'</v>
      </c>
      <c r="P91" s="380" t="str">
        <f>IFERROR(VLOOKUP($G91,'321買'!$A:$G,7,0),"'沒有資料'")</f>
        <v>'沒有資料'</v>
      </c>
      <c r="R91" s="297">
        <f>IFERROR(RANK(VLOOKUP($G91,連買!$A:$D,4,0),連買!$D:$D,0),"'沒有資料'")</f>
        <v>1654</v>
      </c>
      <c r="S91" s="45">
        <v>11</v>
      </c>
      <c r="T91" s="353">
        <f t="shared" si="77"/>
        <v>5.2132701421800945E-2</v>
      </c>
      <c r="U91" s="95">
        <v>16.7</v>
      </c>
      <c r="V91" s="36">
        <v>211</v>
      </c>
      <c r="W91" s="66">
        <v>180</v>
      </c>
      <c r="X91" s="15">
        <f t="shared" si="78"/>
        <v>31</v>
      </c>
      <c r="Y91" s="63">
        <f t="shared" si="79"/>
        <v>0.17222222222222222</v>
      </c>
      <c r="Z91" s="100" t="s">
        <v>5032</v>
      </c>
      <c r="AA91" s="126"/>
      <c r="AD91" s="22" t="s">
        <v>3868</v>
      </c>
      <c r="AE91" s="84">
        <v>44564</v>
      </c>
      <c r="AF91" s="86">
        <v>44574</v>
      </c>
      <c r="AG91" s="33">
        <f t="shared" si="61"/>
        <v>10</v>
      </c>
      <c r="AH91" s="43" t="s">
        <v>3869</v>
      </c>
      <c r="AK91" s="264"/>
      <c r="AL91" s="264"/>
      <c r="AM91" s="264"/>
      <c r="AN91" s="48"/>
    </row>
    <row r="92" spans="1:41">
      <c r="A92" s="146" t="s">
        <v>3855</v>
      </c>
      <c r="B92" s="79">
        <v>0</v>
      </c>
      <c r="C92" s="79">
        <v>6</v>
      </c>
      <c r="D92" s="80">
        <v>-18</v>
      </c>
      <c r="E92" s="80">
        <v>-4</v>
      </c>
      <c r="F92" s="6">
        <v>-11.72</v>
      </c>
      <c r="G92" s="80">
        <v>4562</v>
      </c>
      <c r="H92" s="5" t="s">
        <v>297</v>
      </c>
      <c r="I92" s="22" t="s">
        <v>6528</v>
      </c>
      <c r="J92" s="323">
        <v>65.86</v>
      </c>
      <c r="K92" s="323">
        <v>1.2</v>
      </c>
      <c r="L92" s="73">
        <v>3.59</v>
      </c>
      <c r="M92" s="323">
        <v>30.76</v>
      </c>
      <c r="N92" s="318">
        <f t="shared" ref="N92" si="82">J92+K92+L92+M92</f>
        <v>101.41000000000001</v>
      </c>
      <c r="O92" s="81">
        <f>IFERROR(VLOOKUP($G92,'321買'!A:E,3,0),"'沒有資料'")</f>
        <v>0</v>
      </c>
      <c r="P92" s="380">
        <f>IFERROR(VLOOKUP($G92,'321買'!$A:$G,7,0),"'沒有資料'")</f>
        <v>911</v>
      </c>
      <c r="R92" s="297">
        <f>IFERROR(RANK(VLOOKUP($G92,連買!$A:$D,4,0),連買!$D:$D,0),"'沒有資料'")</f>
        <v>1614</v>
      </c>
      <c r="S92" s="34">
        <v>0</v>
      </c>
      <c r="T92" s="353">
        <f t="shared" si="77"/>
        <v>0</v>
      </c>
      <c r="U92" s="57">
        <v>-2.2400000000000002</v>
      </c>
      <c r="V92" s="36">
        <v>15.9</v>
      </c>
      <c r="W92" s="66">
        <v>15</v>
      </c>
      <c r="X92" s="15">
        <f t="shared" si="78"/>
        <v>0.90000000000000036</v>
      </c>
      <c r="Y92" s="63">
        <f t="shared" si="79"/>
        <v>6.0000000000000026E-2</v>
      </c>
      <c r="Z92" s="100" t="s">
        <v>3843</v>
      </c>
      <c r="AA92" s="126"/>
      <c r="AD92" s="22" t="s">
        <v>585</v>
      </c>
      <c r="AE92" s="84">
        <v>44560</v>
      </c>
      <c r="AF92" s="86">
        <v>44571</v>
      </c>
      <c r="AG92" s="33">
        <f t="shared" si="61"/>
        <v>11</v>
      </c>
      <c r="AH92" s="43" t="s">
        <v>2933</v>
      </c>
      <c r="AK92" s="264"/>
      <c r="AL92" s="264"/>
      <c r="AM92" s="264"/>
    </row>
    <row r="93" spans="1:41">
      <c r="A93" s="146" t="s">
        <v>1904</v>
      </c>
      <c r="B93" s="79">
        <v>56</v>
      </c>
      <c r="C93" s="79">
        <v>85</v>
      </c>
      <c r="D93" s="80">
        <v>-12</v>
      </c>
      <c r="E93" s="79">
        <v>88</v>
      </c>
      <c r="F93" s="6">
        <v>-2.2599999999999998</v>
      </c>
      <c r="G93" s="80">
        <v>8476</v>
      </c>
      <c r="H93" s="5" t="s">
        <v>2084</v>
      </c>
      <c r="I93" s="16" t="s">
        <v>6529</v>
      </c>
      <c r="J93" s="323">
        <v>62.97</v>
      </c>
      <c r="K93" s="323">
        <v>0.41</v>
      </c>
      <c r="L93" s="323"/>
      <c r="M93" s="323">
        <v>39.08</v>
      </c>
      <c r="N93" s="318">
        <f>K93+J93+L93+M93</f>
        <v>102.46</v>
      </c>
      <c r="O93" s="81">
        <f>IFERROR(VLOOKUP($G93,'321買'!A:E,3,0),"'沒有資料'")</f>
        <v>0</v>
      </c>
      <c r="P93" s="380">
        <f>IFERROR(VLOOKUP($G93,'321買'!$A:$G,7,0),"'沒有資料'")</f>
        <v>911</v>
      </c>
      <c r="R93" s="297">
        <f>IFERROR(RANK(VLOOKUP($G93,連買!$A:$D,4,0),連買!$D:$D,0),"'沒有資料'")</f>
        <v>674</v>
      </c>
      <c r="S93" s="34">
        <v>0</v>
      </c>
      <c r="U93" s="57">
        <v>-0.35</v>
      </c>
      <c r="V93" s="36">
        <v>56.2</v>
      </c>
      <c r="W93" s="66">
        <v>50</v>
      </c>
      <c r="X93" s="15">
        <f t="shared" si="78"/>
        <v>6.2000000000000028</v>
      </c>
      <c r="Y93" s="63">
        <f t="shared" si="79"/>
        <v>0.12400000000000005</v>
      </c>
      <c r="Z93" s="100" t="s">
        <v>3880</v>
      </c>
      <c r="AA93" s="126"/>
      <c r="AD93" s="16" t="s">
        <v>660</v>
      </c>
      <c r="AE93" s="84">
        <v>44557</v>
      </c>
      <c r="AF93" s="86">
        <v>44567</v>
      </c>
      <c r="AG93" s="33">
        <f t="shared" si="61"/>
        <v>10</v>
      </c>
      <c r="AH93" s="43" t="s">
        <v>2664</v>
      </c>
      <c r="AI93" s="311"/>
      <c r="AK93" s="264"/>
      <c r="AL93" s="264"/>
      <c r="AM93" s="308"/>
    </row>
    <row r="94" spans="1:41">
      <c r="A94" s="146" t="s">
        <v>3833</v>
      </c>
      <c r="B94" s="79">
        <v>21</v>
      </c>
      <c r="C94" s="79"/>
      <c r="D94" s="79">
        <v>7</v>
      </c>
      <c r="E94" s="79">
        <v>23</v>
      </c>
      <c r="F94" s="6"/>
      <c r="G94" s="79">
        <v>2812</v>
      </c>
      <c r="H94" s="17" t="s">
        <v>306</v>
      </c>
      <c r="I94" s="22" t="s">
        <v>4981</v>
      </c>
      <c r="J94" s="323">
        <v>61.25</v>
      </c>
      <c r="K94" s="73">
        <v>11.13</v>
      </c>
      <c r="L94" s="323">
        <v>0.16</v>
      </c>
      <c r="M94" s="73">
        <v>3.46</v>
      </c>
      <c r="N94" s="318">
        <f>K94+J94+L94+M94</f>
        <v>75.999999999999986</v>
      </c>
      <c r="O94" s="81">
        <f>IFERROR(VLOOKUP($G94,'321買'!A:E,3,0),"'沒有資料'")</f>
        <v>0</v>
      </c>
      <c r="P94" s="380">
        <f>IFERROR(VLOOKUP($G94,'321買'!$A:$G,7,0),"'沒有資料'")</f>
        <v>911</v>
      </c>
      <c r="R94" s="297">
        <f>IFERROR(RANK(VLOOKUP($G94,連買!$A:$D,4,0),連買!$D:$D,0),"'沒有資料'")</f>
        <v>1081</v>
      </c>
      <c r="S94" s="34">
        <v>0.69</v>
      </c>
      <c r="U94" s="57">
        <v>1.1299999999999999</v>
      </c>
      <c r="V94" s="36">
        <v>12.35</v>
      </c>
      <c r="W94" s="66">
        <v>11.15</v>
      </c>
      <c r="X94" s="15">
        <f t="shared" si="78"/>
        <v>1.1999999999999993</v>
      </c>
      <c r="Y94" s="63">
        <f t="shared" si="79"/>
        <v>0.10762331838565016</v>
      </c>
      <c r="Z94" s="100" t="s">
        <v>1623</v>
      </c>
      <c r="AA94" s="126"/>
      <c r="AD94" s="22" t="s">
        <v>133</v>
      </c>
      <c r="AE94" s="84">
        <v>44557</v>
      </c>
      <c r="AF94" s="86">
        <v>44567</v>
      </c>
      <c r="AG94" s="33">
        <f t="shared" si="61"/>
        <v>10</v>
      </c>
      <c r="AH94" s="120" t="s">
        <v>1435</v>
      </c>
      <c r="AI94" s="311"/>
      <c r="AK94" s="264"/>
      <c r="AL94" s="264"/>
      <c r="AM94" s="308"/>
    </row>
    <row r="95" spans="1:41">
      <c r="A95" s="146" t="s">
        <v>3210</v>
      </c>
      <c r="B95" s="79">
        <v>18</v>
      </c>
      <c r="C95" s="79">
        <v>14</v>
      </c>
      <c r="D95" s="80">
        <v>-17</v>
      </c>
      <c r="E95" s="79">
        <v>39</v>
      </c>
      <c r="F95" s="6">
        <v>4.76</v>
      </c>
      <c r="G95" s="80">
        <v>3029</v>
      </c>
      <c r="H95" s="5" t="s">
        <v>3679</v>
      </c>
      <c r="I95" s="22" t="s">
        <v>1024</v>
      </c>
      <c r="J95" s="73">
        <v>28.73</v>
      </c>
      <c r="K95" s="323">
        <v>4.3099999999999996</v>
      </c>
      <c r="L95" s="73">
        <v>5.52</v>
      </c>
      <c r="M95" s="323">
        <v>8.23</v>
      </c>
      <c r="N95" s="318">
        <f t="shared" ref="N95:N109" si="83">K95+J95+L95+M95</f>
        <v>46.790000000000006</v>
      </c>
      <c r="O95" s="81">
        <f>IFERROR(VLOOKUP($G95,'321買'!A:E,3,0),"'沒有資料'")</f>
        <v>4</v>
      </c>
      <c r="P95" s="380">
        <f>IFERROR(VLOOKUP($G95,'321買'!$A:$G,7,0),"'沒有資料'")</f>
        <v>592</v>
      </c>
      <c r="R95" s="297">
        <f>IFERROR(RANK(VLOOKUP($G95,連買!$A:$D,4,0),連買!$D:$D,0),"'沒有資料'")</f>
        <v>337</v>
      </c>
      <c r="S95" s="45">
        <v>3</v>
      </c>
      <c r="U95" s="95">
        <v>4.0199999999999996</v>
      </c>
      <c r="V95" s="36">
        <v>43.8</v>
      </c>
      <c r="W95" s="66">
        <v>40</v>
      </c>
      <c r="X95" s="15">
        <f t="shared" si="78"/>
        <v>3.7999999999999972</v>
      </c>
      <c r="Y95" s="63">
        <f t="shared" si="79"/>
        <v>9.4999999999999932E-2</v>
      </c>
      <c r="Z95" s="100" t="s">
        <v>1677</v>
      </c>
      <c r="AA95" s="126"/>
      <c r="AD95" s="22" t="s">
        <v>1024</v>
      </c>
      <c r="AE95" s="84">
        <v>44554</v>
      </c>
      <c r="AF95" s="86">
        <v>44564</v>
      </c>
      <c r="AG95" s="33">
        <f t="shared" si="61"/>
        <v>10</v>
      </c>
      <c r="AH95" s="43" t="s">
        <v>1556</v>
      </c>
      <c r="AI95" s="311"/>
      <c r="AK95" s="264"/>
      <c r="AL95" s="264"/>
      <c r="AM95" s="308"/>
    </row>
    <row r="96" spans="1:41">
      <c r="A96" s="146" t="s">
        <v>3831</v>
      </c>
      <c r="B96" s="80">
        <v>-869</v>
      </c>
      <c r="C96" s="80">
        <v>-383</v>
      </c>
      <c r="D96" s="80">
        <v>-6</v>
      </c>
      <c r="E96" s="79">
        <v>19</v>
      </c>
      <c r="F96" s="6">
        <v>-26.34</v>
      </c>
      <c r="G96" s="80">
        <v>1432</v>
      </c>
      <c r="H96" s="5" t="s">
        <v>6530</v>
      </c>
      <c r="I96" s="22" t="s">
        <v>804</v>
      </c>
      <c r="J96" s="73">
        <v>56.18</v>
      </c>
      <c r="K96" s="323">
        <v>0.23</v>
      </c>
      <c r="L96" s="323">
        <v>0</v>
      </c>
      <c r="M96" s="323">
        <v>25.02</v>
      </c>
      <c r="N96" s="318">
        <f t="shared" si="83"/>
        <v>81.429999999999993</v>
      </c>
      <c r="O96" s="81">
        <f>IFERROR(VLOOKUP($G96,'321買'!A:E,3,0),"'沒有資料'")</f>
        <v>0</v>
      </c>
      <c r="P96" s="380">
        <f>IFERROR(VLOOKUP($G96,'321買'!$A:$G,7,0),"'沒有資料'")</f>
        <v>911</v>
      </c>
      <c r="R96" s="297">
        <f>IFERROR(RANK(VLOOKUP($G96,連買!$A:$D,4,0),連買!$D:$D,0),"'沒有資料'")</f>
        <v>1311</v>
      </c>
      <c r="S96" s="34">
        <v>0</v>
      </c>
      <c r="U96" s="57">
        <v>-1.79</v>
      </c>
      <c r="V96" s="36">
        <v>11.7</v>
      </c>
      <c r="W96" s="66">
        <v>11</v>
      </c>
      <c r="X96" s="15">
        <f t="shared" si="78"/>
        <v>0.69999999999999929</v>
      </c>
      <c r="Y96" s="63">
        <f t="shared" si="79"/>
        <v>6.3636363636363574E-2</v>
      </c>
      <c r="Z96" s="100" t="s">
        <v>3874</v>
      </c>
      <c r="AA96" s="126"/>
      <c r="AD96" s="22" t="s">
        <v>804</v>
      </c>
      <c r="AE96" s="84">
        <v>44554</v>
      </c>
      <c r="AF96" s="86">
        <v>44564</v>
      </c>
      <c r="AG96" s="33">
        <f t="shared" si="61"/>
        <v>10</v>
      </c>
      <c r="AH96" s="43" t="s">
        <v>2176</v>
      </c>
      <c r="AI96" s="311"/>
      <c r="AK96" s="264"/>
      <c r="AL96" s="264"/>
      <c r="AM96" s="308"/>
    </row>
    <row r="97" spans="1:39">
      <c r="A97" s="146" t="s">
        <v>3830</v>
      </c>
      <c r="B97" s="93">
        <v>7219</v>
      </c>
      <c r="C97" s="79">
        <v>243</v>
      </c>
      <c r="D97" s="80">
        <v>-6</v>
      </c>
      <c r="E97" s="79">
        <v>114</v>
      </c>
      <c r="F97" s="6">
        <v>8.64</v>
      </c>
      <c r="G97" s="79">
        <v>1314</v>
      </c>
      <c r="H97" s="205" t="s">
        <v>295</v>
      </c>
      <c r="I97" s="22" t="s">
        <v>3887</v>
      </c>
      <c r="J97" s="73">
        <v>35.479999999999997</v>
      </c>
      <c r="K97" s="323">
        <v>11.17</v>
      </c>
      <c r="L97" s="73">
        <v>16.87</v>
      </c>
      <c r="M97" s="73">
        <v>2.4500000000000002</v>
      </c>
      <c r="N97" s="318">
        <f t="shared" si="83"/>
        <v>65.97</v>
      </c>
      <c r="O97" s="81">
        <f>IFERROR(VLOOKUP($G97,'321買'!A:E,3,0),"'沒有資料'")</f>
        <v>3</v>
      </c>
      <c r="P97" s="380">
        <f>IFERROR(VLOOKUP($G97,'321買'!$A:$G,7,0),"'沒有資料'")</f>
        <v>592</v>
      </c>
      <c r="R97" s="297">
        <f>IFERROR(RANK(VLOOKUP($G97,連買!$A:$D,4,0),連買!$D:$D,0),"'沒有資料'")</f>
        <v>1170</v>
      </c>
      <c r="S97" s="34">
        <v>0</v>
      </c>
      <c r="U97" s="95">
        <v>1.22</v>
      </c>
      <c r="V97" s="36">
        <v>12.95</v>
      </c>
      <c r="W97" s="66">
        <v>11.75</v>
      </c>
      <c r="X97" s="15">
        <f t="shared" si="78"/>
        <v>1.1999999999999993</v>
      </c>
      <c r="Y97" s="63">
        <f t="shared" si="79"/>
        <v>0.10212765957446802</v>
      </c>
      <c r="Z97" s="100" t="s">
        <v>3875</v>
      </c>
      <c r="AA97" s="126"/>
      <c r="AD97" s="22" t="s">
        <v>124</v>
      </c>
      <c r="AE97" s="84">
        <v>44554</v>
      </c>
      <c r="AF97" s="86">
        <v>44564</v>
      </c>
      <c r="AG97" s="33">
        <f t="shared" si="61"/>
        <v>10</v>
      </c>
      <c r="AH97" s="120" t="s">
        <v>2940</v>
      </c>
      <c r="AI97" s="311"/>
      <c r="AK97" s="264"/>
      <c r="AL97" s="264"/>
      <c r="AM97" s="308"/>
    </row>
    <row r="98" spans="1:39">
      <c r="A98" s="130" t="s">
        <v>3182</v>
      </c>
      <c r="B98" s="79">
        <v>123</v>
      </c>
      <c r="C98" s="79">
        <v>116</v>
      </c>
      <c r="D98" s="79">
        <v>77</v>
      </c>
      <c r="E98" s="79">
        <v>107</v>
      </c>
      <c r="F98" s="57">
        <v>32.08</v>
      </c>
      <c r="G98" s="79">
        <v>4770</v>
      </c>
      <c r="H98" s="8" t="s">
        <v>3879</v>
      </c>
      <c r="I98" s="22" t="s">
        <v>3829</v>
      </c>
      <c r="J98" s="323">
        <v>63.69</v>
      </c>
      <c r="K98" s="73">
        <v>3.2</v>
      </c>
      <c r="L98" s="323"/>
      <c r="M98" s="323"/>
      <c r="N98" s="318">
        <f t="shared" si="83"/>
        <v>66.89</v>
      </c>
      <c r="O98" s="81" t="str">
        <f>IFERROR(VLOOKUP($G98,'321買'!A:E,3,0),"'沒有資料'")</f>
        <v>'沒有資料'</v>
      </c>
      <c r="P98" s="380" t="str">
        <f>IFERROR(VLOOKUP($G98,'321買'!$A:$G,7,0),"'沒有資料'")</f>
        <v>'沒有資料'</v>
      </c>
      <c r="R98" s="297">
        <f>IFERROR(RANK(VLOOKUP($G98,連買!$A:$D,4,0),連買!$D:$D,0),"'沒有資料'")</f>
        <v>1543</v>
      </c>
      <c r="S98" s="45">
        <v>4.3</v>
      </c>
      <c r="U98" s="57">
        <v>13.09</v>
      </c>
      <c r="V98" s="36">
        <v>289</v>
      </c>
      <c r="W98" s="66">
        <v>166</v>
      </c>
      <c r="X98" s="15">
        <f t="shared" si="78"/>
        <v>123</v>
      </c>
      <c r="Y98" s="63">
        <f t="shared" si="79"/>
        <v>0.74096385542168675</v>
      </c>
      <c r="Z98" s="100" t="s">
        <v>3871</v>
      </c>
      <c r="AA98" s="168"/>
      <c r="AB98" s="268"/>
      <c r="AC98" s="411"/>
      <c r="AD98" s="22" t="s">
        <v>3829</v>
      </c>
      <c r="AE98" s="84">
        <v>44552</v>
      </c>
      <c r="AF98" s="86">
        <v>44564</v>
      </c>
      <c r="AG98" s="33">
        <f t="shared" si="61"/>
        <v>12</v>
      </c>
      <c r="AH98" s="43" t="s">
        <v>2823</v>
      </c>
      <c r="AI98" s="311"/>
      <c r="AK98" s="264"/>
      <c r="AL98" s="264"/>
      <c r="AM98" s="308"/>
    </row>
    <row r="99" spans="1:39">
      <c r="A99" s="146" t="s">
        <v>1994</v>
      </c>
      <c r="B99" s="79">
        <v>278</v>
      </c>
      <c r="C99" s="80">
        <v>-4</v>
      </c>
      <c r="D99" s="80">
        <v>-20</v>
      </c>
      <c r="E99" s="93">
        <v>3800</v>
      </c>
      <c r="F99" s="47">
        <v>-3843</v>
      </c>
      <c r="G99" s="79">
        <v>6535</v>
      </c>
      <c r="H99" s="8" t="s">
        <v>5070</v>
      </c>
      <c r="I99" s="16" t="s">
        <v>4151</v>
      </c>
      <c r="J99" s="323">
        <v>52.41</v>
      </c>
      <c r="K99" s="323">
        <v>0.97</v>
      </c>
      <c r="L99" s="323"/>
      <c r="M99" s="323">
        <v>36.14</v>
      </c>
      <c r="N99" s="318">
        <f t="shared" si="83"/>
        <v>89.52</v>
      </c>
      <c r="O99" s="81" t="str">
        <f>IFERROR(VLOOKUP($G99,'321買'!A:E,3,0),"'沒有資料'")</f>
        <v>'沒有資料'</v>
      </c>
      <c r="P99" s="380" t="str">
        <f>IFERROR(VLOOKUP($G99,'321買'!$A:$G,7,0),"'沒有資料'")</f>
        <v>'沒有資料'</v>
      </c>
      <c r="R99" s="297">
        <f>IFERROR(RANK(VLOOKUP($G99,連買!$A:$D,4,0),連買!$D:$D,0),"'沒有資料'")</f>
        <v>720</v>
      </c>
      <c r="S99" s="34">
        <v>0</v>
      </c>
      <c r="U99" s="57">
        <v>2.38</v>
      </c>
      <c r="V99" s="36">
        <v>38.950000000000003</v>
      </c>
      <c r="W99" s="66">
        <v>30</v>
      </c>
      <c r="X99" s="15">
        <f t="shared" si="78"/>
        <v>8.9500000000000028</v>
      </c>
      <c r="Y99" s="63">
        <f t="shared" si="79"/>
        <v>0.29833333333333345</v>
      </c>
      <c r="Z99" s="100" t="s">
        <v>3477</v>
      </c>
      <c r="AA99" s="126"/>
      <c r="AD99" s="16" t="s">
        <v>625</v>
      </c>
      <c r="AE99" s="84">
        <v>44552</v>
      </c>
      <c r="AF99" s="86">
        <v>44564</v>
      </c>
      <c r="AG99" s="33">
        <f t="shared" si="61"/>
        <v>12</v>
      </c>
      <c r="AH99" s="43" t="s">
        <v>2316</v>
      </c>
      <c r="AI99" s="311"/>
      <c r="AK99" s="264"/>
      <c r="AL99" s="264"/>
      <c r="AM99" s="308"/>
    </row>
    <row r="100" spans="1:39">
      <c r="A100" s="146" t="s">
        <v>1698</v>
      </c>
      <c r="B100" s="79">
        <v>112</v>
      </c>
      <c r="C100" s="79">
        <v>90</v>
      </c>
      <c r="D100" s="79">
        <v>13</v>
      </c>
      <c r="E100" s="79">
        <v>32</v>
      </c>
      <c r="F100" s="6">
        <v>6.03</v>
      </c>
      <c r="G100" s="79">
        <v>3605</v>
      </c>
      <c r="H100" s="8" t="s">
        <v>3620</v>
      </c>
      <c r="I100" s="22" t="s">
        <v>393</v>
      </c>
      <c r="J100" s="73">
        <v>37.479999999999997</v>
      </c>
      <c r="K100" s="73">
        <v>9.0399999999999991</v>
      </c>
      <c r="L100" s="323">
        <v>29.43</v>
      </c>
      <c r="M100" s="323">
        <v>15.77</v>
      </c>
      <c r="N100" s="318">
        <f t="shared" si="83"/>
        <v>91.719999999999985</v>
      </c>
      <c r="O100" s="81">
        <f>IFERROR(VLOOKUP($G100,'321買'!A:E,3,0),"'沒有資料'")</f>
        <v>29</v>
      </c>
      <c r="P100" s="380">
        <f>IFERROR(VLOOKUP($G100,'321買'!$A:$G,7,0),"'沒有資料'")</f>
        <v>172</v>
      </c>
      <c r="R100" s="297">
        <f>IFERROR(RANK(VLOOKUP($G100,連買!$A:$D,4,0),連買!$D:$D,0),"'沒有資料'")</f>
        <v>424</v>
      </c>
      <c r="S100" s="34">
        <v>0.7</v>
      </c>
      <c r="U100" s="95">
        <v>4.17</v>
      </c>
      <c r="V100" s="36">
        <v>51</v>
      </c>
      <c r="W100" s="66">
        <v>40</v>
      </c>
      <c r="X100" s="15">
        <f t="shared" si="78"/>
        <v>11</v>
      </c>
      <c r="Y100" s="63">
        <f t="shared" si="79"/>
        <v>0.27500000000000002</v>
      </c>
      <c r="Z100" s="100" t="s">
        <v>3867</v>
      </c>
      <c r="AA100" s="126"/>
      <c r="AD100" s="22" t="s">
        <v>393</v>
      </c>
      <c r="AE100" s="84">
        <v>44551</v>
      </c>
      <c r="AF100" s="86">
        <v>44564</v>
      </c>
      <c r="AG100" s="33">
        <f t="shared" si="61"/>
        <v>13</v>
      </c>
      <c r="AH100" s="43" t="s">
        <v>2016</v>
      </c>
      <c r="AI100" s="311"/>
      <c r="AK100" s="264"/>
      <c r="AL100" s="264"/>
      <c r="AM100" s="308"/>
    </row>
    <row r="101" spans="1:39">
      <c r="A101" s="146" t="s">
        <v>3215</v>
      </c>
      <c r="B101" s="79">
        <v>88</v>
      </c>
      <c r="C101" s="80">
        <v>-41</v>
      </c>
      <c r="D101" s="79">
        <v>0</v>
      </c>
      <c r="E101" s="79">
        <v>47</v>
      </c>
      <c r="F101" s="6">
        <v>1.29</v>
      </c>
      <c r="G101" s="80">
        <v>8927</v>
      </c>
      <c r="H101" s="5" t="s">
        <v>314</v>
      </c>
      <c r="I101" s="16" t="s">
        <v>6531</v>
      </c>
      <c r="J101" s="323">
        <v>72.430000000000007</v>
      </c>
      <c r="K101" s="323">
        <v>0.17</v>
      </c>
      <c r="L101" s="73">
        <v>5.68</v>
      </c>
      <c r="M101" s="323">
        <v>32.82</v>
      </c>
      <c r="N101" s="318">
        <f t="shared" si="83"/>
        <v>111.1</v>
      </c>
      <c r="O101" s="81">
        <f>IFERROR(VLOOKUP($G101,'321買'!A:E,3,0),"'沒有資料'")</f>
        <v>0</v>
      </c>
      <c r="P101" s="380">
        <f>IFERROR(VLOOKUP($G101,'321買'!$A:$G,7,0),"'沒有資料'")</f>
        <v>911</v>
      </c>
      <c r="R101" s="297">
        <f>IFERROR(RANK(VLOOKUP($G101,連買!$A:$D,4,0),連買!$D:$D,0),"'沒有資料'")</f>
        <v>869</v>
      </c>
      <c r="S101" s="34">
        <v>0.47</v>
      </c>
      <c r="U101" s="57">
        <v>0.95</v>
      </c>
      <c r="V101" s="36">
        <v>30.6</v>
      </c>
      <c r="W101" s="66">
        <v>25</v>
      </c>
      <c r="X101" s="15">
        <f t="shared" si="78"/>
        <v>5.6000000000000014</v>
      </c>
      <c r="Y101" s="63">
        <f t="shared" si="79"/>
        <v>0.22400000000000006</v>
      </c>
      <c r="Z101" s="100" t="s">
        <v>984</v>
      </c>
      <c r="AA101" s="126"/>
      <c r="AD101" s="16" t="s">
        <v>987</v>
      </c>
      <c r="AE101" s="84">
        <v>44546</v>
      </c>
      <c r="AF101" s="86">
        <v>44557</v>
      </c>
      <c r="AG101" s="33">
        <f t="shared" si="61"/>
        <v>11</v>
      </c>
      <c r="AH101" s="43" t="s">
        <v>2868</v>
      </c>
      <c r="AI101" s="311"/>
      <c r="AK101" s="264"/>
      <c r="AL101" s="264"/>
      <c r="AM101" s="308"/>
    </row>
    <row r="102" spans="1:39">
      <c r="A102" s="146" t="s">
        <v>3819</v>
      </c>
      <c r="B102" s="80">
        <v>-101</v>
      </c>
      <c r="C102" s="80">
        <v>-76</v>
      </c>
      <c r="D102" s="79">
        <v>28</v>
      </c>
      <c r="E102" s="80">
        <v>-1</v>
      </c>
      <c r="F102" s="6">
        <v>0.55000000000000004</v>
      </c>
      <c r="G102" s="79">
        <v>3520</v>
      </c>
      <c r="H102" s="8" t="s">
        <v>3620</v>
      </c>
      <c r="I102" s="16" t="s">
        <v>3154</v>
      </c>
      <c r="J102" s="323">
        <v>35.700000000000003</v>
      </c>
      <c r="K102" s="323">
        <v>0.05</v>
      </c>
      <c r="L102" s="323"/>
      <c r="M102" s="73">
        <v>34.26</v>
      </c>
      <c r="N102" s="318">
        <f t="shared" si="83"/>
        <v>70.009999999999991</v>
      </c>
      <c r="O102" s="81">
        <f>IFERROR(VLOOKUP($G102,'321買'!A:E,3,0),"'沒有資料'")</f>
        <v>0</v>
      </c>
      <c r="P102" s="380">
        <f>IFERROR(VLOOKUP($G102,'321買'!$A:$G,7,0),"'沒有資料'")</f>
        <v>911</v>
      </c>
      <c r="R102" s="297">
        <f>IFERROR(RANK(VLOOKUP($G102,連買!$A:$D,4,0),連買!$D:$D,0),"'沒有資料'")</f>
        <v>1108</v>
      </c>
      <c r="S102" s="34">
        <v>0</v>
      </c>
      <c r="U102" s="95">
        <v>-0.08</v>
      </c>
      <c r="V102" s="36">
        <v>15.8</v>
      </c>
      <c r="W102" s="66">
        <v>12.8</v>
      </c>
      <c r="X102" s="15">
        <f t="shared" si="78"/>
        <v>3</v>
      </c>
      <c r="Y102" s="63">
        <f t="shared" si="79"/>
        <v>0.234375</v>
      </c>
      <c r="Z102" s="100" t="s">
        <v>3861</v>
      </c>
      <c r="AA102" s="126"/>
      <c r="AD102" s="16" t="s">
        <v>3154</v>
      </c>
      <c r="AE102" s="84">
        <v>44546</v>
      </c>
      <c r="AF102" s="86">
        <v>44557</v>
      </c>
      <c r="AG102" s="33">
        <f t="shared" si="61"/>
        <v>11</v>
      </c>
      <c r="AH102" s="43" t="s">
        <v>2586</v>
      </c>
      <c r="AI102" s="311"/>
      <c r="AK102" s="264"/>
      <c r="AL102" s="264"/>
      <c r="AM102" s="308"/>
    </row>
    <row r="103" spans="1:39">
      <c r="A103" s="146" t="s">
        <v>3812</v>
      </c>
      <c r="B103" s="80">
        <v>-385</v>
      </c>
      <c r="C103" s="94">
        <v>-1255</v>
      </c>
      <c r="D103" s="79">
        <v>17</v>
      </c>
      <c r="E103" s="80">
        <v>-18</v>
      </c>
      <c r="F103" s="6">
        <v>-14.89</v>
      </c>
      <c r="G103" s="80">
        <v>2748</v>
      </c>
      <c r="H103" s="5" t="s">
        <v>305</v>
      </c>
      <c r="I103" s="22" t="s">
        <v>983</v>
      </c>
      <c r="J103" s="323">
        <v>68.44</v>
      </c>
      <c r="K103" s="323">
        <v>0.31</v>
      </c>
      <c r="L103" s="73">
        <v>1.23</v>
      </c>
      <c r="M103" s="323">
        <v>69.540000000000006</v>
      </c>
      <c r="N103" s="73">
        <f t="shared" si="83"/>
        <v>139.52000000000001</v>
      </c>
      <c r="O103" s="81">
        <f>IFERROR(VLOOKUP($G103,'321買'!A:E,3,0),"'沒有資料'")</f>
        <v>0</v>
      </c>
      <c r="P103" s="380">
        <f>IFERROR(VLOOKUP($G103,'321買'!$A:$G,7,0),"'沒有資料'")</f>
        <v>911</v>
      </c>
      <c r="R103" s="297">
        <f>IFERROR(RANK(VLOOKUP($G103,連買!$A:$D,4,0),連買!$D:$D,0),"'沒有資料'")</f>
        <v>547</v>
      </c>
      <c r="S103" s="34">
        <v>1</v>
      </c>
      <c r="U103" s="57">
        <v>-0.36</v>
      </c>
      <c r="V103" s="36">
        <v>39</v>
      </c>
      <c r="W103" s="66">
        <v>34</v>
      </c>
      <c r="X103" s="15">
        <f t="shared" si="78"/>
        <v>5</v>
      </c>
      <c r="Y103" s="63">
        <f t="shared" si="79"/>
        <v>0.14705882352941177</v>
      </c>
      <c r="Z103" s="100" t="s">
        <v>3862</v>
      </c>
      <c r="AA103" s="126"/>
      <c r="AD103" s="22" t="s">
        <v>983</v>
      </c>
      <c r="AE103" s="84">
        <v>44546</v>
      </c>
      <c r="AF103" s="86">
        <v>44557</v>
      </c>
      <c r="AG103" s="33">
        <f t="shared" si="61"/>
        <v>11</v>
      </c>
      <c r="AH103" s="43" t="s">
        <v>2866</v>
      </c>
      <c r="AI103" s="311"/>
      <c r="AK103" s="264"/>
      <c r="AL103" s="264"/>
      <c r="AM103" s="308"/>
    </row>
    <row r="104" spans="1:39">
      <c r="A104" s="130" t="s">
        <v>3807</v>
      </c>
      <c r="B104" s="80">
        <v>-32</v>
      </c>
      <c r="C104" s="80">
        <v>-32</v>
      </c>
      <c r="D104" s="79">
        <v>63</v>
      </c>
      <c r="E104" s="80">
        <v>-40</v>
      </c>
      <c r="F104" s="57">
        <v>22.79</v>
      </c>
      <c r="G104" s="80">
        <v>1777</v>
      </c>
      <c r="H104" s="195" t="s">
        <v>5070</v>
      </c>
      <c r="I104" s="16" t="s">
        <v>138</v>
      </c>
      <c r="J104" s="323">
        <v>48.69</v>
      </c>
      <c r="K104" s="323">
        <v>0.15</v>
      </c>
      <c r="L104" s="73">
        <v>2.31</v>
      </c>
      <c r="M104" s="73">
        <v>29.77</v>
      </c>
      <c r="N104" s="318">
        <f t="shared" si="83"/>
        <v>80.92</v>
      </c>
      <c r="O104" s="81">
        <f>IFERROR(VLOOKUP($G104,'321買'!A:E,3,0),"'沒有資料'")</f>
        <v>1</v>
      </c>
      <c r="P104" s="380">
        <f>IFERROR(VLOOKUP($G104,'321買'!$A:$G,7,0),"'沒有資料'")</f>
        <v>783</v>
      </c>
      <c r="R104" s="297">
        <f>IFERROR(RANK(VLOOKUP($G104,連買!$A:$D,4,0),連買!$D:$D,0),"'沒有資料'")</f>
        <v>1683</v>
      </c>
      <c r="S104" s="45">
        <v>4</v>
      </c>
      <c r="U104" s="95">
        <v>4.57</v>
      </c>
      <c r="V104" s="36">
        <v>64.5</v>
      </c>
      <c r="W104" s="66">
        <v>60</v>
      </c>
      <c r="X104" s="15">
        <f t="shared" si="78"/>
        <v>4.5</v>
      </c>
      <c r="Y104" s="63">
        <f t="shared" si="79"/>
        <v>7.4999999999999997E-2</v>
      </c>
      <c r="Z104" s="100" t="s">
        <v>3843</v>
      </c>
      <c r="AA104" s="126"/>
      <c r="AD104" s="16" t="s">
        <v>138</v>
      </c>
      <c r="AE104" s="84">
        <v>44543</v>
      </c>
      <c r="AF104" s="86">
        <v>44553</v>
      </c>
      <c r="AG104" s="33">
        <f t="shared" si="61"/>
        <v>10</v>
      </c>
      <c r="AH104" s="120" t="s">
        <v>2633</v>
      </c>
      <c r="AI104" s="311"/>
      <c r="AK104" s="264"/>
      <c r="AL104" s="264"/>
      <c r="AM104" s="308"/>
    </row>
    <row r="105" spans="1:39" ht="16.5" customHeight="1">
      <c r="A105" s="146" t="s">
        <v>3798</v>
      </c>
      <c r="B105" s="80">
        <v>-132</v>
      </c>
      <c r="C105" s="80">
        <v>-396</v>
      </c>
      <c r="D105" s="79">
        <v>9</v>
      </c>
      <c r="E105" s="79">
        <v>0</v>
      </c>
      <c r="F105" s="6">
        <v>-11.67</v>
      </c>
      <c r="G105" s="80">
        <v>1268</v>
      </c>
      <c r="H105" s="5" t="s">
        <v>305</v>
      </c>
      <c r="I105" s="16" t="s">
        <v>965</v>
      </c>
      <c r="J105" s="323">
        <v>70.489999999999995</v>
      </c>
      <c r="K105" s="323">
        <v>0.08</v>
      </c>
      <c r="L105" s="73">
        <v>0.32</v>
      </c>
      <c r="M105" s="323">
        <v>19.29</v>
      </c>
      <c r="N105" s="318">
        <f t="shared" si="83"/>
        <v>90.179999999999978</v>
      </c>
      <c r="O105" s="81" t="str">
        <f>IFERROR(VLOOKUP($G105,'321買'!A:E,3,0),"'沒有資料'")</f>
        <v>'沒有資料'</v>
      </c>
      <c r="P105" s="380" t="str">
        <f>IFERROR(VLOOKUP($G105,'321買'!$A:$G,7,0),"'沒有資料'")</f>
        <v>'沒有資料'</v>
      </c>
      <c r="R105" s="297">
        <f>IFERROR(RANK(VLOOKUP($G105,連買!$A:$D,4,0),連買!$D:$D,0),"'沒有資料'")</f>
        <v>1450</v>
      </c>
      <c r="S105" s="45">
        <v>7</v>
      </c>
      <c r="U105" s="57">
        <v>0.05</v>
      </c>
      <c r="V105" s="36">
        <v>111</v>
      </c>
      <c r="W105" s="66">
        <v>100</v>
      </c>
      <c r="X105" s="15">
        <f t="shared" si="78"/>
        <v>11</v>
      </c>
      <c r="Y105" s="63">
        <f t="shared" si="79"/>
        <v>0.11</v>
      </c>
      <c r="Z105" s="100" t="s">
        <v>771</v>
      </c>
      <c r="AA105" s="126"/>
      <c r="AD105" s="16" t="s">
        <v>965</v>
      </c>
      <c r="AE105" s="84">
        <v>44540</v>
      </c>
      <c r="AF105" s="86">
        <v>44550</v>
      </c>
      <c r="AG105" s="33">
        <f t="shared" si="61"/>
        <v>10</v>
      </c>
      <c r="AH105" s="43" t="s">
        <v>2857</v>
      </c>
      <c r="AI105" s="311"/>
      <c r="AK105" s="264"/>
      <c r="AL105" s="264"/>
      <c r="AM105" s="308"/>
    </row>
    <row r="106" spans="1:39">
      <c r="A106" s="130" t="s">
        <v>1492</v>
      </c>
      <c r="B106" s="79">
        <v>81</v>
      </c>
      <c r="C106" s="79">
        <v>134</v>
      </c>
      <c r="D106" s="80">
        <v>-2</v>
      </c>
      <c r="E106" s="79">
        <v>14</v>
      </c>
      <c r="F106" s="57">
        <v>20.65</v>
      </c>
      <c r="G106" s="79">
        <v>6792</v>
      </c>
      <c r="H106" s="8" t="s">
        <v>313</v>
      </c>
      <c r="I106" s="22" t="s">
        <v>3797</v>
      </c>
      <c r="J106" s="323">
        <v>45.77</v>
      </c>
      <c r="K106" s="323">
        <v>0.64</v>
      </c>
      <c r="L106" s="323"/>
      <c r="M106" s="323">
        <v>42.12</v>
      </c>
      <c r="N106" s="318">
        <f t="shared" si="83"/>
        <v>88.53</v>
      </c>
      <c r="O106" s="81" t="str">
        <f>IFERROR(VLOOKUP($G106,'321買'!A:E,3,0),"'沒有資料'")</f>
        <v>'沒有資料'</v>
      </c>
      <c r="P106" s="380" t="str">
        <f>IFERROR(VLOOKUP($G106,'321買'!$A:$G,7,0),"'沒有資料'")</f>
        <v>'沒有資料'</v>
      </c>
      <c r="R106" s="297">
        <f>IFERROR(RANK(VLOOKUP($G106,連買!$A:$D,4,0),連買!$D:$D,0),"'沒有資料'")</f>
        <v>1688</v>
      </c>
      <c r="S106" s="45">
        <v>3.5</v>
      </c>
      <c r="U106" s="95">
        <v>6.28</v>
      </c>
      <c r="V106" s="36">
        <v>213.5</v>
      </c>
      <c r="W106" s="66">
        <v>98</v>
      </c>
      <c r="X106" s="15">
        <f t="shared" si="78"/>
        <v>115.5</v>
      </c>
      <c r="Y106" s="153">
        <f t="shared" si="79"/>
        <v>1.1785714285714286</v>
      </c>
      <c r="Z106" s="100" t="s">
        <v>3826</v>
      </c>
      <c r="AA106" s="126"/>
      <c r="AD106" s="22" t="s">
        <v>3797</v>
      </c>
      <c r="AE106" s="84">
        <v>44538</v>
      </c>
      <c r="AF106" s="86">
        <v>44550</v>
      </c>
      <c r="AG106" s="33">
        <f t="shared" si="61"/>
        <v>12</v>
      </c>
      <c r="AH106" s="43" t="s">
        <v>3799</v>
      </c>
      <c r="AI106" s="311"/>
      <c r="AK106" s="264"/>
      <c r="AL106" s="264"/>
      <c r="AM106" s="308"/>
    </row>
    <row r="107" spans="1:39">
      <c r="A107" s="146" t="s">
        <v>3794</v>
      </c>
      <c r="B107" s="80">
        <v>-178</v>
      </c>
      <c r="C107" s="80">
        <v>-102</v>
      </c>
      <c r="D107" s="80">
        <v>-3</v>
      </c>
      <c r="E107" s="80">
        <v>-31</v>
      </c>
      <c r="F107" s="6">
        <v>-0.28000000000000003</v>
      </c>
      <c r="G107" s="80">
        <v>6616</v>
      </c>
      <c r="H107" s="5" t="s">
        <v>2084</v>
      </c>
      <c r="I107" s="16" t="s">
        <v>650</v>
      </c>
      <c r="J107" s="323">
        <v>71.069999999999993</v>
      </c>
      <c r="K107" s="323">
        <v>77.08</v>
      </c>
      <c r="L107" s="323"/>
      <c r="M107" s="323">
        <v>58.62</v>
      </c>
      <c r="N107" s="318">
        <f t="shared" si="83"/>
        <v>206.76999999999998</v>
      </c>
      <c r="O107" s="81" t="str">
        <f>IFERROR(VLOOKUP($G107,'321買'!A:E,3,0),"'沒有資料'")</f>
        <v>'沒有資料'</v>
      </c>
      <c r="P107" s="380" t="str">
        <f>IFERROR(VLOOKUP($G107,'321買'!$A:$G,7,0),"'沒有資料'")</f>
        <v>'沒有資料'</v>
      </c>
      <c r="R107" s="297">
        <f>IFERROR(RANK(VLOOKUP($G107,連買!$A:$D,4,0),連買!$D:$D,0),"'沒有資料'")</f>
        <v>1544</v>
      </c>
      <c r="S107" s="34">
        <v>2</v>
      </c>
      <c r="U107" s="57">
        <v>0.25</v>
      </c>
      <c r="V107" s="13">
        <v>18.5</v>
      </c>
      <c r="W107" s="66">
        <v>16.25</v>
      </c>
      <c r="X107" s="15">
        <f t="shared" si="78"/>
        <v>2.25</v>
      </c>
      <c r="Y107" s="63">
        <f t="shared" si="79"/>
        <v>0.13846153846153847</v>
      </c>
      <c r="Z107" s="100" t="s">
        <v>3827</v>
      </c>
      <c r="AA107" s="126"/>
      <c r="AD107" s="16" t="s">
        <v>650</v>
      </c>
      <c r="AE107" s="84">
        <v>44538</v>
      </c>
      <c r="AF107" s="86">
        <v>44550</v>
      </c>
      <c r="AG107" s="33">
        <f t="shared" si="61"/>
        <v>12</v>
      </c>
      <c r="AH107" s="43" t="s">
        <v>2653</v>
      </c>
      <c r="AI107" s="311"/>
      <c r="AK107" s="264"/>
      <c r="AL107" s="264"/>
      <c r="AM107" s="308"/>
    </row>
    <row r="108" spans="1:39">
      <c r="A108" s="146" t="s">
        <v>1779</v>
      </c>
      <c r="B108" s="80">
        <v>-19</v>
      </c>
      <c r="C108" s="80">
        <v>-21</v>
      </c>
      <c r="D108" s="79">
        <v>1</v>
      </c>
      <c r="E108" s="79">
        <v>282</v>
      </c>
      <c r="F108" s="73">
        <v>-854.73</v>
      </c>
      <c r="G108" s="80">
        <v>6461</v>
      </c>
      <c r="H108" s="5" t="s">
        <v>5070</v>
      </c>
      <c r="I108" s="16" t="s">
        <v>621</v>
      </c>
      <c r="J108" s="323">
        <v>50.63</v>
      </c>
      <c r="K108" s="323">
        <v>0.75</v>
      </c>
      <c r="L108" s="73">
        <v>4.22</v>
      </c>
      <c r="M108" s="323">
        <v>48.82</v>
      </c>
      <c r="N108" s="318">
        <f t="shared" si="83"/>
        <v>104.42</v>
      </c>
      <c r="O108" s="81">
        <f>IFERROR(VLOOKUP($G108,'321買'!A:E,3,0),"'沒有資料'")</f>
        <v>0</v>
      </c>
      <c r="P108" s="380">
        <f>IFERROR(VLOOKUP($G108,'321買'!$A:$G,7,0),"'沒有資料'")</f>
        <v>911</v>
      </c>
      <c r="R108" s="297">
        <f>IFERROR(RANK(VLOOKUP($G108,連買!$A:$D,4,0),連買!$D:$D,0),"'沒有資料'")</f>
        <v>1152</v>
      </c>
      <c r="S108" s="34">
        <v>0</v>
      </c>
      <c r="U108" s="57">
        <v>-2.86</v>
      </c>
      <c r="V108" s="36">
        <v>20.05</v>
      </c>
      <c r="W108" s="66">
        <v>20</v>
      </c>
      <c r="X108" s="15">
        <f t="shared" si="78"/>
        <v>5.0000000000000711E-2</v>
      </c>
      <c r="Y108" s="63">
        <f t="shared" si="79"/>
        <v>2.5000000000000356E-3</v>
      </c>
      <c r="Z108" s="100" t="s">
        <v>3828</v>
      </c>
      <c r="AA108" s="126"/>
      <c r="AD108" s="16" t="s">
        <v>621</v>
      </c>
      <c r="AE108" s="84">
        <v>44538</v>
      </c>
      <c r="AF108" s="86">
        <v>44550</v>
      </c>
      <c r="AG108" s="33">
        <f t="shared" si="61"/>
        <v>12</v>
      </c>
      <c r="AH108" s="43" t="s">
        <v>2635</v>
      </c>
      <c r="AI108" s="311"/>
      <c r="AK108" s="264"/>
      <c r="AL108" s="264"/>
      <c r="AM108" s="308"/>
    </row>
    <row r="109" spans="1:39">
      <c r="A109" s="130" t="s">
        <v>3863</v>
      </c>
      <c r="B109" s="79">
        <v>263</v>
      </c>
      <c r="C109" s="79">
        <v>210</v>
      </c>
      <c r="D109" s="79">
        <v>9</v>
      </c>
      <c r="E109" s="79">
        <v>70</v>
      </c>
      <c r="F109" s="57">
        <v>27.37</v>
      </c>
      <c r="G109" s="79">
        <v>6770</v>
      </c>
      <c r="H109" s="8" t="s">
        <v>3254</v>
      </c>
      <c r="I109" s="22" t="s">
        <v>3793</v>
      </c>
      <c r="J109" s="323">
        <v>44.91</v>
      </c>
      <c r="K109" s="73">
        <v>6.21</v>
      </c>
      <c r="L109" s="323"/>
      <c r="M109" s="323">
        <v>28.78</v>
      </c>
      <c r="N109" s="318">
        <f t="shared" si="83"/>
        <v>79.900000000000006</v>
      </c>
      <c r="O109" s="81" t="str">
        <f>IFERROR(VLOOKUP($G109,'321買'!A:E,3,0),"'沒有資料'")</f>
        <v>'沒有資料'</v>
      </c>
      <c r="P109" s="380" t="str">
        <f>IFERROR(VLOOKUP($G109,'321買'!$A:$G,7,0),"'沒有資料'")</f>
        <v>'沒有資料'</v>
      </c>
      <c r="R109" s="297">
        <f>IFERROR(RANK(VLOOKUP($G109,連買!$A:$D,4,0),連買!$D:$D,0),"'沒有資料'")</f>
        <v>1670</v>
      </c>
      <c r="S109" s="34">
        <v>0.65</v>
      </c>
      <c r="U109" s="95">
        <v>3.44</v>
      </c>
      <c r="V109" s="36">
        <v>70.599999999999994</v>
      </c>
      <c r="W109" s="66">
        <v>49.88</v>
      </c>
      <c r="X109" s="15">
        <f t="shared" si="78"/>
        <v>20.719999999999992</v>
      </c>
      <c r="Y109" s="63">
        <f t="shared" si="79"/>
        <v>0.41539695268644727</v>
      </c>
      <c r="Z109" s="100" t="s">
        <v>3820</v>
      </c>
      <c r="AA109" s="126"/>
      <c r="AD109" s="22" t="s">
        <v>3793</v>
      </c>
      <c r="AE109" s="84">
        <v>44536</v>
      </c>
      <c r="AF109" s="86">
        <v>44546</v>
      </c>
      <c r="AG109" s="33">
        <f t="shared" si="61"/>
        <v>10</v>
      </c>
      <c r="AH109" s="43" t="s">
        <v>1894</v>
      </c>
      <c r="AI109" s="311"/>
      <c r="AK109" s="264"/>
      <c r="AL109" s="264"/>
      <c r="AM109" s="308"/>
    </row>
    <row r="110" spans="1:39">
      <c r="A110" s="146" t="s">
        <v>1872</v>
      </c>
      <c r="B110" s="79">
        <v>6</v>
      </c>
      <c r="C110" s="79">
        <v>8</v>
      </c>
      <c r="D110" s="80">
        <v>-10</v>
      </c>
      <c r="E110" s="80">
        <v>-3</v>
      </c>
      <c r="F110" s="6">
        <v>1.84</v>
      </c>
      <c r="G110" s="80">
        <v>2945</v>
      </c>
      <c r="H110" s="5" t="s">
        <v>6530</v>
      </c>
      <c r="I110" s="22" t="s">
        <v>3782</v>
      </c>
      <c r="J110" s="323">
        <v>82.79</v>
      </c>
      <c r="K110" s="323">
        <v>19.57</v>
      </c>
      <c r="L110" s="323"/>
      <c r="N110" s="318">
        <f t="shared" ref="N110:N111" si="84">K110+J110+L110</f>
        <v>102.36000000000001</v>
      </c>
      <c r="O110" s="81" t="str">
        <f>IFERROR(VLOOKUP($G110,'321買'!A:E,3,0),"'沒有資料'")</f>
        <v>'沒有資料'</v>
      </c>
      <c r="P110" s="380" t="str">
        <f>IFERROR(VLOOKUP($G110,'321買'!$A:$G,7,0),"'沒有資料'")</f>
        <v>'沒有資料'</v>
      </c>
      <c r="R110" s="297">
        <f>IFERROR(RANK(VLOOKUP($G110,連買!$A:$D,4,0),連買!$D:$D,0),"'沒有資料'")</f>
        <v>1641</v>
      </c>
      <c r="S110" s="34">
        <v>2.73</v>
      </c>
      <c r="U110" s="57">
        <v>3.18</v>
      </c>
      <c r="V110" s="36">
        <v>73.7</v>
      </c>
      <c r="W110" s="66">
        <v>69</v>
      </c>
      <c r="X110" s="15">
        <f t="shared" si="78"/>
        <v>4.7000000000000028</v>
      </c>
      <c r="Y110" s="63">
        <f t="shared" si="79"/>
        <v>6.8115942028985549E-2</v>
      </c>
      <c r="Z110" s="100" t="s">
        <v>3811</v>
      </c>
      <c r="AA110" s="126"/>
      <c r="AD110" s="22" t="s">
        <v>3782</v>
      </c>
      <c r="AE110" s="84">
        <v>44530</v>
      </c>
      <c r="AF110" s="86">
        <v>44540</v>
      </c>
      <c r="AG110" s="33">
        <f t="shared" si="61"/>
        <v>10</v>
      </c>
      <c r="AH110" s="43" t="s">
        <v>3783</v>
      </c>
      <c r="AI110" s="311"/>
      <c r="AK110" s="264"/>
      <c r="AL110" s="264"/>
      <c r="AM110" s="308"/>
    </row>
    <row r="111" spans="1:39">
      <c r="A111" s="130" t="s">
        <v>3168</v>
      </c>
      <c r="B111" s="80">
        <v>-81</v>
      </c>
      <c r="C111" s="80">
        <v>-121</v>
      </c>
      <c r="D111" s="234">
        <v>61868</v>
      </c>
      <c r="E111" s="93"/>
      <c r="F111" s="297">
        <v>-2147</v>
      </c>
      <c r="G111" s="80">
        <v>1438</v>
      </c>
      <c r="H111" s="8" t="s">
        <v>4327</v>
      </c>
      <c r="I111" s="22" t="s">
        <v>3226</v>
      </c>
      <c r="J111" s="73">
        <v>64.11</v>
      </c>
      <c r="K111" s="323">
        <v>0.57999999999999996</v>
      </c>
      <c r="L111" s="73">
        <v>4.3899999999999997</v>
      </c>
      <c r="N111" s="318">
        <f t="shared" si="84"/>
        <v>69.08</v>
      </c>
      <c r="O111" s="81">
        <f>IFERROR(VLOOKUP($G111,'321買'!A:E,3,0),"'沒有資料'")</f>
        <v>0</v>
      </c>
      <c r="P111" s="380">
        <f>IFERROR(VLOOKUP($G111,'321買'!$A:$G,7,0),"'沒有資料'")</f>
        <v>911</v>
      </c>
      <c r="R111" s="297">
        <f>IFERROR(RANK(VLOOKUP($G111,連買!$A:$D,4,0),連買!$D:$D,0),"'沒有資料'")</f>
        <v>1181</v>
      </c>
      <c r="S111" s="34">
        <v>0</v>
      </c>
      <c r="U111" s="57">
        <v>0.08</v>
      </c>
      <c r="V111" s="36">
        <v>30.3</v>
      </c>
      <c r="W111" s="66">
        <v>26</v>
      </c>
      <c r="X111" s="15">
        <f t="shared" si="78"/>
        <v>4.3000000000000007</v>
      </c>
      <c r="Y111" s="63">
        <f t="shared" si="79"/>
        <v>0.16538461538461541</v>
      </c>
      <c r="Z111" s="100" t="s">
        <v>3810</v>
      </c>
      <c r="AA111" s="126"/>
      <c r="AD111" s="22" t="s">
        <v>3226</v>
      </c>
      <c r="AE111" s="84">
        <v>44530</v>
      </c>
      <c r="AF111" s="86">
        <v>44540</v>
      </c>
      <c r="AG111" s="33">
        <f t="shared" si="61"/>
        <v>10</v>
      </c>
      <c r="AH111" s="43" t="s">
        <v>4327</v>
      </c>
      <c r="AI111" s="311"/>
      <c r="AK111" s="264"/>
      <c r="AL111" s="264"/>
      <c r="AM111" s="308"/>
    </row>
    <row r="112" spans="1:39">
      <c r="A112" s="130" t="s">
        <v>3780</v>
      </c>
      <c r="B112" s="79">
        <v>76</v>
      </c>
      <c r="C112" s="79">
        <v>70</v>
      </c>
      <c r="D112" s="79">
        <v>7</v>
      </c>
      <c r="E112" s="80">
        <v>-14</v>
      </c>
      <c r="F112" s="57">
        <v>17.43</v>
      </c>
      <c r="G112" s="79">
        <v>4571</v>
      </c>
      <c r="H112" s="8" t="s">
        <v>297</v>
      </c>
      <c r="I112" s="22" t="s">
        <v>1761</v>
      </c>
      <c r="J112" s="323">
        <v>55.59</v>
      </c>
      <c r="K112" s="73">
        <v>66.77</v>
      </c>
      <c r="L112" s="323">
        <v>5.78</v>
      </c>
      <c r="N112" s="318">
        <f>K112+J112+L112</f>
        <v>128.13999999999999</v>
      </c>
      <c r="O112" s="81">
        <f>IFERROR(VLOOKUP($G112,'321買'!A:E,3,0),"'沒有資料'")</f>
        <v>0</v>
      </c>
      <c r="P112" s="380">
        <f>IFERROR(VLOOKUP($G112,'321買'!$A:$G,7,0),"'沒有資料'")</f>
        <v>911</v>
      </c>
      <c r="R112" s="297">
        <f>IFERROR(RANK(VLOOKUP($G112,連買!$A:$D,4,0),連買!$D:$D,0),"'沒有資料'")</f>
        <v>139</v>
      </c>
      <c r="S112" s="45">
        <v>3.6</v>
      </c>
      <c r="U112" s="57">
        <v>9.1199999999999992</v>
      </c>
      <c r="V112" s="13">
        <v>103.5</v>
      </c>
      <c r="W112" s="66">
        <v>77</v>
      </c>
      <c r="X112" s="15">
        <f t="shared" si="78"/>
        <v>26.5</v>
      </c>
      <c r="Y112" s="63">
        <f t="shared" si="79"/>
        <v>0.34415584415584416</v>
      </c>
      <c r="Z112" s="100" t="s">
        <v>3809</v>
      </c>
      <c r="AA112" s="126"/>
      <c r="AD112" s="22" t="s">
        <v>1761</v>
      </c>
      <c r="AE112" s="84">
        <v>44529</v>
      </c>
      <c r="AF112" s="86">
        <v>44539</v>
      </c>
      <c r="AG112" s="33">
        <f t="shared" si="61"/>
        <v>10</v>
      </c>
      <c r="AH112" s="43" t="s">
        <v>2114</v>
      </c>
      <c r="AI112" s="311"/>
      <c r="AK112" s="264"/>
      <c r="AL112" s="264"/>
      <c r="AM112" s="308"/>
    </row>
    <row r="113" spans="1:39">
      <c r="A113" s="146" t="s">
        <v>3218</v>
      </c>
      <c r="B113" s="93">
        <v>1551</v>
      </c>
      <c r="C113" s="93">
        <v>1272</v>
      </c>
      <c r="D113" s="80">
        <v>-11</v>
      </c>
      <c r="E113" s="79">
        <v>14</v>
      </c>
      <c r="F113" s="6">
        <v>4.9800000000000004</v>
      </c>
      <c r="G113" s="80">
        <v>3652</v>
      </c>
      <c r="H113" s="195" t="s">
        <v>1152</v>
      </c>
      <c r="I113" s="16" t="s">
        <v>2390</v>
      </c>
      <c r="J113" s="323">
        <v>64.62</v>
      </c>
      <c r="K113" s="323">
        <v>1.32</v>
      </c>
      <c r="L113" s="323">
        <v>3.68</v>
      </c>
      <c r="N113" s="318">
        <f>K113+J113+L113</f>
        <v>69.62</v>
      </c>
      <c r="O113" s="81">
        <f>IFERROR(VLOOKUP($G113,'321買'!A:E,3,0),"'沒有資料'")</f>
        <v>2</v>
      </c>
      <c r="P113" s="380">
        <f>IFERROR(VLOOKUP($G113,'321買'!$A:$G,7,0),"'沒有資料'")</f>
        <v>706</v>
      </c>
      <c r="R113" s="297">
        <f>IFERROR(RANK(VLOOKUP($G113,連買!$A:$D,4,0),連買!$D:$D,0),"'沒有資料'")</f>
        <v>1518</v>
      </c>
      <c r="S113" s="34">
        <v>0.15</v>
      </c>
      <c r="U113" s="57">
        <v>1.6</v>
      </c>
      <c r="V113" s="36">
        <v>22.7</v>
      </c>
      <c r="W113" s="66">
        <v>21</v>
      </c>
      <c r="X113" s="15">
        <f t="shared" ref="X113:X144" si="85">V113-W113</f>
        <v>1.6999999999999993</v>
      </c>
      <c r="Y113" s="63">
        <f t="shared" ref="Y113:Y144" si="86">X113/W113</f>
        <v>8.0952380952380915E-2</v>
      </c>
      <c r="Z113" s="100" t="s">
        <v>2452</v>
      </c>
      <c r="AA113" s="126"/>
      <c r="AD113" s="16" t="s">
        <v>2390</v>
      </c>
      <c r="AE113" s="84">
        <v>44529</v>
      </c>
      <c r="AF113" s="86">
        <v>44539</v>
      </c>
      <c r="AG113" s="33">
        <f t="shared" si="61"/>
        <v>10</v>
      </c>
      <c r="AH113" s="43" t="s">
        <v>2623</v>
      </c>
      <c r="AI113" s="311"/>
      <c r="AK113" s="264"/>
      <c r="AL113" s="264"/>
      <c r="AM113" s="308"/>
    </row>
    <row r="114" spans="1:39">
      <c r="A114" s="146" t="s">
        <v>1864</v>
      </c>
      <c r="B114" s="79">
        <v>118</v>
      </c>
      <c r="C114" s="79">
        <v>103</v>
      </c>
      <c r="D114" s="80">
        <v>-3</v>
      </c>
      <c r="E114" s="80">
        <v>-5</v>
      </c>
      <c r="F114" s="6">
        <v>0.69</v>
      </c>
      <c r="G114" s="80">
        <v>3259</v>
      </c>
      <c r="H114" s="195" t="s">
        <v>3254</v>
      </c>
      <c r="I114" s="16" t="s">
        <v>362</v>
      </c>
      <c r="J114" s="323">
        <v>44.07</v>
      </c>
      <c r="K114" s="73">
        <v>15.97</v>
      </c>
      <c r="L114" s="323"/>
      <c r="N114" s="318">
        <f>K114+J114+L114</f>
        <v>60.04</v>
      </c>
      <c r="O114" s="81" t="str">
        <f>IFERROR(VLOOKUP($G114,'321買'!A:E,3,0),"'沒有資料'")</f>
        <v>'沒有資料'</v>
      </c>
      <c r="P114" s="380" t="str">
        <f>IFERROR(VLOOKUP($G114,'321買'!$A:$G,7,0),"'沒有資料'")</f>
        <v>'沒有資料'</v>
      </c>
      <c r="R114" s="297">
        <f>IFERROR(RANK(VLOOKUP($G114,連買!$A:$D,4,0),連買!$D:$D,0),"'沒有資料'")</f>
        <v>1441</v>
      </c>
      <c r="S114" s="34">
        <v>0</v>
      </c>
      <c r="U114" s="95">
        <v>-0.55000000000000004</v>
      </c>
      <c r="V114" s="36">
        <v>27.35</v>
      </c>
      <c r="W114" s="66">
        <v>27.2</v>
      </c>
      <c r="X114" s="15">
        <f t="shared" si="85"/>
        <v>0.15000000000000213</v>
      </c>
      <c r="Y114" s="63">
        <f t="shared" si="86"/>
        <v>5.5147058823530196E-3</v>
      </c>
      <c r="Z114" s="100" t="s">
        <v>3806</v>
      </c>
      <c r="AA114" s="126"/>
      <c r="AD114" s="16" t="s">
        <v>362</v>
      </c>
      <c r="AE114" s="84">
        <v>44526</v>
      </c>
      <c r="AF114" s="86">
        <v>44536</v>
      </c>
      <c r="AG114" s="33">
        <f t="shared" si="61"/>
        <v>10</v>
      </c>
      <c r="AH114" s="43" t="s">
        <v>2536</v>
      </c>
      <c r="AI114" s="311"/>
      <c r="AK114" s="264"/>
      <c r="AL114" s="264"/>
      <c r="AM114" s="308"/>
    </row>
    <row r="115" spans="1:39">
      <c r="A115" s="146" t="s">
        <v>3779</v>
      </c>
      <c r="B115" s="79">
        <v>32</v>
      </c>
      <c r="C115" s="79">
        <v>363</v>
      </c>
      <c r="D115" s="80">
        <v>-4</v>
      </c>
      <c r="E115" s="79">
        <v>46</v>
      </c>
      <c r="F115" s="6">
        <v>5.61</v>
      </c>
      <c r="G115" s="80">
        <v>1609</v>
      </c>
      <c r="H115" s="5" t="s">
        <v>298</v>
      </c>
      <c r="I115" s="22" t="s">
        <v>953</v>
      </c>
      <c r="J115" s="73">
        <v>29.1</v>
      </c>
      <c r="K115" s="323">
        <v>7.62</v>
      </c>
      <c r="L115" s="323">
        <v>12.72</v>
      </c>
      <c r="N115" s="318">
        <f t="shared" ref="N115:N117" si="87">K115+J115+L115</f>
        <v>49.44</v>
      </c>
      <c r="O115" s="81">
        <f>IFERROR(VLOOKUP($G115,'321買'!A:E,3,0),"'沒有資料'")</f>
        <v>20</v>
      </c>
      <c r="P115" s="380">
        <f>IFERROR(VLOOKUP($G115,'321買'!$A:$G,7,0),"'沒有資料'")</f>
        <v>233</v>
      </c>
      <c r="R115" s="297">
        <f>IFERROR(RANK(VLOOKUP($G115,連買!$A:$D,4,0),連買!$D:$D,0),"'沒有資料'")</f>
        <v>900</v>
      </c>
      <c r="S115" s="34">
        <v>0.7</v>
      </c>
      <c r="U115" s="95">
        <v>1.74</v>
      </c>
      <c r="V115" s="36">
        <v>24.1</v>
      </c>
      <c r="W115" s="66">
        <v>21</v>
      </c>
      <c r="X115" s="15">
        <f t="shared" si="85"/>
        <v>3.1000000000000014</v>
      </c>
      <c r="Y115" s="63">
        <f t="shared" si="86"/>
        <v>0.14761904761904768</v>
      </c>
      <c r="Z115" s="100" t="s">
        <v>1710</v>
      </c>
      <c r="AA115" s="126"/>
      <c r="AD115" s="22" t="s">
        <v>953</v>
      </c>
      <c r="AE115" s="84">
        <v>44523</v>
      </c>
      <c r="AF115" s="86">
        <v>44533</v>
      </c>
      <c r="AG115" s="33">
        <f t="shared" si="61"/>
        <v>10</v>
      </c>
      <c r="AH115" s="43" t="s">
        <v>2984</v>
      </c>
      <c r="AI115" s="311"/>
      <c r="AK115" s="264"/>
      <c r="AL115" s="264"/>
      <c r="AM115" s="308"/>
    </row>
    <row r="116" spans="1:39">
      <c r="A116" s="146" t="s">
        <v>3776</v>
      </c>
      <c r="B116" s="79">
        <v>323</v>
      </c>
      <c r="C116" s="79">
        <v>201</v>
      </c>
      <c r="D116" s="79">
        <v>74</v>
      </c>
      <c r="E116" s="80">
        <v>-27</v>
      </c>
      <c r="F116" s="6">
        <v>9.64</v>
      </c>
      <c r="G116" s="79">
        <v>6130</v>
      </c>
      <c r="H116" s="8" t="s">
        <v>5070</v>
      </c>
      <c r="I116" s="16" t="s">
        <v>1093</v>
      </c>
      <c r="J116" s="323">
        <v>45.63</v>
      </c>
      <c r="K116" s="323">
        <v>0.26</v>
      </c>
      <c r="N116" s="318">
        <f t="shared" si="87"/>
        <v>45.89</v>
      </c>
      <c r="O116" s="81" t="str">
        <f>IFERROR(VLOOKUP($G116,'321買'!A:E,3,0),"'沒有資料'")</f>
        <v>'沒有資料'</v>
      </c>
      <c r="P116" s="380" t="str">
        <f>IFERROR(VLOOKUP($G116,'321買'!$A:$G,7,0),"'沒有資料'")</f>
        <v>'沒有資料'</v>
      </c>
      <c r="R116" s="297">
        <f>IFERROR(RANK(VLOOKUP($G116,連買!$A:$D,4,0),連買!$D:$D,0),"'沒有資料'")</f>
        <v>988</v>
      </c>
      <c r="S116" s="34">
        <v>0</v>
      </c>
      <c r="U116" s="95">
        <v>0.35</v>
      </c>
      <c r="V116" s="36">
        <v>32.5</v>
      </c>
      <c r="W116" s="66">
        <v>19</v>
      </c>
      <c r="X116" s="15">
        <f t="shared" si="85"/>
        <v>13.5</v>
      </c>
      <c r="Y116" s="63">
        <f t="shared" si="86"/>
        <v>0.71052631578947367</v>
      </c>
      <c r="Z116" s="100" t="s">
        <v>3787</v>
      </c>
      <c r="AA116" s="126"/>
      <c r="AD116" s="16" t="s">
        <v>1093</v>
      </c>
      <c r="AE116" s="84">
        <v>44519</v>
      </c>
      <c r="AF116" s="86">
        <v>44529</v>
      </c>
      <c r="AG116" s="33">
        <f t="shared" si="61"/>
        <v>10</v>
      </c>
      <c r="AH116" s="43" t="s">
        <v>3777</v>
      </c>
      <c r="AI116" s="311"/>
      <c r="AK116" s="264"/>
      <c r="AL116" s="264"/>
      <c r="AM116" s="308"/>
    </row>
    <row r="117" spans="1:39">
      <c r="A117" s="146" t="s">
        <v>1810</v>
      </c>
      <c r="B117" s="79">
        <v>237</v>
      </c>
      <c r="C117" s="79">
        <v>183</v>
      </c>
      <c r="D117" s="80">
        <v>-7</v>
      </c>
      <c r="E117" s="79">
        <v>64</v>
      </c>
      <c r="F117" s="6">
        <v>7.95</v>
      </c>
      <c r="G117" s="79">
        <v>4739</v>
      </c>
      <c r="H117" s="8" t="s">
        <v>3879</v>
      </c>
      <c r="I117" s="22" t="s">
        <v>3935</v>
      </c>
      <c r="J117" s="323">
        <v>31.79</v>
      </c>
      <c r="K117" s="73">
        <v>8.33</v>
      </c>
      <c r="L117" s="73">
        <v>33.74</v>
      </c>
      <c r="N117" s="318">
        <f t="shared" si="87"/>
        <v>73.86</v>
      </c>
      <c r="O117" s="81">
        <f>IFERROR(VLOOKUP($G117,'321買'!A:E,3,0),"'沒有資料'")</f>
        <v>80</v>
      </c>
      <c r="P117" s="380">
        <f>IFERROR(VLOOKUP($G117,'321買'!$A:$G,7,0),"'沒有資料'")</f>
        <v>18</v>
      </c>
      <c r="R117" s="297">
        <f>IFERROR(RANK(VLOOKUP($G117,連買!$A:$D,4,0),連買!$D:$D,0),"'沒有資料'")</f>
        <v>127</v>
      </c>
      <c r="S117" s="34">
        <v>1.2</v>
      </c>
      <c r="U117" s="95">
        <v>4.3499999999999996</v>
      </c>
      <c r="V117" s="36">
        <v>145.5</v>
      </c>
      <c r="W117" s="45">
        <v>90</v>
      </c>
      <c r="X117" s="15">
        <f t="shared" si="85"/>
        <v>55.5</v>
      </c>
      <c r="Y117" s="63">
        <f t="shared" si="86"/>
        <v>0.6166666666666667</v>
      </c>
      <c r="Z117" s="100" t="s">
        <v>3786</v>
      </c>
      <c r="AA117" s="126"/>
      <c r="AD117" s="22" t="s">
        <v>171</v>
      </c>
      <c r="AE117" s="84">
        <v>44518</v>
      </c>
      <c r="AF117" s="86">
        <v>44529</v>
      </c>
      <c r="AG117" s="33">
        <f t="shared" si="61"/>
        <v>11</v>
      </c>
      <c r="AH117" s="120" t="s">
        <v>2473</v>
      </c>
      <c r="AI117" s="311"/>
      <c r="AK117" s="264"/>
      <c r="AL117" s="264"/>
      <c r="AM117" s="275"/>
    </row>
    <row r="118" spans="1:39">
      <c r="A118" s="130" t="s">
        <v>1706</v>
      </c>
      <c r="B118" s="93">
        <v>3079</v>
      </c>
      <c r="C118" s="93">
        <v>1960</v>
      </c>
      <c r="D118" s="79">
        <v>73</v>
      </c>
      <c r="E118" s="79">
        <v>146</v>
      </c>
      <c r="F118" s="57">
        <v>23.5</v>
      </c>
      <c r="G118" s="80">
        <v>6806</v>
      </c>
      <c r="H118" s="5" t="s">
        <v>2084</v>
      </c>
      <c r="I118" s="22" t="s">
        <v>3774</v>
      </c>
      <c r="J118" s="323">
        <v>65.760000000000005</v>
      </c>
      <c r="K118" s="323">
        <v>0.46</v>
      </c>
      <c r="L118" s="323"/>
      <c r="N118" s="318">
        <f>K118+J118+L118</f>
        <v>66.22</v>
      </c>
      <c r="O118" s="81" t="str">
        <f>IFERROR(VLOOKUP($G118,'321買'!A:E,3,0),"'沒有資料'")</f>
        <v>'沒有資料'</v>
      </c>
      <c r="P118" s="380" t="str">
        <f>IFERROR(VLOOKUP($G118,'321買'!$A:$G,7,0),"'沒有資料'")</f>
        <v>'沒有資料'</v>
      </c>
      <c r="R118" s="297">
        <f>IFERROR(RANK(VLOOKUP($G118,連買!$A:$D,4,0),連買!$D:$D,0),"'沒有資料'")</f>
        <v>1460</v>
      </c>
      <c r="S118" s="34">
        <v>1</v>
      </c>
      <c r="U118" s="57">
        <v>5.07</v>
      </c>
      <c r="V118" s="36">
        <v>98.6</v>
      </c>
      <c r="W118" s="66">
        <v>104.4</v>
      </c>
      <c r="X118" s="15">
        <f t="shared" si="85"/>
        <v>-5.8000000000000114</v>
      </c>
      <c r="Y118" s="76">
        <f t="shared" si="86"/>
        <v>-5.5555555555555663E-2</v>
      </c>
      <c r="Z118" s="100" t="s">
        <v>3781</v>
      </c>
      <c r="AA118" s="126"/>
      <c r="AD118" s="22" t="s">
        <v>3774</v>
      </c>
      <c r="AE118" s="84">
        <v>44515</v>
      </c>
      <c r="AF118" s="86">
        <v>44525</v>
      </c>
      <c r="AG118" s="33">
        <f t="shared" si="61"/>
        <v>10</v>
      </c>
      <c r="AH118" s="43" t="s">
        <v>3775</v>
      </c>
      <c r="AI118" s="311"/>
      <c r="AK118" s="264"/>
      <c r="AL118" s="264"/>
      <c r="AM118" s="308"/>
    </row>
    <row r="119" spans="1:39">
      <c r="A119" s="130" t="s">
        <v>3785</v>
      </c>
      <c r="B119" s="79">
        <v>116</v>
      </c>
      <c r="C119" s="79">
        <v>100</v>
      </c>
      <c r="D119" s="79">
        <v>7</v>
      </c>
      <c r="E119" s="93">
        <v>44</v>
      </c>
      <c r="F119" s="57">
        <v>13.23</v>
      </c>
      <c r="G119" s="79">
        <v>6761</v>
      </c>
      <c r="H119" s="8" t="s">
        <v>3620</v>
      </c>
      <c r="I119" s="16" t="s">
        <v>3769</v>
      </c>
      <c r="J119" s="323">
        <v>45.93</v>
      </c>
      <c r="K119" s="73">
        <v>2.08</v>
      </c>
      <c r="N119" s="318">
        <f t="shared" ref="N119:N121" si="88">K119+J119+L119</f>
        <v>48.01</v>
      </c>
      <c r="O119" s="81" t="str">
        <f>IFERROR(VLOOKUP($G119,'321買'!A:E,3,0),"'沒有資料'")</f>
        <v>'沒有資料'</v>
      </c>
      <c r="P119" s="380" t="str">
        <f>IFERROR(VLOOKUP($G119,'321買'!$A:$G,7,0),"'沒有資料'")</f>
        <v>'沒有資料'</v>
      </c>
      <c r="R119" s="297">
        <f>IFERROR(RANK(VLOOKUP($G119,連買!$A:$D,4,0),連買!$D:$D,0),"'沒有資料'")</f>
        <v>1713</v>
      </c>
      <c r="S119" s="66">
        <v>3.2</v>
      </c>
      <c r="U119" s="95">
        <v>7.98</v>
      </c>
      <c r="V119" s="36">
        <v>200.5</v>
      </c>
      <c r="W119" s="66">
        <v>68</v>
      </c>
      <c r="X119" s="15">
        <f t="shared" si="85"/>
        <v>132.5</v>
      </c>
      <c r="Y119" s="153">
        <f t="shared" si="86"/>
        <v>1.9485294117647058</v>
      </c>
      <c r="Z119" s="100" t="s">
        <v>3778</v>
      </c>
      <c r="AD119" s="16" t="s">
        <v>3769</v>
      </c>
      <c r="AE119" s="84">
        <v>44508</v>
      </c>
      <c r="AF119" s="86">
        <v>44518</v>
      </c>
      <c r="AG119" s="33">
        <f t="shared" si="61"/>
        <v>10</v>
      </c>
      <c r="AH119" s="43" t="s">
        <v>3770</v>
      </c>
      <c r="AI119" s="311"/>
      <c r="AK119" s="264"/>
      <c r="AL119" s="264"/>
      <c r="AM119" s="308"/>
    </row>
    <row r="120" spans="1:39">
      <c r="A120" s="146" t="s">
        <v>1883</v>
      </c>
      <c r="B120" s="79">
        <v>42</v>
      </c>
      <c r="C120" s="79">
        <v>55</v>
      </c>
      <c r="D120" s="80">
        <v>-1</v>
      </c>
      <c r="E120" s="79">
        <v>18</v>
      </c>
      <c r="F120" s="6">
        <v>-8.7799999999999994</v>
      </c>
      <c r="G120" s="79">
        <v>3576</v>
      </c>
      <c r="H120" s="8" t="s">
        <v>308</v>
      </c>
      <c r="I120" s="22" t="s">
        <v>1075</v>
      </c>
      <c r="J120" s="323">
        <v>37.49</v>
      </c>
      <c r="K120" s="323">
        <v>13.93</v>
      </c>
      <c r="N120" s="318">
        <f t="shared" si="88"/>
        <v>51.42</v>
      </c>
      <c r="O120" s="81">
        <f>IFERROR(VLOOKUP($G120,'321買'!A:E,3,0),"'沒有資料'")</f>
        <v>3</v>
      </c>
      <c r="P120" s="380">
        <f>IFERROR(VLOOKUP($G120,'321買'!$A:$G,7,0),"'沒有資料'")</f>
        <v>636</v>
      </c>
      <c r="R120" s="297">
        <f>IFERROR(RANK(VLOOKUP($G120,連買!$A:$D,4,0),連買!$D:$D,0),"'沒有資料'")</f>
        <v>958</v>
      </c>
      <c r="S120" s="34">
        <v>0</v>
      </c>
      <c r="U120" s="95">
        <v>-2.34</v>
      </c>
      <c r="V120" s="36">
        <v>22.55</v>
      </c>
      <c r="W120" s="66">
        <v>16.600000000000001</v>
      </c>
      <c r="X120" s="15">
        <f t="shared" si="85"/>
        <v>5.9499999999999993</v>
      </c>
      <c r="Y120" s="63">
        <f t="shared" si="86"/>
        <v>0.35843373493975894</v>
      </c>
      <c r="Z120" s="100" t="s">
        <v>3773</v>
      </c>
      <c r="AA120" s="126"/>
      <c r="AD120" s="22" t="s">
        <v>1075</v>
      </c>
      <c r="AE120" s="84">
        <v>44504</v>
      </c>
      <c r="AF120" s="86">
        <v>44515</v>
      </c>
      <c r="AG120" s="33">
        <f t="shared" si="61"/>
        <v>11</v>
      </c>
      <c r="AH120" s="120" t="s">
        <v>2077</v>
      </c>
      <c r="AI120" s="311"/>
      <c r="AK120" s="264"/>
      <c r="AL120" s="264"/>
      <c r="AM120" s="308"/>
    </row>
    <row r="121" spans="1:39">
      <c r="A121" s="130" t="s">
        <v>1774</v>
      </c>
      <c r="B121" s="79">
        <v>115</v>
      </c>
      <c r="C121" s="79">
        <v>112</v>
      </c>
      <c r="D121" s="79">
        <v>2</v>
      </c>
      <c r="E121" s="79">
        <v>15</v>
      </c>
      <c r="F121" s="57">
        <v>32.74</v>
      </c>
      <c r="G121" s="79">
        <v>6457</v>
      </c>
      <c r="H121" s="149" t="s">
        <v>3254</v>
      </c>
      <c r="I121" s="16" t="s">
        <v>381</v>
      </c>
      <c r="J121" s="323">
        <v>17.43</v>
      </c>
      <c r="K121" s="73">
        <v>8.2200000000000006</v>
      </c>
      <c r="L121" s="323"/>
      <c r="N121" s="318">
        <f t="shared" si="88"/>
        <v>25.65</v>
      </c>
      <c r="O121" s="81">
        <f>IFERROR(VLOOKUP($G121,'321買'!A:E,3,0),"'沒有資料'")</f>
        <v>56</v>
      </c>
      <c r="P121" s="380">
        <f>IFERROR(VLOOKUP($G121,'321買'!$A:$G,7,0),"'沒有資料'")</f>
        <v>35</v>
      </c>
      <c r="R121" s="297">
        <f>IFERROR(RANK(VLOOKUP($G121,連買!$A:$D,4,0),連買!$D:$D,0),"'沒有資料'")</f>
        <v>111</v>
      </c>
      <c r="S121" s="45">
        <v>6.32</v>
      </c>
      <c r="U121" s="95">
        <v>10.24</v>
      </c>
      <c r="V121" s="36">
        <v>178.5</v>
      </c>
      <c r="W121" s="66">
        <v>125</v>
      </c>
      <c r="X121" s="15">
        <f t="shared" si="85"/>
        <v>53.5</v>
      </c>
      <c r="Y121" s="63">
        <f t="shared" si="86"/>
        <v>0.42799999999999999</v>
      </c>
      <c r="Z121" s="100" t="s">
        <v>3501</v>
      </c>
      <c r="AA121" s="126"/>
      <c r="AD121" s="16" t="s">
        <v>381</v>
      </c>
      <c r="AE121" s="84">
        <v>44501</v>
      </c>
      <c r="AF121" s="86">
        <v>44511</v>
      </c>
      <c r="AG121" s="33">
        <f t="shared" si="61"/>
        <v>10</v>
      </c>
      <c r="AH121" s="43" t="s">
        <v>2547</v>
      </c>
      <c r="AI121" s="311"/>
      <c r="AK121" s="264"/>
      <c r="AL121" s="264"/>
      <c r="AM121" s="308"/>
    </row>
    <row r="122" spans="1:39">
      <c r="A122" s="146" t="s">
        <v>1871</v>
      </c>
      <c r="B122" s="93">
        <v>1022</v>
      </c>
      <c r="C122" s="93">
        <v>2604</v>
      </c>
      <c r="D122" s="80">
        <v>-9</v>
      </c>
      <c r="E122" s="79">
        <v>105</v>
      </c>
      <c r="F122" s="6">
        <v>6.48</v>
      </c>
      <c r="G122" s="79">
        <v>2069</v>
      </c>
      <c r="H122" s="5" t="s">
        <v>301</v>
      </c>
      <c r="I122" s="22" t="s">
        <v>4287</v>
      </c>
      <c r="J122" s="323">
        <v>51.73</v>
      </c>
      <c r="K122" s="323">
        <v>1.03</v>
      </c>
      <c r="L122" s="73">
        <v>24.93</v>
      </c>
      <c r="N122" s="318">
        <f>K122+J122+L122</f>
        <v>77.69</v>
      </c>
      <c r="O122" s="81">
        <f>IFERROR(VLOOKUP($G122,'321買'!A:E,3,0),"'沒有資料'")</f>
        <v>31</v>
      </c>
      <c r="P122" s="380">
        <f>IFERROR(VLOOKUP($G122,'321買'!$A:$G,7,0),"'沒有資料'")</f>
        <v>156</v>
      </c>
      <c r="R122" s="297">
        <f>IFERROR(RANK(VLOOKUP($G122,連買!$A:$D,4,0),連買!$D:$D,0),"'沒有資料'")</f>
        <v>557</v>
      </c>
      <c r="S122" s="34">
        <v>0.55000000000000004</v>
      </c>
      <c r="U122" s="57">
        <v>3.86</v>
      </c>
      <c r="V122" s="36">
        <v>35</v>
      </c>
      <c r="W122" s="45">
        <v>28</v>
      </c>
      <c r="X122" s="15">
        <f t="shared" si="85"/>
        <v>7</v>
      </c>
      <c r="Y122" s="63">
        <f t="shared" si="86"/>
        <v>0.25</v>
      </c>
      <c r="Z122" s="100" t="s">
        <v>3771</v>
      </c>
      <c r="AA122" s="126"/>
      <c r="AD122" s="22" t="s">
        <v>856</v>
      </c>
      <c r="AE122" s="84">
        <v>44501</v>
      </c>
      <c r="AF122" s="86">
        <v>44511</v>
      </c>
      <c r="AG122" s="33">
        <f t="shared" si="61"/>
        <v>10</v>
      </c>
      <c r="AH122" s="43" t="s">
        <v>2131</v>
      </c>
      <c r="AI122" s="311"/>
      <c r="AK122" s="264"/>
      <c r="AL122" s="264"/>
      <c r="AM122" s="308"/>
    </row>
    <row r="123" spans="1:39">
      <c r="A123" s="146" t="s">
        <v>3743</v>
      </c>
      <c r="B123" s="79">
        <v>138</v>
      </c>
      <c r="C123" s="79"/>
      <c r="D123" s="80">
        <v>-25</v>
      </c>
      <c r="E123" s="79">
        <v>33</v>
      </c>
      <c r="F123" s="6"/>
      <c r="G123" s="80">
        <v>2881</v>
      </c>
      <c r="H123" s="18" t="s">
        <v>306</v>
      </c>
      <c r="I123" s="22" t="s">
        <v>6549</v>
      </c>
      <c r="J123" s="326">
        <v>82.46</v>
      </c>
      <c r="K123" s="73">
        <v>23.84</v>
      </c>
      <c r="L123" s="73">
        <v>0.71</v>
      </c>
      <c r="N123" s="318">
        <f>K123+J123+L123</f>
        <v>107.00999999999999</v>
      </c>
      <c r="O123" s="81">
        <f>IFERROR(VLOOKUP($G123,'321買'!A:E,3,0),"'沒有資料'")</f>
        <v>0</v>
      </c>
      <c r="P123" s="380">
        <f>IFERROR(VLOOKUP($G123,'321買'!$A:$G,7,0),"'沒有資料'")</f>
        <v>911</v>
      </c>
      <c r="R123" s="297">
        <f>IFERROR(RANK(VLOOKUP($G123,連買!$A:$D,4,0),連買!$D:$D,0),"'沒有資料'")</f>
        <v>364</v>
      </c>
      <c r="S123" s="6">
        <v>4</v>
      </c>
      <c r="U123" s="57">
        <v>13.75</v>
      </c>
      <c r="V123" s="36">
        <v>73.599999999999994</v>
      </c>
      <c r="W123" s="65">
        <v>58.9</v>
      </c>
      <c r="X123" s="15">
        <f t="shared" si="85"/>
        <v>14.699999999999996</v>
      </c>
      <c r="Y123" s="63">
        <f t="shared" si="86"/>
        <v>0.24957555178268245</v>
      </c>
      <c r="Z123" s="100" t="s">
        <v>3762</v>
      </c>
      <c r="AA123" s="126"/>
      <c r="AD123" s="22" t="s">
        <v>68</v>
      </c>
      <c r="AE123" s="84">
        <v>44498</v>
      </c>
      <c r="AF123" s="86">
        <v>44508</v>
      </c>
      <c r="AG123" s="33">
        <f t="shared" si="61"/>
        <v>10</v>
      </c>
      <c r="AH123" s="43" t="s">
        <v>2784</v>
      </c>
      <c r="AI123" s="311"/>
      <c r="AK123" s="264"/>
      <c r="AL123" s="264"/>
      <c r="AM123" s="308"/>
    </row>
    <row r="124" spans="1:39">
      <c r="A124" s="146" t="s">
        <v>3750</v>
      </c>
      <c r="B124" s="79">
        <v>123</v>
      </c>
      <c r="C124" s="79">
        <v>84</v>
      </c>
      <c r="D124" s="79">
        <v>7</v>
      </c>
      <c r="E124" s="79">
        <v>46</v>
      </c>
      <c r="F124" s="6">
        <v>5.13</v>
      </c>
      <c r="G124" s="79">
        <v>6190</v>
      </c>
      <c r="H124" s="5" t="s">
        <v>313</v>
      </c>
      <c r="I124" s="16" t="s">
        <v>519</v>
      </c>
      <c r="J124" s="323">
        <v>44.07</v>
      </c>
      <c r="K124" s="323">
        <v>0.97</v>
      </c>
      <c r="L124" s="323">
        <v>13.62</v>
      </c>
      <c r="N124" s="318">
        <f t="shared" ref="N124:N126" si="89">K124+J124+L124</f>
        <v>58.66</v>
      </c>
      <c r="O124" s="81">
        <f>IFERROR(VLOOKUP($G124,'321買'!A:E,3,0),"'沒有資料'")</f>
        <v>24</v>
      </c>
      <c r="P124" s="380">
        <f>IFERROR(VLOOKUP($G124,'321買'!$A:$G,7,0),"'沒有資料'")</f>
        <v>215</v>
      </c>
      <c r="R124" s="297">
        <f>IFERROR(RANK(VLOOKUP($G124,連買!$A:$D,4,0),連買!$D:$D,0),"'沒有資料'")</f>
        <v>666</v>
      </c>
      <c r="S124" s="34">
        <v>1.01</v>
      </c>
      <c r="U124" s="95">
        <v>1.57</v>
      </c>
      <c r="V124" s="36">
        <v>27.4</v>
      </c>
      <c r="W124" s="66">
        <v>20.8</v>
      </c>
      <c r="X124" s="15">
        <f t="shared" si="85"/>
        <v>6.5999999999999979</v>
      </c>
      <c r="Y124" s="63">
        <f t="shared" si="86"/>
        <v>0.31730769230769218</v>
      </c>
      <c r="Z124" s="100" t="s">
        <v>3764</v>
      </c>
      <c r="AD124" s="16" t="s">
        <v>519</v>
      </c>
      <c r="AE124" s="84">
        <v>44496</v>
      </c>
      <c r="AF124" s="86">
        <v>44508</v>
      </c>
      <c r="AG124" s="33">
        <f t="shared" si="61"/>
        <v>12</v>
      </c>
      <c r="AH124" s="43" t="s">
        <v>3128</v>
      </c>
      <c r="AI124" s="311"/>
      <c r="AK124" s="264"/>
      <c r="AL124" s="264"/>
      <c r="AM124" s="308"/>
    </row>
    <row r="125" spans="1:39">
      <c r="A125" s="146" t="s">
        <v>1713</v>
      </c>
      <c r="B125" s="80">
        <v>-4</v>
      </c>
      <c r="C125" s="80">
        <v>-41</v>
      </c>
      <c r="D125" s="79">
        <v>6</v>
      </c>
      <c r="E125" s="80">
        <v>-12</v>
      </c>
      <c r="F125" s="6">
        <v>1.5</v>
      </c>
      <c r="G125" s="79">
        <v>2439</v>
      </c>
      <c r="H125" s="208" t="s">
        <v>313</v>
      </c>
      <c r="I125" s="22" t="s">
        <v>4659</v>
      </c>
      <c r="J125" s="73">
        <v>26.6</v>
      </c>
      <c r="K125" s="323">
        <v>17.98</v>
      </c>
      <c r="L125" s="323">
        <v>12.73</v>
      </c>
      <c r="N125" s="318">
        <f t="shared" si="89"/>
        <v>57.31</v>
      </c>
      <c r="O125" s="81">
        <f>IFERROR(VLOOKUP($G125,'321買'!A:E,3,0),"'沒有資料'")</f>
        <v>5</v>
      </c>
      <c r="P125" s="380">
        <f>IFERROR(VLOOKUP($G125,'321買'!$A:$G,7,0),"'沒有資料'")</f>
        <v>521</v>
      </c>
      <c r="R125" s="297">
        <f>IFERROR(RANK(VLOOKUP($G125,連買!$A:$D,4,0),連買!$D:$D,0),"'沒有資料'")</f>
        <v>1749</v>
      </c>
      <c r="S125" s="45">
        <v>5.07</v>
      </c>
      <c r="U125" s="95">
        <v>5.63</v>
      </c>
      <c r="V125" s="36">
        <v>92.5</v>
      </c>
      <c r="W125" s="66">
        <v>72</v>
      </c>
      <c r="X125" s="15">
        <f t="shared" si="85"/>
        <v>20.5</v>
      </c>
      <c r="Y125" s="63">
        <f t="shared" si="86"/>
        <v>0.28472222222222221</v>
      </c>
      <c r="Z125" s="100" t="s">
        <v>3765</v>
      </c>
      <c r="AA125" s="126"/>
      <c r="AD125" s="22" t="s">
        <v>211</v>
      </c>
      <c r="AE125" s="84">
        <v>44496</v>
      </c>
      <c r="AF125" s="86">
        <v>44508</v>
      </c>
      <c r="AG125" s="33">
        <f t="shared" si="61"/>
        <v>12</v>
      </c>
      <c r="AH125" s="120" t="s">
        <v>2558</v>
      </c>
      <c r="AI125" s="311"/>
      <c r="AK125" s="264"/>
      <c r="AL125" s="264"/>
      <c r="AM125" s="308"/>
    </row>
    <row r="126" spans="1:39">
      <c r="A126" s="130" t="s">
        <v>3751</v>
      </c>
      <c r="B126" s="79">
        <v>757</v>
      </c>
      <c r="C126" s="93">
        <v>4247</v>
      </c>
      <c r="D126" s="79">
        <v>1</v>
      </c>
      <c r="E126" s="79">
        <v>67</v>
      </c>
      <c r="F126" s="57">
        <v>16.760000000000002</v>
      </c>
      <c r="G126" s="79">
        <v>2027</v>
      </c>
      <c r="H126" s="5" t="s">
        <v>301</v>
      </c>
      <c r="I126" s="22" t="s">
        <v>4266</v>
      </c>
      <c r="J126" s="323">
        <v>55.95</v>
      </c>
      <c r="K126" s="73">
        <v>16.989999999999998</v>
      </c>
      <c r="L126" s="73">
        <v>13.63</v>
      </c>
      <c r="N126" s="318">
        <f t="shared" si="89"/>
        <v>86.57</v>
      </c>
      <c r="O126" s="81">
        <f>IFERROR(VLOOKUP($G126,'321買'!A:E,3,0),"'沒有資料'")</f>
        <v>22</v>
      </c>
      <c r="P126" s="380">
        <f>IFERROR(VLOOKUP($G126,'321買'!$A:$G,7,0),"'沒有資料'")</f>
        <v>207</v>
      </c>
      <c r="R126" s="297">
        <f>IFERROR(RANK(VLOOKUP($G126,連買!$A:$D,4,0),連買!$D:$D,0),"'沒有資料'")</f>
        <v>430</v>
      </c>
      <c r="S126" s="34">
        <v>0.8</v>
      </c>
      <c r="U126" s="57">
        <v>2.85</v>
      </c>
      <c r="V126" s="36">
        <v>46.35</v>
      </c>
      <c r="W126" s="66">
        <v>43</v>
      </c>
      <c r="X126" s="15">
        <f t="shared" si="85"/>
        <v>3.3500000000000014</v>
      </c>
      <c r="Y126" s="63">
        <f t="shared" si="86"/>
        <v>7.7906976744186077E-2</v>
      </c>
      <c r="Z126" s="100" t="s">
        <v>3153</v>
      </c>
      <c r="AA126" s="126"/>
      <c r="AD126" s="22" t="s">
        <v>282</v>
      </c>
      <c r="AE126" s="84">
        <v>44496</v>
      </c>
      <c r="AF126" s="86">
        <v>44508</v>
      </c>
      <c r="AG126" s="33">
        <f t="shared" si="61"/>
        <v>12</v>
      </c>
      <c r="AH126" s="120" t="s">
        <v>3481</v>
      </c>
      <c r="AI126" s="311"/>
      <c r="AK126" s="264"/>
      <c r="AL126" s="264"/>
      <c r="AM126" s="308"/>
    </row>
    <row r="127" spans="1:39">
      <c r="A127" s="130" t="s">
        <v>1859</v>
      </c>
      <c r="B127" s="79">
        <v>164</v>
      </c>
      <c r="C127" s="79">
        <v>183</v>
      </c>
      <c r="D127" s="79">
        <v>77</v>
      </c>
      <c r="E127" s="79">
        <v>12</v>
      </c>
      <c r="F127" s="57">
        <v>35.46</v>
      </c>
      <c r="G127" s="79">
        <v>5222</v>
      </c>
      <c r="H127" s="8" t="s">
        <v>3254</v>
      </c>
      <c r="I127" s="22" t="s">
        <v>3748</v>
      </c>
      <c r="J127" s="323">
        <v>20.87</v>
      </c>
      <c r="K127" s="73">
        <v>4.0599999999999996</v>
      </c>
      <c r="L127" s="323"/>
      <c r="N127" s="318">
        <f>K127+J127+L127</f>
        <v>24.93</v>
      </c>
      <c r="O127" s="81" t="str">
        <f>IFERROR(VLOOKUP($G127,'321買'!A:E,3,0),"'沒有資料'")</f>
        <v>'沒有資料'</v>
      </c>
      <c r="P127" s="380" t="str">
        <f>IFERROR(VLOOKUP($G127,'321買'!$A:$G,7,0),"'沒有資料'")</f>
        <v>'沒有資料'</v>
      </c>
      <c r="R127" s="297">
        <f>IFERROR(RANK(VLOOKUP($G127,連買!$A:$D,4,0),連買!$D:$D,0),"'沒有資料'")</f>
        <v>408</v>
      </c>
      <c r="S127" s="66">
        <v>6.2</v>
      </c>
      <c r="U127" s="95" t="s">
        <v>3754</v>
      </c>
      <c r="V127" s="36">
        <v>201</v>
      </c>
      <c r="W127" s="66">
        <v>104.49</v>
      </c>
      <c r="X127" s="15">
        <f t="shared" si="85"/>
        <v>96.51</v>
      </c>
      <c r="Y127" s="63">
        <f t="shared" si="86"/>
        <v>0.92362905541200124</v>
      </c>
      <c r="Z127" s="100" t="s">
        <v>3766</v>
      </c>
      <c r="AA127" s="126"/>
      <c r="AD127" s="22" t="s">
        <v>3748</v>
      </c>
      <c r="AE127" s="84">
        <v>44494</v>
      </c>
      <c r="AF127" s="86">
        <v>44504</v>
      </c>
      <c r="AG127" s="33">
        <f t="shared" si="61"/>
        <v>10</v>
      </c>
      <c r="AH127" s="43" t="s">
        <v>3752</v>
      </c>
      <c r="AI127" s="311"/>
      <c r="AK127" s="264"/>
      <c r="AL127" s="264"/>
      <c r="AM127" s="308"/>
    </row>
    <row r="128" spans="1:39">
      <c r="A128" s="130" t="s">
        <v>1857</v>
      </c>
      <c r="B128" s="79">
        <v>360</v>
      </c>
      <c r="C128" s="79">
        <v>233</v>
      </c>
      <c r="D128" s="80">
        <v>-3</v>
      </c>
      <c r="E128" s="79">
        <v>45</v>
      </c>
      <c r="F128" s="57">
        <v>20.99</v>
      </c>
      <c r="G128" s="80">
        <v>4440</v>
      </c>
      <c r="H128" s="5" t="s">
        <v>3390</v>
      </c>
      <c r="I128" s="22" t="s">
        <v>3749</v>
      </c>
      <c r="J128" s="323">
        <v>34.32</v>
      </c>
      <c r="K128" s="73">
        <v>0.09</v>
      </c>
      <c r="L128" s="323"/>
      <c r="N128" s="318">
        <f>K128+J128+L128</f>
        <v>34.410000000000004</v>
      </c>
      <c r="O128" s="81" t="str">
        <f>IFERROR(VLOOKUP($G128,'321買'!A:E,3,0),"'沒有資料'")</f>
        <v>'沒有資料'</v>
      </c>
      <c r="P128" s="380" t="str">
        <f>IFERROR(VLOOKUP($G128,'321買'!$A:$G,7,0),"'沒有資料'")</f>
        <v>'沒有資料'</v>
      </c>
      <c r="R128" s="297">
        <f>IFERROR(RANK(VLOOKUP($G128,連買!$A:$D,4,0),連買!$D:$D,0),"'沒有資料'")</f>
        <v>1134</v>
      </c>
      <c r="S128" s="66">
        <v>4.4000000000000004</v>
      </c>
      <c r="U128" s="95" t="s">
        <v>3754</v>
      </c>
      <c r="V128" s="36">
        <v>45</v>
      </c>
      <c r="W128" s="66">
        <v>38</v>
      </c>
      <c r="X128" s="15">
        <f t="shared" si="85"/>
        <v>7</v>
      </c>
      <c r="Y128" s="63">
        <f t="shared" si="86"/>
        <v>0.18421052631578946</v>
      </c>
      <c r="Z128" s="100" t="s">
        <v>3767</v>
      </c>
      <c r="AA128" s="168"/>
      <c r="AB128" s="268"/>
      <c r="AC128" s="411"/>
      <c r="AD128" s="22" t="s">
        <v>3749</v>
      </c>
      <c r="AE128" s="84">
        <v>44494</v>
      </c>
      <c r="AF128" s="86">
        <v>44504</v>
      </c>
      <c r="AG128" s="33">
        <f t="shared" si="61"/>
        <v>10</v>
      </c>
      <c r="AH128" s="43" t="s">
        <v>3753</v>
      </c>
      <c r="AI128" s="311"/>
      <c r="AK128" s="264"/>
      <c r="AL128" s="264"/>
      <c r="AM128" s="308"/>
    </row>
    <row r="129" spans="1:39">
      <c r="A129" s="146" t="s">
        <v>2110</v>
      </c>
      <c r="B129" s="79">
        <v>59</v>
      </c>
      <c r="C129" s="79">
        <v>31</v>
      </c>
      <c r="D129" s="79">
        <v>2</v>
      </c>
      <c r="E129" s="80">
        <v>-82</v>
      </c>
      <c r="F129" s="6">
        <v>-31.91</v>
      </c>
      <c r="G129" s="79">
        <v>2734</v>
      </c>
      <c r="H129" s="5" t="s">
        <v>305</v>
      </c>
      <c r="I129" s="16" t="s">
        <v>970</v>
      </c>
      <c r="J129" s="323">
        <v>41.05</v>
      </c>
      <c r="K129" s="323">
        <v>9.2799999999999994</v>
      </c>
      <c r="L129" s="323"/>
      <c r="N129" s="318">
        <f t="shared" ref="N129:N131" si="90">K129+J129+L129</f>
        <v>50.33</v>
      </c>
      <c r="O129" s="81">
        <f>IFERROR(VLOOKUP($G129,'321買'!A:E,3,0),"'沒有資料'")</f>
        <v>1</v>
      </c>
      <c r="P129" s="380">
        <f>IFERROR(VLOOKUP($G129,'321買'!$A:$G,7,0),"'沒有資料'")</f>
        <v>783</v>
      </c>
      <c r="R129" s="297">
        <f>IFERROR(RANK(VLOOKUP($G129,連買!$A:$D,4,0),連買!$D:$D,0),"'沒有資料'")</f>
        <v>905</v>
      </c>
      <c r="S129" s="34">
        <v>0</v>
      </c>
      <c r="U129" s="57">
        <v>-1.44</v>
      </c>
      <c r="V129" s="36">
        <v>22.1</v>
      </c>
      <c r="W129" s="66">
        <v>15</v>
      </c>
      <c r="X129" s="15">
        <f t="shared" si="85"/>
        <v>7.1000000000000014</v>
      </c>
      <c r="Y129" s="63">
        <f t="shared" si="86"/>
        <v>0.47333333333333344</v>
      </c>
      <c r="Z129" s="100" t="s">
        <v>3763</v>
      </c>
      <c r="AA129" s="126"/>
      <c r="AD129" s="16" t="s">
        <v>970</v>
      </c>
      <c r="AE129" s="84">
        <v>44494</v>
      </c>
      <c r="AF129" s="86">
        <v>44504</v>
      </c>
      <c r="AG129" s="33">
        <f t="shared" si="61"/>
        <v>10</v>
      </c>
      <c r="AH129" s="43" t="s">
        <v>2861</v>
      </c>
      <c r="AI129" s="311"/>
      <c r="AK129" s="264"/>
      <c r="AL129" s="264"/>
      <c r="AM129" s="308"/>
    </row>
    <row r="130" spans="1:39">
      <c r="A130" s="146" t="s">
        <v>3732</v>
      </c>
      <c r="B130" s="79">
        <v>1</v>
      </c>
      <c r="C130" s="79">
        <v>2</v>
      </c>
      <c r="D130" s="80">
        <v>-9</v>
      </c>
      <c r="E130" s="80">
        <v>-1</v>
      </c>
      <c r="F130" s="6">
        <v>3.96</v>
      </c>
      <c r="G130" s="80">
        <v>3206</v>
      </c>
      <c r="H130" s="5" t="s">
        <v>3620</v>
      </c>
      <c r="I130" s="16" t="s">
        <v>140</v>
      </c>
      <c r="J130" s="323">
        <v>34.19</v>
      </c>
      <c r="K130" s="73">
        <v>0.54</v>
      </c>
      <c r="L130" s="73">
        <v>7.4</v>
      </c>
      <c r="N130" s="318">
        <f t="shared" si="90"/>
        <v>42.129999999999995</v>
      </c>
      <c r="O130" s="81">
        <f>IFERROR(VLOOKUP($G130,'321買'!A:E,3,0),"'沒有資料'")</f>
        <v>0</v>
      </c>
      <c r="P130" s="380">
        <f>IFERROR(VLOOKUP($G130,'321買'!$A:$G,7,0),"'沒有資料'")</f>
        <v>911</v>
      </c>
      <c r="R130" s="297">
        <f>IFERROR(RANK(VLOOKUP($G130,連買!$A:$D,4,0),連買!$D:$D,0),"'沒有資料'")</f>
        <v>894</v>
      </c>
      <c r="S130" s="34">
        <v>2</v>
      </c>
      <c r="U130" s="95">
        <v>2.92</v>
      </c>
      <c r="V130" s="36">
        <v>28.9</v>
      </c>
      <c r="W130" s="66">
        <v>21.5</v>
      </c>
      <c r="X130" s="15">
        <f t="shared" si="85"/>
        <v>7.3999999999999986</v>
      </c>
      <c r="Y130" s="63">
        <f t="shared" si="86"/>
        <v>0.34418604651162782</v>
      </c>
      <c r="Z130" s="100" t="s">
        <v>3761</v>
      </c>
      <c r="AA130" s="126"/>
      <c r="AD130" s="16" t="s">
        <v>140</v>
      </c>
      <c r="AE130" s="84">
        <v>44490</v>
      </c>
      <c r="AF130" s="86">
        <v>44501</v>
      </c>
      <c r="AG130" s="33">
        <f t="shared" ref="AG130:AG193" si="91">AF130-AE130</f>
        <v>11</v>
      </c>
      <c r="AH130" s="120" t="s">
        <v>2558</v>
      </c>
      <c r="AI130" s="311"/>
      <c r="AK130" s="264"/>
      <c r="AL130" s="264"/>
      <c r="AM130" s="308"/>
    </row>
    <row r="131" spans="1:39">
      <c r="A131" s="146" t="s">
        <v>3724</v>
      </c>
      <c r="B131" s="79">
        <v>300</v>
      </c>
      <c r="C131" s="79">
        <v>229</v>
      </c>
      <c r="D131" s="79">
        <v>35</v>
      </c>
      <c r="E131" s="79">
        <v>10</v>
      </c>
      <c r="F131" s="6">
        <v>4.12</v>
      </c>
      <c r="G131" s="79">
        <v>8444</v>
      </c>
      <c r="H131" s="8" t="s">
        <v>2084</v>
      </c>
      <c r="I131" s="16" t="s">
        <v>223</v>
      </c>
      <c r="J131" s="323">
        <v>76.13</v>
      </c>
      <c r="K131" s="323">
        <v>65.7</v>
      </c>
      <c r="L131" s="323">
        <v>9.34</v>
      </c>
      <c r="N131" s="318">
        <f t="shared" si="90"/>
        <v>151.16999999999999</v>
      </c>
      <c r="O131" s="81">
        <f>IFERROR(VLOOKUP($G131,'321買'!A:E,3,0),"'沒有資料'")</f>
        <v>0</v>
      </c>
      <c r="P131" s="380">
        <f>IFERROR(VLOOKUP($G131,'321買'!$A:$G,7,0),"'沒有資料'")</f>
        <v>911</v>
      </c>
      <c r="R131" s="297">
        <f>IFERROR(RANK(VLOOKUP($G131,連買!$A:$D,4,0),連買!$D:$D,0),"'沒有資料'")</f>
        <v>1640</v>
      </c>
      <c r="S131" s="34">
        <v>0</v>
      </c>
      <c r="U131" s="57">
        <v>1.71</v>
      </c>
      <c r="V131" s="13">
        <v>105</v>
      </c>
      <c r="W131" s="66">
        <v>78</v>
      </c>
      <c r="X131" s="15">
        <f t="shared" si="85"/>
        <v>27</v>
      </c>
      <c r="Y131" s="63">
        <f t="shared" si="86"/>
        <v>0.34615384615384615</v>
      </c>
      <c r="Z131" s="100" t="s">
        <v>3759</v>
      </c>
      <c r="AA131" s="264"/>
      <c r="AD131" s="16" t="s">
        <v>223</v>
      </c>
      <c r="AE131" s="84">
        <v>44489</v>
      </c>
      <c r="AF131" s="86">
        <v>44501</v>
      </c>
      <c r="AG131" s="33">
        <f t="shared" si="91"/>
        <v>12</v>
      </c>
      <c r="AH131" s="120" t="s">
        <v>2663</v>
      </c>
      <c r="AI131" s="311"/>
      <c r="AK131" s="264"/>
      <c r="AL131" s="264"/>
      <c r="AM131" s="308"/>
    </row>
    <row r="132" spans="1:39">
      <c r="A132" s="130" t="s">
        <v>2116</v>
      </c>
      <c r="B132" s="79">
        <v>87</v>
      </c>
      <c r="C132" s="79">
        <v>73</v>
      </c>
      <c r="D132" s="80">
        <v>-3</v>
      </c>
      <c r="E132" s="79">
        <v>20</v>
      </c>
      <c r="F132" s="57">
        <v>33.82</v>
      </c>
      <c r="G132" s="80">
        <v>1590</v>
      </c>
      <c r="H132" s="205" t="s">
        <v>297</v>
      </c>
      <c r="I132" s="22" t="s">
        <v>127</v>
      </c>
      <c r="J132" s="73">
        <v>58.04</v>
      </c>
      <c r="K132" s="73">
        <v>81.849999999999994</v>
      </c>
      <c r="L132" s="323">
        <v>1.06</v>
      </c>
      <c r="N132" s="318">
        <f>K132+J132+L132</f>
        <v>140.94999999999999</v>
      </c>
      <c r="O132" s="81">
        <f>IFERROR(VLOOKUP($G132,'321買'!A:E,3,0),"'沒有資料'")</f>
        <v>0</v>
      </c>
      <c r="P132" s="380">
        <f>IFERROR(VLOOKUP($G132,'321買'!$A:$G,7,0),"'沒有資料'")</f>
        <v>911</v>
      </c>
      <c r="R132" s="297">
        <f>IFERROR(RANK(VLOOKUP($G132,連買!$A:$D,4,0),連買!$D:$D,0),"'沒有資料'")</f>
        <v>7</v>
      </c>
      <c r="S132" s="66">
        <v>9.06</v>
      </c>
      <c r="U132" s="57">
        <v>33.64</v>
      </c>
      <c r="V132" s="155">
        <v>855</v>
      </c>
      <c r="W132" s="66">
        <v>718</v>
      </c>
      <c r="X132" s="141">
        <f t="shared" si="85"/>
        <v>137</v>
      </c>
      <c r="Y132" s="63">
        <f t="shared" si="86"/>
        <v>0.19080779944289694</v>
      </c>
      <c r="Z132" s="100" t="s">
        <v>3760</v>
      </c>
      <c r="AA132" s="168"/>
      <c r="AB132" s="268"/>
      <c r="AC132" s="411"/>
      <c r="AD132" s="22" t="s">
        <v>127</v>
      </c>
      <c r="AE132" s="84">
        <v>44489</v>
      </c>
      <c r="AF132" s="86">
        <v>44501</v>
      </c>
      <c r="AG132" s="33">
        <f t="shared" si="91"/>
        <v>12</v>
      </c>
      <c r="AH132" s="120" t="s">
        <v>2719</v>
      </c>
      <c r="AI132" s="311"/>
      <c r="AK132" s="264"/>
      <c r="AL132" s="264"/>
      <c r="AM132" s="308"/>
    </row>
    <row r="133" spans="1:39">
      <c r="A133" s="146" t="s">
        <v>3768</v>
      </c>
      <c r="B133" s="80">
        <v>-12</v>
      </c>
      <c r="C133" s="80">
        <v>-24</v>
      </c>
      <c r="D133" s="79">
        <v>27</v>
      </c>
      <c r="E133" s="79">
        <v>28</v>
      </c>
      <c r="F133" s="6">
        <v>4.7</v>
      </c>
      <c r="G133" s="80">
        <v>3483</v>
      </c>
      <c r="H133" s="195" t="s">
        <v>1152</v>
      </c>
      <c r="I133" s="16" t="s">
        <v>6532</v>
      </c>
      <c r="J133" s="323">
        <v>12.06</v>
      </c>
      <c r="K133" s="323">
        <v>1.9</v>
      </c>
      <c r="L133" s="323">
        <v>62.32</v>
      </c>
      <c r="N133" s="318">
        <f>K133+J133+L133</f>
        <v>76.28</v>
      </c>
      <c r="O133" s="81">
        <f>IFERROR(VLOOKUP($G133,'321買'!A:E,3,0),"'沒有資料'")</f>
        <v>35</v>
      </c>
      <c r="P133" s="380">
        <f>IFERROR(VLOOKUP($G133,'321買'!$A:$G,7,0),"'沒有資料'")</f>
        <v>100</v>
      </c>
      <c r="R133" s="297">
        <f>IFERROR(RANK(VLOOKUP($G133,連買!$A:$D,4,0),連買!$D:$D,0),"'沒有資料'")</f>
        <v>96</v>
      </c>
      <c r="S133" s="34">
        <v>2.5</v>
      </c>
      <c r="U133" s="95">
        <v>3.96</v>
      </c>
      <c r="V133" s="36">
        <v>71.7</v>
      </c>
      <c r="W133" s="45">
        <v>54</v>
      </c>
      <c r="X133" s="15">
        <f t="shared" si="85"/>
        <v>17.700000000000003</v>
      </c>
      <c r="Y133" s="63">
        <f t="shared" si="86"/>
        <v>0.32777777777777783</v>
      </c>
      <c r="Z133" s="100" t="s">
        <v>3757</v>
      </c>
      <c r="AA133" s="168"/>
      <c r="AB133" s="268"/>
      <c r="AC133" s="411"/>
      <c r="AD133" s="16" t="s">
        <v>474</v>
      </c>
      <c r="AE133" s="84">
        <v>44488</v>
      </c>
      <c r="AF133" s="86">
        <v>44498</v>
      </c>
      <c r="AG133" s="33">
        <f t="shared" si="91"/>
        <v>10</v>
      </c>
      <c r="AH133" s="43" t="s">
        <v>3112</v>
      </c>
      <c r="AI133" s="311"/>
      <c r="AK133" s="264"/>
      <c r="AL133" s="264"/>
      <c r="AM133" s="308"/>
    </row>
    <row r="134" spans="1:39">
      <c r="A134" s="130" t="s">
        <v>3725</v>
      </c>
      <c r="B134" s="79">
        <v>111</v>
      </c>
      <c r="C134" s="79">
        <v>79</v>
      </c>
      <c r="D134" s="79">
        <v>2</v>
      </c>
      <c r="E134" s="79">
        <v>46</v>
      </c>
      <c r="F134" s="57">
        <v>16.37</v>
      </c>
      <c r="G134" s="80">
        <v>6182</v>
      </c>
      <c r="H134" s="255" t="s">
        <v>3254</v>
      </c>
      <c r="I134" s="16" t="s">
        <v>166</v>
      </c>
      <c r="J134" s="323">
        <v>33.21</v>
      </c>
      <c r="K134" s="73">
        <v>24.53</v>
      </c>
      <c r="L134" s="323">
        <v>25.44</v>
      </c>
      <c r="N134" s="318">
        <f>K134+J134+L134</f>
        <v>83.18</v>
      </c>
      <c r="O134" s="81">
        <f>IFERROR(VLOOKUP($G134,'321買'!A:E,3,0),"'沒有資料'")</f>
        <v>79</v>
      </c>
      <c r="P134" s="380">
        <f>IFERROR(VLOOKUP($G134,'321買'!$A:$G,7,0),"'沒有資料'")</f>
        <v>17</v>
      </c>
      <c r="R134" s="297">
        <f>IFERROR(RANK(VLOOKUP($G134,連買!$A:$D,4,0),連買!$D:$D,0),"'沒有資料'")</f>
        <v>344</v>
      </c>
      <c r="S134" s="34">
        <v>1.1000000000000001</v>
      </c>
      <c r="U134" s="95">
        <v>1.26</v>
      </c>
      <c r="V134" s="36">
        <v>61.6</v>
      </c>
      <c r="W134" s="45">
        <v>52</v>
      </c>
      <c r="X134" s="15">
        <f t="shared" si="85"/>
        <v>9.6000000000000014</v>
      </c>
      <c r="Y134" s="63">
        <f t="shared" si="86"/>
        <v>0.18461538461538465</v>
      </c>
      <c r="Z134" s="100" t="s">
        <v>3756</v>
      </c>
      <c r="AA134" s="126"/>
      <c r="AD134" s="16" t="s">
        <v>166</v>
      </c>
      <c r="AE134" s="84">
        <v>44487</v>
      </c>
      <c r="AF134" s="86">
        <v>44497</v>
      </c>
      <c r="AG134" s="33">
        <f t="shared" si="91"/>
        <v>10</v>
      </c>
      <c r="AH134" s="120" t="s">
        <v>2337</v>
      </c>
      <c r="AI134" s="311"/>
      <c r="AK134" s="264"/>
      <c r="AL134" s="264"/>
      <c r="AM134" s="308"/>
    </row>
    <row r="135" spans="1:39">
      <c r="A135" s="146" t="s">
        <v>2457</v>
      </c>
      <c r="B135" s="80">
        <v>-675</v>
      </c>
      <c r="C135" s="80">
        <v>-449</v>
      </c>
      <c r="D135" s="80">
        <v>-37</v>
      </c>
      <c r="E135" s="80">
        <v>-59</v>
      </c>
      <c r="F135" s="6">
        <v>-29.73</v>
      </c>
      <c r="G135" s="79">
        <v>4934</v>
      </c>
      <c r="H135" s="8" t="s">
        <v>308</v>
      </c>
      <c r="I135" s="22" t="s">
        <v>448</v>
      </c>
      <c r="J135" s="323">
        <v>28.95</v>
      </c>
      <c r="K135" s="73">
        <v>1.2</v>
      </c>
      <c r="N135" s="318">
        <f t="shared" ref="N135:N140" si="92">K135+J135+L135</f>
        <v>30.15</v>
      </c>
      <c r="O135" s="81">
        <f>IFERROR(VLOOKUP($G135,'321買'!A:E,3,0),"'沒有資料'")</f>
        <v>4</v>
      </c>
      <c r="P135" s="380">
        <f>IFERROR(VLOOKUP($G135,'321買'!$A:$G,7,0),"'沒有資料'")</f>
        <v>592</v>
      </c>
      <c r="R135" s="297">
        <f>IFERROR(RANK(VLOOKUP($G135,連買!$A:$D,4,0),連買!$D:$D,0),"'沒有資料'")</f>
        <v>1166</v>
      </c>
      <c r="S135" s="34">
        <v>0</v>
      </c>
      <c r="U135" s="95">
        <v>-1.59</v>
      </c>
      <c r="V135" s="36">
        <v>35.25</v>
      </c>
      <c r="W135" s="66">
        <v>29.1</v>
      </c>
      <c r="X135" s="15">
        <f t="shared" si="85"/>
        <v>6.1499999999999986</v>
      </c>
      <c r="Y135" s="63">
        <f t="shared" si="86"/>
        <v>0.21134020618556695</v>
      </c>
      <c r="Z135" s="100" t="s">
        <v>3747</v>
      </c>
      <c r="AA135" s="264"/>
      <c r="AD135" s="22" t="s">
        <v>448</v>
      </c>
      <c r="AE135" s="84">
        <v>44481</v>
      </c>
      <c r="AF135" s="86">
        <v>44491</v>
      </c>
      <c r="AG135" s="33">
        <f t="shared" si="91"/>
        <v>10</v>
      </c>
      <c r="AH135" s="43" t="s">
        <v>2159</v>
      </c>
      <c r="AI135" s="311"/>
      <c r="AK135" s="264"/>
      <c r="AL135" s="264"/>
      <c r="AM135" s="308"/>
    </row>
    <row r="136" spans="1:39">
      <c r="A136" s="130" t="s">
        <v>3164</v>
      </c>
      <c r="B136" s="80">
        <v>-2</v>
      </c>
      <c r="C136" s="80">
        <v>-1</v>
      </c>
      <c r="D136" s="79">
        <v>58</v>
      </c>
      <c r="E136" s="79">
        <v>8</v>
      </c>
      <c r="F136" s="57">
        <v>10.69</v>
      </c>
      <c r="G136" s="80">
        <v>6641</v>
      </c>
      <c r="H136" s="5" t="s">
        <v>2084</v>
      </c>
      <c r="I136" s="22" t="s">
        <v>1095</v>
      </c>
      <c r="J136" s="323">
        <v>62.05</v>
      </c>
      <c r="K136" s="73">
        <v>30.81</v>
      </c>
      <c r="L136" s="323">
        <v>2.13</v>
      </c>
      <c r="N136" s="318">
        <f t="shared" si="92"/>
        <v>94.99</v>
      </c>
      <c r="O136" s="81">
        <f>IFERROR(VLOOKUP($G136,'321買'!A:E,3,0),"'沒有資料'")</f>
        <v>0</v>
      </c>
      <c r="P136" s="380">
        <f>IFERROR(VLOOKUP($G136,'321買'!$A:$G,7,0),"'沒有資料'")</f>
        <v>911</v>
      </c>
      <c r="R136" s="297">
        <f>IFERROR(RANK(VLOOKUP($G136,連買!$A:$D,4,0),連買!$D:$D,0),"'沒有資料'")</f>
        <v>304</v>
      </c>
      <c r="S136" s="66">
        <v>4.5</v>
      </c>
      <c r="U136" s="95">
        <v>6.49</v>
      </c>
      <c r="V136" s="36">
        <v>56</v>
      </c>
      <c r="W136" s="66">
        <v>50</v>
      </c>
      <c r="X136" s="15">
        <f t="shared" si="85"/>
        <v>6</v>
      </c>
      <c r="Y136" s="63">
        <f t="shared" si="86"/>
        <v>0.12</v>
      </c>
      <c r="Z136" s="100" t="s">
        <v>1779</v>
      </c>
      <c r="AA136" s="126"/>
      <c r="AD136" s="22" t="s">
        <v>1095</v>
      </c>
      <c r="AE136" s="84">
        <v>44477</v>
      </c>
      <c r="AF136" s="86">
        <v>44487</v>
      </c>
      <c r="AG136" s="33">
        <f t="shared" si="91"/>
        <v>10</v>
      </c>
      <c r="AH136" s="43" t="s">
        <v>3010</v>
      </c>
      <c r="AI136" s="311"/>
      <c r="AK136" s="264"/>
      <c r="AL136" s="264"/>
      <c r="AM136" s="308"/>
    </row>
    <row r="137" spans="1:39">
      <c r="A137" s="146" t="s">
        <v>1661</v>
      </c>
      <c r="B137" s="79">
        <v>31</v>
      </c>
      <c r="C137" s="79">
        <v>362</v>
      </c>
      <c r="D137" s="80">
        <v>-10</v>
      </c>
      <c r="E137" s="79">
        <v>5</v>
      </c>
      <c r="F137" s="6">
        <v>4.3099999999999996</v>
      </c>
      <c r="G137" s="80">
        <v>5498</v>
      </c>
      <c r="H137" s="5" t="s">
        <v>3620</v>
      </c>
      <c r="I137" s="16" t="s">
        <v>424</v>
      </c>
      <c r="J137" s="323">
        <v>42.57</v>
      </c>
      <c r="K137" s="323">
        <v>0.95</v>
      </c>
      <c r="L137" s="73">
        <v>12.91</v>
      </c>
      <c r="N137" s="318">
        <f t="shared" si="92"/>
        <v>56.430000000000007</v>
      </c>
      <c r="O137" s="81">
        <f>IFERROR(VLOOKUP($G137,'321買'!A:E,3,0),"'沒有資料'")</f>
        <v>2</v>
      </c>
      <c r="P137" s="380">
        <f>IFERROR(VLOOKUP($G137,'321買'!$A:$G,7,0),"'沒有資料'")</f>
        <v>706</v>
      </c>
      <c r="R137" s="297">
        <f>IFERROR(RANK(VLOOKUP($G137,連買!$A:$D,4,0),連買!$D:$D,0),"'沒有資料'")</f>
        <v>971</v>
      </c>
      <c r="S137" s="34">
        <v>0.6</v>
      </c>
      <c r="U137" s="95">
        <v>0.53</v>
      </c>
      <c r="V137" s="36">
        <v>14</v>
      </c>
      <c r="W137" s="66">
        <v>14.6</v>
      </c>
      <c r="X137" s="15">
        <f t="shared" si="85"/>
        <v>-0.59999999999999964</v>
      </c>
      <c r="Y137" s="76">
        <f t="shared" si="86"/>
        <v>-4.1095890410958881E-2</v>
      </c>
      <c r="Z137" s="100" t="s">
        <v>1824</v>
      </c>
      <c r="AA137" s="126"/>
      <c r="AD137" s="16" t="s">
        <v>424</v>
      </c>
      <c r="AE137" s="84">
        <v>44477</v>
      </c>
      <c r="AF137" s="86">
        <v>44487</v>
      </c>
      <c r="AG137" s="33">
        <f t="shared" si="91"/>
        <v>10</v>
      </c>
      <c r="AH137" s="43" t="s">
        <v>425</v>
      </c>
      <c r="AI137" s="311"/>
      <c r="AK137" s="264"/>
      <c r="AL137" s="264"/>
      <c r="AM137" s="308"/>
    </row>
    <row r="138" spans="1:39">
      <c r="A138" s="146" t="s">
        <v>3175</v>
      </c>
      <c r="B138" s="79">
        <v>7</v>
      </c>
      <c r="C138" s="79">
        <v>2</v>
      </c>
      <c r="D138" s="80">
        <v>-3</v>
      </c>
      <c r="E138" s="79">
        <v>12</v>
      </c>
      <c r="F138" s="6">
        <v>9.5</v>
      </c>
      <c r="G138" s="80">
        <v>2947</v>
      </c>
      <c r="H138" s="8" t="s">
        <v>6530</v>
      </c>
      <c r="I138" s="16" t="s">
        <v>3705</v>
      </c>
      <c r="J138" s="323">
        <v>56.57</v>
      </c>
      <c r="K138" s="323">
        <v>0.3</v>
      </c>
      <c r="L138" s="323"/>
      <c r="N138" s="318">
        <f t="shared" si="92"/>
        <v>56.87</v>
      </c>
      <c r="O138" s="81" t="str">
        <f>IFERROR(VLOOKUP($G138,'321買'!A:E,3,0),"'沒有資料'")</f>
        <v>'沒有資料'</v>
      </c>
      <c r="P138" s="380" t="str">
        <f>IFERROR(VLOOKUP($G138,'321買'!$A:$G,7,0),"'沒有資料'")</f>
        <v>'沒有資料'</v>
      </c>
      <c r="R138" s="297">
        <f>IFERROR(RANK(VLOOKUP($G138,連買!$A:$D,4,0),連買!$D:$D,0),"'沒有資料'")</f>
        <v>789</v>
      </c>
      <c r="S138" s="66">
        <v>3.6</v>
      </c>
      <c r="U138" s="57" t="s">
        <v>3500</v>
      </c>
      <c r="V138" s="36">
        <v>105</v>
      </c>
      <c r="W138" s="66">
        <v>80</v>
      </c>
      <c r="X138" s="15">
        <f t="shared" si="85"/>
        <v>25</v>
      </c>
      <c r="Y138" s="63">
        <f t="shared" si="86"/>
        <v>0.3125</v>
      </c>
      <c r="Z138" s="100" t="s">
        <v>3742</v>
      </c>
      <c r="AA138" s="126"/>
      <c r="AD138" s="16" t="s">
        <v>3705</v>
      </c>
      <c r="AE138" s="84">
        <v>44475</v>
      </c>
      <c r="AF138" s="86">
        <v>44487</v>
      </c>
      <c r="AG138" s="33">
        <f t="shared" si="91"/>
        <v>12</v>
      </c>
      <c r="AH138" s="43" t="s">
        <v>3706</v>
      </c>
      <c r="AI138" s="311"/>
      <c r="AK138" s="264"/>
      <c r="AL138" s="264"/>
      <c r="AM138" s="308"/>
    </row>
    <row r="139" spans="1:39">
      <c r="A139" s="130" t="s">
        <v>2080</v>
      </c>
      <c r="B139" s="80">
        <v>-9</v>
      </c>
      <c r="C139" s="80">
        <v>-1</v>
      </c>
      <c r="D139" s="79">
        <v>10</v>
      </c>
      <c r="E139" s="79">
        <v>25</v>
      </c>
      <c r="F139" s="57">
        <v>12.27</v>
      </c>
      <c r="G139" s="80">
        <v>6417</v>
      </c>
      <c r="H139" s="5" t="s">
        <v>313</v>
      </c>
      <c r="I139" s="16" t="s">
        <v>4761</v>
      </c>
      <c r="J139" s="323">
        <v>60.58</v>
      </c>
      <c r="K139" s="323">
        <v>11.57</v>
      </c>
      <c r="L139" s="73">
        <v>30.12</v>
      </c>
      <c r="N139" s="318">
        <f t="shared" si="92"/>
        <v>102.27000000000001</v>
      </c>
      <c r="O139" s="81" t="str">
        <f>IFERROR(VLOOKUP($G139,'321買'!A:E,3,0),"'沒有資料'")</f>
        <v>'沒有資料'</v>
      </c>
      <c r="P139" s="380" t="str">
        <f>IFERROR(VLOOKUP($G139,'321買'!$A:$G,7,0),"'沒有資料'")</f>
        <v>'沒有資料'</v>
      </c>
      <c r="R139" s="297">
        <f>IFERROR(RANK(VLOOKUP($G139,連買!$A:$D,4,0),連買!$D:$D,0),"'沒有資料'")</f>
        <v>386</v>
      </c>
      <c r="S139" s="34">
        <v>1.3</v>
      </c>
      <c r="U139" s="57">
        <v>2.5499999999999998</v>
      </c>
      <c r="V139" s="36">
        <v>60</v>
      </c>
      <c r="W139" s="45">
        <v>60</v>
      </c>
      <c r="X139" s="15">
        <f t="shared" si="85"/>
        <v>0</v>
      </c>
      <c r="Y139" s="63">
        <f t="shared" si="86"/>
        <v>0</v>
      </c>
      <c r="Z139" s="100" t="s">
        <v>3733</v>
      </c>
      <c r="AA139" s="126"/>
      <c r="AD139" s="16" t="s">
        <v>521</v>
      </c>
      <c r="AE139" s="84">
        <v>44474</v>
      </c>
      <c r="AF139" s="86">
        <v>44484</v>
      </c>
      <c r="AG139" s="33">
        <f t="shared" si="91"/>
        <v>10</v>
      </c>
      <c r="AH139" s="43" t="s">
        <v>2809</v>
      </c>
      <c r="AI139" s="199"/>
      <c r="AK139" s="264"/>
      <c r="AL139" s="264"/>
      <c r="AM139" s="308"/>
    </row>
    <row r="140" spans="1:39">
      <c r="A140" s="146" t="s">
        <v>1721</v>
      </c>
      <c r="B140" s="80">
        <v>-20</v>
      </c>
      <c r="C140" s="80">
        <v>-24</v>
      </c>
      <c r="D140" s="79">
        <v>10</v>
      </c>
      <c r="E140" s="79">
        <v>3</v>
      </c>
      <c r="F140" s="6">
        <v>-9.25</v>
      </c>
      <c r="G140" s="80">
        <v>6209</v>
      </c>
      <c r="H140" s="255" t="s">
        <v>308</v>
      </c>
      <c r="I140" s="22" t="s">
        <v>173</v>
      </c>
      <c r="J140" s="73">
        <v>30.67</v>
      </c>
      <c r="K140" s="73">
        <v>1.1399999999999999</v>
      </c>
      <c r="L140" s="323">
        <v>15.5</v>
      </c>
      <c r="N140" s="318">
        <f t="shared" si="92"/>
        <v>47.31</v>
      </c>
      <c r="O140" s="81">
        <f>IFERROR(VLOOKUP($G140,'321買'!A:E,3,0),"'沒有資料'")</f>
        <v>5</v>
      </c>
      <c r="P140" s="380">
        <f>IFERROR(VLOOKUP($G140,'321買'!$A:$G,7,0),"'沒有資料'")</f>
        <v>558</v>
      </c>
      <c r="R140" s="297">
        <f>IFERROR(RANK(VLOOKUP($G140,連買!$A:$D,4,0),連買!$D:$D,0),"'沒有資料'")</f>
        <v>1153</v>
      </c>
      <c r="S140" s="34">
        <v>0</v>
      </c>
      <c r="U140" s="95">
        <v>-1.44</v>
      </c>
      <c r="V140" s="36">
        <v>27.75</v>
      </c>
      <c r="W140" s="66">
        <v>24</v>
      </c>
      <c r="X140" s="15">
        <f t="shared" si="85"/>
        <v>3.75</v>
      </c>
      <c r="Y140" s="63">
        <f t="shared" si="86"/>
        <v>0.15625</v>
      </c>
      <c r="Z140" s="100" t="s">
        <v>3734</v>
      </c>
      <c r="AA140" s="264"/>
      <c r="AD140" s="22" t="s">
        <v>173</v>
      </c>
      <c r="AE140" s="84">
        <v>44474</v>
      </c>
      <c r="AF140" s="86">
        <v>44484</v>
      </c>
      <c r="AG140" s="33">
        <f t="shared" si="91"/>
        <v>10</v>
      </c>
      <c r="AH140" s="122" t="s">
        <v>2171</v>
      </c>
      <c r="AI140" s="314"/>
      <c r="AK140" s="264"/>
      <c r="AL140" s="264"/>
      <c r="AM140" s="24"/>
    </row>
    <row r="141" spans="1:39">
      <c r="A141" s="146" t="s">
        <v>3228</v>
      </c>
      <c r="B141" s="79">
        <v>32</v>
      </c>
      <c r="C141" s="79">
        <v>26</v>
      </c>
      <c r="D141" s="80">
        <v>-100</v>
      </c>
      <c r="E141" s="79"/>
      <c r="F141" s="233"/>
      <c r="G141" s="80">
        <v>6541</v>
      </c>
      <c r="H141" s="5" t="s">
        <v>5070</v>
      </c>
      <c r="I141" s="22" t="s">
        <v>638</v>
      </c>
      <c r="J141" s="323">
        <v>67.81</v>
      </c>
      <c r="K141" s="323">
        <v>32.590000000000003</v>
      </c>
      <c r="L141" s="323">
        <v>0</v>
      </c>
      <c r="N141" s="318">
        <f>K141+J141+L141</f>
        <v>100.4</v>
      </c>
      <c r="O141" s="81">
        <f>IFERROR(VLOOKUP($G141,'321買'!A:E,3,0),"'沒有資料'")</f>
        <v>0</v>
      </c>
      <c r="P141" s="380">
        <f>IFERROR(VLOOKUP($G141,'321買'!$A:$G,7,0),"'沒有資料'")</f>
        <v>911</v>
      </c>
      <c r="R141" s="297">
        <f>IFERROR(RANK(VLOOKUP($G141,連買!$A:$D,4,0),連買!$D:$D,0),"'沒有資料'")</f>
        <v>437</v>
      </c>
      <c r="S141" s="34">
        <v>0</v>
      </c>
      <c r="U141" s="57">
        <v>-5.95</v>
      </c>
      <c r="V141" s="36">
        <v>42.15</v>
      </c>
      <c r="W141" s="66">
        <v>42</v>
      </c>
      <c r="X141" s="15">
        <f t="shared" si="85"/>
        <v>0.14999999999999858</v>
      </c>
      <c r="Y141" s="63">
        <f t="shared" si="86"/>
        <v>3.5714285714285375E-3</v>
      </c>
      <c r="Z141" s="100" t="s">
        <v>3728</v>
      </c>
      <c r="AA141" s="126"/>
      <c r="AD141" s="22" t="s">
        <v>638</v>
      </c>
      <c r="AE141" s="84">
        <v>44473</v>
      </c>
      <c r="AF141" s="86">
        <v>44483</v>
      </c>
      <c r="AG141" s="33">
        <f t="shared" si="91"/>
        <v>10</v>
      </c>
      <c r="AH141" s="43" t="s">
        <v>2285</v>
      </c>
      <c r="AI141" s="199"/>
      <c r="AK141" s="264"/>
      <c r="AL141" s="264"/>
      <c r="AM141" s="308"/>
    </row>
    <row r="142" spans="1:39">
      <c r="A142" s="146" t="s">
        <v>3166</v>
      </c>
      <c r="B142" s="79">
        <v>294</v>
      </c>
      <c r="C142" s="79">
        <v>351</v>
      </c>
      <c r="D142" s="80">
        <v>-28</v>
      </c>
      <c r="E142" s="79">
        <v>23</v>
      </c>
      <c r="F142" s="6">
        <v>7.57</v>
      </c>
      <c r="G142" s="80">
        <v>3162</v>
      </c>
      <c r="H142" s="8" t="s">
        <v>297</v>
      </c>
      <c r="I142" s="16" t="s">
        <v>6526</v>
      </c>
      <c r="J142" s="323">
        <v>54.21</v>
      </c>
      <c r="K142" s="323">
        <v>51.94</v>
      </c>
      <c r="L142" s="323"/>
      <c r="N142" s="318">
        <f>K142+J142+L142</f>
        <v>106.15</v>
      </c>
      <c r="O142" s="81">
        <f>IFERROR(VLOOKUP($G142,'321買'!A:E,3,0),"'沒有資料'")</f>
        <v>0</v>
      </c>
      <c r="P142" s="380">
        <f>IFERROR(VLOOKUP($G142,'321買'!$A:$G,7,0),"'沒有資料'")</f>
        <v>911</v>
      </c>
      <c r="R142" s="297">
        <f>IFERROR(RANK(VLOOKUP($G142,連買!$A:$D,4,0),連買!$D:$D,0),"'沒有資料'")</f>
        <v>978</v>
      </c>
      <c r="S142" s="34">
        <v>0</v>
      </c>
      <c r="U142" s="57">
        <v>0.7</v>
      </c>
      <c r="V142" s="13">
        <v>45.5</v>
      </c>
      <c r="W142" s="66">
        <v>40</v>
      </c>
      <c r="X142" s="15">
        <f t="shared" si="85"/>
        <v>5.5</v>
      </c>
      <c r="Y142" s="63">
        <f t="shared" si="86"/>
        <v>0.13750000000000001</v>
      </c>
      <c r="Z142" s="100" t="s">
        <v>3727</v>
      </c>
      <c r="AA142" s="126"/>
      <c r="AD142" s="16" t="s">
        <v>533</v>
      </c>
      <c r="AE142" s="84">
        <v>44470</v>
      </c>
      <c r="AF142" s="86">
        <v>44481</v>
      </c>
      <c r="AG142" s="33">
        <f t="shared" si="91"/>
        <v>11</v>
      </c>
      <c r="AH142" s="43" t="s">
        <v>3703</v>
      </c>
      <c r="AI142" s="199"/>
      <c r="AK142" s="264"/>
      <c r="AL142" s="264"/>
      <c r="AM142" s="308"/>
    </row>
    <row r="143" spans="1:39">
      <c r="A143" s="130" t="s">
        <v>3680</v>
      </c>
      <c r="B143" s="79">
        <v>108</v>
      </c>
      <c r="C143" s="79">
        <v>119</v>
      </c>
      <c r="D143" s="80">
        <v>-11</v>
      </c>
      <c r="E143" s="79">
        <v>27</v>
      </c>
      <c r="F143" s="57">
        <v>32.6</v>
      </c>
      <c r="G143" s="80">
        <v>6642</v>
      </c>
      <c r="H143" s="5" t="s">
        <v>3620</v>
      </c>
      <c r="I143" s="16" t="s">
        <v>1747</v>
      </c>
      <c r="J143" s="73">
        <v>49.93</v>
      </c>
      <c r="K143" s="323">
        <v>3.18</v>
      </c>
      <c r="L143" s="73">
        <v>25.36</v>
      </c>
      <c r="N143" s="318">
        <f t="shared" ref="N143" si="93">K143+J143+L143</f>
        <v>78.47</v>
      </c>
      <c r="O143" s="81">
        <f>IFERROR(VLOOKUP($G143,'321買'!A:E,3,0),"'沒有資料'")</f>
        <v>6</v>
      </c>
      <c r="P143" s="380">
        <f>IFERROR(VLOOKUP($G143,'321買'!$A:$G,7,0),"'沒有資料'")</f>
        <v>521</v>
      </c>
      <c r="R143" s="297">
        <f>IFERROR(RANK(VLOOKUP($G143,連買!$A:$D,4,0),連買!$D:$D,0),"'沒有資料'")</f>
        <v>263</v>
      </c>
      <c r="S143" s="34">
        <v>1.8</v>
      </c>
      <c r="U143" s="95">
        <v>3.78</v>
      </c>
      <c r="V143" s="36">
        <v>67.5</v>
      </c>
      <c r="W143" s="45">
        <v>62</v>
      </c>
      <c r="X143" s="15">
        <f t="shared" si="85"/>
        <v>5.5</v>
      </c>
      <c r="Y143" s="63">
        <f t="shared" si="86"/>
        <v>8.8709677419354843E-2</v>
      </c>
      <c r="Z143" s="100" t="s">
        <v>3719</v>
      </c>
      <c r="AA143" s="126"/>
      <c r="AD143" s="16" t="s">
        <v>1747</v>
      </c>
      <c r="AE143" s="84">
        <v>44469</v>
      </c>
      <c r="AF143" s="86">
        <v>44481</v>
      </c>
      <c r="AG143" s="33">
        <f t="shared" si="91"/>
        <v>12</v>
      </c>
      <c r="AH143" s="43" t="s">
        <v>3289</v>
      </c>
      <c r="AI143" s="199"/>
      <c r="AK143" s="264"/>
      <c r="AL143" s="264"/>
      <c r="AM143" s="308"/>
    </row>
    <row r="144" spans="1:39">
      <c r="A144" s="146" t="s">
        <v>3681</v>
      </c>
      <c r="B144" s="79">
        <v>14</v>
      </c>
      <c r="C144" s="79">
        <v>22</v>
      </c>
      <c r="D144" s="79">
        <v>63</v>
      </c>
      <c r="E144" s="79">
        <v>120</v>
      </c>
      <c r="F144" s="6">
        <v>-3.53</v>
      </c>
      <c r="G144" s="80">
        <v>3224</v>
      </c>
      <c r="H144" s="5" t="s">
        <v>331</v>
      </c>
      <c r="I144" s="16" t="s">
        <v>819</v>
      </c>
      <c r="J144" s="323">
        <v>39.29</v>
      </c>
      <c r="K144" s="73">
        <v>0.91</v>
      </c>
      <c r="L144" s="73">
        <v>19.5</v>
      </c>
      <c r="N144" s="318">
        <f>K144+J144+L144</f>
        <v>59.699999999999996</v>
      </c>
      <c r="O144" s="81">
        <f>IFERROR(VLOOKUP($G144,'321買'!A:E,3,0),"'沒有資料'")</f>
        <v>5</v>
      </c>
      <c r="P144" s="380">
        <f>IFERROR(VLOOKUP($G144,'321買'!$A:$G,7,0),"'沒有資料'")</f>
        <v>521</v>
      </c>
      <c r="R144" s="297">
        <f>IFERROR(RANK(VLOOKUP($G144,連買!$A:$D,4,0),連買!$D:$D,0),"'沒有資料'")</f>
        <v>485</v>
      </c>
      <c r="S144" s="34">
        <v>0</v>
      </c>
      <c r="U144" s="95">
        <v>-1.3</v>
      </c>
      <c r="V144" s="36">
        <v>40.049999999999997</v>
      </c>
      <c r="W144" s="66">
        <v>39.5</v>
      </c>
      <c r="X144" s="15">
        <f t="shared" si="85"/>
        <v>0.54999999999999716</v>
      </c>
      <c r="Y144" s="63">
        <f t="shared" si="86"/>
        <v>1.3924050632911321E-2</v>
      </c>
      <c r="Z144" s="100" t="s">
        <v>1733</v>
      </c>
      <c r="AA144" s="264"/>
      <c r="AD144" s="16" t="s">
        <v>819</v>
      </c>
      <c r="AE144" s="84">
        <v>44469</v>
      </c>
      <c r="AF144" s="86">
        <v>44481</v>
      </c>
      <c r="AG144" s="33">
        <f t="shared" si="91"/>
        <v>12</v>
      </c>
      <c r="AH144" s="43" t="s">
        <v>2836</v>
      </c>
      <c r="AI144" s="199"/>
      <c r="AK144" s="264"/>
      <c r="AL144" s="264"/>
      <c r="AM144" s="308"/>
    </row>
    <row r="145" spans="1:39">
      <c r="A145" s="130" t="s">
        <v>2215</v>
      </c>
      <c r="B145" s="79">
        <v>4</v>
      </c>
      <c r="C145" s="80">
        <v>-4</v>
      </c>
      <c r="D145" s="79">
        <v>11</v>
      </c>
      <c r="E145" s="80">
        <v>-12</v>
      </c>
      <c r="F145" s="57">
        <v>15.6</v>
      </c>
      <c r="G145" s="80">
        <v>6790</v>
      </c>
      <c r="H145" s="5" t="s">
        <v>2084</v>
      </c>
      <c r="I145" s="22" t="s">
        <v>3685</v>
      </c>
      <c r="J145" s="73">
        <v>81.87</v>
      </c>
      <c r="K145" s="323">
        <v>2.91</v>
      </c>
      <c r="L145" s="323"/>
      <c r="N145" s="318">
        <f t="shared" ref="N145:N146" si="94">K145+J145+L145</f>
        <v>84.78</v>
      </c>
      <c r="O145" s="81">
        <f>IFERROR(VLOOKUP($G145,'321買'!A:E,3,0),"'沒有資料'")</f>
        <v>0</v>
      </c>
      <c r="P145" s="380">
        <f>IFERROR(VLOOKUP($G145,'321買'!$A:$G,7,0),"'沒有資料'")</f>
        <v>911</v>
      </c>
      <c r="R145" s="297">
        <f>IFERROR(RANK(VLOOKUP($G145,連買!$A:$D,4,0),連買!$D:$D,0),"'沒有資料'")</f>
        <v>1156</v>
      </c>
      <c r="S145" s="66">
        <v>4</v>
      </c>
      <c r="U145" s="57" t="s">
        <v>3686</v>
      </c>
      <c r="V145" s="36">
        <v>48.75</v>
      </c>
      <c r="W145" s="66">
        <v>52</v>
      </c>
      <c r="X145" s="15">
        <f t="shared" ref="X145:X153" si="95">V145-W145</f>
        <v>-3.25</v>
      </c>
      <c r="Y145" s="76">
        <f t="shared" ref="Y145:Y153" si="96">X145/W145</f>
        <v>-6.25E-2</v>
      </c>
      <c r="Z145" s="100" t="s">
        <v>3723</v>
      </c>
      <c r="AA145" s="126"/>
      <c r="AD145" s="22" t="s">
        <v>3685</v>
      </c>
      <c r="AE145" s="84">
        <v>44468</v>
      </c>
      <c r="AF145" s="86">
        <v>44481</v>
      </c>
      <c r="AG145" s="33">
        <f t="shared" si="91"/>
        <v>13</v>
      </c>
      <c r="AH145" s="43" t="s">
        <v>3687</v>
      </c>
      <c r="AI145" s="199"/>
      <c r="AK145" s="264"/>
      <c r="AL145" s="264"/>
      <c r="AM145" s="308"/>
    </row>
    <row r="146" spans="1:39">
      <c r="A146" s="130" t="s">
        <v>3746</v>
      </c>
      <c r="B146" s="79">
        <v>21</v>
      </c>
      <c r="C146" s="79">
        <v>26</v>
      </c>
      <c r="D146" s="80">
        <v>-10</v>
      </c>
      <c r="E146" s="79">
        <v>19</v>
      </c>
      <c r="F146" s="57">
        <v>28.15</v>
      </c>
      <c r="G146" s="80">
        <v>6788</v>
      </c>
      <c r="H146" s="205" t="s">
        <v>3254</v>
      </c>
      <c r="I146" s="16" t="s">
        <v>3688</v>
      </c>
      <c r="J146" s="323">
        <v>18.350000000000001</v>
      </c>
      <c r="K146" s="73">
        <v>1.7</v>
      </c>
      <c r="L146" s="323"/>
      <c r="N146" s="318">
        <f t="shared" si="94"/>
        <v>20.05</v>
      </c>
      <c r="O146" s="81" t="str">
        <f>IFERROR(VLOOKUP($G146,'321買'!A:E,3,0),"'沒有資料'")</f>
        <v>'沒有資料'</v>
      </c>
      <c r="P146" s="380" t="str">
        <f>IFERROR(VLOOKUP($G146,'321買'!$A:$G,7,0),"'沒有資料'")</f>
        <v>'沒有資料'</v>
      </c>
      <c r="R146" s="297">
        <f>IFERROR(RANK(VLOOKUP($G146,連買!$A:$D,4,0),連買!$D:$D,0),"'沒有資料'")</f>
        <v>1716</v>
      </c>
      <c r="S146" s="66">
        <v>4</v>
      </c>
      <c r="U146" s="95" t="s">
        <v>3500</v>
      </c>
      <c r="V146" s="36">
        <v>198</v>
      </c>
      <c r="W146" s="66">
        <v>125</v>
      </c>
      <c r="X146" s="15">
        <f t="shared" si="95"/>
        <v>73</v>
      </c>
      <c r="Y146" s="63">
        <f t="shared" si="96"/>
        <v>0.58399999999999996</v>
      </c>
      <c r="Z146" s="100" t="s">
        <v>3722</v>
      </c>
      <c r="AA146" s="126"/>
      <c r="AD146" s="16" t="s">
        <v>3688</v>
      </c>
      <c r="AE146" s="84">
        <v>44468</v>
      </c>
      <c r="AF146" s="86">
        <v>44481</v>
      </c>
      <c r="AG146" s="33">
        <f t="shared" si="91"/>
        <v>13</v>
      </c>
      <c r="AH146" s="43" t="s">
        <v>3689</v>
      </c>
      <c r="AI146" s="199"/>
      <c r="AK146" s="264"/>
      <c r="AL146" s="264"/>
      <c r="AM146" s="308"/>
    </row>
    <row r="147" spans="1:39">
      <c r="A147" s="146" t="s">
        <v>3682</v>
      </c>
      <c r="B147" s="80">
        <v>-634</v>
      </c>
      <c r="C147" s="80">
        <v>-5</v>
      </c>
      <c r="D147" s="79">
        <v>1</v>
      </c>
      <c r="E147" s="79">
        <v>23</v>
      </c>
      <c r="F147" s="6">
        <v>-78.25</v>
      </c>
      <c r="G147" s="80">
        <v>5324</v>
      </c>
      <c r="H147" s="5" t="s">
        <v>4327</v>
      </c>
      <c r="I147" s="16" t="s">
        <v>891</v>
      </c>
      <c r="J147" s="73">
        <v>69.38</v>
      </c>
      <c r="K147" s="73">
        <v>5.54</v>
      </c>
      <c r="L147" s="323"/>
      <c r="N147" s="318">
        <f>K147+J147+L147</f>
        <v>74.92</v>
      </c>
      <c r="O147" s="81" t="str">
        <f>IFERROR(VLOOKUP($G147,'321買'!A:E,3,0),"'沒有資料'")</f>
        <v>'沒有資料'</v>
      </c>
      <c r="P147" s="380" t="str">
        <f>IFERROR(VLOOKUP($G147,'321買'!$A:$G,7,0),"'沒有資料'")</f>
        <v>'沒有資料'</v>
      </c>
      <c r="R147" s="297">
        <f>IFERROR(RANK(VLOOKUP($G147,連買!$A:$D,4,0),連買!$D:$D,0),"'沒有資料'")</f>
        <v>1357</v>
      </c>
      <c r="S147" s="34">
        <v>0</v>
      </c>
      <c r="U147" s="57">
        <v>-0.97</v>
      </c>
      <c r="V147" s="36">
        <v>9.3000000000000007</v>
      </c>
      <c r="W147" s="66">
        <v>9.5</v>
      </c>
      <c r="X147" s="15">
        <f t="shared" si="95"/>
        <v>-0.19999999999999929</v>
      </c>
      <c r="Y147" s="76">
        <f t="shared" si="96"/>
        <v>-2.1052631578947295E-2</v>
      </c>
      <c r="Z147" s="101" t="s">
        <v>3721</v>
      </c>
      <c r="AA147" s="126"/>
      <c r="AD147" s="16" t="s">
        <v>891</v>
      </c>
      <c r="AE147" s="84">
        <v>44468</v>
      </c>
      <c r="AF147" s="86">
        <v>44481</v>
      </c>
      <c r="AG147" s="33">
        <f t="shared" si="91"/>
        <v>13</v>
      </c>
      <c r="AH147" s="43" t="s">
        <v>2853</v>
      </c>
      <c r="AI147" s="199"/>
      <c r="AK147" s="264"/>
      <c r="AL147" s="264"/>
      <c r="AM147" s="308"/>
    </row>
    <row r="148" spans="1:39">
      <c r="A148" s="146" t="s">
        <v>3683</v>
      </c>
      <c r="B148" s="79">
        <v>820</v>
      </c>
      <c r="C148" s="79">
        <v>202</v>
      </c>
      <c r="D148" s="80">
        <v>-35</v>
      </c>
      <c r="E148" s="79">
        <v>9</v>
      </c>
      <c r="F148" s="6">
        <v>8.9600000000000009</v>
      </c>
      <c r="G148" s="80">
        <v>1760</v>
      </c>
      <c r="H148" s="205" t="s">
        <v>5070</v>
      </c>
      <c r="I148" s="22" t="s">
        <v>6533</v>
      </c>
      <c r="J148" s="323">
        <v>23.73</v>
      </c>
      <c r="K148" s="323">
        <v>2.76</v>
      </c>
      <c r="L148" s="323">
        <v>19.010000000000002</v>
      </c>
      <c r="N148" s="318">
        <f>K148+J148+L148</f>
        <v>45.5</v>
      </c>
      <c r="O148" s="81">
        <f>IFERROR(VLOOKUP($G148,'321買'!A:E,3,0),"'沒有資料'")</f>
        <v>29</v>
      </c>
      <c r="P148" s="380">
        <f>IFERROR(VLOOKUP($G148,'321買'!$A:$G,7,0),"'沒有資料'")</f>
        <v>151</v>
      </c>
      <c r="R148" s="297">
        <f>IFERROR(RANK(VLOOKUP($G148,連買!$A:$D,4,0),連買!$D:$D,0),"'沒有資料'")</f>
        <v>194</v>
      </c>
      <c r="S148" s="34">
        <v>0.7</v>
      </c>
      <c r="U148" s="95">
        <v>1.1000000000000001</v>
      </c>
      <c r="V148" s="36">
        <v>65.599999999999994</v>
      </c>
      <c r="W148" s="66">
        <v>70</v>
      </c>
      <c r="X148" s="15">
        <f t="shared" si="95"/>
        <v>-4.4000000000000057</v>
      </c>
      <c r="Y148" s="76">
        <f t="shared" si="96"/>
        <v>-6.2857142857142945E-2</v>
      </c>
      <c r="Z148" s="100" t="s">
        <v>3720</v>
      </c>
      <c r="AA148" s="126"/>
      <c r="AD148" s="22" t="s">
        <v>630</v>
      </c>
      <c r="AE148" s="84">
        <v>44468</v>
      </c>
      <c r="AF148" s="86">
        <v>44481</v>
      </c>
      <c r="AG148" s="33">
        <f t="shared" si="91"/>
        <v>13</v>
      </c>
      <c r="AH148" s="43" t="s">
        <v>2994</v>
      </c>
      <c r="AI148" s="199"/>
      <c r="AK148" s="264"/>
      <c r="AL148" s="264"/>
      <c r="AM148" s="308"/>
    </row>
    <row r="149" spans="1:39">
      <c r="A149" s="146" t="s">
        <v>1738</v>
      </c>
      <c r="B149" s="79">
        <v>158</v>
      </c>
      <c r="C149" s="79">
        <v>148</v>
      </c>
      <c r="D149" s="79">
        <v>4</v>
      </c>
      <c r="E149" s="80">
        <v>-2</v>
      </c>
      <c r="F149" s="6">
        <v>5.78</v>
      </c>
      <c r="G149" s="80">
        <v>3339</v>
      </c>
      <c r="H149" s="5" t="s">
        <v>308</v>
      </c>
      <c r="I149" s="16" t="s">
        <v>4498</v>
      </c>
      <c r="J149" s="323">
        <v>38.299999999999997</v>
      </c>
      <c r="K149" s="323">
        <v>2.57</v>
      </c>
      <c r="L149" s="323"/>
      <c r="N149" s="318">
        <f t="shared" ref="N149:N161" si="97">K149+J149+L149</f>
        <v>40.869999999999997</v>
      </c>
      <c r="O149" s="81">
        <f>IFERROR(VLOOKUP($G149,'321買'!A:E,3,0),"'沒有資料'")</f>
        <v>7</v>
      </c>
      <c r="P149" s="380">
        <f>IFERROR(VLOOKUP($G149,'321買'!$A:$G,7,0),"'沒有資料'")</f>
        <v>475</v>
      </c>
      <c r="R149" s="297">
        <f>IFERROR(RANK(VLOOKUP($G149,連買!$A:$D,4,0),連買!$D:$D,0),"'沒有資料'")</f>
        <v>903</v>
      </c>
      <c r="S149" s="34">
        <v>0</v>
      </c>
      <c r="U149" s="95">
        <v>0.85</v>
      </c>
      <c r="V149" s="36">
        <v>18</v>
      </c>
      <c r="W149" s="66">
        <v>15</v>
      </c>
      <c r="X149" s="15">
        <f t="shared" si="95"/>
        <v>3</v>
      </c>
      <c r="Y149" s="63">
        <f t="shared" si="96"/>
        <v>0.2</v>
      </c>
      <c r="Z149" s="100" t="s">
        <v>3251</v>
      </c>
      <c r="AA149" s="126"/>
      <c r="AD149" s="16" t="s">
        <v>455</v>
      </c>
      <c r="AE149" s="84">
        <v>44466</v>
      </c>
      <c r="AF149" s="86">
        <v>44476</v>
      </c>
      <c r="AG149" s="33">
        <f t="shared" si="91"/>
        <v>10</v>
      </c>
      <c r="AH149" s="43" t="s">
        <v>2616</v>
      </c>
      <c r="AI149" s="199"/>
      <c r="AK149" s="264"/>
      <c r="AL149" s="264"/>
      <c r="AM149" s="308"/>
    </row>
    <row r="150" spans="1:39">
      <c r="A150" s="146" t="s">
        <v>3214</v>
      </c>
      <c r="B150" s="79">
        <v>43</v>
      </c>
      <c r="C150" s="79">
        <v>28</v>
      </c>
      <c r="D150" s="80">
        <v>-26</v>
      </c>
      <c r="E150" s="80">
        <v>-55</v>
      </c>
      <c r="F150" s="6">
        <v>5.89</v>
      </c>
      <c r="G150" s="79">
        <v>6179</v>
      </c>
      <c r="H150" s="8" t="s">
        <v>2084</v>
      </c>
      <c r="I150" s="16" t="s">
        <v>647</v>
      </c>
      <c r="J150" s="73">
        <v>46.51</v>
      </c>
      <c r="K150" s="323">
        <v>0.97</v>
      </c>
      <c r="L150" s="73">
        <v>19.79</v>
      </c>
      <c r="N150" s="318">
        <f t="shared" si="97"/>
        <v>67.27</v>
      </c>
      <c r="O150" s="81">
        <f>IFERROR(VLOOKUP($G150,'321買'!A:E,3,0),"'沒有資料'")</f>
        <v>1</v>
      </c>
      <c r="P150" s="380">
        <f>IFERROR(VLOOKUP($G150,'321買'!$A:$G,7,0),"'沒有資料'")</f>
        <v>783</v>
      </c>
      <c r="R150" s="297">
        <f>IFERROR(RANK(VLOOKUP($G150,連買!$A:$D,4,0),連買!$D:$D,0),"'沒有資料'")</f>
        <v>810</v>
      </c>
      <c r="S150" s="34">
        <v>1.88</v>
      </c>
      <c r="U150" s="95">
        <v>2.6</v>
      </c>
      <c r="V150" s="36">
        <v>32</v>
      </c>
      <c r="W150" s="66">
        <v>28.5</v>
      </c>
      <c r="X150" s="15">
        <f t="shared" si="95"/>
        <v>3.5</v>
      </c>
      <c r="Y150" s="63">
        <f t="shared" si="96"/>
        <v>0.12280701754385964</v>
      </c>
      <c r="Z150" s="100" t="s">
        <v>3716</v>
      </c>
      <c r="AA150" s="264"/>
      <c r="AD150" s="16" t="s">
        <v>647</v>
      </c>
      <c r="AE150" s="84">
        <v>44466</v>
      </c>
      <c r="AF150" s="86">
        <v>44476</v>
      </c>
      <c r="AG150" s="33">
        <f t="shared" si="91"/>
        <v>10</v>
      </c>
      <c r="AH150" s="43" t="s">
        <v>2651</v>
      </c>
      <c r="AI150" s="199"/>
      <c r="AK150" s="264"/>
      <c r="AL150" s="264"/>
      <c r="AM150" s="308"/>
    </row>
    <row r="151" spans="1:39">
      <c r="A151" s="130" t="s">
        <v>1785</v>
      </c>
      <c r="B151" s="79">
        <v>11</v>
      </c>
      <c r="C151" s="79">
        <v>17</v>
      </c>
      <c r="D151" s="79">
        <v>10</v>
      </c>
      <c r="E151" s="79">
        <v>20</v>
      </c>
      <c r="F151" s="57">
        <v>20.74</v>
      </c>
      <c r="G151" s="80">
        <v>3533</v>
      </c>
      <c r="H151" s="8" t="s">
        <v>3620</v>
      </c>
      <c r="I151" s="22" t="s">
        <v>4909</v>
      </c>
      <c r="J151" s="323">
        <v>57.29</v>
      </c>
      <c r="K151" s="323">
        <v>40.090000000000003</v>
      </c>
      <c r="L151" s="73">
        <v>2.67</v>
      </c>
      <c r="N151" s="318">
        <f t="shared" si="97"/>
        <v>100.05</v>
      </c>
      <c r="O151" s="81">
        <f>IFERROR(VLOOKUP($G151,'321買'!A:E,3,0),"'沒有資料'")</f>
        <v>17</v>
      </c>
      <c r="P151" s="380">
        <f>IFERROR(VLOOKUP($G151,'321買'!$A:$G,7,0),"'沒有資料'")</f>
        <v>307</v>
      </c>
      <c r="R151" s="297">
        <f>IFERROR(RANK(VLOOKUP($G151,連買!$A:$D,4,0),連買!$D:$D,0),"'沒有資料'")</f>
        <v>15</v>
      </c>
      <c r="S151" s="45">
        <v>13.3</v>
      </c>
      <c r="U151" s="57">
        <v>28.63</v>
      </c>
      <c r="V151" s="36">
        <v>522</v>
      </c>
      <c r="W151" s="66">
        <v>432</v>
      </c>
      <c r="X151" s="15">
        <f t="shared" si="95"/>
        <v>90</v>
      </c>
      <c r="Y151" s="63">
        <f t="shared" si="96"/>
        <v>0.20833333333333334</v>
      </c>
      <c r="Z151" s="100" t="s">
        <v>3704</v>
      </c>
      <c r="AA151" s="264"/>
      <c r="AD151" s="22" t="s">
        <v>279</v>
      </c>
      <c r="AE151" s="84">
        <v>44463</v>
      </c>
      <c r="AF151" s="86">
        <v>44473</v>
      </c>
      <c r="AG151" s="33">
        <f t="shared" si="91"/>
        <v>10</v>
      </c>
      <c r="AH151" s="120" t="s">
        <v>2770</v>
      </c>
      <c r="AI151" s="199"/>
      <c r="AK151" s="264"/>
      <c r="AL151" s="264"/>
      <c r="AM151" s="308"/>
    </row>
    <row r="152" spans="1:39">
      <c r="A152" s="146" t="s">
        <v>3210</v>
      </c>
      <c r="B152" s="79">
        <v>979</v>
      </c>
      <c r="C152" s="79">
        <v>413</v>
      </c>
      <c r="D152" s="79">
        <v>9</v>
      </c>
      <c r="E152" s="79">
        <v>191</v>
      </c>
      <c r="F152" s="6">
        <v>9.67</v>
      </c>
      <c r="G152" s="80">
        <v>2636</v>
      </c>
      <c r="H152" s="5" t="s">
        <v>304</v>
      </c>
      <c r="I152" s="22" t="s">
        <v>2038</v>
      </c>
      <c r="J152" s="73">
        <v>37.729999999999997</v>
      </c>
      <c r="K152" s="73">
        <v>18.420000000000002</v>
      </c>
      <c r="L152" s="323">
        <v>30.36</v>
      </c>
      <c r="N152" s="318">
        <f t="shared" si="97"/>
        <v>86.509999999999991</v>
      </c>
      <c r="O152" s="81">
        <f>IFERROR(VLOOKUP($G152,'321買'!A:E,3,0),"'沒有資料'")</f>
        <v>66</v>
      </c>
      <c r="P152" s="380">
        <f>IFERROR(VLOOKUP($G152,'321買'!$A:$G,7,0),"'沒有資料'")</f>
        <v>42</v>
      </c>
      <c r="R152" s="297">
        <f>IFERROR(RANK(VLOOKUP($G152,連買!$A:$D,4,0),連買!$D:$D,0),"'沒有資料'")</f>
        <v>76</v>
      </c>
      <c r="S152" s="45">
        <v>3.02</v>
      </c>
      <c r="U152" s="95">
        <v>20.28</v>
      </c>
      <c r="V152" s="36">
        <v>126</v>
      </c>
      <c r="W152" s="45">
        <v>140</v>
      </c>
      <c r="X152" s="15">
        <f t="shared" si="95"/>
        <v>-14</v>
      </c>
      <c r="Y152" s="76">
        <f t="shared" si="96"/>
        <v>-0.1</v>
      </c>
      <c r="Z152" s="100" t="s">
        <v>2287</v>
      </c>
      <c r="AA152" s="126"/>
      <c r="AD152" s="22" t="s">
        <v>2038</v>
      </c>
      <c r="AE152" s="84">
        <v>44462</v>
      </c>
      <c r="AF152" s="86">
        <v>44473</v>
      </c>
      <c r="AG152" s="33">
        <f t="shared" si="91"/>
        <v>11</v>
      </c>
      <c r="AH152" s="43" t="s">
        <v>2152</v>
      </c>
      <c r="AI152" s="199"/>
      <c r="AK152" s="264"/>
      <c r="AL152" s="264"/>
      <c r="AM152" s="308"/>
    </row>
    <row r="153" spans="1:39">
      <c r="A153" s="146" t="s">
        <v>3670</v>
      </c>
      <c r="B153" s="79">
        <v>116</v>
      </c>
      <c r="C153" s="79">
        <v>140</v>
      </c>
      <c r="D153" s="79">
        <v>32</v>
      </c>
      <c r="E153" s="79">
        <v>53</v>
      </c>
      <c r="F153" s="6">
        <v>3.68</v>
      </c>
      <c r="G153" s="80">
        <v>1460</v>
      </c>
      <c r="H153" s="5" t="s">
        <v>3390</v>
      </c>
      <c r="I153" s="22" t="s">
        <v>744</v>
      </c>
      <c r="J153" s="323">
        <v>56.13</v>
      </c>
      <c r="K153" s="323">
        <v>3.3</v>
      </c>
      <c r="L153" s="323"/>
      <c r="N153" s="318">
        <f t="shared" si="97"/>
        <v>59.43</v>
      </c>
      <c r="O153" s="81">
        <f>IFERROR(VLOOKUP($G153,'321買'!A:E,3,0),"'沒有資料'")</f>
        <v>0</v>
      </c>
      <c r="P153" s="380">
        <f>IFERROR(VLOOKUP($G153,'321買'!$A:$G,7,0),"'沒有資料'")</f>
        <v>911</v>
      </c>
      <c r="R153" s="297">
        <f>IFERROR(RANK(VLOOKUP($G153,連買!$A:$D,4,0),連買!$D:$D,0),"'沒有資料'")</f>
        <v>1525</v>
      </c>
      <c r="S153" s="34">
        <v>0</v>
      </c>
      <c r="U153" s="57">
        <v>-1.1100000000000001</v>
      </c>
      <c r="V153" s="36">
        <v>9.69</v>
      </c>
      <c r="W153" s="66">
        <v>10</v>
      </c>
      <c r="X153" s="15">
        <f t="shared" si="95"/>
        <v>-0.3100000000000005</v>
      </c>
      <c r="Y153" s="76">
        <f t="shared" si="96"/>
        <v>-3.1000000000000048E-2</v>
      </c>
      <c r="Z153" s="100" t="s">
        <v>3702</v>
      </c>
      <c r="AA153" s="126"/>
      <c r="AD153" s="22" t="s">
        <v>744</v>
      </c>
      <c r="AE153" s="84">
        <v>44461</v>
      </c>
      <c r="AF153" s="86">
        <v>44473</v>
      </c>
      <c r="AG153" s="33">
        <f t="shared" si="91"/>
        <v>12</v>
      </c>
      <c r="AH153" s="43" t="s">
        <v>3554</v>
      </c>
      <c r="AI153" s="199"/>
      <c r="AK153" s="264"/>
      <c r="AL153" s="264"/>
      <c r="AM153" s="308"/>
    </row>
    <row r="154" spans="1:39">
      <c r="A154" s="146" t="s">
        <v>2138</v>
      </c>
      <c r="B154" s="79">
        <v>211</v>
      </c>
      <c r="C154" s="79">
        <v>134</v>
      </c>
      <c r="D154" s="79">
        <v>12</v>
      </c>
      <c r="E154" s="80">
        <v>-5</v>
      </c>
      <c r="F154" s="6">
        <v>3.13</v>
      </c>
      <c r="G154" s="80">
        <v>3709</v>
      </c>
      <c r="H154" s="195" t="s">
        <v>1152</v>
      </c>
      <c r="I154" s="16" t="s">
        <v>2393</v>
      </c>
      <c r="J154" s="323">
        <v>77.53</v>
      </c>
      <c r="K154" s="323">
        <v>1.56</v>
      </c>
      <c r="L154" s="323">
        <v>0.78</v>
      </c>
      <c r="N154" s="318">
        <f t="shared" si="97"/>
        <v>79.87</v>
      </c>
      <c r="O154" s="81">
        <f>IFERROR(VLOOKUP($G154,'321買'!A:E,3,0),"'沒有資料'")</f>
        <v>1</v>
      </c>
      <c r="P154" s="380">
        <f>IFERROR(VLOOKUP($G154,'321買'!$A:$G,7,0),"'沒有資料'")</f>
        <v>783</v>
      </c>
      <c r="R154" s="297">
        <f>IFERROR(RANK(VLOOKUP($G154,連買!$A:$D,4,0),連買!$D:$D,0),"'沒有資料'")</f>
        <v>1473</v>
      </c>
      <c r="S154" s="34">
        <v>1.4</v>
      </c>
      <c r="U154" s="57">
        <v>4.5999999999999996</v>
      </c>
      <c r="V154" s="36">
        <v>25.8</v>
      </c>
      <c r="W154" s="66">
        <v>21</v>
      </c>
      <c r="X154" s="15">
        <f t="shared" ref="X154:X159" si="98">V154-W154</f>
        <v>4.8000000000000007</v>
      </c>
      <c r="Y154" s="63">
        <f t="shared" ref="Y154:Y159" si="99">X154/W154</f>
        <v>0.22857142857142859</v>
      </c>
      <c r="Z154" s="100" t="s">
        <v>1710</v>
      </c>
      <c r="AA154" s="126"/>
      <c r="AD154" s="16" t="s">
        <v>2393</v>
      </c>
      <c r="AE154" s="84">
        <v>44453</v>
      </c>
      <c r="AF154" s="86">
        <v>44463</v>
      </c>
      <c r="AG154" s="33">
        <f t="shared" si="91"/>
        <v>10</v>
      </c>
      <c r="AH154" s="43" t="s">
        <v>2624</v>
      </c>
      <c r="AI154" s="199"/>
      <c r="AK154" s="264"/>
      <c r="AL154" s="264"/>
      <c r="AM154" s="308"/>
    </row>
    <row r="155" spans="1:39">
      <c r="A155" s="130" t="s">
        <v>2129</v>
      </c>
      <c r="B155" s="80">
        <v>-7</v>
      </c>
      <c r="C155" s="80">
        <v>-10</v>
      </c>
      <c r="D155" s="79">
        <v>4</v>
      </c>
      <c r="E155" s="79">
        <v>15</v>
      </c>
      <c r="F155" s="57">
        <v>11.67</v>
      </c>
      <c r="G155" s="80">
        <v>2753</v>
      </c>
      <c r="H155" s="5" t="s">
        <v>305</v>
      </c>
      <c r="I155" s="22" t="s">
        <v>3660</v>
      </c>
      <c r="J155" s="73">
        <v>58.9</v>
      </c>
      <c r="K155" s="323">
        <v>6.26</v>
      </c>
      <c r="N155" s="318">
        <f t="shared" si="97"/>
        <v>65.16</v>
      </c>
      <c r="O155" s="81">
        <f>IFERROR(VLOOKUP($G155,'321買'!A:E,3,0),"'沒有資料'")</f>
        <v>1</v>
      </c>
      <c r="P155" s="380">
        <f>IFERROR(VLOOKUP($G155,'321買'!$A:$G,7,0),"'沒有資料'")</f>
        <v>783</v>
      </c>
      <c r="R155" s="297">
        <f>IFERROR(RANK(VLOOKUP($G155,連買!$A:$D,4,0),連買!$D:$D,0),"'沒有資料'")</f>
        <v>1672</v>
      </c>
      <c r="S155" s="34">
        <v>2.5</v>
      </c>
      <c r="U155" s="57" t="s">
        <v>3661</v>
      </c>
      <c r="V155" s="36">
        <v>147.5</v>
      </c>
      <c r="W155" s="66">
        <v>155</v>
      </c>
      <c r="X155" s="15">
        <f t="shared" si="98"/>
        <v>-7.5</v>
      </c>
      <c r="Y155" s="76">
        <f t="shared" si="99"/>
        <v>-4.8387096774193547E-2</v>
      </c>
      <c r="Z155" s="100" t="s">
        <v>3189</v>
      </c>
      <c r="AA155" s="126"/>
      <c r="AD155" s="22" t="s">
        <v>3660</v>
      </c>
      <c r="AE155" s="84">
        <v>44448</v>
      </c>
      <c r="AF155" s="86">
        <v>44461</v>
      </c>
      <c r="AG155" s="33">
        <f t="shared" si="91"/>
        <v>13</v>
      </c>
      <c r="AH155" s="43" t="s">
        <v>3205</v>
      </c>
      <c r="AI155" s="199"/>
      <c r="AK155" s="264"/>
      <c r="AL155" s="264"/>
      <c r="AM155" s="308"/>
    </row>
    <row r="156" spans="1:39">
      <c r="A156" s="146" t="s">
        <v>3171</v>
      </c>
      <c r="B156" s="79">
        <v>530</v>
      </c>
      <c r="C156" s="79">
        <v>596</v>
      </c>
      <c r="D156" s="80">
        <v>-7</v>
      </c>
      <c r="E156" s="79">
        <v>85</v>
      </c>
      <c r="F156" s="6">
        <v>8.36</v>
      </c>
      <c r="G156" s="79">
        <v>5543</v>
      </c>
      <c r="H156" s="8" t="s">
        <v>4327</v>
      </c>
      <c r="I156" s="16" t="s">
        <v>3202</v>
      </c>
      <c r="J156" s="323">
        <v>40.729999999999997</v>
      </c>
      <c r="K156" s="73">
        <v>0.45</v>
      </c>
      <c r="N156" s="318">
        <f t="shared" si="97"/>
        <v>41.18</v>
      </c>
      <c r="O156" s="81">
        <f>IFERROR(VLOOKUP($G156,'321買'!A:E,3,0),"'沒有資料'")</f>
        <v>1</v>
      </c>
      <c r="P156" s="380">
        <f>IFERROR(VLOOKUP($G156,'321買'!$A:$G,7,0),"'沒有資料'")</f>
        <v>783</v>
      </c>
      <c r="R156" s="297">
        <f>IFERROR(RANK(VLOOKUP($G156,連買!$A:$D,4,0),連買!$D:$D,0),"'沒有資料'")</f>
        <v>1032</v>
      </c>
      <c r="S156" s="34">
        <v>1</v>
      </c>
      <c r="U156" s="95">
        <v>2.95</v>
      </c>
      <c r="V156" s="36">
        <v>62.2</v>
      </c>
      <c r="W156" s="66">
        <v>58</v>
      </c>
      <c r="X156" s="15">
        <f t="shared" si="98"/>
        <v>4.2000000000000028</v>
      </c>
      <c r="Y156" s="63">
        <f t="shared" si="99"/>
        <v>7.2413793103448323E-2</v>
      </c>
      <c r="Z156" s="100" t="s">
        <v>3673</v>
      </c>
      <c r="AA156" s="126"/>
      <c r="AD156" s="16" t="s">
        <v>3202</v>
      </c>
      <c r="AE156" s="84">
        <v>44448</v>
      </c>
      <c r="AF156" s="86">
        <v>44461</v>
      </c>
      <c r="AG156" s="33">
        <f t="shared" si="91"/>
        <v>13</v>
      </c>
      <c r="AH156" s="43" t="s">
        <v>3203</v>
      </c>
      <c r="AI156" s="199"/>
      <c r="AK156" s="264"/>
      <c r="AL156" s="264"/>
      <c r="AM156" s="308"/>
    </row>
    <row r="157" spans="1:39">
      <c r="A157" s="130" t="s">
        <v>3657</v>
      </c>
      <c r="B157" s="79">
        <v>20</v>
      </c>
      <c r="C157" s="79">
        <v>20</v>
      </c>
      <c r="D157" s="79">
        <v>7</v>
      </c>
      <c r="E157" s="79">
        <v>60</v>
      </c>
      <c r="F157" s="57">
        <v>12.91</v>
      </c>
      <c r="G157" s="79">
        <v>6213</v>
      </c>
      <c r="H157" s="204" t="s">
        <v>3620</v>
      </c>
      <c r="I157" s="22" t="s">
        <v>58</v>
      </c>
      <c r="J157" s="73">
        <v>72.2</v>
      </c>
      <c r="K157" s="73">
        <v>13.98</v>
      </c>
      <c r="L157" s="323">
        <v>5.23</v>
      </c>
      <c r="N157" s="318">
        <f t="shared" si="97"/>
        <v>91.410000000000011</v>
      </c>
      <c r="O157" s="81">
        <f>IFERROR(VLOOKUP($G157,'321買'!A:E,3,0),"'沒有資料'")</f>
        <v>15</v>
      </c>
      <c r="P157" s="380">
        <f>IFERROR(VLOOKUP($G157,'321買'!$A:$G,7,0),"'沒有資料'")</f>
        <v>336</v>
      </c>
      <c r="R157" s="297">
        <f>IFERROR(RANK(VLOOKUP($G157,連買!$A:$D,4,0),連買!$D:$D,0),"'沒有資料'")</f>
        <v>305</v>
      </c>
      <c r="S157" s="66">
        <v>5</v>
      </c>
      <c r="U157" s="57">
        <v>8.83</v>
      </c>
      <c r="V157" s="36">
        <v>160</v>
      </c>
      <c r="W157" s="66">
        <v>130</v>
      </c>
      <c r="X157" s="15">
        <f t="shared" si="98"/>
        <v>30</v>
      </c>
      <c r="Y157" s="63">
        <f t="shared" si="99"/>
        <v>0.23076923076923078</v>
      </c>
      <c r="Z157" s="100" t="s">
        <v>2059</v>
      </c>
      <c r="AA157" s="126"/>
      <c r="AD157" s="22" t="s">
        <v>58</v>
      </c>
      <c r="AE157" s="84">
        <v>44446</v>
      </c>
      <c r="AF157" s="86">
        <v>44456</v>
      </c>
      <c r="AG157" s="33">
        <f t="shared" si="91"/>
        <v>10</v>
      </c>
      <c r="AH157" s="120" t="s">
        <v>3498</v>
      </c>
      <c r="AI157" s="309"/>
      <c r="AK157" s="264"/>
      <c r="AL157" s="264"/>
      <c r="AM157" s="308"/>
    </row>
    <row r="158" spans="1:39">
      <c r="A158" s="130" t="s">
        <v>3212</v>
      </c>
      <c r="B158" s="79">
        <v>37</v>
      </c>
      <c r="C158" s="79">
        <v>39</v>
      </c>
      <c r="D158" s="79">
        <v>5</v>
      </c>
      <c r="E158" s="79">
        <v>73</v>
      </c>
      <c r="F158" s="57">
        <v>16.350000000000001</v>
      </c>
      <c r="G158" s="79">
        <v>5439</v>
      </c>
      <c r="H158" s="5" t="s">
        <v>3620</v>
      </c>
      <c r="I158" s="171" t="s">
        <v>80</v>
      </c>
      <c r="J158" s="323">
        <v>28.95</v>
      </c>
      <c r="K158" s="323">
        <v>8.1</v>
      </c>
      <c r="L158" s="323">
        <v>22.97</v>
      </c>
      <c r="N158" s="318">
        <f t="shared" si="97"/>
        <v>60.019999999999996</v>
      </c>
      <c r="O158" s="81">
        <f>IFERROR(VLOOKUP($G158,'321買'!A:E,3,0),"'沒有資料'")</f>
        <v>22</v>
      </c>
      <c r="P158" s="380">
        <f>IFERROR(VLOOKUP($G158,'321買'!$A:$G,7,0),"'沒有資料'")</f>
        <v>215</v>
      </c>
      <c r="R158" s="297">
        <f>IFERROR(RANK(VLOOKUP($G158,連買!$A:$D,4,0),連買!$D:$D,0),"'沒有資料'")</f>
        <v>1608</v>
      </c>
      <c r="S158" s="197">
        <v>2.5</v>
      </c>
      <c r="U158" s="95">
        <v>4.1100000000000003</v>
      </c>
      <c r="V158" s="36">
        <v>63.3</v>
      </c>
      <c r="W158" s="45">
        <v>55</v>
      </c>
      <c r="X158" s="15">
        <f t="shared" si="98"/>
        <v>8.2999999999999972</v>
      </c>
      <c r="Y158" s="63">
        <f t="shared" si="99"/>
        <v>0.15090909090909085</v>
      </c>
      <c r="Z158" s="100" t="s">
        <v>3672</v>
      </c>
      <c r="AA158" s="126"/>
      <c r="AD158" s="16" t="s">
        <v>80</v>
      </c>
      <c r="AE158" s="84">
        <v>44446</v>
      </c>
      <c r="AF158" s="86">
        <v>44456</v>
      </c>
      <c r="AG158" s="33">
        <f t="shared" si="91"/>
        <v>10</v>
      </c>
      <c r="AH158" s="120" t="s">
        <v>1049</v>
      </c>
      <c r="AI158" s="199"/>
      <c r="AK158" s="264"/>
      <c r="AL158" s="264"/>
      <c r="AM158" s="308"/>
    </row>
    <row r="159" spans="1:39">
      <c r="A159" s="130" t="s">
        <v>1684</v>
      </c>
      <c r="B159" s="79">
        <v>93</v>
      </c>
      <c r="C159" s="79">
        <v>90</v>
      </c>
      <c r="D159" s="80">
        <v>-28</v>
      </c>
      <c r="E159" s="80">
        <v>-33</v>
      </c>
      <c r="F159" s="57">
        <v>16.149999999999999</v>
      </c>
      <c r="G159" s="80">
        <v>1341</v>
      </c>
      <c r="H159" s="5" t="s">
        <v>295</v>
      </c>
      <c r="I159" s="22" t="s">
        <v>1856</v>
      </c>
      <c r="J159" s="323">
        <v>79.67</v>
      </c>
      <c r="K159" s="323">
        <v>83.57</v>
      </c>
      <c r="L159" s="323"/>
      <c r="N159" s="318">
        <f t="shared" si="97"/>
        <v>163.24</v>
      </c>
      <c r="O159" s="81" t="str">
        <f>IFERROR(VLOOKUP($G159,'321買'!A:E,3,0),"'沒有資料'")</f>
        <v>'沒有資料'</v>
      </c>
      <c r="P159" s="380" t="str">
        <f>IFERROR(VLOOKUP($G159,'321買'!$A:$G,7,0),"'沒有資料'")</f>
        <v>'沒有資料'</v>
      </c>
      <c r="R159" s="297">
        <f>IFERROR(RANK(VLOOKUP($G159,連買!$A:$D,4,0),連買!$D:$D,0),"'沒有資料'")</f>
        <v>1529</v>
      </c>
      <c r="S159" s="66">
        <v>6</v>
      </c>
      <c r="U159" s="57">
        <v>8.19</v>
      </c>
      <c r="V159" s="13">
        <v>63.8</v>
      </c>
      <c r="W159" s="66">
        <v>60</v>
      </c>
      <c r="X159" s="15">
        <f t="shared" si="98"/>
        <v>3.7999999999999972</v>
      </c>
      <c r="Y159" s="63">
        <f t="shared" si="99"/>
        <v>6.3333333333333283E-2</v>
      </c>
      <c r="Z159" s="100" t="s">
        <v>794</v>
      </c>
      <c r="AA159" s="126"/>
      <c r="AD159" s="22" t="s">
        <v>1856</v>
      </c>
      <c r="AE159" s="84">
        <v>44446</v>
      </c>
      <c r="AF159" s="86">
        <v>44456</v>
      </c>
      <c r="AG159" s="33">
        <f t="shared" si="91"/>
        <v>10</v>
      </c>
      <c r="AH159" s="43" t="s">
        <v>2946</v>
      </c>
      <c r="AI159" s="199"/>
      <c r="AK159" s="264"/>
      <c r="AL159" s="264"/>
      <c r="AM159" s="308"/>
    </row>
    <row r="160" spans="1:39">
      <c r="A160" s="146" t="s">
        <v>1768</v>
      </c>
      <c r="B160" s="79">
        <v>2</v>
      </c>
      <c r="C160" s="80">
        <v>-1</v>
      </c>
      <c r="D160" s="80">
        <v>-4</v>
      </c>
      <c r="E160" s="80">
        <v>-29</v>
      </c>
      <c r="F160" s="6">
        <v>6.24</v>
      </c>
      <c r="G160" s="80">
        <v>6594</v>
      </c>
      <c r="H160" s="205" t="s">
        <v>3254</v>
      </c>
      <c r="I160" s="16" t="s">
        <v>384</v>
      </c>
      <c r="J160" s="323">
        <v>49.94</v>
      </c>
      <c r="K160" s="323">
        <v>1.1399999999999999</v>
      </c>
      <c r="N160" s="318">
        <f t="shared" si="97"/>
        <v>51.08</v>
      </c>
      <c r="O160" s="81">
        <f>IFERROR(VLOOKUP($G160,'321買'!A:E,3,0),"'沒有資料'")</f>
        <v>2</v>
      </c>
      <c r="P160" s="380">
        <f>IFERROR(VLOOKUP($G160,'321買'!$A:$G,7,0),"'沒有資料'")</f>
        <v>706</v>
      </c>
      <c r="R160" s="297">
        <f>IFERROR(RANK(VLOOKUP($G160,連買!$A:$D,4,0),連買!$D:$D,0),"'沒有資料'")</f>
        <v>632</v>
      </c>
      <c r="S160" s="34">
        <v>1.6</v>
      </c>
      <c r="U160" s="95">
        <v>1.69</v>
      </c>
      <c r="V160" s="36">
        <v>35.1</v>
      </c>
      <c r="W160" s="66">
        <v>32.799999999999997</v>
      </c>
      <c r="X160" s="15">
        <f t="shared" ref="X160:X166" si="100">V160-W160</f>
        <v>2.3000000000000043</v>
      </c>
      <c r="Y160" s="63">
        <f t="shared" ref="Y160:Y172" si="101">X160/W160</f>
        <v>7.0121951219512327E-2</v>
      </c>
      <c r="Z160" s="100" t="s">
        <v>3668</v>
      </c>
      <c r="AA160" s="126"/>
      <c r="AD160" s="16" t="s">
        <v>384</v>
      </c>
      <c r="AE160" s="84">
        <v>44445</v>
      </c>
      <c r="AF160" s="86">
        <v>44455</v>
      </c>
      <c r="AG160" s="33">
        <f t="shared" si="91"/>
        <v>10</v>
      </c>
      <c r="AH160" s="43" t="s">
        <v>2551</v>
      </c>
      <c r="AI160" s="199"/>
      <c r="AK160" s="264"/>
      <c r="AL160" s="264"/>
      <c r="AM160" s="308"/>
    </row>
    <row r="161" spans="1:39">
      <c r="A161" s="130" t="s">
        <v>1686</v>
      </c>
      <c r="B161" s="79">
        <v>392</v>
      </c>
      <c r="C161" s="79">
        <v>180</v>
      </c>
      <c r="D161" s="79">
        <v>138</v>
      </c>
      <c r="E161" s="80">
        <v>-72</v>
      </c>
      <c r="F161" s="57">
        <v>28.52</v>
      </c>
      <c r="G161" s="80">
        <v>1529</v>
      </c>
      <c r="H161" s="5" t="s">
        <v>297</v>
      </c>
      <c r="I161" s="22" t="s">
        <v>565</v>
      </c>
      <c r="J161" s="323">
        <v>66.41</v>
      </c>
      <c r="K161" s="323">
        <v>4.1500000000000004</v>
      </c>
      <c r="L161" s="323">
        <v>25.94</v>
      </c>
      <c r="N161" s="318">
        <f t="shared" si="97"/>
        <v>96.5</v>
      </c>
      <c r="O161" s="81">
        <f>IFERROR(VLOOKUP($G161,'321買'!A:E,3,0),"'沒有資料'")</f>
        <v>26</v>
      </c>
      <c r="P161" s="380">
        <f>IFERROR(VLOOKUP($G161,'321買'!$A:$G,7,0),"'沒有資料'")</f>
        <v>180</v>
      </c>
      <c r="R161" s="297">
        <f>IFERROR(RANK(VLOOKUP($G161,連買!$A:$D,4,0),連買!$D:$D,0),"'沒有資料'")</f>
        <v>771</v>
      </c>
      <c r="S161" s="34">
        <v>0.5</v>
      </c>
      <c r="U161" s="57">
        <v>1.06</v>
      </c>
      <c r="V161" s="36">
        <v>16.2</v>
      </c>
      <c r="W161" s="45">
        <v>12.6</v>
      </c>
      <c r="X161" s="15">
        <f t="shared" si="100"/>
        <v>3.5999999999999996</v>
      </c>
      <c r="Y161" s="63">
        <f t="shared" si="101"/>
        <v>0.2857142857142857</v>
      </c>
      <c r="Z161" s="100" t="s">
        <v>3215</v>
      </c>
      <c r="AD161" s="22" t="s">
        <v>565</v>
      </c>
      <c r="AE161" s="84">
        <v>44445</v>
      </c>
      <c r="AF161" s="86">
        <v>44455</v>
      </c>
      <c r="AG161" s="33">
        <f t="shared" si="91"/>
        <v>10</v>
      </c>
      <c r="AH161" s="43" t="s">
        <v>2920</v>
      </c>
      <c r="AI161" s="199"/>
      <c r="AK161" s="264"/>
      <c r="AL161" s="264"/>
      <c r="AM161" s="308"/>
    </row>
    <row r="162" spans="1:39">
      <c r="A162" s="146" t="s">
        <v>3642</v>
      </c>
      <c r="B162" s="79">
        <v>149</v>
      </c>
      <c r="C162" s="79">
        <v>225</v>
      </c>
      <c r="D162" s="79">
        <v>0</v>
      </c>
      <c r="E162" s="79">
        <v>146</v>
      </c>
      <c r="F162" s="6">
        <v>7.05</v>
      </c>
      <c r="G162" s="79">
        <v>3147</v>
      </c>
      <c r="H162" s="5" t="s">
        <v>3679</v>
      </c>
      <c r="I162" s="16" t="s">
        <v>999</v>
      </c>
      <c r="J162" s="73">
        <v>30.11</v>
      </c>
      <c r="K162" s="323">
        <v>2.66</v>
      </c>
      <c r="L162" s="73">
        <v>10.19</v>
      </c>
      <c r="N162" s="318">
        <f>K162+J162+L162</f>
        <v>42.959999999999994</v>
      </c>
      <c r="O162" s="81">
        <f>IFERROR(VLOOKUP($G162,'321買'!A:E,3,0),"'沒有資料'")</f>
        <v>3</v>
      </c>
      <c r="P162" s="380">
        <f>IFERROR(VLOOKUP($G162,'321買'!$A:$G,7,0),"'沒有資料'")</f>
        <v>636</v>
      </c>
      <c r="R162" s="297">
        <f>IFERROR(RANK(VLOOKUP($G162,連買!$A:$D,4,0),連買!$D:$D,0),"'沒有資料'")</f>
        <v>508</v>
      </c>
      <c r="S162" s="34">
        <v>2.1</v>
      </c>
      <c r="U162" s="95">
        <v>5.07</v>
      </c>
      <c r="V162" s="36">
        <v>51</v>
      </c>
      <c r="W162" s="66">
        <v>47</v>
      </c>
      <c r="X162" s="15">
        <f t="shared" si="100"/>
        <v>4</v>
      </c>
      <c r="Y162" s="63">
        <f t="shared" si="101"/>
        <v>8.5106382978723402E-2</v>
      </c>
      <c r="Z162" s="100" t="s">
        <v>3667</v>
      </c>
      <c r="AA162" s="126"/>
      <c r="AD162" s="16" t="s">
        <v>999</v>
      </c>
      <c r="AE162" s="84">
        <v>44441</v>
      </c>
      <c r="AF162" s="86">
        <v>44452</v>
      </c>
      <c r="AG162" s="33">
        <f t="shared" si="91"/>
        <v>11</v>
      </c>
      <c r="AH162" s="43" t="s">
        <v>2869</v>
      </c>
      <c r="AI162" s="199"/>
      <c r="AK162" s="264"/>
      <c r="AL162" s="264"/>
      <c r="AM162" s="308"/>
    </row>
    <row r="163" spans="1:39">
      <c r="A163" s="146" t="s">
        <v>3643</v>
      </c>
      <c r="B163" s="79">
        <v>128</v>
      </c>
      <c r="C163" s="79">
        <v>120</v>
      </c>
      <c r="D163" s="80">
        <v>-15</v>
      </c>
      <c r="E163" s="79">
        <v>5</v>
      </c>
      <c r="F163" s="6">
        <v>9.5500000000000007</v>
      </c>
      <c r="G163" s="79">
        <v>3597</v>
      </c>
      <c r="H163" s="5" t="s">
        <v>3620</v>
      </c>
      <c r="I163" s="16" t="s">
        <v>1907</v>
      </c>
      <c r="J163" s="323">
        <v>62.42</v>
      </c>
      <c r="K163" s="323">
        <v>0.3</v>
      </c>
      <c r="L163" s="323">
        <v>21.64</v>
      </c>
      <c r="N163" s="318">
        <f>K163+J163+L163</f>
        <v>84.36</v>
      </c>
      <c r="O163" s="81">
        <f>IFERROR(VLOOKUP($G163,'321買'!A:E,3,0),"'沒有資料'")</f>
        <v>2</v>
      </c>
      <c r="P163" s="380">
        <f>IFERROR(VLOOKUP($G163,'321買'!$A:$G,7,0),"'沒有資料'")</f>
        <v>706</v>
      </c>
      <c r="R163" s="297">
        <f>IFERROR(RANK(VLOOKUP($G163,連買!$A:$D,4,0),連買!$D:$D,0),"'沒有資料'")</f>
        <v>802</v>
      </c>
      <c r="S163" s="34">
        <v>1.2</v>
      </c>
      <c r="U163" s="57">
        <v>1.79</v>
      </c>
      <c r="V163" s="36">
        <v>26</v>
      </c>
      <c r="W163" s="45">
        <v>22</v>
      </c>
      <c r="X163" s="15">
        <f t="shared" si="100"/>
        <v>4</v>
      </c>
      <c r="Y163" s="63">
        <f t="shared" si="101"/>
        <v>0.18181818181818182</v>
      </c>
      <c r="Z163" s="100" t="s">
        <v>946</v>
      </c>
      <c r="AA163" s="126"/>
      <c r="AD163" s="16" t="s">
        <v>1907</v>
      </c>
      <c r="AE163" s="84">
        <v>44440</v>
      </c>
      <c r="AF163" s="86">
        <v>44452</v>
      </c>
      <c r="AG163" s="33">
        <f t="shared" si="91"/>
        <v>12</v>
      </c>
      <c r="AH163" s="43" t="s">
        <v>1991</v>
      </c>
      <c r="AI163" s="199"/>
      <c r="AK163" s="264"/>
      <c r="AL163" s="264"/>
      <c r="AM163" s="308"/>
    </row>
    <row r="164" spans="1:39">
      <c r="A164" s="146" t="s">
        <v>3640</v>
      </c>
      <c r="B164" s="79">
        <v>1</v>
      </c>
      <c r="C164" s="80">
        <v>-33</v>
      </c>
      <c r="D164" s="80">
        <v>-8</v>
      </c>
      <c r="E164" s="79">
        <v>25</v>
      </c>
      <c r="F164" s="6">
        <v>1.43</v>
      </c>
      <c r="G164" s="80">
        <v>6248</v>
      </c>
      <c r="H164" s="5" t="s">
        <v>301</v>
      </c>
      <c r="I164" s="16" t="s">
        <v>4305</v>
      </c>
      <c r="J164" s="73">
        <v>44.85</v>
      </c>
      <c r="K164" s="73">
        <v>1.05</v>
      </c>
      <c r="L164" s="323">
        <v>8.3800000000000008</v>
      </c>
      <c r="N164" s="318">
        <f>K164+J164+L164</f>
        <v>54.28</v>
      </c>
      <c r="O164" s="81">
        <f>IFERROR(VLOOKUP($G164,'321買'!A:E,3,0),"'沒有資料'")</f>
        <v>4</v>
      </c>
      <c r="P164" s="380">
        <f>IFERROR(VLOOKUP($G164,'321買'!$A:$G,7,0),"'沒有資料'")</f>
        <v>592</v>
      </c>
      <c r="R164" s="297">
        <f>IFERROR(RANK(VLOOKUP($G164,連買!$A:$D,4,0),連買!$D:$D,0),"'沒有資料'")</f>
        <v>667</v>
      </c>
      <c r="S164" s="34">
        <v>1.2</v>
      </c>
      <c r="U164" s="95">
        <v>1.76</v>
      </c>
      <c r="V164" s="36">
        <v>20.7</v>
      </c>
      <c r="W164" s="66">
        <v>19</v>
      </c>
      <c r="X164" s="15">
        <f t="shared" si="100"/>
        <v>1.6999999999999993</v>
      </c>
      <c r="Y164" s="63">
        <f t="shared" si="101"/>
        <v>8.9473684210526275E-2</v>
      </c>
      <c r="Z164" s="100" t="s">
        <v>3156</v>
      </c>
      <c r="AA164" s="126"/>
      <c r="AD164" s="16" t="s">
        <v>846</v>
      </c>
      <c r="AE164" s="84">
        <v>44439</v>
      </c>
      <c r="AF164" s="86">
        <v>44449</v>
      </c>
      <c r="AG164" s="33">
        <f t="shared" si="91"/>
        <v>10</v>
      </c>
      <c r="AH164" s="43" t="s">
        <v>2845</v>
      </c>
      <c r="AI164" s="199"/>
      <c r="AK164" s="264"/>
      <c r="AL164" s="264"/>
      <c r="AM164" s="308"/>
    </row>
    <row r="165" spans="1:39">
      <c r="A165" s="146" t="s">
        <v>1766</v>
      </c>
      <c r="B165" s="80">
        <v>-680</v>
      </c>
      <c r="C165" s="94">
        <v>-1103</v>
      </c>
      <c r="D165" s="79">
        <v>91</v>
      </c>
      <c r="E165" s="79">
        <v>91</v>
      </c>
      <c r="F165" s="6">
        <v>-76.709999999999994</v>
      </c>
      <c r="G165" s="80">
        <v>6241</v>
      </c>
      <c r="H165" s="8" t="s">
        <v>313</v>
      </c>
      <c r="I165" s="16" t="s">
        <v>520</v>
      </c>
      <c r="J165" s="323">
        <v>42.31</v>
      </c>
      <c r="K165" s="323">
        <v>0.03</v>
      </c>
      <c r="N165" s="318">
        <f>K165+J165+L165</f>
        <v>42.34</v>
      </c>
      <c r="O165" s="81">
        <f>IFERROR(VLOOKUP($G165,'321買'!A:E,3,0),"'沒有資料'")</f>
        <v>0</v>
      </c>
      <c r="P165" s="380">
        <f>IFERROR(VLOOKUP($G165,'321買'!$A:$G,7,0),"'沒有資料'")</f>
        <v>911</v>
      </c>
      <c r="R165" s="297">
        <f>IFERROR(RANK(VLOOKUP($G165,連買!$A:$D,4,0),連買!$D:$D,0),"'沒有資料'")</f>
        <v>1110</v>
      </c>
      <c r="S165" s="34">
        <v>0</v>
      </c>
      <c r="U165" s="95">
        <v>-1.35</v>
      </c>
      <c r="V165" s="36">
        <v>19.05</v>
      </c>
      <c r="W165" s="66">
        <v>16</v>
      </c>
      <c r="X165" s="15">
        <f t="shared" si="100"/>
        <v>3.0500000000000007</v>
      </c>
      <c r="Y165" s="63">
        <f t="shared" si="101"/>
        <v>0.19062500000000004</v>
      </c>
      <c r="Z165" s="100" t="s">
        <v>1982</v>
      </c>
      <c r="AA165" s="264"/>
      <c r="AD165" s="16" t="s">
        <v>520</v>
      </c>
      <c r="AE165" s="84">
        <v>44439</v>
      </c>
      <c r="AF165" s="86">
        <v>44449</v>
      </c>
      <c r="AG165" s="33">
        <f t="shared" si="91"/>
        <v>10</v>
      </c>
      <c r="AH165" s="43" t="s">
        <v>2808</v>
      </c>
      <c r="AI165" s="199"/>
      <c r="AK165" s="264"/>
      <c r="AL165" s="264"/>
      <c r="AM165" s="308"/>
    </row>
    <row r="166" spans="1:39">
      <c r="A166" s="146" t="s">
        <v>3199</v>
      </c>
      <c r="B166" s="80">
        <v>-253</v>
      </c>
      <c r="C166" s="80">
        <v>-141</v>
      </c>
      <c r="D166" s="79">
        <v>8</v>
      </c>
      <c r="E166" s="80">
        <v>-15</v>
      </c>
      <c r="F166" s="6">
        <v>-3.42</v>
      </c>
      <c r="G166" s="80">
        <v>6668</v>
      </c>
      <c r="H166" s="205" t="s">
        <v>308</v>
      </c>
      <c r="I166" s="22" t="s">
        <v>1088</v>
      </c>
      <c r="J166" s="323">
        <v>55.9</v>
      </c>
      <c r="K166" s="73">
        <v>23.32</v>
      </c>
      <c r="L166" s="323">
        <v>14.11</v>
      </c>
      <c r="N166" s="318">
        <f>K166+J166+L166</f>
        <v>93.33</v>
      </c>
      <c r="O166" s="81">
        <f>IFERROR(VLOOKUP($G166,'321買'!A:E,3,0),"'沒有資料'")</f>
        <v>5</v>
      </c>
      <c r="P166" s="380">
        <f>IFERROR(VLOOKUP($G166,'321買'!$A:$G,7,0),"'沒有資料'")</f>
        <v>558</v>
      </c>
      <c r="R166" s="297">
        <f>IFERROR(RANK(VLOOKUP($G166,連買!$A:$D,4,0),連買!$D:$D,0),"'沒有資料'")</f>
        <v>110</v>
      </c>
      <c r="S166" s="34">
        <v>1.1499999999999999</v>
      </c>
      <c r="U166" s="57">
        <v>0.59</v>
      </c>
      <c r="V166" s="36">
        <v>52.6</v>
      </c>
      <c r="W166" s="66">
        <v>50</v>
      </c>
      <c r="X166" s="15">
        <f t="shared" si="100"/>
        <v>2.6000000000000014</v>
      </c>
      <c r="Y166" s="63">
        <f t="shared" si="101"/>
        <v>5.2000000000000025E-2</v>
      </c>
      <c r="Z166" s="100" t="s">
        <v>3663</v>
      </c>
      <c r="AA166" s="126"/>
      <c r="AD166" s="22" t="s">
        <v>1088</v>
      </c>
      <c r="AE166" s="84">
        <v>44438</v>
      </c>
      <c r="AF166" s="86">
        <v>44448</v>
      </c>
      <c r="AG166" s="33">
        <f t="shared" si="91"/>
        <v>10</v>
      </c>
      <c r="AH166" s="120" t="s">
        <v>2892</v>
      </c>
      <c r="AI166" s="309"/>
      <c r="AK166" s="264"/>
      <c r="AL166" s="264"/>
      <c r="AM166" s="275"/>
    </row>
    <row r="167" spans="1:39">
      <c r="A167" s="146" t="s">
        <v>2116</v>
      </c>
      <c r="B167" s="79">
        <v>181</v>
      </c>
      <c r="C167" s="79">
        <v>200</v>
      </c>
      <c r="D167" s="79">
        <v>17</v>
      </c>
      <c r="E167" s="79">
        <v>47</v>
      </c>
      <c r="F167" s="6">
        <v>4.3</v>
      </c>
      <c r="G167" s="80">
        <v>2062</v>
      </c>
      <c r="H167" s="5" t="s">
        <v>2084</v>
      </c>
      <c r="I167" s="22" t="s">
        <v>675</v>
      </c>
      <c r="J167" s="323">
        <v>59.11</v>
      </c>
      <c r="K167" s="323">
        <v>10.35</v>
      </c>
      <c r="L167" s="73">
        <v>7.13</v>
      </c>
      <c r="N167" s="318">
        <f t="shared" ref="N167:N169" si="102">K167+J167+L167</f>
        <v>76.589999999999989</v>
      </c>
      <c r="O167" s="81">
        <f>IFERROR(VLOOKUP($G167,'321買'!A:E,3,0),"'沒有資料'")</f>
        <v>2</v>
      </c>
      <c r="P167" s="380">
        <f>IFERROR(VLOOKUP($G167,'321買'!$A:$G,7,0),"'沒有資料'")</f>
        <v>706</v>
      </c>
      <c r="R167" s="297">
        <f>IFERROR(RANK(VLOOKUP($G167,連買!$A:$D,4,0),連買!$D:$D,0),"'沒有資料'")</f>
        <v>736</v>
      </c>
      <c r="S167" s="34">
        <v>0.1</v>
      </c>
      <c r="U167" s="57">
        <v>1.73</v>
      </c>
      <c r="V167" s="36">
        <v>25.95</v>
      </c>
      <c r="W167" s="66">
        <v>25.5</v>
      </c>
      <c r="X167" s="15">
        <f t="shared" ref="X167:X172" si="103">V167-W167</f>
        <v>0.44999999999999929</v>
      </c>
      <c r="Y167" s="63">
        <f t="shared" si="101"/>
        <v>1.7647058823529384E-2</v>
      </c>
      <c r="Z167" s="100" t="s">
        <v>3658</v>
      </c>
      <c r="AA167" s="264"/>
      <c r="AD167" s="22" t="s">
        <v>675</v>
      </c>
      <c r="AE167" s="84">
        <v>44435</v>
      </c>
      <c r="AF167" s="86">
        <v>44445</v>
      </c>
      <c r="AG167" s="33">
        <f t="shared" si="91"/>
        <v>10</v>
      </c>
      <c r="AH167" s="43" t="s">
        <v>2999</v>
      </c>
      <c r="AI167" s="199"/>
      <c r="AK167" s="264"/>
      <c r="AL167" s="264"/>
      <c r="AM167" s="308"/>
    </row>
    <row r="168" spans="1:39">
      <c r="A168" s="130" t="s">
        <v>3669</v>
      </c>
      <c r="B168" s="79">
        <v>248</v>
      </c>
      <c r="C168" s="79">
        <v>301</v>
      </c>
      <c r="D168" s="79">
        <v>8</v>
      </c>
      <c r="E168" s="79">
        <v>43</v>
      </c>
      <c r="F168" s="57">
        <v>12</v>
      </c>
      <c r="G168" s="79">
        <v>5538</v>
      </c>
      <c r="H168" s="8" t="s">
        <v>301</v>
      </c>
      <c r="I168" s="22" t="s">
        <v>857</v>
      </c>
      <c r="J168" s="323">
        <v>91.76</v>
      </c>
      <c r="K168" s="73">
        <v>64.13</v>
      </c>
      <c r="L168" s="323">
        <v>0.86</v>
      </c>
      <c r="N168" s="318">
        <f t="shared" si="102"/>
        <v>156.75</v>
      </c>
      <c r="O168" s="81">
        <f>IFERROR(VLOOKUP($G168,'321買'!A:E,3,0),"'沒有資料'")</f>
        <v>0</v>
      </c>
      <c r="P168" s="380">
        <f>IFERROR(VLOOKUP($G168,'321買'!$A:$G,7,0),"'沒有資料'")</f>
        <v>911</v>
      </c>
      <c r="R168" s="297">
        <f>IFERROR(RANK(VLOOKUP($G168,連買!$A:$D,4,0),連買!$D:$D,0),"'沒有資料'")</f>
        <v>444</v>
      </c>
      <c r="S168" s="34">
        <v>1.78</v>
      </c>
      <c r="U168" s="57">
        <v>5.01</v>
      </c>
      <c r="V168" s="13">
        <v>40.950000000000003</v>
      </c>
      <c r="W168" s="66">
        <v>36</v>
      </c>
      <c r="X168" s="15">
        <f t="shared" si="103"/>
        <v>4.9500000000000028</v>
      </c>
      <c r="Y168" s="63">
        <f t="shared" si="101"/>
        <v>0.13750000000000007</v>
      </c>
      <c r="Z168" s="100" t="s">
        <v>3658</v>
      </c>
      <c r="AA168" s="126"/>
      <c r="AD168" s="22" t="s">
        <v>857</v>
      </c>
      <c r="AE168" s="84">
        <v>44433</v>
      </c>
      <c r="AF168" s="86">
        <v>44445</v>
      </c>
      <c r="AG168" s="33">
        <f t="shared" si="91"/>
        <v>12</v>
      </c>
      <c r="AH168" s="43" t="s">
        <v>3482</v>
      </c>
      <c r="AI168" s="199"/>
      <c r="AK168" s="264"/>
      <c r="AL168" s="264"/>
      <c r="AM168" s="308"/>
    </row>
    <row r="169" spans="1:39">
      <c r="A169" s="146" t="s">
        <v>1599</v>
      </c>
      <c r="B169" s="79">
        <v>73</v>
      </c>
      <c r="C169" s="79"/>
      <c r="D169" s="80">
        <v>-16</v>
      </c>
      <c r="E169" s="80">
        <v>-31</v>
      </c>
      <c r="F169" s="6"/>
      <c r="G169" s="79">
        <v>2888</v>
      </c>
      <c r="H169" s="17" t="s">
        <v>306</v>
      </c>
      <c r="I169" s="22" t="s">
        <v>18</v>
      </c>
      <c r="J169" s="73">
        <v>60.07</v>
      </c>
      <c r="K169" s="73">
        <v>19.64</v>
      </c>
      <c r="L169" s="323">
        <v>3.84</v>
      </c>
      <c r="N169" s="318">
        <f t="shared" si="102"/>
        <v>83.550000000000011</v>
      </c>
      <c r="O169" s="81">
        <f>IFERROR(VLOOKUP($G169,'321買'!A:E,3,0),"'沒有資料'")</f>
        <v>3</v>
      </c>
      <c r="P169" s="380">
        <f>IFERROR(VLOOKUP($G169,'321買'!$A:$G,7,0),"'沒有資料'")</f>
        <v>636</v>
      </c>
      <c r="R169" s="297">
        <f>IFERROR(RANK(VLOOKUP($G169,連買!$A:$D,4,0),連買!$D:$D,0),"'沒有資料'")</f>
        <v>1167</v>
      </c>
      <c r="S169" s="34">
        <v>0.4</v>
      </c>
      <c r="U169" s="57">
        <v>1.56</v>
      </c>
      <c r="V169" s="36">
        <v>9.35</v>
      </c>
      <c r="W169" s="66">
        <v>8.1999999999999993</v>
      </c>
      <c r="X169" s="15">
        <f t="shared" si="103"/>
        <v>1.1500000000000004</v>
      </c>
      <c r="Y169" s="63">
        <f t="shared" si="101"/>
        <v>0.14024390243902446</v>
      </c>
      <c r="Z169" s="100" t="s">
        <v>3659</v>
      </c>
      <c r="AA169" s="264"/>
      <c r="AD169" s="22" t="s">
        <v>18</v>
      </c>
      <c r="AE169" s="84">
        <v>44433</v>
      </c>
      <c r="AF169" s="86">
        <v>44445</v>
      </c>
      <c r="AG169" s="33">
        <f t="shared" si="91"/>
        <v>12</v>
      </c>
      <c r="AH169" s="120" t="s">
        <v>2787</v>
      </c>
      <c r="AI169" s="199"/>
      <c r="AK169" s="264"/>
      <c r="AL169" s="264"/>
      <c r="AM169" s="308"/>
    </row>
    <row r="170" spans="1:39">
      <c r="A170" s="130" t="s">
        <v>2381</v>
      </c>
      <c r="B170" s="79">
        <v>1</v>
      </c>
      <c r="C170" s="79">
        <v>6</v>
      </c>
      <c r="D170" s="79">
        <v>35</v>
      </c>
      <c r="E170" s="79">
        <v>23</v>
      </c>
      <c r="F170" s="57">
        <v>16.739999999999998</v>
      </c>
      <c r="G170" s="80">
        <v>3557</v>
      </c>
      <c r="H170" s="5" t="s">
        <v>2084</v>
      </c>
      <c r="I170" s="22" t="s">
        <v>447</v>
      </c>
      <c r="J170" s="73">
        <v>52.16</v>
      </c>
      <c r="K170" s="323">
        <v>18.190000000000001</v>
      </c>
      <c r="L170" s="73">
        <v>34.97</v>
      </c>
      <c r="N170" s="318">
        <f>K170+J170+L170</f>
        <v>105.32</v>
      </c>
      <c r="O170" s="81">
        <f>IFERROR(VLOOKUP($G170,'321買'!A:E,3,0),"'沒有資料'")</f>
        <v>0</v>
      </c>
      <c r="P170" s="380">
        <f>IFERROR(VLOOKUP($G170,'321買'!$A:$G,7,0),"'沒有資料'")</f>
        <v>911</v>
      </c>
      <c r="R170" s="297">
        <f>IFERROR(RANK(VLOOKUP($G170,連買!$A:$D,4,0),連買!$D:$D,0),"'沒有資料'")</f>
        <v>192</v>
      </c>
      <c r="S170" s="66">
        <v>3.65</v>
      </c>
      <c r="U170" s="57">
        <v>10.08</v>
      </c>
      <c r="V170" s="36">
        <v>80.8</v>
      </c>
      <c r="W170" s="45">
        <v>76</v>
      </c>
      <c r="X170" s="15">
        <f t="shared" si="103"/>
        <v>4.7999999999999972</v>
      </c>
      <c r="Y170" s="63">
        <f t="shared" si="101"/>
        <v>6.3157894736842066E-2</v>
      </c>
      <c r="Z170" s="100" t="s">
        <v>1617</v>
      </c>
      <c r="AA170" s="126"/>
      <c r="AD170" s="22" t="s">
        <v>447</v>
      </c>
      <c r="AE170" s="84">
        <v>44432</v>
      </c>
      <c r="AF170" s="86">
        <v>44442</v>
      </c>
      <c r="AG170" s="33">
        <f t="shared" si="91"/>
        <v>10</v>
      </c>
      <c r="AH170" s="43" t="s">
        <v>3637</v>
      </c>
      <c r="AI170" s="199"/>
      <c r="AK170" s="264"/>
      <c r="AL170" s="264"/>
      <c r="AM170" s="308"/>
    </row>
    <row r="171" spans="1:39">
      <c r="A171" s="146" t="s">
        <v>3213</v>
      </c>
      <c r="B171" s="79">
        <v>400</v>
      </c>
      <c r="C171" s="79">
        <v>905</v>
      </c>
      <c r="D171" s="79">
        <v>1</v>
      </c>
      <c r="E171" s="79">
        <v>46</v>
      </c>
      <c r="F171" s="6">
        <v>9.85</v>
      </c>
      <c r="G171" s="79">
        <v>2486</v>
      </c>
      <c r="H171" s="8" t="s">
        <v>308</v>
      </c>
      <c r="I171" s="22" t="s">
        <v>333</v>
      </c>
      <c r="J171" s="323">
        <v>33.33</v>
      </c>
      <c r="K171" s="323">
        <v>2.9</v>
      </c>
      <c r="L171" s="323">
        <v>41.72</v>
      </c>
      <c r="N171" s="318">
        <f>K171+J171+L171</f>
        <v>77.949999999999989</v>
      </c>
      <c r="O171" s="81">
        <f>IFERROR(VLOOKUP($G171,'321買'!A:E,3,0),"'沒有資料'")</f>
        <v>50</v>
      </c>
      <c r="P171" s="380">
        <f>IFERROR(VLOOKUP($G171,'321買'!$A:$G,7,0),"'沒有資料'")</f>
        <v>66</v>
      </c>
      <c r="R171" s="297">
        <f>IFERROR(RANK(VLOOKUP($G171,連買!$A:$D,4,0),連買!$D:$D,0),"'沒有資料'")</f>
        <v>1625</v>
      </c>
      <c r="S171" s="34">
        <v>0</v>
      </c>
      <c r="U171" s="95">
        <v>0.67</v>
      </c>
      <c r="V171" s="36">
        <v>54.5</v>
      </c>
      <c r="W171" s="45">
        <v>43</v>
      </c>
      <c r="X171" s="15">
        <f t="shared" si="103"/>
        <v>11.5</v>
      </c>
      <c r="Y171" s="63">
        <f t="shared" si="101"/>
        <v>0.26744186046511625</v>
      </c>
      <c r="Z171" s="100" t="s">
        <v>3656</v>
      </c>
      <c r="AA171" s="126"/>
      <c r="AD171" s="22" t="s">
        <v>333</v>
      </c>
      <c r="AE171" s="84">
        <v>44432</v>
      </c>
      <c r="AF171" s="86">
        <v>44442</v>
      </c>
      <c r="AG171" s="33">
        <f t="shared" si="91"/>
        <v>10</v>
      </c>
      <c r="AH171" s="43" t="s">
        <v>2768</v>
      </c>
      <c r="AI171" s="199"/>
      <c r="AK171" s="264"/>
      <c r="AL171" s="264"/>
      <c r="AM171" s="308"/>
    </row>
    <row r="172" spans="1:39">
      <c r="A172" s="146" t="s">
        <v>3636</v>
      </c>
      <c r="B172" s="79">
        <v>86</v>
      </c>
      <c r="C172" s="79">
        <v>40</v>
      </c>
      <c r="D172" s="79">
        <v>17</v>
      </c>
      <c r="E172" s="79">
        <v>8</v>
      </c>
      <c r="F172" s="6">
        <v>3.85</v>
      </c>
      <c r="G172" s="79">
        <v>3230</v>
      </c>
      <c r="H172" s="8" t="s">
        <v>308</v>
      </c>
      <c r="I172" s="16" t="s">
        <v>4495</v>
      </c>
      <c r="J172" s="323">
        <v>42.01</v>
      </c>
      <c r="K172" s="323">
        <v>0.2</v>
      </c>
      <c r="L172" s="73">
        <v>13.49</v>
      </c>
      <c r="N172" s="318">
        <f>K172+J172+L172</f>
        <v>55.7</v>
      </c>
      <c r="O172" s="81">
        <f>IFERROR(VLOOKUP($G172,'321買'!A:E,3,0),"'沒有資料'")</f>
        <v>9</v>
      </c>
      <c r="P172" s="380">
        <f>IFERROR(VLOOKUP($G172,'321買'!$A:$G,7,0),"'沒有資料'")</f>
        <v>448</v>
      </c>
      <c r="R172" s="297">
        <f>IFERROR(RANK(VLOOKUP($G172,連買!$A:$D,4,0),連買!$D:$D,0),"'沒有資料'")</f>
        <v>1322</v>
      </c>
      <c r="S172" s="34">
        <v>0</v>
      </c>
      <c r="U172" s="95">
        <v>0.25</v>
      </c>
      <c r="V172" s="36">
        <v>21.25</v>
      </c>
      <c r="W172" s="66">
        <v>15</v>
      </c>
      <c r="X172" s="15">
        <f t="shared" si="103"/>
        <v>6.25</v>
      </c>
      <c r="Y172" s="63">
        <f t="shared" si="101"/>
        <v>0.41666666666666669</v>
      </c>
      <c r="Z172" s="100" t="s">
        <v>3251</v>
      </c>
      <c r="AA172" s="126"/>
      <c r="AD172" s="16" t="s">
        <v>454</v>
      </c>
      <c r="AE172" s="84">
        <v>44431</v>
      </c>
      <c r="AF172" s="86">
        <v>44441</v>
      </c>
      <c r="AG172" s="33">
        <f t="shared" si="91"/>
        <v>10</v>
      </c>
      <c r="AH172" s="43" t="s">
        <v>2615</v>
      </c>
      <c r="AI172" s="199"/>
      <c r="AK172" s="264"/>
      <c r="AL172" s="264"/>
      <c r="AM172" s="308"/>
    </row>
    <row r="173" spans="1:39">
      <c r="A173" s="146" t="s">
        <v>2123</v>
      </c>
      <c r="B173" s="79">
        <v>134</v>
      </c>
      <c r="C173" s="79">
        <v>155</v>
      </c>
      <c r="D173" s="79">
        <v>4</v>
      </c>
      <c r="E173" s="79">
        <v>41</v>
      </c>
      <c r="F173" s="6">
        <v>3.66</v>
      </c>
      <c r="G173" s="79">
        <v>3707</v>
      </c>
      <c r="H173" s="208" t="s">
        <v>3254</v>
      </c>
      <c r="I173" s="24" t="s">
        <v>4378</v>
      </c>
      <c r="J173" s="323">
        <v>49.2</v>
      </c>
      <c r="K173" s="323">
        <v>19.309999999999999</v>
      </c>
      <c r="L173" s="73">
        <v>32.979999999999997</v>
      </c>
      <c r="N173" s="318">
        <f t="shared" ref="N173:N204" si="104">K173+J173+L173</f>
        <v>101.49000000000001</v>
      </c>
      <c r="O173" s="81">
        <f>IFERROR(VLOOKUP($G173,'321買'!A:E,3,0),"'沒有資料'")</f>
        <v>96</v>
      </c>
      <c r="P173" s="380">
        <f>IFERROR(VLOOKUP($G173,'321買'!$A:$G,7,0),"'沒有資料'")</f>
        <v>10</v>
      </c>
      <c r="R173" s="297">
        <f>IFERROR(RANK(VLOOKUP($G173,連買!$A:$D,4,0),連買!$D:$D,0),"'沒有資料'")</f>
        <v>155</v>
      </c>
      <c r="S173" s="70">
        <v>0</v>
      </c>
      <c r="U173" s="95">
        <v>-0.74</v>
      </c>
      <c r="V173" s="36">
        <v>106</v>
      </c>
      <c r="W173" s="45">
        <v>63.9</v>
      </c>
      <c r="X173" s="15">
        <f t="shared" ref="X173:X204" si="105">V173-W173</f>
        <v>42.1</v>
      </c>
      <c r="Y173" s="63">
        <f t="shared" ref="Y173:Y204" si="106">X173/W173</f>
        <v>0.65884194053208145</v>
      </c>
      <c r="Z173" s="100" t="s">
        <v>3649</v>
      </c>
      <c r="AA173" s="126"/>
      <c r="AD173" s="24" t="s">
        <v>247</v>
      </c>
      <c r="AE173" s="84">
        <v>44428</v>
      </c>
      <c r="AF173" s="86">
        <v>44438</v>
      </c>
      <c r="AG173" s="33">
        <f t="shared" si="91"/>
        <v>10</v>
      </c>
      <c r="AH173" s="122" t="s">
        <v>2740</v>
      </c>
      <c r="AI173" s="314"/>
      <c r="AK173" s="264"/>
      <c r="AL173" s="264"/>
      <c r="AM173" s="24"/>
    </row>
    <row r="174" spans="1:39">
      <c r="A174" s="130" t="s">
        <v>3638</v>
      </c>
      <c r="B174" s="93">
        <v>1416</v>
      </c>
      <c r="C174" s="234">
        <v>25521</v>
      </c>
      <c r="D174" s="79">
        <v>4</v>
      </c>
      <c r="E174" s="79">
        <v>52</v>
      </c>
      <c r="F174" s="57">
        <v>28.59</v>
      </c>
      <c r="G174" s="79">
        <v>6684</v>
      </c>
      <c r="H174" s="205" t="s">
        <v>3254</v>
      </c>
      <c r="I174" s="16" t="s">
        <v>3625</v>
      </c>
      <c r="J174" s="323">
        <v>23.81</v>
      </c>
      <c r="K174" s="73">
        <v>7.02</v>
      </c>
      <c r="N174" s="318">
        <f t="shared" si="104"/>
        <v>30.83</v>
      </c>
      <c r="O174" s="81" t="str">
        <f>IFERROR(VLOOKUP($G174,'321買'!A:E,3,0),"'沒有資料'")</f>
        <v>'沒有資料'</v>
      </c>
      <c r="P174" s="380" t="str">
        <f>IFERROR(VLOOKUP($G174,'321買'!$A:$G,7,0),"'沒有資料'")</f>
        <v>'沒有資料'</v>
      </c>
      <c r="R174" s="297">
        <f>IFERROR(RANK(VLOOKUP($G174,連買!$A:$D,4,0),連買!$D:$D,0),"'沒有資料'")</f>
        <v>231</v>
      </c>
      <c r="S174" s="34">
        <v>2.0099999999999998</v>
      </c>
      <c r="U174" s="290" t="s">
        <v>3500</v>
      </c>
      <c r="V174" s="36">
        <v>144</v>
      </c>
      <c r="W174" s="66">
        <v>88</v>
      </c>
      <c r="X174" s="15">
        <f t="shared" si="105"/>
        <v>56</v>
      </c>
      <c r="Y174" s="153">
        <f t="shared" si="106"/>
        <v>0.63636363636363635</v>
      </c>
      <c r="Z174" s="100" t="s">
        <v>2240</v>
      </c>
      <c r="AA174" s="126"/>
      <c r="AD174" s="16" t="s">
        <v>3625</v>
      </c>
      <c r="AE174" s="84">
        <v>44419</v>
      </c>
      <c r="AF174" s="86">
        <v>44431</v>
      </c>
      <c r="AG174" s="33">
        <f t="shared" si="91"/>
        <v>12</v>
      </c>
      <c r="AH174" s="43" t="s">
        <v>3626</v>
      </c>
      <c r="AI174" s="199"/>
      <c r="AK174" s="264"/>
      <c r="AL174" s="264"/>
      <c r="AM174" s="308"/>
    </row>
    <row r="175" spans="1:39">
      <c r="A175" s="130" t="s">
        <v>1968</v>
      </c>
      <c r="B175" s="79">
        <v>78</v>
      </c>
      <c r="C175" s="79">
        <v>72</v>
      </c>
      <c r="D175" s="80">
        <v>-12</v>
      </c>
      <c r="E175" s="79">
        <v>84</v>
      </c>
      <c r="F175" s="57">
        <v>50.65</v>
      </c>
      <c r="G175" s="80">
        <v>4171</v>
      </c>
      <c r="H175" s="5" t="s">
        <v>1043</v>
      </c>
      <c r="I175" s="16" t="s">
        <v>1044</v>
      </c>
      <c r="J175" s="323">
        <v>28.56</v>
      </c>
      <c r="K175" s="323">
        <v>18.690000000000001</v>
      </c>
      <c r="L175" s="73">
        <v>20.010000000000002</v>
      </c>
      <c r="N175" s="318">
        <f t="shared" si="104"/>
        <v>67.260000000000005</v>
      </c>
      <c r="O175" s="81">
        <f>IFERROR(VLOOKUP($G175,'321買'!A:E,3,0),"'沒有資料'")</f>
        <v>10</v>
      </c>
      <c r="P175" s="380">
        <f>IFERROR(VLOOKUP($G175,'321買'!$A:$G,7,0),"'沒有資料'")</f>
        <v>336</v>
      </c>
      <c r="R175" s="297">
        <f>IFERROR(RANK(VLOOKUP($G175,連買!$A:$D,4,0),連買!$D:$D,0),"'沒有資料'")</f>
        <v>41</v>
      </c>
      <c r="S175" s="45">
        <v>3.83</v>
      </c>
      <c r="U175" s="95">
        <v>8.92</v>
      </c>
      <c r="V175" s="36">
        <v>112</v>
      </c>
      <c r="W175" s="45">
        <v>120</v>
      </c>
      <c r="X175" s="15">
        <f t="shared" si="105"/>
        <v>-8</v>
      </c>
      <c r="Y175" s="76">
        <f t="shared" si="106"/>
        <v>-6.6666666666666666E-2</v>
      </c>
      <c r="Z175" s="101" t="s">
        <v>3639</v>
      </c>
      <c r="AA175" s="126"/>
      <c r="AD175" s="16" t="s">
        <v>1044</v>
      </c>
      <c r="AE175" s="84">
        <v>44419</v>
      </c>
      <c r="AF175" s="86">
        <v>44431</v>
      </c>
      <c r="AG175" s="33">
        <f t="shared" si="91"/>
        <v>12</v>
      </c>
      <c r="AH175" s="43" t="s">
        <v>2888</v>
      </c>
      <c r="AI175" s="199"/>
      <c r="AK175" s="264"/>
      <c r="AL175" s="264"/>
      <c r="AM175" s="308"/>
    </row>
    <row r="176" spans="1:39">
      <c r="A176" s="130" t="s">
        <v>1715</v>
      </c>
      <c r="B176" s="93">
        <v>2372</v>
      </c>
      <c r="C176" s="93">
        <v>3235</v>
      </c>
      <c r="D176" s="79">
        <v>4</v>
      </c>
      <c r="E176" s="79">
        <v>142</v>
      </c>
      <c r="F176" s="57">
        <v>33.07</v>
      </c>
      <c r="G176" s="79">
        <v>4961</v>
      </c>
      <c r="H176" s="5" t="s">
        <v>3254</v>
      </c>
      <c r="I176" s="22" t="s">
        <v>1068</v>
      </c>
      <c r="J176" s="323">
        <v>38.619999999999997</v>
      </c>
      <c r="K176" s="323">
        <v>11.45</v>
      </c>
      <c r="L176" s="323">
        <v>29.84</v>
      </c>
      <c r="N176" s="318">
        <f t="shared" si="104"/>
        <v>79.91</v>
      </c>
      <c r="O176" s="81">
        <f>IFERROR(VLOOKUP($G176,'321買'!A:E,3,0),"'沒有資料'")</f>
        <v>54</v>
      </c>
      <c r="P176" s="380">
        <f>IFERROR(VLOOKUP($G176,'321買'!$A:$G,7,0),"'沒有資料'")</f>
        <v>58</v>
      </c>
      <c r="R176" s="297">
        <f>IFERROR(RANK(VLOOKUP($G176,連買!$A:$D,4,0),連買!$D:$D,0),"'沒有資料'")</f>
        <v>234</v>
      </c>
      <c r="S176" s="34">
        <v>2.5</v>
      </c>
      <c r="U176" s="95">
        <v>18.850000000000001</v>
      </c>
      <c r="V176" s="36">
        <v>228</v>
      </c>
      <c r="W176" s="45">
        <v>255</v>
      </c>
      <c r="X176" s="15">
        <f t="shared" si="105"/>
        <v>-27</v>
      </c>
      <c r="Y176" s="76">
        <f t="shared" si="106"/>
        <v>-0.10588235294117647</v>
      </c>
      <c r="Z176" s="100" t="s">
        <v>3633</v>
      </c>
      <c r="AA176" s="126"/>
      <c r="AD176" s="22" t="s">
        <v>1068</v>
      </c>
      <c r="AE176" s="84">
        <v>44418</v>
      </c>
      <c r="AF176" s="86">
        <v>44428</v>
      </c>
      <c r="AG176" s="33">
        <f t="shared" si="91"/>
        <v>10</v>
      </c>
      <c r="AH176" s="43" t="s">
        <v>3650</v>
      </c>
      <c r="AI176" s="199"/>
      <c r="AK176" s="264"/>
      <c r="AL176" s="264"/>
      <c r="AM176" s="308"/>
    </row>
    <row r="177" spans="1:39">
      <c r="A177" s="130" t="s">
        <v>1993</v>
      </c>
      <c r="B177" s="79">
        <v>31</v>
      </c>
      <c r="C177" s="79">
        <v>38</v>
      </c>
      <c r="D177" s="79">
        <v>2</v>
      </c>
      <c r="E177" s="79">
        <v>16</v>
      </c>
      <c r="F177" s="57">
        <v>36.28</v>
      </c>
      <c r="G177" s="79">
        <v>8109</v>
      </c>
      <c r="H177" s="5" t="s">
        <v>3620</v>
      </c>
      <c r="I177" s="16" t="s">
        <v>443</v>
      </c>
      <c r="J177" s="73">
        <v>36.71</v>
      </c>
      <c r="K177" s="323">
        <v>1.93</v>
      </c>
      <c r="L177" s="323">
        <v>0.83</v>
      </c>
      <c r="N177" s="318">
        <f t="shared" si="104"/>
        <v>39.47</v>
      </c>
      <c r="O177" s="81">
        <f>IFERROR(VLOOKUP($G177,'321買'!A:E,3,0),"'沒有資料'")</f>
        <v>0</v>
      </c>
      <c r="P177" s="380">
        <f>IFERROR(VLOOKUP($G177,'321買'!$A:$G,7,0),"'沒有資料'")</f>
        <v>911</v>
      </c>
      <c r="R177" s="297">
        <f>IFERROR(RANK(VLOOKUP($G177,連買!$A:$D,4,0),連買!$D:$D,0),"'沒有資料'")</f>
        <v>307</v>
      </c>
      <c r="S177" s="66">
        <v>3.5</v>
      </c>
      <c r="U177" s="95">
        <v>5.03</v>
      </c>
      <c r="V177" s="36">
        <v>74</v>
      </c>
      <c r="W177" s="66">
        <v>58</v>
      </c>
      <c r="X177" s="15">
        <f t="shared" si="105"/>
        <v>16</v>
      </c>
      <c r="Y177" s="63">
        <f t="shared" si="106"/>
        <v>0.27586206896551724</v>
      </c>
      <c r="Z177" s="100" t="s">
        <v>3634</v>
      </c>
      <c r="AA177" s="126"/>
      <c r="AD177" s="16" t="s">
        <v>443</v>
      </c>
      <c r="AE177" s="84">
        <v>44418</v>
      </c>
      <c r="AF177" s="86">
        <v>44428</v>
      </c>
      <c r="AG177" s="33">
        <f t="shared" si="91"/>
        <v>10</v>
      </c>
      <c r="AH177" s="43" t="s">
        <v>2612</v>
      </c>
      <c r="AI177" s="199"/>
      <c r="AK177" s="264"/>
      <c r="AL177" s="264"/>
      <c r="AM177" s="308"/>
    </row>
    <row r="178" spans="1:39">
      <c r="A178" s="130" t="s">
        <v>2156</v>
      </c>
      <c r="B178" s="79">
        <v>115</v>
      </c>
      <c r="C178" s="79">
        <v>21</v>
      </c>
      <c r="D178" s="79">
        <v>7</v>
      </c>
      <c r="E178" s="79">
        <v>56</v>
      </c>
      <c r="F178" s="57">
        <v>20.99</v>
      </c>
      <c r="G178" s="79">
        <v>2641</v>
      </c>
      <c r="H178" s="5" t="s">
        <v>304</v>
      </c>
      <c r="I178" s="16" t="s">
        <v>6550</v>
      </c>
      <c r="J178" s="323">
        <v>29</v>
      </c>
      <c r="K178" s="73">
        <v>1.07</v>
      </c>
      <c r="L178" s="73">
        <v>18.170000000000002</v>
      </c>
      <c r="N178" s="318">
        <f t="shared" si="104"/>
        <v>48.24</v>
      </c>
      <c r="O178" s="81">
        <f>IFERROR(VLOOKUP($G178,'321買'!A:E,3,0),"'沒有資料'")</f>
        <v>45</v>
      </c>
      <c r="P178" s="380">
        <f>IFERROR(VLOOKUP($G178,'321買'!$A:$G,7,0),"'沒有資料'")</f>
        <v>79</v>
      </c>
      <c r="R178" s="297">
        <f>IFERROR(RANK(VLOOKUP($G178,連買!$A:$D,4,0),連買!$D:$D,0),"'沒有資料'")</f>
        <v>638</v>
      </c>
      <c r="S178" s="34">
        <v>0</v>
      </c>
      <c r="U178" s="95">
        <v>0.63</v>
      </c>
      <c r="V178" s="36">
        <v>25.3</v>
      </c>
      <c r="W178" s="66">
        <v>28</v>
      </c>
      <c r="X178" s="15">
        <f t="shared" si="105"/>
        <v>-2.6999999999999993</v>
      </c>
      <c r="Y178" s="76">
        <f t="shared" si="106"/>
        <v>-9.6428571428571405E-2</v>
      </c>
      <c r="Z178" s="100" t="s">
        <v>1491</v>
      </c>
      <c r="AA178" s="126"/>
      <c r="AD178" s="16" t="s">
        <v>865</v>
      </c>
      <c r="AE178" s="84">
        <v>44413</v>
      </c>
      <c r="AF178" s="86">
        <v>44424</v>
      </c>
      <c r="AG178" s="33">
        <f t="shared" si="91"/>
        <v>11</v>
      </c>
      <c r="AH178" s="43" t="s">
        <v>2262</v>
      </c>
      <c r="AI178" s="199"/>
      <c r="AK178" s="264"/>
      <c r="AL178" s="264"/>
      <c r="AM178" s="308"/>
    </row>
    <row r="179" spans="1:39">
      <c r="A179" s="146" t="s">
        <v>3608</v>
      </c>
      <c r="B179" s="79">
        <v>153</v>
      </c>
      <c r="C179" s="79">
        <v>208</v>
      </c>
      <c r="D179" s="79">
        <v>50</v>
      </c>
      <c r="E179" s="80">
        <v>-3</v>
      </c>
      <c r="F179" s="6">
        <v>4.9800000000000004</v>
      </c>
      <c r="G179" s="79">
        <v>2867</v>
      </c>
      <c r="H179" s="18" t="s">
        <v>306</v>
      </c>
      <c r="I179" s="22" t="s">
        <v>116</v>
      </c>
      <c r="J179" s="323">
        <v>73.39</v>
      </c>
      <c r="K179" s="323">
        <v>7.02</v>
      </c>
      <c r="L179" s="323">
        <v>3.48</v>
      </c>
      <c r="N179" s="318">
        <f t="shared" si="104"/>
        <v>83.89</v>
      </c>
      <c r="O179" s="81">
        <f>IFERROR(VLOOKUP($G179,'321買'!A:E,3,0),"'沒有資料'")</f>
        <v>0</v>
      </c>
      <c r="P179" s="380">
        <f>IFERROR(VLOOKUP($G179,'321買'!$A:$G,7,0),"'沒有資料'")</f>
        <v>911</v>
      </c>
      <c r="R179" s="297">
        <f>IFERROR(RANK(VLOOKUP($G179,連買!$A:$D,4,0),連買!$D:$D,0),"'沒有資料'")</f>
        <v>1233</v>
      </c>
      <c r="S179" s="34">
        <v>0.15</v>
      </c>
      <c r="U179" s="57">
        <v>1.01</v>
      </c>
      <c r="V179" s="36">
        <v>9.14</v>
      </c>
      <c r="W179" s="66">
        <v>8.3000000000000007</v>
      </c>
      <c r="X179" s="15">
        <f t="shared" si="105"/>
        <v>0.83999999999999986</v>
      </c>
      <c r="Y179" s="63">
        <f t="shared" si="106"/>
        <v>0.10120481927710841</v>
      </c>
      <c r="Z179" s="100" t="s">
        <v>3624</v>
      </c>
      <c r="AA179" s="264"/>
      <c r="AD179" s="22" t="s">
        <v>116</v>
      </c>
      <c r="AE179" s="84">
        <v>44407</v>
      </c>
      <c r="AF179" s="86">
        <v>44417</v>
      </c>
      <c r="AG179" s="33">
        <f t="shared" si="91"/>
        <v>10</v>
      </c>
      <c r="AH179" s="120" t="s">
        <v>2323</v>
      </c>
      <c r="AI179" s="199"/>
      <c r="AK179" s="264"/>
      <c r="AL179" s="264"/>
      <c r="AM179" s="308"/>
    </row>
    <row r="180" spans="1:39">
      <c r="A180" s="130" t="s">
        <v>3635</v>
      </c>
      <c r="B180" s="79">
        <v>397</v>
      </c>
      <c r="C180" s="79">
        <v>422</v>
      </c>
      <c r="D180" s="79">
        <v>12</v>
      </c>
      <c r="E180" s="79">
        <v>0</v>
      </c>
      <c r="F180" s="57">
        <v>31.68</v>
      </c>
      <c r="G180" s="79">
        <v>5236</v>
      </c>
      <c r="H180" s="195" t="s">
        <v>3254</v>
      </c>
      <c r="I180" s="16" t="s">
        <v>3613</v>
      </c>
      <c r="J180" s="323">
        <v>62.15</v>
      </c>
      <c r="K180" s="73">
        <v>3.42</v>
      </c>
      <c r="L180" s="323"/>
      <c r="N180" s="318">
        <f t="shared" si="104"/>
        <v>65.569999999999993</v>
      </c>
      <c r="O180" s="81">
        <f>IFERROR(VLOOKUP($G180,'321買'!A:E,3,0),"'沒有資料'")</f>
        <v>1</v>
      </c>
      <c r="P180" s="380">
        <f>IFERROR(VLOOKUP($G180,'321買'!$A:$G,7,0),"'沒有資料'")</f>
        <v>783</v>
      </c>
      <c r="R180" s="297">
        <f>IFERROR(RANK(VLOOKUP($G180,連買!$A:$D,4,0),連買!$D:$D,0),"'沒有資料'")</f>
        <v>1661</v>
      </c>
      <c r="S180" s="34">
        <v>8</v>
      </c>
      <c r="U180" s="68" t="s">
        <v>3615</v>
      </c>
      <c r="V180" s="36">
        <v>191</v>
      </c>
      <c r="W180" s="66">
        <v>160</v>
      </c>
      <c r="X180" s="15">
        <f t="shared" si="105"/>
        <v>31</v>
      </c>
      <c r="Y180" s="63">
        <f t="shared" si="106"/>
        <v>0.19375000000000001</v>
      </c>
      <c r="Z180" s="100" t="s">
        <v>3622</v>
      </c>
      <c r="AA180" s="126"/>
      <c r="AD180" s="16" t="s">
        <v>3613</v>
      </c>
      <c r="AE180" s="84">
        <v>44406</v>
      </c>
      <c r="AF180" s="86">
        <v>44417</v>
      </c>
      <c r="AG180" s="33">
        <f t="shared" si="91"/>
        <v>11</v>
      </c>
      <c r="AH180" s="43" t="s">
        <v>3614</v>
      </c>
      <c r="AI180" s="199"/>
      <c r="AK180" s="264"/>
      <c r="AL180" s="264"/>
      <c r="AM180" s="308"/>
    </row>
    <row r="181" spans="1:39">
      <c r="A181" s="146" t="s">
        <v>3609</v>
      </c>
      <c r="B181" s="79">
        <v>185</v>
      </c>
      <c r="C181" s="79">
        <v>163</v>
      </c>
      <c r="D181" s="79">
        <v>252</v>
      </c>
      <c r="E181" s="79">
        <v>349</v>
      </c>
      <c r="F181" s="6">
        <v>4.4000000000000004</v>
      </c>
      <c r="G181" s="79">
        <v>8097</v>
      </c>
      <c r="H181" s="8" t="s">
        <v>313</v>
      </c>
      <c r="I181" s="16" t="s">
        <v>4789</v>
      </c>
      <c r="J181" s="323">
        <v>45.02</v>
      </c>
      <c r="K181" s="323">
        <v>1.1100000000000001</v>
      </c>
      <c r="L181" s="73">
        <v>28.86</v>
      </c>
      <c r="N181" s="318">
        <f t="shared" si="104"/>
        <v>74.990000000000009</v>
      </c>
      <c r="O181" s="81">
        <f>IFERROR(VLOOKUP($G181,'321買'!A:E,3,0),"'沒有資料'")</f>
        <v>23</v>
      </c>
      <c r="P181" s="380">
        <f>IFERROR(VLOOKUP($G181,'321買'!$A:$G,7,0),"'沒有資料'")</f>
        <v>241</v>
      </c>
      <c r="R181" s="297">
        <f>IFERROR(RANK(VLOOKUP($G181,連買!$A:$D,4,0),連買!$D:$D,0),"'沒有資料'")</f>
        <v>644</v>
      </c>
      <c r="S181" s="34">
        <v>0</v>
      </c>
      <c r="U181" s="95">
        <v>-0.14000000000000001</v>
      </c>
      <c r="V181" s="36">
        <v>26.45</v>
      </c>
      <c r="W181" s="45">
        <v>17</v>
      </c>
      <c r="X181" s="15">
        <f t="shared" si="105"/>
        <v>9.4499999999999993</v>
      </c>
      <c r="Y181" s="63">
        <f t="shared" si="106"/>
        <v>0.55588235294117638</v>
      </c>
      <c r="Z181" s="100" t="s">
        <v>3623</v>
      </c>
      <c r="AA181" s="126"/>
      <c r="AD181" s="16" t="s">
        <v>522</v>
      </c>
      <c r="AE181" s="84">
        <v>44406</v>
      </c>
      <c r="AF181" s="86">
        <v>44417</v>
      </c>
      <c r="AG181" s="33">
        <f t="shared" si="91"/>
        <v>11</v>
      </c>
      <c r="AH181" s="43" t="s">
        <v>2810</v>
      </c>
      <c r="AI181" s="199"/>
      <c r="AK181" s="264"/>
      <c r="AL181" s="264"/>
      <c r="AM181" s="308"/>
    </row>
    <row r="182" spans="1:39">
      <c r="A182" s="146" t="s">
        <v>3204</v>
      </c>
      <c r="B182" s="80">
        <v>-30</v>
      </c>
      <c r="C182" s="80">
        <v>-95</v>
      </c>
      <c r="D182" s="79">
        <v>52</v>
      </c>
      <c r="E182" s="79">
        <v>12</v>
      </c>
      <c r="F182" s="6">
        <v>-97.31</v>
      </c>
      <c r="G182" s="80">
        <v>8409</v>
      </c>
      <c r="H182" s="5" t="s">
        <v>5070</v>
      </c>
      <c r="I182" s="16" t="s">
        <v>628</v>
      </c>
      <c r="J182" s="323">
        <v>28.98</v>
      </c>
      <c r="K182" s="323">
        <v>0.12</v>
      </c>
      <c r="L182" s="323"/>
      <c r="N182" s="318">
        <f t="shared" si="104"/>
        <v>29.1</v>
      </c>
      <c r="O182" s="81" t="str">
        <f>IFERROR(VLOOKUP($G182,'321買'!A:E,3,0),"'沒有資料'")</f>
        <v>'沒有資料'</v>
      </c>
      <c r="P182" s="380" t="str">
        <f>IFERROR(VLOOKUP($G182,'321買'!$A:$G,7,0),"'沒有資料'")</f>
        <v>'沒有資料'</v>
      </c>
      <c r="R182" s="297">
        <f>IFERROR(RANK(VLOOKUP($G182,連買!$A:$D,4,0),連買!$D:$D,0),"'沒有資料'")</f>
        <v>1487</v>
      </c>
      <c r="S182" s="34">
        <v>0</v>
      </c>
      <c r="U182" s="95">
        <v>-1.21</v>
      </c>
      <c r="V182" s="36">
        <v>18.149999999999999</v>
      </c>
      <c r="W182" s="66">
        <v>14.5</v>
      </c>
      <c r="X182" s="15">
        <f t="shared" si="105"/>
        <v>3.6499999999999986</v>
      </c>
      <c r="Y182" s="63">
        <f t="shared" si="106"/>
        <v>0.25172413793103438</v>
      </c>
      <c r="Z182" s="100" t="s">
        <v>3621</v>
      </c>
      <c r="AA182" s="126"/>
      <c r="AD182" s="16" t="s">
        <v>628</v>
      </c>
      <c r="AE182" s="84">
        <v>44405</v>
      </c>
      <c r="AF182" s="86">
        <v>44417</v>
      </c>
      <c r="AG182" s="33">
        <f t="shared" si="91"/>
        <v>12</v>
      </c>
      <c r="AH182" s="43" t="s">
        <v>2638</v>
      </c>
      <c r="AI182" s="199"/>
      <c r="AK182" s="264"/>
      <c r="AL182" s="264"/>
      <c r="AM182" s="308"/>
    </row>
    <row r="183" spans="1:39">
      <c r="A183" s="146" t="s">
        <v>1731</v>
      </c>
      <c r="B183" s="79">
        <v>169</v>
      </c>
      <c r="C183" s="79">
        <v>165</v>
      </c>
      <c r="D183" s="79">
        <v>0</v>
      </c>
      <c r="E183" s="79">
        <v>54</v>
      </c>
      <c r="F183" s="6">
        <v>6.14</v>
      </c>
      <c r="G183" s="79">
        <v>4976</v>
      </c>
      <c r="H183" s="5" t="s">
        <v>308</v>
      </c>
      <c r="I183" s="22" t="s">
        <v>327</v>
      </c>
      <c r="J183" s="323">
        <v>30.53</v>
      </c>
      <c r="K183" s="323">
        <v>6.07</v>
      </c>
      <c r="L183" s="73">
        <v>31.94</v>
      </c>
      <c r="N183" s="318">
        <f t="shared" si="104"/>
        <v>68.540000000000006</v>
      </c>
      <c r="O183" s="81">
        <f>IFERROR(VLOOKUP($G183,'321買'!A:E,3,0),"'沒有資料'")</f>
        <v>31</v>
      </c>
      <c r="P183" s="380">
        <f>IFERROR(VLOOKUP($G183,'321買'!$A:$G,7,0),"'沒有資料'")</f>
        <v>156</v>
      </c>
      <c r="R183" s="297">
        <f>IFERROR(RANK(VLOOKUP($G183,連買!$A:$D,4,0),連買!$D:$D,0),"'沒有資料'")</f>
        <v>1593</v>
      </c>
      <c r="S183" s="34">
        <v>0</v>
      </c>
      <c r="U183" s="95">
        <v>0.1</v>
      </c>
      <c r="V183" s="36">
        <v>78.8</v>
      </c>
      <c r="W183" s="45">
        <v>61</v>
      </c>
      <c r="X183" s="15">
        <f t="shared" si="105"/>
        <v>17.799999999999997</v>
      </c>
      <c r="Y183" s="63">
        <f t="shared" si="106"/>
        <v>0.29180327868852457</v>
      </c>
      <c r="Z183" s="100" t="s">
        <v>3619</v>
      </c>
      <c r="AA183" s="126"/>
      <c r="AD183" s="22" t="s">
        <v>327</v>
      </c>
      <c r="AE183" s="84">
        <v>44399</v>
      </c>
      <c r="AF183" s="86">
        <v>44410</v>
      </c>
      <c r="AG183" s="33">
        <f t="shared" si="91"/>
        <v>11</v>
      </c>
      <c r="AH183" s="43" t="s">
        <v>2282</v>
      </c>
      <c r="AI183" s="314"/>
      <c r="AK183" s="264"/>
      <c r="AL183" s="264"/>
      <c r="AM183" s="24"/>
    </row>
    <row r="184" spans="1:39">
      <c r="A184" s="130" t="s">
        <v>2138</v>
      </c>
      <c r="B184" s="79">
        <v>557</v>
      </c>
      <c r="C184" s="79">
        <v>574</v>
      </c>
      <c r="D184" s="79">
        <v>21</v>
      </c>
      <c r="E184" s="79">
        <v>18</v>
      </c>
      <c r="F184" s="57">
        <v>15.44</v>
      </c>
      <c r="G184" s="80">
        <v>8027</v>
      </c>
      <c r="H184" s="5" t="s">
        <v>297</v>
      </c>
      <c r="I184" s="16" t="s">
        <v>553</v>
      </c>
      <c r="J184" s="323">
        <v>25.69</v>
      </c>
      <c r="K184" s="323">
        <v>6.13</v>
      </c>
      <c r="L184" s="323">
        <v>51.39</v>
      </c>
      <c r="N184" s="318">
        <f t="shared" si="104"/>
        <v>83.210000000000008</v>
      </c>
      <c r="O184" s="81">
        <f>IFERROR(VLOOKUP($G184,'321買'!A:E,3,0),"'沒有資料'")</f>
        <v>8</v>
      </c>
      <c r="P184" s="380">
        <f>IFERROR(VLOOKUP($G184,'321買'!$A:$G,7,0),"'沒有資料'")</f>
        <v>448</v>
      </c>
      <c r="R184" s="297">
        <f>IFERROR(RANK(VLOOKUP($G184,連買!$A:$D,4,0),連買!$D:$D,0),"'沒有資料'")</f>
        <v>274</v>
      </c>
      <c r="S184" s="34">
        <v>1.19</v>
      </c>
      <c r="U184" s="95">
        <v>3.24</v>
      </c>
      <c r="V184" s="36">
        <v>72.5</v>
      </c>
      <c r="W184" s="45">
        <v>66</v>
      </c>
      <c r="X184" s="15">
        <f t="shared" si="105"/>
        <v>6.5</v>
      </c>
      <c r="Y184" s="63">
        <f t="shared" si="106"/>
        <v>9.8484848484848481E-2</v>
      </c>
      <c r="Z184" s="100" t="s">
        <v>3616</v>
      </c>
      <c r="AA184" s="126"/>
      <c r="AD184" s="16" t="s">
        <v>553</v>
      </c>
      <c r="AE184" s="84">
        <v>44393</v>
      </c>
      <c r="AF184" s="86">
        <v>44404</v>
      </c>
      <c r="AG184" s="33">
        <f t="shared" si="91"/>
        <v>11</v>
      </c>
      <c r="AH184" s="43" t="s">
        <v>3077</v>
      </c>
      <c r="AI184" s="199"/>
      <c r="AK184" s="264"/>
      <c r="AL184" s="264"/>
      <c r="AM184" s="308"/>
    </row>
    <row r="185" spans="1:39">
      <c r="A185" s="146" t="s">
        <v>1730</v>
      </c>
      <c r="B185" s="80">
        <v>-99</v>
      </c>
      <c r="C185" s="93">
        <v>1351</v>
      </c>
      <c r="D185" s="80">
        <v>-5</v>
      </c>
      <c r="E185" s="79">
        <v>4</v>
      </c>
      <c r="F185" s="6">
        <v>3.95</v>
      </c>
      <c r="G185" s="79">
        <v>8033</v>
      </c>
      <c r="H185" s="5" t="s">
        <v>2084</v>
      </c>
      <c r="I185" s="22" t="s">
        <v>6534</v>
      </c>
      <c r="J185" s="73">
        <v>19.600000000000001</v>
      </c>
      <c r="K185" s="323">
        <v>0.66</v>
      </c>
      <c r="N185" s="318">
        <f t="shared" si="104"/>
        <v>20.260000000000002</v>
      </c>
      <c r="O185" s="81">
        <f>IFERROR(VLOOKUP($G185,'321買'!A:E,3,0),"'沒有資料'")</f>
        <v>3</v>
      </c>
      <c r="P185" s="380">
        <f>IFERROR(VLOOKUP($G185,'321買'!$A:$G,7,0),"'沒有資料'")</f>
        <v>636</v>
      </c>
      <c r="R185" s="297">
        <f>IFERROR(RANK(VLOOKUP($G185,連買!$A:$D,4,0),連買!$D:$D,0),"'沒有資料'")</f>
        <v>915</v>
      </c>
      <c r="S185" s="34">
        <v>0</v>
      </c>
      <c r="U185" s="95">
        <v>-0.11</v>
      </c>
      <c r="V185" s="36">
        <v>14.4</v>
      </c>
      <c r="W185" s="66">
        <v>12.2</v>
      </c>
      <c r="X185" s="15">
        <f t="shared" si="105"/>
        <v>2.2000000000000011</v>
      </c>
      <c r="Y185" s="63">
        <f t="shared" si="106"/>
        <v>0.18032786885245911</v>
      </c>
      <c r="Z185" s="100" t="s">
        <v>3607</v>
      </c>
      <c r="AA185" s="264"/>
      <c r="AD185" s="22" t="s">
        <v>687</v>
      </c>
      <c r="AE185" s="84">
        <v>44385</v>
      </c>
      <c r="AF185" s="86">
        <v>44396</v>
      </c>
      <c r="AG185" s="33">
        <f t="shared" si="91"/>
        <v>11</v>
      </c>
      <c r="AH185" s="43" t="s">
        <v>2365</v>
      </c>
      <c r="AI185" s="280"/>
      <c r="AK185" s="264"/>
      <c r="AL185" s="264"/>
    </row>
    <row r="186" spans="1:39">
      <c r="A186" s="130" t="s">
        <v>3593</v>
      </c>
      <c r="B186" s="79">
        <v>290</v>
      </c>
      <c r="C186" s="79">
        <v>299</v>
      </c>
      <c r="D186" s="80">
        <v>-20</v>
      </c>
      <c r="E186" s="80">
        <v>-13</v>
      </c>
      <c r="F186" s="57">
        <v>70.2</v>
      </c>
      <c r="G186" s="79">
        <v>6026</v>
      </c>
      <c r="H186" s="17" t="s">
        <v>306</v>
      </c>
      <c r="I186" s="16" t="s">
        <v>6535</v>
      </c>
      <c r="J186" s="323">
        <v>48.08</v>
      </c>
      <c r="K186" s="73">
        <v>5.66</v>
      </c>
      <c r="L186" s="73">
        <v>23.18</v>
      </c>
      <c r="N186" s="318">
        <f t="shared" si="104"/>
        <v>76.919999999999987</v>
      </c>
      <c r="O186" s="81">
        <f>IFERROR(VLOOKUP($G186,'321買'!A:E,3,0),"'沒有資料'")</f>
        <v>14</v>
      </c>
      <c r="P186" s="380">
        <f>IFERROR(VLOOKUP($G186,'321買'!$A:$G,7,0),"'沒有資料'")</f>
        <v>348</v>
      </c>
      <c r="R186" s="297">
        <f>IFERROR(RANK(VLOOKUP($G186,連買!$A:$D,4,0),連買!$D:$D,0),"'沒有資料'")</f>
        <v>1050</v>
      </c>
      <c r="S186" s="34">
        <v>0.8</v>
      </c>
      <c r="U186" s="95">
        <v>2.96</v>
      </c>
      <c r="V186" s="36">
        <v>17.8</v>
      </c>
      <c r="W186" s="45">
        <v>13.5</v>
      </c>
      <c r="X186" s="15">
        <f t="shared" si="105"/>
        <v>4.3000000000000007</v>
      </c>
      <c r="Y186" s="63">
        <f t="shared" si="106"/>
        <v>0.31851851851851859</v>
      </c>
      <c r="Z186" s="100" t="s">
        <v>3585</v>
      </c>
      <c r="AA186" s="126"/>
      <c r="AD186" s="16" t="s">
        <v>344</v>
      </c>
      <c r="AE186" s="84">
        <v>44371</v>
      </c>
      <c r="AF186" s="86">
        <v>44382</v>
      </c>
      <c r="AG186" s="33">
        <f t="shared" si="91"/>
        <v>11</v>
      </c>
      <c r="AH186" s="43" t="s">
        <v>2368</v>
      </c>
      <c r="AI186" s="280"/>
      <c r="AK186" s="264"/>
      <c r="AL186" s="264"/>
    </row>
    <row r="187" spans="1:39">
      <c r="A187" s="146" t="s">
        <v>1604</v>
      </c>
      <c r="B187" s="79">
        <v>63</v>
      </c>
      <c r="C187" s="79">
        <v>84</v>
      </c>
      <c r="D187" s="80">
        <v>-5</v>
      </c>
      <c r="E187" s="79">
        <v>18</v>
      </c>
      <c r="F187" s="6">
        <v>-1.84</v>
      </c>
      <c r="G187" s="79">
        <v>8932</v>
      </c>
      <c r="H187" s="8" t="s">
        <v>2084</v>
      </c>
      <c r="I187" s="16" t="s">
        <v>6536</v>
      </c>
      <c r="J187" s="73">
        <v>51.26</v>
      </c>
      <c r="K187" s="73">
        <v>17.71</v>
      </c>
      <c r="N187" s="318">
        <f t="shared" si="104"/>
        <v>68.97</v>
      </c>
      <c r="O187" s="81">
        <f>IFERROR(VLOOKUP($G187,'321買'!A:E,3,0),"'沒有資料'")</f>
        <v>5</v>
      </c>
      <c r="P187" s="380">
        <f>IFERROR(VLOOKUP($G187,'321買'!$A:$G,7,0),"'沒有資料'")</f>
        <v>558</v>
      </c>
      <c r="R187" s="297">
        <f>IFERROR(RANK(VLOOKUP($G187,連買!$A:$D,4,0),連買!$D:$D,0),"'沒有資料'")</f>
        <v>1047</v>
      </c>
      <c r="S187" s="34">
        <v>0</v>
      </c>
      <c r="U187" s="57">
        <v>-0.67</v>
      </c>
      <c r="V187" s="36">
        <v>19.05</v>
      </c>
      <c r="W187" s="66">
        <v>18</v>
      </c>
      <c r="X187" s="15">
        <f t="shared" si="105"/>
        <v>1.0500000000000007</v>
      </c>
      <c r="Y187" s="63">
        <f t="shared" si="106"/>
        <v>5.8333333333333376E-2</v>
      </c>
      <c r="Z187" s="100" t="s">
        <v>3573</v>
      </c>
      <c r="AA187" s="126"/>
      <c r="AD187" s="16" t="s">
        <v>667</v>
      </c>
      <c r="AE187" s="84">
        <v>44356</v>
      </c>
      <c r="AF187" s="86">
        <v>44368</v>
      </c>
      <c r="AG187" s="33">
        <f t="shared" si="91"/>
        <v>12</v>
      </c>
      <c r="AH187" s="43" t="s">
        <v>2669</v>
      </c>
      <c r="AI187" s="280"/>
      <c r="AK187" s="264"/>
      <c r="AL187" s="264"/>
    </row>
    <row r="188" spans="1:39">
      <c r="A188" s="146" t="s">
        <v>3570</v>
      </c>
      <c r="B188" s="79">
        <v>275</v>
      </c>
      <c r="C188" s="79">
        <v>79</v>
      </c>
      <c r="D188" s="80">
        <v>-4</v>
      </c>
      <c r="E188" s="79">
        <v>26</v>
      </c>
      <c r="F188" s="6">
        <v>6.43</v>
      </c>
      <c r="G188" s="79">
        <v>2250</v>
      </c>
      <c r="H188" s="8" t="s">
        <v>303</v>
      </c>
      <c r="I188" s="22" t="s">
        <v>3574</v>
      </c>
      <c r="J188" s="73">
        <v>60.04</v>
      </c>
      <c r="K188" s="323">
        <v>5.78</v>
      </c>
      <c r="N188" s="318">
        <f t="shared" si="104"/>
        <v>65.819999999999993</v>
      </c>
      <c r="O188" s="81">
        <f>IFERROR(VLOOKUP($G188,'321買'!A:E,3,0),"'沒有資料'")</f>
        <v>2</v>
      </c>
      <c r="P188" s="380">
        <f>IFERROR(VLOOKUP($G188,'321買'!$A:$G,7,0),"'沒有資料'")</f>
        <v>706</v>
      </c>
      <c r="R188" s="297">
        <f>IFERROR(RANK(VLOOKUP($G188,連買!$A:$D,4,0),連買!$D:$D,0),"'沒有資料'")</f>
        <v>451</v>
      </c>
      <c r="S188" s="34">
        <v>3.68</v>
      </c>
      <c r="U188" s="95"/>
      <c r="V188" s="36">
        <v>190</v>
      </c>
      <c r="W188" s="66">
        <v>76</v>
      </c>
      <c r="X188" s="15">
        <f t="shared" si="105"/>
        <v>114</v>
      </c>
      <c r="Y188" s="153">
        <f t="shared" si="106"/>
        <v>1.5</v>
      </c>
      <c r="Z188" s="100" t="s">
        <v>3569</v>
      </c>
      <c r="AA188" s="264"/>
      <c r="AD188" s="22" t="s">
        <v>3574</v>
      </c>
      <c r="AE188" s="84">
        <v>44347</v>
      </c>
      <c r="AF188" s="86">
        <v>44357</v>
      </c>
      <c r="AG188" s="33">
        <f t="shared" si="91"/>
        <v>10</v>
      </c>
      <c r="AH188" s="43" t="s">
        <v>3571</v>
      </c>
      <c r="AI188" s="280"/>
      <c r="AK188" s="264"/>
      <c r="AL188" s="264"/>
    </row>
    <row r="189" spans="1:39">
      <c r="A189" s="130" t="s">
        <v>1763</v>
      </c>
      <c r="B189" s="79">
        <v>29</v>
      </c>
      <c r="C189" s="79">
        <v>56</v>
      </c>
      <c r="D189" s="80">
        <v>-10</v>
      </c>
      <c r="E189" s="79">
        <v>16</v>
      </c>
      <c r="F189" s="57">
        <v>27.97</v>
      </c>
      <c r="G189" s="79">
        <v>6741</v>
      </c>
      <c r="H189" s="149" t="s">
        <v>332</v>
      </c>
      <c r="I189" s="16" t="s">
        <v>3552</v>
      </c>
      <c r="J189" s="323">
        <v>75.8</v>
      </c>
      <c r="K189" s="323">
        <v>62.32</v>
      </c>
      <c r="N189" s="318">
        <f t="shared" si="104"/>
        <v>138.12</v>
      </c>
      <c r="O189" s="81">
        <f>IFERROR(VLOOKUP($G189,'321買'!A:E,3,0),"'沒有資料'")</f>
        <v>14</v>
      </c>
      <c r="P189" s="380">
        <f>IFERROR(VLOOKUP($G189,'321買'!$A:$G,7,0),"'沒有資料'")</f>
        <v>348</v>
      </c>
      <c r="R189" s="297">
        <f>IFERROR(RANK(VLOOKUP($G189,連買!$A:$D,4,0),連買!$D:$D,0),"'沒有資料'")</f>
        <v>1738</v>
      </c>
      <c r="S189" s="70"/>
      <c r="U189" s="95"/>
      <c r="V189" s="36">
        <v>167.5</v>
      </c>
      <c r="W189" s="66">
        <v>66</v>
      </c>
      <c r="X189" s="15">
        <f t="shared" si="105"/>
        <v>101.5</v>
      </c>
      <c r="Y189" s="153">
        <f t="shared" si="106"/>
        <v>1.5378787878787878</v>
      </c>
      <c r="Z189" s="100" t="s">
        <v>3227</v>
      </c>
      <c r="AA189" s="126"/>
      <c r="AD189" s="16" t="s">
        <v>3552</v>
      </c>
      <c r="AE189" s="84">
        <v>44341</v>
      </c>
      <c r="AF189" s="86">
        <v>44351</v>
      </c>
      <c r="AG189" s="33">
        <f t="shared" si="91"/>
        <v>10</v>
      </c>
      <c r="AH189" s="43" t="s">
        <v>3559</v>
      </c>
      <c r="AI189" s="280"/>
      <c r="AK189" s="264"/>
      <c r="AL189" s="264"/>
    </row>
    <row r="190" spans="1:39">
      <c r="A190" s="146" t="s">
        <v>1717</v>
      </c>
      <c r="B190" s="80">
        <v>-194</v>
      </c>
      <c r="C190" s="80">
        <v>-48</v>
      </c>
      <c r="D190" s="80">
        <v>-1</v>
      </c>
      <c r="E190" s="80">
        <v>-3</v>
      </c>
      <c r="F190" s="6">
        <v>1.82</v>
      </c>
      <c r="G190" s="80">
        <v>2358</v>
      </c>
      <c r="H190" s="8" t="s">
        <v>2084</v>
      </c>
      <c r="I190" s="22" t="s">
        <v>677</v>
      </c>
      <c r="J190" s="73">
        <v>35.56</v>
      </c>
      <c r="K190" s="323">
        <v>0.79</v>
      </c>
      <c r="L190" s="73">
        <v>24.74</v>
      </c>
      <c r="N190" s="318">
        <f t="shared" si="104"/>
        <v>61.09</v>
      </c>
      <c r="O190" s="81">
        <f>IFERROR(VLOOKUP($G190,'321買'!A:E,3,0),"'沒有資料'")</f>
        <v>37</v>
      </c>
      <c r="P190" s="380">
        <f>IFERROR(VLOOKUP($G190,'321買'!$A:$G,7,0),"'沒有資料'")</f>
        <v>113</v>
      </c>
      <c r="R190" s="297">
        <f>IFERROR(RANK(VLOOKUP($G190,連買!$A:$D,4,0),連買!$D:$D,0),"'沒有資料'")</f>
        <v>888</v>
      </c>
      <c r="S190" s="34">
        <v>0.1</v>
      </c>
      <c r="U190" s="95">
        <v>0.04</v>
      </c>
      <c r="V190" s="36">
        <v>14.2</v>
      </c>
      <c r="W190" s="45">
        <v>13.5</v>
      </c>
      <c r="X190" s="15">
        <f t="shared" si="105"/>
        <v>0.69999999999999929</v>
      </c>
      <c r="Y190" s="63">
        <f t="shared" si="106"/>
        <v>5.1851851851851802E-2</v>
      </c>
      <c r="Z190" s="100" t="s">
        <v>1950</v>
      </c>
      <c r="AA190" s="126"/>
      <c r="AD190" s="22" t="s">
        <v>677</v>
      </c>
      <c r="AE190" s="84">
        <v>44341</v>
      </c>
      <c r="AF190" s="86">
        <v>44351</v>
      </c>
      <c r="AG190" s="33">
        <f t="shared" si="91"/>
        <v>10</v>
      </c>
      <c r="AH190" s="43" t="s">
        <v>3000</v>
      </c>
      <c r="AI190" s="280"/>
      <c r="AK190" s="264"/>
      <c r="AL190" s="264"/>
    </row>
    <row r="191" spans="1:39">
      <c r="A191" s="146" t="s">
        <v>2015</v>
      </c>
      <c r="B191" s="80">
        <v>-22</v>
      </c>
      <c r="C191" s="79">
        <v>41</v>
      </c>
      <c r="D191" s="79">
        <v>379</v>
      </c>
      <c r="E191" s="79">
        <v>155</v>
      </c>
      <c r="F191" s="6">
        <v>-15.62</v>
      </c>
      <c r="G191" s="79">
        <v>8171</v>
      </c>
      <c r="H191" s="8" t="s">
        <v>313</v>
      </c>
      <c r="I191" s="16" t="s">
        <v>523</v>
      </c>
      <c r="J191" s="73">
        <v>27.51</v>
      </c>
      <c r="K191" s="73">
        <v>1.63</v>
      </c>
      <c r="L191" s="73">
        <v>72.73</v>
      </c>
      <c r="N191" s="318">
        <f t="shared" si="104"/>
        <v>101.87</v>
      </c>
      <c r="O191" s="81">
        <f>IFERROR(VLOOKUP($G191,'321買'!A:E,3,0),"'沒有資料'")</f>
        <v>5</v>
      </c>
      <c r="P191" s="380">
        <f>IFERROR(VLOOKUP($G191,'321買'!$A:$G,7,0),"'沒有資料'")</f>
        <v>558</v>
      </c>
      <c r="R191" s="297">
        <f>IFERROR(RANK(VLOOKUP($G191,連買!$A:$D,4,0),連買!$D:$D,0),"'沒有資料'")</f>
        <v>701</v>
      </c>
      <c r="S191" s="34">
        <v>0</v>
      </c>
      <c r="U191" s="95">
        <v>-1.42</v>
      </c>
      <c r="V191" s="36">
        <v>53.6</v>
      </c>
      <c r="W191" s="45">
        <v>45</v>
      </c>
      <c r="X191" s="15">
        <f t="shared" si="105"/>
        <v>8.6000000000000014</v>
      </c>
      <c r="Y191" s="63">
        <f t="shared" si="106"/>
        <v>0.19111111111111115</v>
      </c>
      <c r="Z191" s="100" t="s">
        <v>2469</v>
      </c>
      <c r="AA191" s="126"/>
      <c r="AD191" s="16" t="s">
        <v>523</v>
      </c>
      <c r="AE191" s="84">
        <v>44336</v>
      </c>
      <c r="AF191" s="86">
        <v>44347</v>
      </c>
      <c r="AG191" s="33">
        <f t="shared" si="91"/>
        <v>11</v>
      </c>
      <c r="AH191" s="43" t="s">
        <v>2737</v>
      </c>
      <c r="AI191" s="280"/>
      <c r="AK191" s="264"/>
      <c r="AL191" s="264"/>
    </row>
    <row r="192" spans="1:39">
      <c r="A192" s="146" t="s">
        <v>1673</v>
      </c>
      <c r="B192" s="79">
        <v>53</v>
      </c>
      <c r="C192" s="79">
        <v>24</v>
      </c>
      <c r="D192" s="79">
        <v>24</v>
      </c>
      <c r="E192" s="80">
        <v>-41</v>
      </c>
      <c r="F192" s="6">
        <v>-34.18</v>
      </c>
      <c r="G192" s="79">
        <v>3631</v>
      </c>
      <c r="H192" s="8" t="s">
        <v>3620</v>
      </c>
      <c r="I192" s="16" t="s">
        <v>410</v>
      </c>
      <c r="J192" s="73">
        <v>80.17</v>
      </c>
      <c r="K192" s="323">
        <v>14.88</v>
      </c>
      <c r="L192" s="73">
        <v>35.33</v>
      </c>
      <c r="N192" s="318">
        <f t="shared" si="104"/>
        <v>130.38</v>
      </c>
      <c r="O192" s="81" t="str">
        <f>IFERROR(VLOOKUP($G192,'321買'!A:E,3,0),"'沒有資料'")</f>
        <v>'沒有資料'</v>
      </c>
      <c r="P192" s="380" t="str">
        <f>IFERROR(VLOOKUP($G192,'321買'!$A:$G,7,0),"'沒有資料'")</f>
        <v>'沒有資料'</v>
      </c>
      <c r="R192" s="297">
        <f>IFERROR(RANK(VLOOKUP($G192,連買!$A:$D,4,0),連買!$D:$D,0),"'沒有資料'")</f>
        <v>853</v>
      </c>
      <c r="S192" s="34">
        <v>0</v>
      </c>
      <c r="U192" s="57">
        <v>-0.04</v>
      </c>
      <c r="V192" s="36">
        <v>49.55</v>
      </c>
      <c r="W192" s="45">
        <v>50</v>
      </c>
      <c r="X192" s="15">
        <f t="shared" si="105"/>
        <v>-0.45000000000000284</v>
      </c>
      <c r="Y192" s="76">
        <f t="shared" si="106"/>
        <v>-9.0000000000000566E-3</v>
      </c>
      <c r="Z192" s="101" t="s">
        <v>3544</v>
      </c>
      <c r="AA192" s="126"/>
      <c r="AD192" s="16" t="s">
        <v>410</v>
      </c>
      <c r="AE192" s="84">
        <v>44335</v>
      </c>
      <c r="AF192" s="86">
        <v>44347</v>
      </c>
      <c r="AG192" s="33">
        <f t="shared" si="91"/>
        <v>12</v>
      </c>
      <c r="AH192" s="43" t="s">
        <v>2591</v>
      </c>
      <c r="AI192" s="280"/>
      <c r="AK192" s="264"/>
      <c r="AL192" s="264"/>
    </row>
    <row r="193" spans="1:40">
      <c r="A193" s="146" t="s">
        <v>3502</v>
      </c>
      <c r="B193" s="79">
        <v>115</v>
      </c>
      <c r="C193" s="79">
        <v>90</v>
      </c>
      <c r="D193" s="80">
        <v>-19</v>
      </c>
      <c r="E193" s="79">
        <v>79</v>
      </c>
      <c r="F193" s="6">
        <v>1.79</v>
      </c>
      <c r="G193" s="79">
        <v>8112</v>
      </c>
      <c r="H193" s="8" t="s">
        <v>331</v>
      </c>
      <c r="I193" s="22" t="s">
        <v>120</v>
      </c>
      <c r="J193" s="73">
        <v>32.79</v>
      </c>
      <c r="K193" s="323">
        <v>22.37</v>
      </c>
      <c r="L193" s="73">
        <v>7.65</v>
      </c>
      <c r="N193" s="318">
        <f t="shared" si="104"/>
        <v>62.809999999999995</v>
      </c>
      <c r="O193" s="81">
        <f>IFERROR(VLOOKUP($G193,'321買'!A:E,3,0),"'沒有資料'")</f>
        <v>19</v>
      </c>
      <c r="P193" s="380">
        <f>IFERROR(VLOOKUP($G193,'321買'!$A:$G,7,0),"'沒有資料'")</f>
        <v>265</v>
      </c>
      <c r="R193" s="297">
        <f>IFERROR(RANK(VLOOKUP($G193,連買!$A:$D,4,0),連買!$D:$D,0),"'沒有資料'")</f>
        <v>393</v>
      </c>
      <c r="S193" s="66">
        <v>3</v>
      </c>
      <c r="U193" s="95">
        <v>5.07</v>
      </c>
      <c r="V193" s="36">
        <v>39.75</v>
      </c>
      <c r="W193" s="66">
        <v>32</v>
      </c>
      <c r="X193" s="15">
        <f t="shared" si="105"/>
        <v>7.75</v>
      </c>
      <c r="Y193" s="63">
        <f t="shared" si="106"/>
        <v>0.2421875</v>
      </c>
      <c r="Z193" s="100" t="s">
        <v>3536</v>
      </c>
      <c r="AA193" s="126"/>
      <c r="AD193" s="22" t="s">
        <v>120</v>
      </c>
      <c r="AE193" s="84">
        <v>44334</v>
      </c>
      <c r="AF193" s="86">
        <v>44344</v>
      </c>
      <c r="AG193" s="33">
        <f t="shared" si="91"/>
        <v>10</v>
      </c>
      <c r="AH193" s="120" t="s">
        <v>2090</v>
      </c>
      <c r="AI193" s="280"/>
      <c r="AK193" s="264"/>
      <c r="AL193" s="264"/>
    </row>
    <row r="194" spans="1:40">
      <c r="A194" s="146" t="s">
        <v>3557</v>
      </c>
      <c r="B194" s="79">
        <v>33</v>
      </c>
      <c r="C194" s="79">
        <v>33</v>
      </c>
      <c r="D194" s="79">
        <v>39</v>
      </c>
      <c r="E194" s="79">
        <v>29</v>
      </c>
      <c r="F194" s="6">
        <v>-92.62</v>
      </c>
      <c r="G194" s="79">
        <v>6589</v>
      </c>
      <c r="H194" s="8" t="s">
        <v>5070</v>
      </c>
      <c r="I194" s="16" t="s">
        <v>1886</v>
      </c>
      <c r="J194" s="323">
        <v>41.3</v>
      </c>
      <c r="K194" s="323">
        <v>3.26</v>
      </c>
      <c r="L194" s="323"/>
      <c r="N194" s="318">
        <f t="shared" si="104"/>
        <v>44.559999999999995</v>
      </c>
      <c r="O194" s="81" t="str">
        <f>IFERROR(VLOOKUP($G194,'321買'!A:E,3,0),"'沒有資料'")</f>
        <v>'沒有資料'</v>
      </c>
      <c r="P194" s="380" t="str">
        <f>IFERROR(VLOOKUP($G194,'321買'!$A:$G,7,0),"'沒有資料'")</f>
        <v>'沒有資料'</v>
      </c>
      <c r="R194" s="297">
        <f>IFERROR(RANK(VLOOKUP($G194,連買!$A:$D,4,0),連買!$D:$D,0),"'沒有資料'")</f>
        <v>151</v>
      </c>
      <c r="S194" s="34">
        <v>0</v>
      </c>
      <c r="U194" s="95">
        <v>-4.66</v>
      </c>
      <c r="V194" s="36">
        <v>170</v>
      </c>
      <c r="W194" s="66">
        <v>91.5</v>
      </c>
      <c r="X194" s="15">
        <f t="shared" si="105"/>
        <v>78.5</v>
      </c>
      <c r="Y194" s="63">
        <f t="shared" si="106"/>
        <v>0.85792349726775952</v>
      </c>
      <c r="Z194" s="100" t="s">
        <v>3523</v>
      </c>
      <c r="AA194" s="126"/>
      <c r="AD194" s="16" t="s">
        <v>1886</v>
      </c>
      <c r="AE194" s="84">
        <v>44330</v>
      </c>
      <c r="AF194" s="86">
        <v>44340</v>
      </c>
      <c r="AG194" s="33">
        <f t="shared" ref="AG194:AG257" si="107">AF194-AE194</f>
        <v>10</v>
      </c>
      <c r="AH194" s="43" t="s">
        <v>2637</v>
      </c>
      <c r="AI194" s="280"/>
      <c r="AK194" s="264"/>
      <c r="AL194" s="264"/>
    </row>
    <row r="195" spans="1:40">
      <c r="A195" s="146" t="s">
        <v>3177</v>
      </c>
      <c r="B195" s="79">
        <v>396</v>
      </c>
      <c r="C195" s="79">
        <v>202</v>
      </c>
      <c r="D195" s="80">
        <v>-41</v>
      </c>
      <c r="E195" s="79">
        <v>546</v>
      </c>
      <c r="F195" s="6">
        <v>6.75</v>
      </c>
      <c r="G195" s="79">
        <v>1475</v>
      </c>
      <c r="H195" s="5" t="s">
        <v>3390</v>
      </c>
      <c r="I195" s="22" t="s">
        <v>3223</v>
      </c>
      <c r="J195" s="73">
        <v>65.8</v>
      </c>
      <c r="K195" s="73">
        <v>0.25</v>
      </c>
      <c r="N195" s="318">
        <f t="shared" si="104"/>
        <v>66.05</v>
      </c>
      <c r="O195" s="81">
        <f>IFERROR(VLOOKUP($G195,'321買'!A:E,3,0),"'沒有資料'")</f>
        <v>0</v>
      </c>
      <c r="P195" s="380">
        <f>IFERROR(VLOOKUP($G195,'321買'!$A:$G,7,0),"'沒有資料'")</f>
        <v>911</v>
      </c>
      <c r="R195" s="297">
        <f>IFERROR(RANK(VLOOKUP($G195,連買!$A:$D,4,0),連買!$D:$D,0),"'沒有資料'")</f>
        <v>974</v>
      </c>
      <c r="S195" s="34">
        <v>0</v>
      </c>
      <c r="U195" s="57">
        <v>0.86</v>
      </c>
      <c r="V195" s="36">
        <v>34</v>
      </c>
      <c r="W195" s="66">
        <v>26.8</v>
      </c>
      <c r="X195" s="15">
        <f t="shared" si="105"/>
        <v>7.1999999999999993</v>
      </c>
      <c r="Y195" s="153">
        <f t="shared" si="106"/>
        <v>0.26865671641791039</v>
      </c>
      <c r="Z195" s="100" t="s">
        <v>2103</v>
      </c>
      <c r="AA195" s="126"/>
      <c r="AD195" s="22" t="s">
        <v>3223</v>
      </c>
      <c r="AE195" s="84">
        <v>44329</v>
      </c>
      <c r="AF195" s="86">
        <v>44340</v>
      </c>
      <c r="AG195" s="33">
        <f t="shared" si="107"/>
        <v>11</v>
      </c>
      <c r="AH195" s="43" t="s">
        <v>2569</v>
      </c>
      <c r="AI195" s="280"/>
      <c r="AK195" s="264"/>
      <c r="AL195" s="264"/>
    </row>
    <row r="196" spans="1:40">
      <c r="A196" s="146" t="s">
        <v>1726</v>
      </c>
      <c r="B196" s="79">
        <v>104</v>
      </c>
      <c r="C196" s="79">
        <v>96</v>
      </c>
      <c r="D196" s="80">
        <v>-8</v>
      </c>
      <c r="E196" s="79">
        <v>12</v>
      </c>
      <c r="F196" s="6">
        <v>-0.21</v>
      </c>
      <c r="G196" s="79">
        <v>8933</v>
      </c>
      <c r="H196" s="5" t="s">
        <v>2084</v>
      </c>
      <c r="I196" s="16" t="s">
        <v>6537</v>
      </c>
      <c r="J196" s="323">
        <v>46.92</v>
      </c>
      <c r="K196" s="323">
        <v>1.4</v>
      </c>
      <c r="L196" s="323"/>
      <c r="N196" s="318">
        <f t="shared" si="104"/>
        <v>48.32</v>
      </c>
      <c r="O196" s="81">
        <f>IFERROR(VLOOKUP($G196,'321買'!A:E,3,0),"'沒有資料'")</f>
        <v>0</v>
      </c>
      <c r="P196" s="380">
        <f>IFERROR(VLOOKUP($G196,'321買'!$A:$G,7,0),"'沒有資料'")</f>
        <v>911</v>
      </c>
      <c r="R196" s="297">
        <f>IFERROR(RANK(VLOOKUP($G196,連買!$A:$D,4,0),連買!$D:$D,0),"'沒有資料'")</f>
        <v>1178</v>
      </c>
      <c r="S196" s="34">
        <v>0</v>
      </c>
      <c r="U196" s="95">
        <v>0.05</v>
      </c>
      <c r="V196" s="36">
        <v>14.4</v>
      </c>
      <c r="W196" s="66">
        <v>10.199999999999999</v>
      </c>
      <c r="X196" s="15">
        <f t="shared" si="105"/>
        <v>4.2000000000000011</v>
      </c>
      <c r="Y196" s="63">
        <f t="shared" si="106"/>
        <v>0.41176470588235309</v>
      </c>
      <c r="Z196" s="100" t="s">
        <v>3496</v>
      </c>
      <c r="AA196" s="126"/>
      <c r="AD196" s="16" t="s">
        <v>668</v>
      </c>
      <c r="AE196" s="84">
        <v>44315</v>
      </c>
      <c r="AF196" s="86">
        <v>44326</v>
      </c>
      <c r="AG196" s="33">
        <f t="shared" si="107"/>
        <v>11</v>
      </c>
      <c r="AH196" s="43" t="s">
        <v>2555</v>
      </c>
      <c r="AI196" s="280"/>
      <c r="AK196" s="264"/>
      <c r="AL196" s="264"/>
    </row>
    <row r="197" spans="1:40">
      <c r="A197" s="130" t="s">
        <v>1734</v>
      </c>
      <c r="B197" s="79">
        <v>61</v>
      </c>
      <c r="C197" s="79">
        <v>61</v>
      </c>
      <c r="D197" s="80">
        <v>-2</v>
      </c>
      <c r="E197" s="79">
        <v>25</v>
      </c>
      <c r="F197" s="57">
        <v>18.36</v>
      </c>
      <c r="G197" s="80">
        <v>3357</v>
      </c>
      <c r="H197" s="5" t="s">
        <v>3620</v>
      </c>
      <c r="I197" s="16" t="s">
        <v>3456</v>
      </c>
      <c r="J197" s="73">
        <v>45.5</v>
      </c>
      <c r="K197" s="73">
        <v>10.62</v>
      </c>
      <c r="N197" s="318">
        <f t="shared" si="104"/>
        <v>56.12</v>
      </c>
      <c r="O197" s="81">
        <f>IFERROR(VLOOKUP($G197,'321買'!A:E,3,0),"'沒有資料'")</f>
        <v>2</v>
      </c>
      <c r="P197" s="380">
        <f>IFERROR(VLOOKUP($G197,'321買'!$A:$G,7,0),"'沒有資料'")</f>
        <v>706</v>
      </c>
      <c r="R197" s="297">
        <f>IFERROR(RANK(VLOOKUP($G197,連買!$A:$D,4,0),連買!$D:$D,0),"'沒有資料'")</f>
        <v>278</v>
      </c>
      <c r="S197" s="66">
        <v>4.0999999999999996</v>
      </c>
      <c r="U197" s="95">
        <v>9.0399999999999991</v>
      </c>
      <c r="V197" s="36">
        <v>146</v>
      </c>
      <c r="W197" s="66">
        <v>118.78</v>
      </c>
      <c r="X197" s="15">
        <f t="shared" si="105"/>
        <v>27.22</v>
      </c>
      <c r="Y197" s="63">
        <f t="shared" si="106"/>
        <v>0.22916315878093954</v>
      </c>
      <c r="Z197" s="100" t="s">
        <v>3494</v>
      </c>
      <c r="AA197" s="126"/>
      <c r="AD197" s="16" t="s">
        <v>3456</v>
      </c>
      <c r="AE197" s="84">
        <v>44313</v>
      </c>
      <c r="AF197" s="86">
        <v>44323</v>
      </c>
      <c r="AG197" s="33">
        <f t="shared" si="107"/>
        <v>10</v>
      </c>
      <c r="AH197" s="43" t="s">
        <v>3457</v>
      </c>
      <c r="AI197" s="280"/>
      <c r="AK197" s="264"/>
      <c r="AL197" s="264"/>
      <c r="AN197" s="48"/>
    </row>
    <row r="198" spans="1:40">
      <c r="A198" s="146" t="s">
        <v>2093</v>
      </c>
      <c r="B198" s="80">
        <v>-60</v>
      </c>
      <c r="C198" s="80">
        <v>-50</v>
      </c>
      <c r="D198" s="79">
        <v>28</v>
      </c>
      <c r="E198" s="79">
        <v>2</v>
      </c>
      <c r="F198" s="6">
        <v>5.84</v>
      </c>
      <c r="G198" s="79">
        <v>6768</v>
      </c>
      <c r="H198" s="5" t="s">
        <v>2084</v>
      </c>
      <c r="I198" s="22" t="s">
        <v>3432</v>
      </c>
      <c r="J198" s="323">
        <v>87.31</v>
      </c>
      <c r="K198" s="73">
        <v>75.989999999999995</v>
      </c>
      <c r="N198" s="318">
        <f t="shared" si="104"/>
        <v>163.30000000000001</v>
      </c>
      <c r="O198" s="81">
        <f>IFERROR(VLOOKUP($G198,'321買'!A:E,3,0),"'沒有資料'")</f>
        <v>0</v>
      </c>
      <c r="P198" s="380">
        <f>IFERROR(VLOOKUP($G198,'321買'!$A:$G,7,0),"'沒有資料'")</f>
        <v>911</v>
      </c>
      <c r="R198" s="297">
        <f>IFERROR(RANK(VLOOKUP($G198,連買!$A:$D,4,0),連買!$D:$D,0),"'沒有資料'")</f>
        <v>365</v>
      </c>
      <c r="S198" s="66">
        <v>3.38</v>
      </c>
      <c r="U198" s="57" t="s">
        <v>3500</v>
      </c>
      <c r="V198" s="36">
        <v>70</v>
      </c>
      <c r="W198" s="66">
        <v>49</v>
      </c>
      <c r="X198" s="15">
        <f t="shared" si="105"/>
        <v>21</v>
      </c>
      <c r="Y198" s="63">
        <f t="shared" si="106"/>
        <v>0.42857142857142855</v>
      </c>
      <c r="Z198" s="100" t="s">
        <v>3476</v>
      </c>
      <c r="AA198" s="126"/>
      <c r="AD198" s="22" t="s">
        <v>3432</v>
      </c>
      <c r="AE198" s="84">
        <v>44308</v>
      </c>
      <c r="AF198" s="86">
        <v>44319</v>
      </c>
      <c r="AG198" s="33">
        <f t="shared" si="107"/>
        <v>11</v>
      </c>
      <c r="AH198" s="43" t="s">
        <v>3433</v>
      </c>
      <c r="AI198" s="280"/>
      <c r="AK198" s="264"/>
      <c r="AL198" s="264"/>
      <c r="AN198" s="48"/>
    </row>
    <row r="199" spans="1:40">
      <c r="A199" s="130" t="s">
        <v>2148</v>
      </c>
      <c r="B199" s="79">
        <v>5</v>
      </c>
      <c r="C199" s="79">
        <v>14</v>
      </c>
      <c r="D199" s="79">
        <v>29</v>
      </c>
      <c r="E199" s="79">
        <v>102</v>
      </c>
      <c r="F199" s="57">
        <v>16.41</v>
      </c>
      <c r="G199" s="79">
        <v>2211</v>
      </c>
      <c r="H199" s="5" t="s">
        <v>301</v>
      </c>
      <c r="I199" s="22" t="s">
        <v>3323</v>
      </c>
      <c r="J199" s="323">
        <v>83.71</v>
      </c>
      <c r="K199" s="323">
        <v>0.53</v>
      </c>
      <c r="N199" s="318">
        <f t="shared" si="104"/>
        <v>84.24</v>
      </c>
      <c r="O199" s="81">
        <f>IFERROR(VLOOKUP($G199,'321買'!A:E,3,0),"'沒有資料'")</f>
        <v>0</v>
      </c>
      <c r="P199" s="380">
        <f>IFERROR(VLOOKUP($G199,'321買'!$A:$G,7,0),"'沒有資料'")</f>
        <v>911</v>
      </c>
      <c r="R199" s="297">
        <f>IFERROR(RANK(VLOOKUP($G199,連買!$A:$D,4,0),連買!$D:$D,0),"'沒有資料'")</f>
        <v>378</v>
      </c>
      <c r="S199" s="34">
        <v>2.2000000000000002</v>
      </c>
      <c r="U199" s="57">
        <f t="shared" ref="U199:U230" si="108">S199/V199</f>
        <v>3.3333333333333333E-2</v>
      </c>
      <c r="V199" s="36">
        <v>66</v>
      </c>
      <c r="W199" s="66">
        <v>41</v>
      </c>
      <c r="X199" s="15">
        <f t="shared" si="105"/>
        <v>25</v>
      </c>
      <c r="Y199" s="63">
        <f t="shared" si="106"/>
        <v>0.6097560975609756</v>
      </c>
      <c r="Z199" s="100" t="s">
        <v>3440</v>
      </c>
      <c r="AA199" s="126"/>
      <c r="AD199" s="22" t="s">
        <v>3323</v>
      </c>
      <c r="AE199" s="84">
        <v>44298</v>
      </c>
      <c r="AF199" s="86">
        <v>44308</v>
      </c>
      <c r="AG199" s="33">
        <f t="shared" si="107"/>
        <v>10</v>
      </c>
      <c r="AH199" s="43" t="s">
        <v>3324</v>
      </c>
      <c r="AI199" s="280"/>
      <c r="AK199" s="264"/>
      <c r="AL199" s="264"/>
    </row>
    <row r="200" spans="1:40">
      <c r="A200" s="146" t="s">
        <v>2331</v>
      </c>
      <c r="B200" s="79">
        <v>54</v>
      </c>
      <c r="C200" s="79">
        <v>41</v>
      </c>
      <c r="D200" s="80">
        <v>-7</v>
      </c>
      <c r="E200" s="80">
        <v>-7</v>
      </c>
      <c r="F200" s="6">
        <v>1.02</v>
      </c>
      <c r="G200" s="79">
        <v>6776</v>
      </c>
      <c r="H200" s="5" t="s">
        <v>331</v>
      </c>
      <c r="I200" s="22" t="s">
        <v>3308</v>
      </c>
      <c r="J200" s="323">
        <v>73.010000000000005</v>
      </c>
      <c r="K200" s="323">
        <v>7.0000000000000007E-2</v>
      </c>
      <c r="N200" s="318">
        <f t="shared" si="104"/>
        <v>73.08</v>
      </c>
      <c r="O200" s="81">
        <f>IFERROR(VLOOKUP($G200,'321買'!A:E,3,0),"'沒有資料'")</f>
        <v>0</v>
      </c>
      <c r="P200" s="380">
        <f>IFERROR(VLOOKUP($G200,'321買'!$A:$G,7,0),"'沒有資料'")</f>
        <v>911</v>
      </c>
      <c r="R200" s="297">
        <f>IFERROR(RANK(VLOOKUP($G200,連買!$A:$D,4,0),連買!$D:$D,0),"'沒有資料'")</f>
        <v>387</v>
      </c>
      <c r="S200" s="34">
        <v>2</v>
      </c>
      <c r="U200" s="57">
        <f t="shared" si="108"/>
        <v>3.937007874015748E-2</v>
      </c>
      <c r="V200" s="36">
        <v>50.8</v>
      </c>
      <c r="W200" s="66">
        <v>25</v>
      </c>
      <c r="X200" s="15">
        <f t="shared" si="105"/>
        <v>25.799999999999997</v>
      </c>
      <c r="Y200" s="153">
        <f t="shared" si="106"/>
        <v>1.0319999999999998</v>
      </c>
      <c r="Z200" s="100" t="s">
        <v>3373</v>
      </c>
      <c r="AA200" s="126"/>
      <c r="AD200" s="22" t="s">
        <v>3308</v>
      </c>
      <c r="AE200" s="84">
        <v>44286</v>
      </c>
      <c r="AF200" s="86">
        <v>44298</v>
      </c>
      <c r="AG200" s="33">
        <f t="shared" si="107"/>
        <v>12</v>
      </c>
      <c r="AH200" s="43" t="s">
        <v>1048</v>
      </c>
      <c r="AI200" s="280"/>
      <c r="AK200" s="264"/>
      <c r="AL200" s="264"/>
    </row>
    <row r="201" spans="1:40">
      <c r="A201" s="146" t="s">
        <v>3287</v>
      </c>
      <c r="B201" s="79">
        <v>11</v>
      </c>
      <c r="C201" s="80">
        <v>-11</v>
      </c>
      <c r="D201" s="80">
        <v>-15</v>
      </c>
      <c r="E201" s="80">
        <v>-28</v>
      </c>
      <c r="F201" s="6">
        <v>-7.54</v>
      </c>
      <c r="G201" s="80">
        <v>2208</v>
      </c>
      <c r="H201" s="5" t="s">
        <v>304</v>
      </c>
      <c r="I201" s="22" t="s">
        <v>88</v>
      </c>
      <c r="J201" s="323">
        <v>53.32</v>
      </c>
      <c r="K201" s="323">
        <v>4.3499999999999996</v>
      </c>
      <c r="L201" s="73">
        <v>6.34</v>
      </c>
      <c r="N201" s="318">
        <f t="shared" si="104"/>
        <v>64.010000000000005</v>
      </c>
      <c r="O201" s="81">
        <f>IFERROR(VLOOKUP($G201,'321買'!A:E,3,0),"'沒有資料'")</f>
        <v>5</v>
      </c>
      <c r="P201" s="380">
        <f>IFERROR(VLOOKUP($G201,'321買'!$A:$G,7,0),"'沒有資料'")</f>
        <v>558</v>
      </c>
      <c r="R201" s="297">
        <f>IFERROR(RANK(VLOOKUP($G201,連買!$A:$D,4,0),連買!$D:$D,0),"'沒有資料'")</f>
        <v>1540</v>
      </c>
      <c r="S201" s="70">
        <v>0</v>
      </c>
      <c r="U201" s="57">
        <f t="shared" si="108"/>
        <v>0</v>
      </c>
      <c r="V201" s="36">
        <v>22.3</v>
      </c>
      <c r="W201" s="66">
        <v>17.5</v>
      </c>
      <c r="X201" s="15">
        <f t="shared" si="105"/>
        <v>4.8000000000000007</v>
      </c>
      <c r="Y201" s="63">
        <f t="shared" si="106"/>
        <v>0.2742857142857143</v>
      </c>
      <c r="Z201" s="100" t="s">
        <v>2457</v>
      </c>
      <c r="AA201" s="126"/>
      <c r="AD201" s="22" t="s">
        <v>88</v>
      </c>
      <c r="AE201" s="84">
        <v>44286</v>
      </c>
      <c r="AF201" s="86">
        <v>44298</v>
      </c>
      <c r="AG201" s="33">
        <f t="shared" si="107"/>
        <v>12</v>
      </c>
      <c r="AH201" s="120" t="s">
        <v>3438</v>
      </c>
      <c r="AI201" s="280"/>
      <c r="AK201" s="264"/>
      <c r="AL201" s="264"/>
    </row>
    <row r="202" spans="1:40">
      <c r="A202" s="130" t="s">
        <v>3178</v>
      </c>
      <c r="B202" s="79">
        <v>218</v>
      </c>
      <c r="C202" s="79">
        <v>210</v>
      </c>
      <c r="D202" s="79">
        <v>62</v>
      </c>
      <c r="E202" s="79">
        <v>54</v>
      </c>
      <c r="F202" s="57">
        <v>28.79</v>
      </c>
      <c r="G202" s="79">
        <v>5215</v>
      </c>
      <c r="H202" s="204" t="s">
        <v>1152</v>
      </c>
      <c r="I202" s="22" t="s">
        <v>470</v>
      </c>
      <c r="J202" s="323">
        <v>46.62</v>
      </c>
      <c r="K202" s="323">
        <v>25.65</v>
      </c>
      <c r="L202" s="73">
        <v>27.48</v>
      </c>
      <c r="N202" s="318">
        <f t="shared" si="104"/>
        <v>99.75</v>
      </c>
      <c r="O202" s="81">
        <f>IFERROR(VLOOKUP($G202,'321買'!A:E,3,0),"'沒有資料'")</f>
        <v>1</v>
      </c>
      <c r="P202" s="380">
        <f>IFERROR(VLOOKUP($G202,'321買'!$A:$G,7,0),"'沒有資料'")</f>
        <v>783</v>
      </c>
      <c r="R202" s="297">
        <f>IFERROR(RANK(VLOOKUP($G202,連買!$A:$D,4,0),連買!$D:$D,0),"'沒有資料'")</f>
        <v>275</v>
      </c>
      <c r="S202" s="34">
        <v>8.67</v>
      </c>
      <c r="U202" s="95">
        <f t="shared" si="108"/>
        <v>5.9587628865979382E-2</v>
      </c>
      <c r="V202" s="36">
        <v>145.5</v>
      </c>
      <c r="W202" s="45">
        <v>105</v>
      </c>
      <c r="X202" s="15">
        <f t="shared" si="105"/>
        <v>40.5</v>
      </c>
      <c r="Y202" s="63">
        <f t="shared" si="106"/>
        <v>0.38571428571428573</v>
      </c>
      <c r="Z202" s="100" t="s">
        <v>3325</v>
      </c>
      <c r="AA202" s="126"/>
      <c r="AD202" s="22" t="s">
        <v>470</v>
      </c>
      <c r="AE202" s="84">
        <v>44285</v>
      </c>
      <c r="AF202" s="86">
        <v>44295</v>
      </c>
      <c r="AG202" s="33">
        <f t="shared" si="107"/>
        <v>10</v>
      </c>
      <c r="AH202" s="43" t="s">
        <v>2466</v>
      </c>
      <c r="AI202" s="280"/>
      <c r="AK202" s="264"/>
      <c r="AL202" s="264"/>
    </row>
    <row r="203" spans="1:40">
      <c r="A203" s="130" t="s">
        <v>1821</v>
      </c>
      <c r="B203" s="79">
        <v>7</v>
      </c>
      <c r="C203" s="79">
        <v>7</v>
      </c>
      <c r="D203" s="79">
        <v>45</v>
      </c>
      <c r="E203" s="79">
        <v>12</v>
      </c>
      <c r="F203" s="57">
        <v>10.7</v>
      </c>
      <c r="G203" s="79">
        <v>1477</v>
      </c>
      <c r="H203" s="8" t="s">
        <v>3390</v>
      </c>
      <c r="I203" s="22" t="s">
        <v>3891</v>
      </c>
      <c r="J203" s="73">
        <v>55.83</v>
      </c>
      <c r="K203" s="323">
        <v>30.44</v>
      </c>
      <c r="L203" s="323">
        <v>2.66</v>
      </c>
      <c r="N203" s="318">
        <f t="shared" si="104"/>
        <v>88.929999999999993</v>
      </c>
      <c r="O203" s="81">
        <f>IFERROR(VLOOKUP($G203,'321買'!A:E,3,0),"'沒有資料'")</f>
        <v>11</v>
      </c>
      <c r="P203" s="380">
        <f>IFERROR(VLOOKUP($G203,'321買'!$A:$G,7,0),"'沒有資料'")</f>
        <v>408</v>
      </c>
      <c r="R203" s="297">
        <f>IFERROR(RANK(VLOOKUP($G203,連買!$A:$D,4,0),連買!$D:$D,0),"'沒有資料'")</f>
        <v>540</v>
      </c>
      <c r="S203" s="34">
        <v>8</v>
      </c>
      <c r="U203" s="57">
        <f t="shared" si="108"/>
        <v>3.292181069958848E-2</v>
      </c>
      <c r="V203" s="36">
        <v>243</v>
      </c>
      <c r="W203" s="66">
        <v>136</v>
      </c>
      <c r="X203" s="15">
        <f t="shared" si="105"/>
        <v>107</v>
      </c>
      <c r="Y203" s="63">
        <f t="shared" si="106"/>
        <v>0.78676470588235292</v>
      </c>
      <c r="Z203" s="100" t="s">
        <v>3388</v>
      </c>
      <c r="AA203" s="126"/>
      <c r="AD203" s="22" t="s">
        <v>125</v>
      </c>
      <c r="AE203" s="84">
        <v>44279</v>
      </c>
      <c r="AF203" s="86">
        <v>44292</v>
      </c>
      <c r="AG203" s="33">
        <f t="shared" si="107"/>
        <v>13</v>
      </c>
      <c r="AH203" s="120" t="s">
        <v>2565</v>
      </c>
      <c r="AI203" s="280"/>
      <c r="AK203" s="264"/>
      <c r="AL203" s="264"/>
    </row>
    <row r="204" spans="1:40">
      <c r="A204" s="146" t="s">
        <v>3387</v>
      </c>
      <c r="B204" s="80">
        <v>-5</v>
      </c>
      <c r="C204" s="80">
        <v>-88</v>
      </c>
      <c r="D204" s="80">
        <v>-23</v>
      </c>
      <c r="E204" s="79">
        <v>166</v>
      </c>
      <c r="F204" s="6">
        <v>0.13</v>
      </c>
      <c r="G204" s="79">
        <v>3346</v>
      </c>
      <c r="H204" s="8" t="s">
        <v>303</v>
      </c>
      <c r="I204" s="22" t="s">
        <v>579</v>
      </c>
      <c r="J204" s="323">
        <v>33.06</v>
      </c>
      <c r="K204" s="323">
        <v>6.14</v>
      </c>
      <c r="L204" s="73">
        <v>44.33</v>
      </c>
      <c r="N204" s="318">
        <f t="shared" si="104"/>
        <v>83.53</v>
      </c>
      <c r="O204" s="81">
        <f>IFERROR(VLOOKUP($G204,'321買'!A:E,3,0),"'沒有資料'")</f>
        <v>5</v>
      </c>
      <c r="P204" s="380">
        <f>IFERROR(VLOOKUP($G204,'321買'!$A:$G,7,0),"'沒有資料'")</f>
        <v>558</v>
      </c>
      <c r="R204" s="297">
        <f>IFERROR(RANK(VLOOKUP($G204,連買!$A:$D,4,0),連買!$D:$D,0),"'沒有資料'")</f>
        <v>450</v>
      </c>
      <c r="S204" s="70">
        <v>0</v>
      </c>
      <c r="U204" s="95">
        <f t="shared" si="108"/>
        <v>0</v>
      </c>
      <c r="V204" s="36">
        <v>64.099999999999994</v>
      </c>
      <c r="W204" s="45">
        <v>39</v>
      </c>
      <c r="X204" s="15">
        <f t="shared" si="105"/>
        <v>25.099999999999994</v>
      </c>
      <c r="Y204" s="63">
        <f t="shared" si="106"/>
        <v>0.64358974358974341</v>
      </c>
      <c r="Z204" s="100" t="s">
        <v>3389</v>
      </c>
      <c r="AA204" s="126"/>
      <c r="AD204" s="22" t="s">
        <v>579</v>
      </c>
      <c r="AE204" s="84">
        <v>44278</v>
      </c>
      <c r="AF204" s="86">
        <v>44292</v>
      </c>
      <c r="AG204" s="33">
        <f t="shared" si="107"/>
        <v>14</v>
      </c>
      <c r="AH204" s="43" t="s">
        <v>2242</v>
      </c>
      <c r="AI204" s="280"/>
      <c r="AK204" s="264"/>
      <c r="AL204" s="264"/>
      <c r="AN204" s="48"/>
    </row>
    <row r="205" spans="1:40">
      <c r="A205" s="130" t="s">
        <v>3314</v>
      </c>
      <c r="B205" s="79">
        <v>49</v>
      </c>
      <c r="C205" s="79">
        <v>69</v>
      </c>
      <c r="D205" s="79">
        <v>32</v>
      </c>
      <c r="E205" s="79">
        <v>224</v>
      </c>
      <c r="F205" s="57">
        <v>19.45</v>
      </c>
      <c r="G205" s="79">
        <v>6781</v>
      </c>
      <c r="H205" s="8" t="s">
        <v>3620</v>
      </c>
      <c r="I205" s="22" t="s">
        <v>3309</v>
      </c>
      <c r="J205" s="323">
        <v>77.16</v>
      </c>
      <c r="K205" s="73">
        <v>73</v>
      </c>
      <c r="L205" s="323"/>
      <c r="N205" s="318"/>
      <c r="O205" s="81">
        <f>IFERROR(VLOOKUP($G205,'321買'!A:E,3,0),"'沒有資料'")</f>
        <v>12</v>
      </c>
      <c r="P205" s="380">
        <f>IFERROR(VLOOKUP($G205,'321買'!$A:$G,7,0),"'沒有資料'")</f>
        <v>387</v>
      </c>
      <c r="R205" s="297">
        <f>IFERROR(RANK(VLOOKUP($G205,連買!$A:$D,4,0),連買!$D:$D,0),"'沒有資料'")</f>
        <v>1750</v>
      </c>
      <c r="S205" s="34">
        <v>5.3</v>
      </c>
      <c r="U205" s="57">
        <f t="shared" si="108"/>
        <v>8.3072100313479613E-3</v>
      </c>
      <c r="V205" s="13">
        <v>638</v>
      </c>
      <c r="W205" s="66">
        <v>168</v>
      </c>
      <c r="X205" s="15">
        <f t="shared" ref="X205:X236" si="109">V205-W205</f>
        <v>470</v>
      </c>
      <c r="Y205" s="153">
        <f t="shared" ref="Y205:Y236" si="110">X205/W205</f>
        <v>2.7976190476190474</v>
      </c>
      <c r="Z205" s="100" t="s">
        <v>3313</v>
      </c>
      <c r="AA205" s="126"/>
      <c r="AD205" s="22" t="s">
        <v>3309</v>
      </c>
      <c r="AE205" s="84">
        <v>44277</v>
      </c>
      <c r="AF205" s="86">
        <v>44287</v>
      </c>
      <c r="AG205" s="33">
        <f t="shared" si="107"/>
        <v>10</v>
      </c>
      <c r="AH205" s="43" t="s">
        <v>3315</v>
      </c>
      <c r="AI205" s="280"/>
      <c r="AK205" s="264"/>
      <c r="AL205" s="264"/>
    </row>
    <row r="206" spans="1:40">
      <c r="A206" s="146" t="s">
        <v>3148</v>
      </c>
      <c r="B206" s="79">
        <v>88</v>
      </c>
      <c r="C206" s="79">
        <v>84</v>
      </c>
      <c r="D206" s="80">
        <v>-25</v>
      </c>
      <c r="E206" s="80">
        <v>-15</v>
      </c>
      <c r="F206" s="6">
        <v>-5.24</v>
      </c>
      <c r="G206" s="79">
        <v>5468</v>
      </c>
      <c r="H206" s="149" t="s">
        <v>3254</v>
      </c>
      <c r="I206" s="16" t="s">
        <v>371</v>
      </c>
      <c r="J206" s="323">
        <v>44.24</v>
      </c>
      <c r="K206" s="73">
        <v>0.28000000000000003</v>
      </c>
      <c r="N206" s="318">
        <f t="shared" ref="N206:N269" si="111">K206+J206+L206</f>
        <v>44.52</v>
      </c>
      <c r="O206" s="81">
        <f>IFERROR(VLOOKUP($G206,'321買'!A:E,3,0),"'沒有資料'")</f>
        <v>0</v>
      </c>
      <c r="P206" s="380">
        <f>IFERROR(VLOOKUP($G206,'321買'!$A:$G,7,0),"'沒有資料'")</f>
        <v>911</v>
      </c>
      <c r="R206" s="297">
        <f>IFERROR(RANK(VLOOKUP($G206,連買!$A:$D,4,0),連買!$D:$D,0),"'沒有資料'")</f>
        <v>1039</v>
      </c>
      <c r="S206" s="34">
        <v>0</v>
      </c>
      <c r="U206" s="95">
        <f t="shared" si="108"/>
        <v>0</v>
      </c>
      <c r="V206" s="36">
        <v>21.5</v>
      </c>
      <c r="W206" s="66">
        <v>10</v>
      </c>
      <c r="X206" s="15">
        <f t="shared" si="109"/>
        <v>11.5</v>
      </c>
      <c r="Y206" s="153">
        <f t="shared" si="110"/>
        <v>1.1499999999999999</v>
      </c>
      <c r="Z206" s="100" t="s">
        <v>1679</v>
      </c>
      <c r="AA206" s="126"/>
      <c r="AD206" s="16" t="s">
        <v>371</v>
      </c>
      <c r="AE206" s="84">
        <v>44272</v>
      </c>
      <c r="AF206" s="86">
        <v>44284</v>
      </c>
      <c r="AG206" s="33">
        <f t="shared" si="107"/>
        <v>12</v>
      </c>
      <c r="AH206" s="43" t="s">
        <v>2544</v>
      </c>
      <c r="AI206" s="280"/>
      <c r="AK206" s="264"/>
      <c r="AL206" s="264"/>
    </row>
    <row r="207" spans="1:40">
      <c r="A207" s="146" t="s">
        <v>1744</v>
      </c>
      <c r="B207" s="79">
        <v>124</v>
      </c>
      <c r="C207" s="79">
        <v>122</v>
      </c>
      <c r="D207" s="80">
        <v>-86</v>
      </c>
      <c r="E207" s="80">
        <v>-15</v>
      </c>
      <c r="F207" s="6">
        <v>8.69</v>
      </c>
      <c r="G207" s="79">
        <v>4726</v>
      </c>
      <c r="H207" s="8" t="s">
        <v>5070</v>
      </c>
      <c r="I207" s="16" t="s">
        <v>4113</v>
      </c>
      <c r="J207" s="73">
        <v>40.51</v>
      </c>
      <c r="K207" s="73">
        <v>0.15</v>
      </c>
      <c r="N207" s="318">
        <f t="shared" si="111"/>
        <v>40.659999999999997</v>
      </c>
      <c r="O207" s="81" t="str">
        <f>IFERROR(VLOOKUP($G207,'321買'!A:E,3,0),"'沒有資料'")</f>
        <v>'沒有資料'</v>
      </c>
      <c r="P207" s="380" t="str">
        <f>IFERROR(VLOOKUP($G207,'321買'!$A:$G,7,0),"'沒有資料'")</f>
        <v>'沒有資料'</v>
      </c>
      <c r="R207" s="297">
        <f>IFERROR(RANK(VLOOKUP($G207,連買!$A:$D,4,0),連買!$D:$D,0),"'沒有資料'")</f>
        <v>583</v>
      </c>
      <c r="S207" s="34">
        <v>0</v>
      </c>
      <c r="U207" s="95">
        <f t="shared" si="108"/>
        <v>0</v>
      </c>
      <c r="V207" s="36">
        <v>34.65</v>
      </c>
      <c r="W207" s="66">
        <v>30.5</v>
      </c>
      <c r="X207" s="15">
        <f t="shared" si="109"/>
        <v>4.1499999999999986</v>
      </c>
      <c r="Y207" s="63">
        <f t="shared" si="110"/>
        <v>0.13606557377049175</v>
      </c>
      <c r="Z207" s="100" t="s">
        <v>3286</v>
      </c>
      <c r="AA207" s="126"/>
      <c r="AD207" s="16" t="s">
        <v>618</v>
      </c>
      <c r="AE207" s="84">
        <v>44271</v>
      </c>
      <c r="AF207" s="86">
        <v>44281</v>
      </c>
      <c r="AG207" s="33">
        <f t="shared" si="107"/>
        <v>10</v>
      </c>
      <c r="AH207" s="43" t="s">
        <v>3186</v>
      </c>
      <c r="AI207" s="280"/>
      <c r="AK207" s="264"/>
      <c r="AL207" s="264"/>
    </row>
    <row r="208" spans="1:40">
      <c r="A208" s="130" t="s">
        <v>1504</v>
      </c>
      <c r="B208" s="80">
        <v>-33</v>
      </c>
      <c r="C208" s="80">
        <v>-26</v>
      </c>
      <c r="D208" s="79">
        <v>5</v>
      </c>
      <c r="E208" s="79">
        <v>29</v>
      </c>
      <c r="F208" s="57">
        <v>10.95</v>
      </c>
      <c r="G208" s="79">
        <v>6706</v>
      </c>
      <c r="H208" s="8" t="s">
        <v>308</v>
      </c>
      <c r="I208" s="22" t="s">
        <v>1826</v>
      </c>
      <c r="J208" s="73">
        <v>26.96</v>
      </c>
      <c r="K208" s="323">
        <v>10.23</v>
      </c>
      <c r="L208" s="323">
        <v>30.05</v>
      </c>
      <c r="N208" s="318">
        <f t="shared" si="111"/>
        <v>67.239999999999995</v>
      </c>
      <c r="O208" s="81">
        <f>IFERROR(VLOOKUP($G208,'321買'!A:E,3,0),"'沒有資料'")</f>
        <v>67</v>
      </c>
      <c r="P208" s="380">
        <f>IFERROR(VLOOKUP($G208,'321買'!$A:$G,7,0),"'沒有資料'")</f>
        <v>19</v>
      </c>
      <c r="R208" s="297">
        <f>IFERROR(RANK(VLOOKUP($G208,連買!$A:$D,4,0),連買!$D:$D,0),"'沒有資料'")</f>
        <v>264</v>
      </c>
      <c r="S208" s="34">
        <v>3.97</v>
      </c>
      <c r="U208" s="95">
        <f t="shared" si="108"/>
        <v>2.3491124260355031E-2</v>
      </c>
      <c r="V208" s="36">
        <v>169</v>
      </c>
      <c r="W208" s="45">
        <v>126</v>
      </c>
      <c r="X208" s="15">
        <f t="shared" si="109"/>
        <v>43</v>
      </c>
      <c r="Y208" s="63">
        <f t="shared" si="110"/>
        <v>0.34126984126984128</v>
      </c>
      <c r="Z208" s="100" t="s">
        <v>3285</v>
      </c>
      <c r="AA208" s="126"/>
      <c r="AD208" s="22" t="s">
        <v>1826</v>
      </c>
      <c r="AE208" s="84">
        <v>44265</v>
      </c>
      <c r="AF208" s="86">
        <v>44277</v>
      </c>
      <c r="AG208" s="33">
        <f t="shared" si="107"/>
        <v>12</v>
      </c>
      <c r="AH208" s="122" t="s">
        <v>1970</v>
      </c>
      <c r="AI208" s="280"/>
      <c r="AK208" s="264"/>
      <c r="AL208" s="264"/>
      <c r="AN208" s="23"/>
    </row>
    <row r="209" spans="1:40">
      <c r="A209" s="130" t="s">
        <v>2727</v>
      </c>
      <c r="B209" s="79">
        <v>6</v>
      </c>
      <c r="C209" s="79">
        <v>5</v>
      </c>
      <c r="D209" s="79">
        <v>13</v>
      </c>
      <c r="E209" s="79">
        <v>59</v>
      </c>
      <c r="F209" s="57">
        <v>23.04</v>
      </c>
      <c r="G209" s="79">
        <v>6224</v>
      </c>
      <c r="H209" s="208" t="s">
        <v>3620</v>
      </c>
      <c r="I209" s="22" t="s">
        <v>230</v>
      </c>
      <c r="J209" s="73">
        <v>28.54</v>
      </c>
      <c r="K209" s="323">
        <v>13.7</v>
      </c>
      <c r="L209" s="73">
        <v>20.13</v>
      </c>
      <c r="N209" s="318">
        <f t="shared" si="111"/>
        <v>62.36999999999999</v>
      </c>
      <c r="O209" s="81">
        <f>IFERROR(VLOOKUP($G209,'321買'!A:E,3,0),"'沒有資料'")</f>
        <v>26</v>
      </c>
      <c r="P209" s="380">
        <f>IFERROR(VLOOKUP($G209,'321買'!$A:$G,7,0),"'沒有資料'")</f>
        <v>163</v>
      </c>
      <c r="R209" s="297">
        <f>IFERROR(RANK(VLOOKUP($G209,連買!$A:$D,4,0),連買!$D:$D,0),"'沒有資料'")</f>
        <v>1299</v>
      </c>
      <c r="S209" s="34">
        <v>4</v>
      </c>
      <c r="U209" s="95">
        <f t="shared" si="108"/>
        <v>3.3898305084745763E-2</v>
      </c>
      <c r="V209" s="36">
        <v>118</v>
      </c>
      <c r="W209" s="45">
        <v>68</v>
      </c>
      <c r="X209" s="15">
        <f t="shared" si="109"/>
        <v>50</v>
      </c>
      <c r="Y209" s="63">
        <f t="shared" si="110"/>
        <v>0.73529411764705888</v>
      </c>
      <c r="Z209" s="100" t="s">
        <v>3135</v>
      </c>
      <c r="AA209" s="126"/>
      <c r="AD209" s="22" t="s">
        <v>230</v>
      </c>
      <c r="AE209" s="84">
        <v>44232</v>
      </c>
      <c r="AF209" s="86">
        <v>44244</v>
      </c>
      <c r="AG209" s="33">
        <f t="shared" si="107"/>
        <v>12</v>
      </c>
      <c r="AH209" s="122" t="s">
        <v>2730</v>
      </c>
      <c r="AI209" s="280"/>
      <c r="AK209" s="264"/>
      <c r="AL209" s="264"/>
      <c r="AN209" s="23"/>
    </row>
    <row r="210" spans="1:40" ht="16.5" customHeight="1">
      <c r="A210" s="146" t="s">
        <v>2728</v>
      </c>
      <c r="B210" s="94">
        <v>-2891</v>
      </c>
      <c r="C210" s="79">
        <v>13</v>
      </c>
      <c r="D210" s="80">
        <v>-31</v>
      </c>
      <c r="E210" s="80">
        <v>-99</v>
      </c>
      <c r="F210" s="73">
        <v>-591.20000000000005</v>
      </c>
      <c r="G210" s="80">
        <v>2718</v>
      </c>
      <c r="H210" s="5" t="s">
        <v>305</v>
      </c>
      <c r="I210" s="16" t="s">
        <v>966</v>
      </c>
      <c r="J210" s="73">
        <v>85.67</v>
      </c>
      <c r="K210" s="73">
        <v>0</v>
      </c>
      <c r="L210" s="323"/>
      <c r="N210" s="318">
        <f t="shared" si="111"/>
        <v>85.67</v>
      </c>
      <c r="O210" s="81" t="str">
        <f>IFERROR(VLOOKUP($G210,'321買'!A:E,3,0),"'沒有資料'")</f>
        <v>'沒有資料'</v>
      </c>
      <c r="P210" s="380" t="str">
        <f>IFERROR(VLOOKUP($G210,'321買'!$A:$G,7,0),"'沒有資料'")</f>
        <v>'沒有資料'</v>
      </c>
      <c r="R210" s="297">
        <f>IFERROR(RANK(VLOOKUP($G210,連買!$A:$D,4,0),連買!$D:$D,0),"'沒有資料'")</f>
        <v>1343</v>
      </c>
      <c r="S210" s="34">
        <v>0</v>
      </c>
      <c r="U210" s="57">
        <f t="shared" si="108"/>
        <v>0</v>
      </c>
      <c r="V210" s="36">
        <v>17.850000000000001</v>
      </c>
      <c r="W210" s="66">
        <v>17</v>
      </c>
      <c r="X210" s="15">
        <f t="shared" si="109"/>
        <v>0.85000000000000142</v>
      </c>
      <c r="Y210" s="63">
        <f t="shared" si="110"/>
        <v>5.0000000000000086E-2</v>
      </c>
      <c r="Z210" s="100" t="s">
        <v>3134</v>
      </c>
      <c r="AA210" s="126"/>
      <c r="AD210" s="16" t="s">
        <v>966</v>
      </c>
      <c r="AE210" s="84">
        <v>44232</v>
      </c>
      <c r="AF210" s="86">
        <v>44244</v>
      </c>
      <c r="AG210" s="33">
        <f t="shared" si="107"/>
        <v>12</v>
      </c>
      <c r="AH210" s="43" t="s">
        <v>2729</v>
      </c>
      <c r="AI210" s="280"/>
      <c r="AK210" s="264"/>
      <c r="AL210" s="264"/>
    </row>
    <row r="211" spans="1:40">
      <c r="A211" s="146" t="s">
        <v>1885</v>
      </c>
      <c r="B211" s="80">
        <v>-71</v>
      </c>
      <c r="C211" s="80">
        <v>-61</v>
      </c>
      <c r="D211" s="79">
        <v>9</v>
      </c>
      <c r="E211" s="79">
        <v>17</v>
      </c>
      <c r="F211" s="6">
        <v>7</v>
      </c>
      <c r="G211" s="79">
        <v>1536</v>
      </c>
      <c r="H211" s="5" t="s">
        <v>303</v>
      </c>
      <c r="I211" s="22" t="s">
        <v>126</v>
      </c>
      <c r="J211" s="73">
        <v>54.11</v>
      </c>
      <c r="K211" s="323">
        <v>16.73</v>
      </c>
      <c r="L211" s="73">
        <v>7.13</v>
      </c>
      <c r="N211" s="318">
        <f t="shared" si="111"/>
        <v>77.97</v>
      </c>
      <c r="O211" s="81">
        <f>IFERROR(VLOOKUP($G211,'321買'!A:E,3,0),"'沒有資料'")</f>
        <v>2</v>
      </c>
      <c r="P211" s="380">
        <f>IFERROR(VLOOKUP($G211,'321買'!$A:$G,7,0),"'沒有資料'")</f>
        <v>706</v>
      </c>
      <c r="R211" s="297">
        <f>IFERROR(RANK(VLOOKUP($G211,連買!$A:$D,4,0),連買!$D:$D,0),"'沒有資料'")</f>
        <v>1649</v>
      </c>
      <c r="S211" s="34">
        <v>2</v>
      </c>
      <c r="U211" s="57">
        <f t="shared" si="108"/>
        <v>1.6666666666666666E-2</v>
      </c>
      <c r="V211" s="36">
        <v>120</v>
      </c>
      <c r="W211" s="66">
        <v>90</v>
      </c>
      <c r="X211" s="15">
        <f t="shared" si="109"/>
        <v>30</v>
      </c>
      <c r="Y211" s="63">
        <f t="shared" si="110"/>
        <v>0.33333333333333331</v>
      </c>
      <c r="Z211" s="100" t="s">
        <v>3130</v>
      </c>
      <c r="AA211" s="126"/>
      <c r="AD211" s="22" t="s">
        <v>126</v>
      </c>
      <c r="AE211" s="84">
        <v>44231</v>
      </c>
      <c r="AF211" s="86">
        <v>44244</v>
      </c>
      <c r="AG211" s="33">
        <f t="shared" si="107"/>
        <v>13</v>
      </c>
      <c r="AH211" s="120" t="s">
        <v>2504</v>
      </c>
      <c r="AI211" s="280"/>
      <c r="AK211" s="264"/>
      <c r="AL211" s="264"/>
    </row>
    <row r="212" spans="1:40">
      <c r="A212" s="146" t="s">
        <v>2014</v>
      </c>
      <c r="B212" s="79">
        <v>23</v>
      </c>
      <c r="C212" s="80">
        <v>-1</v>
      </c>
      <c r="D212" s="80">
        <v>-52</v>
      </c>
      <c r="E212" s="79">
        <v>125</v>
      </c>
      <c r="F212" s="73">
        <v>-232.61</v>
      </c>
      <c r="G212" s="80">
        <v>4108</v>
      </c>
      <c r="H212" s="205" t="s">
        <v>5070</v>
      </c>
      <c r="I212" s="22" t="s">
        <v>4038</v>
      </c>
      <c r="J212" s="73">
        <v>22.9</v>
      </c>
      <c r="K212" s="323">
        <v>0.88</v>
      </c>
      <c r="L212" s="323"/>
      <c r="N212" s="318">
        <f t="shared" si="111"/>
        <v>23.779999999999998</v>
      </c>
      <c r="O212" s="81">
        <f>IFERROR(VLOOKUP($G212,'321買'!A:E,3,0),"'沒有資料'")</f>
        <v>0</v>
      </c>
      <c r="P212" s="380">
        <f>IFERROR(VLOOKUP($G212,'321買'!$A:$G,7,0),"'沒有資料'")</f>
        <v>911</v>
      </c>
      <c r="R212" s="297">
        <f>IFERROR(RANK(VLOOKUP($G212,連買!$A:$D,4,0),連買!$D:$D,0),"'沒有資料'")</f>
        <v>1240</v>
      </c>
      <c r="S212" s="34">
        <v>0</v>
      </c>
      <c r="U212" s="95">
        <f t="shared" si="108"/>
        <v>0</v>
      </c>
      <c r="V212" s="36">
        <v>24.75</v>
      </c>
      <c r="W212" s="66">
        <v>20</v>
      </c>
      <c r="X212" s="15">
        <f t="shared" si="109"/>
        <v>4.75</v>
      </c>
      <c r="Y212" s="63">
        <f t="shared" si="110"/>
        <v>0.23749999999999999</v>
      </c>
      <c r="Z212" s="100" t="s">
        <v>864</v>
      </c>
      <c r="AA212" s="126"/>
      <c r="AD212" s="22" t="s">
        <v>633</v>
      </c>
      <c r="AE212" s="84">
        <v>44230</v>
      </c>
      <c r="AF212" s="86">
        <v>44244</v>
      </c>
      <c r="AG212" s="33">
        <f t="shared" si="107"/>
        <v>14</v>
      </c>
      <c r="AH212" s="43" t="s">
        <v>2521</v>
      </c>
      <c r="AI212" s="280"/>
      <c r="AK212" s="264"/>
      <c r="AL212" s="264"/>
    </row>
    <row r="213" spans="1:40">
      <c r="A213" s="146" t="s">
        <v>1996</v>
      </c>
      <c r="B213" s="79">
        <v>29</v>
      </c>
      <c r="C213" s="80">
        <v>-16</v>
      </c>
      <c r="D213" s="79">
        <v>5</v>
      </c>
      <c r="E213" s="79">
        <v>48</v>
      </c>
      <c r="F213" s="6">
        <v>4.82</v>
      </c>
      <c r="G213" s="80">
        <v>1785</v>
      </c>
      <c r="H213" s="8" t="s">
        <v>316</v>
      </c>
      <c r="I213" s="16" t="s">
        <v>307</v>
      </c>
      <c r="J213" s="73">
        <v>37.92</v>
      </c>
      <c r="K213" s="73">
        <v>12.28</v>
      </c>
      <c r="L213" s="73">
        <v>19.77</v>
      </c>
      <c r="N213" s="318">
        <f t="shared" si="111"/>
        <v>69.97</v>
      </c>
      <c r="O213" s="81">
        <f>IFERROR(VLOOKUP($G213,'321買'!A:E,3,0),"'沒有資料'")</f>
        <v>12</v>
      </c>
      <c r="P213" s="380">
        <f>IFERROR(VLOOKUP($G213,'321買'!$A:$G,7,0),"'沒有資料'")</f>
        <v>368</v>
      </c>
      <c r="R213" s="297">
        <f>IFERROR(RANK(VLOOKUP($G213,連買!$A:$D,4,0),連買!$D:$D,0),"'沒有資料'")</f>
        <v>372</v>
      </c>
      <c r="S213" s="34">
        <v>1</v>
      </c>
      <c r="U213" s="95">
        <f t="shared" si="108"/>
        <v>2.2075055187637971E-2</v>
      </c>
      <c r="V213" s="36">
        <v>45.3</v>
      </c>
      <c r="W213" s="66">
        <v>36</v>
      </c>
      <c r="X213" s="15">
        <f t="shared" si="109"/>
        <v>9.2999999999999972</v>
      </c>
      <c r="Y213" s="63">
        <f t="shared" si="110"/>
        <v>0.25833333333333325</v>
      </c>
      <c r="Z213" s="100" t="s">
        <v>946</v>
      </c>
      <c r="AA213" s="126"/>
      <c r="AD213" s="16" t="s">
        <v>307</v>
      </c>
      <c r="AE213" s="84">
        <v>44229</v>
      </c>
      <c r="AF213" s="86">
        <v>44244</v>
      </c>
      <c r="AG213" s="33">
        <f t="shared" si="107"/>
        <v>15</v>
      </c>
      <c r="AH213" s="43" t="s">
        <v>2449</v>
      </c>
      <c r="AI213" s="280"/>
      <c r="AK213" s="264"/>
      <c r="AL213" s="264"/>
    </row>
    <row r="214" spans="1:40">
      <c r="A214" s="130" t="s">
        <v>3150</v>
      </c>
      <c r="B214" s="79">
        <v>15</v>
      </c>
      <c r="C214" s="79">
        <v>24</v>
      </c>
      <c r="D214" s="79">
        <v>17</v>
      </c>
      <c r="E214" s="79">
        <v>75</v>
      </c>
      <c r="F214" s="57">
        <v>12.84</v>
      </c>
      <c r="G214" s="79">
        <v>6651</v>
      </c>
      <c r="H214" s="204" t="s">
        <v>3254</v>
      </c>
      <c r="I214" s="16" t="s">
        <v>2520</v>
      </c>
      <c r="J214" s="323">
        <v>22.99</v>
      </c>
      <c r="K214" s="323">
        <v>0.77</v>
      </c>
      <c r="L214" s="323"/>
      <c r="N214" s="318">
        <f t="shared" si="111"/>
        <v>23.759999999999998</v>
      </c>
      <c r="O214" s="81">
        <f>IFERROR(VLOOKUP($G214,'321買'!A:E,3,0),"'沒有資料'")</f>
        <v>9</v>
      </c>
      <c r="P214" s="380">
        <f>IFERROR(VLOOKUP($G214,'321買'!$A:$G,7,0),"'沒有資料'")</f>
        <v>448</v>
      </c>
      <c r="R214" s="297">
        <f>IFERROR(RANK(VLOOKUP($G214,連買!$A:$D,4,0),連買!$D:$D,0),"'沒有資料'")</f>
        <v>308</v>
      </c>
      <c r="S214" s="34">
        <v>2</v>
      </c>
      <c r="U214" s="95">
        <f t="shared" si="108"/>
        <v>2.0898641588296761E-2</v>
      </c>
      <c r="V214" s="36">
        <v>95.7</v>
      </c>
      <c r="W214" s="66">
        <v>50.6</v>
      </c>
      <c r="X214" s="15">
        <f t="shared" si="109"/>
        <v>45.1</v>
      </c>
      <c r="Y214" s="63">
        <f t="shared" si="110"/>
        <v>0.89130434782608692</v>
      </c>
      <c r="Z214" s="100" t="s">
        <v>3125</v>
      </c>
      <c r="AA214" s="126"/>
      <c r="AD214" s="16" t="s">
        <v>2520</v>
      </c>
      <c r="AE214" s="84">
        <v>44228</v>
      </c>
      <c r="AF214" s="86">
        <v>44244</v>
      </c>
      <c r="AG214" s="33">
        <f t="shared" si="107"/>
        <v>16</v>
      </c>
      <c r="AH214" s="43" t="s">
        <v>2345</v>
      </c>
      <c r="AI214" s="280"/>
      <c r="AK214" s="264"/>
      <c r="AL214" s="264"/>
    </row>
    <row r="215" spans="1:40">
      <c r="A215" s="146" t="s">
        <v>1879</v>
      </c>
      <c r="B215" s="80">
        <v>-1</v>
      </c>
      <c r="C215" s="79">
        <v>13</v>
      </c>
      <c r="D215" s="80">
        <v>-8</v>
      </c>
      <c r="E215" s="91"/>
      <c r="F215" s="47">
        <v>-9745</v>
      </c>
      <c r="G215" s="80">
        <v>6733</v>
      </c>
      <c r="H215" s="5" t="s">
        <v>5070</v>
      </c>
      <c r="I215" s="16" t="s">
        <v>2476</v>
      </c>
      <c r="J215" s="73">
        <v>55.21</v>
      </c>
      <c r="K215" s="73">
        <v>8.14</v>
      </c>
      <c r="L215" s="323"/>
      <c r="N215" s="318">
        <f t="shared" si="111"/>
        <v>63.35</v>
      </c>
      <c r="O215" s="81" t="str">
        <f>IFERROR(VLOOKUP($G215,'321買'!A:E,3,0),"'沒有資料'")</f>
        <v>'沒有資料'</v>
      </c>
      <c r="P215" s="380" t="str">
        <f>IFERROR(VLOOKUP($G215,'321買'!$A:$G,7,0),"'沒有資料'")</f>
        <v>'沒有資料'</v>
      </c>
      <c r="R215" s="297">
        <f>IFERROR(RANK(VLOOKUP($G215,連買!$A:$D,4,0),連買!$D:$D,0),"'沒有資料'")</f>
        <v>976</v>
      </c>
      <c r="S215" s="34">
        <v>0</v>
      </c>
      <c r="U215" s="57">
        <f t="shared" si="108"/>
        <v>0</v>
      </c>
      <c r="V215" s="36">
        <v>27.75</v>
      </c>
      <c r="W215" s="66">
        <v>28</v>
      </c>
      <c r="X215" s="15">
        <f t="shared" si="109"/>
        <v>-0.25</v>
      </c>
      <c r="Y215" s="76">
        <f t="shared" si="110"/>
        <v>-8.9285714285714281E-3</v>
      </c>
      <c r="Z215" s="100" t="s">
        <v>3115</v>
      </c>
      <c r="AA215" s="126"/>
      <c r="AD215" s="16" t="s">
        <v>2476</v>
      </c>
      <c r="AE215" s="84">
        <v>44224</v>
      </c>
      <c r="AF215" s="86">
        <v>44244</v>
      </c>
      <c r="AG215" s="33">
        <f t="shared" si="107"/>
        <v>20</v>
      </c>
      <c r="AH215" s="43" t="s">
        <v>2477</v>
      </c>
      <c r="AI215" s="280"/>
      <c r="AK215" s="264"/>
      <c r="AL215" s="264"/>
    </row>
    <row r="216" spans="1:40">
      <c r="A216" s="146" t="s">
        <v>1734</v>
      </c>
      <c r="B216" s="80">
        <v>-13</v>
      </c>
      <c r="C216" s="80">
        <v>-12</v>
      </c>
      <c r="D216" s="79">
        <v>14</v>
      </c>
      <c r="E216" s="79">
        <v>4</v>
      </c>
      <c r="F216" s="6">
        <v>3.77</v>
      </c>
      <c r="G216" s="79">
        <v>4739</v>
      </c>
      <c r="H216" s="8" t="s">
        <v>3879</v>
      </c>
      <c r="I216" s="22" t="s">
        <v>3935</v>
      </c>
      <c r="J216" s="73">
        <v>38.479999999999997</v>
      </c>
      <c r="K216" s="73">
        <v>2.95</v>
      </c>
      <c r="L216" s="73">
        <v>11.21</v>
      </c>
      <c r="N216" s="318">
        <f t="shared" si="111"/>
        <v>52.64</v>
      </c>
      <c r="O216" s="81">
        <f>IFERROR(VLOOKUP($G216,'321買'!A:E,3,0),"'沒有資料'")</f>
        <v>80</v>
      </c>
      <c r="P216" s="380">
        <f>IFERROR(VLOOKUP($G216,'321買'!$A:$G,7,0),"'沒有資料'")</f>
        <v>18</v>
      </c>
      <c r="R216" s="297">
        <f>IFERROR(RANK(VLOOKUP($G216,連買!$A:$D,4,0),連買!$D:$D,0),"'沒有資料'")</f>
        <v>127</v>
      </c>
      <c r="S216" s="34">
        <v>1.23</v>
      </c>
      <c r="U216" s="95">
        <f t="shared" si="108"/>
        <v>1.9069767441860466E-2</v>
      </c>
      <c r="V216" s="36">
        <v>64.5</v>
      </c>
      <c r="W216" s="66">
        <v>50</v>
      </c>
      <c r="X216" s="15">
        <f t="shared" si="109"/>
        <v>14.5</v>
      </c>
      <c r="Y216" s="63">
        <f t="shared" si="110"/>
        <v>0.28999999999999998</v>
      </c>
      <c r="Z216" s="100" t="s">
        <v>3116</v>
      </c>
      <c r="AA216" s="126"/>
      <c r="AD216" s="22" t="s">
        <v>171</v>
      </c>
      <c r="AE216" s="84">
        <v>44224</v>
      </c>
      <c r="AF216" s="86">
        <v>44244</v>
      </c>
      <c r="AG216" s="33">
        <f t="shared" si="107"/>
        <v>20</v>
      </c>
      <c r="AH216" s="120" t="s">
        <v>2473</v>
      </c>
      <c r="AI216" s="280"/>
      <c r="AK216" s="264"/>
      <c r="AL216" s="264"/>
      <c r="AM216" s="275"/>
    </row>
    <row r="217" spans="1:40">
      <c r="A217" s="146" t="s">
        <v>1596</v>
      </c>
      <c r="B217" s="79">
        <v>12</v>
      </c>
      <c r="C217" s="79">
        <v>11</v>
      </c>
      <c r="D217" s="80">
        <v>-68</v>
      </c>
      <c r="E217" s="80">
        <v>-45</v>
      </c>
      <c r="F217" s="6">
        <v>9.09</v>
      </c>
      <c r="G217" s="80">
        <v>6661</v>
      </c>
      <c r="H217" s="5" t="s">
        <v>5070</v>
      </c>
      <c r="I217" s="16" t="s">
        <v>2471</v>
      </c>
      <c r="J217" s="323">
        <v>46.93</v>
      </c>
      <c r="K217" s="73">
        <v>0</v>
      </c>
      <c r="L217" s="323"/>
      <c r="N217" s="318">
        <f t="shared" si="111"/>
        <v>46.93</v>
      </c>
      <c r="O217" s="81" t="str">
        <f>IFERROR(VLOOKUP($G217,'321買'!A:E,3,0),"'沒有資料'")</f>
        <v>'沒有資料'</v>
      </c>
      <c r="P217" s="380" t="str">
        <f>IFERROR(VLOOKUP($G217,'321買'!$A:$G,7,0),"'沒有資料'")</f>
        <v>'沒有資料'</v>
      </c>
      <c r="R217" s="297">
        <f>IFERROR(RANK(VLOOKUP($G217,連買!$A:$D,4,0),連買!$D:$D,0),"'沒有資料'")</f>
        <v>1448</v>
      </c>
      <c r="S217" s="34">
        <v>1.34</v>
      </c>
      <c r="U217" s="95">
        <f t="shared" si="108"/>
        <v>5.2549019607843139E-2</v>
      </c>
      <c r="V217" s="36">
        <v>25.5</v>
      </c>
      <c r="W217" s="66">
        <v>26</v>
      </c>
      <c r="X217" s="15">
        <f t="shared" si="109"/>
        <v>-0.5</v>
      </c>
      <c r="Y217" s="76">
        <f t="shared" si="110"/>
        <v>-1.9230769230769232E-2</v>
      </c>
      <c r="Z217" s="100" t="s">
        <v>3070</v>
      </c>
      <c r="AA217" s="126"/>
      <c r="AD217" s="16" t="s">
        <v>2471</v>
      </c>
      <c r="AE217" s="84">
        <v>44223</v>
      </c>
      <c r="AF217" s="86">
        <v>44244</v>
      </c>
      <c r="AG217" s="33">
        <f t="shared" si="107"/>
        <v>21</v>
      </c>
      <c r="AH217" s="43" t="s">
        <v>2472</v>
      </c>
      <c r="AI217" s="280"/>
      <c r="AK217" s="264"/>
      <c r="AL217" s="264"/>
    </row>
    <row r="218" spans="1:40">
      <c r="A218" s="146" t="s">
        <v>3142</v>
      </c>
      <c r="B218" s="79">
        <v>164</v>
      </c>
      <c r="C218" s="80">
        <v>-19</v>
      </c>
      <c r="D218" s="79">
        <v>-38</v>
      </c>
      <c r="E218" s="79">
        <v>54</v>
      </c>
      <c r="F218" s="6">
        <v>6.84</v>
      </c>
      <c r="G218" s="79">
        <v>3680</v>
      </c>
      <c r="H218" s="195" t="s">
        <v>3254</v>
      </c>
      <c r="I218" s="16" t="s">
        <v>368</v>
      </c>
      <c r="J218" s="323">
        <v>41.07</v>
      </c>
      <c r="K218" s="73">
        <v>13.2</v>
      </c>
      <c r="L218" s="73">
        <v>22.84</v>
      </c>
      <c r="N218" s="318">
        <f t="shared" si="111"/>
        <v>77.11</v>
      </c>
      <c r="O218" s="81">
        <f>IFERROR(VLOOKUP($G218,'321買'!A:E,3,0),"'沒有資料'")</f>
        <v>12</v>
      </c>
      <c r="P218" s="380">
        <f>IFERROR(VLOOKUP($G218,'321買'!$A:$G,7,0),"'沒有資料'")</f>
        <v>348</v>
      </c>
      <c r="R218" s="297">
        <f>IFERROR(RANK(VLOOKUP($G218,連買!$A:$D,4,0),連買!$D:$D,0),"'沒有資料'")</f>
        <v>252</v>
      </c>
      <c r="S218" s="34">
        <v>1.5</v>
      </c>
      <c r="U218" s="95">
        <f t="shared" si="108"/>
        <v>4.2194092827004216E-3</v>
      </c>
      <c r="V218" s="36">
        <v>355.5</v>
      </c>
      <c r="W218" s="45">
        <v>236</v>
      </c>
      <c r="X218" s="15">
        <f t="shared" si="109"/>
        <v>119.5</v>
      </c>
      <c r="Y218" s="63">
        <f t="shared" si="110"/>
        <v>0.50635593220338981</v>
      </c>
      <c r="Z218" s="100" t="s">
        <v>3071</v>
      </c>
      <c r="AA218" s="126"/>
      <c r="AD218" s="16" t="s">
        <v>368</v>
      </c>
      <c r="AE218" s="84">
        <v>44223</v>
      </c>
      <c r="AF218" s="86">
        <v>44244</v>
      </c>
      <c r="AG218" s="33">
        <f t="shared" si="107"/>
        <v>21</v>
      </c>
      <c r="AH218" s="43" t="s">
        <v>2079</v>
      </c>
      <c r="AI218" s="280"/>
      <c r="AK218" s="264"/>
      <c r="AL218" s="264"/>
    </row>
    <row r="219" spans="1:40">
      <c r="A219" s="146" t="s">
        <v>3133</v>
      </c>
      <c r="B219" s="80">
        <v>-59</v>
      </c>
      <c r="C219" s="80">
        <v>-1</v>
      </c>
      <c r="D219" s="79">
        <v>28</v>
      </c>
      <c r="E219" s="80">
        <v>-18</v>
      </c>
      <c r="F219" s="6">
        <v>-47.36</v>
      </c>
      <c r="G219" s="80">
        <v>6767</v>
      </c>
      <c r="H219" s="4" t="s">
        <v>5070</v>
      </c>
      <c r="I219" s="16" t="s">
        <v>2463</v>
      </c>
      <c r="J219" s="323">
        <v>46.25</v>
      </c>
      <c r="K219" s="73">
        <v>0.06</v>
      </c>
      <c r="N219" s="318">
        <f t="shared" si="111"/>
        <v>46.31</v>
      </c>
      <c r="O219" s="81" t="str">
        <f>IFERROR(VLOOKUP($G219,'321買'!A:E,3,0),"'沒有資料'")</f>
        <v>'沒有資料'</v>
      </c>
      <c r="P219" s="380" t="str">
        <f>IFERROR(VLOOKUP($G219,'321買'!$A:$G,7,0),"'沒有資料'")</f>
        <v>'沒有資料'</v>
      </c>
      <c r="R219" s="297">
        <f>IFERROR(RANK(VLOOKUP($G219,連買!$A:$D,4,0),連買!$D:$D,0),"'沒有資料'")</f>
        <v>1202</v>
      </c>
      <c r="S219" s="34">
        <v>0</v>
      </c>
      <c r="U219" s="95">
        <f t="shared" si="108"/>
        <v>0</v>
      </c>
      <c r="V219" s="36">
        <v>32.450000000000003</v>
      </c>
      <c r="W219" s="66">
        <v>30</v>
      </c>
      <c r="X219" s="15">
        <f t="shared" si="109"/>
        <v>2.4500000000000028</v>
      </c>
      <c r="Y219" s="63">
        <f t="shared" si="110"/>
        <v>8.1666666666666762E-2</v>
      </c>
      <c r="Z219" s="100" t="s">
        <v>963</v>
      </c>
      <c r="AA219" s="126"/>
      <c r="AD219" s="16" t="s">
        <v>2463</v>
      </c>
      <c r="AE219" s="84">
        <v>44221</v>
      </c>
      <c r="AF219" s="86">
        <v>44231</v>
      </c>
      <c r="AG219" s="33">
        <f t="shared" si="107"/>
        <v>10</v>
      </c>
      <c r="AH219" s="43" t="s">
        <v>2465</v>
      </c>
      <c r="AI219" s="280"/>
      <c r="AK219" s="264"/>
      <c r="AL219" s="264"/>
    </row>
    <row r="220" spans="1:40">
      <c r="A220" s="146" t="s">
        <v>2448</v>
      </c>
      <c r="B220" s="94">
        <v>-1759</v>
      </c>
      <c r="C220" s="80">
        <v>-610</v>
      </c>
      <c r="D220" s="79">
        <v>11</v>
      </c>
      <c r="E220" s="79">
        <v>234</v>
      </c>
      <c r="F220" s="6">
        <v>-4.6399999999999997</v>
      </c>
      <c r="G220" s="80">
        <v>5011</v>
      </c>
      <c r="H220" s="4" t="s">
        <v>301</v>
      </c>
      <c r="I220" s="16" t="s">
        <v>845</v>
      </c>
      <c r="J220" s="323">
        <v>32.72</v>
      </c>
      <c r="K220" s="73">
        <v>2.16</v>
      </c>
      <c r="L220" s="73">
        <v>29.82</v>
      </c>
      <c r="N220" s="318">
        <f t="shared" si="111"/>
        <v>64.699999999999989</v>
      </c>
      <c r="O220" s="81">
        <f>IFERROR(VLOOKUP($G220,'321買'!A:E,3,0),"'沒有資料'")</f>
        <v>32</v>
      </c>
      <c r="P220" s="380">
        <f>IFERROR(VLOOKUP($G220,'321買'!$A:$G,7,0),"'沒有資料'")</f>
        <v>135</v>
      </c>
      <c r="R220" s="297">
        <f>IFERROR(RANK(VLOOKUP($G220,連買!$A:$D,4,0),連買!$D:$D,0),"'沒有資料'")</f>
        <v>573</v>
      </c>
      <c r="S220" s="34">
        <v>0</v>
      </c>
      <c r="U220" s="95">
        <f t="shared" si="108"/>
        <v>0</v>
      </c>
      <c r="V220" s="36">
        <v>30.7</v>
      </c>
      <c r="W220" s="45">
        <v>32.5</v>
      </c>
      <c r="X220" s="15">
        <f t="shared" si="109"/>
        <v>-1.8000000000000007</v>
      </c>
      <c r="Y220" s="76">
        <f t="shared" si="110"/>
        <v>-5.5384615384615407E-2</v>
      </c>
      <c r="Z220" s="100" t="s">
        <v>2961</v>
      </c>
      <c r="AA220" s="126"/>
      <c r="AD220" s="16" t="s">
        <v>845</v>
      </c>
      <c r="AE220" s="84">
        <v>44221</v>
      </c>
      <c r="AF220" s="86">
        <v>44231</v>
      </c>
      <c r="AG220" s="33">
        <f t="shared" si="107"/>
        <v>10</v>
      </c>
      <c r="AH220" s="43" t="s">
        <v>2446</v>
      </c>
      <c r="AI220" s="280"/>
      <c r="AK220" s="264"/>
      <c r="AL220" s="264"/>
    </row>
    <row r="221" spans="1:40">
      <c r="A221" s="130" t="s">
        <v>3126</v>
      </c>
      <c r="B221" s="79">
        <v>0</v>
      </c>
      <c r="C221" s="79">
        <v>1</v>
      </c>
      <c r="D221" s="80">
        <v>-16</v>
      </c>
      <c r="E221" s="80">
        <v>-3</v>
      </c>
      <c r="F221" s="57">
        <v>23.06</v>
      </c>
      <c r="G221" s="80">
        <v>6515</v>
      </c>
      <c r="H221" s="4" t="s">
        <v>3254</v>
      </c>
      <c r="I221" s="22" t="s">
        <v>2445</v>
      </c>
      <c r="J221" s="323">
        <v>30.71</v>
      </c>
      <c r="K221" s="73">
        <v>4.82</v>
      </c>
      <c r="N221" s="318">
        <f t="shared" si="111"/>
        <v>35.53</v>
      </c>
      <c r="O221" s="81">
        <f>IFERROR(VLOOKUP($G221,'321買'!A:E,3,0),"'沒有資料'")</f>
        <v>37</v>
      </c>
      <c r="P221" s="380">
        <f>IFERROR(VLOOKUP($G221,'321買'!$A:$G,7,0),"'沒有資料'")</f>
        <v>117</v>
      </c>
      <c r="R221" s="297">
        <f>IFERROR(RANK(VLOOKUP($G221,連買!$A:$D,4,0),連買!$D:$D,0),"'沒有資料'")</f>
        <v>18</v>
      </c>
      <c r="S221" s="34">
        <v>12</v>
      </c>
      <c r="U221" s="95">
        <f t="shared" si="108"/>
        <v>2.9232643118148598E-2</v>
      </c>
      <c r="V221" s="36">
        <v>410.5</v>
      </c>
      <c r="W221" s="66">
        <v>348</v>
      </c>
      <c r="X221" s="15">
        <f t="shared" si="109"/>
        <v>62.5</v>
      </c>
      <c r="Y221" s="63">
        <f t="shared" si="110"/>
        <v>0.17959770114942528</v>
      </c>
      <c r="Z221" s="100" t="s">
        <v>2734</v>
      </c>
      <c r="AA221" s="126"/>
      <c r="AD221" s="22" t="s">
        <v>2445</v>
      </c>
      <c r="AE221" s="84">
        <v>44216</v>
      </c>
      <c r="AF221" s="86">
        <v>44228</v>
      </c>
      <c r="AG221" s="33">
        <f t="shared" si="107"/>
        <v>12</v>
      </c>
      <c r="AH221" s="120" t="s">
        <v>2447</v>
      </c>
      <c r="AI221" s="280"/>
      <c r="AK221" s="264"/>
      <c r="AL221" s="264"/>
    </row>
    <row r="222" spans="1:40">
      <c r="A222" s="130" t="s">
        <v>3124</v>
      </c>
      <c r="B222" s="79">
        <v>5</v>
      </c>
      <c r="C222" s="79">
        <v>9</v>
      </c>
      <c r="D222" s="80">
        <v>-6</v>
      </c>
      <c r="E222" s="79">
        <v>24</v>
      </c>
      <c r="F222" s="57">
        <v>30.47</v>
      </c>
      <c r="G222" s="79">
        <v>6747</v>
      </c>
      <c r="H222" s="4" t="s">
        <v>5070</v>
      </c>
      <c r="I222" s="16" t="s">
        <v>2414</v>
      </c>
      <c r="J222" s="323">
        <v>77.02</v>
      </c>
      <c r="K222" s="323">
        <v>1.48</v>
      </c>
      <c r="L222" s="323"/>
      <c r="N222" s="318">
        <f t="shared" si="111"/>
        <v>78.5</v>
      </c>
      <c r="O222" s="81" t="str">
        <f>IFERROR(VLOOKUP($G222,'321買'!A:E,3,0),"'沒有資料'")</f>
        <v>'沒有資料'</v>
      </c>
      <c r="P222" s="380" t="str">
        <f>IFERROR(VLOOKUP($G222,'321買'!$A:$G,7,0),"'沒有資料'")</f>
        <v>'沒有資料'</v>
      </c>
      <c r="R222" s="297">
        <f>IFERROR(RANK(VLOOKUP($G222,連買!$A:$D,4,0),連買!$D:$D,0),"'沒有資料'")</f>
        <v>1722</v>
      </c>
      <c r="S222" s="34">
        <v>4.55</v>
      </c>
      <c r="U222" s="95">
        <f t="shared" si="108"/>
        <v>2.3821989528795811E-2</v>
      </c>
      <c r="V222" s="36">
        <v>191</v>
      </c>
      <c r="W222" s="66">
        <v>100</v>
      </c>
      <c r="X222" s="15">
        <f t="shared" si="109"/>
        <v>91</v>
      </c>
      <c r="Y222" s="153">
        <f t="shared" si="110"/>
        <v>0.91</v>
      </c>
      <c r="Z222" s="100" t="s">
        <v>2522</v>
      </c>
      <c r="AA222" s="126"/>
      <c r="AD222" s="16" t="s">
        <v>2414</v>
      </c>
      <c r="AE222" s="84">
        <v>44215</v>
      </c>
      <c r="AF222" s="86">
        <v>44225</v>
      </c>
      <c r="AG222" s="33">
        <f t="shared" si="107"/>
        <v>10</v>
      </c>
      <c r="AH222" s="43" t="s">
        <v>2464</v>
      </c>
      <c r="AI222" s="280"/>
      <c r="AK222" s="264"/>
      <c r="AL222" s="264"/>
    </row>
    <row r="223" spans="1:40">
      <c r="A223" s="146" t="s">
        <v>1567</v>
      </c>
      <c r="B223" s="79">
        <v>86</v>
      </c>
      <c r="C223" s="79">
        <v>124</v>
      </c>
      <c r="D223" s="79">
        <v>14</v>
      </c>
      <c r="E223" s="79">
        <v>82</v>
      </c>
      <c r="F223" s="6">
        <v>4.6500000000000004</v>
      </c>
      <c r="G223" s="80">
        <v>2636</v>
      </c>
      <c r="H223" s="4" t="s">
        <v>304</v>
      </c>
      <c r="I223" s="22" t="s">
        <v>2038</v>
      </c>
      <c r="J223" s="73">
        <v>48.59</v>
      </c>
      <c r="K223" s="323">
        <v>20.76</v>
      </c>
      <c r="L223" s="323">
        <v>9.25</v>
      </c>
      <c r="N223" s="318">
        <f t="shared" si="111"/>
        <v>78.600000000000009</v>
      </c>
      <c r="O223" s="81">
        <f>IFERROR(VLOOKUP($G223,'321買'!A:E,3,0),"'沒有資料'")</f>
        <v>66</v>
      </c>
      <c r="P223" s="380">
        <f>IFERROR(VLOOKUP($G223,'321買'!$A:$G,7,0),"'沒有資料'")</f>
        <v>42</v>
      </c>
      <c r="R223" s="297">
        <f>IFERROR(RANK(VLOOKUP($G223,連買!$A:$D,4,0),連買!$D:$D,0),"'沒有資料'")</f>
        <v>76</v>
      </c>
      <c r="S223" s="34">
        <v>1.32</v>
      </c>
      <c r="U223" s="95">
        <f t="shared" si="108"/>
        <v>3.4691195795006576E-2</v>
      </c>
      <c r="V223" s="36">
        <v>38.049999999999997</v>
      </c>
      <c r="W223" s="66">
        <v>30</v>
      </c>
      <c r="X223" s="15">
        <f t="shared" si="109"/>
        <v>8.0499999999999972</v>
      </c>
      <c r="Y223" s="63">
        <f t="shared" si="110"/>
        <v>0.26833333333333326</v>
      </c>
      <c r="Z223" s="100" t="s">
        <v>2523</v>
      </c>
      <c r="AA223" s="126"/>
      <c r="AD223" s="22" t="s">
        <v>2038</v>
      </c>
      <c r="AE223" s="84">
        <v>44215</v>
      </c>
      <c r="AF223" s="86">
        <v>44225</v>
      </c>
      <c r="AG223" s="33">
        <f t="shared" si="107"/>
        <v>10</v>
      </c>
      <c r="AH223" s="43" t="s">
        <v>2152</v>
      </c>
      <c r="AI223" s="280"/>
      <c r="AK223" s="264"/>
      <c r="AL223" s="264"/>
    </row>
    <row r="224" spans="1:40">
      <c r="A224" s="146" t="s">
        <v>2360</v>
      </c>
      <c r="B224" s="80">
        <v>-594</v>
      </c>
      <c r="C224" s="80">
        <v>-94</v>
      </c>
      <c r="D224" s="79">
        <v>28</v>
      </c>
      <c r="E224" s="80">
        <v>-56</v>
      </c>
      <c r="F224" s="6">
        <v>-48.15</v>
      </c>
      <c r="G224" s="79">
        <v>6431</v>
      </c>
      <c r="H224" s="4" t="s">
        <v>308</v>
      </c>
      <c r="I224" s="22" t="s">
        <v>451</v>
      </c>
      <c r="J224" s="73">
        <v>46.03</v>
      </c>
      <c r="K224" s="323">
        <v>17.649999999999999</v>
      </c>
      <c r="N224" s="318">
        <f t="shared" si="111"/>
        <v>63.68</v>
      </c>
      <c r="O224" s="81">
        <f>IFERROR(VLOOKUP($G224,'321買'!A:E,3,0),"'沒有資料'")</f>
        <v>0</v>
      </c>
      <c r="P224" s="380">
        <f>IFERROR(VLOOKUP($G224,'321買'!$A:$G,7,0),"'沒有資料'")</f>
        <v>911</v>
      </c>
      <c r="R224" s="297">
        <f>IFERROR(RANK(VLOOKUP($G224,連買!$A:$D,4,0),連買!$D:$D,0),"'沒有資料'")</f>
        <v>990</v>
      </c>
      <c r="S224" s="34">
        <v>0</v>
      </c>
      <c r="U224" s="95">
        <f t="shared" si="108"/>
        <v>0</v>
      </c>
      <c r="V224" s="36">
        <v>29.85</v>
      </c>
      <c r="W224" s="66">
        <v>29.8</v>
      </c>
      <c r="X224" s="15">
        <f t="shared" si="109"/>
        <v>5.0000000000000711E-2</v>
      </c>
      <c r="Y224" s="63">
        <f t="shared" si="110"/>
        <v>1.6778523489933124E-3</v>
      </c>
      <c r="Z224" s="101" t="s">
        <v>2467</v>
      </c>
      <c r="AA224" s="126"/>
      <c r="AD224" s="22" t="s">
        <v>451</v>
      </c>
      <c r="AE224" s="84">
        <v>44209</v>
      </c>
      <c r="AF224" s="86">
        <v>44221</v>
      </c>
      <c r="AG224" s="33">
        <f t="shared" si="107"/>
        <v>12</v>
      </c>
      <c r="AH224" s="43" t="s">
        <v>2361</v>
      </c>
      <c r="AI224" s="280"/>
      <c r="AK224" s="264"/>
      <c r="AL224" s="264"/>
    </row>
    <row r="225" spans="1:42">
      <c r="A225" s="146" t="s">
        <v>2351</v>
      </c>
      <c r="B225" s="80">
        <v>-42</v>
      </c>
      <c r="C225" s="80">
        <v>-42</v>
      </c>
      <c r="D225" s="79">
        <v>150</v>
      </c>
      <c r="E225" s="79">
        <v>188</v>
      </c>
      <c r="F225" s="73">
        <v>-278.64</v>
      </c>
      <c r="G225" s="79">
        <v>6712</v>
      </c>
      <c r="H225" s="4" t="s">
        <v>5070</v>
      </c>
      <c r="I225" s="16" t="s">
        <v>2350</v>
      </c>
      <c r="J225" s="323">
        <v>53.02</v>
      </c>
      <c r="K225" s="323">
        <v>1.97</v>
      </c>
      <c r="L225" s="323"/>
      <c r="N225" s="318">
        <f t="shared" si="111"/>
        <v>54.99</v>
      </c>
      <c r="O225" s="81" t="str">
        <f>IFERROR(VLOOKUP($G225,'321買'!A:E,3,0),"'沒有資料'")</f>
        <v>'沒有資料'</v>
      </c>
      <c r="P225" s="380" t="str">
        <f>IFERROR(VLOOKUP($G225,'321買'!$A:$G,7,0),"'沒有資料'")</f>
        <v>'沒有資料'</v>
      </c>
      <c r="R225" s="297">
        <f>IFERROR(RANK(VLOOKUP($G225,連買!$A:$D,4,0),連買!$D:$D,0),"'沒有資料'")</f>
        <v>1752</v>
      </c>
      <c r="S225" s="34">
        <v>0</v>
      </c>
      <c r="U225" s="95">
        <f t="shared" si="108"/>
        <v>0</v>
      </c>
      <c r="V225" s="36">
        <v>220.5</v>
      </c>
      <c r="W225" s="66">
        <v>138</v>
      </c>
      <c r="X225" s="15">
        <f t="shared" si="109"/>
        <v>82.5</v>
      </c>
      <c r="Y225" s="63">
        <f t="shared" si="110"/>
        <v>0.59782608695652173</v>
      </c>
      <c r="Z225" s="100" t="s">
        <v>2450</v>
      </c>
      <c r="AA225" s="264"/>
      <c r="AD225" s="16" t="s">
        <v>2350</v>
      </c>
      <c r="AE225" s="84">
        <v>44204</v>
      </c>
      <c r="AF225" s="86">
        <v>44214</v>
      </c>
      <c r="AG225" s="33">
        <f t="shared" si="107"/>
        <v>10</v>
      </c>
      <c r="AH225" s="43" t="s">
        <v>2352</v>
      </c>
      <c r="AI225" s="280"/>
      <c r="AK225" s="264"/>
      <c r="AL225" s="264"/>
    </row>
    <row r="226" spans="1:42">
      <c r="A226" s="130" t="s">
        <v>2327</v>
      </c>
      <c r="B226" s="80">
        <v>-7</v>
      </c>
      <c r="C226" s="80">
        <v>-8</v>
      </c>
      <c r="D226" s="79">
        <v>46</v>
      </c>
      <c r="E226" s="79">
        <v>48</v>
      </c>
      <c r="F226" s="57">
        <v>11.47</v>
      </c>
      <c r="G226" s="80">
        <v>5536</v>
      </c>
      <c r="H226" s="4" t="s">
        <v>316</v>
      </c>
      <c r="I226" s="16" t="s">
        <v>6538</v>
      </c>
      <c r="J226" s="323">
        <v>20.12</v>
      </c>
      <c r="K226" s="73">
        <v>14.78</v>
      </c>
      <c r="L226" s="73">
        <v>4.5999999999999996</v>
      </c>
      <c r="N226" s="318">
        <f t="shared" si="111"/>
        <v>39.5</v>
      </c>
      <c r="O226" s="81">
        <f>IFERROR(VLOOKUP($G226,'321買'!A:E,3,0),"'沒有資料'")</f>
        <v>6</v>
      </c>
      <c r="P226" s="380">
        <f>IFERROR(VLOOKUP($G226,'321買'!$A:$G,7,0),"'沒有資料'")</f>
        <v>521</v>
      </c>
      <c r="R226" s="297">
        <f>IFERROR(RANK(VLOOKUP($G226,連買!$A:$D,4,0),連買!$D:$D,0),"'沒有資料'")</f>
        <v>95</v>
      </c>
      <c r="S226" s="34">
        <v>15</v>
      </c>
      <c r="U226" s="95">
        <f t="shared" si="108"/>
        <v>7.9365079365079361E-2</v>
      </c>
      <c r="V226" s="36">
        <v>189</v>
      </c>
      <c r="W226" s="66">
        <v>166</v>
      </c>
      <c r="X226" s="15">
        <f t="shared" si="109"/>
        <v>23</v>
      </c>
      <c r="Y226" s="63">
        <f t="shared" si="110"/>
        <v>0.13855421686746988</v>
      </c>
      <c r="Z226" s="100" t="s">
        <v>2417</v>
      </c>
      <c r="AA226" s="126"/>
      <c r="AD226" s="16" t="s">
        <v>148</v>
      </c>
      <c r="AE226" s="84">
        <v>44203</v>
      </c>
      <c r="AF226" s="86">
        <v>44214</v>
      </c>
      <c r="AG226" s="33">
        <f t="shared" si="107"/>
        <v>11</v>
      </c>
      <c r="AH226" s="120" t="s">
        <v>1451</v>
      </c>
      <c r="AI226" s="280"/>
      <c r="AK226" s="264"/>
      <c r="AL226" s="264"/>
    </row>
    <row r="227" spans="1:42">
      <c r="A227" s="146" t="s">
        <v>2321</v>
      </c>
      <c r="B227" s="79">
        <v>347</v>
      </c>
      <c r="C227" s="79">
        <v>463</v>
      </c>
      <c r="D227" s="80">
        <v>-23</v>
      </c>
      <c r="E227" s="79">
        <v>10</v>
      </c>
      <c r="F227" s="6">
        <v>5.27</v>
      </c>
      <c r="G227" s="79">
        <v>3666</v>
      </c>
      <c r="H227" s="4" t="s">
        <v>308</v>
      </c>
      <c r="I227" s="16" t="s">
        <v>456</v>
      </c>
      <c r="J227" s="73">
        <v>49.98</v>
      </c>
      <c r="K227" s="323">
        <v>7.48</v>
      </c>
      <c r="L227" s="323">
        <v>58.68</v>
      </c>
      <c r="N227" s="318">
        <f t="shared" si="111"/>
        <v>116.13999999999999</v>
      </c>
      <c r="O227" s="81">
        <f>IFERROR(VLOOKUP($G227,'321買'!A:E,3,0),"'沒有資料'")</f>
        <v>12</v>
      </c>
      <c r="P227" s="380">
        <f>IFERROR(VLOOKUP($G227,'321買'!$A:$G,7,0),"'沒有資料'")</f>
        <v>387</v>
      </c>
      <c r="R227" s="297">
        <f>IFERROR(RANK(VLOOKUP($G227,連買!$A:$D,4,0),連買!$D:$D,0),"'沒有資料'")</f>
        <v>373</v>
      </c>
      <c r="S227" s="34">
        <v>0</v>
      </c>
      <c r="U227" s="95">
        <f t="shared" si="108"/>
        <v>0</v>
      </c>
      <c r="V227" s="36">
        <v>68</v>
      </c>
      <c r="W227" s="45">
        <v>70</v>
      </c>
      <c r="X227" s="15">
        <f t="shared" si="109"/>
        <v>-2</v>
      </c>
      <c r="Y227" s="76">
        <f t="shared" si="110"/>
        <v>-2.8571428571428571E-2</v>
      </c>
      <c r="Z227" s="101" t="s">
        <v>2411</v>
      </c>
      <c r="AA227" s="126"/>
      <c r="AD227" s="16" t="s">
        <v>456</v>
      </c>
      <c r="AE227" s="84">
        <v>44202</v>
      </c>
      <c r="AF227" s="86">
        <v>44214</v>
      </c>
      <c r="AG227" s="33">
        <f t="shared" si="107"/>
        <v>12</v>
      </c>
      <c r="AH227" s="43" t="s">
        <v>2121</v>
      </c>
      <c r="AI227" s="280"/>
      <c r="AK227" s="264"/>
      <c r="AL227" s="264"/>
    </row>
    <row r="228" spans="1:42">
      <c r="A228" s="130" t="s">
        <v>2313</v>
      </c>
      <c r="B228" s="79">
        <v>80</v>
      </c>
      <c r="C228" s="79">
        <v>55</v>
      </c>
      <c r="D228" s="79">
        <v>5</v>
      </c>
      <c r="E228" s="80">
        <v>-4</v>
      </c>
      <c r="F228" s="57">
        <v>18.11</v>
      </c>
      <c r="G228" s="79">
        <v>5546</v>
      </c>
      <c r="H228" s="4" t="s">
        <v>4327</v>
      </c>
      <c r="I228" s="22" t="s">
        <v>2013</v>
      </c>
      <c r="J228" s="323">
        <v>72.16</v>
      </c>
      <c r="K228" s="73">
        <v>55.06</v>
      </c>
      <c r="L228" s="73">
        <v>2.38</v>
      </c>
      <c r="N228" s="318">
        <f t="shared" si="111"/>
        <v>129.6</v>
      </c>
      <c r="O228" s="81">
        <f>IFERROR(VLOOKUP($G228,'321買'!A:E,3,0),"'沒有資料'")</f>
        <v>0</v>
      </c>
      <c r="P228" s="380">
        <f>IFERROR(VLOOKUP($G228,'321買'!$A:$G,7,0),"'沒有資料'")</f>
        <v>911</v>
      </c>
      <c r="R228" s="297">
        <f>IFERROR(RANK(VLOOKUP($G228,連買!$A:$D,4,0),連買!$D:$D,0),"'沒有資料'")</f>
        <v>1684</v>
      </c>
      <c r="S228" s="34">
        <v>4</v>
      </c>
      <c r="U228" s="95">
        <f t="shared" si="108"/>
        <v>5.1679586563307491E-2</v>
      </c>
      <c r="V228" s="13">
        <v>77.400000000000006</v>
      </c>
      <c r="W228" s="66">
        <v>66</v>
      </c>
      <c r="X228" s="15">
        <f t="shared" si="109"/>
        <v>11.400000000000006</v>
      </c>
      <c r="Y228" s="63">
        <f t="shared" si="110"/>
        <v>0.17272727272727281</v>
      </c>
      <c r="Z228" s="100" t="s">
        <v>2369</v>
      </c>
      <c r="AA228" s="126"/>
      <c r="AD228" s="22" t="s">
        <v>2013</v>
      </c>
      <c r="AE228" s="84">
        <v>44196</v>
      </c>
      <c r="AF228" s="86">
        <v>44207</v>
      </c>
      <c r="AG228" s="33">
        <f t="shared" si="107"/>
        <v>11</v>
      </c>
      <c r="AH228" s="120" t="s">
        <v>2026</v>
      </c>
      <c r="AI228" s="280"/>
      <c r="AK228" s="264"/>
      <c r="AL228" s="264"/>
    </row>
    <row r="229" spans="1:42">
      <c r="A229" s="146" t="s">
        <v>1718</v>
      </c>
      <c r="B229" s="80">
        <v>-28</v>
      </c>
      <c r="C229" s="80">
        <v>-48</v>
      </c>
      <c r="D229" s="79">
        <v>12</v>
      </c>
      <c r="E229" s="80">
        <v>-17</v>
      </c>
      <c r="F229" s="6">
        <v>4.22</v>
      </c>
      <c r="G229" s="79">
        <v>2034</v>
      </c>
      <c r="H229" s="4" t="s">
        <v>301</v>
      </c>
      <c r="I229" s="22" t="s">
        <v>283</v>
      </c>
      <c r="J229" s="323">
        <v>42.92</v>
      </c>
      <c r="K229" s="323">
        <v>9.26</v>
      </c>
      <c r="L229" s="73">
        <v>7.8</v>
      </c>
      <c r="N229" s="318">
        <f t="shared" si="111"/>
        <v>59.98</v>
      </c>
      <c r="O229" s="81">
        <f>IFERROR(VLOOKUP($G229,'321買'!A:E,3,0),"'沒有資料'")</f>
        <v>25</v>
      </c>
      <c r="P229" s="380">
        <f>IFERROR(VLOOKUP($G229,'321買'!$A:$G,7,0),"'沒有資料'")</f>
        <v>207</v>
      </c>
      <c r="R229" s="297">
        <f>IFERROR(RANK(VLOOKUP($G229,連買!$A:$D,4,0),連買!$D:$D,0),"'沒有資料'")</f>
        <v>410</v>
      </c>
      <c r="S229" s="34">
        <v>1.5</v>
      </c>
      <c r="U229" s="95">
        <f t="shared" si="108"/>
        <v>5.4945054945054944E-2</v>
      </c>
      <c r="V229" s="36">
        <v>27.3</v>
      </c>
      <c r="W229" s="66">
        <v>20</v>
      </c>
      <c r="X229" s="15">
        <f t="shared" si="109"/>
        <v>7.3000000000000007</v>
      </c>
      <c r="Y229" s="63">
        <f t="shared" si="110"/>
        <v>0.36500000000000005</v>
      </c>
      <c r="Z229" s="100" t="s">
        <v>2370</v>
      </c>
      <c r="AA229" s="126"/>
      <c r="AD229" s="22" t="s">
        <v>283</v>
      </c>
      <c r="AE229" s="84">
        <v>44196</v>
      </c>
      <c r="AF229" s="86">
        <v>44207</v>
      </c>
      <c r="AG229" s="33">
        <f t="shared" si="107"/>
        <v>11</v>
      </c>
      <c r="AH229" s="120" t="s">
        <v>2314</v>
      </c>
      <c r="AI229" s="280"/>
      <c r="AK229" s="264"/>
      <c r="AL229" s="264"/>
    </row>
    <row r="230" spans="1:42" s="7" customFormat="1" ht="17.100000000000001" customHeight="1">
      <c r="A230" s="130" t="s">
        <v>1744</v>
      </c>
      <c r="B230" s="79">
        <v>71</v>
      </c>
      <c r="C230" s="79">
        <v>56</v>
      </c>
      <c r="D230" s="79">
        <v>3</v>
      </c>
      <c r="E230" s="79">
        <v>15</v>
      </c>
      <c r="F230" s="57">
        <v>16.72</v>
      </c>
      <c r="G230" s="79">
        <v>2472</v>
      </c>
      <c r="H230" s="53" t="s">
        <v>3620</v>
      </c>
      <c r="I230" s="22" t="s">
        <v>4848</v>
      </c>
      <c r="J230" s="73">
        <v>53.03</v>
      </c>
      <c r="K230" s="323">
        <v>6.21</v>
      </c>
      <c r="L230" s="73">
        <v>25.68</v>
      </c>
      <c r="M230" s="318"/>
      <c r="N230" s="318">
        <f t="shared" si="111"/>
        <v>84.92</v>
      </c>
      <c r="O230" s="81">
        <f>IFERROR(VLOOKUP($G230,'321買'!A:E,3,0),"'沒有資料'")</f>
        <v>6</v>
      </c>
      <c r="P230" s="380">
        <f>IFERROR(VLOOKUP($G230,'321買'!$A:$G,7,0),"'沒有資料'")</f>
        <v>521</v>
      </c>
      <c r="Q230" s="303"/>
      <c r="R230" s="297">
        <f>IFERROR(RANK(VLOOKUP($G230,連買!$A:$D,4,0),連買!$D:$D,0),"'沒有資料'")</f>
        <v>351</v>
      </c>
      <c r="S230" s="34">
        <v>1.5</v>
      </c>
      <c r="T230" s="354"/>
      <c r="U230" s="57">
        <f t="shared" si="108"/>
        <v>2.0491803278688523E-2</v>
      </c>
      <c r="V230" s="36">
        <v>73.2</v>
      </c>
      <c r="W230" s="45">
        <v>46</v>
      </c>
      <c r="X230" s="15">
        <f t="shared" si="109"/>
        <v>27.200000000000003</v>
      </c>
      <c r="Y230" s="63">
        <f t="shared" si="110"/>
        <v>0.59130434782608698</v>
      </c>
      <c r="Z230" s="100" t="s">
        <v>2362</v>
      </c>
      <c r="AA230" s="126"/>
      <c r="AB230" s="251"/>
      <c r="AC230" s="410"/>
      <c r="AD230" s="22" t="s">
        <v>180</v>
      </c>
      <c r="AE230" s="84">
        <v>44195</v>
      </c>
      <c r="AF230" s="86">
        <v>44207</v>
      </c>
      <c r="AG230" s="33">
        <f t="shared" si="107"/>
        <v>12</v>
      </c>
      <c r="AH230" s="122" t="s">
        <v>2094</v>
      </c>
      <c r="AI230" s="280"/>
      <c r="AM230" s="270"/>
      <c r="AN230" s="22"/>
      <c r="AO230" s="41"/>
      <c r="AP230" s="270"/>
    </row>
    <row r="231" spans="1:42" ht="17.25" customHeight="1">
      <c r="A231" s="146" t="s">
        <v>2306</v>
      </c>
      <c r="B231" s="80">
        <v>-15</v>
      </c>
      <c r="C231" s="80">
        <v>-5</v>
      </c>
      <c r="D231" s="79">
        <v>19</v>
      </c>
      <c r="E231" s="79">
        <v>324</v>
      </c>
      <c r="F231" s="6">
        <v>5.73</v>
      </c>
      <c r="G231" s="79">
        <v>5209</v>
      </c>
      <c r="H231" s="4" t="s">
        <v>3679</v>
      </c>
      <c r="I231" s="16" t="s">
        <v>1004</v>
      </c>
      <c r="J231" s="323">
        <v>55.09</v>
      </c>
      <c r="K231" s="323">
        <v>0.22</v>
      </c>
      <c r="L231" s="323"/>
      <c r="N231" s="318">
        <f t="shared" si="111"/>
        <v>55.31</v>
      </c>
      <c r="O231" s="81" t="str">
        <f>IFERROR(VLOOKUP($G231,'321買'!A:E,3,0),"'沒有資料'")</f>
        <v>'沒有資料'</v>
      </c>
      <c r="P231" s="380" t="str">
        <f>IFERROR(VLOOKUP($G231,'321買'!$A:$G,7,0),"'沒有資料'")</f>
        <v>'沒有資料'</v>
      </c>
      <c r="R231" s="297">
        <f>IFERROR(RANK(VLOOKUP($G231,連買!$A:$D,4,0),連買!$D:$D,0),"'沒有資料'")</f>
        <v>1339</v>
      </c>
      <c r="S231" s="34">
        <v>2.97</v>
      </c>
      <c r="U231" s="95">
        <f t="shared" ref="U231:U262" si="112">S231/V231</f>
        <v>4.4594594594594604E-2</v>
      </c>
      <c r="V231" s="36">
        <v>66.599999999999994</v>
      </c>
      <c r="W231" s="66">
        <v>62.46</v>
      </c>
      <c r="X231" s="15">
        <f t="shared" si="109"/>
        <v>4.1399999999999935</v>
      </c>
      <c r="Y231" s="63">
        <f t="shared" si="110"/>
        <v>6.6282420749279439E-2</v>
      </c>
      <c r="Z231" s="100" t="s">
        <v>2363</v>
      </c>
      <c r="AA231" s="126"/>
      <c r="AD231" s="16" t="s">
        <v>1004</v>
      </c>
      <c r="AE231" s="84">
        <v>44195</v>
      </c>
      <c r="AF231" s="86">
        <v>44207</v>
      </c>
      <c r="AG231" s="33">
        <f t="shared" si="107"/>
        <v>12</v>
      </c>
      <c r="AH231" s="43" t="s">
        <v>2307</v>
      </c>
      <c r="AI231" s="280"/>
      <c r="AK231" s="264"/>
      <c r="AL231" s="264"/>
    </row>
    <row r="232" spans="1:42">
      <c r="A232" s="130" t="s">
        <v>2296</v>
      </c>
      <c r="B232" s="80">
        <v>-49</v>
      </c>
      <c r="C232" s="80">
        <v>-36</v>
      </c>
      <c r="D232" s="79">
        <v>8</v>
      </c>
      <c r="E232" s="80">
        <v>-48</v>
      </c>
      <c r="F232" s="57">
        <v>12.31</v>
      </c>
      <c r="G232" s="80">
        <v>3541</v>
      </c>
      <c r="H232" s="4" t="s">
        <v>316</v>
      </c>
      <c r="I232" s="16" t="s">
        <v>6539</v>
      </c>
      <c r="J232" s="323">
        <v>20.85</v>
      </c>
      <c r="K232" s="73">
        <v>4.66</v>
      </c>
      <c r="L232" s="323">
        <v>5.09</v>
      </c>
      <c r="N232" s="318">
        <f t="shared" si="111"/>
        <v>30.6</v>
      </c>
      <c r="O232" s="81">
        <f>IFERROR(VLOOKUP($G232,'321買'!A:E,3,0),"'沒有資料'")</f>
        <v>4</v>
      </c>
      <c r="P232" s="380">
        <f>IFERROR(VLOOKUP($G232,'321買'!$A:$G,7,0),"'沒有資料'")</f>
        <v>592</v>
      </c>
      <c r="R232" s="297">
        <f>IFERROR(RANK(VLOOKUP($G232,連買!$A:$D,4,0),連買!$D:$D,0),"'沒有資料'")</f>
        <v>362</v>
      </c>
      <c r="S232" s="34">
        <v>5.55</v>
      </c>
      <c r="U232" s="95">
        <f t="shared" si="112"/>
        <v>9.8579040852575489E-2</v>
      </c>
      <c r="V232" s="36">
        <v>56.3</v>
      </c>
      <c r="W232" s="66">
        <v>45</v>
      </c>
      <c r="X232" s="15">
        <f t="shared" si="109"/>
        <v>11.299999999999997</v>
      </c>
      <c r="Y232" s="63">
        <f t="shared" si="110"/>
        <v>0.25111111111111106</v>
      </c>
      <c r="Z232" s="100" t="s">
        <v>2357</v>
      </c>
      <c r="AA232" s="126"/>
      <c r="AD232" s="16" t="s">
        <v>157</v>
      </c>
      <c r="AE232" s="84">
        <v>44193</v>
      </c>
      <c r="AF232" s="86">
        <v>44203</v>
      </c>
      <c r="AG232" s="33">
        <f t="shared" si="107"/>
        <v>10</v>
      </c>
      <c r="AH232" s="120" t="s">
        <v>2297</v>
      </c>
      <c r="AI232" s="280"/>
      <c r="AK232" s="264"/>
      <c r="AL232" s="264"/>
    </row>
    <row r="233" spans="1:42">
      <c r="A233" s="146" t="s">
        <v>2221</v>
      </c>
      <c r="B233" s="93">
        <v>1709</v>
      </c>
      <c r="C233" s="79">
        <v>20</v>
      </c>
      <c r="D233" s="79">
        <v>2</v>
      </c>
      <c r="E233" s="80">
        <v>-1</v>
      </c>
      <c r="F233" s="6">
        <v>4.3899999999999997</v>
      </c>
      <c r="G233" s="79">
        <v>1909</v>
      </c>
      <c r="H233" s="52" t="s">
        <v>3651</v>
      </c>
      <c r="I233" s="22" t="s">
        <v>131</v>
      </c>
      <c r="J233" s="323">
        <v>69.66</v>
      </c>
      <c r="K233" s="73">
        <v>14.39</v>
      </c>
      <c r="L233" s="73">
        <v>10.029999999999999</v>
      </c>
      <c r="N233" s="318">
        <f t="shared" si="111"/>
        <v>94.08</v>
      </c>
      <c r="O233" s="81">
        <f>IFERROR(VLOOKUP($G233,'321買'!A:E,3,0),"'沒有資料'")</f>
        <v>10</v>
      </c>
      <c r="P233" s="380">
        <f>IFERROR(VLOOKUP($G233,'321買'!$A:$G,7,0),"'沒有資料'")</f>
        <v>408</v>
      </c>
      <c r="R233" s="297">
        <f>IFERROR(RANK(VLOOKUP($G233,連買!$A:$D,4,0),連買!$D:$D,0),"'沒有資料'")</f>
        <v>1545</v>
      </c>
      <c r="S233" s="34">
        <v>0.3</v>
      </c>
      <c r="U233" s="95">
        <f t="shared" si="112"/>
        <v>1.3422818791946307E-2</v>
      </c>
      <c r="V233" s="36">
        <v>22.35</v>
      </c>
      <c r="W233" s="66">
        <v>14.8</v>
      </c>
      <c r="X233" s="15">
        <f t="shared" si="109"/>
        <v>7.5500000000000007</v>
      </c>
      <c r="Y233" s="63">
        <f t="shared" si="110"/>
        <v>0.5101351351351352</v>
      </c>
      <c r="Z233" s="100" t="s">
        <v>2358</v>
      </c>
      <c r="AA233" s="126"/>
      <c r="AD233" s="22" t="s">
        <v>131</v>
      </c>
      <c r="AE233" s="84">
        <v>44193</v>
      </c>
      <c r="AF233" s="86">
        <v>44203</v>
      </c>
      <c r="AG233" s="33">
        <f t="shared" si="107"/>
        <v>10</v>
      </c>
      <c r="AH233" s="120" t="s">
        <v>2298</v>
      </c>
      <c r="AI233" s="280"/>
      <c r="AK233" s="264"/>
      <c r="AL233" s="264"/>
    </row>
    <row r="234" spans="1:42" ht="17.25" customHeight="1">
      <c r="A234" s="146" t="s">
        <v>2373</v>
      </c>
      <c r="B234" s="79">
        <v>11</v>
      </c>
      <c r="C234" s="79">
        <v>17</v>
      </c>
      <c r="D234" s="79">
        <v>114</v>
      </c>
      <c r="E234" s="80">
        <v>-15</v>
      </c>
      <c r="F234" s="6">
        <v>4.1500000000000004</v>
      </c>
      <c r="G234" s="80">
        <v>6751</v>
      </c>
      <c r="H234" s="4" t="s">
        <v>3679</v>
      </c>
      <c r="I234" s="16" t="s">
        <v>2301</v>
      </c>
      <c r="J234" s="323">
        <v>71.3</v>
      </c>
      <c r="K234" s="323">
        <v>0</v>
      </c>
      <c r="L234" s="323"/>
      <c r="N234" s="318">
        <f t="shared" si="111"/>
        <v>71.3</v>
      </c>
      <c r="O234" s="81" t="str">
        <f>IFERROR(VLOOKUP($G234,'321買'!A:E,3,0),"'沒有資料'")</f>
        <v>'沒有資料'</v>
      </c>
      <c r="P234" s="380" t="str">
        <f>IFERROR(VLOOKUP($G234,'321買'!$A:$G,7,0),"'沒有資料'")</f>
        <v>'沒有資料'</v>
      </c>
      <c r="R234" s="297">
        <f>IFERROR(RANK(VLOOKUP($G234,連買!$A:$D,4,0),連買!$D:$D,0),"'沒有資料'")</f>
        <v>1559</v>
      </c>
      <c r="S234" s="34">
        <v>2.0499999999999998</v>
      </c>
      <c r="U234" s="95">
        <f t="shared" si="112"/>
        <v>2.6048284625158829E-2</v>
      </c>
      <c r="V234" s="36">
        <v>78.7</v>
      </c>
      <c r="W234" s="66">
        <v>60</v>
      </c>
      <c r="X234" s="15">
        <f t="shared" si="109"/>
        <v>18.700000000000003</v>
      </c>
      <c r="Y234" s="63">
        <f t="shared" si="110"/>
        <v>0.3116666666666667</v>
      </c>
      <c r="Z234" s="100" t="s">
        <v>2340</v>
      </c>
      <c r="AA234" s="126"/>
      <c r="AD234" s="16" t="s">
        <v>2301</v>
      </c>
      <c r="AE234" s="84">
        <v>44190</v>
      </c>
      <c r="AF234" s="86">
        <v>44200</v>
      </c>
      <c r="AG234" s="33">
        <f t="shared" si="107"/>
        <v>10</v>
      </c>
      <c r="AH234" s="43" t="s">
        <v>2302</v>
      </c>
      <c r="AI234" s="280"/>
      <c r="AK234" s="264"/>
      <c r="AL234" s="264"/>
    </row>
    <row r="235" spans="1:42">
      <c r="A235" s="146" t="s">
        <v>2374</v>
      </c>
      <c r="B235" s="79">
        <v>259</v>
      </c>
      <c r="C235" s="79">
        <v>208</v>
      </c>
      <c r="D235" s="79">
        <v>14</v>
      </c>
      <c r="E235" s="79">
        <v>24</v>
      </c>
      <c r="F235" s="6">
        <v>7.3</v>
      </c>
      <c r="G235" s="80">
        <v>6728</v>
      </c>
      <c r="H235" s="4" t="s">
        <v>2084</v>
      </c>
      <c r="I235" s="16" t="s">
        <v>2303</v>
      </c>
      <c r="J235" s="73">
        <v>73.39</v>
      </c>
      <c r="K235" s="323">
        <v>0</v>
      </c>
      <c r="L235" s="323"/>
      <c r="N235" s="318">
        <f t="shared" si="111"/>
        <v>73.39</v>
      </c>
      <c r="O235" s="81" t="str">
        <f>IFERROR(VLOOKUP($G235,'321買'!A:E,3,0),"'沒有資料'")</f>
        <v>'沒有資料'</v>
      </c>
      <c r="P235" s="380" t="str">
        <f>IFERROR(VLOOKUP($G235,'321買'!$A:$G,7,0),"'沒有資料'")</f>
        <v>'沒有資料'</v>
      </c>
      <c r="R235" s="297">
        <f>IFERROR(RANK(VLOOKUP($G235,連買!$A:$D,4,0),連買!$D:$D,0),"'沒有資料'")</f>
        <v>370</v>
      </c>
      <c r="S235" s="34">
        <v>4</v>
      </c>
      <c r="U235" s="95">
        <f t="shared" si="112"/>
        <v>7.0175438596491224E-2</v>
      </c>
      <c r="V235" s="36">
        <v>57</v>
      </c>
      <c r="W235" s="66">
        <v>43</v>
      </c>
      <c r="X235" s="15">
        <f t="shared" si="109"/>
        <v>14</v>
      </c>
      <c r="Y235" s="63">
        <f t="shared" si="110"/>
        <v>0.32558139534883723</v>
      </c>
      <c r="Z235" s="100" t="s">
        <v>2341</v>
      </c>
      <c r="AA235" s="126"/>
      <c r="AD235" s="16" t="s">
        <v>2303</v>
      </c>
      <c r="AE235" s="84">
        <v>44190</v>
      </c>
      <c r="AF235" s="86">
        <v>44200</v>
      </c>
      <c r="AG235" s="33">
        <f t="shared" si="107"/>
        <v>10</v>
      </c>
      <c r="AH235" s="43" t="s">
        <v>2304</v>
      </c>
      <c r="AI235" s="280"/>
      <c r="AK235" s="264"/>
      <c r="AL235" s="264"/>
    </row>
    <row r="236" spans="1:42">
      <c r="A236" s="146" t="s">
        <v>1779</v>
      </c>
      <c r="B236" s="80">
        <v>-14</v>
      </c>
      <c r="C236" s="80">
        <v>-18</v>
      </c>
      <c r="D236" s="80">
        <v>-25</v>
      </c>
      <c r="E236" s="80">
        <v>-99</v>
      </c>
      <c r="F236" s="47">
        <v>-1268</v>
      </c>
      <c r="G236" s="79">
        <v>6576</v>
      </c>
      <c r="H236" s="4" t="s">
        <v>5070</v>
      </c>
      <c r="I236" s="16" t="s">
        <v>627</v>
      </c>
      <c r="J236" s="323">
        <v>37.26</v>
      </c>
      <c r="K236" s="323">
        <v>32.76</v>
      </c>
      <c r="L236" s="323"/>
      <c r="N236" s="318">
        <f t="shared" si="111"/>
        <v>70.02</v>
      </c>
      <c r="O236" s="81" t="str">
        <f>IFERROR(VLOOKUP($G236,'321買'!A:E,3,0),"'沒有資料'")</f>
        <v>'沒有資料'</v>
      </c>
      <c r="P236" s="380" t="str">
        <f>IFERROR(VLOOKUP($G236,'321買'!$A:$G,7,0),"'沒有資料'")</f>
        <v>'沒有資料'</v>
      </c>
      <c r="R236" s="297">
        <f>IFERROR(RANK(VLOOKUP($G236,連買!$A:$D,4,0),連買!$D:$D,0),"'沒有資料'")</f>
        <v>158</v>
      </c>
      <c r="S236" s="34">
        <v>0</v>
      </c>
      <c r="U236" s="95">
        <f t="shared" si="112"/>
        <v>0</v>
      </c>
      <c r="V236" s="36">
        <v>88.8</v>
      </c>
      <c r="W236" s="66">
        <v>88</v>
      </c>
      <c r="X236" s="15">
        <f t="shared" si="109"/>
        <v>0.79999999999999716</v>
      </c>
      <c r="Y236" s="63">
        <f t="shared" si="110"/>
        <v>9.0909090909090592E-3</v>
      </c>
      <c r="Z236" s="100" t="s">
        <v>2342</v>
      </c>
      <c r="AA236" s="126"/>
      <c r="AD236" s="16" t="s">
        <v>627</v>
      </c>
      <c r="AE236" s="84">
        <v>44190</v>
      </c>
      <c r="AF236" s="86">
        <v>44200</v>
      </c>
      <c r="AG236" s="33">
        <f t="shared" si="107"/>
        <v>10</v>
      </c>
      <c r="AH236" s="43" t="s">
        <v>2234</v>
      </c>
      <c r="AI236" s="280"/>
      <c r="AK236" s="264"/>
      <c r="AL236" s="264"/>
    </row>
    <row r="237" spans="1:42">
      <c r="A237" s="146" t="s">
        <v>2222</v>
      </c>
      <c r="B237" s="80">
        <v>-27</v>
      </c>
      <c r="C237" s="80">
        <v>-48</v>
      </c>
      <c r="D237" s="79">
        <v>3</v>
      </c>
      <c r="E237" s="79">
        <v>59</v>
      </c>
      <c r="F237" s="6">
        <v>8.36</v>
      </c>
      <c r="G237" s="79">
        <v>2049</v>
      </c>
      <c r="H237" s="4" t="s">
        <v>297</v>
      </c>
      <c r="I237" s="22" t="s">
        <v>6540</v>
      </c>
      <c r="J237" s="73">
        <v>59.82</v>
      </c>
      <c r="K237" s="73">
        <v>49.79</v>
      </c>
      <c r="L237" s="73">
        <v>1.22</v>
      </c>
      <c r="N237" s="318">
        <f t="shared" si="111"/>
        <v>110.83</v>
      </c>
      <c r="O237" s="81">
        <f>IFERROR(VLOOKUP($G237,'321買'!A:E,3,0),"'沒有資料'")</f>
        <v>1</v>
      </c>
      <c r="P237" s="380">
        <f>IFERROR(VLOOKUP($G237,'321買'!$A:$G,7,0),"'沒有資料'")</f>
        <v>783</v>
      </c>
      <c r="R237" s="297">
        <f>IFERROR(RANK(VLOOKUP($G237,連買!$A:$D,4,0),連買!$D:$D,0),"'沒有資料'")</f>
        <v>1751</v>
      </c>
      <c r="S237" s="34">
        <v>2.1</v>
      </c>
      <c r="U237" s="95">
        <f t="shared" si="112"/>
        <v>5.4687500000000005E-3</v>
      </c>
      <c r="V237" s="13">
        <v>384</v>
      </c>
      <c r="W237" s="66">
        <v>195</v>
      </c>
      <c r="X237" s="15">
        <f t="shared" ref="X237:X268" si="113">V237-W237</f>
        <v>189</v>
      </c>
      <c r="Y237" s="63">
        <f t="shared" ref="Y237:Y268" si="114">X237/W237</f>
        <v>0.96923076923076923</v>
      </c>
      <c r="Z237" s="100" t="s">
        <v>2343</v>
      </c>
      <c r="AA237" s="126"/>
      <c r="AD237" s="22" t="s">
        <v>21</v>
      </c>
      <c r="AE237" s="84">
        <v>44190</v>
      </c>
      <c r="AF237" s="86">
        <v>44200</v>
      </c>
      <c r="AG237" s="33">
        <f t="shared" si="107"/>
        <v>10</v>
      </c>
      <c r="AH237" s="120" t="s">
        <v>2126</v>
      </c>
      <c r="AI237" s="280"/>
      <c r="AK237" s="264"/>
      <c r="AL237" s="264"/>
    </row>
    <row r="238" spans="1:42">
      <c r="A238" s="130" t="s">
        <v>1491</v>
      </c>
      <c r="B238" s="79">
        <v>6</v>
      </c>
      <c r="C238" s="80">
        <v>-9</v>
      </c>
      <c r="D238" s="79">
        <v>16</v>
      </c>
      <c r="E238" s="79">
        <v>52</v>
      </c>
      <c r="F238" s="57">
        <v>12.94</v>
      </c>
      <c r="G238" s="79">
        <v>1593</v>
      </c>
      <c r="H238" s="4" t="s">
        <v>5070</v>
      </c>
      <c r="I238" s="16" t="s">
        <v>608</v>
      </c>
      <c r="J238" s="73">
        <v>22.77</v>
      </c>
      <c r="K238" s="73">
        <v>1.74</v>
      </c>
      <c r="L238" s="73">
        <v>32.78</v>
      </c>
      <c r="N238" s="318">
        <f t="shared" si="111"/>
        <v>57.29</v>
      </c>
      <c r="O238" s="81" t="str">
        <f>IFERROR(VLOOKUP($G238,'321買'!A:E,3,0),"'沒有資料'")</f>
        <v>'沒有資料'</v>
      </c>
      <c r="P238" s="380" t="str">
        <f>IFERROR(VLOOKUP($G238,'321買'!$A:$G,7,0),"'沒有資料'")</f>
        <v>'沒有資料'</v>
      </c>
      <c r="R238" s="297">
        <f>IFERROR(RANK(VLOOKUP($G238,連買!$A:$D,4,0),連買!$D:$D,0),"'沒有資料'")</f>
        <v>1646</v>
      </c>
      <c r="S238" s="34">
        <v>3.2</v>
      </c>
      <c r="U238" s="95">
        <f t="shared" si="112"/>
        <v>3.9024390243902439E-2</v>
      </c>
      <c r="V238" s="36">
        <v>82</v>
      </c>
      <c r="W238" s="45">
        <v>50</v>
      </c>
      <c r="X238" s="15">
        <f t="shared" si="113"/>
        <v>32</v>
      </c>
      <c r="Y238" s="63">
        <f t="shared" si="114"/>
        <v>0.64</v>
      </c>
      <c r="Z238" s="100" t="s">
        <v>947</v>
      </c>
      <c r="AA238" s="126"/>
      <c r="AD238" s="16" t="s">
        <v>608</v>
      </c>
      <c r="AE238" s="84">
        <v>44190</v>
      </c>
      <c r="AF238" s="86">
        <v>44200</v>
      </c>
      <c r="AG238" s="33">
        <f t="shared" si="107"/>
        <v>10</v>
      </c>
      <c r="AH238" s="43" t="s">
        <v>2091</v>
      </c>
      <c r="AI238" s="280"/>
      <c r="AK238" s="264"/>
      <c r="AL238" s="264"/>
    </row>
    <row r="239" spans="1:42">
      <c r="A239" s="130" t="s">
        <v>1872</v>
      </c>
      <c r="B239" s="79">
        <v>30</v>
      </c>
      <c r="C239" s="79">
        <v>44</v>
      </c>
      <c r="D239" s="79">
        <v>0</v>
      </c>
      <c r="E239" s="79">
        <v>5</v>
      </c>
      <c r="F239" s="57">
        <v>19.36</v>
      </c>
      <c r="G239" s="79">
        <v>6756</v>
      </c>
      <c r="H239" s="4" t="s">
        <v>3254</v>
      </c>
      <c r="I239" s="22" t="s">
        <v>2294</v>
      </c>
      <c r="J239" s="323">
        <v>62.06</v>
      </c>
      <c r="K239" s="73">
        <v>0.54</v>
      </c>
      <c r="L239" s="323"/>
      <c r="N239" s="318">
        <f t="shared" si="111"/>
        <v>62.6</v>
      </c>
      <c r="O239" s="81">
        <f>IFERROR(VLOOKUP($G239,'321買'!A:E,3,0),"'沒有資料'")</f>
        <v>35</v>
      </c>
      <c r="P239" s="380">
        <f>IFERROR(VLOOKUP($G239,'321買'!$A:$G,7,0),"'沒有資料'")</f>
        <v>104</v>
      </c>
      <c r="R239" s="297">
        <f>IFERROR(RANK(VLOOKUP($G239,連買!$A:$D,4,0),連買!$D:$D,0),"'沒有資料'")</f>
        <v>11</v>
      </c>
      <c r="S239" s="34">
        <v>3.3</v>
      </c>
      <c r="U239" s="95">
        <f t="shared" si="112"/>
        <v>1.2619502868068833E-2</v>
      </c>
      <c r="V239" s="36">
        <v>261.5</v>
      </c>
      <c r="W239" s="66">
        <v>168</v>
      </c>
      <c r="X239" s="15">
        <f t="shared" si="113"/>
        <v>93.5</v>
      </c>
      <c r="Y239" s="63">
        <f t="shared" si="114"/>
        <v>0.55654761904761907</v>
      </c>
      <c r="Z239" s="100" t="s">
        <v>2338</v>
      </c>
      <c r="AA239" s="126"/>
      <c r="AD239" s="22" t="s">
        <v>2294</v>
      </c>
      <c r="AE239" s="84">
        <v>44189</v>
      </c>
      <c r="AF239" s="86">
        <v>44200</v>
      </c>
      <c r="AG239" s="33">
        <f t="shared" si="107"/>
        <v>11</v>
      </c>
      <c r="AH239" s="43" t="s">
        <v>2295</v>
      </c>
      <c r="AI239" s="280"/>
      <c r="AK239" s="264"/>
      <c r="AL239" s="264"/>
    </row>
    <row r="240" spans="1:42">
      <c r="A240" s="146" t="s">
        <v>2047</v>
      </c>
      <c r="B240" s="79">
        <v>5</v>
      </c>
      <c r="C240" s="79">
        <v>8</v>
      </c>
      <c r="D240" s="80"/>
      <c r="E240" s="80"/>
      <c r="F240" s="47">
        <v>-5463</v>
      </c>
      <c r="G240" s="80">
        <v>6541</v>
      </c>
      <c r="H240" s="4" t="s">
        <v>5070</v>
      </c>
      <c r="I240" s="22" t="s">
        <v>638</v>
      </c>
      <c r="J240" s="323">
        <v>70.900000000000006</v>
      </c>
      <c r="K240" s="323">
        <v>37.26</v>
      </c>
      <c r="L240" s="323">
        <v>0</v>
      </c>
      <c r="N240" s="318">
        <f t="shared" si="111"/>
        <v>108.16</v>
      </c>
      <c r="O240" s="81">
        <f>IFERROR(VLOOKUP($G240,'321買'!A:E,3,0),"'沒有資料'")</f>
        <v>0</v>
      </c>
      <c r="P240" s="380">
        <f>IFERROR(VLOOKUP($G240,'321買'!$A:$G,7,0),"'沒有資料'")</f>
        <v>911</v>
      </c>
      <c r="R240" s="297">
        <f>IFERROR(RANK(VLOOKUP($G240,連買!$A:$D,4,0),連買!$D:$D,0),"'沒有資料'")</f>
        <v>437</v>
      </c>
      <c r="S240" s="34">
        <v>0</v>
      </c>
      <c r="U240" s="95">
        <f t="shared" si="112"/>
        <v>0</v>
      </c>
      <c r="V240" s="36">
        <v>37.299999999999997</v>
      </c>
      <c r="W240" s="66">
        <v>36</v>
      </c>
      <c r="X240" s="15">
        <f t="shared" si="113"/>
        <v>1.2999999999999972</v>
      </c>
      <c r="Y240" s="63">
        <f t="shared" si="114"/>
        <v>3.6111111111111031E-2</v>
      </c>
      <c r="Z240" s="100" t="s">
        <v>1774</v>
      </c>
      <c r="AA240" s="126"/>
      <c r="AD240" s="22" t="s">
        <v>638</v>
      </c>
      <c r="AE240" s="84">
        <v>44189</v>
      </c>
      <c r="AF240" s="86">
        <v>44200</v>
      </c>
      <c r="AG240" s="33">
        <f t="shared" si="107"/>
        <v>11</v>
      </c>
      <c r="AH240" s="43" t="s">
        <v>2285</v>
      </c>
      <c r="AI240" s="280"/>
      <c r="AK240" s="264"/>
      <c r="AL240" s="264"/>
    </row>
    <row r="241" spans="1:40">
      <c r="A241" s="130" t="s">
        <v>2283</v>
      </c>
      <c r="B241" s="79">
        <v>243</v>
      </c>
      <c r="C241" s="79">
        <v>428</v>
      </c>
      <c r="D241" s="80">
        <v>-34</v>
      </c>
      <c r="E241" s="79">
        <v>-19</v>
      </c>
      <c r="F241" s="57">
        <v>13.58</v>
      </c>
      <c r="G241" s="79">
        <v>3325</v>
      </c>
      <c r="H241" s="54" t="s">
        <v>1152</v>
      </c>
      <c r="I241" s="16" t="s">
        <v>6541</v>
      </c>
      <c r="J241" s="73">
        <v>15.1</v>
      </c>
      <c r="K241" s="73">
        <v>0.57999999999999996</v>
      </c>
      <c r="L241" s="323">
        <v>50.57</v>
      </c>
      <c r="N241" s="318">
        <f t="shared" si="111"/>
        <v>66.25</v>
      </c>
      <c r="O241" s="81">
        <f>IFERROR(VLOOKUP($G241,'321買'!A:E,3,0),"'沒有資料'")</f>
        <v>0</v>
      </c>
      <c r="P241" s="380">
        <f>IFERROR(VLOOKUP($G241,'321買'!$A:$G,7,0),"'沒有資料'")</f>
        <v>911</v>
      </c>
      <c r="R241" s="297">
        <f>IFERROR(RANK(VLOOKUP($G241,連買!$A:$D,4,0),連買!$D:$D,0),"'沒有資料'")</f>
        <v>1644</v>
      </c>
      <c r="S241" s="34">
        <v>0.7</v>
      </c>
      <c r="U241" s="95">
        <f t="shared" si="112"/>
        <v>2.5316455696202531E-2</v>
      </c>
      <c r="V241" s="36">
        <v>27.65</v>
      </c>
      <c r="W241" s="45">
        <v>25</v>
      </c>
      <c r="X241" s="15">
        <f t="shared" si="113"/>
        <v>2.6499999999999986</v>
      </c>
      <c r="Y241" s="63">
        <f t="shared" si="114"/>
        <v>0.10599999999999994</v>
      </c>
      <c r="Z241" s="100" t="s">
        <v>1767</v>
      </c>
      <c r="AA241" s="126"/>
      <c r="AD241" s="16" t="s">
        <v>473</v>
      </c>
      <c r="AE241" s="84">
        <v>44189</v>
      </c>
      <c r="AF241" s="86">
        <v>44200</v>
      </c>
      <c r="AG241" s="33">
        <f t="shared" si="107"/>
        <v>11</v>
      </c>
      <c r="AH241" s="43" t="s">
        <v>2284</v>
      </c>
      <c r="AI241" s="280"/>
      <c r="AK241" s="264"/>
      <c r="AL241" s="264"/>
    </row>
    <row r="242" spans="1:40">
      <c r="A242" s="146" t="s">
        <v>1891</v>
      </c>
      <c r="B242" s="79">
        <v>41</v>
      </c>
      <c r="C242" s="79">
        <v>44</v>
      </c>
      <c r="D242" s="80">
        <v>-3</v>
      </c>
      <c r="E242" s="80">
        <v>-22</v>
      </c>
      <c r="F242" s="6">
        <v>-13.86</v>
      </c>
      <c r="G242" s="79">
        <v>3321</v>
      </c>
      <c r="H242" s="4" t="s">
        <v>3620</v>
      </c>
      <c r="I242" s="22" t="s">
        <v>6542</v>
      </c>
      <c r="J242" s="73">
        <v>40.39</v>
      </c>
      <c r="K242" s="323">
        <v>0.51</v>
      </c>
      <c r="L242" s="323"/>
      <c r="N242" s="318">
        <f t="shared" si="111"/>
        <v>40.9</v>
      </c>
      <c r="O242" s="81">
        <f>IFERROR(VLOOKUP($G242,'321買'!A:E,3,0),"'沒有資料'")</f>
        <v>0</v>
      </c>
      <c r="P242" s="380">
        <f>IFERROR(VLOOKUP($G242,'321買'!$A:$G,7,0),"'沒有資料'")</f>
        <v>911</v>
      </c>
      <c r="R242" s="297">
        <f>IFERROR(RANK(VLOOKUP($G242,連買!$A:$D,4,0),連買!$D:$D,0),"'沒有資料'")</f>
        <v>1154</v>
      </c>
      <c r="S242" s="34">
        <v>0</v>
      </c>
      <c r="U242" s="95">
        <f t="shared" si="112"/>
        <v>0</v>
      </c>
      <c r="V242" s="36">
        <v>15.3</v>
      </c>
      <c r="W242" s="66">
        <v>11.5</v>
      </c>
      <c r="X242" s="15">
        <f t="shared" si="113"/>
        <v>3.8000000000000007</v>
      </c>
      <c r="Y242" s="63">
        <f t="shared" si="114"/>
        <v>0.33043478260869569</v>
      </c>
      <c r="Z242" s="100" t="s">
        <v>2339</v>
      </c>
      <c r="AA242" s="126"/>
      <c r="AD242" s="22" t="s">
        <v>391</v>
      </c>
      <c r="AE242" s="84">
        <v>44189</v>
      </c>
      <c r="AF242" s="86">
        <v>44200</v>
      </c>
      <c r="AG242" s="33">
        <f t="shared" si="107"/>
        <v>11</v>
      </c>
      <c r="AH242" s="43" t="s">
        <v>1055</v>
      </c>
      <c r="AI242" s="280"/>
      <c r="AK242" s="264"/>
      <c r="AL242" s="264"/>
    </row>
    <row r="243" spans="1:40">
      <c r="A243" s="146" t="s">
        <v>2278</v>
      </c>
      <c r="B243" s="80">
        <v>-6</v>
      </c>
      <c r="C243" s="80"/>
      <c r="D243" s="79">
        <v>12</v>
      </c>
      <c r="E243" s="79">
        <v>2</v>
      </c>
      <c r="F243" s="6"/>
      <c r="G243" s="80">
        <v>2812</v>
      </c>
      <c r="H243" s="10" t="s">
        <v>306</v>
      </c>
      <c r="I243" s="22" t="s">
        <v>4981</v>
      </c>
      <c r="J243" s="73">
        <v>61.3</v>
      </c>
      <c r="K243" s="323">
        <v>11.16</v>
      </c>
      <c r="L243" s="73">
        <v>0.28999999999999998</v>
      </c>
      <c r="N243" s="318">
        <f t="shared" si="111"/>
        <v>72.75</v>
      </c>
      <c r="O243" s="81">
        <f>IFERROR(VLOOKUP($G243,'321買'!A:E,3,0),"'沒有資料'")</f>
        <v>0</v>
      </c>
      <c r="P243" s="380">
        <f>IFERROR(VLOOKUP($G243,'321買'!$A:$G,7,0),"'沒有資料'")</f>
        <v>911</v>
      </c>
      <c r="R243" s="297">
        <f>IFERROR(RANK(VLOOKUP($G243,連買!$A:$D,4,0),連買!$D:$D,0),"'沒有資料'")</f>
        <v>1081</v>
      </c>
      <c r="S243" s="34">
        <v>0.8</v>
      </c>
      <c r="U243" s="95">
        <f t="shared" si="112"/>
        <v>7.3732718894009217E-2</v>
      </c>
      <c r="V243" s="36">
        <v>10.85</v>
      </c>
      <c r="W243" s="66">
        <v>10.199999999999999</v>
      </c>
      <c r="X243" s="15">
        <f t="shared" si="113"/>
        <v>0.65000000000000036</v>
      </c>
      <c r="Y243" s="63">
        <f t="shared" si="114"/>
        <v>6.3725490196078469E-2</v>
      </c>
      <c r="Z243" s="100" t="s">
        <v>2330</v>
      </c>
      <c r="AA243" s="126"/>
      <c r="AD243" s="22" t="s">
        <v>133</v>
      </c>
      <c r="AE243" s="84">
        <v>44187</v>
      </c>
      <c r="AF243" s="86">
        <v>44200</v>
      </c>
      <c r="AG243" s="33">
        <f t="shared" si="107"/>
        <v>13</v>
      </c>
      <c r="AH243" s="120" t="s">
        <v>1435</v>
      </c>
      <c r="AI243" s="280"/>
      <c r="AK243" s="264"/>
      <c r="AL243" s="264"/>
    </row>
    <row r="244" spans="1:40">
      <c r="A244" s="130" t="s">
        <v>2326</v>
      </c>
      <c r="B244" s="79">
        <v>129</v>
      </c>
      <c r="C244" s="79">
        <v>141</v>
      </c>
      <c r="D244" s="80">
        <v>-7</v>
      </c>
      <c r="E244" s="79">
        <v>29</v>
      </c>
      <c r="F244" s="57">
        <v>48.57</v>
      </c>
      <c r="G244" s="79">
        <v>6762</v>
      </c>
      <c r="H244" s="4" t="s">
        <v>5070</v>
      </c>
      <c r="I244" s="16" t="s">
        <v>2277</v>
      </c>
      <c r="J244" s="73">
        <v>72.44</v>
      </c>
      <c r="K244" s="73">
        <v>0.76</v>
      </c>
      <c r="N244" s="318">
        <f t="shared" si="111"/>
        <v>73.2</v>
      </c>
      <c r="O244" s="81" t="str">
        <f>IFERROR(VLOOKUP($G244,'321買'!A:E,3,0),"'沒有資料'")</f>
        <v>'沒有資料'</v>
      </c>
      <c r="P244" s="380" t="str">
        <f>IFERROR(VLOOKUP($G244,'321買'!$A:$G,7,0),"'沒有資料'")</f>
        <v>'沒有資料'</v>
      </c>
      <c r="R244" s="297">
        <f>IFERROR(RANK(VLOOKUP($G244,連買!$A:$D,4,0),連買!$D:$D,0),"'沒有資料'")</f>
        <v>1573</v>
      </c>
      <c r="S244" s="34">
        <v>4</v>
      </c>
      <c r="U244" s="95">
        <f t="shared" si="112"/>
        <v>1.5873015873015872E-2</v>
      </c>
      <c r="V244" s="36">
        <v>252</v>
      </c>
      <c r="W244" s="66">
        <v>267.98</v>
      </c>
      <c r="X244" s="15">
        <f t="shared" si="113"/>
        <v>-15.980000000000018</v>
      </c>
      <c r="Y244" s="76">
        <f t="shared" si="114"/>
        <v>-5.9631315769833632E-2</v>
      </c>
      <c r="Z244" s="101" t="s">
        <v>2320</v>
      </c>
      <c r="AA244" s="126"/>
      <c r="AD244" s="16" t="s">
        <v>2277</v>
      </c>
      <c r="AE244" s="84">
        <v>44183</v>
      </c>
      <c r="AF244" s="86">
        <v>44193</v>
      </c>
      <c r="AG244" s="33">
        <f t="shared" si="107"/>
        <v>10</v>
      </c>
      <c r="AH244" s="43" t="s">
        <v>2281</v>
      </c>
      <c r="AI244" s="280"/>
      <c r="AK244" s="264"/>
      <c r="AL244" s="264"/>
    </row>
    <row r="245" spans="1:40" ht="17.25" customHeight="1">
      <c r="A245" s="146" t="s">
        <v>2274</v>
      </c>
      <c r="B245" s="80">
        <v>-60</v>
      </c>
      <c r="C245" s="79">
        <v>1</v>
      </c>
      <c r="D245" s="90">
        <v>-98</v>
      </c>
      <c r="E245" s="90">
        <v>-1</v>
      </c>
      <c r="F245" s="73">
        <v>-102.68</v>
      </c>
      <c r="G245" s="79">
        <v>2530</v>
      </c>
      <c r="H245" s="4" t="s">
        <v>4327</v>
      </c>
      <c r="I245" s="22" t="s">
        <v>6551</v>
      </c>
      <c r="J245" s="323">
        <v>70.08</v>
      </c>
      <c r="K245" s="323">
        <v>0.61</v>
      </c>
      <c r="L245" s="73">
        <v>11.19</v>
      </c>
      <c r="N245" s="318">
        <f t="shared" si="111"/>
        <v>81.88</v>
      </c>
      <c r="O245" s="81">
        <f>IFERROR(VLOOKUP($G245,'321買'!A:E,3,0),"'沒有資料'")</f>
        <v>0</v>
      </c>
      <c r="P245" s="380">
        <f>IFERROR(VLOOKUP($G245,'321買'!$A:$G,7,0),"'沒有資料'")</f>
        <v>911</v>
      </c>
      <c r="R245" s="297">
        <f>IFERROR(RANK(VLOOKUP($G245,連買!$A:$D,4,0),連買!$D:$D,0),"'沒有資料'")</f>
        <v>1069</v>
      </c>
      <c r="S245" s="34">
        <v>0.1</v>
      </c>
      <c r="U245" s="95">
        <f t="shared" si="112"/>
        <v>7.1174377224199285E-3</v>
      </c>
      <c r="V245" s="36">
        <v>14.05</v>
      </c>
      <c r="W245" s="66">
        <v>12.56</v>
      </c>
      <c r="X245" s="15">
        <f t="shared" si="113"/>
        <v>1.4900000000000002</v>
      </c>
      <c r="Y245" s="63">
        <f t="shared" si="114"/>
        <v>0.11863057324840766</v>
      </c>
      <c r="Z245" s="100" t="s">
        <v>2319</v>
      </c>
      <c r="AA245" s="126"/>
      <c r="AD245" s="22" t="s">
        <v>918</v>
      </c>
      <c r="AE245" s="84">
        <v>44182</v>
      </c>
      <c r="AF245" s="86">
        <v>44193</v>
      </c>
      <c r="AG245" s="33">
        <f t="shared" si="107"/>
        <v>11</v>
      </c>
      <c r="AH245" s="43" t="s">
        <v>2150</v>
      </c>
      <c r="AI245" s="280"/>
      <c r="AK245" s="264"/>
      <c r="AL245" s="264"/>
      <c r="AN245" s="48"/>
    </row>
    <row r="246" spans="1:40" ht="17.25" customHeight="1">
      <c r="A246" s="146" t="s">
        <v>2305</v>
      </c>
      <c r="B246" s="79">
        <v>4</v>
      </c>
      <c r="C246" s="79">
        <v>10</v>
      </c>
      <c r="D246" s="80">
        <v>-3</v>
      </c>
      <c r="E246" s="79">
        <v>9</v>
      </c>
      <c r="F246" s="6">
        <v>5.98</v>
      </c>
      <c r="G246" s="79">
        <v>2755</v>
      </c>
      <c r="H246" s="4" t="s">
        <v>305</v>
      </c>
      <c r="I246" s="16" t="s">
        <v>2272</v>
      </c>
      <c r="J246" s="73">
        <v>44.74</v>
      </c>
      <c r="K246" s="73">
        <v>0.06</v>
      </c>
      <c r="N246" s="318">
        <f t="shared" si="111"/>
        <v>44.800000000000004</v>
      </c>
      <c r="O246" s="81" t="str">
        <f>IFERROR(VLOOKUP($G246,'321買'!A:E,3,0),"'沒有資料'")</f>
        <v>'沒有資料'</v>
      </c>
      <c r="P246" s="380" t="str">
        <f>IFERROR(VLOOKUP($G246,'321買'!$A:$G,7,0),"'沒有資料'")</f>
        <v>'沒有資料'</v>
      </c>
      <c r="R246" s="297">
        <f>IFERROR(RANK(VLOOKUP($G246,連買!$A:$D,4,0),連買!$D:$D,0),"'沒有資料'")</f>
        <v>1258</v>
      </c>
      <c r="S246" s="34">
        <v>1</v>
      </c>
      <c r="U246" s="95">
        <f t="shared" si="112"/>
        <v>1.6393442622950821E-2</v>
      </c>
      <c r="V246" s="36">
        <v>61</v>
      </c>
      <c r="W246" s="66">
        <v>60</v>
      </c>
      <c r="X246" s="15">
        <f t="shared" si="113"/>
        <v>1</v>
      </c>
      <c r="Y246" s="63">
        <f t="shared" si="114"/>
        <v>1.6666666666666666E-2</v>
      </c>
      <c r="Z246" s="100" t="s">
        <v>2311</v>
      </c>
      <c r="AA246" s="126"/>
      <c r="AD246" s="16" t="s">
        <v>2272</v>
      </c>
      <c r="AE246" s="84">
        <v>44181</v>
      </c>
      <c r="AF246" s="86">
        <v>44193</v>
      </c>
      <c r="AG246" s="33">
        <f t="shared" si="107"/>
        <v>12</v>
      </c>
      <c r="AH246" s="43" t="s">
        <v>2273</v>
      </c>
      <c r="AI246" s="280"/>
      <c r="AK246" s="264"/>
      <c r="AL246" s="264"/>
      <c r="AN246" s="48"/>
    </row>
    <row r="247" spans="1:40">
      <c r="A247" s="146" t="s">
        <v>1807</v>
      </c>
      <c r="B247" s="79">
        <v>18</v>
      </c>
      <c r="C247" s="80">
        <v>-29</v>
      </c>
      <c r="D247" s="80">
        <v>-1</v>
      </c>
      <c r="E247" s="79">
        <v>261</v>
      </c>
      <c r="F247" s="6">
        <v>2.63</v>
      </c>
      <c r="G247" s="79">
        <v>4919</v>
      </c>
      <c r="H247" s="4" t="s">
        <v>3254</v>
      </c>
      <c r="I247" s="22" t="s">
        <v>118</v>
      </c>
      <c r="J247" s="323">
        <v>58.55</v>
      </c>
      <c r="K247" s="323">
        <v>2.99</v>
      </c>
      <c r="L247" s="323">
        <v>12.51</v>
      </c>
      <c r="N247" s="318">
        <f t="shared" si="111"/>
        <v>74.05</v>
      </c>
      <c r="O247" s="81">
        <f>IFERROR(VLOOKUP($G247,'321買'!A:E,3,0),"'沒有資料'")</f>
        <v>76</v>
      </c>
      <c r="P247" s="380">
        <f>IFERROR(VLOOKUP($G247,'321買'!$A:$G,7,0),"'沒有資料'")</f>
        <v>25</v>
      </c>
      <c r="R247" s="297">
        <f>IFERROR(RANK(VLOOKUP($G247,連買!$A:$D,4,0),連買!$D:$D,0),"'沒有資料'")</f>
        <v>132</v>
      </c>
      <c r="S247" s="34">
        <v>1.2</v>
      </c>
      <c r="U247" s="57">
        <f t="shared" si="112"/>
        <v>2.5862068965517241E-2</v>
      </c>
      <c r="V247" s="36">
        <v>46.4</v>
      </c>
      <c r="W247" s="66">
        <v>38</v>
      </c>
      <c r="X247" s="15">
        <f t="shared" si="113"/>
        <v>8.3999999999999986</v>
      </c>
      <c r="Y247" s="63">
        <f t="shared" si="114"/>
        <v>0.22105263157894733</v>
      </c>
      <c r="Z247" s="100" t="s">
        <v>2309</v>
      </c>
      <c r="AA247" s="126"/>
      <c r="AD247" s="22" t="s">
        <v>118</v>
      </c>
      <c r="AE247" s="84">
        <v>44180</v>
      </c>
      <c r="AF247" s="86">
        <v>44190</v>
      </c>
      <c r="AG247" s="33">
        <f t="shared" si="107"/>
        <v>10</v>
      </c>
      <c r="AH247" s="120" t="s">
        <v>1460</v>
      </c>
      <c r="AI247" s="280"/>
      <c r="AK247" s="264"/>
      <c r="AL247" s="264"/>
    </row>
    <row r="248" spans="1:40">
      <c r="A248" s="146" t="s">
        <v>1689</v>
      </c>
      <c r="B248" s="79">
        <v>699</v>
      </c>
      <c r="C248" s="79">
        <v>776</v>
      </c>
      <c r="D248" s="80">
        <v>-15</v>
      </c>
      <c r="E248" s="79">
        <v>123</v>
      </c>
      <c r="F248" s="57">
        <v>14.02</v>
      </c>
      <c r="G248" s="79">
        <v>6743</v>
      </c>
      <c r="H248" s="4" t="s">
        <v>316</v>
      </c>
      <c r="I248" s="22" t="s">
        <v>2266</v>
      </c>
      <c r="J248" s="323">
        <v>62.9</v>
      </c>
      <c r="K248" s="73">
        <v>3.66</v>
      </c>
      <c r="L248" s="323"/>
      <c r="N248" s="318">
        <f t="shared" si="111"/>
        <v>66.56</v>
      </c>
      <c r="O248" s="81">
        <f>IFERROR(VLOOKUP($G248,'321買'!A:E,3,0),"'沒有資料'")</f>
        <v>0</v>
      </c>
      <c r="P248" s="380">
        <f>IFERROR(VLOOKUP($G248,'321買'!$A:$G,7,0),"'沒有資料'")</f>
        <v>911</v>
      </c>
      <c r="R248" s="297">
        <f>IFERROR(RANK(VLOOKUP($G248,連買!$A:$D,4,0),連買!$D:$D,0),"'沒有資料'")</f>
        <v>126</v>
      </c>
      <c r="S248" s="34">
        <v>0.95</v>
      </c>
      <c r="U248" s="95">
        <f t="shared" si="112"/>
        <v>7.0631970260223043E-3</v>
      </c>
      <c r="V248" s="36">
        <v>134.5</v>
      </c>
      <c r="W248" s="66">
        <v>100</v>
      </c>
      <c r="X248" s="15">
        <f t="shared" si="113"/>
        <v>34.5</v>
      </c>
      <c r="Y248" s="63">
        <f t="shared" si="114"/>
        <v>0.34499999999999997</v>
      </c>
      <c r="Z248" s="100" t="s">
        <v>946</v>
      </c>
      <c r="AA248" s="126"/>
      <c r="AD248" s="22" t="s">
        <v>2266</v>
      </c>
      <c r="AE248" s="84">
        <v>44179</v>
      </c>
      <c r="AF248" s="86">
        <v>44189</v>
      </c>
      <c r="AG248" s="33">
        <f t="shared" si="107"/>
        <v>10</v>
      </c>
      <c r="AH248" s="43" t="s">
        <v>2279</v>
      </c>
      <c r="AI248" s="280"/>
      <c r="AK248" s="264"/>
      <c r="AL248" s="264"/>
    </row>
    <row r="249" spans="1:40">
      <c r="A249" s="146" t="s">
        <v>2258</v>
      </c>
      <c r="B249" s="79">
        <v>923</v>
      </c>
      <c r="C249" s="79">
        <v>705</v>
      </c>
      <c r="D249" s="79">
        <v>0</v>
      </c>
      <c r="E249" s="79">
        <v>40</v>
      </c>
      <c r="F249" s="6">
        <v>4.2</v>
      </c>
      <c r="G249" s="79">
        <v>4121</v>
      </c>
      <c r="H249" s="4" t="s">
        <v>5070</v>
      </c>
      <c r="I249" s="16" t="s">
        <v>612</v>
      </c>
      <c r="J249" s="323">
        <v>33.229999999999997</v>
      </c>
      <c r="K249" s="73">
        <v>4</v>
      </c>
      <c r="L249" s="73">
        <v>26.06</v>
      </c>
      <c r="N249" s="318">
        <f t="shared" si="111"/>
        <v>63.289999999999992</v>
      </c>
      <c r="O249" s="81">
        <f>IFERROR(VLOOKUP($G249,'321買'!A:E,3,0),"'沒有資料'")</f>
        <v>21</v>
      </c>
      <c r="P249" s="380">
        <f>IFERROR(VLOOKUP($G249,'321買'!$A:$G,7,0),"'沒有資料'")</f>
        <v>207</v>
      </c>
      <c r="R249" s="297">
        <f>IFERROR(RANK(VLOOKUP($G249,連買!$A:$D,4,0),連買!$D:$D,0),"'沒有資料'")</f>
        <v>652</v>
      </c>
      <c r="S249" s="34">
        <v>0.2</v>
      </c>
      <c r="U249" s="95">
        <f t="shared" si="112"/>
        <v>9.0497737556561077E-3</v>
      </c>
      <c r="V249" s="36">
        <v>22.1</v>
      </c>
      <c r="W249" s="45">
        <v>15.6</v>
      </c>
      <c r="X249" s="15">
        <f t="shared" si="113"/>
        <v>6.5000000000000018</v>
      </c>
      <c r="Y249" s="63">
        <f t="shared" si="114"/>
        <v>0.4166666666666668</v>
      </c>
      <c r="Z249" s="100" t="s">
        <v>2300</v>
      </c>
      <c r="AA249" s="126"/>
      <c r="AD249" s="16" t="s">
        <v>612</v>
      </c>
      <c r="AE249" s="84">
        <v>44179</v>
      </c>
      <c r="AF249" s="86">
        <v>44189</v>
      </c>
      <c r="AG249" s="33">
        <f t="shared" si="107"/>
        <v>10</v>
      </c>
      <c r="AH249" s="43" t="s">
        <v>2257</v>
      </c>
      <c r="AI249" s="280"/>
      <c r="AK249" s="264"/>
      <c r="AL249" s="264"/>
    </row>
    <row r="250" spans="1:40">
      <c r="A250" s="130" t="s">
        <v>1775</v>
      </c>
      <c r="B250" s="79">
        <v>143</v>
      </c>
      <c r="C250" s="79">
        <v>172</v>
      </c>
      <c r="D250" s="79">
        <v>4</v>
      </c>
      <c r="E250" s="79">
        <v>38</v>
      </c>
      <c r="F250" s="57">
        <v>12.8</v>
      </c>
      <c r="G250" s="79">
        <v>3138</v>
      </c>
      <c r="H250" s="4" t="s">
        <v>313</v>
      </c>
      <c r="I250" s="22" t="s">
        <v>2267</v>
      </c>
      <c r="J250" s="323">
        <v>21.65</v>
      </c>
      <c r="K250" s="73">
        <v>0.46</v>
      </c>
      <c r="N250" s="318">
        <f t="shared" si="111"/>
        <v>22.11</v>
      </c>
      <c r="O250" s="81">
        <f>IFERROR(VLOOKUP($G250,'321買'!A:E,3,0),"'沒有資料'")</f>
        <v>13</v>
      </c>
      <c r="P250" s="380">
        <f>IFERROR(VLOOKUP($G250,'321買'!$A:$G,7,0),"'沒有資料'")</f>
        <v>348</v>
      </c>
      <c r="R250" s="297">
        <f>IFERROR(RANK(VLOOKUP($G250,連買!$A:$D,4,0),連買!$D:$D,0),"'沒有資料'")</f>
        <v>230</v>
      </c>
      <c r="S250" s="34">
        <v>1</v>
      </c>
      <c r="U250" s="95">
        <f t="shared" si="112"/>
        <v>8.4745762711864406E-3</v>
      </c>
      <c r="V250" s="36">
        <v>118</v>
      </c>
      <c r="W250" s="66">
        <v>46</v>
      </c>
      <c r="X250" s="15">
        <f t="shared" si="113"/>
        <v>72</v>
      </c>
      <c r="Y250" s="174">
        <f t="shared" si="114"/>
        <v>1.5652173913043479</v>
      </c>
      <c r="Z250" s="100" t="s">
        <v>2291</v>
      </c>
      <c r="AA250" s="126"/>
      <c r="AD250" s="22" t="s">
        <v>2267</v>
      </c>
      <c r="AE250" s="84">
        <v>44176</v>
      </c>
      <c r="AF250" s="86">
        <v>44186</v>
      </c>
      <c r="AG250" s="33">
        <f t="shared" si="107"/>
        <v>10</v>
      </c>
      <c r="AH250" s="120" t="s">
        <v>2268</v>
      </c>
      <c r="AI250" s="280"/>
      <c r="AK250" s="264"/>
      <c r="AL250" s="264"/>
    </row>
    <row r="251" spans="1:40">
      <c r="A251" s="130" t="s">
        <v>2251</v>
      </c>
      <c r="B251" s="79">
        <v>51</v>
      </c>
      <c r="C251" s="79">
        <v>45</v>
      </c>
      <c r="D251" s="79">
        <v>1</v>
      </c>
      <c r="E251" s="79">
        <v>140</v>
      </c>
      <c r="F251" s="57">
        <v>19.329999999999998</v>
      </c>
      <c r="G251" s="79">
        <v>6629</v>
      </c>
      <c r="H251" s="4" t="s">
        <v>2084</v>
      </c>
      <c r="I251" s="16" t="s">
        <v>2250</v>
      </c>
      <c r="J251" s="323">
        <v>83.58</v>
      </c>
      <c r="K251" s="323">
        <v>85.08</v>
      </c>
      <c r="N251" s="318">
        <f t="shared" si="111"/>
        <v>168.66</v>
      </c>
      <c r="O251" s="81" t="str">
        <f>IFERROR(VLOOKUP($G251,'321買'!A:E,3,0),"'沒有資料'")</f>
        <v>'沒有資料'</v>
      </c>
      <c r="P251" s="380" t="str">
        <f>IFERROR(VLOOKUP($G251,'321買'!$A:$G,7,0),"'沒有資料'")</f>
        <v>'沒有資料'</v>
      </c>
      <c r="R251" s="297">
        <f>IFERROR(RANK(VLOOKUP($G251,連買!$A:$D,4,0),連買!$D:$D,0),"'沒有資料'")</f>
        <v>1579</v>
      </c>
      <c r="S251" s="34">
        <v>3.1</v>
      </c>
      <c r="U251" s="95">
        <f t="shared" si="112"/>
        <v>4.8286604361370715E-2</v>
      </c>
      <c r="V251" s="13">
        <v>64.2</v>
      </c>
      <c r="W251" s="66">
        <v>52</v>
      </c>
      <c r="X251" s="15">
        <f t="shared" si="113"/>
        <v>12.200000000000003</v>
      </c>
      <c r="Y251" s="63">
        <f t="shared" si="114"/>
        <v>0.23461538461538467</v>
      </c>
      <c r="Z251" s="100" t="s">
        <v>2292</v>
      </c>
      <c r="AA251" s="126"/>
      <c r="AD251" s="16" t="s">
        <v>2250</v>
      </c>
      <c r="AE251" s="84">
        <v>44176</v>
      </c>
      <c r="AF251" s="86">
        <v>44186</v>
      </c>
      <c r="AG251" s="33">
        <f t="shared" si="107"/>
        <v>10</v>
      </c>
      <c r="AH251" s="43" t="s">
        <v>2252</v>
      </c>
      <c r="AI251" s="280"/>
      <c r="AK251" s="264"/>
      <c r="AL251" s="264"/>
    </row>
    <row r="252" spans="1:40" ht="17.25" customHeight="1">
      <c r="A252" s="130" t="s">
        <v>1490</v>
      </c>
      <c r="B252" s="79">
        <v>69</v>
      </c>
      <c r="C252" s="79">
        <v>74</v>
      </c>
      <c r="D252" s="79">
        <v>24</v>
      </c>
      <c r="E252" s="79">
        <v>12</v>
      </c>
      <c r="F252" s="57">
        <v>10.81</v>
      </c>
      <c r="G252" s="79">
        <v>6752</v>
      </c>
      <c r="H252" s="4" t="s">
        <v>3679</v>
      </c>
      <c r="I252" s="16" t="s">
        <v>2256</v>
      </c>
      <c r="J252" s="323">
        <v>21.14</v>
      </c>
      <c r="K252" s="323">
        <v>0.21</v>
      </c>
      <c r="N252" s="318">
        <f t="shared" si="111"/>
        <v>21.35</v>
      </c>
      <c r="O252" s="81" t="str">
        <f>IFERROR(VLOOKUP($G252,'321買'!A:E,3,0),"'沒有資料'")</f>
        <v>'沒有資料'</v>
      </c>
      <c r="P252" s="380" t="str">
        <f>IFERROR(VLOOKUP($G252,'321買'!$A:$G,7,0),"'沒有資料'")</f>
        <v>'沒有資料'</v>
      </c>
      <c r="R252" s="297">
        <f>IFERROR(RANK(VLOOKUP($G252,連買!$A:$D,4,0),連買!$D:$D,0),"'沒有資料'")</f>
        <v>1234</v>
      </c>
      <c r="S252" s="34">
        <v>1.8</v>
      </c>
      <c r="U252" s="95">
        <f t="shared" si="112"/>
        <v>3.0456852791878174E-2</v>
      </c>
      <c r="V252" s="36">
        <v>59.1</v>
      </c>
      <c r="W252" s="66">
        <v>56</v>
      </c>
      <c r="X252" s="15">
        <f t="shared" si="113"/>
        <v>3.1000000000000014</v>
      </c>
      <c r="Y252" s="63">
        <f t="shared" si="114"/>
        <v>5.5357142857142883E-2</v>
      </c>
      <c r="Z252" s="100" t="s">
        <v>2286</v>
      </c>
      <c r="AA252" s="126"/>
      <c r="AD252" s="16" t="s">
        <v>2256</v>
      </c>
      <c r="AE252" s="84">
        <v>44175</v>
      </c>
      <c r="AF252" s="86">
        <v>44186</v>
      </c>
      <c r="AG252" s="33">
        <f t="shared" si="107"/>
        <v>11</v>
      </c>
      <c r="AH252" s="43" t="s">
        <v>2280</v>
      </c>
      <c r="AI252" s="280"/>
      <c r="AK252" s="264"/>
      <c r="AL252" s="264"/>
    </row>
    <row r="253" spans="1:40">
      <c r="A253" s="146" t="s">
        <v>2253</v>
      </c>
      <c r="B253" s="90">
        <v>-88</v>
      </c>
      <c r="C253" s="80">
        <v>-90</v>
      </c>
      <c r="D253" s="79">
        <v>49</v>
      </c>
      <c r="E253" s="79">
        <v>18</v>
      </c>
      <c r="F253" s="6">
        <v>0.32</v>
      </c>
      <c r="G253" s="80">
        <v>2867</v>
      </c>
      <c r="H253" s="10" t="s">
        <v>306</v>
      </c>
      <c r="I253" s="22" t="s">
        <v>116</v>
      </c>
      <c r="J253" s="323">
        <v>72.62</v>
      </c>
      <c r="K253" s="323">
        <v>7.12</v>
      </c>
      <c r="L253" s="323">
        <v>2.5299999999999998</v>
      </c>
      <c r="N253" s="318">
        <f t="shared" si="111"/>
        <v>82.27000000000001</v>
      </c>
      <c r="O253" s="81">
        <f>IFERROR(VLOOKUP($G253,'321買'!A:E,3,0),"'沒有資料'")</f>
        <v>0</v>
      </c>
      <c r="P253" s="380">
        <f>IFERROR(VLOOKUP($G253,'321買'!$A:$G,7,0),"'沒有資料'")</f>
        <v>911</v>
      </c>
      <c r="R253" s="297">
        <f>IFERROR(RANK(VLOOKUP($G253,連買!$A:$D,4,0),連買!$D:$D,0),"'沒有資料'")</f>
        <v>1233</v>
      </c>
      <c r="S253" s="34">
        <v>0</v>
      </c>
      <c r="U253" s="95">
        <f t="shared" si="112"/>
        <v>0</v>
      </c>
      <c r="V253" s="36">
        <v>8.3000000000000007</v>
      </c>
      <c r="W253" s="66">
        <v>7.55</v>
      </c>
      <c r="X253" s="15">
        <f t="shared" si="113"/>
        <v>0.75000000000000089</v>
      </c>
      <c r="Y253" s="63">
        <f t="shared" si="114"/>
        <v>9.933774834437098E-2</v>
      </c>
      <c r="Z253" s="100" t="s">
        <v>2287</v>
      </c>
      <c r="AA253" s="126"/>
      <c r="AD253" s="22" t="s">
        <v>116</v>
      </c>
      <c r="AE253" s="84">
        <v>44175</v>
      </c>
      <c r="AF253" s="86">
        <v>44186</v>
      </c>
      <c r="AG253" s="33">
        <f t="shared" si="107"/>
        <v>11</v>
      </c>
      <c r="AH253" s="120" t="s">
        <v>2323</v>
      </c>
      <c r="AI253" s="280"/>
      <c r="AK253" s="264"/>
      <c r="AL253" s="264"/>
    </row>
    <row r="254" spans="1:40">
      <c r="A254" s="146" t="s">
        <v>2237</v>
      </c>
      <c r="B254" s="94">
        <v>-236</v>
      </c>
      <c r="C254" s="94">
        <v>-2493</v>
      </c>
      <c r="D254" s="80">
        <v>3</v>
      </c>
      <c r="E254" s="79">
        <v>23</v>
      </c>
      <c r="F254" s="6">
        <v>-6.71</v>
      </c>
      <c r="G254" s="79">
        <v>6443</v>
      </c>
      <c r="H254" s="4" t="s">
        <v>308</v>
      </c>
      <c r="I254" s="22" t="s">
        <v>4617</v>
      </c>
      <c r="J254" s="323">
        <v>25.06</v>
      </c>
      <c r="K254" s="73">
        <v>10.130000000000001</v>
      </c>
      <c r="N254" s="318">
        <f t="shared" si="111"/>
        <v>35.19</v>
      </c>
      <c r="O254" s="81">
        <f>IFERROR(VLOOKUP($G254,'321買'!A:E,3,0),"'沒有資料'")</f>
        <v>40</v>
      </c>
      <c r="P254" s="380">
        <f>IFERROR(VLOOKUP($G254,'321買'!$A:$G,7,0),"'沒有資料'")</f>
        <v>68</v>
      </c>
      <c r="R254" s="297">
        <f>IFERROR(RANK(VLOOKUP($G254,連買!$A:$D,4,0),連買!$D:$D,0),"'沒有資料'")</f>
        <v>467</v>
      </c>
      <c r="S254" s="34">
        <v>0</v>
      </c>
      <c r="U254" s="95">
        <f t="shared" si="112"/>
        <v>0</v>
      </c>
      <c r="V254" s="36">
        <v>39.450000000000003</v>
      </c>
      <c r="W254" s="66">
        <v>25.8</v>
      </c>
      <c r="X254" s="15">
        <f t="shared" si="113"/>
        <v>13.650000000000002</v>
      </c>
      <c r="Y254" s="63">
        <f t="shared" si="114"/>
        <v>0.52906976744186052</v>
      </c>
      <c r="Z254" s="100" t="s">
        <v>2276</v>
      </c>
      <c r="AD254" s="22" t="s">
        <v>452</v>
      </c>
      <c r="AE254" s="84">
        <v>44172</v>
      </c>
      <c r="AF254" s="86">
        <v>44182</v>
      </c>
      <c r="AG254" s="33">
        <f t="shared" si="107"/>
        <v>10</v>
      </c>
      <c r="AH254" s="43" t="s">
        <v>2118</v>
      </c>
      <c r="AI254" s="280"/>
      <c r="AK254" s="264"/>
      <c r="AL254" s="264"/>
    </row>
    <row r="255" spans="1:40">
      <c r="A255" s="130" t="s">
        <v>2138</v>
      </c>
      <c r="B255" s="79">
        <v>27</v>
      </c>
      <c r="C255" s="79">
        <v>35</v>
      </c>
      <c r="D255" s="79">
        <v>18</v>
      </c>
      <c r="E255" s="79">
        <v>10</v>
      </c>
      <c r="F255" s="57">
        <v>12.18</v>
      </c>
      <c r="G255" s="79">
        <v>4755</v>
      </c>
      <c r="H255" s="4" t="s">
        <v>3879</v>
      </c>
      <c r="I255" s="22" t="s">
        <v>770</v>
      </c>
      <c r="J255" s="73">
        <v>76.099999999999994</v>
      </c>
      <c r="K255" s="323">
        <v>29.76</v>
      </c>
      <c r="L255" s="323">
        <v>2.41</v>
      </c>
      <c r="N255" s="318">
        <f t="shared" si="111"/>
        <v>108.27</v>
      </c>
      <c r="O255" s="81">
        <f>IFERROR(VLOOKUP($G255,'321買'!A:E,3,0),"'沒有資料'")</f>
        <v>13</v>
      </c>
      <c r="P255" s="380">
        <f>IFERROR(VLOOKUP($G255,'321買'!$A:$G,7,0),"'沒有資料'")</f>
        <v>368</v>
      </c>
      <c r="R255" s="297">
        <f>IFERROR(RANK(VLOOKUP($G255,連買!$A:$D,4,0),連買!$D:$D,0),"'沒有資料'")</f>
        <v>210</v>
      </c>
      <c r="S255" s="34">
        <v>2.5</v>
      </c>
      <c r="U255" s="95">
        <f t="shared" si="112"/>
        <v>3.7821482602118005E-2</v>
      </c>
      <c r="V255" s="36">
        <v>66.099999999999994</v>
      </c>
      <c r="W255" s="66">
        <v>48.7</v>
      </c>
      <c r="X255" s="15">
        <f t="shared" si="113"/>
        <v>17.399999999999991</v>
      </c>
      <c r="Y255" s="63">
        <f t="shared" si="114"/>
        <v>0.35728952772073902</v>
      </c>
      <c r="Z255" s="100" t="s">
        <v>2271</v>
      </c>
      <c r="AA255" s="126"/>
      <c r="AD255" s="22" t="s">
        <v>770</v>
      </c>
      <c r="AE255" s="84">
        <v>44169</v>
      </c>
      <c r="AF255" s="86">
        <v>44179</v>
      </c>
      <c r="AG255" s="33">
        <f t="shared" si="107"/>
        <v>10</v>
      </c>
      <c r="AH255" s="43" t="s">
        <v>2238</v>
      </c>
      <c r="AI255" s="280"/>
      <c r="AK255" s="264"/>
      <c r="AL255" s="264"/>
    </row>
    <row r="256" spans="1:40">
      <c r="A256" s="130" t="s">
        <v>2293</v>
      </c>
      <c r="B256" s="80">
        <v>-21</v>
      </c>
      <c r="C256" s="79">
        <v>24</v>
      </c>
      <c r="D256" s="80">
        <v>-22</v>
      </c>
      <c r="E256" s="90">
        <v>-43</v>
      </c>
      <c r="F256" s="57">
        <v>14.09</v>
      </c>
      <c r="G256" s="80">
        <v>6727</v>
      </c>
      <c r="H256" s="4" t="s">
        <v>3620</v>
      </c>
      <c r="I256" s="16" t="s">
        <v>2235</v>
      </c>
      <c r="J256" s="323">
        <v>7.8</v>
      </c>
      <c r="K256" s="323">
        <v>2.4300000000000002</v>
      </c>
      <c r="N256" s="318">
        <f t="shared" si="111"/>
        <v>10.23</v>
      </c>
      <c r="O256" s="81" t="str">
        <f>IFERROR(VLOOKUP($G256,'321買'!A:E,3,0),"'沒有資料'")</f>
        <v>'沒有資料'</v>
      </c>
      <c r="P256" s="380" t="str">
        <f>IFERROR(VLOOKUP($G256,'321買'!$A:$G,7,0),"'沒有資料'")</f>
        <v>'沒有資料'</v>
      </c>
      <c r="R256" s="297">
        <f>IFERROR(RANK(VLOOKUP($G256,連買!$A:$D,4,0),連買!$D:$D,0),"'沒有資料'")</f>
        <v>361</v>
      </c>
      <c r="S256" s="34">
        <v>2</v>
      </c>
      <c r="U256" s="95">
        <f t="shared" si="112"/>
        <v>3.3670033670033669E-2</v>
      </c>
      <c r="V256" s="36">
        <v>59.4</v>
      </c>
      <c r="W256" s="66">
        <v>52.8</v>
      </c>
      <c r="X256" s="15">
        <f t="shared" si="113"/>
        <v>6.6000000000000014</v>
      </c>
      <c r="Y256" s="63">
        <f t="shared" si="114"/>
        <v>0.12500000000000003</v>
      </c>
      <c r="Z256" s="100" t="s">
        <v>2263</v>
      </c>
      <c r="AA256" s="126"/>
      <c r="AD256" s="16" t="s">
        <v>2235</v>
      </c>
      <c r="AE256" s="84">
        <v>44166</v>
      </c>
      <c r="AF256" s="86">
        <v>44176</v>
      </c>
      <c r="AG256" s="33">
        <f t="shared" si="107"/>
        <v>10</v>
      </c>
      <c r="AH256" s="43" t="s">
        <v>2236</v>
      </c>
      <c r="AI256" s="280"/>
      <c r="AK256" s="264"/>
      <c r="AL256" s="264"/>
    </row>
    <row r="257" spans="1:42">
      <c r="A257" s="130" t="s">
        <v>1859</v>
      </c>
      <c r="B257" s="79">
        <v>9</v>
      </c>
      <c r="C257" s="79">
        <v>14</v>
      </c>
      <c r="D257" s="80">
        <v>-27</v>
      </c>
      <c r="E257" s="79">
        <v>11</v>
      </c>
      <c r="F257" s="57">
        <v>17.32</v>
      </c>
      <c r="G257" s="80">
        <v>1342</v>
      </c>
      <c r="H257" s="4" t="s">
        <v>295</v>
      </c>
      <c r="I257" s="22" t="s">
        <v>2228</v>
      </c>
      <c r="J257" s="323">
        <v>81.73</v>
      </c>
      <c r="K257" s="323">
        <v>53.43</v>
      </c>
      <c r="L257" s="323"/>
      <c r="N257" s="318">
        <f t="shared" si="111"/>
        <v>135.16</v>
      </c>
      <c r="O257" s="81">
        <f>IFERROR(VLOOKUP($G257,'321買'!A:E,3,0),"'沒有資料'")</f>
        <v>0</v>
      </c>
      <c r="P257" s="380">
        <f>IFERROR(VLOOKUP($G257,'321買'!$A:$G,7,0),"'沒有資料'")</f>
        <v>911</v>
      </c>
      <c r="R257" s="297">
        <f>IFERROR(RANK(VLOOKUP($G257,連買!$A:$D,4,0),連買!$D:$D,0),"'沒有資料'")</f>
        <v>569</v>
      </c>
      <c r="S257" s="34">
        <v>2.5</v>
      </c>
      <c r="U257" s="95">
        <f t="shared" si="112"/>
        <v>4.1254125412541254E-2</v>
      </c>
      <c r="V257" s="13">
        <v>60.6</v>
      </c>
      <c r="W257" s="66">
        <v>55</v>
      </c>
      <c r="X257" s="15">
        <f t="shared" si="113"/>
        <v>5.6000000000000014</v>
      </c>
      <c r="Y257" s="63">
        <f t="shared" si="114"/>
        <v>0.10181818181818185</v>
      </c>
      <c r="Z257" s="100" t="s">
        <v>2244</v>
      </c>
      <c r="AA257" s="126"/>
      <c r="AD257" s="22" t="s">
        <v>2228</v>
      </c>
      <c r="AE257" s="84">
        <v>44159</v>
      </c>
      <c r="AF257" s="86">
        <v>44169</v>
      </c>
      <c r="AG257" s="33">
        <f t="shared" si="107"/>
        <v>10</v>
      </c>
      <c r="AH257" s="43" t="s">
        <v>2229</v>
      </c>
      <c r="AI257" s="280"/>
      <c r="AK257" s="264"/>
      <c r="AL257" s="264"/>
    </row>
    <row r="258" spans="1:42">
      <c r="A258" s="146" t="s">
        <v>2224</v>
      </c>
      <c r="B258" s="80">
        <v>-112</v>
      </c>
      <c r="C258" s="80">
        <v>-126</v>
      </c>
      <c r="D258" s="80">
        <v>-39</v>
      </c>
      <c r="E258" s="79">
        <v>45</v>
      </c>
      <c r="F258" s="6">
        <v>-27.96</v>
      </c>
      <c r="G258" s="80">
        <v>6625</v>
      </c>
      <c r="H258" s="4" t="s">
        <v>2084</v>
      </c>
      <c r="I258" s="22" t="s">
        <v>6543</v>
      </c>
      <c r="J258" s="323">
        <v>56.24</v>
      </c>
      <c r="K258" s="73">
        <v>0.21</v>
      </c>
      <c r="L258" s="323">
        <v>0.78</v>
      </c>
      <c r="N258" s="318">
        <f t="shared" si="111"/>
        <v>57.230000000000004</v>
      </c>
      <c r="O258" s="81">
        <f>IFERROR(VLOOKUP($G258,'321買'!A:E,3,0),"'沒有資料'")</f>
        <v>0</v>
      </c>
      <c r="P258" s="380">
        <f>IFERROR(VLOOKUP($G258,'321買'!$A:$G,7,0),"'沒有資料'")</f>
        <v>911</v>
      </c>
      <c r="R258" s="297">
        <f>IFERROR(RANK(VLOOKUP($G258,連買!$A:$D,4,0),連買!$D:$D,0),"'沒有資料'")</f>
        <v>790</v>
      </c>
      <c r="S258" s="34">
        <v>0.6</v>
      </c>
      <c r="U258" s="95">
        <f t="shared" si="112"/>
        <v>1.7857142857142856E-2</v>
      </c>
      <c r="V258" s="36">
        <v>33.6</v>
      </c>
      <c r="W258" s="66">
        <v>30</v>
      </c>
      <c r="X258" s="15">
        <f t="shared" si="113"/>
        <v>3.6000000000000014</v>
      </c>
      <c r="Y258" s="63">
        <f t="shared" si="114"/>
        <v>0.12000000000000005</v>
      </c>
      <c r="Z258" s="100" t="s">
        <v>2245</v>
      </c>
      <c r="AA258" s="126"/>
      <c r="AD258" s="22" t="s">
        <v>686</v>
      </c>
      <c r="AE258" s="84">
        <v>44159</v>
      </c>
      <c r="AF258" s="86">
        <v>44169</v>
      </c>
      <c r="AG258" s="33">
        <f t="shared" ref="AG258:AG321" si="115">AF258-AE258</f>
        <v>10</v>
      </c>
      <c r="AH258" s="43" t="s">
        <v>2225</v>
      </c>
      <c r="AI258" s="280"/>
      <c r="AK258" s="264"/>
      <c r="AL258" s="264"/>
    </row>
    <row r="259" spans="1:42" ht="17.25" customHeight="1">
      <c r="A259" s="130" t="s">
        <v>2226</v>
      </c>
      <c r="B259" s="80">
        <v>-81</v>
      </c>
      <c r="C259" s="80">
        <v>-72</v>
      </c>
      <c r="D259" s="80">
        <v>-92</v>
      </c>
      <c r="E259" s="80">
        <v>-97</v>
      </c>
      <c r="F259" s="57">
        <v>13.67</v>
      </c>
      <c r="G259" s="79">
        <v>6177</v>
      </c>
      <c r="H259" s="4" t="s">
        <v>4327</v>
      </c>
      <c r="I259" s="22" t="s">
        <v>6552</v>
      </c>
      <c r="J259" s="323">
        <v>67.52</v>
      </c>
      <c r="K259" s="73">
        <v>1.99</v>
      </c>
      <c r="L259" s="73">
        <v>7.45</v>
      </c>
      <c r="N259" s="318">
        <f t="shared" si="111"/>
        <v>76.959999999999994</v>
      </c>
      <c r="O259" s="81">
        <f>IFERROR(VLOOKUP($G259,'321買'!A:E,3,0),"'沒有資料'")</f>
        <v>0</v>
      </c>
      <c r="P259" s="380">
        <f>IFERROR(VLOOKUP($G259,'321買'!$A:$G,7,0),"'沒有資料'")</f>
        <v>911</v>
      </c>
      <c r="R259" s="297">
        <f>IFERROR(RANK(VLOOKUP($G259,連買!$A:$D,4,0),連買!$D:$D,0),"'沒有資料'")</f>
        <v>601</v>
      </c>
      <c r="S259" s="34">
        <v>3</v>
      </c>
      <c r="U259" s="95">
        <f t="shared" si="112"/>
        <v>9.5846645367412137E-2</v>
      </c>
      <c r="V259" s="36">
        <v>31.3</v>
      </c>
      <c r="W259" s="66">
        <v>25</v>
      </c>
      <c r="X259" s="15">
        <f t="shared" si="113"/>
        <v>6.3000000000000007</v>
      </c>
      <c r="Y259" s="63">
        <f t="shared" si="114"/>
        <v>0.252</v>
      </c>
      <c r="Z259" s="100" t="s">
        <v>1884</v>
      </c>
      <c r="AA259" s="126"/>
      <c r="AD259" s="22" t="s">
        <v>943</v>
      </c>
      <c r="AE259" s="84">
        <v>44159</v>
      </c>
      <c r="AF259" s="86">
        <v>44169</v>
      </c>
      <c r="AG259" s="33">
        <f t="shared" si="115"/>
        <v>10</v>
      </c>
      <c r="AH259" s="43" t="s">
        <v>2150</v>
      </c>
      <c r="AI259" s="280"/>
      <c r="AK259" s="264"/>
      <c r="AL259" s="264"/>
    </row>
    <row r="260" spans="1:42">
      <c r="A260" s="146" t="s">
        <v>2215</v>
      </c>
      <c r="B260" s="79">
        <v>55</v>
      </c>
      <c r="C260" s="79">
        <v>60</v>
      </c>
      <c r="D260" s="80">
        <v>-9</v>
      </c>
      <c r="E260" s="80">
        <v>-11</v>
      </c>
      <c r="F260" s="6">
        <v>-6.44</v>
      </c>
      <c r="G260" s="79">
        <v>5351</v>
      </c>
      <c r="H260" s="54" t="s">
        <v>3254</v>
      </c>
      <c r="I260" s="24" t="s">
        <v>250</v>
      </c>
      <c r="J260" s="73">
        <v>18.95</v>
      </c>
      <c r="K260" s="73">
        <v>6.29</v>
      </c>
      <c r="L260" s="323">
        <v>23.03</v>
      </c>
      <c r="N260" s="318">
        <f t="shared" si="111"/>
        <v>48.269999999999996</v>
      </c>
      <c r="O260" s="81">
        <f>IFERROR(VLOOKUP($G260,'321買'!A:E,3,0),"'沒有資料'")</f>
        <v>62</v>
      </c>
      <c r="P260" s="380">
        <f>IFERROR(VLOOKUP($G260,'321買'!$A:$G,7,0),"'沒有資料'")</f>
        <v>38</v>
      </c>
      <c r="R260" s="297">
        <f>IFERROR(RANK(VLOOKUP($G260,連買!$A:$D,4,0),連買!$D:$D,0),"'沒有資料'")</f>
        <v>403</v>
      </c>
      <c r="S260" s="34">
        <v>0</v>
      </c>
      <c r="U260" s="95">
        <f t="shared" si="112"/>
        <v>0</v>
      </c>
      <c r="V260" s="36">
        <v>22.3</v>
      </c>
      <c r="W260" s="45">
        <v>14.6</v>
      </c>
      <c r="X260" s="15">
        <f t="shared" si="113"/>
        <v>7.7000000000000011</v>
      </c>
      <c r="Y260" s="63">
        <f t="shared" si="114"/>
        <v>0.52739726027397271</v>
      </c>
      <c r="Z260" s="100" t="s">
        <v>2246</v>
      </c>
      <c r="AD260" s="24" t="s">
        <v>250</v>
      </c>
      <c r="AE260" s="84">
        <v>44159</v>
      </c>
      <c r="AF260" s="86">
        <v>44169</v>
      </c>
      <c r="AG260" s="33">
        <f t="shared" si="115"/>
        <v>10</v>
      </c>
      <c r="AH260" s="122" t="s">
        <v>2041</v>
      </c>
      <c r="AI260" s="314"/>
      <c r="AK260" s="264"/>
      <c r="AL260" s="264"/>
    </row>
    <row r="261" spans="1:42" s="7" customFormat="1" ht="17.100000000000001" customHeight="1">
      <c r="A261" s="130" t="s">
        <v>1592</v>
      </c>
      <c r="B261" s="79">
        <v>32</v>
      </c>
      <c r="C261" s="79">
        <v>66</v>
      </c>
      <c r="D261" s="79">
        <v>14</v>
      </c>
      <c r="E261" s="79">
        <v>19</v>
      </c>
      <c r="F261" s="57">
        <v>18.440000000000001</v>
      </c>
      <c r="G261" s="79">
        <v>4945</v>
      </c>
      <c r="H261" s="53" t="s">
        <v>3254</v>
      </c>
      <c r="I261" s="24" t="s">
        <v>2223</v>
      </c>
      <c r="J261" s="323">
        <v>48.65</v>
      </c>
      <c r="K261" s="73">
        <v>3.42</v>
      </c>
      <c r="L261" s="323"/>
      <c r="M261" s="318"/>
      <c r="N261" s="318">
        <f t="shared" si="111"/>
        <v>52.07</v>
      </c>
      <c r="O261" s="81">
        <f>IFERROR(VLOOKUP($G261,'321買'!A:E,3,0),"'沒有資料'")</f>
        <v>11</v>
      </c>
      <c r="P261" s="380">
        <f>IFERROR(VLOOKUP($G261,'321買'!$A:$G,7,0),"'沒有資料'")</f>
        <v>408</v>
      </c>
      <c r="Q261" s="303"/>
      <c r="R261" s="297">
        <f>IFERROR(RANK(VLOOKUP($G261,連買!$A:$D,4,0),連買!$D:$D,0),"'沒有資料'")</f>
        <v>297</v>
      </c>
      <c r="S261" s="34">
        <v>1.5</v>
      </c>
      <c r="T261" s="354"/>
      <c r="U261" s="95">
        <f t="shared" si="112"/>
        <v>2.9940119760479042E-2</v>
      </c>
      <c r="V261" s="36">
        <v>50.1</v>
      </c>
      <c r="W261" s="66">
        <v>38</v>
      </c>
      <c r="X261" s="15">
        <f t="shared" si="113"/>
        <v>12.100000000000001</v>
      </c>
      <c r="Y261" s="63">
        <f t="shared" si="114"/>
        <v>0.31842105263157899</v>
      </c>
      <c r="Z261" s="100" t="s">
        <v>2211</v>
      </c>
      <c r="AA261" s="126"/>
      <c r="AB261" s="251"/>
      <c r="AC261" s="410"/>
      <c r="AD261" s="24" t="s">
        <v>2223</v>
      </c>
      <c r="AE261" s="84">
        <v>44155</v>
      </c>
      <c r="AF261" s="86">
        <v>44165</v>
      </c>
      <c r="AG261" s="33">
        <f t="shared" si="115"/>
        <v>10</v>
      </c>
      <c r="AH261" s="122" t="s">
        <v>2227</v>
      </c>
      <c r="AI261" s="314"/>
      <c r="AM261" s="270"/>
      <c r="AN261" s="22"/>
      <c r="AO261" s="41"/>
      <c r="AP261" s="270"/>
    </row>
    <row r="262" spans="1:42">
      <c r="A262" s="146" t="s">
        <v>2220</v>
      </c>
      <c r="B262" s="80">
        <v>-14</v>
      </c>
      <c r="C262" s="80">
        <v>-20</v>
      </c>
      <c r="D262" s="80">
        <v>-23</v>
      </c>
      <c r="E262" s="79">
        <v>178</v>
      </c>
      <c r="F262" s="47">
        <v>-1101</v>
      </c>
      <c r="G262" s="79">
        <v>6547</v>
      </c>
      <c r="H262" s="4" t="s">
        <v>5070</v>
      </c>
      <c r="I262" s="16" t="s">
        <v>1094</v>
      </c>
      <c r="J262" s="323">
        <v>33.5</v>
      </c>
      <c r="K262" s="323">
        <v>4.8099999999999996</v>
      </c>
      <c r="N262" s="318">
        <f t="shared" si="111"/>
        <v>38.31</v>
      </c>
      <c r="O262" s="81" t="str">
        <f>IFERROR(VLOOKUP($G262,'321買'!A:E,3,0),"'沒有資料'")</f>
        <v>'沒有資料'</v>
      </c>
      <c r="P262" s="380" t="str">
        <f>IFERROR(VLOOKUP($G262,'321買'!$A:$G,7,0),"'沒有資料'")</f>
        <v>'沒有資料'</v>
      </c>
      <c r="R262" s="297">
        <f>IFERROR(RANK(VLOOKUP($G262,連買!$A:$D,4,0),連買!$D:$D,0),"'沒有資料'")</f>
        <v>27</v>
      </c>
      <c r="S262" s="34">
        <v>0</v>
      </c>
      <c r="U262" s="95">
        <f t="shared" si="112"/>
        <v>0</v>
      </c>
      <c r="V262" s="36">
        <v>107</v>
      </c>
      <c r="W262" s="66">
        <v>80</v>
      </c>
      <c r="X262" s="15">
        <f t="shared" si="113"/>
        <v>27</v>
      </c>
      <c r="Y262" s="63">
        <f t="shared" si="114"/>
        <v>0.33750000000000002</v>
      </c>
      <c r="Z262" s="100" t="s">
        <v>2241</v>
      </c>
      <c r="AA262" s="126"/>
      <c r="AD262" s="16" t="s">
        <v>1094</v>
      </c>
      <c r="AE262" s="84">
        <v>44155</v>
      </c>
      <c r="AF262" s="86">
        <v>44165</v>
      </c>
      <c r="AG262" s="33">
        <f t="shared" si="115"/>
        <v>10</v>
      </c>
      <c r="AH262" s="43" t="s">
        <v>2012</v>
      </c>
      <c r="AI262" s="280"/>
      <c r="AK262" s="264"/>
      <c r="AL262" s="264"/>
    </row>
    <row r="263" spans="1:42">
      <c r="A263" s="146" t="s">
        <v>2216</v>
      </c>
      <c r="B263" s="79">
        <v>62</v>
      </c>
      <c r="C263" s="79">
        <v>92</v>
      </c>
      <c r="D263" s="79">
        <v>30</v>
      </c>
      <c r="E263" s="80">
        <v>-23</v>
      </c>
      <c r="F263" s="6">
        <v>-0.59</v>
      </c>
      <c r="G263" s="79">
        <v>8011</v>
      </c>
      <c r="H263" s="4" t="s">
        <v>313</v>
      </c>
      <c r="I263" s="22" t="s">
        <v>236</v>
      </c>
      <c r="J263" s="73">
        <v>28.59</v>
      </c>
      <c r="K263" s="323">
        <v>1.85</v>
      </c>
      <c r="L263" s="73">
        <v>12.03</v>
      </c>
      <c r="N263" s="318">
        <f t="shared" si="111"/>
        <v>42.47</v>
      </c>
      <c r="O263" s="81">
        <f>IFERROR(VLOOKUP($G263,'321買'!A:E,3,0),"'沒有資料'")</f>
        <v>5</v>
      </c>
      <c r="P263" s="380">
        <f>IFERROR(VLOOKUP($G263,'321買'!$A:$G,7,0),"'沒有資料'")</f>
        <v>558</v>
      </c>
      <c r="R263" s="297">
        <f>IFERROR(RANK(VLOOKUP($G263,連買!$A:$D,4,0),連買!$D:$D,0),"'沒有資料'")</f>
        <v>939</v>
      </c>
      <c r="S263" s="34">
        <v>0</v>
      </c>
      <c r="U263" s="95">
        <f t="shared" ref="U263:U294" si="116">S263/V263</f>
        <v>0</v>
      </c>
      <c r="V263" s="36">
        <v>18.75</v>
      </c>
      <c r="W263" s="66">
        <v>14.2</v>
      </c>
      <c r="X263" s="15">
        <f t="shared" si="113"/>
        <v>4.5500000000000007</v>
      </c>
      <c r="Y263" s="63">
        <f t="shared" si="114"/>
        <v>0.32042253521126768</v>
      </c>
      <c r="Z263" s="100" t="s">
        <v>2233</v>
      </c>
      <c r="AA263" s="126"/>
      <c r="AD263" s="22" t="s">
        <v>236</v>
      </c>
      <c r="AE263" s="84">
        <v>44152</v>
      </c>
      <c r="AF263" s="86">
        <v>44162</v>
      </c>
      <c r="AG263" s="33">
        <f t="shared" si="115"/>
        <v>10</v>
      </c>
      <c r="AH263" s="120" t="s">
        <v>2217</v>
      </c>
      <c r="AI263" s="280"/>
      <c r="AK263" s="264"/>
      <c r="AL263" s="264"/>
    </row>
    <row r="264" spans="1:42" ht="17.25" customHeight="1">
      <c r="A264" s="146" t="s">
        <v>1614</v>
      </c>
      <c r="B264" s="79">
        <v>35</v>
      </c>
      <c r="C264" s="79">
        <v>19</v>
      </c>
      <c r="D264" s="80">
        <v>-8</v>
      </c>
      <c r="E264" s="79">
        <v>12</v>
      </c>
      <c r="F264" s="6">
        <v>9.27</v>
      </c>
      <c r="G264" s="79">
        <v>3171</v>
      </c>
      <c r="H264" s="4" t="s">
        <v>6530</v>
      </c>
      <c r="I264" s="16" t="s">
        <v>6553</v>
      </c>
      <c r="J264" s="323">
        <v>74.760000000000005</v>
      </c>
      <c r="K264" s="323">
        <v>0.52</v>
      </c>
      <c r="L264" s="323">
        <v>4.33</v>
      </c>
      <c r="N264" s="318">
        <f t="shared" si="111"/>
        <v>79.61</v>
      </c>
      <c r="O264" s="81" t="str">
        <f>IFERROR(VLOOKUP($G264,'321買'!A:E,3,0),"'沒有資料'")</f>
        <v>'沒有資料'</v>
      </c>
      <c r="P264" s="380" t="str">
        <f>IFERROR(VLOOKUP($G264,'321買'!$A:$G,7,0),"'沒有資料'")</f>
        <v>'沒有資料'</v>
      </c>
      <c r="R264" s="297">
        <f>IFERROR(RANK(VLOOKUP($G264,連買!$A:$D,4,0),連買!$D:$D,0),"'沒有資料'")</f>
        <v>1463</v>
      </c>
      <c r="S264" s="34">
        <v>1.58</v>
      </c>
      <c r="U264" s="95">
        <f t="shared" si="116"/>
        <v>7.3317865429234338E-2</v>
      </c>
      <c r="V264" s="36">
        <v>21.55</v>
      </c>
      <c r="W264" s="66">
        <v>20</v>
      </c>
      <c r="X264" s="15">
        <f t="shared" si="113"/>
        <v>1.5500000000000007</v>
      </c>
      <c r="Y264" s="63">
        <f t="shared" si="114"/>
        <v>7.7500000000000041E-2</v>
      </c>
      <c r="Z264" s="100" t="s">
        <v>2231</v>
      </c>
      <c r="AA264" s="126"/>
      <c r="AD264" s="16" t="s">
        <v>798</v>
      </c>
      <c r="AE264" s="84">
        <v>44147</v>
      </c>
      <c r="AF264" s="86">
        <v>44158</v>
      </c>
      <c r="AG264" s="33">
        <f t="shared" si="115"/>
        <v>11</v>
      </c>
      <c r="AH264" s="43" t="s">
        <v>2210</v>
      </c>
      <c r="AI264" s="280"/>
      <c r="AK264" s="264"/>
      <c r="AL264" s="264"/>
    </row>
    <row r="265" spans="1:42">
      <c r="A265" s="130" t="s">
        <v>2149</v>
      </c>
      <c r="B265" s="80">
        <v>-4</v>
      </c>
      <c r="C265" s="79">
        <v>215</v>
      </c>
      <c r="D265" s="80">
        <v>-26</v>
      </c>
      <c r="E265" s="79">
        <v>7</v>
      </c>
      <c r="F265" s="57">
        <v>11.97</v>
      </c>
      <c r="G265" s="80">
        <v>6023</v>
      </c>
      <c r="H265" s="10" t="s">
        <v>306</v>
      </c>
      <c r="I265" s="16" t="s">
        <v>149</v>
      </c>
      <c r="J265" s="323">
        <v>81.8</v>
      </c>
      <c r="K265" s="323">
        <v>0.79</v>
      </c>
      <c r="L265" s="73">
        <v>0.36</v>
      </c>
      <c r="N265" s="318">
        <f t="shared" si="111"/>
        <v>82.95</v>
      </c>
      <c r="O265" s="81">
        <f>IFERROR(VLOOKUP($G265,'321買'!A:E,3,0),"'沒有資料'")</f>
        <v>0</v>
      </c>
      <c r="P265" s="380">
        <f>IFERROR(VLOOKUP($G265,'321買'!$A:$G,7,0),"'沒有資料'")</f>
        <v>911</v>
      </c>
      <c r="R265" s="297">
        <f>IFERROR(RANK(VLOOKUP($G265,連買!$A:$D,4,0),連買!$D:$D,0),"'沒有資料'")</f>
        <v>1139</v>
      </c>
      <c r="S265" s="34">
        <v>3.2</v>
      </c>
      <c r="U265" s="95">
        <f t="shared" si="116"/>
        <v>6.237816764132554E-2</v>
      </c>
      <c r="V265" s="36">
        <v>51.3</v>
      </c>
      <c r="W265" s="66">
        <v>45.5</v>
      </c>
      <c r="X265" s="15">
        <f t="shared" si="113"/>
        <v>5.7999999999999972</v>
      </c>
      <c r="Y265" s="63">
        <f t="shared" si="114"/>
        <v>0.12747252747252741</v>
      </c>
      <c r="Z265" s="100" t="s">
        <v>2219</v>
      </c>
      <c r="AA265" s="126"/>
      <c r="AD265" s="16" t="s">
        <v>149</v>
      </c>
      <c r="AE265" s="84">
        <v>44139</v>
      </c>
      <c r="AF265" s="86">
        <v>44151</v>
      </c>
      <c r="AG265" s="33">
        <f t="shared" si="115"/>
        <v>12</v>
      </c>
      <c r="AH265" s="120" t="s">
        <v>1445</v>
      </c>
      <c r="AI265" s="280"/>
      <c r="AK265" s="264"/>
      <c r="AL265" s="264"/>
    </row>
    <row r="266" spans="1:42">
      <c r="A266" s="146" t="s">
        <v>1758</v>
      </c>
      <c r="B266" s="79">
        <v>173</v>
      </c>
      <c r="C266" s="79">
        <v>904</v>
      </c>
      <c r="D266" s="79">
        <v>34</v>
      </c>
      <c r="E266" s="80">
        <v>-27</v>
      </c>
      <c r="F266" s="6">
        <v>5.77</v>
      </c>
      <c r="G266" s="79">
        <v>6667</v>
      </c>
      <c r="H266" s="4" t="s">
        <v>316</v>
      </c>
      <c r="I266" s="16" t="s">
        <v>1080</v>
      </c>
      <c r="J266" s="323">
        <v>53.97</v>
      </c>
      <c r="K266" s="323">
        <v>1.63</v>
      </c>
      <c r="L266" s="323">
        <v>19.82</v>
      </c>
      <c r="N266" s="318">
        <f t="shared" si="111"/>
        <v>75.42</v>
      </c>
      <c r="O266" s="81">
        <f>IFERROR(VLOOKUP($G266,'321買'!A:E,3,0),"'沒有資料'")</f>
        <v>13</v>
      </c>
      <c r="P266" s="380">
        <f>IFERROR(VLOOKUP($G266,'321買'!$A:$G,7,0),"'沒有資料'")</f>
        <v>348</v>
      </c>
      <c r="R266" s="297">
        <f>IFERROR(RANK(VLOOKUP($G266,連買!$A:$D,4,0),連買!$D:$D,0),"'沒有資料'")</f>
        <v>303</v>
      </c>
      <c r="S266" s="34">
        <v>1.99</v>
      </c>
      <c r="U266" s="95">
        <f t="shared" si="116"/>
        <v>2.9924812030075187E-2</v>
      </c>
      <c r="V266" s="36">
        <v>66.5</v>
      </c>
      <c r="W266" s="66">
        <v>47</v>
      </c>
      <c r="X266" s="15">
        <f t="shared" si="113"/>
        <v>19.5</v>
      </c>
      <c r="Y266" s="63">
        <f t="shared" si="114"/>
        <v>0.41489361702127658</v>
      </c>
      <c r="Z266" s="100" t="s">
        <v>2218</v>
      </c>
      <c r="AA266" s="126"/>
      <c r="AD266" s="16" t="s">
        <v>1080</v>
      </c>
      <c r="AE266" s="84">
        <v>44138</v>
      </c>
      <c r="AF266" s="86">
        <v>44148</v>
      </c>
      <c r="AG266" s="33">
        <f t="shared" si="115"/>
        <v>10</v>
      </c>
      <c r="AH266" s="43" t="s">
        <v>2197</v>
      </c>
      <c r="AI266" s="280"/>
      <c r="AK266" s="264"/>
      <c r="AL266" s="264"/>
    </row>
    <row r="267" spans="1:42">
      <c r="A267" s="130" t="s">
        <v>1769</v>
      </c>
      <c r="B267" s="79">
        <v>16</v>
      </c>
      <c r="C267" s="79">
        <v>34</v>
      </c>
      <c r="D267" s="79">
        <v>2</v>
      </c>
      <c r="E267" s="79">
        <v>5</v>
      </c>
      <c r="F267" s="57">
        <v>26.69</v>
      </c>
      <c r="G267" s="79">
        <v>7556</v>
      </c>
      <c r="H267" s="52" t="s">
        <v>3254</v>
      </c>
      <c r="I267" s="16" t="s">
        <v>2196</v>
      </c>
      <c r="J267" s="323">
        <v>58.76</v>
      </c>
      <c r="K267" s="73">
        <v>2.6</v>
      </c>
      <c r="N267" s="318">
        <f t="shared" si="111"/>
        <v>61.36</v>
      </c>
      <c r="O267" s="81" t="str">
        <f>IFERROR(VLOOKUP($G267,'321買'!A:E,3,0),"'沒有資料'")</f>
        <v>'沒有資料'</v>
      </c>
      <c r="P267" s="380" t="str">
        <f>IFERROR(VLOOKUP($G267,'321買'!$A:$G,7,0),"'沒有資料'")</f>
        <v>'沒有資料'</v>
      </c>
      <c r="R267" s="297">
        <f>IFERROR(RANK(VLOOKUP($G267,連買!$A:$D,4,0),連買!$D:$D,0),"'沒有資料'")</f>
        <v>787</v>
      </c>
      <c r="S267" s="34">
        <v>2.2000000000000002</v>
      </c>
      <c r="U267" s="95">
        <f t="shared" si="116"/>
        <v>2.2845275181723784E-2</v>
      </c>
      <c r="V267" s="36">
        <v>96.3</v>
      </c>
      <c r="W267" s="66">
        <v>88</v>
      </c>
      <c r="X267" s="15">
        <f t="shared" si="113"/>
        <v>8.2999999999999972</v>
      </c>
      <c r="Y267" s="63">
        <f t="shared" si="114"/>
        <v>9.4318181818181787E-2</v>
      </c>
      <c r="Z267" s="100" t="s">
        <v>2213</v>
      </c>
      <c r="AA267" s="126"/>
      <c r="AD267" s="16" t="s">
        <v>2196</v>
      </c>
      <c r="AE267" s="84">
        <v>44134</v>
      </c>
      <c r="AF267" s="86">
        <v>44144</v>
      </c>
      <c r="AG267" s="33">
        <f t="shared" si="115"/>
        <v>10</v>
      </c>
      <c r="AH267" s="43" t="s">
        <v>2198</v>
      </c>
      <c r="AI267" s="280"/>
      <c r="AK267" s="264"/>
      <c r="AL267" s="264"/>
    </row>
    <row r="268" spans="1:42">
      <c r="A268" s="146" t="s">
        <v>1816</v>
      </c>
      <c r="B268" s="80">
        <v>-130</v>
      </c>
      <c r="C268" s="80">
        <v>-104</v>
      </c>
      <c r="D268" s="79">
        <v>5</v>
      </c>
      <c r="E268" s="80">
        <v>-19</v>
      </c>
      <c r="F268" s="6">
        <v>-0.66</v>
      </c>
      <c r="G268" s="80">
        <v>2027</v>
      </c>
      <c r="H268" s="4" t="s">
        <v>301</v>
      </c>
      <c r="I268" s="22" t="s">
        <v>4266</v>
      </c>
      <c r="J268" s="73">
        <v>64.2</v>
      </c>
      <c r="K268" s="73">
        <v>20.71</v>
      </c>
      <c r="L268" s="323">
        <v>8.68</v>
      </c>
      <c r="N268" s="318">
        <f t="shared" si="111"/>
        <v>93.59</v>
      </c>
      <c r="O268" s="81">
        <f>IFERROR(VLOOKUP($G268,'321買'!A:E,3,0),"'沒有資料'")</f>
        <v>22</v>
      </c>
      <c r="P268" s="380">
        <f>IFERROR(VLOOKUP($G268,'321買'!$A:$G,7,0),"'沒有資料'")</f>
        <v>207</v>
      </c>
      <c r="R268" s="297">
        <f>IFERROR(RANK(VLOOKUP($G268,連買!$A:$D,4,0),連買!$D:$D,0),"'沒有資料'")</f>
        <v>430</v>
      </c>
      <c r="S268" s="34">
        <v>1.2</v>
      </c>
      <c r="U268" s="57">
        <f t="shared" si="116"/>
        <v>4.8289738430583498E-2</v>
      </c>
      <c r="V268" s="36">
        <v>24.85</v>
      </c>
      <c r="W268" s="66">
        <v>18</v>
      </c>
      <c r="X268" s="15">
        <f t="shared" si="113"/>
        <v>6.8500000000000014</v>
      </c>
      <c r="Y268" s="63">
        <f t="shared" si="114"/>
        <v>0.38055555555555565</v>
      </c>
      <c r="Z268" s="100" t="s">
        <v>2214</v>
      </c>
      <c r="AA268" s="126"/>
      <c r="AD268" s="22" t="s">
        <v>282</v>
      </c>
      <c r="AE268" s="84">
        <v>44134</v>
      </c>
      <c r="AF268" s="86">
        <v>44144</v>
      </c>
      <c r="AG268" s="33">
        <f t="shared" si="115"/>
        <v>10</v>
      </c>
      <c r="AH268" s="120" t="s">
        <v>1432</v>
      </c>
      <c r="AI268" s="280"/>
      <c r="AK268" s="264"/>
      <c r="AL268" s="264"/>
    </row>
    <row r="269" spans="1:42">
      <c r="A269" s="146" t="s">
        <v>2184</v>
      </c>
      <c r="B269" s="80">
        <v>-18</v>
      </c>
      <c r="C269" s="79"/>
      <c r="D269" s="80">
        <v>-19</v>
      </c>
      <c r="E269" s="79">
        <v>3</v>
      </c>
      <c r="F269" s="6"/>
      <c r="G269" s="80">
        <v>2897</v>
      </c>
      <c r="H269" s="10" t="s">
        <v>306</v>
      </c>
      <c r="I269" s="22" t="s">
        <v>338</v>
      </c>
      <c r="J269" s="323">
        <v>85.86</v>
      </c>
      <c r="K269" s="323">
        <v>1.51</v>
      </c>
      <c r="L269" s="73">
        <v>0.46</v>
      </c>
      <c r="N269" s="318">
        <f t="shared" si="111"/>
        <v>87.83</v>
      </c>
      <c r="O269" s="81">
        <f>IFERROR(VLOOKUP($G269,'321買'!A:E,3,0),"'沒有資料'")</f>
        <v>1</v>
      </c>
      <c r="P269" s="380">
        <f>IFERROR(VLOOKUP($G269,'321買'!$A:$G,7,0),"'沒有資料'")</f>
        <v>783</v>
      </c>
      <c r="R269" s="297">
        <f>IFERROR(RANK(VLOOKUP($G269,連買!$A:$D,4,0),連買!$D:$D,0),"'沒有資料'")</f>
        <v>1229</v>
      </c>
      <c r="S269" s="34">
        <v>0.4</v>
      </c>
      <c r="U269" s="95">
        <f t="shared" si="116"/>
        <v>6.230529595015577E-2</v>
      </c>
      <c r="V269" s="36">
        <v>6.42</v>
      </c>
      <c r="W269" s="66">
        <v>6.35</v>
      </c>
      <c r="X269" s="15">
        <f t="shared" ref="X269:X300" si="117">V269-W269</f>
        <v>7.0000000000000284E-2</v>
      </c>
      <c r="Y269" s="63">
        <f t="shared" ref="Y269:Y300" si="118">X269/W269</f>
        <v>1.1023622047244139E-2</v>
      </c>
      <c r="Z269" s="100" t="s">
        <v>2145</v>
      </c>
      <c r="AA269" s="126"/>
      <c r="AD269" s="22" t="s">
        <v>338</v>
      </c>
      <c r="AE269" s="84">
        <v>44130</v>
      </c>
      <c r="AF269" s="86">
        <v>44140</v>
      </c>
      <c r="AG269" s="33">
        <f t="shared" si="115"/>
        <v>10</v>
      </c>
      <c r="AH269" s="43" t="s">
        <v>2165</v>
      </c>
      <c r="AI269" s="280"/>
      <c r="AK269" s="264"/>
      <c r="AL269" s="264"/>
    </row>
    <row r="270" spans="1:42">
      <c r="A270" s="130" t="s">
        <v>1979</v>
      </c>
      <c r="B270" s="79">
        <v>21</v>
      </c>
      <c r="C270" s="79">
        <v>25</v>
      </c>
      <c r="D270" s="79">
        <v>3</v>
      </c>
      <c r="E270" s="79">
        <v>43</v>
      </c>
      <c r="F270" s="57">
        <v>15.81</v>
      </c>
      <c r="G270" s="79">
        <v>6703</v>
      </c>
      <c r="H270" s="4" t="s">
        <v>5070</v>
      </c>
      <c r="I270" s="16" t="s">
        <v>2183</v>
      </c>
      <c r="J270" s="323">
        <v>37.94</v>
      </c>
      <c r="K270" s="323">
        <v>11.69</v>
      </c>
      <c r="N270" s="318">
        <f t="shared" ref="N270:N297" si="119">K270+J270+L270</f>
        <v>49.629999999999995</v>
      </c>
      <c r="O270" s="81" t="str">
        <f>IFERROR(VLOOKUP($G270,'321買'!A:E,3,0),"'沒有資料'")</f>
        <v>'沒有資料'</v>
      </c>
      <c r="P270" s="380" t="str">
        <f>IFERROR(VLOOKUP($G270,'321買'!$A:$G,7,0),"'沒有資料'")</f>
        <v>'沒有資料'</v>
      </c>
      <c r="R270" s="297">
        <f>IFERROR(RANK(VLOOKUP($G270,連買!$A:$D,4,0),連買!$D:$D,0),"'沒有資料'")</f>
        <v>1674</v>
      </c>
      <c r="S270" s="34">
        <v>8</v>
      </c>
      <c r="U270" s="95">
        <f t="shared" si="116"/>
        <v>7.441860465116279E-2</v>
      </c>
      <c r="V270" s="36">
        <v>107.5</v>
      </c>
      <c r="W270" s="66">
        <v>96.9</v>
      </c>
      <c r="X270" s="15">
        <f t="shared" si="117"/>
        <v>10.599999999999994</v>
      </c>
      <c r="Y270" s="63">
        <f t="shared" si="118"/>
        <v>0.10939112487100097</v>
      </c>
      <c r="Z270" s="100" t="s">
        <v>2202</v>
      </c>
      <c r="AA270" s="126"/>
      <c r="AD270" s="16" t="s">
        <v>2183</v>
      </c>
      <c r="AE270" s="84">
        <v>44124</v>
      </c>
      <c r="AF270" s="86">
        <v>44134</v>
      </c>
      <c r="AG270" s="33">
        <f t="shared" si="115"/>
        <v>10</v>
      </c>
      <c r="AH270" s="43" t="s">
        <v>2182</v>
      </c>
      <c r="AI270" s="280"/>
      <c r="AK270" s="264"/>
      <c r="AL270" s="264"/>
    </row>
    <row r="271" spans="1:42">
      <c r="A271" s="146" t="s">
        <v>2180</v>
      </c>
      <c r="B271" s="79">
        <v>191</v>
      </c>
      <c r="C271" s="79">
        <v>340</v>
      </c>
      <c r="D271" s="79">
        <v>4</v>
      </c>
      <c r="E271" s="79">
        <v>10</v>
      </c>
      <c r="F271" s="6">
        <v>1.32</v>
      </c>
      <c r="G271" s="79">
        <v>1589</v>
      </c>
      <c r="H271" s="4" t="s">
        <v>297</v>
      </c>
      <c r="I271" s="22" t="s">
        <v>576</v>
      </c>
      <c r="J271" s="73">
        <v>40.6</v>
      </c>
      <c r="K271" s="323">
        <v>10.32</v>
      </c>
      <c r="L271" s="73">
        <v>31.52</v>
      </c>
      <c r="N271" s="318">
        <f t="shared" si="119"/>
        <v>82.44</v>
      </c>
      <c r="O271" s="81">
        <f>IFERROR(VLOOKUP($G271,'321買'!A:E,3,0),"'沒有資料'")</f>
        <v>1</v>
      </c>
      <c r="P271" s="380">
        <f>IFERROR(VLOOKUP($G271,'321買'!$A:$G,7,0),"'沒有資料'")</f>
        <v>783</v>
      </c>
      <c r="R271" s="297">
        <f>IFERROR(RANK(VLOOKUP($G271,連買!$A:$D,4,0),連買!$D:$D,0),"'沒有資料'")</f>
        <v>265</v>
      </c>
      <c r="S271" s="34">
        <v>0.5</v>
      </c>
      <c r="U271" s="95">
        <f t="shared" si="116"/>
        <v>5.4644808743169399E-3</v>
      </c>
      <c r="V271" s="36">
        <v>91.5</v>
      </c>
      <c r="W271" s="45">
        <v>80</v>
      </c>
      <c r="X271" s="15">
        <f t="shared" si="117"/>
        <v>11.5</v>
      </c>
      <c r="Y271" s="63">
        <f t="shared" si="118"/>
        <v>0.14374999999999999</v>
      </c>
      <c r="Z271" s="100" t="s">
        <v>2201</v>
      </c>
      <c r="AA271" s="126"/>
      <c r="AD271" s="22" t="s">
        <v>576</v>
      </c>
      <c r="AE271" s="84">
        <v>44124</v>
      </c>
      <c r="AF271" s="86">
        <v>44134</v>
      </c>
      <c r="AG271" s="33">
        <f t="shared" si="115"/>
        <v>10</v>
      </c>
      <c r="AH271" s="43" t="s">
        <v>2092</v>
      </c>
      <c r="AI271" s="280"/>
      <c r="AK271" s="264"/>
      <c r="AL271" s="264"/>
    </row>
    <row r="272" spans="1:42">
      <c r="A272" s="130" t="s">
        <v>2174</v>
      </c>
      <c r="B272" s="80">
        <v>-24</v>
      </c>
      <c r="C272" s="80">
        <v>-19</v>
      </c>
      <c r="D272" s="79">
        <v>4</v>
      </c>
      <c r="E272" s="79">
        <v>46</v>
      </c>
      <c r="F272" s="57">
        <v>16.91</v>
      </c>
      <c r="G272" s="80">
        <v>6411</v>
      </c>
      <c r="H272" s="54" t="s">
        <v>3254</v>
      </c>
      <c r="I272" s="16" t="s">
        <v>253</v>
      </c>
      <c r="J272" s="73">
        <v>21.33</v>
      </c>
      <c r="K272" s="323">
        <v>3.62</v>
      </c>
      <c r="L272" s="323">
        <v>17.91</v>
      </c>
      <c r="N272" s="318">
        <f t="shared" si="119"/>
        <v>42.86</v>
      </c>
      <c r="O272" s="81">
        <f>IFERROR(VLOOKUP($G272,'321買'!A:E,3,0),"'沒有資料'")</f>
        <v>102</v>
      </c>
      <c r="P272" s="380">
        <f>IFERROR(VLOOKUP($G272,'321買'!$A:$G,7,0),"'沒有資料'")</f>
        <v>6</v>
      </c>
      <c r="R272" s="297">
        <f>IFERROR(RANK(VLOOKUP($G272,連買!$A:$D,4,0),連買!$D:$D,0),"'沒有資料'")</f>
        <v>1695</v>
      </c>
      <c r="S272" s="34">
        <v>4.8</v>
      </c>
      <c r="U272" s="95">
        <f t="shared" si="116"/>
        <v>5.7831325301204814E-2</v>
      </c>
      <c r="V272" s="36">
        <v>83</v>
      </c>
      <c r="W272" s="66">
        <v>72</v>
      </c>
      <c r="X272" s="15">
        <f t="shared" si="117"/>
        <v>11</v>
      </c>
      <c r="Y272" s="63">
        <f t="shared" si="118"/>
        <v>0.15277777777777779</v>
      </c>
      <c r="Z272" s="100" t="s">
        <v>1714</v>
      </c>
      <c r="AA272" s="264"/>
      <c r="AD272" s="16" t="s">
        <v>253</v>
      </c>
      <c r="AE272" s="84">
        <v>44120</v>
      </c>
      <c r="AF272" s="86">
        <v>44130</v>
      </c>
      <c r="AG272" s="33">
        <f t="shared" si="115"/>
        <v>10</v>
      </c>
      <c r="AH272" s="122" t="s">
        <v>1778</v>
      </c>
      <c r="AI272" s="280"/>
      <c r="AK272" s="264"/>
      <c r="AL272" s="264"/>
    </row>
    <row r="273" spans="1:38">
      <c r="A273" s="130" t="s">
        <v>1720</v>
      </c>
      <c r="B273" s="79">
        <v>267</v>
      </c>
      <c r="C273" s="79">
        <v>877</v>
      </c>
      <c r="D273" s="79">
        <v>16</v>
      </c>
      <c r="E273" s="79">
        <v>8</v>
      </c>
      <c r="F273" s="57">
        <v>13.06</v>
      </c>
      <c r="G273" s="79">
        <v>6591</v>
      </c>
      <c r="H273" s="49" t="s">
        <v>1152</v>
      </c>
      <c r="I273" s="22" t="s">
        <v>472</v>
      </c>
      <c r="J273" s="323">
        <v>23.55</v>
      </c>
      <c r="K273" s="73">
        <v>27.71</v>
      </c>
      <c r="L273" s="73">
        <v>33.619999999999997</v>
      </c>
      <c r="N273" s="318">
        <f t="shared" si="119"/>
        <v>84.88</v>
      </c>
      <c r="O273" s="81">
        <f>IFERROR(VLOOKUP($G273,'321買'!A:E,3,0),"'沒有資料'")</f>
        <v>8</v>
      </c>
      <c r="P273" s="380">
        <f>IFERROR(VLOOKUP($G273,'321買'!$A:$G,7,0),"'沒有資料'")</f>
        <v>475</v>
      </c>
      <c r="R273" s="297">
        <f>IFERROR(RANK(VLOOKUP($G273,連買!$A:$D,4,0),連買!$D:$D,0),"'沒有資料'")</f>
        <v>322</v>
      </c>
      <c r="S273" s="34">
        <v>1.46</v>
      </c>
      <c r="U273" s="95">
        <f t="shared" si="116"/>
        <v>2.5840707964601771E-2</v>
      </c>
      <c r="V273" s="36">
        <v>56.5</v>
      </c>
      <c r="W273" s="45">
        <v>47</v>
      </c>
      <c r="X273" s="15">
        <f t="shared" si="117"/>
        <v>9.5</v>
      </c>
      <c r="Y273" s="63">
        <f t="shared" si="118"/>
        <v>0.20212765957446807</v>
      </c>
      <c r="Z273" s="100" t="s">
        <v>2189</v>
      </c>
      <c r="AA273" s="126"/>
      <c r="AD273" s="22" t="s">
        <v>472</v>
      </c>
      <c r="AE273" s="84">
        <v>44117</v>
      </c>
      <c r="AF273" s="86">
        <v>44127</v>
      </c>
      <c r="AG273" s="33">
        <f t="shared" si="115"/>
        <v>10</v>
      </c>
      <c r="AH273" s="43" t="s">
        <v>2122</v>
      </c>
      <c r="AI273" s="280"/>
      <c r="AK273" s="264"/>
      <c r="AL273" s="264"/>
    </row>
    <row r="274" spans="1:38">
      <c r="A274" s="146" t="s">
        <v>2069</v>
      </c>
      <c r="B274" s="79">
        <v>48</v>
      </c>
      <c r="C274" s="79">
        <v>29</v>
      </c>
      <c r="D274" s="79">
        <v>20</v>
      </c>
      <c r="E274" s="79">
        <v>63</v>
      </c>
      <c r="F274" s="6">
        <v>2.74</v>
      </c>
      <c r="G274" s="79">
        <v>2247</v>
      </c>
      <c r="H274" s="4" t="s">
        <v>297</v>
      </c>
      <c r="I274" s="22" t="s">
        <v>2172</v>
      </c>
      <c r="J274" s="323">
        <v>74.87</v>
      </c>
      <c r="K274" s="73">
        <v>0.14000000000000001</v>
      </c>
      <c r="N274" s="318">
        <f t="shared" si="119"/>
        <v>75.010000000000005</v>
      </c>
      <c r="O274" s="81">
        <f>IFERROR(VLOOKUP($G274,'321買'!A:E,3,0),"'沒有資料'")</f>
        <v>0</v>
      </c>
      <c r="P274" s="380">
        <f>IFERROR(VLOOKUP($G274,'321買'!$A:$G,7,0),"'沒有資料'")</f>
        <v>911</v>
      </c>
      <c r="R274" s="297">
        <f>IFERROR(RANK(VLOOKUP($G274,連買!$A:$D,4,0),連買!$D:$D,0),"'沒有資料'")</f>
        <v>1704</v>
      </c>
      <c r="S274" s="34">
        <v>8.44</v>
      </c>
      <c r="U274" s="95">
        <f t="shared" si="116"/>
        <v>3.1492537313432836E-2</v>
      </c>
      <c r="V274" s="36">
        <v>268</v>
      </c>
      <c r="W274" s="66">
        <v>180</v>
      </c>
      <c r="X274" s="15">
        <f t="shared" si="117"/>
        <v>88</v>
      </c>
      <c r="Y274" s="63">
        <f t="shared" si="118"/>
        <v>0.48888888888888887</v>
      </c>
      <c r="Z274" s="100" t="s">
        <v>2188</v>
      </c>
      <c r="AD274" s="22" t="s">
        <v>2172</v>
      </c>
      <c r="AE274" s="84">
        <v>44116</v>
      </c>
      <c r="AF274" s="86">
        <v>44126</v>
      </c>
      <c r="AG274" s="33">
        <f t="shared" si="115"/>
        <v>10</v>
      </c>
      <c r="AH274" s="43" t="s">
        <v>2173</v>
      </c>
      <c r="AI274" s="280"/>
      <c r="AK274" s="264"/>
      <c r="AL274" s="264"/>
    </row>
    <row r="275" spans="1:38">
      <c r="A275" s="130" t="s">
        <v>1715</v>
      </c>
      <c r="B275" s="79">
        <v>4</v>
      </c>
      <c r="C275" s="79">
        <v>7</v>
      </c>
      <c r="D275" s="80">
        <v>-23</v>
      </c>
      <c r="E275" s="79">
        <v>0</v>
      </c>
      <c r="F275" s="57">
        <v>11.43</v>
      </c>
      <c r="G275" s="79">
        <v>9802</v>
      </c>
      <c r="H275" s="4" t="s">
        <v>2084</v>
      </c>
      <c r="I275" s="22" t="s">
        <v>1102</v>
      </c>
      <c r="J275" s="73">
        <v>64.48</v>
      </c>
      <c r="K275" s="73">
        <v>46.1</v>
      </c>
      <c r="L275" s="73">
        <v>5.44</v>
      </c>
      <c r="N275" s="318">
        <f t="shared" si="119"/>
        <v>116.02000000000001</v>
      </c>
      <c r="O275" s="81">
        <f>IFERROR(VLOOKUP($G275,'321買'!A:E,3,0),"'沒有資料'")</f>
        <v>8</v>
      </c>
      <c r="P275" s="380">
        <f>IFERROR(VLOOKUP($G275,'321買'!$A:$G,7,0),"'沒有資料'")</f>
        <v>475</v>
      </c>
      <c r="R275" s="297">
        <f>IFERROR(RANK(VLOOKUP($G275,連買!$A:$D,4,0),連買!$D:$D,0),"'沒有資料'")</f>
        <v>107</v>
      </c>
      <c r="S275" s="34">
        <v>5.52</v>
      </c>
      <c r="U275" s="95">
        <f t="shared" si="116"/>
        <v>4.7179487179487174E-2</v>
      </c>
      <c r="V275" s="13">
        <v>117</v>
      </c>
      <c r="W275" s="66">
        <v>75</v>
      </c>
      <c r="X275" s="15">
        <f t="shared" si="117"/>
        <v>42</v>
      </c>
      <c r="Y275" s="63">
        <f t="shared" si="118"/>
        <v>0.56000000000000005</v>
      </c>
      <c r="Z275" s="100" t="s">
        <v>2185</v>
      </c>
      <c r="AA275" s="126"/>
      <c r="AD275" s="22" t="s">
        <v>1102</v>
      </c>
      <c r="AE275" s="84">
        <v>44112</v>
      </c>
      <c r="AF275" s="86">
        <v>44123</v>
      </c>
      <c r="AG275" s="33">
        <f t="shared" si="115"/>
        <v>11</v>
      </c>
      <c r="AH275" s="43" t="s">
        <v>2073</v>
      </c>
      <c r="AI275" s="280"/>
      <c r="AK275" s="264"/>
      <c r="AL275" s="264"/>
    </row>
    <row r="276" spans="1:38">
      <c r="A276" s="130" t="s">
        <v>2167</v>
      </c>
      <c r="B276" s="79">
        <v>53</v>
      </c>
      <c r="C276" s="79">
        <v>97</v>
      </c>
      <c r="D276" s="79">
        <v>2</v>
      </c>
      <c r="E276" s="79">
        <v>30</v>
      </c>
      <c r="F276" s="57">
        <v>10.42</v>
      </c>
      <c r="G276" s="79">
        <v>8089</v>
      </c>
      <c r="H276" s="4" t="s">
        <v>313</v>
      </c>
      <c r="I276" s="16" t="s">
        <v>2141</v>
      </c>
      <c r="J276" s="323">
        <v>53.41</v>
      </c>
      <c r="K276" s="73">
        <v>4.88</v>
      </c>
      <c r="N276" s="318">
        <f t="shared" si="119"/>
        <v>58.29</v>
      </c>
      <c r="O276" s="81">
        <f>IFERROR(VLOOKUP($G276,'321買'!A:E,3,0),"'沒有資料'")</f>
        <v>3</v>
      </c>
      <c r="P276" s="380">
        <f>IFERROR(VLOOKUP($G276,'321買'!$A:$G,7,0),"'沒有資料'")</f>
        <v>636</v>
      </c>
      <c r="R276" s="297">
        <f>IFERROR(RANK(VLOOKUP($G276,連買!$A:$D,4,0),連買!$D:$D,0),"'沒有資料'")</f>
        <v>405</v>
      </c>
      <c r="S276" s="34">
        <v>1.69</v>
      </c>
      <c r="U276" s="95">
        <f t="shared" si="116"/>
        <v>2.7083333333333334E-2</v>
      </c>
      <c r="V276" s="36">
        <v>62.4</v>
      </c>
      <c r="W276" s="66">
        <v>45.24</v>
      </c>
      <c r="X276" s="15">
        <f t="shared" si="117"/>
        <v>17.159999999999997</v>
      </c>
      <c r="Y276" s="153">
        <f t="shared" si="118"/>
        <v>0.37931034482758613</v>
      </c>
      <c r="Z276" s="100" t="s">
        <v>2166</v>
      </c>
      <c r="AA276" s="126"/>
      <c r="AD276" s="16" t="s">
        <v>2141</v>
      </c>
      <c r="AE276" s="84">
        <v>44097</v>
      </c>
      <c r="AF276" s="86">
        <v>44109</v>
      </c>
      <c r="AG276" s="33">
        <f t="shared" si="115"/>
        <v>12</v>
      </c>
      <c r="AH276" s="43" t="s">
        <v>2142</v>
      </c>
      <c r="AI276" s="280"/>
      <c r="AK276" s="264"/>
      <c r="AL276" s="264"/>
    </row>
    <row r="277" spans="1:38">
      <c r="A277" s="146" t="s">
        <v>1815</v>
      </c>
      <c r="B277" s="80">
        <v>-123</v>
      </c>
      <c r="C277" s="80">
        <v>-115</v>
      </c>
      <c r="D277" s="79">
        <v>9</v>
      </c>
      <c r="E277" s="79">
        <v>30</v>
      </c>
      <c r="F277" s="6">
        <v>-1.45</v>
      </c>
      <c r="G277" s="80">
        <v>2754</v>
      </c>
      <c r="H277" s="4" t="s">
        <v>305</v>
      </c>
      <c r="I277" s="16" t="s">
        <v>2136</v>
      </c>
      <c r="J277" s="323">
        <v>73.81</v>
      </c>
      <c r="K277" s="323">
        <v>71.91</v>
      </c>
      <c r="N277" s="318">
        <f t="shared" si="119"/>
        <v>145.72</v>
      </c>
      <c r="O277" s="81">
        <f>IFERROR(VLOOKUP($G277,'321買'!A:E,3,0),"'沒有資料'")</f>
        <v>0</v>
      </c>
      <c r="P277" s="380">
        <f>IFERROR(VLOOKUP($G277,'321買'!$A:$G,7,0),"'沒有資料'")</f>
        <v>911</v>
      </c>
      <c r="R277" s="297">
        <f>IFERROR(RANK(VLOOKUP($G277,連買!$A:$D,4,0),連買!$D:$D,0),"'沒有資料'")</f>
        <v>371</v>
      </c>
      <c r="S277" s="34">
        <v>0.5</v>
      </c>
      <c r="U277" s="95">
        <f t="shared" si="116"/>
        <v>6.5359477124183009E-3</v>
      </c>
      <c r="V277" s="36">
        <v>76.5</v>
      </c>
      <c r="W277" s="66">
        <v>55</v>
      </c>
      <c r="X277" s="15">
        <f t="shared" si="117"/>
        <v>21.5</v>
      </c>
      <c r="Y277" s="153">
        <f t="shared" si="118"/>
        <v>0.39090909090909093</v>
      </c>
      <c r="Z277" s="100" t="s">
        <v>2157</v>
      </c>
      <c r="AA277" s="126"/>
      <c r="AD277" s="16" t="s">
        <v>2136</v>
      </c>
      <c r="AE277" s="84">
        <v>44091</v>
      </c>
      <c r="AF277" s="86">
        <v>44102</v>
      </c>
      <c r="AG277" s="33">
        <f t="shared" si="115"/>
        <v>11</v>
      </c>
      <c r="AH277" s="43" t="s">
        <v>2137</v>
      </c>
      <c r="AI277" s="280"/>
      <c r="AK277" s="264"/>
      <c r="AL277" s="264"/>
    </row>
    <row r="278" spans="1:38">
      <c r="A278" s="146" t="s">
        <v>2128</v>
      </c>
      <c r="B278" s="79">
        <v>32</v>
      </c>
      <c r="C278" s="79">
        <v>32</v>
      </c>
      <c r="D278" s="79">
        <v>0</v>
      </c>
      <c r="E278" s="79">
        <v>194</v>
      </c>
      <c r="F278" s="47">
        <v>-5000</v>
      </c>
      <c r="G278" s="79">
        <v>6492</v>
      </c>
      <c r="H278" s="4" t="s">
        <v>5070</v>
      </c>
      <c r="I278" s="16" t="s">
        <v>623</v>
      </c>
      <c r="J278" s="323">
        <v>50.68</v>
      </c>
      <c r="K278" s="323">
        <v>15.41</v>
      </c>
      <c r="N278" s="318">
        <f t="shared" si="119"/>
        <v>66.09</v>
      </c>
      <c r="O278" s="81" t="str">
        <f>IFERROR(VLOOKUP($G278,'321買'!A:E,3,0),"'沒有資料'")</f>
        <v>'沒有資料'</v>
      </c>
      <c r="P278" s="380" t="str">
        <f>IFERROR(VLOOKUP($G278,'321買'!$A:$G,7,0),"'沒有資料'")</f>
        <v>'沒有資料'</v>
      </c>
      <c r="R278" s="297">
        <f>IFERROR(RANK(VLOOKUP($G278,連買!$A:$D,4,0),連買!$D:$D,0),"'沒有資料'")</f>
        <v>119</v>
      </c>
      <c r="S278" s="34">
        <v>0</v>
      </c>
      <c r="U278" s="95">
        <f t="shared" si="116"/>
        <v>0</v>
      </c>
      <c r="V278" s="36">
        <v>276.5</v>
      </c>
      <c r="W278" s="66">
        <v>120</v>
      </c>
      <c r="X278" s="15">
        <f t="shared" si="117"/>
        <v>156.5</v>
      </c>
      <c r="Y278" s="174">
        <f t="shared" si="118"/>
        <v>1.3041666666666667</v>
      </c>
      <c r="Z278" s="100" t="s">
        <v>2158</v>
      </c>
      <c r="AA278" s="126"/>
      <c r="AD278" s="16" t="s">
        <v>623</v>
      </c>
      <c r="AE278" s="84">
        <v>44091</v>
      </c>
      <c r="AF278" s="86">
        <v>44102</v>
      </c>
      <c r="AG278" s="33">
        <f t="shared" si="115"/>
        <v>11</v>
      </c>
      <c r="AH278" s="43" t="s">
        <v>1529</v>
      </c>
      <c r="AI278" s="280"/>
      <c r="AK278" s="264"/>
      <c r="AL278" s="264"/>
    </row>
    <row r="279" spans="1:38" ht="17.25" customHeight="1">
      <c r="A279" s="146" t="s">
        <v>1563</v>
      </c>
      <c r="B279" s="80">
        <v>-120</v>
      </c>
      <c r="C279" s="80">
        <v>-126</v>
      </c>
      <c r="D279" s="79">
        <v>554</v>
      </c>
      <c r="E279" s="80">
        <v>-83</v>
      </c>
      <c r="F279" s="57">
        <v>-22.28</v>
      </c>
      <c r="G279" s="79">
        <v>6596</v>
      </c>
      <c r="H279" s="4" t="s">
        <v>1030</v>
      </c>
      <c r="I279" s="16" t="s">
        <v>1035</v>
      </c>
      <c r="J279" s="73">
        <v>66.94</v>
      </c>
      <c r="K279" s="73">
        <v>0.01</v>
      </c>
      <c r="N279" s="318">
        <f t="shared" si="119"/>
        <v>66.95</v>
      </c>
      <c r="O279" s="81">
        <f>IFERROR(VLOOKUP($G279,'321買'!A:E,3,0),"'沒有資料'")</f>
        <v>0</v>
      </c>
      <c r="P279" s="380">
        <f>IFERROR(VLOOKUP($G279,'321買'!$A:$G,7,0),"'沒有資料'")</f>
        <v>911</v>
      </c>
      <c r="R279" s="297">
        <f>IFERROR(RANK(VLOOKUP($G279,連買!$A:$D,4,0),連買!$D:$D,0),"'沒有資料'")</f>
        <v>1456</v>
      </c>
      <c r="S279" s="34">
        <v>4.5</v>
      </c>
      <c r="U279" s="95">
        <f t="shared" si="116"/>
        <v>9.7613882863340565E-2</v>
      </c>
      <c r="V279" s="36">
        <v>46.1</v>
      </c>
      <c r="W279" s="66">
        <v>45</v>
      </c>
      <c r="X279" s="15">
        <f t="shared" si="117"/>
        <v>1.1000000000000014</v>
      </c>
      <c r="Y279" s="63">
        <f t="shared" si="118"/>
        <v>2.4444444444444477E-2</v>
      </c>
      <c r="Z279" s="100" t="s">
        <v>2132</v>
      </c>
      <c r="AA279" s="126"/>
      <c r="AD279" s="16" t="s">
        <v>1035</v>
      </c>
      <c r="AE279" s="84">
        <v>44081</v>
      </c>
      <c r="AF279" s="86">
        <v>44091</v>
      </c>
      <c r="AG279" s="33">
        <f t="shared" si="115"/>
        <v>10</v>
      </c>
      <c r="AH279" s="43" t="s">
        <v>2111</v>
      </c>
      <c r="AI279" s="280"/>
      <c r="AK279" s="264"/>
      <c r="AL279" s="264"/>
    </row>
    <row r="280" spans="1:38">
      <c r="A280" s="130" t="s">
        <v>2074</v>
      </c>
      <c r="B280" s="79">
        <v>20</v>
      </c>
      <c r="C280" s="79">
        <v>18</v>
      </c>
      <c r="D280" s="79">
        <v>8</v>
      </c>
      <c r="E280" s="79">
        <v>46</v>
      </c>
      <c r="F280" s="57">
        <v>13.7</v>
      </c>
      <c r="G280" s="79">
        <v>3376</v>
      </c>
      <c r="H280" s="4" t="s">
        <v>3620</v>
      </c>
      <c r="I280" s="22" t="s">
        <v>60</v>
      </c>
      <c r="J280" s="323">
        <v>72.98</v>
      </c>
      <c r="K280" s="323">
        <v>29.97</v>
      </c>
      <c r="L280" s="73">
        <v>14.46</v>
      </c>
      <c r="N280" s="318">
        <f t="shared" si="119"/>
        <v>117.41</v>
      </c>
      <c r="O280" s="81">
        <f>IFERROR(VLOOKUP($G280,'321買'!A:E,3,0),"'沒有資料'")</f>
        <v>0</v>
      </c>
      <c r="P280" s="380">
        <f>IFERROR(VLOOKUP($G280,'321買'!$A:$G,7,0),"'沒有資料'")</f>
        <v>911</v>
      </c>
      <c r="R280" s="297">
        <f>IFERROR(RANK(VLOOKUP($G280,連買!$A:$D,4,0),連買!$D:$D,0),"'沒有資料'")</f>
        <v>1725</v>
      </c>
      <c r="S280" s="34">
        <v>4</v>
      </c>
      <c r="U280" s="95">
        <f t="shared" si="116"/>
        <v>2.8070175438596492E-2</v>
      </c>
      <c r="V280" s="36">
        <v>142.5</v>
      </c>
      <c r="W280" s="66">
        <v>110</v>
      </c>
      <c r="X280" s="15">
        <f t="shared" si="117"/>
        <v>32.5</v>
      </c>
      <c r="Y280" s="63">
        <f t="shared" si="118"/>
        <v>0.29545454545454547</v>
      </c>
      <c r="Z280" s="100" t="s">
        <v>2125</v>
      </c>
      <c r="AA280" s="126"/>
      <c r="AD280" s="22" t="s">
        <v>60</v>
      </c>
      <c r="AE280" s="84">
        <v>44076</v>
      </c>
      <c r="AF280" s="86">
        <v>44088</v>
      </c>
      <c r="AG280" s="33">
        <f t="shared" si="115"/>
        <v>12</v>
      </c>
      <c r="AH280" s="120" t="s">
        <v>2076</v>
      </c>
      <c r="AI280" s="280"/>
      <c r="AK280" s="264"/>
      <c r="AL280" s="264"/>
    </row>
    <row r="281" spans="1:38">
      <c r="A281" s="130" t="s">
        <v>2086</v>
      </c>
      <c r="B281" s="79">
        <v>89</v>
      </c>
      <c r="C281" s="79">
        <v>94</v>
      </c>
      <c r="D281" s="79">
        <v>4</v>
      </c>
      <c r="E281" s="79">
        <v>24</v>
      </c>
      <c r="F281" s="57">
        <v>28.88</v>
      </c>
      <c r="G281" s="79">
        <v>3217</v>
      </c>
      <c r="H281" s="4" t="s">
        <v>3620</v>
      </c>
      <c r="I281" s="16" t="s">
        <v>404</v>
      </c>
      <c r="J281" s="323">
        <v>60.76</v>
      </c>
      <c r="K281" s="323">
        <v>18.39</v>
      </c>
      <c r="L281" s="73">
        <v>20.98</v>
      </c>
      <c r="N281" s="318">
        <f t="shared" si="119"/>
        <v>100.13000000000001</v>
      </c>
      <c r="O281" s="81">
        <f>IFERROR(VLOOKUP($G281,'321買'!A:E,3,0),"'沒有資料'")</f>
        <v>29</v>
      </c>
      <c r="P281" s="380">
        <f>IFERROR(VLOOKUP($G281,'321買'!$A:$G,7,0),"'沒有資料'")</f>
        <v>117</v>
      </c>
      <c r="R281" s="297">
        <f>IFERROR(RANK(VLOOKUP($G281,連買!$A:$D,4,0),連買!$D:$D,0),"'沒有資料'")</f>
        <v>249</v>
      </c>
      <c r="S281" s="34">
        <v>4.3</v>
      </c>
      <c r="U281" s="95">
        <f t="shared" si="116"/>
        <v>3.6595744680851063E-2</v>
      </c>
      <c r="V281" s="36">
        <v>117.5</v>
      </c>
      <c r="W281" s="45">
        <v>92</v>
      </c>
      <c r="X281" s="15">
        <f t="shared" si="117"/>
        <v>25.5</v>
      </c>
      <c r="Y281" s="63">
        <f t="shared" si="118"/>
        <v>0.27717391304347827</v>
      </c>
      <c r="Z281" s="100" t="s">
        <v>2112</v>
      </c>
      <c r="AA281" s="126"/>
      <c r="AD281" s="16" t="s">
        <v>404</v>
      </c>
      <c r="AE281" s="84">
        <v>44071</v>
      </c>
      <c r="AF281" s="86">
        <v>44081</v>
      </c>
      <c r="AG281" s="33">
        <f t="shared" si="115"/>
        <v>10</v>
      </c>
      <c r="AH281" s="43" t="s">
        <v>2016</v>
      </c>
      <c r="AI281" s="280"/>
      <c r="AK281" s="264"/>
      <c r="AL281" s="264"/>
    </row>
    <row r="282" spans="1:38" ht="17.25" customHeight="1">
      <c r="A282" s="130" t="s">
        <v>2101</v>
      </c>
      <c r="B282" s="93">
        <v>4456</v>
      </c>
      <c r="C282" s="93">
        <v>2983</v>
      </c>
      <c r="D282" s="79">
        <v>100</v>
      </c>
      <c r="E282" s="80">
        <v>-86</v>
      </c>
      <c r="F282" s="57">
        <v>16</v>
      </c>
      <c r="G282" s="80">
        <v>6186</v>
      </c>
      <c r="H282" s="4" t="s">
        <v>4327</v>
      </c>
      <c r="I282" s="16" t="s">
        <v>898</v>
      </c>
      <c r="J282" s="323">
        <v>52.55</v>
      </c>
      <c r="K282" s="73">
        <v>0.98</v>
      </c>
      <c r="L282" s="73">
        <v>10.62</v>
      </c>
      <c r="N282" s="318">
        <f t="shared" si="119"/>
        <v>64.149999999999991</v>
      </c>
      <c r="O282" s="81">
        <f>IFERROR(VLOOKUP($G282,'321買'!A:E,3,0),"'沒有資料'")</f>
        <v>1</v>
      </c>
      <c r="P282" s="380">
        <f>IFERROR(VLOOKUP($G282,'321買'!$A:$G,7,0),"'沒有資料'")</f>
        <v>783</v>
      </c>
      <c r="R282" s="297">
        <f>IFERROR(RANK(VLOOKUP($G282,連買!$A:$D,4,0),連買!$D:$D,0),"'沒有資料'")</f>
        <v>956</v>
      </c>
      <c r="S282" s="34">
        <v>3</v>
      </c>
      <c r="U282" s="95">
        <f t="shared" si="116"/>
        <v>0.10695187165775401</v>
      </c>
      <c r="V282" s="36">
        <v>28.05</v>
      </c>
      <c r="W282" s="66">
        <v>24.5</v>
      </c>
      <c r="X282" s="15">
        <f t="shared" si="117"/>
        <v>3.5500000000000007</v>
      </c>
      <c r="Y282" s="63">
        <f t="shared" si="118"/>
        <v>0.14489795918367349</v>
      </c>
      <c r="Z282" s="100" t="s">
        <v>2113</v>
      </c>
      <c r="AA282" s="126"/>
      <c r="AD282" s="16" t="s">
        <v>898</v>
      </c>
      <c r="AE282" s="84">
        <v>44071</v>
      </c>
      <c r="AF282" s="86">
        <v>44081</v>
      </c>
      <c r="AG282" s="33">
        <f t="shared" si="115"/>
        <v>10</v>
      </c>
      <c r="AH282" s="43" t="s">
        <v>2087</v>
      </c>
      <c r="AI282" s="280"/>
      <c r="AK282" s="264"/>
      <c r="AL282" s="264"/>
    </row>
    <row r="283" spans="1:38">
      <c r="A283" s="146" t="s">
        <v>2133</v>
      </c>
      <c r="B283" s="80">
        <v>-55</v>
      </c>
      <c r="C283" s="80">
        <v>-17</v>
      </c>
      <c r="D283" s="79">
        <v>14</v>
      </c>
      <c r="E283" s="80">
        <v>-11</v>
      </c>
      <c r="F283" s="6">
        <v>8.1999999999999993</v>
      </c>
      <c r="G283" s="79">
        <v>2241</v>
      </c>
      <c r="H283" s="4" t="s">
        <v>2084</v>
      </c>
      <c r="I283" s="22" t="s">
        <v>2089</v>
      </c>
      <c r="J283" s="73">
        <v>57</v>
      </c>
      <c r="K283" s="323">
        <v>23</v>
      </c>
      <c r="N283" s="318">
        <f t="shared" si="119"/>
        <v>80</v>
      </c>
      <c r="O283" s="81">
        <f>IFERROR(VLOOKUP($G283,'321買'!A:E,3,0),"'沒有資料'")</f>
        <v>3</v>
      </c>
      <c r="P283" s="380">
        <f>IFERROR(VLOOKUP($G283,'321買'!$A:$G,7,0),"'沒有資料'")</f>
        <v>636</v>
      </c>
      <c r="R283" s="297">
        <f>IFERROR(RANK(VLOOKUP($G283,連買!$A:$D,4,0),連買!$D:$D,0),"'沒有資料'")</f>
        <v>1599</v>
      </c>
      <c r="S283" s="34">
        <v>0.88</v>
      </c>
      <c r="U283" s="95">
        <f t="shared" si="116"/>
        <v>1.5304347826086957E-2</v>
      </c>
      <c r="V283" s="36">
        <v>57.5</v>
      </c>
      <c r="W283" s="66">
        <v>50</v>
      </c>
      <c r="X283" s="15">
        <f t="shared" si="117"/>
        <v>7.5</v>
      </c>
      <c r="Y283" s="63">
        <f t="shared" si="118"/>
        <v>0.15</v>
      </c>
      <c r="Z283" s="100" t="s">
        <v>2108</v>
      </c>
      <c r="AA283" s="126"/>
      <c r="AD283" s="22" t="s">
        <v>2089</v>
      </c>
      <c r="AE283" s="84">
        <v>44069</v>
      </c>
      <c r="AF283" s="86">
        <v>44081</v>
      </c>
      <c r="AG283" s="33">
        <f t="shared" si="115"/>
        <v>12</v>
      </c>
      <c r="AH283" s="157" t="s">
        <v>2096</v>
      </c>
      <c r="AI283" s="280"/>
      <c r="AK283" s="264"/>
      <c r="AL283" s="264"/>
    </row>
    <row r="284" spans="1:38">
      <c r="A284" s="146" t="s">
        <v>2129</v>
      </c>
      <c r="B284" s="80">
        <v>-21</v>
      </c>
      <c r="C284" s="80">
        <v>-26</v>
      </c>
      <c r="D284" s="79">
        <v>9</v>
      </c>
      <c r="E284" s="80">
        <v>-45</v>
      </c>
      <c r="F284" s="6">
        <v>7.8</v>
      </c>
      <c r="G284" s="79">
        <v>6754</v>
      </c>
      <c r="H284" s="4" t="s">
        <v>2084</v>
      </c>
      <c r="I284" s="22" t="s">
        <v>2083</v>
      </c>
      <c r="J284" s="323">
        <v>85.42</v>
      </c>
      <c r="K284" s="323">
        <v>24.31</v>
      </c>
      <c r="L284" s="323"/>
      <c r="N284" s="318">
        <f t="shared" si="119"/>
        <v>109.73</v>
      </c>
      <c r="O284" s="81">
        <f>IFERROR(VLOOKUP($G284,'321買'!A:E,3,0),"'沒有資料'")</f>
        <v>1</v>
      </c>
      <c r="P284" s="380">
        <f>IFERROR(VLOOKUP($G284,'321買'!$A:$G,7,0),"'沒有資料'")</f>
        <v>783</v>
      </c>
      <c r="R284" s="297">
        <f>IFERROR(RANK(VLOOKUP($G284,連買!$A:$D,4,0),連買!$D:$D,0),"'沒有資料'")</f>
        <v>1556</v>
      </c>
      <c r="S284" s="34">
        <v>2.8</v>
      </c>
      <c r="U284" s="95">
        <f t="shared" si="116"/>
        <v>5.5445544554455439E-2</v>
      </c>
      <c r="V284" s="36">
        <v>50.5</v>
      </c>
      <c r="W284" s="66">
        <v>45</v>
      </c>
      <c r="X284" s="15">
        <f t="shared" si="117"/>
        <v>5.5</v>
      </c>
      <c r="Y284" s="63">
        <f t="shared" si="118"/>
        <v>0.12222222222222222</v>
      </c>
      <c r="Z284" s="100" t="s">
        <v>2104</v>
      </c>
      <c r="AA284" s="126"/>
      <c r="AD284" s="22" t="s">
        <v>2083</v>
      </c>
      <c r="AE284" s="84">
        <v>44068</v>
      </c>
      <c r="AF284" s="86">
        <v>44078</v>
      </c>
      <c r="AG284" s="33">
        <f t="shared" si="115"/>
        <v>10</v>
      </c>
      <c r="AH284" s="157" t="s">
        <v>2085</v>
      </c>
      <c r="AI284" s="280"/>
      <c r="AK284" s="264"/>
      <c r="AL284" s="264"/>
    </row>
    <row r="285" spans="1:38">
      <c r="A285" s="146" t="s">
        <v>1694</v>
      </c>
      <c r="B285" s="80">
        <v>-4</v>
      </c>
      <c r="C285" s="80">
        <v>-5</v>
      </c>
      <c r="D285" s="93">
        <v>1</v>
      </c>
      <c r="E285" s="93">
        <v>6788</v>
      </c>
      <c r="F285" s="47">
        <v>-388.93</v>
      </c>
      <c r="G285" s="79">
        <v>6446</v>
      </c>
      <c r="H285" s="4" t="s">
        <v>5070</v>
      </c>
      <c r="I285" s="16" t="s">
        <v>620</v>
      </c>
      <c r="J285" s="73">
        <v>58.44</v>
      </c>
      <c r="K285" s="323">
        <v>14.88</v>
      </c>
      <c r="L285" s="323"/>
      <c r="N285" s="318">
        <f t="shared" si="119"/>
        <v>73.319999999999993</v>
      </c>
      <c r="O285" s="81" t="str">
        <f>IFERROR(VLOOKUP($G285,'321買'!A:E,3,0),"'沒有資料'")</f>
        <v>'沒有資料'</v>
      </c>
      <c r="P285" s="380" t="str">
        <f>IFERROR(VLOOKUP($G285,'321買'!$A:$G,7,0),"'沒有資料'")</f>
        <v>'沒有資料'</v>
      </c>
      <c r="R285" s="297">
        <f>IFERROR(RANK(VLOOKUP($G285,連買!$A:$D,4,0),連買!$D:$D,0),"'沒有資料'")</f>
        <v>123</v>
      </c>
      <c r="S285" s="34">
        <v>0</v>
      </c>
      <c r="U285" s="95">
        <f t="shared" si="116"/>
        <v>0</v>
      </c>
      <c r="V285" s="36">
        <v>107.5</v>
      </c>
      <c r="W285" s="66">
        <v>102</v>
      </c>
      <c r="X285" s="15">
        <f t="shared" si="117"/>
        <v>5.5</v>
      </c>
      <c r="Y285" s="63">
        <f t="shared" si="118"/>
        <v>5.3921568627450983E-2</v>
      </c>
      <c r="Z285" s="100" t="s">
        <v>1500</v>
      </c>
      <c r="AA285" s="126"/>
      <c r="AD285" s="16" t="s">
        <v>620</v>
      </c>
      <c r="AE285" s="84">
        <v>44055</v>
      </c>
      <c r="AF285" s="86">
        <v>44067</v>
      </c>
      <c r="AG285" s="33">
        <f t="shared" si="115"/>
        <v>12</v>
      </c>
      <c r="AH285" s="43" t="s">
        <v>1527</v>
      </c>
      <c r="AI285" s="280"/>
      <c r="AK285" s="264"/>
      <c r="AL285" s="264"/>
    </row>
    <row r="286" spans="1:38">
      <c r="A286" s="146" t="s">
        <v>2065</v>
      </c>
      <c r="B286" s="79">
        <v>36</v>
      </c>
      <c r="C286" s="79">
        <v>29</v>
      </c>
      <c r="D286" s="79">
        <v>1</v>
      </c>
      <c r="E286" s="79">
        <v>27</v>
      </c>
      <c r="F286" s="6">
        <v>8.65</v>
      </c>
      <c r="G286" s="80">
        <v>4155</v>
      </c>
      <c r="H286" s="4" t="s">
        <v>5070</v>
      </c>
      <c r="I286" s="22" t="s">
        <v>635</v>
      </c>
      <c r="J286" s="73">
        <v>40.39</v>
      </c>
      <c r="K286" s="323">
        <v>0.8</v>
      </c>
      <c r="L286" s="323">
        <v>11.41</v>
      </c>
      <c r="N286" s="318">
        <f t="shared" si="119"/>
        <v>52.599999999999994</v>
      </c>
      <c r="O286" s="81">
        <f>IFERROR(VLOOKUP($G286,'321買'!A:E,3,0),"'沒有資料'")</f>
        <v>0</v>
      </c>
      <c r="P286" s="380">
        <f>IFERROR(VLOOKUP($G286,'321買'!$A:$G,7,0),"'沒有資料'")</f>
        <v>911</v>
      </c>
      <c r="R286" s="297">
        <f>IFERROR(RANK(VLOOKUP($G286,連買!$A:$D,4,0),連買!$D:$D,0),"'沒有資料'")</f>
        <v>1586</v>
      </c>
      <c r="S286" s="34">
        <v>1.43</v>
      </c>
      <c r="U286" s="95">
        <f t="shared" si="116"/>
        <v>5.4684512428298276E-2</v>
      </c>
      <c r="V286" s="36">
        <v>26.15</v>
      </c>
      <c r="W286" s="66">
        <v>26</v>
      </c>
      <c r="X286" s="15">
        <f t="shared" si="117"/>
        <v>0.14999999999999858</v>
      </c>
      <c r="Y286" s="63">
        <f t="shared" si="118"/>
        <v>5.7692307692307149E-3</v>
      </c>
      <c r="Z286" s="100" t="s">
        <v>2080</v>
      </c>
      <c r="AD286" s="22" t="s">
        <v>635</v>
      </c>
      <c r="AE286" s="84">
        <v>44054</v>
      </c>
      <c r="AF286" s="86">
        <v>44064</v>
      </c>
      <c r="AG286" s="33">
        <f t="shared" si="115"/>
        <v>10</v>
      </c>
      <c r="AH286" s="43" t="s">
        <v>1525</v>
      </c>
      <c r="AI286" s="280"/>
      <c r="AK286" s="264"/>
      <c r="AL286" s="264"/>
    </row>
    <row r="287" spans="1:38">
      <c r="A287" s="146" t="s">
        <v>844</v>
      </c>
      <c r="B287" s="79">
        <v>23</v>
      </c>
      <c r="C287" s="80">
        <v>-27</v>
      </c>
      <c r="D287" s="93">
        <v>1276</v>
      </c>
      <c r="E287" s="80">
        <v>-57</v>
      </c>
      <c r="F287" s="73">
        <v>-507.57</v>
      </c>
      <c r="G287" s="80">
        <v>5227</v>
      </c>
      <c r="H287" s="4" t="s">
        <v>3620</v>
      </c>
      <c r="I287" s="16" t="s">
        <v>413</v>
      </c>
      <c r="J287" s="323">
        <v>42.18</v>
      </c>
      <c r="K287" s="323">
        <v>26.39</v>
      </c>
      <c r="L287" s="323"/>
      <c r="N287" s="318">
        <f t="shared" si="119"/>
        <v>68.569999999999993</v>
      </c>
      <c r="O287" s="81" t="str">
        <f>IFERROR(VLOOKUP($G287,'321買'!A:E,3,0),"'沒有資料'")</f>
        <v>'沒有資料'</v>
      </c>
      <c r="P287" s="380" t="str">
        <f>IFERROR(VLOOKUP($G287,'321買'!$A:$G,7,0),"'沒有資料'")</f>
        <v>'沒有資料'</v>
      </c>
      <c r="R287" s="297">
        <f>IFERROR(RANK(VLOOKUP($G287,連買!$A:$D,4,0),連買!$D:$D,0),"'沒有資料'")</f>
        <v>519</v>
      </c>
      <c r="S287" s="34">
        <v>0</v>
      </c>
      <c r="U287" s="95">
        <f t="shared" si="116"/>
        <v>0</v>
      </c>
      <c r="V287" s="36">
        <v>12.4</v>
      </c>
      <c r="W287" s="66">
        <v>11.6</v>
      </c>
      <c r="X287" s="15">
        <f t="shared" si="117"/>
        <v>0.80000000000000071</v>
      </c>
      <c r="Y287" s="63">
        <f t="shared" si="118"/>
        <v>6.8965517241379379E-2</v>
      </c>
      <c r="Z287" s="100" t="s">
        <v>2071</v>
      </c>
      <c r="AA287" s="126"/>
      <c r="AD287" s="16" t="s">
        <v>413</v>
      </c>
      <c r="AE287" s="84">
        <v>44050</v>
      </c>
      <c r="AF287" s="86">
        <v>44060</v>
      </c>
      <c r="AG287" s="33">
        <f t="shared" si="115"/>
        <v>10</v>
      </c>
      <c r="AH287" s="43" t="s">
        <v>1051</v>
      </c>
      <c r="AI287" s="280"/>
      <c r="AK287" s="264"/>
      <c r="AL287" s="264"/>
    </row>
    <row r="288" spans="1:38">
      <c r="A288" s="146" t="s">
        <v>2066</v>
      </c>
      <c r="B288" s="80">
        <v>-65</v>
      </c>
      <c r="C288" s="80">
        <v>-51</v>
      </c>
      <c r="D288" s="80">
        <v>-25</v>
      </c>
      <c r="E288" s="80">
        <v>-21</v>
      </c>
      <c r="F288" s="6">
        <v>1.3</v>
      </c>
      <c r="G288" s="79">
        <v>6222</v>
      </c>
      <c r="H288" s="54" t="s">
        <v>1152</v>
      </c>
      <c r="I288" s="16" t="s">
        <v>4602</v>
      </c>
      <c r="J288" s="323">
        <v>72.67</v>
      </c>
      <c r="K288" s="323">
        <v>0.02</v>
      </c>
      <c r="L288" s="323"/>
      <c r="N288" s="318">
        <f t="shared" si="119"/>
        <v>72.69</v>
      </c>
      <c r="O288" s="81" t="str">
        <f>IFERROR(VLOOKUP($G288,'321買'!A:E,3,0),"'沒有資料'")</f>
        <v>'沒有資料'</v>
      </c>
      <c r="P288" s="380" t="str">
        <f>IFERROR(VLOOKUP($G288,'321買'!$A:$G,7,0),"'沒有資料'")</f>
        <v>'沒有資料'</v>
      </c>
      <c r="R288" s="297">
        <f>IFERROR(RANK(VLOOKUP($G288,連買!$A:$D,4,0),連買!$D:$D,0),"'沒有資料'")</f>
        <v>1373</v>
      </c>
      <c r="S288" s="34">
        <v>0</v>
      </c>
      <c r="U288" s="95">
        <f t="shared" si="116"/>
        <v>0</v>
      </c>
      <c r="V288" s="36">
        <v>13.45</v>
      </c>
      <c r="W288" s="66">
        <v>10</v>
      </c>
      <c r="X288" s="15">
        <f t="shared" si="117"/>
        <v>3.4499999999999993</v>
      </c>
      <c r="Y288" s="63">
        <f t="shared" si="118"/>
        <v>0.34499999999999992</v>
      </c>
      <c r="Z288" s="100" t="s">
        <v>1728</v>
      </c>
      <c r="AA288" s="126"/>
      <c r="AD288" s="16" t="s">
        <v>475</v>
      </c>
      <c r="AE288" s="84">
        <v>44048</v>
      </c>
      <c r="AF288" s="86">
        <v>44060</v>
      </c>
      <c r="AG288" s="33">
        <f t="shared" si="115"/>
        <v>12</v>
      </c>
      <c r="AH288" s="43" t="s">
        <v>1520</v>
      </c>
      <c r="AI288" s="280"/>
      <c r="AK288" s="264"/>
      <c r="AL288" s="264"/>
    </row>
    <row r="289" spans="1:42">
      <c r="A289" s="146" t="s">
        <v>1583</v>
      </c>
      <c r="B289" s="80">
        <v>-371</v>
      </c>
      <c r="C289" s="79">
        <v>9</v>
      </c>
      <c r="D289" s="79">
        <v>11</v>
      </c>
      <c r="E289" s="80">
        <v>-8</v>
      </c>
      <c r="F289" s="6">
        <v>-19.100000000000001</v>
      </c>
      <c r="G289" s="80">
        <v>6573</v>
      </c>
      <c r="H289" s="4" t="s">
        <v>3254</v>
      </c>
      <c r="I289" s="22" t="s">
        <v>358</v>
      </c>
      <c r="J289" s="323">
        <v>73.489999999999995</v>
      </c>
      <c r="K289" s="323">
        <v>67.2</v>
      </c>
      <c r="L289" s="73">
        <v>4.63</v>
      </c>
      <c r="N289" s="318">
        <f t="shared" si="119"/>
        <v>145.32</v>
      </c>
      <c r="O289" s="81">
        <f>IFERROR(VLOOKUP($G289,'321買'!A:E,3,0),"'沒有資料'")</f>
        <v>3</v>
      </c>
      <c r="P289" s="380">
        <f>IFERROR(VLOOKUP($G289,'321買'!$A:$G,7,0),"'沒有資料'")</f>
        <v>636</v>
      </c>
      <c r="R289" s="297">
        <f>IFERROR(RANK(VLOOKUP($G289,連買!$A:$D,4,0),連買!$D:$D,0),"'沒有資料'")</f>
        <v>1553</v>
      </c>
      <c r="S289" s="34">
        <v>0</v>
      </c>
      <c r="U289" s="95">
        <f t="shared" si="116"/>
        <v>0</v>
      </c>
      <c r="V289" s="13">
        <v>16.5</v>
      </c>
      <c r="W289" s="66">
        <v>16.5</v>
      </c>
      <c r="X289" s="15">
        <f t="shared" si="117"/>
        <v>0</v>
      </c>
      <c r="Y289" s="76">
        <f t="shared" si="118"/>
        <v>0</v>
      </c>
      <c r="Z289" s="100" t="s">
        <v>1765</v>
      </c>
      <c r="AA289" s="126"/>
      <c r="AD289" s="22" t="s">
        <v>358</v>
      </c>
      <c r="AE289" s="84">
        <v>44033</v>
      </c>
      <c r="AF289" s="86">
        <v>44043</v>
      </c>
      <c r="AG289" s="33">
        <f t="shared" si="115"/>
        <v>10</v>
      </c>
      <c r="AH289" s="43" t="s">
        <v>1411</v>
      </c>
      <c r="AI289" s="280"/>
      <c r="AK289" s="264"/>
      <c r="AL289" s="264"/>
    </row>
    <row r="290" spans="1:42">
      <c r="A290" s="146" t="s">
        <v>2056</v>
      </c>
      <c r="B290" s="80">
        <v>-155</v>
      </c>
      <c r="C290" s="80">
        <v>-157</v>
      </c>
      <c r="D290" s="79">
        <v>0</v>
      </c>
      <c r="E290" s="79">
        <v>432</v>
      </c>
      <c r="F290" s="6">
        <v>-7.35</v>
      </c>
      <c r="G290" s="80">
        <v>3512</v>
      </c>
      <c r="H290" s="4" t="s">
        <v>3620</v>
      </c>
      <c r="I290" s="16" t="s">
        <v>1072</v>
      </c>
      <c r="J290" s="73">
        <v>73.239999999999995</v>
      </c>
      <c r="K290" s="73">
        <v>0.04</v>
      </c>
      <c r="L290" s="73">
        <v>13.93</v>
      </c>
      <c r="N290" s="318">
        <f t="shared" si="119"/>
        <v>87.210000000000008</v>
      </c>
      <c r="O290" s="81">
        <f>IFERROR(VLOOKUP($G290,'321買'!A:E,3,0),"'沒有資料'")</f>
        <v>0</v>
      </c>
      <c r="P290" s="380">
        <f>IFERROR(VLOOKUP($G290,'321買'!$A:$G,7,0),"'沒有資料'")</f>
        <v>911</v>
      </c>
      <c r="R290" s="297">
        <f>IFERROR(RANK(VLOOKUP($G290,連買!$A:$D,4,0),連買!$D:$D,0),"'沒有資料'")</f>
        <v>477</v>
      </c>
      <c r="S290" s="34">
        <v>0</v>
      </c>
      <c r="U290" s="95">
        <f t="shared" si="116"/>
        <v>0</v>
      </c>
      <c r="V290" s="36">
        <v>26.5</v>
      </c>
      <c r="W290" s="66">
        <v>24</v>
      </c>
      <c r="X290" s="15">
        <f t="shared" si="117"/>
        <v>2.5</v>
      </c>
      <c r="Y290" s="63">
        <f t="shared" si="118"/>
        <v>0.10416666666666667</v>
      </c>
      <c r="Z290" s="100" t="s">
        <v>2060</v>
      </c>
      <c r="AA290" s="126"/>
      <c r="AD290" s="16" t="s">
        <v>1072</v>
      </c>
      <c r="AE290" s="84">
        <v>44026</v>
      </c>
      <c r="AF290" s="86">
        <v>44036</v>
      </c>
      <c r="AG290" s="33">
        <f t="shared" si="115"/>
        <v>10</v>
      </c>
      <c r="AH290" s="43" t="s">
        <v>5085</v>
      </c>
      <c r="AI290" s="280"/>
      <c r="AK290" s="264"/>
      <c r="AL290" s="264"/>
    </row>
    <row r="291" spans="1:42">
      <c r="A291" s="146" t="s">
        <v>1566</v>
      </c>
      <c r="B291" s="80">
        <v>-92</v>
      </c>
      <c r="C291" s="80">
        <v>-89</v>
      </c>
      <c r="D291" s="80">
        <v>-83</v>
      </c>
      <c r="E291" s="80">
        <v>-90</v>
      </c>
      <c r="F291" s="47">
        <v>-177</v>
      </c>
      <c r="G291" s="79">
        <v>4152</v>
      </c>
      <c r="H291" s="4" t="s">
        <v>5070</v>
      </c>
      <c r="I291" s="16" t="s">
        <v>6544</v>
      </c>
      <c r="J291" s="323">
        <v>57.28</v>
      </c>
      <c r="K291" s="323">
        <v>20.27</v>
      </c>
      <c r="L291" s="323"/>
      <c r="N291" s="318">
        <f t="shared" si="119"/>
        <v>77.55</v>
      </c>
      <c r="O291" s="81" t="str">
        <f>IFERROR(VLOOKUP($G291,'321買'!A:E,3,0),"'沒有資料'")</f>
        <v>'沒有資料'</v>
      </c>
      <c r="P291" s="380" t="str">
        <f>IFERROR(VLOOKUP($G291,'321買'!$A:$G,7,0),"'沒有資料'")</f>
        <v>'沒有資料'</v>
      </c>
      <c r="R291" s="297" t="str">
        <f>IFERROR(RANK(VLOOKUP($G291,連買!$A:$D,4,0),連買!$D:$D,0),"'沒有資料'")</f>
        <v>'沒有資料'</v>
      </c>
      <c r="S291" s="34">
        <v>0</v>
      </c>
      <c r="U291" s="95">
        <f t="shared" si="116"/>
        <v>0</v>
      </c>
      <c r="V291" s="36">
        <v>97.7</v>
      </c>
      <c r="W291" s="66">
        <v>68</v>
      </c>
      <c r="X291" s="15">
        <f t="shared" si="117"/>
        <v>29.700000000000003</v>
      </c>
      <c r="Y291" s="63">
        <f t="shared" si="118"/>
        <v>0.436764705882353</v>
      </c>
      <c r="Z291" s="100" t="s">
        <v>2058</v>
      </c>
      <c r="AA291" s="126"/>
      <c r="AD291" s="16" t="s">
        <v>615</v>
      </c>
      <c r="AE291" s="84">
        <v>44015</v>
      </c>
      <c r="AF291" s="86">
        <v>44028</v>
      </c>
      <c r="AG291" s="33">
        <f t="shared" si="115"/>
        <v>13</v>
      </c>
      <c r="AH291" s="43" t="s">
        <v>1526</v>
      </c>
      <c r="AI291" s="280"/>
      <c r="AK291" s="264"/>
      <c r="AL291" s="264"/>
    </row>
    <row r="292" spans="1:42">
      <c r="A292" s="146" t="s">
        <v>2049</v>
      </c>
      <c r="B292" s="80">
        <v>-266</v>
      </c>
      <c r="C292" s="94">
        <v>-8571</v>
      </c>
      <c r="D292" s="79">
        <v>33</v>
      </c>
      <c r="E292" s="79">
        <v>14</v>
      </c>
      <c r="F292" s="6">
        <v>-17.57</v>
      </c>
      <c r="G292" s="80">
        <v>2406</v>
      </c>
      <c r="H292" s="4" t="s">
        <v>308</v>
      </c>
      <c r="I292" s="22" t="s">
        <v>446</v>
      </c>
      <c r="J292" s="323">
        <v>26.55</v>
      </c>
      <c r="K292" s="323">
        <v>4.3899999999999997</v>
      </c>
      <c r="L292" s="323">
        <v>0</v>
      </c>
      <c r="N292" s="318">
        <f t="shared" si="119"/>
        <v>30.94</v>
      </c>
      <c r="O292" s="81">
        <f>IFERROR(VLOOKUP($G292,'321買'!A:E,3,0),"'沒有資料'")</f>
        <v>24</v>
      </c>
      <c r="P292" s="380">
        <f>IFERROR(VLOOKUP($G292,'321買'!$A:$G,7,0),"'沒有資料'")</f>
        <v>196</v>
      </c>
      <c r="R292" s="297">
        <f>IFERROR(RANK(VLOOKUP($G292,連買!$A:$D,4,0),連買!$D:$D,0),"'沒有資料'")</f>
        <v>931</v>
      </c>
      <c r="S292" s="34">
        <v>0</v>
      </c>
      <c r="U292" s="95">
        <f t="shared" si="116"/>
        <v>0</v>
      </c>
      <c r="V292" s="36">
        <v>9.08</v>
      </c>
      <c r="W292" s="66">
        <v>8.5</v>
      </c>
      <c r="X292" s="15">
        <f t="shared" si="117"/>
        <v>0.58000000000000007</v>
      </c>
      <c r="Y292" s="63">
        <f t="shared" si="118"/>
        <v>6.8235294117647061E-2</v>
      </c>
      <c r="Z292" s="100" t="s">
        <v>1501</v>
      </c>
      <c r="AA292" s="126"/>
      <c r="AD292" s="22" t="s">
        <v>446</v>
      </c>
      <c r="AE292" s="84">
        <v>44014</v>
      </c>
      <c r="AF292" s="86">
        <v>44028</v>
      </c>
      <c r="AG292" s="33">
        <f t="shared" si="115"/>
        <v>14</v>
      </c>
      <c r="AH292" s="43" t="s">
        <v>2050</v>
      </c>
      <c r="AI292" s="280"/>
      <c r="AK292" s="264"/>
      <c r="AL292" s="264"/>
    </row>
    <row r="293" spans="1:42">
      <c r="A293" s="130" t="s">
        <v>1490</v>
      </c>
      <c r="B293" s="79">
        <v>13</v>
      </c>
      <c r="C293" s="80">
        <v>-28</v>
      </c>
      <c r="D293" s="79">
        <v>1</v>
      </c>
      <c r="E293" s="79">
        <v>26</v>
      </c>
      <c r="F293" s="57">
        <v>11.51</v>
      </c>
      <c r="G293" s="79">
        <v>6588</v>
      </c>
      <c r="H293" s="4" t="s">
        <v>313</v>
      </c>
      <c r="I293" s="16" t="s">
        <v>2053</v>
      </c>
      <c r="J293" s="323">
        <v>42.65</v>
      </c>
      <c r="K293" s="73">
        <v>0</v>
      </c>
      <c r="L293" s="323"/>
      <c r="N293" s="318">
        <f t="shared" si="119"/>
        <v>42.65</v>
      </c>
      <c r="O293" s="81" t="str">
        <f>IFERROR(VLOOKUP($G293,'321買'!A:E,3,0),"'沒有資料'")</f>
        <v>'沒有資料'</v>
      </c>
      <c r="P293" s="380" t="str">
        <f>IFERROR(VLOOKUP($G293,'321買'!$A:$G,7,0),"'沒有資料'")</f>
        <v>'沒有資料'</v>
      </c>
      <c r="R293" s="297">
        <f>IFERROR(RANK(VLOOKUP($G293,連買!$A:$D,4,0),連買!$D:$D,0),"'沒有資料'")</f>
        <v>1627</v>
      </c>
      <c r="S293" s="34">
        <v>1.31</v>
      </c>
      <c r="U293" s="95">
        <f t="shared" si="116"/>
        <v>1.0194552529182881E-2</v>
      </c>
      <c r="V293" s="36">
        <v>128.5</v>
      </c>
      <c r="W293" s="66">
        <v>68</v>
      </c>
      <c r="X293" s="15">
        <f t="shared" si="117"/>
        <v>60.5</v>
      </c>
      <c r="Y293" s="174">
        <f t="shared" si="118"/>
        <v>0.88970588235294112</v>
      </c>
      <c r="Z293" s="100" t="s">
        <v>2057</v>
      </c>
      <c r="AA293" s="126"/>
      <c r="AD293" s="16" t="s">
        <v>2052</v>
      </c>
      <c r="AE293" s="84">
        <v>44013</v>
      </c>
      <c r="AF293" s="86">
        <v>44028</v>
      </c>
      <c r="AG293" s="33">
        <f t="shared" si="115"/>
        <v>15</v>
      </c>
      <c r="AH293" s="43" t="s">
        <v>2054</v>
      </c>
      <c r="AI293" s="280"/>
      <c r="AK293" s="264"/>
      <c r="AL293" s="264"/>
    </row>
    <row r="294" spans="1:42">
      <c r="A294" s="146" t="s">
        <v>2047</v>
      </c>
      <c r="B294" s="93">
        <v>1502</v>
      </c>
      <c r="C294" s="93">
        <v>1065</v>
      </c>
      <c r="D294" s="80">
        <v>-7</v>
      </c>
      <c r="E294" s="80">
        <v>-26</v>
      </c>
      <c r="F294" s="6">
        <v>4.71</v>
      </c>
      <c r="G294" s="79">
        <v>6251</v>
      </c>
      <c r="H294" s="53" t="s">
        <v>3620</v>
      </c>
      <c r="I294" s="22" t="s">
        <v>6545</v>
      </c>
      <c r="J294" s="73">
        <v>41.56</v>
      </c>
      <c r="K294" s="323">
        <v>13.27</v>
      </c>
      <c r="L294" s="73">
        <v>29.4</v>
      </c>
      <c r="N294" s="318">
        <f t="shared" si="119"/>
        <v>84.22999999999999</v>
      </c>
      <c r="O294" s="81">
        <f>IFERROR(VLOOKUP($G294,'321買'!A:E,3,0),"'沒有資料'")</f>
        <v>52</v>
      </c>
      <c r="P294" s="380">
        <f>IFERROR(VLOOKUP($G294,'321買'!$A:$G,7,0),"'沒有資料'")</f>
        <v>74</v>
      </c>
      <c r="R294" s="297">
        <f>IFERROR(RANK(VLOOKUP($G294,連買!$A:$D,4,0),連買!$D:$D,0),"'沒有資料'")</f>
        <v>856</v>
      </c>
      <c r="S294" s="34">
        <v>0</v>
      </c>
      <c r="U294" s="57">
        <f t="shared" si="116"/>
        <v>0</v>
      </c>
      <c r="V294" s="36">
        <v>17.649999999999999</v>
      </c>
      <c r="W294" s="45">
        <v>16</v>
      </c>
      <c r="X294" s="15">
        <f t="shared" si="117"/>
        <v>1.6499999999999986</v>
      </c>
      <c r="Y294" s="63">
        <f t="shared" si="118"/>
        <v>0.10312499999999991</v>
      </c>
      <c r="Z294" s="100" t="s">
        <v>2055</v>
      </c>
      <c r="AA294" s="126"/>
      <c r="AD294" s="22" t="s">
        <v>401</v>
      </c>
      <c r="AE294" s="84">
        <v>44005</v>
      </c>
      <c r="AF294" s="86">
        <v>44015</v>
      </c>
      <c r="AG294" s="33">
        <f t="shared" si="115"/>
        <v>10</v>
      </c>
      <c r="AH294" s="43" t="s">
        <v>1049</v>
      </c>
      <c r="AI294" s="280"/>
      <c r="AK294" s="264"/>
      <c r="AL294" s="264"/>
    </row>
    <row r="295" spans="1:42">
      <c r="A295" s="130" t="s">
        <v>1950</v>
      </c>
      <c r="B295" s="79">
        <v>23</v>
      </c>
      <c r="C295" s="79">
        <v>18</v>
      </c>
      <c r="D295" s="79">
        <v>7</v>
      </c>
      <c r="E295" s="79">
        <v>79</v>
      </c>
      <c r="F295" s="57">
        <v>11.3</v>
      </c>
      <c r="G295" s="79">
        <v>5215</v>
      </c>
      <c r="H295" s="52" t="s">
        <v>1152</v>
      </c>
      <c r="I295" s="22" t="s">
        <v>470</v>
      </c>
      <c r="J295" s="73">
        <v>61.5</v>
      </c>
      <c r="K295" s="73">
        <v>36.06</v>
      </c>
      <c r="L295" s="73">
        <v>32.950000000000003</v>
      </c>
      <c r="N295" s="318">
        <f t="shared" si="119"/>
        <v>130.51</v>
      </c>
      <c r="O295" s="81">
        <f>IFERROR(VLOOKUP($G295,'321買'!A:E,3,0),"'沒有資料'")</f>
        <v>1</v>
      </c>
      <c r="P295" s="380">
        <f>IFERROR(VLOOKUP($G295,'321買'!$A:$G,7,0),"'沒有資料'")</f>
        <v>783</v>
      </c>
      <c r="R295" s="297">
        <f>IFERROR(RANK(VLOOKUP($G295,連買!$A:$D,4,0),連買!$D:$D,0),"'沒有資料'")</f>
        <v>275</v>
      </c>
      <c r="S295" s="34">
        <v>3.28</v>
      </c>
      <c r="U295" s="57">
        <f t="shared" ref="U295:U326" si="120">S295/V295</f>
        <v>2.6345381526104415E-2</v>
      </c>
      <c r="V295" s="36">
        <v>124.5</v>
      </c>
      <c r="W295" s="45">
        <v>50</v>
      </c>
      <c r="X295" s="15">
        <f t="shared" si="117"/>
        <v>74.5</v>
      </c>
      <c r="Y295" s="174">
        <f t="shared" si="118"/>
        <v>1.49</v>
      </c>
      <c r="Z295" s="100" t="s">
        <v>2048</v>
      </c>
      <c r="AA295" s="126"/>
      <c r="AD295" s="22" t="s">
        <v>470</v>
      </c>
      <c r="AE295" s="84">
        <v>43997</v>
      </c>
      <c r="AF295" s="86">
        <v>44011</v>
      </c>
      <c r="AG295" s="33">
        <f t="shared" si="115"/>
        <v>14</v>
      </c>
      <c r="AH295" s="43" t="s">
        <v>1658</v>
      </c>
      <c r="AI295" s="280"/>
      <c r="AK295" s="264"/>
      <c r="AL295" s="264"/>
    </row>
    <row r="296" spans="1:42">
      <c r="A296" s="130" t="s">
        <v>2043</v>
      </c>
      <c r="B296" s="79">
        <v>97</v>
      </c>
      <c r="C296" s="79">
        <v>93</v>
      </c>
      <c r="D296" s="80">
        <v>-35</v>
      </c>
      <c r="E296" s="80">
        <v>-38</v>
      </c>
      <c r="F296" s="57">
        <v>30</v>
      </c>
      <c r="G296" s="79">
        <v>6732</v>
      </c>
      <c r="H296" s="52" t="s">
        <v>3254</v>
      </c>
      <c r="I296" s="16" t="s">
        <v>2032</v>
      </c>
      <c r="J296" s="323">
        <v>60.91</v>
      </c>
      <c r="K296" s="73">
        <v>4.9400000000000004</v>
      </c>
      <c r="N296" s="318">
        <f t="shared" si="119"/>
        <v>65.849999999999994</v>
      </c>
      <c r="O296" s="81">
        <f>IFERROR(VLOOKUP($G296,'321買'!A:E,3,0),"'沒有資料'")</f>
        <v>21</v>
      </c>
      <c r="P296" s="380">
        <f>IFERROR(VLOOKUP($G296,'321買'!$A:$G,7,0),"'沒有資料'")</f>
        <v>241</v>
      </c>
      <c r="R296" s="297">
        <f>IFERROR(RANK(VLOOKUP($G296,連買!$A:$D,4,0),連買!$D:$D,0),"'沒有資料'")</f>
        <v>1754</v>
      </c>
      <c r="S296" s="34">
        <v>24</v>
      </c>
      <c r="U296" s="95">
        <f t="shared" si="120"/>
        <v>2.5316455696202531E-2</v>
      </c>
      <c r="V296" s="36">
        <v>948</v>
      </c>
      <c r="W296" s="66">
        <v>498</v>
      </c>
      <c r="X296" s="15">
        <f t="shared" si="117"/>
        <v>450</v>
      </c>
      <c r="Y296" s="175">
        <f t="shared" si="118"/>
        <v>0.90361445783132532</v>
      </c>
      <c r="Z296" s="100" t="s">
        <v>2045</v>
      </c>
      <c r="AA296" s="126"/>
      <c r="AD296" s="16" t="s">
        <v>2032</v>
      </c>
      <c r="AE296" s="84">
        <v>43990</v>
      </c>
      <c r="AF296" s="86">
        <v>44000</v>
      </c>
      <c r="AG296" s="33">
        <f t="shared" si="115"/>
        <v>10</v>
      </c>
      <c r="AH296" s="43" t="s">
        <v>2044</v>
      </c>
      <c r="AI296" s="280"/>
      <c r="AK296" s="264"/>
      <c r="AL296" s="264"/>
    </row>
    <row r="297" spans="1:42">
      <c r="A297" s="146" t="s">
        <v>1743</v>
      </c>
      <c r="B297" s="79">
        <v>40</v>
      </c>
      <c r="C297" s="79">
        <v>39</v>
      </c>
      <c r="D297" s="80">
        <v>-70</v>
      </c>
      <c r="E297" s="80">
        <v>-51</v>
      </c>
      <c r="F297" s="57">
        <v>-87.65</v>
      </c>
      <c r="G297" s="79">
        <v>6598</v>
      </c>
      <c r="H297" s="4" t="s">
        <v>5070</v>
      </c>
      <c r="I297" s="22" t="s">
        <v>2035</v>
      </c>
      <c r="J297" s="73">
        <v>65.53</v>
      </c>
      <c r="K297" s="323">
        <v>40.29</v>
      </c>
      <c r="L297" s="323"/>
      <c r="N297" s="318">
        <f t="shared" si="119"/>
        <v>105.82</v>
      </c>
      <c r="O297" s="81">
        <f>IFERROR(VLOOKUP($G297,'321買'!A:E,3,0),"'沒有資料'")</f>
        <v>0</v>
      </c>
      <c r="P297" s="380">
        <f>IFERROR(VLOOKUP($G297,'321買'!$A:$G,7,0),"'沒有資料'")</f>
        <v>911</v>
      </c>
      <c r="R297" s="297">
        <f>IFERROR(RANK(VLOOKUP($G297,連買!$A:$D,4,0),連買!$D:$D,0),"'沒有資料'")</f>
        <v>806</v>
      </c>
      <c r="S297" s="34">
        <v>0</v>
      </c>
      <c r="U297" s="95">
        <f t="shared" si="120"/>
        <v>0</v>
      </c>
      <c r="V297" s="13">
        <v>166.5</v>
      </c>
      <c r="W297" s="66">
        <v>48</v>
      </c>
      <c r="X297" s="15">
        <f t="shared" si="117"/>
        <v>118.5</v>
      </c>
      <c r="Y297" s="174">
        <f t="shared" si="118"/>
        <v>2.46875</v>
      </c>
      <c r="Z297" s="100" t="s">
        <v>2046</v>
      </c>
      <c r="AA297" s="126"/>
      <c r="AD297" s="22" t="s">
        <v>2035</v>
      </c>
      <c r="AE297" s="84">
        <v>43991</v>
      </c>
      <c r="AF297" s="86">
        <v>44001</v>
      </c>
      <c r="AG297" s="33">
        <f t="shared" si="115"/>
        <v>10</v>
      </c>
      <c r="AH297" s="43" t="s">
        <v>2036</v>
      </c>
      <c r="AI297" s="280"/>
      <c r="AK297" s="264"/>
      <c r="AL297" s="264"/>
    </row>
    <row r="298" spans="1:42" s="7" customFormat="1" ht="17.100000000000001" customHeight="1">
      <c r="A298" s="146" t="s">
        <v>2037</v>
      </c>
      <c r="B298" s="80">
        <v>-45</v>
      </c>
      <c r="C298" s="79">
        <v>13</v>
      </c>
      <c r="D298" s="79">
        <v>9</v>
      </c>
      <c r="E298" s="79">
        <v>11</v>
      </c>
      <c r="F298" s="6">
        <v>5.85</v>
      </c>
      <c r="G298" s="80">
        <v>5469</v>
      </c>
      <c r="H298" s="53" t="s">
        <v>3620</v>
      </c>
      <c r="I298" s="22" t="s">
        <v>237</v>
      </c>
      <c r="J298" s="73">
        <v>69.489999999999995</v>
      </c>
      <c r="K298" s="73">
        <v>12.92</v>
      </c>
      <c r="L298" s="73">
        <v>16.149999999999999</v>
      </c>
      <c r="M298" s="318"/>
      <c r="N298" s="318">
        <f t="shared" ref="N298:N330" si="121">R298+K298+J298+L298</f>
        <v>1140.5600000000002</v>
      </c>
      <c r="O298" s="81">
        <f>IFERROR(VLOOKUP($G298,'321買'!A:E,3,0),"'沒有資料'")</f>
        <v>0</v>
      </c>
      <c r="P298" s="380">
        <f>IFERROR(VLOOKUP($G298,'321買'!$A:$G,7,0),"'沒有資料'")</f>
        <v>911</v>
      </c>
      <c r="Q298" s="303"/>
      <c r="R298" s="297">
        <f>IFERROR(RANK(VLOOKUP($G298,連買!$A:$D,4,0),連買!$D:$D,0),"'沒有資料'")</f>
        <v>1042</v>
      </c>
      <c r="S298" s="34">
        <v>1.8</v>
      </c>
      <c r="T298" s="354"/>
      <c r="U298" s="95">
        <f t="shared" si="120"/>
        <v>4.6272493573264788E-2</v>
      </c>
      <c r="V298" s="36">
        <v>38.9</v>
      </c>
      <c r="W298" s="66">
        <v>36</v>
      </c>
      <c r="X298" s="15">
        <f t="shared" si="117"/>
        <v>2.8999999999999986</v>
      </c>
      <c r="Y298" s="63">
        <f t="shared" si="118"/>
        <v>8.0555555555555519E-2</v>
      </c>
      <c r="Z298" s="100" t="s">
        <v>2034</v>
      </c>
      <c r="AA298" s="126"/>
      <c r="AB298" s="251"/>
      <c r="AC298" s="410"/>
      <c r="AD298" s="22" t="s">
        <v>237</v>
      </c>
      <c r="AE298" s="84">
        <v>43978</v>
      </c>
      <c r="AF298" s="86">
        <v>43990</v>
      </c>
      <c r="AG298" s="33">
        <f t="shared" si="115"/>
        <v>12</v>
      </c>
      <c r="AH298" s="120" t="s">
        <v>2019</v>
      </c>
      <c r="AI298" s="280"/>
      <c r="AM298" s="270"/>
      <c r="AN298" s="22"/>
      <c r="AO298" s="41"/>
      <c r="AP298" s="270"/>
    </row>
    <row r="299" spans="1:42">
      <c r="A299" s="130" t="s">
        <v>2025</v>
      </c>
      <c r="B299" s="80">
        <v>-1</v>
      </c>
      <c r="C299" s="80">
        <v>-2</v>
      </c>
      <c r="D299" s="80"/>
      <c r="E299" s="80">
        <v>4.45</v>
      </c>
      <c r="F299" s="57">
        <v>12.01</v>
      </c>
      <c r="G299" s="80">
        <v>5546</v>
      </c>
      <c r="H299" s="4" t="s">
        <v>4327</v>
      </c>
      <c r="I299" s="22" t="s">
        <v>2013</v>
      </c>
      <c r="J299" s="323">
        <v>81.39</v>
      </c>
      <c r="K299" s="323">
        <v>55.1</v>
      </c>
      <c r="L299" s="323"/>
      <c r="N299" s="318">
        <f t="shared" si="121"/>
        <v>1820.49</v>
      </c>
      <c r="O299" s="81">
        <f>IFERROR(VLOOKUP($G299,'321買'!A:E,3,0),"'沒有資料'")</f>
        <v>0</v>
      </c>
      <c r="P299" s="380">
        <f>IFERROR(VLOOKUP($G299,'321買'!$A:$G,7,0),"'沒有資料'")</f>
        <v>911</v>
      </c>
      <c r="R299" s="297">
        <f>IFERROR(RANK(VLOOKUP($G299,連買!$A:$D,4,0),連買!$D:$D,0),"'沒有資料'")</f>
        <v>1684</v>
      </c>
      <c r="S299" s="34">
        <v>4</v>
      </c>
      <c r="U299" s="95">
        <f t="shared" si="120"/>
        <v>6.4516129032258063E-2</v>
      </c>
      <c r="V299" s="36">
        <v>62</v>
      </c>
      <c r="W299" s="66">
        <v>58.5</v>
      </c>
      <c r="X299" s="15">
        <f t="shared" si="117"/>
        <v>3.5</v>
      </c>
      <c r="Y299" s="63">
        <f t="shared" si="118"/>
        <v>5.9829059829059832E-2</v>
      </c>
      <c r="Z299" s="100" t="s">
        <v>1708</v>
      </c>
      <c r="AA299" s="126"/>
      <c r="AD299" s="22" t="s">
        <v>2013</v>
      </c>
      <c r="AE299" s="84">
        <v>43971</v>
      </c>
      <c r="AF299" s="86">
        <v>43983</v>
      </c>
      <c r="AG299" s="33">
        <f t="shared" si="115"/>
        <v>12</v>
      </c>
      <c r="AH299" s="120" t="s">
        <v>2026</v>
      </c>
      <c r="AI299" s="280"/>
      <c r="AK299" s="264"/>
      <c r="AL299" s="264"/>
    </row>
    <row r="300" spans="1:42">
      <c r="A300" s="130" t="s">
        <v>1640</v>
      </c>
      <c r="B300" s="80">
        <v>-13</v>
      </c>
      <c r="C300" s="80">
        <v>-12</v>
      </c>
      <c r="D300" s="79">
        <v>1</v>
      </c>
      <c r="E300" s="79">
        <v>0</v>
      </c>
      <c r="F300" s="57">
        <v>40.49</v>
      </c>
      <c r="G300" s="80">
        <v>3563</v>
      </c>
      <c r="H300" s="4" t="s">
        <v>308</v>
      </c>
      <c r="I300" s="22" t="s">
        <v>4525</v>
      </c>
      <c r="J300" s="323">
        <v>35.369999999999997</v>
      </c>
      <c r="K300" s="323">
        <v>17.84</v>
      </c>
      <c r="L300" s="73">
        <v>20.63</v>
      </c>
      <c r="N300" s="318">
        <f t="shared" si="121"/>
        <v>260.84000000000003</v>
      </c>
      <c r="O300" s="81">
        <f>IFERROR(VLOOKUP($G300,'321買'!A:E,3,0),"'沒有資料'")</f>
        <v>11</v>
      </c>
      <c r="P300" s="380">
        <f>IFERROR(VLOOKUP($G300,'321買'!$A:$G,7,0),"'沒有資料'")</f>
        <v>336</v>
      </c>
      <c r="R300" s="297">
        <f>IFERROR(RANK(VLOOKUP($G300,連買!$A:$D,4,0),連買!$D:$D,0),"'沒有資料'")</f>
        <v>187</v>
      </c>
      <c r="S300" s="34"/>
      <c r="U300" s="95">
        <f t="shared" si="120"/>
        <v>0</v>
      </c>
      <c r="V300" s="36">
        <v>327</v>
      </c>
      <c r="W300" s="45">
        <v>250</v>
      </c>
      <c r="X300" s="15">
        <f t="shared" si="117"/>
        <v>77</v>
      </c>
      <c r="Y300" s="63">
        <f t="shared" si="118"/>
        <v>0.308</v>
      </c>
      <c r="Z300" s="100" t="s">
        <v>2001</v>
      </c>
      <c r="AA300" s="126"/>
      <c r="AD300" s="22" t="s">
        <v>179</v>
      </c>
      <c r="AE300" s="84">
        <v>43970</v>
      </c>
      <c r="AF300" s="86">
        <v>43980</v>
      </c>
      <c r="AG300" s="33">
        <f t="shared" si="115"/>
        <v>10</v>
      </c>
      <c r="AH300" s="122" t="s">
        <v>1799</v>
      </c>
      <c r="AI300" s="280"/>
      <c r="AK300" s="264"/>
      <c r="AL300" s="264"/>
    </row>
    <row r="301" spans="1:42" ht="17.25" customHeight="1">
      <c r="A301" s="130" t="s">
        <v>2033</v>
      </c>
      <c r="B301" s="79">
        <v>9</v>
      </c>
      <c r="C301" s="79">
        <v>9</v>
      </c>
      <c r="D301" s="79">
        <v>4</v>
      </c>
      <c r="E301" s="79">
        <v>17</v>
      </c>
      <c r="F301" s="57">
        <v>10.4</v>
      </c>
      <c r="G301" s="79">
        <v>8284</v>
      </c>
      <c r="H301" s="4" t="s">
        <v>3679</v>
      </c>
      <c r="I301" s="16" t="s">
        <v>2010</v>
      </c>
      <c r="J301" s="73">
        <v>63.03</v>
      </c>
      <c r="K301" s="73">
        <v>3.71</v>
      </c>
      <c r="L301" s="323"/>
      <c r="N301" s="318">
        <f t="shared" si="121"/>
        <v>533.74</v>
      </c>
      <c r="O301" s="81">
        <f>IFERROR(VLOOKUP($G301,'321買'!A:E,3,0),"'沒有資料'")</f>
        <v>2</v>
      </c>
      <c r="P301" s="380">
        <f>IFERROR(VLOOKUP($G301,'321買'!$A:$G,7,0),"'沒有資料'")</f>
        <v>706</v>
      </c>
      <c r="R301" s="297">
        <f>IFERROR(RANK(VLOOKUP($G301,連買!$A:$D,4,0),連買!$D:$D,0),"'沒有資料'")</f>
        <v>467</v>
      </c>
      <c r="S301" s="34">
        <v>3</v>
      </c>
      <c r="U301" s="95">
        <f t="shared" si="120"/>
        <v>4.7619047619047616E-2</v>
      </c>
      <c r="V301" s="36">
        <v>63</v>
      </c>
      <c r="W301" s="66">
        <v>45</v>
      </c>
      <c r="X301" s="15">
        <f t="shared" ref="X301:X330" si="122">V301-W301</f>
        <v>18</v>
      </c>
      <c r="Y301" s="63">
        <f t="shared" ref="Y301:Y330" si="123">X301/W301</f>
        <v>0.4</v>
      </c>
      <c r="Z301" s="100" t="s">
        <v>2023</v>
      </c>
      <c r="AA301" s="126"/>
      <c r="AD301" s="16" t="s">
        <v>2010</v>
      </c>
      <c r="AE301" s="84">
        <v>43969</v>
      </c>
      <c r="AF301" s="86">
        <v>43980</v>
      </c>
      <c r="AG301" s="33">
        <f t="shared" si="115"/>
        <v>11</v>
      </c>
      <c r="AH301" s="43" t="s">
        <v>2011</v>
      </c>
      <c r="AI301" s="280"/>
      <c r="AK301" s="264"/>
      <c r="AL301" s="264"/>
    </row>
    <row r="302" spans="1:42">
      <c r="A302" s="146" t="s">
        <v>2002</v>
      </c>
      <c r="B302" s="79">
        <v>20</v>
      </c>
      <c r="C302" s="79"/>
      <c r="D302" s="79">
        <v>26</v>
      </c>
      <c r="E302" s="80">
        <v>-12</v>
      </c>
      <c r="F302" s="6"/>
      <c r="G302" s="80">
        <v>2888</v>
      </c>
      <c r="H302" s="10" t="s">
        <v>306</v>
      </c>
      <c r="I302" s="22" t="s">
        <v>18</v>
      </c>
      <c r="J302" s="323">
        <v>68.09</v>
      </c>
      <c r="K302" s="73">
        <v>21.4</v>
      </c>
      <c r="L302" s="323">
        <v>3.23</v>
      </c>
      <c r="N302" s="318">
        <f t="shared" si="121"/>
        <v>1259.72</v>
      </c>
      <c r="O302" s="81">
        <f>IFERROR(VLOOKUP($G302,'321買'!A:E,3,0),"'沒有資料'")</f>
        <v>3</v>
      </c>
      <c r="P302" s="380">
        <f>IFERROR(VLOOKUP($G302,'321買'!$A:$G,7,0),"'沒有資料'")</f>
        <v>636</v>
      </c>
      <c r="R302" s="297">
        <f>IFERROR(RANK(VLOOKUP($G302,連買!$A:$D,4,0),連買!$D:$D,0),"'沒有資料'")</f>
        <v>1167</v>
      </c>
      <c r="S302" s="34">
        <v>0.4</v>
      </c>
      <c r="U302" s="95">
        <f t="shared" si="120"/>
        <v>4.7961630695443645E-2</v>
      </c>
      <c r="V302" s="36">
        <v>8.34</v>
      </c>
      <c r="W302" s="66">
        <v>7.8</v>
      </c>
      <c r="X302" s="15">
        <f t="shared" si="122"/>
        <v>0.54</v>
      </c>
      <c r="Y302" s="63">
        <f t="shared" si="123"/>
        <v>6.9230769230769235E-2</v>
      </c>
      <c r="Z302" s="100" t="s">
        <v>2024</v>
      </c>
      <c r="AA302" s="126"/>
      <c r="AD302" s="22" t="s">
        <v>18</v>
      </c>
      <c r="AE302" s="84">
        <v>43969</v>
      </c>
      <c r="AF302" s="86">
        <v>43980</v>
      </c>
      <c r="AG302" s="33">
        <f t="shared" si="115"/>
        <v>11</v>
      </c>
      <c r="AH302" s="120" t="s">
        <v>1457</v>
      </c>
      <c r="AI302" s="280"/>
      <c r="AK302" s="264"/>
      <c r="AL302" s="264"/>
    </row>
    <row r="303" spans="1:42">
      <c r="A303" s="146" t="s">
        <v>1780</v>
      </c>
      <c r="B303" s="80">
        <v>-2</v>
      </c>
      <c r="C303" s="80">
        <v>-34</v>
      </c>
      <c r="D303" s="80">
        <v>-7</v>
      </c>
      <c r="E303" s="79">
        <v>8</v>
      </c>
      <c r="F303" s="6">
        <v>8.6999999999999993</v>
      </c>
      <c r="G303" s="80">
        <v>6208</v>
      </c>
      <c r="H303" s="4" t="s">
        <v>3620</v>
      </c>
      <c r="I303" s="16" t="s">
        <v>436</v>
      </c>
      <c r="J303" s="73">
        <v>52.18</v>
      </c>
      <c r="K303" s="73">
        <v>1.63</v>
      </c>
      <c r="L303" s="323">
        <v>3.51</v>
      </c>
      <c r="N303" s="318">
        <f t="shared" si="121"/>
        <v>478.32</v>
      </c>
      <c r="O303" s="81">
        <f>IFERROR(VLOOKUP($G303,'321買'!A:E,3,0),"'沒有資料'")</f>
        <v>7</v>
      </c>
      <c r="P303" s="380">
        <f>IFERROR(VLOOKUP($G303,'321買'!$A:$G,7,0),"'沒有資料'")</f>
        <v>475</v>
      </c>
      <c r="R303" s="297">
        <f>IFERROR(RANK(VLOOKUP($G303,連買!$A:$D,4,0),連買!$D:$D,0),"'沒有資料'")</f>
        <v>421</v>
      </c>
      <c r="S303" s="34">
        <v>1.7</v>
      </c>
      <c r="U303" s="95">
        <f t="shared" si="120"/>
        <v>6.6019417475728148E-2</v>
      </c>
      <c r="V303" s="36">
        <v>25.75</v>
      </c>
      <c r="W303" s="66">
        <v>20</v>
      </c>
      <c r="X303" s="15">
        <f t="shared" si="122"/>
        <v>5.75</v>
      </c>
      <c r="Y303" s="63">
        <f t="shared" si="123"/>
        <v>0.28749999999999998</v>
      </c>
      <c r="Z303" s="100" t="s">
        <v>2021</v>
      </c>
      <c r="AA303" s="126"/>
      <c r="AD303" s="16" t="s">
        <v>436</v>
      </c>
      <c r="AE303" s="84">
        <v>43966</v>
      </c>
      <c r="AF303" s="86">
        <v>43980</v>
      </c>
      <c r="AG303" s="33">
        <f t="shared" si="115"/>
        <v>14</v>
      </c>
      <c r="AH303" s="43" t="s">
        <v>2008</v>
      </c>
      <c r="AI303" s="280"/>
      <c r="AK303" s="264"/>
      <c r="AL303" s="264"/>
    </row>
    <row r="304" spans="1:42">
      <c r="A304" s="146" t="s">
        <v>2007</v>
      </c>
      <c r="B304" s="80">
        <v>-137</v>
      </c>
      <c r="C304" s="80">
        <v>-128</v>
      </c>
      <c r="D304" s="80">
        <v>-6</v>
      </c>
      <c r="E304" s="79">
        <v>171</v>
      </c>
      <c r="F304" s="73">
        <v>-147</v>
      </c>
      <c r="G304" s="79">
        <v>6589</v>
      </c>
      <c r="H304" s="4" t="s">
        <v>5070</v>
      </c>
      <c r="I304" s="16" t="s">
        <v>1886</v>
      </c>
      <c r="J304" s="323">
        <v>57.75</v>
      </c>
      <c r="K304" s="323">
        <v>3.98</v>
      </c>
      <c r="L304" s="323"/>
      <c r="N304" s="318">
        <f t="shared" si="121"/>
        <v>212.73</v>
      </c>
      <c r="O304" s="81" t="str">
        <f>IFERROR(VLOOKUP($G304,'321買'!A:E,3,0),"'沒有資料'")</f>
        <v>'沒有資料'</v>
      </c>
      <c r="P304" s="380" t="str">
        <f>IFERROR(VLOOKUP($G304,'321買'!$A:$G,7,0),"'沒有資料'")</f>
        <v>'沒有資料'</v>
      </c>
      <c r="R304" s="297">
        <f>IFERROR(RANK(VLOOKUP($G304,連買!$A:$D,4,0),連買!$D:$D,0),"'沒有資料'")</f>
        <v>151</v>
      </c>
      <c r="S304" s="34"/>
      <c r="U304" s="95">
        <f t="shared" si="120"/>
        <v>0</v>
      </c>
      <c r="V304" s="36">
        <v>61.5</v>
      </c>
      <c r="W304" s="66">
        <v>29</v>
      </c>
      <c r="X304" s="15">
        <f t="shared" si="122"/>
        <v>32.5</v>
      </c>
      <c r="Y304" s="174">
        <f t="shared" si="123"/>
        <v>1.1206896551724137</v>
      </c>
      <c r="Z304" s="100" t="s">
        <v>2022</v>
      </c>
      <c r="AA304" s="126"/>
      <c r="AD304" s="16" t="s">
        <v>1886</v>
      </c>
      <c r="AE304" s="84">
        <v>43966</v>
      </c>
      <c r="AF304" s="86">
        <v>43980</v>
      </c>
      <c r="AG304" s="33">
        <f t="shared" si="115"/>
        <v>14</v>
      </c>
      <c r="AH304" s="43" t="s">
        <v>1887</v>
      </c>
      <c r="AI304" s="280"/>
      <c r="AK304" s="264"/>
      <c r="AL304" s="264"/>
    </row>
    <row r="305" spans="1:42">
      <c r="A305" s="146" t="s">
        <v>1999</v>
      </c>
      <c r="B305" s="79">
        <v>0</v>
      </c>
      <c r="C305" s="79">
        <v>2</v>
      </c>
      <c r="D305" s="80">
        <v>-15</v>
      </c>
      <c r="E305" s="79">
        <v>66</v>
      </c>
      <c r="F305" s="6">
        <v>5.58</v>
      </c>
      <c r="G305" s="79">
        <v>4173</v>
      </c>
      <c r="H305" s="4" t="s">
        <v>5070</v>
      </c>
      <c r="I305" s="16" t="s">
        <v>617</v>
      </c>
      <c r="J305" s="323">
        <v>48.34</v>
      </c>
      <c r="K305" s="73">
        <v>0.22</v>
      </c>
      <c r="L305" s="73">
        <v>12.83</v>
      </c>
      <c r="N305" s="318">
        <f t="shared" si="121"/>
        <v>1674.3899999999999</v>
      </c>
      <c r="O305" s="81">
        <f>IFERROR(VLOOKUP($G305,'321買'!A:E,3,0),"'沒有資料'")</f>
        <v>3</v>
      </c>
      <c r="P305" s="380">
        <f>IFERROR(VLOOKUP($G305,'321買'!$A:$G,7,0),"'沒有資料'")</f>
        <v>636</v>
      </c>
      <c r="R305" s="297">
        <f>IFERROR(RANK(VLOOKUP($G305,連買!$A:$D,4,0),連買!$D:$D,0),"'沒有資料'")</f>
        <v>1613</v>
      </c>
      <c r="S305" s="34">
        <v>1</v>
      </c>
      <c r="U305" s="95">
        <f t="shared" si="120"/>
        <v>4.9019607843137261E-2</v>
      </c>
      <c r="V305" s="36">
        <v>20.399999999999999</v>
      </c>
      <c r="W305" s="66">
        <v>15</v>
      </c>
      <c r="X305" s="15">
        <f t="shared" si="122"/>
        <v>5.3999999999999986</v>
      </c>
      <c r="Y305" s="63">
        <f t="shared" si="123"/>
        <v>0.35999999999999993</v>
      </c>
      <c r="Z305" s="100" t="s">
        <v>2020</v>
      </c>
      <c r="AA305" s="126"/>
      <c r="AD305" s="16" t="s">
        <v>617</v>
      </c>
      <c r="AE305" s="84">
        <v>43964</v>
      </c>
      <c r="AF305" s="86">
        <v>43980</v>
      </c>
      <c r="AG305" s="33">
        <f t="shared" si="115"/>
        <v>16</v>
      </c>
      <c r="AH305" s="43" t="s">
        <v>2009</v>
      </c>
      <c r="AI305" s="280"/>
      <c r="AK305" s="264"/>
      <c r="AL305" s="264"/>
    </row>
    <row r="306" spans="1:42">
      <c r="A306" s="146" t="s">
        <v>1994</v>
      </c>
      <c r="B306" s="80">
        <v>-200</v>
      </c>
      <c r="C306" s="80">
        <v>-41</v>
      </c>
      <c r="D306" s="80">
        <v>-50</v>
      </c>
      <c r="E306" s="80">
        <v>-57</v>
      </c>
      <c r="F306" s="6">
        <v>-23.92</v>
      </c>
      <c r="G306" s="80">
        <v>1506</v>
      </c>
      <c r="H306" s="4" t="s">
        <v>297</v>
      </c>
      <c r="I306" s="22" t="s">
        <v>556</v>
      </c>
      <c r="J306" s="73">
        <v>69.91</v>
      </c>
      <c r="K306" s="73">
        <v>1.1599999999999999</v>
      </c>
      <c r="L306" s="323">
        <v>0</v>
      </c>
      <c r="N306" s="318">
        <f t="shared" si="121"/>
        <v>1281.0700000000002</v>
      </c>
      <c r="O306" s="81">
        <f>IFERROR(VLOOKUP($G306,'321買'!A:E,3,0),"'沒有資料'")</f>
        <v>0</v>
      </c>
      <c r="P306" s="380">
        <f>IFERROR(VLOOKUP($G306,'321買'!$A:$G,7,0),"'沒有資料'")</f>
        <v>911</v>
      </c>
      <c r="R306" s="297">
        <f>IFERROR(RANK(VLOOKUP($G306,連買!$A:$D,4,0),連買!$D:$D,0),"'沒有資料'")</f>
        <v>1210</v>
      </c>
      <c r="S306" s="34">
        <v>0</v>
      </c>
      <c r="U306" s="95">
        <f t="shared" si="120"/>
        <v>0</v>
      </c>
      <c r="V306" s="36">
        <v>12.35</v>
      </c>
      <c r="W306" s="66">
        <v>10</v>
      </c>
      <c r="X306" s="15">
        <f t="shared" si="122"/>
        <v>2.3499999999999996</v>
      </c>
      <c r="Y306" s="63">
        <f t="shared" si="123"/>
        <v>0.23499999999999996</v>
      </c>
      <c r="Z306" s="100" t="s">
        <v>2003</v>
      </c>
      <c r="AA306" s="126"/>
      <c r="AD306" s="22" t="s">
        <v>556</v>
      </c>
      <c r="AE306" s="84">
        <v>43950</v>
      </c>
      <c r="AF306" s="86">
        <v>43980</v>
      </c>
      <c r="AG306" s="33">
        <f t="shared" si="115"/>
        <v>30</v>
      </c>
      <c r="AH306" s="43" t="s">
        <v>1995</v>
      </c>
      <c r="AI306" s="280"/>
      <c r="AK306" s="264"/>
      <c r="AL306" s="264"/>
    </row>
    <row r="307" spans="1:42">
      <c r="A307" s="146" t="s">
        <v>1790</v>
      </c>
      <c r="B307" s="80">
        <v>-166</v>
      </c>
      <c r="C307" s="80">
        <v>-504</v>
      </c>
      <c r="D307" s="80">
        <v>-16</v>
      </c>
      <c r="E307" s="80">
        <v>-19</v>
      </c>
      <c r="F307" s="6">
        <v>-4.79</v>
      </c>
      <c r="G307" s="80">
        <v>3543</v>
      </c>
      <c r="H307" s="4" t="s">
        <v>308</v>
      </c>
      <c r="I307" s="22" t="s">
        <v>1987</v>
      </c>
      <c r="J307" s="323">
        <v>55.41</v>
      </c>
      <c r="K307" s="323">
        <v>0.23</v>
      </c>
      <c r="L307" s="323"/>
      <c r="N307" s="318">
        <f t="shared" si="121"/>
        <v>1638.64</v>
      </c>
      <c r="O307" s="81">
        <f>IFERROR(VLOOKUP($G307,'321買'!A:E,3,0),"'沒有資料'")</f>
        <v>0</v>
      </c>
      <c r="P307" s="380">
        <f>IFERROR(VLOOKUP($G307,'321買'!$A:$G,7,0),"'沒有資料'")</f>
        <v>911</v>
      </c>
      <c r="R307" s="297">
        <f>IFERROR(RANK(VLOOKUP($G307,連買!$A:$D,4,0),連買!$D:$D,0),"'沒有資料'")</f>
        <v>1583</v>
      </c>
      <c r="S307" s="34"/>
      <c r="U307" s="95">
        <f t="shared" si="120"/>
        <v>0</v>
      </c>
      <c r="V307" s="36">
        <v>17.25</v>
      </c>
      <c r="W307" s="66">
        <v>15</v>
      </c>
      <c r="X307" s="15">
        <f t="shared" si="122"/>
        <v>2.25</v>
      </c>
      <c r="Y307" s="63">
        <f t="shared" si="123"/>
        <v>0.15</v>
      </c>
      <c r="Z307" s="100" t="s">
        <v>996</v>
      </c>
      <c r="AA307" s="126"/>
      <c r="AD307" s="22" t="s">
        <v>1987</v>
      </c>
      <c r="AE307" s="84">
        <v>43936</v>
      </c>
      <c r="AF307" s="86">
        <v>43966</v>
      </c>
      <c r="AG307" s="33">
        <f t="shared" si="115"/>
        <v>30</v>
      </c>
      <c r="AH307" s="43" t="s">
        <v>1986</v>
      </c>
      <c r="AI307" s="280"/>
      <c r="AK307" s="264"/>
      <c r="AL307" s="264"/>
    </row>
    <row r="308" spans="1:42" s="7" customFormat="1" ht="17.100000000000001" customHeight="1">
      <c r="A308" s="130" t="s">
        <v>1888</v>
      </c>
      <c r="B308" s="79">
        <v>-25</v>
      </c>
      <c r="C308" s="79">
        <v>0</v>
      </c>
      <c r="D308" s="79">
        <v>0</v>
      </c>
      <c r="E308" s="79">
        <v>23</v>
      </c>
      <c r="F308" s="57">
        <v>10.54</v>
      </c>
      <c r="G308" s="79">
        <v>6213</v>
      </c>
      <c r="H308" s="52" t="s">
        <v>3620</v>
      </c>
      <c r="I308" s="22" t="s">
        <v>58</v>
      </c>
      <c r="J308" s="323">
        <v>74.790000000000006</v>
      </c>
      <c r="K308" s="323">
        <v>24.09</v>
      </c>
      <c r="L308" s="323">
        <v>10.31</v>
      </c>
      <c r="M308" s="318"/>
      <c r="N308" s="318">
        <f t="shared" si="121"/>
        <v>414.19</v>
      </c>
      <c r="O308" s="81">
        <f>IFERROR(VLOOKUP($G308,'321買'!A:E,3,0),"'沒有資料'")</f>
        <v>15</v>
      </c>
      <c r="P308" s="380">
        <f>IFERROR(VLOOKUP($G308,'321買'!$A:$G,7,0),"'沒有資料'")</f>
        <v>336</v>
      </c>
      <c r="Q308" s="303"/>
      <c r="R308" s="297">
        <f>IFERROR(RANK(VLOOKUP($G308,連買!$A:$D,4,0),連買!$D:$D,0),"'沒有資料'")</f>
        <v>305</v>
      </c>
      <c r="S308" s="34">
        <v>5</v>
      </c>
      <c r="T308" s="354"/>
      <c r="U308" s="95">
        <f t="shared" si="120"/>
        <v>3.5460992907801421E-2</v>
      </c>
      <c r="V308" s="36">
        <v>141</v>
      </c>
      <c r="W308" s="66">
        <v>110</v>
      </c>
      <c r="X308" s="15">
        <f t="shared" si="122"/>
        <v>31</v>
      </c>
      <c r="Y308" s="63">
        <f t="shared" si="123"/>
        <v>0.2818181818181818</v>
      </c>
      <c r="Z308" s="100" t="s">
        <v>1039</v>
      </c>
      <c r="AA308" s="126"/>
      <c r="AB308" s="251"/>
      <c r="AC308" s="410"/>
      <c r="AD308" s="22" t="s">
        <v>58</v>
      </c>
      <c r="AE308" s="84">
        <v>43928</v>
      </c>
      <c r="AF308" s="86">
        <v>43958</v>
      </c>
      <c r="AG308" s="33">
        <f t="shared" si="115"/>
        <v>30</v>
      </c>
      <c r="AH308" s="120" t="s">
        <v>1466</v>
      </c>
      <c r="AI308" s="280"/>
      <c r="AM308" s="270"/>
      <c r="AN308" s="22"/>
      <c r="AO308" s="41"/>
      <c r="AP308" s="270"/>
    </row>
    <row r="309" spans="1:42">
      <c r="A309" s="146" t="s">
        <v>1753</v>
      </c>
      <c r="B309" s="80">
        <v>-132</v>
      </c>
      <c r="C309" s="80">
        <v>-59</v>
      </c>
      <c r="D309" s="79">
        <v>48</v>
      </c>
      <c r="E309" s="79">
        <v>35</v>
      </c>
      <c r="F309" s="6">
        <v>0.89</v>
      </c>
      <c r="G309" s="79">
        <v>4746</v>
      </c>
      <c r="H309" s="4" t="s">
        <v>5070</v>
      </c>
      <c r="I309" s="22" t="s">
        <v>4125</v>
      </c>
      <c r="J309" s="323">
        <v>39.380000000000003</v>
      </c>
      <c r="K309" s="73">
        <v>5.82</v>
      </c>
      <c r="L309" s="73">
        <v>25.39</v>
      </c>
      <c r="N309" s="318">
        <f t="shared" si="121"/>
        <v>1707.5900000000001</v>
      </c>
      <c r="O309" s="81">
        <f>IFERROR(VLOOKUP($G309,'321買'!A:E,3,0),"'沒有資料'")</f>
        <v>23</v>
      </c>
      <c r="P309" s="380">
        <f>IFERROR(VLOOKUP($G309,'321買'!$A:$G,7,0),"'沒有資料'")</f>
        <v>222</v>
      </c>
      <c r="R309" s="297">
        <f>IFERROR(RANK(VLOOKUP($G309,連買!$A:$D,4,0),連買!$D:$D,0),"'沒有資料'")</f>
        <v>1637</v>
      </c>
      <c r="S309" s="34"/>
      <c r="U309" s="95">
        <f t="shared" si="120"/>
        <v>0</v>
      </c>
      <c r="V309" s="36">
        <v>55.3</v>
      </c>
      <c r="W309" s="45">
        <v>37</v>
      </c>
      <c r="X309" s="15">
        <f t="shared" si="122"/>
        <v>18.299999999999997</v>
      </c>
      <c r="Y309" s="63">
        <f t="shared" si="123"/>
        <v>0.49459459459459454</v>
      </c>
      <c r="Z309" s="100" t="s">
        <v>1983</v>
      </c>
      <c r="AA309" s="126"/>
      <c r="AD309" s="22" t="s">
        <v>637</v>
      </c>
      <c r="AE309" s="84">
        <v>43922</v>
      </c>
      <c r="AF309" s="86">
        <v>43955</v>
      </c>
      <c r="AG309" s="33">
        <f t="shared" si="115"/>
        <v>33</v>
      </c>
      <c r="AH309" s="43" t="s">
        <v>1974</v>
      </c>
      <c r="AI309" s="280"/>
      <c r="AK309" s="264"/>
      <c r="AL309" s="264"/>
    </row>
    <row r="310" spans="1:42">
      <c r="A310" s="146" t="s">
        <v>1976</v>
      </c>
      <c r="B310" s="80">
        <v>-28</v>
      </c>
      <c r="C310" s="80">
        <v>-66</v>
      </c>
      <c r="D310" s="79">
        <v>49</v>
      </c>
      <c r="E310" s="79">
        <v>75</v>
      </c>
      <c r="F310" s="6">
        <v>9.26</v>
      </c>
      <c r="G310" s="80">
        <v>6024</v>
      </c>
      <c r="H310" s="10" t="s">
        <v>306</v>
      </c>
      <c r="I310" s="22" t="s">
        <v>6546</v>
      </c>
      <c r="J310" s="323">
        <v>68.88</v>
      </c>
      <c r="K310" s="323">
        <v>2.4</v>
      </c>
      <c r="L310" s="323">
        <v>1.04</v>
      </c>
      <c r="N310" s="318">
        <f t="shared" si="121"/>
        <v>871.31999999999994</v>
      </c>
      <c r="O310" s="81">
        <f>IFERROR(VLOOKUP($G310,'321買'!A:E,3,0),"'沒有資料'")</f>
        <v>0</v>
      </c>
      <c r="P310" s="380">
        <f>IFERROR(VLOOKUP($G310,'321買'!$A:$G,7,0),"'沒有資料'")</f>
        <v>911</v>
      </c>
      <c r="R310" s="297">
        <f>IFERROR(RANK(VLOOKUP($G310,連買!$A:$D,4,0),連買!$D:$D,0),"'沒有資料'")</f>
        <v>799</v>
      </c>
      <c r="S310" s="34"/>
      <c r="U310" s="57">
        <f t="shared" si="120"/>
        <v>0</v>
      </c>
      <c r="V310" s="36">
        <v>39.4</v>
      </c>
      <c r="W310" s="66">
        <v>34.4</v>
      </c>
      <c r="X310" s="15">
        <f t="shared" si="122"/>
        <v>5</v>
      </c>
      <c r="Y310" s="63">
        <f t="shared" si="123"/>
        <v>0.14534883720930233</v>
      </c>
      <c r="Z310" s="101" t="s">
        <v>1981</v>
      </c>
      <c r="AA310" s="126"/>
      <c r="AD310" s="22" t="s">
        <v>339</v>
      </c>
      <c r="AE310" s="84">
        <v>43921</v>
      </c>
      <c r="AF310" s="86">
        <v>43951</v>
      </c>
      <c r="AG310" s="33">
        <f t="shared" si="115"/>
        <v>30</v>
      </c>
      <c r="AH310" s="43" t="s">
        <v>1446</v>
      </c>
      <c r="AI310" s="280"/>
      <c r="AK310" s="264"/>
      <c r="AL310" s="264"/>
    </row>
    <row r="311" spans="1:42">
      <c r="A311" s="146" t="s">
        <v>1615</v>
      </c>
      <c r="B311" s="80">
        <v>-174</v>
      </c>
      <c r="C311" s="80">
        <v>-159</v>
      </c>
      <c r="D311" s="79">
        <v>69</v>
      </c>
      <c r="E311" s="79">
        <v>25</v>
      </c>
      <c r="F311" s="6">
        <v>-4.2300000000000004</v>
      </c>
      <c r="G311" s="80">
        <v>4563</v>
      </c>
      <c r="H311" s="4" t="s">
        <v>297</v>
      </c>
      <c r="I311" s="16" t="s">
        <v>6547</v>
      </c>
      <c r="J311" s="323">
        <v>74.73</v>
      </c>
      <c r="K311" s="323">
        <v>19.440000000000001</v>
      </c>
      <c r="L311" s="73">
        <v>1.94</v>
      </c>
      <c r="N311" s="318">
        <f t="shared" si="121"/>
        <v>1062.1100000000001</v>
      </c>
      <c r="O311" s="81">
        <f>IFERROR(VLOOKUP($G311,'321買'!A:E,3,0),"'沒有資料'")</f>
        <v>0</v>
      </c>
      <c r="P311" s="380">
        <f>IFERROR(VLOOKUP($G311,'321買'!$A:$G,7,0),"'沒有資料'")</f>
        <v>911</v>
      </c>
      <c r="R311" s="297">
        <f>IFERROR(RANK(VLOOKUP($G311,連買!$A:$D,4,0),連買!$D:$D,0),"'沒有資料'")</f>
        <v>966</v>
      </c>
      <c r="S311" s="34"/>
      <c r="U311" s="57">
        <f t="shared" si="120"/>
        <v>0</v>
      </c>
      <c r="V311" s="36">
        <v>36.200000000000003</v>
      </c>
      <c r="W311" s="66">
        <v>40</v>
      </c>
      <c r="X311" s="15">
        <f t="shared" si="122"/>
        <v>-3.7999999999999972</v>
      </c>
      <c r="Y311" s="76">
        <f t="shared" si="123"/>
        <v>-9.4999999999999932E-2</v>
      </c>
      <c r="Z311" s="101" t="s">
        <v>2005</v>
      </c>
      <c r="AA311" s="126"/>
      <c r="AD311" s="16" t="s">
        <v>549</v>
      </c>
      <c r="AE311" s="84">
        <v>43921</v>
      </c>
      <c r="AF311" s="86">
        <v>43951</v>
      </c>
      <c r="AG311" s="33">
        <f t="shared" si="115"/>
        <v>30</v>
      </c>
      <c r="AH311" s="43" t="s">
        <v>1975</v>
      </c>
      <c r="AI311" s="280"/>
      <c r="AK311" s="264"/>
      <c r="AL311" s="264"/>
    </row>
    <row r="312" spans="1:42">
      <c r="A312" s="146" t="s">
        <v>1973</v>
      </c>
      <c r="B312" s="79">
        <v>13</v>
      </c>
      <c r="C312" s="80">
        <v>-65</v>
      </c>
      <c r="D312" s="79">
        <v>69</v>
      </c>
      <c r="E312" s="79">
        <v>130</v>
      </c>
      <c r="F312" s="6">
        <v>4.9000000000000004</v>
      </c>
      <c r="G312" s="79">
        <v>6023</v>
      </c>
      <c r="H312" s="10" t="s">
        <v>306</v>
      </c>
      <c r="I312" s="16" t="s">
        <v>149</v>
      </c>
      <c r="J312" s="73">
        <v>86.19</v>
      </c>
      <c r="K312" s="323">
        <v>1.54</v>
      </c>
      <c r="L312" s="73">
        <v>0.11</v>
      </c>
      <c r="N312" s="318">
        <f t="shared" si="121"/>
        <v>1226.8399999999999</v>
      </c>
      <c r="O312" s="81">
        <f>IFERROR(VLOOKUP($G312,'321買'!A:E,3,0),"'沒有資料'")</f>
        <v>0</v>
      </c>
      <c r="P312" s="380">
        <f>IFERROR(VLOOKUP($G312,'321買'!$A:$G,7,0),"'沒有資料'")</f>
        <v>911</v>
      </c>
      <c r="R312" s="297">
        <f>IFERROR(RANK(VLOOKUP($G312,連買!$A:$D,4,0),連買!$D:$D,0),"'沒有資料'")</f>
        <v>1139</v>
      </c>
      <c r="S312" s="34">
        <v>3.2</v>
      </c>
      <c r="U312" s="57">
        <f t="shared" si="120"/>
        <v>5.9369202226345091E-2</v>
      </c>
      <c r="V312" s="36">
        <v>53.9</v>
      </c>
      <c r="W312" s="66">
        <v>48</v>
      </c>
      <c r="X312" s="15">
        <f t="shared" si="122"/>
        <v>5.8999999999999986</v>
      </c>
      <c r="Y312" s="63">
        <f t="shared" si="123"/>
        <v>0.12291666666666663</v>
      </c>
      <c r="Z312" s="100" t="s">
        <v>1979</v>
      </c>
      <c r="AA312" s="126"/>
      <c r="AD312" s="16" t="s">
        <v>149</v>
      </c>
      <c r="AE312" s="84">
        <v>43920</v>
      </c>
      <c r="AF312" s="86">
        <v>43951</v>
      </c>
      <c r="AG312" s="33">
        <f t="shared" si="115"/>
        <v>31</v>
      </c>
      <c r="AH312" s="120" t="s">
        <v>1445</v>
      </c>
      <c r="AI312" s="280"/>
      <c r="AK312" s="264"/>
      <c r="AL312" s="264"/>
    </row>
    <row r="313" spans="1:42">
      <c r="A313" s="130" t="s">
        <v>1597</v>
      </c>
      <c r="B313" s="80">
        <v>-7</v>
      </c>
      <c r="C313" s="79">
        <v>2</v>
      </c>
      <c r="D313" s="79">
        <v>24</v>
      </c>
      <c r="E313" s="79">
        <v>52</v>
      </c>
      <c r="F313" s="57">
        <v>16.5</v>
      </c>
      <c r="G313" s="79">
        <v>6716</v>
      </c>
      <c r="H313" s="52" t="s">
        <v>3254</v>
      </c>
      <c r="I313" s="16" t="s">
        <v>1971</v>
      </c>
      <c r="J313" s="323">
        <v>43.74</v>
      </c>
      <c r="K313" s="73">
        <v>2.19</v>
      </c>
      <c r="L313" s="323"/>
      <c r="N313" s="318">
        <f t="shared" si="121"/>
        <v>186.93</v>
      </c>
      <c r="O313" s="81" t="str">
        <f>IFERROR(VLOOKUP($G313,'321買'!A:E,3,0),"'沒有資料'")</f>
        <v>'沒有資料'</v>
      </c>
      <c r="P313" s="380" t="str">
        <f>IFERROR(VLOOKUP($G313,'321買'!$A:$G,7,0),"'沒有資料'")</f>
        <v>'沒有資料'</v>
      </c>
      <c r="R313" s="297">
        <f>IFERROR(RANK(VLOOKUP($G313,連買!$A:$D,4,0),連買!$D:$D,0),"'沒有資料'")</f>
        <v>141</v>
      </c>
      <c r="S313" s="34">
        <v>3</v>
      </c>
      <c r="U313" s="95">
        <f t="shared" si="120"/>
        <v>4.195804195804196E-2</v>
      </c>
      <c r="V313" s="36">
        <v>71.5</v>
      </c>
      <c r="W313" s="66">
        <v>42</v>
      </c>
      <c r="X313" s="15">
        <f t="shared" si="122"/>
        <v>29.5</v>
      </c>
      <c r="Y313" s="63">
        <f t="shared" si="123"/>
        <v>0.70238095238095233</v>
      </c>
      <c r="Z313" s="100" t="s">
        <v>1977</v>
      </c>
      <c r="AA313" s="126"/>
      <c r="AD313" s="16" t="s">
        <v>1971</v>
      </c>
      <c r="AE313" s="84">
        <v>43917</v>
      </c>
      <c r="AF313" s="86">
        <v>43948</v>
      </c>
      <c r="AG313" s="33">
        <f t="shared" si="115"/>
        <v>31</v>
      </c>
      <c r="AH313" s="43" t="s">
        <v>1972</v>
      </c>
      <c r="AI313" s="280"/>
      <c r="AK313" s="264"/>
      <c r="AL313" s="264"/>
    </row>
    <row r="314" spans="1:42">
      <c r="A314" s="146" t="s">
        <v>1992</v>
      </c>
      <c r="B314" s="79">
        <v>33</v>
      </c>
      <c r="C314" s="79">
        <v>38</v>
      </c>
      <c r="D314" s="79">
        <v>5</v>
      </c>
      <c r="E314" s="80">
        <v>-19</v>
      </c>
      <c r="F314" s="6">
        <v>-6.04</v>
      </c>
      <c r="G314" s="79">
        <v>1449</v>
      </c>
      <c r="H314" s="4" t="s">
        <v>3390</v>
      </c>
      <c r="I314" s="22" t="s">
        <v>6548</v>
      </c>
      <c r="J314" s="73">
        <v>76.58</v>
      </c>
      <c r="K314" s="73">
        <v>8.6</v>
      </c>
      <c r="L314" s="323"/>
      <c r="N314" s="318">
        <f t="shared" si="121"/>
        <v>1225.1799999999998</v>
      </c>
      <c r="O314" s="81">
        <f>IFERROR(VLOOKUP($G314,'321買'!A:E,3,0),"'沒有資料'")</f>
        <v>0</v>
      </c>
      <c r="P314" s="380">
        <f>IFERROR(VLOOKUP($G314,'321買'!$A:$G,7,0),"'沒有資料'")</f>
        <v>911</v>
      </c>
      <c r="R314" s="297">
        <f>IFERROR(RANK(VLOOKUP($G314,連買!$A:$D,4,0),連買!$D:$D,0),"'沒有資料'")</f>
        <v>1140</v>
      </c>
      <c r="S314" s="34">
        <v>0</v>
      </c>
      <c r="U314" s="95">
        <f t="shared" si="120"/>
        <v>0</v>
      </c>
      <c r="V314" s="36">
        <v>12.2</v>
      </c>
      <c r="W314" s="66">
        <v>10</v>
      </c>
      <c r="X314" s="15">
        <f t="shared" si="122"/>
        <v>2.1999999999999993</v>
      </c>
      <c r="Y314" s="63">
        <f t="shared" si="123"/>
        <v>0.21999999999999992</v>
      </c>
      <c r="Z314" s="100" t="s">
        <v>1128</v>
      </c>
      <c r="AA314" s="126"/>
      <c r="AD314" s="22" t="s">
        <v>736</v>
      </c>
      <c r="AE314" s="84">
        <v>43917</v>
      </c>
      <c r="AF314" s="86">
        <v>43948</v>
      </c>
      <c r="AG314" s="33">
        <f t="shared" si="115"/>
        <v>31</v>
      </c>
      <c r="AH314" s="43" t="s">
        <v>1967</v>
      </c>
      <c r="AI314" s="280"/>
      <c r="AK314" s="264"/>
      <c r="AL314" s="264"/>
    </row>
    <row r="315" spans="1:42">
      <c r="A315" s="130" t="s">
        <v>1947</v>
      </c>
      <c r="B315" s="79">
        <v>21</v>
      </c>
      <c r="C315" s="79">
        <v>34</v>
      </c>
      <c r="D315" s="79">
        <v>0</v>
      </c>
      <c r="E315" s="79">
        <v>164</v>
      </c>
      <c r="F315" s="57">
        <v>19.920000000000002</v>
      </c>
      <c r="G315" s="80">
        <v>8086</v>
      </c>
      <c r="H315" s="52" t="s">
        <v>3254</v>
      </c>
      <c r="I315" s="16" t="s">
        <v>264</v>
      </c>
      <c r="J315" s="323">
        <v>36.28</v>
      </c>
      <c r="K315" s="323">
        <v>15.51</v>
      </c>
      <c r="L315" s="73">
        <v>41.91</v>
      </c>
      <c r="N315" s="318">
        <f t="shared" si="121"/>
        <v>1803.7</v>
      </c>
      <c r="O315" s="81">
        <f>IFERROR(VLOOKUP($G315,'321買'!A:E,3,0),"'沒有資料'")</f>
        <v>33</v>
      </c>
      <c r="P315" s="380">
        <f>IFERROR(VLOOKUP($G315,'321買'!$A:$G,7,0),"'沒有資料'")</f>
        <v>117</v>
      </c>
      <c r="R315" s="297">
        <f>IFERROR(RANK(VLOOKUP($G315,連買!$A:$D,4,0),連買!$D:$D,0),"'沒有資料'")</f>
        <v>1710</v>
      </c>
      <c r="S315" s="34">
        <v>1.7</v>
      </c>
      <c r="U315" s="95">
        <f t="shared" si="120"/>
        <v>1.9296254256526674E-2</v>
      </c>
      <c r="V315" s="36">
        <v>88.1</v>
      </c>
      <c r="W315" s="45">
        <v>75</v>
      </c>
      <c r="X315" s="15">
        <f t="shared" si="122"/>
        <v>13.099999999999994</v>
      </c>
      <c r="Y315" s="63">
        <f t="shared" si="123"/>
        <v>0.17466666666666658</v>
      </c>
      <c r="Z315" s="101" t="s">
        <v>1966</v>
      </c>
      <c r="AA315" s="126"/>
      <c r="AD315" s="16" t="s">
        <v>264</v>
      </c>
      <c r="AE315" s="84">
        <v>43907</v>
      </c>
      <c r="AF315" s="86">
        <v>43938</v>
      </c>
      <c r="AG315" s="33">
        <f t="shared" si="115"/>
        <v>31</v>
      </c>
      <c r="AH315" s="120" t="s">
        <v>1450</v>
      </c>
      <c r="AI315" s="280"/>
      <c r="AK315" s="264"/>
      <c r="AL315" s="264"/>
    </row>
    <row r="316" spans="1:42">
      <c r="A316" s="130" t="s">
        <v>1491</v>
      </c>
      <c r="B316" s="80">
        <v>-37</v>
      </c>
      <c r="C316" s="80">
        <v>-33</v>
      </c>
      <c r="D316" s="80">
        <v>-20</v>
      </c>
      <c r="E316" s="80">
        <v>-8</v>
      </c>
      <c r="F316" s="57">
        <v>10.72</v>
      </c>
      <c r="G316" s="80">
        <v>4581</v>
      </c>
      <c r="H316" s="4" t="s">
        <v>303</v>
      </c>
      <c r="I316" s="22" t="s">
        <v>1908</v>
      </c>
      <c r="J316" s="323">
        <v>75.489999999999995</v>
      </c>
      <c r="K316" s="73">
        <v>29.09</v>
      </c>
      <c r="L316" s="323"/>
      <c r="N316" s="318">
        <f t="shared" si="121"/>
        <v>1356.58</v>
      </c>
      <c r="O316" s="81">
        <f>IFERROR(VLOOKUP($G316,'321買'!A:E,3,0),"'沒有資料'")</f>
        <v>0</v>
      </c>
      <c r="P316" s="380">
        <f>IFERROR(VLOOKUP($G316,'321買'!$A:$G,7,0),"'沒有資料'")</f>
        <v>911</v>
      </c>
      <c r="R316" s="297">
        <f>IFERROR(RANK(VLOOKUP($G316,連買!$A:$D,4,0),連買!$D:$D,0),"'沒有資料'")</f>
        <v>1252</v>
      </c>
      <c r="S316" s="34">
        <v>3</v>
      </c>
      <c r="U316" s="95">
        <f t="shared" si="120"/>
        <v>7.8534031413612565E-2</v>
      </c>
      <c r="V316" s="36">
        <v>38.200000000000003</v>
      </c>
      <c r="W316" s="66">
        <v>35</v>
      </c>
      <c r="X316" s="15">
        <f t="shared" si="122"/>
        <v>3.2000000000000028</v>
      </c>
      <c r="Y316" s="63">
        <f t="shared" si="123"/>
        <v>9.1428571428571512E-2</v>
      </c>
      <c r="Z316" s="100" t="s">
        <v>1951</v>
      </c>
      <c r="AA316" s="126"/>
      <c r="AD316" s="22" t="s">
        <v>1908</v>
      </c>
      <c r="AE316" s="84">
        <v>43899</v>
      </c>
      <c r="AF316" s="86">
        <v>43930</v>
      </c>
      <c r="AG316" s="33">
        <f t="shared" si="115"/>
        <v>31</v>
      </c>
      <c r="AH316" s="122" t="s">
        <v>1952</v>
      </c>
      <c r="AI316" s="280"/>
      <c r="AK316" s="264"/>
      <c r="AL316" s="264"/>
    </row>
    <row r="317" spans="1:42">
      <c r="A317" s="146" t="s">
        <v>1511</v>
      </c>
      <c r="B317" s="79">
        <v>78</v>
      </c>
      <c r="C317" s="93">
        <v>1305</v>
      </c>
      <c r="D317" s="80">
        <v>-20</v>
      </c>
      <c r="E317" s="80">
        <v>-39</v>
      </c>
      <c r="F317" s="6">
        <v>1.07</v>
      </c>
      <c r="G317" s="80">
        <v>2743</v>
      </c>
      <c r="H317" s="54" t="s">
        <v>305</v>
      </c>
      <c r="I317" s="16" t="s">
        <v>1906</v>
      </c>
      <c r="J317" s="73">
        <v>69.28</v>
      </c>
      <c r="K317" s="73">
        <v>1.87</v>
      </c>
      <c r="L317" s="323"/>
      <c r="N317" s="318">
        <f t="shared" si="121"/>
        <v>944.15</v>
      </c>
      <c r="O317" s="81">
        <f>IFERROR(VLOOKUP($G317,'321買'!A:E,3,0),"'沒有資料'")</f>
        <v>13</v>
      </c>
      <c r="P317" s="380">
        <f>IFERROR(VLOOKUP($G317,'321買'!$A:$G,7,0),"'沒有資料'")</f>
        <v>368</v>
      </c>
      <c r="R317" s="297">
        <f>IFERROR(RANK(VLOOKUP($G317,連買!$A:$D,4,0),連買!$D:$D,0),"'沒有資料'")</f>
        <v>873</v>
      </c>
      <c r="S317" s="34">
        <v>0.8</v>
      </c>
      <c r="U317" s="57">
        <f t="shared" si="120"/>
        <v>6.5306122448979598E-2</v>
      </c>
      <c r="V317" s="36">
        <v>12.25</v>
      </c>
      <c r="W317" s="66">
        <v>12.5</v>
      </c>
      <c r="X317" s="15">
        <f t="shared" si="122"/>
        <v>-0.25</v>
      </c>
      <c r="Y317" s="76">
        <f t="shared" si="123"/>
        <v>-0.02</v>
      </c>
      <c r="Z317" s="100" t="s">
        <v>1717</v>
      </c>
      <c r="AA317" s="126"/>
      <c r="AD317" s="16" t="s">
        <v>1906</v>
      </c>
      <c r="AE317" s="84">
        <v>43899</v>
      </c>
      <c r="AF317" s="86">
        <v>43930</v>
      </c>
      <c r="AG317" s="33">
        <f t="shared" si="115"/>
        <v>31</v>
      </c>
      <c r="AH317" s="43" t="s">
        <v>1555</v>
      </c>
      <c r="AI317" s="280"/>
      <c r="AK317" s="264"/>
      <c r="AL317" s="264"/>
    </row>
    <row r="318" spans="1:42">
      <c r="A318" s="146" t="s">
        <v>1960</v>
      </c>
      <c r="B318" s="80">
        <v>-30</v>
      </c>
      <c r="C318" s="80">
        <v>-35</v>
      </c>
      <c r="D318" s="79">
        <v>77</v>
      </c>
      <c r="E318" s="80">
        <v>-4</v>
      </c>
      <c r="F318" s="6">
        <v>4.5599999999999996</v>
      </c>
      <c r="G318" s="80">
        <v>3597</v>
      </c>
      <c r="H318" s="54" t="s">
        <v>331</v>
      </c>
      <c r="I318" s="16" t="s">
        <v>1907</v>
      </c>
      <c r="J318" s="73">
        <v>81.849999999999994</v>
      </c>
      <c r="K318" s="73">
        <v>0.03</v>
      </c>
      <c r="L318" s="323"/>
      <c r="N318" s="318">
        <f t="shared" si="121"/>
        <v>883.88</v>
      </c>
      <c r="O318" s="81">
        <f>IFERROR(VLOOKUP($G318,'321買'!A:E,3,0),"'沒有資料'")</f>
        <v>2</v>
      </c>
      <c r="P318" s="380">
        <f>IFERROR(VLOOKUP($G318,'321買'!$A:$G,7,0),"'沒有資料'")</f>
        <v>706</v>
      </c>
      <c r="R318" s="297">
        <f>IFERROR(RANK(VLOOKUP($G318,連買!$A:$D,4,0),連買!$D:$D,0),"'沒有資料'")</f>
        <v>802</v>
      </c>
      <c r="S318" s="34">
        <v>0.85</v>
      </c>
      <c r="U318" s="57">
        <f t="shared" si="120"/>
        <v>5.4838709677419356E-2</v>
      </c>
      <c r="V318" s="36">
        <v>15.5</v>
      </c>
      <c r="W318" s="66">
        <v>15.5</v>
      </c>
      <c r="X318" s="15">
        <f t="shared" si="122"/>
        <v>0</v>
      </c>
      <c r="Y318" s="63">
        <f t="shared" si="123"/>
        <v>0</v>
      </c>
      <c r="Z318" s="100" t="s">
        <v>1817</v>
      </c>
      <c r="AA318" s="126"/>
      <c r="AD318" s="16" t="s">
        <v>1907</v>
      </c>
      <c r="AE318" s="84">
        <v>43899</v>
      </c>
      <c r="AF318" s="86">
        <v>43930</v>
      </c>
      <c r="AG318" s="33">
        <f t="shared" si="115"/>
        <v>31</v>
      </c>
      <c r="AH318" s="43" t="s">
        <v>1991</v>
      </c>
      <c r="AI318" s="280"/>
      <c r="AK318" s="264"/>
      <c r="AL318" s="264"/>
    </row>
    <row r="319" spans="1:42">
      <c r="A319" s="146" t="s">
        <v>1895</v>
      </c>
      <c r="B319" s="79">
        <v>312</v>
      </c>
      <c r="C319" s="79">
        <v>523</v>
      </c>
      <c r="D319" s="80">
        <v>-50</v>
      </c>
      <c r="E319" s="80">
        <v>-25</v>
      </c>
      <c r="F319" s="6">
        <v>4.8499999999999996</v>
      </c>
      <c r="G319" s="80">
        <v>3483</v>
      </c>
      <c r="H319" s="54" t="s">
        <v>1152</v>
      </c>
      <c r="I319" s="16" t="s">
        <v>6532</v>
      </c>
      <c r="J319" s="323">
        <v>27.2</v>
      </c>
      <c r="K319" s="73">
        <v>4.63</v>
      </c>
      <c r="L319" s="323">
        <v>54.44</v>
      </c>
      <c r="N319" s="318">
        <f t="shared" si="121"/>
        <v>182.26999999999998</v>
      </c>
      <c r="O319" s="81">
        <f>IFERROR(VLOOKUP($G319,'321買'!A:E,3,0),"'沒有資料'")</f>
        <v>35</v>
      </c>
      <c r="P319" s="380">
        <f>IFERROR(VLOOKUP($G319,'321買'!$A:$G,7,0),"'沒有資料'")</f>
        <v>100</v>
      </c>
      <c r="R319" s="297">
        <f>IFERROR(RANK(VLOOKUP($G319,連買!$A:$D,4,0),連買!$D:$D,0),"'沒有資料'")</f>
        <v>96</v>
      </c>
      <c r="S319" s="34">
        <v>1.5</v>
      </c>
      <c r="U319" s="95">
        <f t="shared" si="120"/>
        <v>3.1914893617021274E-2</v>
      </c>
      <c r="V319" s="36">
        <v>47</v>
      </c>
      <c r="W319" s="45">
        <v>40</v>
      </c>
      <c r="X319" s="15">
        <f t="shared" si="122"/>
        <v>7</v>
      </c>
      <c r="Y319" s="63">
        <f t="shared" si="123"/>
        <v>0.17499999999999999</v>
      </c>
      <c r="Z319" s="100" t="s">
        <v>1130</v>
      </c>
      <c r="AA319" s="126"/>
      <c r="AD319" s="16" t="s">
        <v>474</v>
      </c>
      <c r="AE319" s="84">
        <v>43895</v>
      </c>
      <c r="AF319" s="86">
        <v>43927</v>
      </c>
      <c r="AG319" s="33">
        <f t="shared" si="115"/>
        <v>32</v>
      </c>
      <c r="AH319" s="43" t="s">
        <v>1519</v>
      </c>
      <c r="AI319" s="280"/>
      <c r="AK319" s="264"/>
      <c r="AL319" s="264"/>
    </row>
    <row r="320" spans="1:42">
      <c r="A320" s="130" t="s">
        <v>1892</v>
      </c>
      <c r="B320" s="80">
        <v>-25</v>
      </c>
      <c r="C320" s="79">
        <v>161</v>
      </c>
      <c r="D320" s="80">
        <v>-11</v>
      </c>
      <c r="E320" s="79">
        <v>23</v>
      </c>
      <c r="F320" s="57">
        <v>25.92</v>
      </c>
      <c r="G320" s="80">
        <v>6472</v>
      </c>
      <c r="H320" s="4" t="s">
        <v>5070</v>
      </c>
      <c r="I320" s="16" t="s">
        <v>622</v>
      </c>
      <c r="J320" s="73">
        <v>54.13</v>
      </c>
      <c r="K320" s="323">
        <v>8.7200000000000006</v>
      </c>
      <c r="L320" s="323"/>
      <c r="N320" s="318">
        <f t="shared" si="121"/>
        <v>110.85</v>
      </c>
      <c r="O320" s="81">
        <f>IFERROR(VLOOKUP($G320,'321買'!A:E,3,0),"'沒有資料'")</f>
        <v>7</v>
      </c>
      <c r="P320" s="380">
        <f>IFERROR(VLOOKUP($G320,'321買'!$A:$G,7,0),"'沒有資料'")</f>
        <v>499</v>
      </c>
      <c r="R320" s="297">
        <f>IFERROR(RANK(VLOOKUP($G320,連買!$A:$D,4,0),連買!$D:$D,0),"'沒有資料'")</f>
        <v>48</v>
      </c>
      <c r="S320" s="34">
        <v>6</v>
      </c>
      <c r="U320" s="95">
        <f t="shared" si="120"/>
        <v>5.5555555555555552E-2</v>
      </c>
      <c r="V320" s="36">
        <v>108</v>
      </c>
      <c r="W320" s="66">
        <v>120</v>
      </c>
      <c r="X320" s="15">
        <f t="shared" si="122"/>
        <v>-12</v>
      </c>
      <c r="Y320" s="76">
        <f t="shared" si="123"/>
        <v>-0.1</v>
      </c>
      <c r="Z320" s="100" t="s">
        <v>1903</v>
      </c>
      <c r="AA320" s="126"/>
      <c r="AD320" s="16" t="s">
        <v>622</v>
      </c>
      <c r="AE320" s="84">
        <v>43880</v>
      </c>
      <c r="AF320" s="86">
        <v>43909</v>
      </c>
      <c r="AG320" s="33">
        <f t="shared" si="115"/>
        <v>29</v>
      </c>
      <c r="AH320" s="43" t="s">
        <v>1528</v>
      </c>
      <c r="AI320" s="280"/>
      <c r="AK320" s="264"/>
      <c r="AL320" s="264"/>
    </row>
    <row r="321" spans="1:38" ht="17.25" customHeight="1">
      <c r="A321" s="146" t="s">
        <v>1893</v>
      </c>
      <c r="B321" s="80">
        <v>-280</v>
      </c>
      <c r="C321" s="80">
        <v>-161</v>
      </c>
      <c r="D321" s="80">
        <v>-53</v>
      </c>
      <c r="E321" s="80">
        <v>-47</v>
      </c>
      <c r="F321" s="6">
        <v>-8.25</v>
      </c>
      <c r="G321" s="80">
        <v>5324</v>
      </c>
      <c r="H321" s="4" t="s">
        <v>4327</v>
      </c>
      <c r="I321" s="16" t="s">
        <v>891</v>
      </c>
      <c r="J321" s="73">
        <v>67.95</v>
      </c>
      <c r="K321" s="73">
        <v>9.1199999999999992</v>
      </c>
      <c r="L321" s="323"/>
      <c r="N321" s="318">
        <f t="shared" si="121"/>
        <v>1434.07</v>
      </c>
      <c r="O321" s="81" t="str">
        <f>IFERROR(VLOOKUP($G321,'321買'!A:E,3,0),"'沒有資料'")</f>
        <v>'沒有資料'</v>
      </c>
      <c r="P321" s="380" t="str">
        <f>IFERROR(VLOOKUP($G321,'321買'!$A:$G,7,0),"'沒有資料'")</f>
        <v>'沒有資料'</v>
      </c>
      <c r="R321" s="297">
        <f>IFERROR(RANK(VLOOKUP($G321,連買!$A:$D,4,0),連買!$D:$D,0),"'沒有資料'")</f>
        <v>1357</v>
      </c>
      <c r="S321" s="34">
        <v>0</v>
      </c>
      <c r="U321" s="95">
        <f t="shared" si="120"/>
        <v>0</v>
      </c>
      <c r="V321" s="36">
        <v>7.35</v>
      </c>
      <c r="W321" s="66">
        <v>9.5</v>
      </c>
      <c r="X321" s="15">
        <f t="shared" si="122"/>
        <v>-2.1500000000000004</v>
      </c>
      <c r="Y321" s="76">
        <f t="shared" si="123"/>
        <v>-0.22631578947368425</v>
      </c>
      <c r="Z321" s="101" t="s">
        <v>2004</v>
      </c>
      <c r="AA321" s="126"/>
      <c r="AD321" s="16" t="s">
        <v>891</v>
      </c>
      <c r="AE321" s="84">
        <v>43875</v>
      </c>
      <c r="AF321" s="86">
        <v>43906</v>
      </c>
      <c r="AG321" s="33">
        <f t="shared" si="115"/>
        <v>31</v>
      </c>
      <c r="AH321" s="43" t="s">
        <v>1554</v>
      </c>
      <c r="AI321" s="280"/>
      <c r="AK321" s="264"/>
      <c r="AL321" s="264"/>
    </row>
    <row r="322" spans="1:38">
      <c r="A322" s="146" t="s">
        <v>1763</v>
      </c>
      <c r="B322" s="80">
        <v>-64</v>
      </c>
      <c r="C322" s="80">
        <v>-64</v>
      </c>
      <c r="D322" s="80">
        <v>-15</v>
      </c>
      <c r="E322" s="80">
        <v>-40</v>
      </c>
      <c r="F322" s="6">
        <v>3.19</v>
      </c>
      <c r="G322" s="80">
        <v>6438</v>
      </c>
      <c r="H322" s="4" t="s">
        <v>316</v>
      </c>
      <c r="I322" s="16" t="s">
        <v>5024</v>
      </c>
      <c r="J322" s="323">
        <v>39.4</v>
      </c>
      <c r="K322" s="323">
        <v>16.22</v>
      </c>
      <c r="L322" s="73">
        <v>45.07</v>
      </c>
      <c r="N322" s="318">
        <f t="shared" si="121"/>
        <v>233.69</v>
      </c>
      <c r="O322" s="81">
        <f>IFERROR(VLOOKUP($G322,'321買'!A:E,3,0),"'沒有資料'")</f>
        <v>44</v>
      </c>
      <c r="P322" s="380">
        <f>IFERROR(VLOOKUP($G322,'321買'!$A:$G,7,0),"'沒有資料'")</f>
        <v>98</v>
      </c>
      <c r="R322" s="297">
        <f>IFERROR(RANK(VLOOKUP($G322,連買!$A:$D,4,0),連買!$D:$D,0),"'沒有資料'")</f>
        <v>133</v>
      </c>
      <c r="S322" s="34">
        <v>2.8</v>
      </c>
      <c r="U322" s="95">
        <f t="shared" si="120"/>
        <v>6.0606060606060601E-2</v>
      </c>
      <c r="V322" s="36">
        <v>46.2</v>
      </c>
      <c r="W322" s="45">
        <v>68</v>
      </c>
      <c r="X322" s="15">
        <f t="shared" si="122"/>
        <v>-21.799999999999997</v>
      </c>
      <c r="Y322" s="76">
        <f t="shared" si="123"/>
        <v>-0.32058823529411762</v>
      </c>
      <c r="Z322" s="100" t="s">
        <v>1902</v>
      </c>
      <c r="AA322" s="126"/>
      <c r="AD322" s="16" t="s">
        <v>486</v>
      </c>
      <c r="AE322" s="84">
        <v>43874</v>
      </c>
      <c r="AF322" s="86">
        <v>43903</v>
      </c>
      <c r="AG322" s="33">
        <f t="shared" ref="AG322:AG330" si="124">AF322-AE322</f>
        <v>29</v>
      </c>
      <c r="AH322" s="43" t="s">
        <v>1521</v>
      </c>
      <c r="AI322" s="280"/>
      <c r="AK322" s="264"/>
      <c r="AL322" s="264"/>
    </row>
    <row r="323" spans="1:38">
      <c r="A323" s="146" t="s">
        <v>1715</v>
      </c>
      <c r="B323" s="80">
        <v>-36</v>
      </c>
      <c r="C323" s="80">
        <v>-36</v>
      </c>
      <c r="D323" s="80"/>
      <c r="E323" s="80"/>
      <c r="F323" s="47">
        <v>-6521</v>
      </c>
      <c r="G323" s="81">
        <v>6547</v>
      </c>
      <c r="H323" s="4" t="s">
        <v>5070</v>
      </c>
      <c r="I323" s="16" t="s">
        <v>1094</v>
      </c>
      <c r="J323" s="323">
        <v>50.78</v>
      </c>
      <c r="K323" s="73">
        <v>0.49</v>
      </c>
      <c r="L323" s="323"/>
      <c r="N323" s="318">
        <f t="shared" si="121"/>
        <v>78.27</v>
      </c>
      <c r="O323" s="81" t="str">
        <f>IFERROR(VLOOKUP($G323,'321買'!A:E,3,0),"'沒有資料'")</f>
        <v>'沒有資料'</v>
      </c>
      <c r="P323" s="380" t="str">
        <f>IFERROR(VLOOKUP($G323,'321買'!$A:$G,7,0),"'沒有資料'")</f>
        <v>'沒有資料'</v>
      </c>
      <c r="R323" s="297">
        <f>IFERROR(RANK(VLOOKUP($G323,連買!$A:$D,4,0),連買!$D:$D,0),"'沒有資料'")</f>
        <v>27</v>
      </c>
      <c r="S323" s="34">
        <v>0</v>
      </c>
      <c r="U323" s="57">
        <f t="shared" si="120"/>
        <v>0</v>
      </c>
      <c r="V323" s="36">
        <v>52.7</v>
      </c>
      <c r="W323" s="66">
        <v>26</v>
      </c>
      <c r="X323" s="15">
        <f t="shared" si="122"/>
        <v>26.700000000000003</v>
      </c>
      <c r="Y323" s="174">
        <f t="shared" si="123"/>
        <v>1.026923076923077</v>
      </c>
      <c r="Z323" s="100" t="s">
        <v>1948</v>
      </c>
      <c r="AA323" s="126"/>
      <c r="AD323" s="16" t="s">
        <v>1094</v>
      </c>
      <c r="AE323" s="84">
        <v>43865</v>
      </c>
      <c r="AF323" s="86">
        <v>43894</v>
      </c>
      <c r="AG323" s="33">
        <f t="shared" si="124"/>
        <v>29</v>
      </c>
      <c r="AH323" s="43" t="s">
        <v>2012</v>
      </c>
      <c r="AI323" s="280"/>
      <c r="AK323" s="264"/>
      <c r="AL323" s="264"/>
    </row>
    <row r="324" spans="1:38">
      <c r="A324" s="146" t="s">
        <v>1781</v>
      </c>
      <c r="B324" s="79">
        <v>13</v>
      </c>
      <c r="C324" s="79">
        <v>6</v>
      </c>
      <c r="D324" s="80">
        <v>-3</v>
      </c>
      <c r="E324" s="80">
        <v>-5</v>
      </c>
      <c r="F324" s="6">
        <v>7.65</v>
      </c>
      <c r="G324" s="81">
        <v>4104</v>
      </c>
      <c r="H324" s="52" t="s">
        <v>5070</v>
      </c>
      <c r="I324" s="22" t="s">
        <v>631</v>
      </c>
      <c r="J324" s="323">
        <v>47.62</v>
      </c>
      <c r="K324" s="323">
        <v>6.86</v>
      </c>
      <c r="L324" s="323">
        <v>1.94</v>
      </c>
      <c r="N324" s="318">
        <f t="shared" si="121"/>
        <v>258.42</v>
      </c>
      <c r="O324" s="81">
        <f>IFERROR(VLOOKUP($G324,'321買'!A:E,3,0),"'沒有資料'")</f>
        <v>0</v>
      </c>
      <c r="P324" s="380">
        <f>IFERROR(VLOOKUP($G324,'321買'!$A:$G,7,0),"'沒有資料'")</f>
        <v>911</v>
      </c>
      <c r="R324" s="297">
        <f>IFERROR(RANK(VLOOKUP($G324,連買!$A:$D,4,0),連買!$D:$D,0),"'沒有資料'")</f>
        <v>202</v>
      </c>
      <c r="S324" s="34">
        <v>3</v>
      </c>
      <c r="U324" s="95">
        <f t="shared" si="120"/>
        <v>5.6179775280898875E-2</v>
      </c>
      <c r="V324" s="36">
        <v>53.4</v>
      </c>
      <c r="W324" s="66">
        <v>45</v>
      </c>
      <c r="X324" s="15">
        <f t="shared" si="122"/>
        <v>8.3999999999999986</v>
      </c>
      <c r="Y324" s="63">
        <f t="shared" si="123"/>
        <v>0.18666666666666665</v>
      </c>
      <c r="Z324" s="100" t="s">
        <v>1901</v>
      </c>
      <c r="AA324" s="126"/>
      <c r="AD324" s="22" t="s">
        <v>631</v>
      </c>
      <c r="AE324" s="84">
        <v>43850</v>
      </c>
      <c r="AF324" s="86">
        <v>43881</v>
      </c>
      <c r="AG324" s="33">
        <f t="shared" si="124"/>
        <v>31</v>
      </c>
      <c r="AH324" s="43" t="s">
        <v>1524</v>
      </c>
      <c r="AI324" s="280"/>
      <c r="AK324" s="264"/>
      <c r="AL324" s="264"/>
    </row>
    <row r="325" spans="1:38" ht="17.25" customHeight="1">
      <c r="A325" s="130" t="s">
        <v>1773</v>
      </c>
      <c r="B325" s="79">
        <v>63</v>
      </c>
      <c r="C325" s="79">
        <v>90</v>
      </c>
      <c r="D325" s="80">
        <v>-13</v>
      </c>
      <c r="E325" s="80">
        <v>-1</v>
      </c>
      <c r="F325" s="57">
        <v>27.51</v>
      </c>
      <c r="G325" s="79">
        <v>5278</v>
      </c>
      <c r="H325" s="4" t="s">
        <v>332</v>
      </c>
      <c r="I325" s="16" t="s">
        <v>1040</v>
      </c>
      <c r="J325" s="323">
        <v>44.5</v>
      </c>
      <c r="K325" s="73">
        <v>43.15</v>
      </c>
      <c r="L325" s="323"/>
      <c r="N325" s="318">
        <f t="shared" si="121"/>
        <v>302.64999999999998</v>
      </c>
      <c r="O325" s="81" t="str">
        <f>IFERROR(VLOOKUP($G325,'321買'!A:E,3,0),"'沒有資料'")</f>
        <v>'沒有資料'</v>
      </c>
      <c r="P325" s="380" t="str">
        <f>IFERROR(VLOOKUP($G325,'321買'!$A:$G,7,0),"'沒有資料'")</f>
        <v>'沒有資料'</v>
      </c>
      <c r="R325" s="297">
        <f>IFERROR(RANK(VLOOKUP($G325,連買!$A:$D,4,0),連買!$D:$D,0),"'沒有資料'")</f>
        <v>215</v>
      </c>
      <c r="S325" s="34">
        <v>5</v>
      </c>
      <c r="U325" s="57">
        <f t="shared" si="120"/>
        <v>3.2258064516129031E-2</v>
      </c>
      <c r="V325" s="13">
        <v>155</v>
      </c>
      <c r="W325" s="66">
        <v>106</v>
      </c>
      <c r="X325" s="15">
        <f t="shared" si="122"/>
        <v>49</v>
      </c>
      <c r="Y325" s="63">
        <f t="shared" si="123"/>
        <v>0.46226415094339623</v>
      </c>
      <c r="Z325" s="100" t="s">
        <v>1900</v>
      </c>
      <c r="AA325" s="126"/>
      <c r="AD325" s="16" t="s">
        <v>1040</v>
      </c>
      <c r="AE325" s="84">
        <v>43850</v>
      </c>
      <c r="AF325" s="86">
        <v>43881</v>
      </c>
      <c r="AG325" s="33">
        <f t="shared" si="124"/>
        <v>31</v>
      </c>
      <c r="AH325" s="43" t="s">
        <v>1558</v>
      </c>
      <c r="AI325" s="280"/>
      <c r="AK325" s="264"/>
      <c r="AL325" s="264"/>
    </row>
    <row r="326" spans="1:38">
      <c r="A326" s="146" t="s">
        <v>1873</v>
      </c>
      <c r="B326" s="93">
        <v>3719</v>
      </c>
      <c r="C326" s="79">
        <v>367</v>
      </c>
      <c r="D326" s="80">
        <v>-25</v>
      </c>
      <c r="E326" s="80">
        <v>-41</v>
      </c>
      <c r="F326" s="6">
        <v>3.87</v>
      </c>
      <c r="G326" s="79">
        <v>1598</v>
      </c>
      <c r="H326" s="52" t="s">
        <v>5070</v>
      </c>
      <c r="I326" s="22" t="s">
        <v>3980</v>
      </c>
      <c r="J326" s="73">
        <v>77.87</v>
      </c>
      <c r="K326" s="323">
        <v>0.78</v>
      </c>
      <c r="L326" s="73">
        <v>49.99</v>
      </c>
      <c r="N326" s="318">
        <f t="shared" si="121"/>
        <v>1864.64</v>
      </c>
      <c r="O326" s="81">
        <f>IFERROR(VLOOKUP($G326,'321買'!A:E,3,0),"'沒有資料'")</f>
        <v>4</v>
      </c>
      <c r="P326" s="380">
        <f>IFERROR(VLOOKUP($G326,'321買'!$A:$G,7,0),"'沒有資料'")</f>
        <v>592</v>
      </c>
      <c r="R326" s="297">
        <f>IFERROR(RANK(VLOOKUP($G326,連買!$A:$D,4,0),連買!$D:$D,0),"'沒有資料'")</f>
        <v>1736</v>
      </c>
      <c r="S326" s="34">
        <v>0.7</v>
      </c>
      <c r="U326" s="95">
        <f t="shared" si="120"/>
        <v>1.8494055482166444E-2</v>
      </c>
      <c r="V326" s="13">
        <v>37.85</v>
      </c>
      <c r="W326" s="45">
        <v>39</v>
      </c>
      <c r="X326" s="15">
        <f t="shared" si="122"/>
        <v>-1.1499999999999986</v>
      </c>
      <c r="Y326" s="76">
        <f t="shared" si="123"/>
        <v>-2.9487179487179452E-2</v>
      </c>
      <c r="Z326" s="101" t="s">
        <v>1962</v>
      </c>
      <c r="AA326" s="126"/>
      <c r="AD326" s="22" t="s">
        <v>629</v>
      </c>
      <c r="AE326" s="84">
        <v>43846</v>
      </c>
      <c r="AF326" s="86">
        <v>43878</v>
      </c>
      <c r="AG326" s="33">
        <f t="shared" si="124"/>
        <v>32</v>
      </c>
      <c r="AH326" s="43" t="s">
        <v>1874</v>
      </c>
      <c r="AI326" s="280"/>
      <c r="AK326" s="264"/>
      <c r="AL326" s="264"/>
    </row>
    <row r="327" spans="1:38" ht="17.25" customHeight="1">
      <c r="A327" s="146" t="s">
        <v>1563</v>
      </c>
      <c r="B327" s="79">
        <v>50</v>
      </c>
      <c r="C327" s="79">
        <v>68</v>
      </c>
      <c r="D327" s="80">
        <v>-17</v>
      </c>
      <c r="E327" s="79">
        <v>10</v>
      </c>
      <c r="F327" s="6">
        <v>4.5199999999999996</v>
      </c>
      <c r="G327" s="81">
        <v>2643</v>
      </c>
      <c r="H327" s="4" t="s">
        <v>304</v>
      </c>
      <c r="I327" s="16" t="s">
        <v>6554</v>
      </c>
      <c r="J327" s="73">
        <v>67.03</v>
      </c>
      <c r="K327" s="73">
        <v>0.75</v>
      </c>
      <c r="L327" s="323"/>
      <c r="N327" s="318">
        <f t="shared" si="121"/>
        <v>1747.78</v>
      </c>
      <c r="O327" s="81">
        <f>IFERROR(VLOOKUP($G327,'321買'!A:E,3,0),"'沒有資料'")</f>
        <v>19</v>
      </c>
      <c r="P327" s="380">
        <f>IFERROR(VLOOKUP($G327,'321買'!$A:$G,7,0),"'沒有資料'")</f>
        <v>241</v>
      </c>
      <c r="R327" s="297">
        <f>IFERROR(RANK(VLOOKUP($G327,連買!$A:$D,4,0),連買!$D:$D,0),"'沒有資料'")</f>
        <v>1680</v>
      </c>
      <c r="S327" s="34">
        <v>2</v>
      </c>
      <c r="U327" s="57">
        <f>S327/V327</f>
        <v>5.3475935828877004E-2</v>
      </c>
      <c r="V327" s="36">
        <v>37.4</v>
      </c>
      <c r="W327" s="66">
        <v>35</v>
      </c>
      <c r="X327" s="15">
        <f t="shared" si="122"/>
        <v>2.3999999999999986</v>
      </c>
      <c r="Y327" s="63">
        <f t="shared" si="123"/>
        <v>6.8571428571428533E-2</v>
      </c>
      <c r="Z327" s="100" t="s">
        <v>1899</v>
      </c>
      <c r="AA327" s="126"/>
      <c r="AD327" s="16" t="s">
        <v>866</v>
      </c>
      <c r="AE327" s="84">
        <v>43846</v>
      </c>
      <c r="AF327" s="86">
        <v>43878</v>
      </c>
      <c r="AG327" s="33">
        <f t="shared" si="124"/>
        <v>32</v>
      </c>
      <c r="AH327" s="43" t="s">
        <v>1544</v>
      </c>
      <c r="AI327" s="280"/>
      <c r="AK327" s="264"/>
      <c r="AL327" s="264"/>
    </row>
    <row r="328" spans="1:38">
      <c r="A328" s="146" t="s">
        <v>1878</v>
      </c>
      <c r="B328" s="79">
        <v>5</v>
      </c>
      <c r="C328" s="79">
        <v>3</v>
      </c>
      <c r="D328" s="79">
        <v>32</v>
      </c>
      <c r="E328" s="80">
        <v>69</v>
      </c>
      <c r="F328" s="110">
        <v>-4580</v>
      </c>
      <c r="G328" s="79">
        <v>4168</v>
      </c>
      <c r="H328" s="52" t="s">
        <v>5070</v>
      </c>
      <c r="I328" s="16" t="s">
        <v>616</v>
      </c>
      <c r="J328" s="73">
        <v>35.770000000000003</v>
      </c>
      <c r="K328" s="73">
        <v>6.47</v>
      </c>
      <c r="L328" s="323"/>
      <c r="N328" s="318">
        <f t="shared" si="121"/>
        <v>639.24</v>
      </c>
      <c r="O328" s="81">
        <f>IFERROR(VLOOKUP($G328,'321買'!A:E,3,0),"'沒有資料'")</f>
        <v>3</v>
      </c>
      <c r="P328" s="380">
        <f>IFERROR(VLOOKUP($G328,'321買'!$A:$G,7,0),"'沒有資料'")</f>
        <v>636</v>
      </c>
      <c r="R328" s="297">
        <f>IFERROR(RANK(VLOOKUP($G328,連買!$A:$D,4,0),連買!$D:$D,0),"'沒有資料'")</f>
        <v>597</v>
      </c>
      <c r="S328" s="34">
        <v>0</v>
      </c>
      <c r="U328" s="95">
        <f>S328/V328</f>
        <v>0</v>
      </c>
      <c r="V328" s="36">
        <v>19.600000000000001</v>
      </c>
      <c r="W328" s="66">
        <v>20</v>
      </c>
      <c r="X328" s="15">
        <f t="shared" si="122"/>
        <v>-0.39999999999999858</v>
      </c>
      <c r="Y328" s="76">
        <f t="shared" si="123"/>
        <v>-1.9999999999999928E-2</v>
      </c>
      <c r="Z328" s="101" t="s">
        <v>1898</v>
      </c>
      <c r="AA328" s="126"/>
      <c r="AD328" s="16" t="s">
        <v>616</v>
      </c>
      <c r="AE328" s="84">
        <v>43846</v>
      </c>
      <c r="AF328" s="86">
        <v>43878</v>
      </c>
      <c r="AG328" s="33">
        <f t="shared" si="124"/>
        <v>32</v>
      </c>
      <c r="AH328" s="43" t="s">
        <v>1453</v>
      </c>
      <c r="AI328" s="280"/>
      <c r="AK328" s="264"/>
      <c r="AL328" s="264"/>
    </row>
    <row r="329" spans="1:38">
      <c r="A329" s="146" t="s">
        <v>1702</v>
      </c>
      <c r="B329" s="79">
        <v>248</v>
      </c>
      <c r="C329" s="79">
        <v>276</v>
      </c>
      <c r="D329" s="79">
        <v>7</v>
      </c>
      <c r="E329" s="79">
        <v>16</v>
      </c>
      <c r="F329" s="6">
        <v>9.15</v>
      </c>
      <c r="G329" s="81">
        <v>3680</v>
      </c>
      <c r="H329" s="54" t="s">
        <v>3254</v>
      </c>
      <c r="I329" s="16" t="s">
        <v>368</v>
      </c>
      <c r="J329" s="323">
        <v>59.01</v>
      </c>
      <c r="K329" s="323">
        <v>5.21</v>
      </c>
      <c r="L329" s="323">
        <v>18.37</v>
      </c>
      <c r="N329" s="318">
        <f t="shared" si="121"/>
        <v>334.59</v>
      </c>
      <c r="O329" s="81">
        <f>IFERROR(VLOOKUP($G329,'321買'!A:E,3,0),"'沒有資料'")</f>
        <v>12</v>
      </c>
      <c r="P329" s="380">
        <f>IFERROR(VLOOKUP($G329,'321買'!$A:$G,7,0),"'沒有資料'")</f>
        <v>348</v>
      </c>
      <c r="R329" s="297">
        <f>IFERROR(RANK(VLOOKUP($G329,連買!$A:$D,4,0),連買!$D:$D,0),"'沒有資料'")</f>
        <v>252</v>
      </c>
      <c r="S329" s="34">
        <v>0.25</v>
      </c>
      <c r="U329" s="95">
        <f>S329/V329</f>
        <v>1.4792899408284023E-3</v>
      </c>
      <c r="V329" s="36">
        <v>169</v>
      </c>
      <c r="W329" s="66">
        <v>110</v>
      </c>
      <c r="X329" s="15">
        <f t="shared" si="122"/>
        <v>59</v>
      </c>
      <c r="Y329" s="63">
        <f t="shared" si="123"/>
        <v>0.53636363636363638</v>
      </c>
      <c r="Z329" s="100" t="s">
        <v>1897</v>
      </c>
      <c r="AA329" s="126"/>
      <c r="AD329" s="16" t="s">
        <v>368</v>
      </c>
      <c r="AE329" s="84">
        <v>43838</v>
      </c>
      <c r="AF329" s="86">
        <v>43871</v>
      </c>
      <c r="AG329" s="33">
        <f t="shared" si="124"/>
        <v>33</v>
      </c>
      <c r="AH329" s="43" t="s">
        <v>1805</v>
      </c>
      <c r="AI329" s="280"/>
      <c r="AK329" s="264"/>
      <c r="AL329" s="264"/>
    </row>
    <row r="330" spans="1:38">
      <c r="A330" s="130" t="s">
        <v>1865</v>
      </c>
      <c r="B330" s="79">
        <v>39</v>
      </c>
      <c r="C330" s="79">
        <v>28</v>
      </c>
      <c r="D330" s="80">
        <v>-4</v>
      </c>
      <c r="E330" s="79">
        <v>12</v>
      </c>
      <c r="F330" s="57">
        <v>16.62</v>
      </c>
      <c r="G330" s="79">
        <v>4580</v>
      </c>
      <c r="H330" s="4" t="s">
        <v>297</v>
      </c>
      <c r="I330" s="16" t="s">
        <v>1866</v>
      </c>
      <c r="J330" s="323">
        <v>60.62</v>
      </c>
      <c r="K330" s="73">
        <v>0.37</v>
      </c>
      <c r="L330" s="323"/>
      <c r="N330" s="318">
        <f t="shared" si="121"/>
        <v>181.99</v>
      </c>
      <c r="O330" s="81">
        <f>IFERROR(VLOOKUP($G330,'321買'!A:E,3,0),"'沒有資料'")</f>
        <v>0</v>
      </c>
      <c r="P330" s="380">
        <f>IFERROR(VLOOKUP($G330,'321買'!$A:$G,7,0),"'沒有資料'")</f>
        <v>911</v>
      </c>
      <c r="R330" s="297">
        <f>IFERROR(RANK(VLOOKUP($G330,連買!$A:$D,4,0),連買!$D:$D,0),"'沒有資料'")</f>
        <v>121</v>
      </c>
      <c r="S330" s="34">
        <v>3.2</v>
      </c>
      <c r="U330" s="95">
        <f>S330/V330</f>
        <v>3.2128514056224904E-2</v>
      </c>
      <c r="V330" s="36">
        <v>99.6</v>
      </c>
      <c r="W330" s="66">
        <v>78</v>
      </c>
      <c r="X330" s="15">
        <f t="shared" si="122"/>
        <v>21.599999999999994</v>
      </c>
      <c r="Y330" s="63">
        <f t="shared" si="123"/>
        <v>0.27692307692307683</v>
      </c>
      <c r="Z330" s="100" t="s">
        <v>1896</v>
      </c>
      <c r="AA330" s="126"/>
      <c r="AD330" s="16" t="s">
        <v>1866</v>
      </c>
      <c r="AE330" s="84">
        <v>43836</v>
      </c>
      <c r="AF330" s="86">
        <v>43867</v>
      </c>
      <c r="AG330" s="33">
        <f t="shared" si="124"/>
        <v>31</v>
      </c>
      <c r="AH330" s="122" t="s">
        <v>1867</v>
      </c>
      <c r="AI330" s="280"/>
      <c r="AK330" s="264"/>
      <c r="AL330" s="264"/>
    </row>
    <row r="331" spans="1:38">
      <c r="A331" s="146"/>
      <c r="B331" s="79"/>
      <c r="C331" s="93"/>
      <c r="D331" s="79"/>
      <c r="E331" s="93"/>
      <c r="F331" s="6"/>
      <c r="H331" s="53"/>
      <c r="I331" s="16"/>
      <c r="J331" s="73"/>
      <c r="K331" s="73"/>
      <c r="L331" s="323"/>
      <c r="N331" s="318"/>
      <c r="S331" s="34"/>
      <c r="U331" s="57"/>
      <c r="V331" s="36"/>
      <c r="W331" s="45"/>
      <c r="X331" s="15"/>
      <c r="Y331" s="76"/>
      <c r="Z331" s="101"/>
      <c r="AA331" s="126"/>
      <c r="AD331" s="16"/>
      <c r="AH331" s="33"/>
      <c r="AI331" s="266"/>
      <c r="AJ331" s="359"/>
      <c r="AK331" s="16"/>
    </row>
    <row r="332" spans="1:38">
      <c r="A332" s="146"/>
      <c r="B332" s="79"/>
      <c r="C332" s="79"/>
      <c r="D332" s="79"/>
      <c r="E332" s="79"/>
      <c r="F332" s="6"/>
      <c r="H332" s="4"/>
      <c r="I332" s="22"/>
      <c r="J332" s="73"/>
      <c r="K332" s="73"/>
      <c r="L332" s="323"/>
      <c r="N332" s="318"/>
      <c r="S332" s="34"/>
      <c r="U332" s="95"/>
      <c r="V332" s="36"/>
      <c r="W332" s="45"/>
      <c r="X332" s="15"/>
      <c r="Y332" s="63"/>
      <c r="Z332" s="100"/>
      <c r="AA332" s="126"/>
      <c r="AD332" s="22"/>
      <c r="AH332" s="33"/>
      <c r="AI332" s="266"/>
      <c r="AJ332" s="359"/>
      <c r="AK332" s="22"/>
    </row>
    <row r="333" spans="1:38" ht="17.25" customHeight="1">
      <c r="B333" s="79"/>
      <c r="C333" s="79"/>
      <c r="D333" s="79"/>
      <c r="E333" s="80"/>
      <c r="F333" s="57"/>
      <c r="H333" s="4"/>
      <c r="I333" s="22"/>
      <c r="J333" s="73"/>
      <c r="K333" s="73"/>
      <c r="N333" s="318"/>
      <c r="S333" s="34"/>
      <c r="U333" s="95"/>
      <c r="V333" s="36"/>
      <c r="W333" s="66"/>
      <c r="X333" s="15"/>
      <c r="Y333" s="76"/>
      <c r="Z333" s="101"/>
      <c r="AA333" s="126"/>
      <c r="AD333" s="22"/>
      <c r="AH333" s="33"/>
      <c r="AI333" s="266"/>
      <c r="AJ333" s="359"/>
      <c r="AK333" s="22"/>
    </row>
    <row r="334" spans="1:38" ht="17.25" customHeight="1">
      <c r="B334" s="79"/>
      <c r="C334" s="79"/>
      <c r="D334" s="79"/>
      <c r="E334" s="80"/>
      <c r="F334" s="57"/>
      <c r="H334" s="4"/>
      <c r="I334" s="22"/>
      <c r="J334" s="73"/>
      <c r="K334" s="73"/>
      <c r="N334" s="318"/>
      <c r="S334" s="34"/>
      <c r="U334" s="95"/>
      <c r="V334" s="36"/>
      <c r="W334" s="66"/>
      <c r="X334" s="15"/>
      <c r="Y334" s="76"/>
      <c r="Z334" s="101"/>
      <c r="AA334" s="126"/>
      <c r="AD334" s="22"/>
      <c r="AH334" s="33"/>
      <c r="AI334" s="266"/>
      <c r="AK334" s="22"/>
    </row>
    <row r="335" spans="1:38">
      <c r="A335" s="146"/>
      <c r="B335" s="80"/>
      <c r="C335" s="80"/>
      <c r="D335" s="80"/>
      <c r="E335" s="79"/>
      <c r="F335" s="6"/>
      <c r="H335" s="4"/>
      <c r="I335" s="16"/>
      <c r="J335" s="73"/>
      <c r="K335" s="323"/>
      <c r="N335" s="318"/>
      <c r="S335" s="34"/>
      <c r="U335" s="57"/>
      <c r="V335" s="13"/>
      <c r="W335" s="66"/>
      <c r="X335" s="15"/>
      <c r="Y335" s="63"/>
      <c r="Z335" s="100"/>
      <c r="AA335" s="126"/>
      <c r="AD335" s="16"/>
      <c r="AH335" s="33"/>
      <c r="AI335" s="266"/>
      <c r="AK335" s="16"/>
    </row>
    <row r="336" spans="1:38">
      <c r="A336" s="146"/>
      <c r="B336" s="79"/>
      <c r="C336" s="79"/>
      <c r="D336" s="80"/>
      <c r="E336" s="79"/>
      <c r="F336" s="6"/>
      <c r="H336" s="54"/>
      <c r="I336" s="16"/>
      <c r="J336" s="73"/>
      <c r="K336" s="73"/>
      <c r="N336" s="318"/>
      <c r="S336" s="34"/>
      <c r="U336" s="95"/>
      <c r="V336" s="36"/>
      <c r="W336" s="66"/>
      <c r="X336" s="15"/>
      <c r="Y336" s="63"/>
      <c r="Z336" s="100"/>
      <c r="AA336" s="126"/>
      <c r="AD336" s="16"/>
      <c r="AH336" s="33"/>
      <c r="AI336" s="266"/>
      <c r="AK336" s="16"/>
    </row>
    <row r="337" spans="1:37">
      <c r="B337" s="80"/>
      <c r="C337" s="80"/>
      <c r="D337" s="79"/>
      <c r="E337" s="80"/>
      <c r="F337" s="57"/>
      <c r="H337" s="4"/>
      <c r="I337" s="22"/>
      <c r="J337" s="323"/>
      <c r="K337" s="73"/>
      <c r="L337" s="323"/>
      <c r="N337" s="318"/>
      <c r="S337" s="34"/>
      <c r="U337" s="95"/>
      <c r="V337" s="36"/>
      <c r="W337" s="66"/>
      <c r="X337" s="15"/>
      <c r="Y337" s="63"/>
      <c r="Z337" s="100"/>
      <c r="AA337" s="126"/>
      <c r="AD337" s="22"/>
      <c r="AH337" s="33"/>
      <c r="AI337" s="266"/>
      <c r="AK337" s="22"/>
    </row>
    <row r="338" spans="1:37">
      <c r="A338" s="146"/>
      <c r="B338" s="79"/>
      <c r="C338" s="79"/>
      <c r="D338" s="80"/>
      <c r="E338" s="79"/>
      <c r="F338" s="6"/>
      <c r="H338" s="4"/>
      <c r="I338" s="22"/>
      <c r="J338" s="73"/>
      <c r="K338" s="73"/>
      <c r="N338" s="318"/>
      <c r="S338" s="34"/>
      <c r="U338" s="95"/>
      <c r="V338" s="36"/>
      <c r="W338" s="66"/>
      <c r="X338" s="15"/>
      <c r="Y338" s="76"/>
      <c r="Z338" s="101"/>
      <c r="AA338" s="126"/>
      <c r="AD338" s="22"/>
      <c r="AH338" s="33"/>
      <c r="AI338" s="266"/>
      <c r="AK338" s="22"/>
    </row>
    <row r="339" spans="1:37">
      <c r="A339" s="146"/>
      <c r="B339" s="80"/>
      <c r="C339" s="79"/>
      <c r="D339" s="80"/>
      <c r="E339" s="80"/>
      <c r="F339" s="6"/>
      <c r="H339" s="49"/>
      <c r="I339" s="22"/>
      <c r="J339" s="323"/>
      <c r="K339" s="323"/>
      <c r="N339" s="318"/>
      <c r="S339" s="34"/>
      <c r="U339" s="95"/>
      <c r="V339" s="36"/>
      <c r="W339" s="66"/>
      <c r="X339" s="15"/>
      <c r="Y339" s="76"/>
      <c r="Z339" s="101"/>
      <c r="AA339" s="126"/>
      <c r="AD339" s="22"/>
      <c r="AH339" s="33"/>
      <c r="AK339" s="22"/>
    </row>
    <row r="340" spans="1:37">
      <c r="A340" s="146"/>
      <c r="B340" s="80"/>
      <c r="C340" s="80"/>
      <c r="D340" s="80"/>
      <c r="E340" s="79"/>
      <c r="F340" s="6"/>
      <c r="H340" s="4"/>
      <c r="I340" s="22"/>
      <c r="J340" s="73"/>
      <c r="K340" s="73"/>
      <c r="N340" s="318"/>
      <c r="S340" s="34"/>
      <c r="U340" s="57"/>
      <c r="V340" s="36"/>
      <c r="W340" s="66"/>
      <c r="X340" s="15"/>
      <c r="Y340" s="3"/>
      <c r="Z340" s="100"/>
      <c r="AA340" s="126"/>
      <c r="AD340" s="22"/>
      <c r="AH340" s="33"/>
      <c r="AK340" s="22"/>
    </row>
    <row r="341" spans="1:37">
      <c r="AA341" s="126"/>
    </row>
    <row r="342" spans="1:37">
      <c r="AA342" s="126"/>
    </row>
    <row r="343" spans="1:37">
      <c r="AA343" s="126"/>
    </row>
    <row r="344" spans="1:37">
      <c r="AA344" s="126"/>
    </row>
    <row r="345" spans="1:37">
      <c r="AA345" s="126"/>
    </row>
    <row r="346" spans="1:37">
      <c r="AA346" s="126"/>
    </row>
    <row r="347" spans="1:37">
      <c r="AA347" s="126"/>
    </row>
    <row r="348" spans="1:37">
      <c r="AA348" s="264"/>
    </row>
    <row r="349" spans="1:37">
      <c r="AA349" s="126"/>
    </row>
    <row r="350" spans="1:37">
      <c r="AA350" s="126"/>
    </row>
    <row r="351" spans="1:37">
      <c r="AA351" s="126"/>
    </row>
    <row r="352" spans="1:37">
      <c r="AA352" s="126"/>
    </row>
    <row r="353" spans="27:27">
      <c r="AA353" s="126"/>
    </row>
    <row r="354" spans="27:27">
      <c r="AA354" s="126"/>
    </row>
    <row r="355" spans="27:27">
      <c r="AA355" s="126"/>
    </row>
    <row r="356" spans="27:27">
      <c r="AA356" s="51"/>
    </row>
    <row r="357" spans="27:27">
      <c r="AA357" s="126"/>
    </row>
    <row r="358" spans="27:27">
      <c r="AA358" s="126"/>
    </row>
    <row r="359" spans="27:27">
      <c r="AA359" s="126"/>
    </row>
    <row r="360" spans="27:27">
      <c r="AA360" s="126"/>
    </row>
    <row r="361" spans="27:27">
      <c r="AA361" s="126"/>
    </row>
    <row r="362" spans="27:27">
      <c r="AA362" s="126"/>
    </row>
    <row r="363" spans="27:27">
      <c r="AA363" s="126"/>
    </row>
    <row r="364" spans="27:27">
      <c r="AA364" s="126"/>
    </row>
    <row r="365" spans="27:27">
      <c r="AA365" s="126"/>
    </row>
    <row r="366" spans="27:27">
      <c r="AA366" s="126"/>
    </row>
    <row r="367" spans="27:27">
      <c r="AA367" s="126"/>
    </row>
    <row r="368" spans="27:27">
      <c r="AA368" s="126"/>
    </row>
    <row r="369" spans="27:27">
      <c r="AA369" s="126"/>
    </row>
    <row r="370" spans="27:27">
      <c r="AA370" s="126"/>
    </row>
    <row r="371" spans="27:27">
      <c r="AA371" s="126"/>
    </row>
    <row r="372" spans="27:27">
      <c r="AA372" s="126"/>
    </row>
    <row r="373" spans="27:27">
      <c r="AA373" s="126"/>
    </row>
    <row r="374" spans="27:27">
      <c r="AA374" s="126"/>
    </row>
    <row r="375" spans="27:27">
      <c r="AA375" s="126"/>
    </row>
    <row r="376" spans="27:27">
      <c r="AA376" s="126"/>
    </row>
    <row r="377" spans="27:27">
      <c r="AA377" s="126"/>
    </row>
    <row r="378" spans="27:27">
      <c r="AA378" s="126"/>
    </row>
    <row r="379" spans="27:27">
      <c r="AA379" s="126"/>
    </row>
    <row r="380" spans="27:27">
      <c r="AA380" s="126"/>
    </row>
    <row r="381" spans="27:27">
      <c r="AA381" s="126"/>
    </row>
    <row r="382" spans="27:27">
      <c r="AA382" s="126"/>
    </row>
    <row r="383" spans="27:27">
      <c r="AA383" s="126"/>
    </row>
    <row r="384" spans="27:27">
      <c r="AA384" s="126"/>
    </row>
    <row r="385" spans="27:27">
      <c r="AA385" s="126"/>
    </row>
    <row r="386" spans="27:27">
      <c r="AA386" s="264"/>
    </row>
    <row r="387" spans="27:27">
      <c r="AA387" s="126"/>
    </row>
    <row r="389" spans="27:27">
      <c r="AA389" s="126"/>
    </row>
    <row r="390" spans="27:27">
      <c r="AA390" s="126"/>
    </row>
    <row r="391" spans="27:27">
      <c r="AA391" s="126"/>
    </row>
    <row r="392" spans="27:27">
      <c r="AA392" s="126"/>
    </row>
    <row r="393" spans="27:27">
      <c r="AA393" s="126"/>
    </row>
    <row r="394" spans="27:27">
      <c r="AA394" s="126"/>
    </row>
    <row r="395" spans="27:27">
      <c r="AA395" s="126"/>
    </row>
    <row r="396" spans="27:27">
      <c r="AA396" s="126"/>
    </row>
    <row r="397" spans="27:27">
      <c r="AA397" s="126"/>
    </row>
    <row r="398" spans="27:27">
      <c r="AA398" s="126"/>
    </row>
    <row r="399" spans="27:27">
      <c r="AA399" s="126"/>
    </row>
    <row r="400" spans="27:27">
      <c r="AA400" s="126"/>
    </row>
    <row r="401" spans="27:27">
      <c r="AA401" s="126"/>
    </row>
    <row r="402" spans="27:27">
      <c r="AA402" s="126"/>
    </row>
    <row r="403" spans="27:27">
      <c r="AA403" s="126"/>
    </row>
    <row r="404" spans="27:27">
      <c r="AA404" s="264"/>
    </row>
    <row r="405" spans="27:27">
      <c r="AA405" s="126"/>
    </row>
    <row r="406" spans="27:27">
      <c r="AA406" s="126"/>
    </row>
    <row r="407" spans="27:27">
      <c r="AA407" s="126"/>
    </row>
    <row r="408" spans="27:27">
      <c r="AA408" s="126"/>
    </row>
    <row r="409" spans="27:27">
      <c r="AA409" s="126"/>
    </row>
    <row r="410" spans="27:27">
      <c r="AA410" s="126"/>
    </row>
    <row r="411" spans="27:27">
      <c r="AA411" s="126"/>
    </row>
    <row r="412" spans="27:27">
      <c r="AA412" s="126"/>
    </row>
    <row r="413" spans="27:27">
      <c r="AA413" s="126"/>
    </row>
    <row r="414" spans="27:27">
      <c r="AA414" s="126"/>
    </row>
    <row r="415" spans="27:27">
      <c r="AA415" s="126"/>
    </row>
    <row r="416" spans="27:27">
      <c r="AA416" s="126"/>
    </row>
    <row r="417" spans="27:27">
      <c r="AA417" s="126"/>
    </row>
    <row r="418" spans="27:27">
      <c r="AA418" s="126"/>
    </row>
    <row r="419" spans="27:27">
      <c r="AA419" s="126"/>
    </row>
    <row r="420" spans="27:27">
      <c r="AA420" s="126"/>
    </row>
    <row r="421" spans="27:27">
      <c r="AA421" s="126"/>
    </row>
    <row r="422" spans="27:27">
      <c r="AA422" s="126"/>
    </row>
    <row r="423" spans="27:27">
      <c r="AA423" s="126"/>
    </row>
    <row r="424" spans="27:27">
      <c r="AA424" s="126"/>
    </row>
    <row r="425" spans="27:27">
      <c r="AA425" s="126"/>
    </row>
    <row r="426" spans="27:27">
      <c r="AA426" s="126"/>
    </row>
    <row r="427" spans="27:27">
      <c r="AA427" s="126"/>
    </row>
    <row r="428" spans="27:27">
      <c r="AA428" s="126"/>
    </row>
    <row r="429" spans="27:27">
      <c r="AA429" s="126"/>
    </row>
    <row r="430" spans="27:27">
      <c r="AA430" s="126"/>
    </row>
    <row r="431" spans="27:27">
      <c r="AA431" s="126"/>
    </row>
    <row r="432" spans="27:27">
      <c r="AA432" s="264"/>
    </row>
    <row r="433" spans="27:27">
      <c r="AA433" s="126"/>
    </row>
    <row r="434" spans="27:27">
      <c r="AA434" s="126"/>
    </row>
    <row r="435" spans="27:27">
      <c r="AA435" s="126"/>
    </row>
    <row r="436" spans="27:27">
      <c r="AA436" s="126"/>
    </row>
    <row r="437" spans="27:27">
      <c r="AA437" s="126"/>
    </row>
    <row r="438" spans="27:27">
      <c r="AA438" s="126"/>
    </row>
    <row r="439" spans="27:27">
      <c r="AA439" s="126"/>
    </row>
    <row r="440" spans="27:27">
      <c r="AA440" s="126"/>
    </row>
    <row r="441" spans="27:27">
      <c r="AA441" s="126"/>
    </row>
    <row r="442" spans="27:27">
      <c r="AA442" s="126"/>
    </row>
    <row r="443" spans="27:27">
      <c r="AA443" s="126"/>
    </row>
    <row r="444" spans="27:27">
      <c r="AA444" s="126"/>
    </row>
    <row r="445" spans="27:27">
      <c r="AA445" s="126"/>
    </row>
    <row r="446" spans="27:27">
      <c r="AA446" s="126"/>
    </row>
    <row r="447" spans="27:27">
      <c r="AA447" s="126"/>
    </row>
    <row r="448" spans="27:27">
      <c r="AA448" s="126"/>
    </row>
    <row r="449" spans="27:27">
      <c r="AA449" s="126"/>
    </row>
    <row r="450" spans="27:27">
      <c r="AA450" s="264"/>
    </row>
    <row r="451" spans="27:27">
      <c r="AA451" s="126"/>
    </row>
    <row r="452" spans="27:27">
      <c r="AA452" s="264"/>
    </row>
    <row r="453" spans="27:27">
      <c r="AA453" s="126"/>
    </row>
    <row r="454" spans="27:27">
      <c r="AA454" s="126"/>
    </row>
    <row r="455" spans="27:27">
      <c r="AA455" s="126"/>
    </row>
    <row r="456" spans="27:27">
      <c r="AA456" s="126"/>
    </row>
    <row r="457" spans="27:27">
      <c r="AA457" s="126"/>
    </row>
    <row r="458" spans="27:27">
      <c r="AA458" s="126"/>
    </row>
    <row r="459" spans="27:27">
      <c r="AA459" s="126"/>
    </row>
    <row r="460" spans="27:27">
      <c r="AA460" s="126"/>
    </row>
    <row r="461" spans="27:27">
      <c r="AA461" s="126"/>
    </row>
    <row r="462" spans="27:27">
      <c r="AA462" s="126"/>
    </row>
    <row r="463" spans="27:27">
      <c r="AA463" s="126"/>
    </row>
    <row r="464" spans="27:27">
      <c r="AA464" s="126"/>
    </row>
    <row r="465" spans="27:27">
      <c r="AA465" s="126"/>
    </row>
    <row r="466" spans="27:27">
      <c r="AA466" s="126"/>
    </row>
    <row r="467" spans="27:27">
      <c r="AA467" s="126"/>
    </row>
    <row r="468" spans="27:27">
      <c r="AA468" s="126"/>
    </row>
    <row r="469" spans="27:27">
      <c r="AA469" s="126"/>
    </row>
    <row r="470" spans="27:27">
      <c r="AA470" s="126"/>
    </row>
    <row r="471" spans="27:27">
      <c r="AA471" s="126"/>
    </row>
    <row r="472" spans="27:27">
      <c r="AA472" s="126"/>
    </row>
    <row r="473" spans="27:27">
      <c r="AA473" s="126"/>
    </row>
    <row r="474" spans="27:27">
      <c r="AA474" s="126"/>
    </row>
    <row r="475" spans="27:27">
      <c r="AA475" s="126"/>
    </row>
    <row r="476" spans="27:27">
      <c r="AA476" s="126"/>
    </row>
    <row r="477" spans="27:27">
      <c r="AA477" s="126"/>
    </row>
    <row r="478" spans="27:27">
      <c r="AA478" s="126"/>
    </row>
    <row r="479" spans="27:27">
      <c r="AA479" s="126"/>
    </row>
    <row r="480" spans="27:27">
      <c r="AA480" s="126"/>
    </row>
    <row r="481" spans="27:27">
      <c r="AA481" s="126"/>
    </row>
    <row r="482" spans="27:27">
      <c r="AA482" s="126"/>
    </row>
    <row r="483" spans="27:27">
      <c r="AA483" s="126"/>
    </row>
    <row r="484" spans="27:27">
      <c r="AA484" s="126"/>
    </row>
    <row r="485" spans="27:27">
      <c r="AA485" s="126"/>
    </row>
    <row r="486" spans="27:27">
      <c r="AA486" s="126"/>
    </row>
    <row r="487" spans="27:27">
      <c r="AA487" s="264"/>
    </row>
    <row r="488" spans="27:27">
      <c r="AA488" s="126"/>
    </row>
    <row r="489" spans="27:27">
      <c r="AA489" s="126"/>
    </row>
    <row r="490" spans="27:27">
      <c r="AA490" s="126"/>
    </row>
    <row r="491" spans="27:27">
      <c r="AA491" s="126"/>
    </row>
    <row r="492" spans="27:27">
      <c r="AA492" s="126"/>
    </row>
    <row r="493" spans="27:27">
      <c r="AA493" s="126"/>
    </row>
    <row r="494" spans="27:27">
      <c r="AA494" s="126"/>
    </row>
    <row r="495" spans="27:27">
      <c r="AA495" s="126"/>
    </row>
    <row r="496" spans="27:27">
      <c r="AA496" s="126"/>
    </row>
    <row r="497" spans="27:27">
      <c r="AA497" s="126"/>
    </row>
    <row r="498" spans="27:27">
      <c r="AA498" s="126"/>
    </row>
    <row r="499" spans="27:27">
      <c r="AA499" s="126"/>
    </row>
    <row r="500" spans="27:27">
      <c r="AA500" s="126"/>
    </row>
    <row r="501" spans="27:27">
      <c r="AA501" s="126"/>
    </row>
    <row r="502" spans="27:27">
      <c r="AA502" s="126"/>
    </row>
    <row r="503" spans="27:27">
      <c r="AA503" s="126"/>
    </row>
    <row r="504" spans="27:27">
      <c r="AA504" s="126"/>
    </row>
    <row r="505" spans="27:27">
      <c r="AA505" s="126"/>
    </row>
    <row r="506" spans="27:27">
      <c r="AA506" s="126"/>
    </row>
    <row r="507" spans="27:27">
      <c r="AA507" s="126"/>
    </row>
    <row r="508" spans="27:27">
      <c r="AA508" s="126"/>
    </row>
    <row r="509" spans="27:27">
      <c r="AA509" s="126"/>
    </row>
    <row r="510" spans="27:27">
      <c r="AA510" s="126"/>
    </row>
    <row r="511" spans="27:27">
      <c r="AA511" s="126"/>
    </row>
    <row r="512" spans="27:27">
      <c r="AA512" s="126"/>
    </row>
    <row r="513" spans="27:27">
      <c r="AA513" s="126"/>
    </row>
    <row r="514" spans="27:27">
      <c r="AA514" s="126"/>
    </row>
    <row r="515" spans="27:27">
      <c r="AA515" s="126"/>
    </row>
    <row r="516" spans="27:27">
      <c r="AA516" s="126"/>
    </row>
    <row r="517" spans="27:27">
      <c r="AA517" s="126"/>
    </row>
    <row r="518" spans="27:27">
      <c r="AA518" s="126"/>
    </row>
    <row r="519" spans="27:27">
      <c r="AA519" s="126"/>
    </row>
    <row r="520" spans="27:27">
      <c r="AA520" s="126"/>
    </row>
    <row r="521" spans="27:27">
      <c r="AA521" s="126"/>
    </row>
    <row r="522" spans="27:27">
      <c r="AA522" s="126"/>
    </row>
    <row r="523" spans="27:27">
      <c r="AA523" s="126"/>
    </row>
    <row r="524" spans="27:27">
      <c r="AA524" s="126"/>
    </row>
    <row r="525" spans="27:27">
      <c r="AA525" s="126"/>
    </row>
    <row r="526" spans="27:27">
      <c r="AA526" s="126"/>
    </row>
    <row r="527" spans="27:27">
      <c r="AA527" s="126"/>
    </row>
    <row r="528" spans="27:27">
      <c r="AA528" s="126"/>
    </row>
    <row r="529" spans="27:27">
      <c r="AA529" s="126"/>
    </row>
    <row r="530" spans="27:27">
      <c r="AA530" s="126"/>
    </row>
    <row r="531" spans="27:27">
      <c r="AA531" s="126"/>
    </row>
    <row r="532" spans="27:27">
      <c r="AA532" s="266"/>
    </row>
    <row r="533" spans="27:27">
      <c r="AA533" s="126"/>
    </row>
    <row r="534" spans="27:27">
      <c r="AA534" s="126"/>
    </row>
    <row r="535" spans="27:27">
      <c r="AA535" s="126"/>
    </row>
    <row r="536" spans="27:27">
      <c r="AA536" s="126"/>
    </row>
    <row r="537" spans="27:27">
      <c r="AA537" s="126"/>
    </row>
    <row r="538" spans="27:27">
      <c r="AA538" s="126"/>
    </row>
    <row r="539" spans="27:27">
      <c r="AA539" s="126"/>
    </row>
    <row r="540" spans="27:27">
      <c r="AA540" s="126"/>
    </row>
    <row r="541" spans="27:27">
      <c r="AA541" s="126"/>
    </row>
    <row r="542" spans="27:27">
      <c r="AA542" s="126"/>
    </row>
    <row r="543" spans="27:27">
      <c r="AA543" s="126"/>
    </row>
    <row r="544" spans="27:27">
      <c r="AA544" s="126"/>
    </row>
    <row r="545" spans="27:27">
      <c r="AA545" s="126"/>
    </row>
    <row r="546" spans="27:27">
      <c r="AA546" s="126"/>
    </row>
    <row r="547" spans="27:27">
      <c r="AA547" s="126"/>
    </row>
    <row r="548" spans="27:27">
      <c r="AA548" s="126"/>
    </row>
    <row r="549" spans="27:27">
      <c r="AA549" s="126"/>
    </row>
    <row r="550" spans="27:27">
      <c r="AA550" s="126"/>
    </row>
    <row r="551" spans="27:27">
      <c r="AA551" s="126"/>
    </row>
    <row r="552" spans="27:27">
      <c r="AA552" s="126"/>
    </row>
    <row r="553" spans="27:27">
      <c r="AA553" s="126"/>
    </row>
    <row r="554" spans="27:27">
      <c r="AA554" s="126"/>
    </row>
    <row r="555" spans="27:27">
      <c r="AA555" s="126"/>
    </row>
    <row r="556" spans="27:27">
      <c r="AA556" s="126"/>
    </row>
    <row r="557" spans="27:27">
      <c r="AA557" s="126"/>
    </row>
    <row r="558" spans="27:27">
      <c r="AA558" s="126"/>
    </row>
    <row r="559" spans="27:27">
      <c r="AA559" s="126"/>
    </row>
    <row r="560" spans="27:27">
      <c r="AA560" s="126"/>
    </row>
    <row r="561" spans="27:27">
      <c r="AA561" s="126"/>
    </row>
    <row r="562" spans="27:27">
      <c r="AA562" s="126"/>
    </row>
    <row r="563" spans="27:27">
      <c r="AA563" s="126"/>
    </row>
    <row r="564" spans="27:27">
      <c r="AA564" s="126"/>
    </row>
    <row r="565" spans="27:27">
      <c r="AA565" s="126"/>
    </row>
    <row r="566" spans="27:27">
      <c r="AA566" s="126"/>
    </row>
    <row r="567" spans="27:27">
      <c r="AA567" s="126"/>
    </row>
    <row r="568" spans="27:27">
      <c r="AA568" s="126"/>
    </row>
    <row r="569" spans="27:27">
      <c r="AA569" s="126"/>
    </row>
    <row r="570" spans="27:27">
      <c r="AA570" s="126"/>
    </row>
    <row r="571" spans="27:27">
      <c r="AA571" s="126"/>
    </row>
    <row r="572" spans="27:27">
      <c r="AA572" s="126"/>
    </row>
    <row r="573" spans="27:27">
      <c r="AA573" s="33"/>
    </row>
    <row r="574" spans="27:27">
      <c r="AA574" s="126"/>
    </row>
    <row r="575" spans="27:27">
      <c r="AA575" s="126"/>
    </row>
    <row r="576" spans="27:27">
      <c r="AA576" s="264"/>
    </row>
    <row r="577" spans="27:27">
      <c r="AA577" s="126"/>
    </row>
    <row r="578" spans="27:27">
      <c r="AA578" s="126"/>
    </row>
    <row r="579" spans="27:27">
      <c r="AA579" s="126"/>
    </row>
    <row r="580" spans="27:27">
      <c r="AA580" s="126"/>
    </row>
    <row r="581" spans="27:27">
      <c r="AA581" s="126"/>
    </row>
    <row r="582" spans="27:27">
      <c r="AA582" s="264"/>
    </row>
    <row r="583" spans="27:27">
      <c r="AA583" s="126"/>
    </row>
    <row r="584" spans="27:27">
      <c r="AA584" s="126"/>
    </row>
    <row r="585" spans="27:27">
      <c r="AA585" s="126"/>
    </row>
    <row r="586" spans="27:27">
      <c r="AA586" s="126"/>
    </row>
    <row r="587" spans="27:27">
      <c r="AA587" s="126"/>
    </row>
    <row r="588" spans="27:27">
      <c r="AA588" s="126"/>
    </row>
    <row r="589" spans="27:27">
      <c r="AA589" s="126"/>
    </row>
    <row r="590" spans="27:27">
      <c r="AA590" s="126"/>
    </row>
    <row r="591" spans="27:27">
      <c r="AA591" s="126"/>
    </row>
    <row r="592" spans="27:27">
      <c r="AA592" s="126"/>
    </row>
    <row r="593" spans="27:27">
      <c r="AA593" s="264"/>
    </row>
    <row r="594" spans="27:27">
      <c r="AA594" s="126"/>
    </row>
    <row r="595" spans="27:27">
      <c r="AA595" s="126"/>
    </row>
    <row r="596" spans="27:27">
      <c r="AA596" s="126"/>
    </row>
    <row r="597" spans="27:27">
      <c r="AA597" s="126"/>
    </row>
    <row r="598" spans="27:27">
      <c r="AA598" s="126"/>
    </row>
    <row r="599" spans="27:27">
      <c r="AA599" s="126"/>
    </row>
    <row r="600" spans="27:27">
      <c r="AA600" s="126"/>
    </row>
    <row r="601" spans="27:27">
      <c r="AA601" s="126"/>
    </row>
    <row r="602" spans="27:27">
      <c r="AA602" s="126"/>
    </row>
    <row r="603" spans="27:27">
      <c r="AA603" s="264"/>
    </row>
    <row r="604" spans="27:27">
      <c r="AA604" s="126"/>
    </row>
    <row r="605" spans="27:27">
      <c r="AA605" s="126"/>
    </row>
    <row r="606" spans="27:27">
      <c r="AA606" s="126"/>
    </row>
    <row r="607" spans="27:27">
      <c r="AA607" s="126"/>
    </row>
    <row r="608" spans="27:27">
      <c r="AA608" s="126"/>
    </row>
    <row r="609" spans="27:27">
      <c r="AA609" s="126"/>
    </row>
    <row r="610" spans="27:27">
      <c r="AA610" s="126"/>
    </row>
    <row r="611" spans="27:27">
      <c r="AA611" s="264"/>
    </row>
    <row r="612" spans="27:27">
      <c r="AA612" s="126"/>
    </row>
    <row r="613" spans="27:27">
      <c r="AA613" s="126"/>
    </row>
    <row r="614" spans="27:27">
      <c r="AA614" s="126"/>
    </row>
    <row r="615" spans="27:27">
      <c r="AA615" s="126"/>
    </row>
    <row r="616" spans="27:27">
      <c r="AA616" s="126"/>
    </row>
    <row r="617" spans="27:27">
      <c r="AA617" s="126"/>
    </row>
    <row r="618" spans="27:27">
      <c r="AA618" s="126"/>
    </row>
    <row r="619" spans="27:27">
      <c r="AA619" s="126"/>
    </row>
    <row r="620" spans="27:27">
      <c r="AA620" s="126"/>
    </row>
    <row r="621" spans="27:27">
      <c r="AA621" s="264"/>
    </row>
    <row r="622" spans="27:27">
      <c r="AA622" s="126"/>
    </row>
    <row r="623" spans="27:27">
      <c r="AA623" s="126"/>
    </row>
    <row r="624" spans="27:27">
      <c r="AA624" s="126"/>
    </row>
    <row r="625" spans="27:27">
      <c r="AA625" s="126"/>
    </row>
    <row r="626" spans="27:27">
      <c r="AA626" s="126"/>
    </row>
    <row r="627" spans="27:27">
      <c r="AA627" s="126"/>
    </row>
    <row r="628" spans="27:27">
      <c r="AA628" s="126"/>
    </row>
    <row r="629" spans="27:27">
      <c r="AA629" s="126"/>
    </row>
    <row r="630" spans="27:27">
      <c r="AA630" s="126"/>
    </row>
    <row r="631" spans="27:27">
      <c r="AA631" s="126"/>
    </row>
    <row r="632" spans="27:27">
      <c r="AA632" s="126"/>
    </row>
    <row r="633" spans="27:27">
      <c r="AA633" s="126"/>
    </row>
    <row r="634" spans="27:27">
      <c r="AA634" s="126"/>
    </row>
    <row r="635" spans="27:27">
      <c r="AA635" s="126"/>
    </row>
    <row r="636" spans="27:27">
      <c r="AA636" s="126"/>
    </row>
    <row r="637" spans="27:27">
      <c r="AA637" s="126"/>
    </row>
    <row r="638" spans="27:27">
      <c r="AA638" s="126"/>
    </row>
    <row r="639" spans="27:27">
      <c r="AA639" s="126"/>
    </row>
    <row r="640" spans="27:27">
      <c r="AA640" s="126"/>
    </row>
    <row r="641" spans="27:27">
      <c r="AA641" s="126"/>
    </row>
    <row r="642" spans="27:27">
      <c r="AA642" s="264"/>
    </row>
    <row r="643" spans="27:27">
      <c r="AA643" s="126"/>
    </row>
    <row r="644" spans="27:27">
      <c r="AA644" s="126"/>
    </row>
    <row r="645" spans="27:27">
      <c r="AA645" s="126"/>
    </row>
    <row r="647" spans="27:27">
      <c r="AA647" s="126"/>
    </row>
    <row r="648" spans="27:27">
      <c r="AA648" s="126"/>
    </row>
    <row r="649" spans="27:27">
      <c r="AA649" s="126"/>
    </row>
    <row r="650" spans="27:27">
      <c r="AA650" s="126"/>
    </row>
    <row r="651" spans="27:27">
      <c r="AA651" s="126"/>
    </row>
    <row r="652" spans="27:27">
      <c r="AA652" s="126"/>
    </row>
    <row r="653" spans="27:27">
      <c r="AA653" s="126"/>
    </row>
    <row r="654" spans="27:27">
      <c r="AA654" s="126"/>
    </row>
    <row r="655" spans="27:27">
      <c r="AA655" s="264"/>
    </row>
    <row r="656" spans="27:27">
      <c r="AA656" s="126"/>
    </row>
    <row r="657" spans="27:27">
      <c r="AA657" s="126"/>
    </row>
    <row r="658" spans="27:27">
      <c r="AA658" s="126"/>
    </row>
    <row r="659" spans="27:27">
      <c r="AA659" s="264"/>
    </row>
    <row r="660" spans="27:27">
      <c r="AA660" s="126"/>
    </row>
    <row r="661" spans="27:27">
      <c r="AA661" s="126"/>
    </row>
    <row r="662" spans="27:27">
      <c r="AA662" s="126"/>
    </row>
    <row r="663" spans="27:27">
      <c r="AA663" s="126"/>
    </row>
    <row r="664" spans="27:27">
      <c r="AA664" s="126"/>
    </row>
    <row r="665" spans="27:27">
      <c r="AA665" s="126"/>
    </row>
    <row r="666" spans="27:27">
      <c r="AA666" s="126"/>
    </row>
    <row r="667" spans="27:27">
      <c r="AA667" s="126"/>
    </row>
    <row r="668" spans="27:27">
      <c r="AA668" s="126"/>
    </row>
    <row r="669" spans="27:27">
      <c r="AA669" s="126"/>
    </row>
    <row r="670" spans="27:27">
      <c r="AA670" s="126"/>
    </row>
    <row r="671" spans="27:27">
      <c r="AA671" s="126"/>
    </row>
    <row r="672" spans="27:27">
      <c r="AA672" s="126"/>
    </row>
    <row r="673" spans="27:27">
      <c r="AA673" s="126"/>
    </row>
    <row r="674" spans="27:27">
      <c r="AA674" s="126"/>
    </row>
    <row r="675" spans="27:27">
      <c r="AA675" s="126"/>
    </row>
    <row r="676" spans="27:27">
      <c r="AA676" s="126"/>
    </row>
    <row r="677" spans="27:27">
      <c r="AA677" s="126"/>
    </row>
    <row r="678" spans="27:27">
      <c r="AA678" s="126"/>
    </row>
    <row r="679" spans="27:27">
      <c r="AA679" s="126"/>
    </row>
    <row r="680" spans="27:27">
      <c r="AA680" s="126"/>
    </row>
    <row r="681" spans="27:27">
      <c r="AA681" s="126"/>
    </row>
    <row r="682" spans="27:27">
      <c r="AA682" s="126"/>
    </row>
    <row r="683" spans="27:27">
      <c r="AA683" s="126"/>
    </row>
    <row r="684" spans="27:27">
      <c r="AA684" s="126"/>
    </row>
    <row r="685" spans="27:27">
      <c r="AA685" s="126"/>
    </row>
    <row r="686" spans="27:27">
      <c r="AA686" s="126"/>
    </row>
    <row r="687" spans="27:27">
      <c r="AA687" s="126"/>
    </row>
    <row r="688" spans="27:27">
      <c r="AA688" s="126"/>
    </row>
    <row r="689" spans="27:27">
      <c r="AA689" s="126"/>
    </row>
    <row r="690" spans="27:27">
      <c r="AA690" s="126"/>
    </row>
    <row r="691" spans="27:27">
      <c r="AA691" s="126"/>
    </row>
    <row r="692" spans="27:27">
      <c r="AA692" s="126"/>
    </row>
    <row r="693" spans="27:27">
      <c r="AA693" s="126"/>
    </row>
    <row r="694" spans="27:27">
      <c r="AA694" s="126"/>
    </row>
    <row r="695" spans="27:27">
      <c r="AA695" s="126"/>
    </row>
    <row r="696" spans="27:27">
      <c r="AA696" s="126"/>
    </row>
    <row r="697" spans="27:27">
      <c r="AA697" s="126"/>
    </row>
    <row r="698" spans="27:27">
      <c r="AA698" s="126"/>
    </row>
    <row r="699" spans="27:27">
      <c r="AA699" s="126"/>
    </row>
    <row r="700" spans="27:27">
      <c r="AA700" s="126"/>
    </row>
    <row r="701" spans="27:27">
      <c r="AA701" s="126"/>
    </row>
    <row r="702" spans="27:27">
      <c r="AA702" s="126"/>
    </row>
    <row r="703" spans="27:27">
      <c r="AA703" s="126"/>
    </row>
    <row r="704" spans="27:27">
      <c r="AA704" s="27"/>
    </row>
    <row r="705" spans="27:27">
      <c r="AA705" s="126"/>
    </row>
    <row r="706" spans="27:27">
      <c r="AA706" s="126"/>
    </row>
    <row r="707" spans="27:27">
      <c r="AA707" s="126"/>
    </row>
    <row r="708" spans="27:27">
      <c r="AA708" s="126"/>
    </row>
    <row r="709" spans="27:27">
      <c r="AA709" s="126"/>
    </row>
    <row r="710" spans="27:27">
      <c r="AA710" s="126"/>
    </row>
    <row r="711" spans="27:27">
      <c r="AA711" s="126"/>
    </row>
    <row r="712" spans="27:27">
      <c r="AA712" s="126"/>
    </row>
    <row r="713" spans="27:27">
      <c r="AA713" s="126"/>
    </row>
    <row r="714" spans="27:27">
      <c r="AA714" s="126"/>
    </row>
    <row r="715" spans="27:27">
      <c r="AA715" s="126"/>
    </row>
    <row r="716" spans="27:27">
      <c r="AA716" s="126"/>
    </row>
    <row r="717" spans="27:27">
      <c r="AA717" s="126"/>
    </row>
    <row r="718" spans="27:27">
      <c r="AA718" s="126"/>
    </row>
    <row r="719" spans="27:27">
      <c r="AA719" s="126"/>
    </row>
    <row r="720" spans="27:27">
      <c r="AA720" s="126"/>
    </row>
    <row r="721" spans="27:27">
      <c r="AA721" s="126"/>
    </row>
    <row r="722" spans="27:27">
      <c r="AA722" s="126"/>
    </row>
    <row r="723" spans="27:27">
      <c r="AA723" s="126"/>
    </row>
    <row r="724" spans="27:27">
      <c r="AA724" s="126"/>
    </row>
    <row r="725" spans="27:27">
      <c r="AA725" s="126"/>
    </row>
    <row r="726" spans="27:27">
      <c r="AA726" s="126"/>
    </row>
    <row r="727" spans="27:27">
      <c r="AA727" s="126"/>
    </row>
    <row r="728" spans="27:27">
      <c r="AA728" s="126"/>
    </row>
    <row r="729" spans="27:27">
      <c r="AA729" s="126"/>
    </row>
    <row r="730" spans="27:27">
      <c r="AA730" s="126"/>
    </row>
    <row r="731" spans="27:27">
      <c r="AA731" s="126"/>
    </row>
    <row r="732" spans="27:27">
      <c r="AA732" s="126"/>
    </row>
    <row r="733" spans="27:27">
      <c r="AA733" s="126"/>
    </row>
    <row r="734" spans="27:27">
      <c r="AA734" s="126"/>
    </row>
    <row r="735" spans="27:27">
      <c r="AA735" s="126"/>
    </row>
    <row r="736" spans="27:27">
      <c r="AA736" s="126"/>
    </row>
    <row r="737" spans="27:27">
      <c r="AA737" s="264"/>
    </row>
    <row r="738" spans="27:27">
      <c r="AA738" s="264"/>
    </row>
    <row r="739" spans="27:27">
      <c r="AA739" s="126"/>
    </row>
    <row r="740" spans="27:27">
      <c r="AA740" s="126"/>
    </row>
    <row r="741" spans="27:27">
      <c r="AA741" s="126"/>
    </row>
    <row r="742" spans="27:27">
      <c r="AA742" s="126"/>
    </row>
    <row r="743" spans="27:27">
      <c r="AA743" s="126"/>
    </row>
    <row r="744" spans="27:27">
      <c r="AA744" s="126"/>
    </row>
    <row r="745" spans="27:27">
      <c r="AA745" s="126"/>
    </row>
    <row r="746" spans="27:27">
      <c r="AA746" s="126"/>
    </row>
    <row r="747" spans="27:27">
      <c r="AA747" s="126"/>
    </row>
    <row r="748" spans="27:27">
      <c r="AA748" s="126"/>
    </row>
    <row r="749" spans="27:27">
      <c r="AA749" s="126"/>
    </row>
    <row r="750" spans="27:27">
      <c r="AA750" s="126"/>
    </row>
    <row r="751" spans="27:27">
      <c r="AA751" s="126"/>
    </row>
    <row r="752" spans="27:27">
      <c r="AA752" s="126"/>
    </row>
    <row r="753" spans="27:27">
      <c r="AA753" s="126"/>
    </row>
    <row r="754" spans="27:27">
      <c r="AA754" s="126"/>
    </row>
    <row r="755" spans="27:27">
      <c r="AA755" s="126"/>
    </row>
    <row r="756" spans="27:27">
      <c r="AA756" s="126"/>
    </row>
    <row r="757" spans="27:27">
      <c r="AA757" s="126"/>
    </row>
    <row r="758" spans="27:27">
      <c r="AA758" s="126"/>
    </row>
    <row r="759" spans="27:27">
      <c r="AA759" s="126"/>
    </row>
    <row r="760" spans="27:27">
      <c r="AA760" s="126"/>
    </row>
    <row r="761" spans="27:27">
      <c r="AA761" s="126"/>
    </row>
    <row r="762" spans="27:27">
      <c r="AA762" s="126"/>
    </row>
    <row r="763" spans="27:27">
      <c r="AA763" s="126"/>
    </row>
    <row r="764" spans="27:27">
      <c r="AA764" s="126"/>
    </row>
    <row r="765" spans="27:27">
      <c r="AA765" s="126"/>
    </row>
    <row r="766" spans="27:27">
      <c r="AA766" s="126"/>
    </row>
    <row r="767" spans="27:27">
      <c r="AA767" s="126"/>
    </row>
    <row r="768" spans="27:27">
      <c r="AA768" s="126"/>
    </row>
    <row r="769" spans="27:27">
      <c r="AA769" s="126"/>
    </row>
    <row r="770" spans="27:27">
      <c r="AA770" s="126"/>
    </row>
    <row r="771" spans="27:27">
      <c r="AA771" s="126"/>
    </row>
    <row r="772" spans="27:27">
      <c r="AA772" s="126"/>
    </row>
    <row r="773" spans="27:27">
      <c r="AA773" s="126"/>
    </row>
    <row r="774" spans="27:27">
      <c r="AA774" s="126"/>
    </row>
    <row r="775" spans="27:27">
      <c r="AA775" s="126"/>
    </row>
    <row r="776" spans="27:27">
      <c r="AA776" s="126"/>
    </row>
    <row r="777" spans="27:27">
      <c r="AA777" s="264"/>
    </row>
    <row r="778" spans="27:27">
      <c r="AA778" s="126"/>
    </row>
    <row r="779" spans="27:27">
      <c r="AA779" s="126"/>
    </row>
    <row r="780" spans="27:27">
      <c r="AA780" s="126"/>
    </row>
    <row r="781" spans="27:27">
      <c r="AA781" s="126"/>
    </row>
    <row r="782" spans="27:27">
      <c r="AA782" s="126"/>
    </row>
    <row r="783" spans="27:27">
      <c r="AA783" s="126"/>
    </row>
    <row r="784" spans="27:27">
      <c r="AA784" s="126"/>
    </row>
    <row r="785" spans="27:27">
      <c r="AA785" s="126"/>
    </row>
    <row r="786" spans="27:27">
      <c r="AA786" s="126"/>
    </row>
    <row r="787" spans="27:27">
      <c r="AA787" s="126"/>
    </row>
    <row r="788" spans="27:27">
      <c r="AA788" s="126"/>
    </row>
    <row r="789" spans="27:27">
      <c r="AA789" s="126"/>
    </row>
    <row r="790" spans="27:27">
      <c r="AA790" s="126"/>
    </row>
    <row r="791" spans="27:27">
      <c r="AA791" s="126"/>
    </row>
    <row r="792" spans="27:27">
      <c r="AA792" s="126"/>
    </row>
    <row r="793" spans="27:27">
      <c r="AA793" s="126"/>
    </row>
    <row r="794" spans="27:27">
      <c r="AA794" s="126"/>
    </row>
    <row r="795" spans="27:27">
      <c r="AA795" s="126"/>
    </row>
    <row r="796" spans="27:27">
      <c r="AA796" s="126"/>
    </row>
    <row r="797" spans="27:27">
      <c r="AA797" s="126"/>
    </row>
    <row r="798" spans="27:27">
      <c r="AA798" s="126"/>
    </row>
    <row r="799" spans="27:27">
      <c r="AA799" s="126"/>
    </row>
    <row r="800" spans="27:27">
      <c r="AA800" s="126"/>
    </row>
    <row r="801" spans="27:27">
      <c r="AA801" s="126"/>
    </row>
    <row r="802" spans="27:27">
      <c r="AA802" s="126"/>
    </row>
    <row r="803" spans="27:27">
      <c r="AA803" s="126"/>
    </row>
    <row r="804" spans="27:27">
      <c r="AA804" s="126"/>
    </row>
    <row r="805" spans="27:27">
      <c r="AA805" s="126"/>
    </row>
    <row r="806" spans="27:27">
      <c r="AA806" s="126"/>
    </row>
    <row r="807" spans="27:27">
      <c r="AA807" s="126"/>
    </row>
    <row r="808" spans="27:27">
      <c r="AA808" s="126"/>
    </row>
    <row r="809" spans="27:27">
      <c r="AA809" s="126"/>
    </row>
    <row r="810" spans="27:27">
      <c r="AA810" s="126"/>
    </row>
    <row r="811" spans="27:27">
      <c r="AA811" s="126"/>
    </row>
    <row r="812" spans="27:27">
      <c r="AA812" s="126"/>
    </row>
    <row r="813" spans="27:27">
      <c r="AA813" s="126"/>
    </row>
    <row r="814" spans="27:27">
      <c r="AA814" s="126"/>
    </row>
    <row r="815" spans="27:27">
      <c r="AA815" s="126"/>
    </row>
    <row r="816" spans="27:27">
      <c r="AA816" s="126"/>
    </row>
    <row r="817" spans="27:27">
      <c r="AA817" s="126"/>
    </row>
    <row r="818" spans="27:27">
      <c r="AA818" s="126"/>
    </row>
    <row r="819" spans="27:27">
      <c r="AA819" s="126"/>
    </row>
    <row r="820" spans="27:27">
      <c r="AA820" s="126"/>
    </row>
    <row r="821" spans="27:27">
      <c r="AA821" s="126"/>
    </row>
    <row r="822" spans="27:27">
      <c r="AA822" s="126"/>
    </row>
    <row r="823" spans="27:27">
      <c r="AA823" s="126"/>
    </row>
    <row r="824" spans="27:27">
      <c r="AA824" s="126"/>
    </row>
    <row r="825" spans="27:27">
      <c r="AA825" s="126"/>
    </row>
    <row r="826" spans="27:27">
      <c r="AA826" s="126"/>
    </row>
    <row r="827" spans="27:27">
      <c r="AA827" s="126"/>
    </row>
    <row r="828" spans="27:27">
      <c r="AA828" s="126"/>
    </row>
    <row r="829" spans="27:27">
      <c r="AA829" s="126"/>
    </row>
    <row r="830" spans="27:27">
      <c r="AA830" s="126"/>
    </row>
    <row r="831" spans="27:27">
      <c r="AA831" s="126"/>
    </row>
    <row r="832" spans="27:27">
      <c r="AA832" s="126"/>
    </row>
    <row r="833" spans="27:27">
      <c r="AA833" s="126"/>
    </row>
    <row r="834" spans="27:27">
      <c r="AA834" s="126"/>
    </row>
    <row r="835" spans="27:27">
      <c r="AA835" s="264"/>
    </row>
    <row r="836" spans="27:27">
      <c r="AA836" s="126"/>
    </row>
    <row r="837" spans="27:27">
      <c r="AA837" s="126"/>
    </row>
    <row r="838" spans="27:27">
      <c r="AA838" s="126"/>
    </row>
    <row r="839" spans="27:27">
      <c r="AA839" s="126"/>
    </row>
    <row r="840" spans="27:27">
      <c r="AA840" s="126"/>
    </row>
    <row r="841" spans="27:27">
      <c r="AA841" s="126"/>
    </row>
    <row r="842" spans="27:27">
      <c r="AA842" s="126"/>
    </row>
    <row r="843" spans="27:27">
      <c r="AA843" s="126"/>
    </row>
    <row r="844" spans="27:27">
      <c r="AA844" s="126"/>
    </row>
    <row r="845" spans="27:27">
      <c r="AA845" s="126"/>
    </row>
    <row r="846" spans="27:27">
      <c r="AA846" s="126"/>
    </row>
    <row r="847" spans="27:27">
      <c r="AA847" s="126"/>
    </row>
    <row r="848" spans="27:27">
      <c r="AA848" s="126"/>
    </row>
    <row r="849" spans="27:27">
      <c r="AA849" s="126"/>
    </row>
    <row r="850" spans="27:27">
      <c r="AA850" s="126"/>
    </row>
    <row r="851" spans="27:27">
      <c r="AA851" s="126"/>
    </row>
    <row r="852" spans="27:27">
      <c r="AA852" s="126"/>
    </row>
    <row r="853" spans="27:27">
      <c r="AA853" s="126"/>
    </row>
    <row r="854" spans="27:27">
      <c r="AA854" s="126"/>
    </row>
    <row r="855" spans="27:27">
      <c r="AA855" s="126"/>
    </row>
    <row r="856" spans="27:27">
      <c r="AA856" s="126"/>
    </row>
    <row r="857" spans="27:27">
      <c r="AA857" s="126"/>
    </row>
    <row r="858" spans="27:27">
      <c r="AA858" s="126"/>
    </row>
    <row r="859" spans="27:27">
      <c r="AA859" s="126"/>
    </row>
    <row r="860" spans="27:27">
      <c r="AA860" s="126"/>
    </row>
    <row r="861" spans="27:27">
      <c r="AA861" s="126"/>
    </row>
    <row r="862" spans="27:27">
      <c r="AA862" s="126"/>
    </row>
    <row r="863" spans="27:27">
      <c r="AA863" s="126"/>
    </row>
    <row r="864" spans="27:27">
      <c r="AA864" s="126"/>
    </row>
    <row r="865" spans="27:27">
      <c r="AA865" s="126"/>
    </row>
    <row r="866" spans="27:27">
      <c r="AA866" s="126"/>
    </row>
    <row r="867" spans="27:27">
      <c r="AA867" s="126"/>
    </row>
    <row r="868" spans="27:27">
      <c r="AA868" s="126"/>
    </row>
    <row r="869" spans="27:27">
      <c r="AA869" s="126"/>
    </row>
    <row r="870" spans="27:27">
      <c r="AA870" s="126"/>
    </row>
    <row r="871" spans="27:27">
      <c r="AA871" s="126"/>
    </row>
    <row r="872" spans="27:27">
      <c r="AA872" s="126"/>
    </row>
    <row r="873" spans="27:27">
      <c r="AA873" s="126"/>
    </row>
    <row r="874" spans="27:27">
      <c r="AA874" s="126"/>
    </row>
    <row r="875" spans="27:27">
      <c r="AA875" s="126"/>
    </row>
    <row r="876" spans="27:27">
      <c r="AA876" s="126"/>
    </row>
    <row r="877" spans="27:27">
      <c r="AA877" s="126"/>
    </row>
    <row r="878" spans="27:27">
      <c r="AA878" s="126"/>
    </row>
    <row r="879" spans="27:27">
      <c r="AA879" s="126"/>
    </row>
    <row r="880" spans="27:27">
      <c r="AA880" s="126"/>
    </row>
    <row r="881" spans="27:27">
      <c r="AA881" s="126"/>
    </row>
    <row r="882" spans="27:27">
      <c r="AA882" s="126"/>
    </row>
    <row r="883" spans="27:27">
      <c r="AA883" s="126"/>
    </row>
    <row r="884" spans="27:27">
      <c r="AA884" s="126"/>
    </row>
    <row r="885" spans="27:27">
      <c r="AA885" s="126"/>
    </row>
    <row r="886" spans="27:27">
      <c r="AA886" s="126"/>
    </row>
    <row r="887" spans="27:27">
      <c r="AA887" s="126"/>
    </row>
    <row r="888" spans="27:27">
      <c r="AA888" s="126"/>
    </row>
    <row r="889" spans="27:27">
      <c r="AA889" s="126"/>
    </row>
    <row r="890" spans="27:27">
      <c r="AA890" s="126"/>
    </row>
    <row r="891" spans="27:27">
      <c r="AA891" s="126"/>
    </row>
    <row r="892" spans="27:27">
      <c r="AA892" s="264"/>
    </row>
    <row r="893" spans="27:27">
      <c r="AA893" s="126"/>
    </row>
    <row r="894" spans="27:27">
      <c r="AA894" s="126"/>
    </row>
    <row r="895" spans="27:27">
      <c r="AA895" s="126"/>
    </row>
    <row r="896" spans="27:27">
      <c r="AA896" s="126"/>
    </row>
    <row r="897" spans="27:27">
      <c r="AA897" s="126"/>
    </row>
    <row r="898" spans="27:27">
      <c r="AA898" s="126"/>
    </row>
    <row r="899" spans="27:27">
      <c r="AA899" s="126"/>
    </row>
    <row r="900" spans="27:27">
      <c r="AA900" s="126"/>
    </row>
    <row r="901" spans="27:27">
      <c r="AA901" s="126"/>
    </row>
    <row r="902" spans="27:27">
      <c r="AA902" s="126"/>
    </row>
    <row r="903" spans="27:27">
      <c r="AA903" s="126"/>
    </row>
    <row r="904" spans="27:27">
      <c r="AA904" s="126"/>
    </row>
    <row r="905" spans="27:27">
      <c r="AA905" s="126"/>
    </row>
    <row r="906" spans="27:27">
      <c r="AA906" s="126"/>
    </row>
    <row r="907" spans="27:27">
      <c r="AA907" s="126"/>
    </row>
    <row r="908" spans="27:27">
      <c r="AA908" s="126"/>
    </row>
    <row r="909" spans="27:27">
      <c r="AA909" s="126"/>
    </row>
    <row r="910" spans="27:27">
      <c r="AA910" s="126"/>
    </row>
    <row r="911" spans="27:27">
      <c r="AA911" s="126"/>
    </row>
    <row r="912" spans="27:27">
      <c r="AA912" s="126"/>
    </row>
    <row r="913" spans="27:27">
      <c r="AA913" s="126"/>
    </row>
    <row r="914" spans="27:27">
      <c r="AA914" s="126"/>
    </row>
    <row r="915" spans="27:27">
      <c r="AA915" s="126"/>
    </row>
    <row r="916" spans="27:27">
      <c r="AA916" s="126"/>
    </row>
    <row r="917" spans="27:27">
      <c r="AA917" s="126"/>
    </row>
    <row r="918" spans="27:27">
      <c r="AA918" s="126"/>
    </row>
    <row r="919" spans="27:27">
      <c r="AA919" s="126"/>
    </row>
    <row r="920" spans="27:27">
      <c r="AA920" s="241"/>
    </row>
    <row r="921" spans="27:27">
      <c r="AA921" s="126"/>
    </row>
    <row r="922" spans="27:27">
      <c r="AA922" s="126"/>
    </row>
    <row r="923" spans="27:27">
      <c r="AA923" s="126"/>
    </row>
    <row r="924" spans="27:27">
      <c r="AA924" s="126"/>
    </row>
    <row r="925" spans="27:27">
      <c r="AA925" s="126"/>
    </row>
    <row r="926" spans="27:27">
      <c r="AA926" s="126"/>
    </row>
    <row r="927" spans="27:27">
      <c r="AA927" s="126"/>
    </row>
    <row r="928" spans="27:27">
      <c r="AA928" s="126"/>
    </row>
    <row r="929" spans="27:27">
      <c r="AA929" s="126"/>
    </row>
    <row r="930" spans="27:27">
      <c r="AA930" s="126"/>
    </row>
    <row r="931" spans="27:27">
      <c r="AA931" s="126"/>
    </row>
    <row r="932" spans="27:27">
      <c r="AA932" s="126"/>
    </row>
    <row r="933" spans="27:27">
      <c r="AA933" s="126"/>
    </row>
    <row r="934" spans="27:27">
      <c r="AA934" s="264"/>
    </row>
    <row r="935" spans="27:27">
      <c r="AA935" s="126"/>
    </row>
    <row r="936" spans="27:27">
      <c r="AA936" s="126"/>
    </row>
    <row r="937" spans="27:27">
      <c r="AA937" s="126"/>
    </row>
    <row r="938" spans="27:27">
      <c r="AA938" s="126"/>
    </row>
    <row r="939" spans="27:27">
      <c r="AA939" s="126"/>
    </row>
    <row r="940" spans="27:27">
      <c r="AA940" s="126"/>
    </row>
    <row r="941" spans="27:27">
      <c r="AA941" s="126"/>
    </row>
    <row r="942" spans="27:27">
      <c r="AA942" s="126"/>
    </row>
    <row r="944" spans="27:27">
      <c r="AA944" s="126"/>
    </row>
    <row r="945" spans="27:27">
      <c r="AA945" s="126"/>
    </row>
    <row r="946" spans="27:27">
      <c r="AA946" s="264"/>
    </row>
    <row r="947" spans="27:27">
      <c r="AA947" s="126"/>
    </row>
    <row r="948" spans="27:27">
      <c r="AA948" s="264"/>
    </row>
    <row r="949" spans="27:27">
      <c r="AA949" s="126"/>
    </row>
    <row r="950" spans="27:27">
      <c r="AA950" s="126"/>
    </row>
    <row r="951" spans="27:27">
      <c r="AA951" s="126"/>
    </row>
    <row r="952" spans="27:27">
      <c r="AA952" s="264"/>
    </row>
    <row r="953" spans="27:27">
      <c r="AA953" s="123"/>
    </row>
    <row r="955" spans="27:27">
      <c r="AA955" s="126"/>
    </row>
    <row r="956" spans="27:27">
      <c r="AA956" s="264"/>
    </row>
    <row r="957" spans="27:27">
      <c r="AA957" s="126"/>
    </row>
    <row r="958" spans="27:27">
      <c r="AA958" s="126"/>
    </row>
    <row r="959" spans="27:27">
      <c r="AA959" s="264"/>
    </row>
    <row r="960" spans="27:27">
      <c r="AA960" s="126"/>
    </row>
    <row r="961" spans="27:27">
      <c r="AA961" s="126"/>
    </row>
    <row r="962" spans="27:27">
      <c r="AA962" s="126"/>
    </row>
    <row r="963" spans="27:27">
      <c r="AA963" s="126"/>
    </row>
    <row r="964" spans="27:27">
      <c r="AA964" s="126"/>
    </row>
    <row r="965" spans="27:27">
      <c r="AA965" s="264"/>
    </row>
    <row r="966" spans="27:27">
      <c r="AA966" s="126"/>
    </row>
    <row r="967" spans="27:27">
      <c r="AA967" s="126"/>
    </row>
    <row r="968" spans="27:27">
      <c r="AA968" s="126"/>
    </row>
    <row r="969" spans="27:27">
      <c r="AA969" s="126"/>
    </row>
    <row r="971" spans="27:27">
      <c r="AA971" s="264"/>
    </row>
    <row r="972" spans="27:27">
      <c r="AA972" s="126"/>
    </row>
    <row r="973" spans="27:27">
      <c r="AA973" s="126"/>
    </row>
    <row r="974" spans="27:27">
      <c r="AA974" s="126"/>
    </row>
    <row r="975" spans="27:27">
      <c r="AA975" s="126"/>
    </row>
    <row r="976" spans="27:27">
      <c r="AA976" s="126"/>
    </row>
    <row r="977" spans="27:27">
      <c r="AA977" s="126"/>
    </row>
    <row r="978" spans="27:27">
      <c r="AA978" s="126"/>
    </row>
    <row r="979" spans="27:27">
      <c r="AA979" s="126"/>
    </row>
    <row r="980" spans="27:27">
      <c r="AA980" s="26"/>
    </row>
    <row r="981" spans="27:27">
      <c r="AA981" s="126"/>
    </row>
    <row r="982" spans="27:27">
      <c r="AA982" s="126"/>
    </row>
    <row r="983" spans="27:27">
      <c r="AA983" s="126"/>
    </row>
    <row r="984" spans="27:27">
      <c r="AA984" s="126"/>
    </row>
    <row r="985" spans="27:27">
      <c r="AA985" s="126"/>
    </row>
    <row r="986" spans="27:27">
      <c r="AA986" s="126"/>
    </row>
    <row r="987" spans="27:27">
      <c r="AA987" s="126"/>
    </row>
    <row r="988" spans="27:27">
      <c r="AA988" s="264"/>
    </row>
    <row r="989" spans="27:27">
      <c r="AA989" s="126"/>
    </row>
    <row r="990" spans="27:27">
      <c r="AA990" s="126"/>
    </row>
    <row r="991" spans="27:27">
      <c r="AA991" s="126"/>
    </row>
    <row r="992" spans="27:27">
      <c r="AA992" s="126"/>
    </row>
    <row r="993" spans="27:27">
      <c r="AA993" s="126"/>
    </row>
    <row r="994" spans="27:27">
      <c r="AA994" s="126"/>
    </row>
    <row r="995" spans="27:27">
      <c r="AA995" s="264"/>
    </row>
    <row r="996" spans="27:27">
      <c r="AA996" s="126"/>
    </row>
    <row r="997" spans="27:27">
      <c r="AA997" s="126"/>
    </row>
    <row r="998" spans="27:27">
      <c r="AA998" s="126"/>
    </row>
    <row r="999" spans="27:27">
      <c r="AA999" s="126"/>
    </row>
    <row r="1000" spans="27:27">
      <c r="AA1000" s="126"/>
    </row>
    <row r="1001" spans="27:27">
      <c r="AA1001" s="126"/>
    </row>
    <row r="1002" spans="27:27">
      <c r="AA1002" s="126"/>
    </row>
    <row r="1003" spans="27:27">
      <c r="AA1003" s="264"/>
    </row>
    <row r="1004" spans="27:27">
      <c r="AA1004" s="126"/>
    </row>
    <row r="1005" spans="27:27">
      <c r="AA1005" s="126"/>
    </row>
    <row r="1006" spans="27:27">
      <c r="AA1006" s="126"/>
    </row>
    <row r="1007" spans="27:27">
      <c r="AA1007" s="126"/>
    </row>
    <row r="1008" spans="27:27">
      <c r="AA1008" s="126"/>
    </row>
    <row r="1009" spans="27:27">
      <c r="AA1009" s="126"/>
    </row>
    <row r="1010" spans="27:27">
      <c r="AA1010" s="126"/>
    </row>
    <row r="1011" spans="27:27">
      <c r="AA1011" s="126"/>
    </row>
    <row r="1012" spans="27:27">
      <c r="AA1012" s="126"/>
    </row>
    <row r="1013" spans="27:27">
      <c r="AA1013" s="123"/>
    </row>
    <row r="1014" spans="27:27">
      <c r="AA1014" s="123"/>
    </row>
    <row r="1015" spans="27:27">
      <c r="AA1015" s="126"/>
    </row>
    <row r="1016" spans="27:27">
      <c r="AA1016" s="126"/>
    </row>
    <row r="1017" spans="27:27">
      <c r="AA1017" s="126"/>
    </row>
    <row r="1018" spans="27:27">
      <c r="AA1018" s="126"/>
    </row>
    <row r="1019" spans="27:27">
      <c r="AA1019" s="126"/>
    </row>
    <row r="1020" spans="27:27">
      <c r="AA1020" s="126"/>
    </row>
    <row r="1021" spans="27:27">
      <c r="AA1021" s="126"/>
    </row>
    <row r="1022" spans="27:27">
      <c r="AA1022" s="126"/>
    </row>
    <row r="1023" spans="27:27">
      <c r="AA1023" s="126"/>
    </row>
    <row r="1024" spans="27:27">
      <c r="AA1024" s="126"/>
    </row>
    <row r="1025" spans="27:27">
      <c r="AA1025" s="126"/>
    </row>
    <row r="1026" spans="27:27">
      <c r="AA1026" s="264"/>
    </row>
    <row r="1027" spans="27:27">
      <c r="AA1027" s="126"/>
    </row>
    <row r="1028" spans="27:27">
      <c r="AA1028" s="126"/>
    </row>
    <row r="1029" spans="27:27">
      <c r="AA1029" s="264"/>
    </row>
    <row r="1030" spans="27:27">
      <c r="AA1030" s="126"/>
    </row>
    <row r="1031" spans="27:27">
      <c r="AA1031" s="126"/>
    </row>
    <row r="1032" spans="27:27">
      <c r="AA1032" s="126"/>
    </row>
    <row r="1033" spans="27:27">
      <c r="AA1033" s="43"/>
    </row>
    <row r="1035" spans="27:27">
      <c r="AA1035" s="126"/>
    </row>
    <row r="1036" spans="27:27">
      <c r="AA1036" s="126"/>
    </row>
    <row r="1037" spans="27:27">
      <c r="AA1037" s="126"/>
    </row>
    <row r="1038" spans="27:27">
      <c r="AA1038" s="126"/>
    </row>
    <row r="1039" spans="27:27">
      <c r="AA1039" s="126"/>
    </row>
    <row r="1040" spans="27:27">
      <c r="AA1040" s="126"/>
    </row>
    <row r="1041" spans="27:27">
      <c r="AA1041" s="126"/>
    </row>
    <row r="1042" spans="27:27">
      <c r="AA1042" s="126"/>
    </row>
    <row r="1043" spans="27:27">
      <c r="AA1043" s="123"/>
    </row>
    <row r="1044" spans="27:27">
      <c r="AA1044" s="126"/>
    </row>
    <row r="1045" spans="27:27">
      <c r="AA1045" s="126"/>
    </row>
    <row r="1046" spans="27:27">
      <c r="AA1046" s="126"/>
    </row>
    <row r="1047" spans="27:27">
      <c r="AA1047" s="126"/>
    </row>
    <row r="1048" spans="27:27">
      <c r="AA1048" s="126"/>
    </row>
    <row r="1049" spans="27:27">
      <c r="AA1049" s="126"/>
    </row>
    <row r="1050" spans="27:27">
      <c r="AA1050" s="126"/>
    </row>
    <row r="1051" spans="27:27">
      <c r="AA1051" s="126"/>
    </row>
    <row r="1053" spans="27:27">
      <c r="AA1053" s="126"/>
    </row>
    <row r="1054" spans="27:27">
      <c r="AA1054" s="126"/>
    </row>
    <row r="1055" spans="27:27">
      <c r="AA1055" s="126"/>
    </row>
    <row r="1056" spans="27:27">
      <c r="AA1056" s="126"/>
    </row>
    <row r="1057" spans="27:27">
      <c r="AA1057" s="264"/>
    </row>
    <row r="1058" spans="27:27">
      <c r="AA1058" s="126"/>
    </row>
    <row r="1059" spans="27:27">
      <c r="AA1059" s="126"/>
    </row>
    <row r="1060" spans="27:27">
      <c r="AA1060" s="126"/>
    </row>
    <row r="1061" spans="27:27">
      <c r="AA1061" s="126"/>
    </row>
    <row r="1062" spans="27:27">
      <c r="AA1062" s="126"/>
    </row>
    <row r="1063" spans="27:27">
      <c r="AA1063" s="126"/>
    </row>
    <row r="1064" spans="27:27">
      <c r="AA1064" s="123"/>
    </row>
    <row r="1065" spans="27:27">
      <c r="AA1065" s="126"/>
    </row>
    <row r="1066" spans="27:27">
      <c r="AA1066" s="264"/>
    </row>
    <row r="1067" spans="27:27">
      <c r="AA1067" s="126"/>
    </row>
    <row r="1068" spans="27:27">
      <c r="AA1068" s="126"/>
    </row>
    <row r="1069" spans="27:27">
      <c r="AA1069" s="126"/>
    </row>
    <row r="1070" spans="27:27">
      <c r="AA1070" s="126"/>
    </row>
    <row r="1071" spans="27:27">
      <c r="AA1071" s="126"/>
    </row>
    <row r="1072" spans="27:27">
      <c r="AA1072" s="126"/>
    </row>
    <row r="1073" spans="27:27">
      <c r="AA1073" s="126"/>
    </row>
    <row r="1074" spans="27:27">
      <c r="AA1074" s="126"/>
    </row>
    <row r="1075" spans="27:27">
      <c r="AA1075" s="126"/>
    </row>
    <row r="1076" spans="27:27">
      <c r="AA1076" s="126"/>
    </row>
    <row r="1077" spans="27:27">
      <c r="AA1077" s="126"/>
    </row>
    <row r="1078" spans="27:27">
      <c r="AA1078" s="126"/>
    </row>
    <row r="1079" spans="27:27">
      <c r="AA1079" s="126"/>
    </row>
    <row r="1080" spans="27:27">
      <c r="AA1080" s="126"/>
    </row>
    <row r="1081" spans="27:27">
      <c r="AA1081" s="126"/>
    </row>
    <row r="1082" spans="27:27">
      <c r="AA1082" s="126"/>
    </row>
    <row r="1083" spans="27:27">
      <c r="AA1083" s="126"/>
    </row>
    <row r="1084" spans="27:27">
      <c r="AA1084" s="126"/>
    </row>
    <row r="1085" spans="27:27">
      <c r="AA1085" s="123"/>
    </row>
    <row r="1086" spans="27:27">
      <c r="AA1086" s="126"/>
    </row>
    <row r="1087" spans="27:27">
      <c r="AA1087" s="126"/>
    </row>
    <row r="1088" spans="27:27">
      <c r="AA1088" s="126"/>
    </row>
    <row r="1089" spans="27:27">
      <c r="AA1089" s="126"/>
    </row>
    <row r="1090" spans="27:27">
      <c r="AA1090" s="126"/>
    </row>
    <row r="1091" spans="27:27">
      <c r="AA1091" s="27"/>
    </row>
    <row r="1092" spans="27:27">
      <c r="AA1092" s="123"/>
    </row>
    <row r="1093" spans="27:27">
      <c r="AA1093" s="264"/>
    </row>
    <row r="1094" spans="27:27">
      <c r="AA1094" s="264"/>
    </row>
    <row r="1095" spans="27:27">
      <c r="AA1095" s="126"/>
    </row>
    <row r="1096" spans="27:27">
      <c r="AA1096" s="123"/>
    </row>
    <row r="1097" spans="27:27">
      <c r="AA1097" s="126"/>
    </row>
    <row r="1098" spans="27:27">
      <c r="AA1098" s="126"/>
    </row>
    <row r="1099" spans="27:27">
      <c r="AA1099" s="126"/>
    </row>
    <row r="1100" spans="27:27">
      <c r="AA1100" s="43"/>
    </row>
    <row r="1101" spans="27:27">
      <c r="AA1101" s="126"/>
    </row>
    <row r="1103" spans="27:27">
      <c r="AA1103" s="126"/>
    </row>
    <row r="1104" spans="27:27">
      <c r="AA1104" s="123"/>
    </row>
    <row r="1105" spans="27:27">
      <c r="AA1105" s="126"/>
    </row>
    <row r="1106" spans="27:27">
      <c r="AA1106" s="126"/>
    </row>
    <row r="1107" spans="27:27">
      <c r="AA1107" s="123"/>
    </row>
    <row r="1108" spans="27:27">
      <c r="AA1108" s="126"/>
    </row>
    <row r="1109" spans="27:27">
      <c r="AA1109" s="126"/>
    </row>
    <row r="1110" spans="27:27">
      <c r="AA1110" s="126"/>
    </row>
    <row r="1111" spans="27:27">
      <c r="AA1111" s="126"/>
    </row>
    <row r="1112" spans="27:27">
      <c r="AA1112" s="126"/>
    </row>
    <row r="1113" spans="27:27">
      <c r="AA1113" s="126"/>
    </row>
    <row r="1114" spans="27:27">
      <c r="AA1114" s="126"/>
    </row>
    <row r="1115" spans="27:27">
      <c r="AA1115" s="126"/>
    </row>
    <row r="1116" spans="27:27">
      <c r="AA1116" s="126"/>
    </row>
    <row r="1117" spans="27:27">
      <c r="AA1117" s="126"/>
    </row>
    <row r="1118" spans="27:27">
      <c r="AA1118" s="264"/>
    </row>
    <row r="1119" spans="27:27">
      <c r="AA1119" s="126"/>
    </row>
    <row r="1120" spans="27:27">
      <c r="AA1120" s="126"/>
    </row>
    <row r="1121" spans="27:29">
      <c r="AA1121" s="126"/>
    </row>
    <row r="1122" spans="27:29">
      <c r="AA1122" s="126"/>
    </row>
    <row r="1123" spans="27:29">
      <c r="AA1123" s="126"/>
      <c r="AB1123" s="251" t="s">
        <v>3545</v>
      </c>
      <c r="AC1123" s="410" t="s">
        <v>3545</v>
      </c>
    </row>
    <row r="1124" spans="27:29">
      <c r="AA1124" s="126"/>
    </row>
    <row r="1125" spans="27:29">
      <c r="AA1125" s="123"/>
    </row>
    <row r="1126" spans="27:29">
      <c r="AA1126" s="126"/>
    </row>
    <row r="1127" spans="27:29">
      <c r="AA1127" s="126"/>
    </row>
    <row r="1128" spans="27:29">
      <c r="AA1128" s="126"/>
    </row>
    <row r="1129" spans="27:29">
      <c r="AA1129" s="126"/>
    </row>
    <row r="1130" spans="27:29">
      <c r="AA1130" s="264"/>
    </row>
    <row r="1132" spans="27:29">
      <c r="AA1132" s="126"/>
    </row>
    <row r="1133" spans="27:29">
      <c r="AA1133" s="126"/>
    </row>
    <row r="1134" spans="27:29">
      <c r="AA1134" s="126"/>
    </row>
    <row r="1135" spans="27:29">
      <c r="AA1135" s="27"/>
    </row>
    <row r="1136" spans="27:29">
      <c r="AA1136" s="126"/>
    </row>
    <row r="1137" spans="27:27">
      <c r="AA1137" s="264"/>
    </row>
    <row r="1138" spans="27:27">
      <c r="AA1138" s="123"/>
    </row>
    <row r="1139" spans="27:27">
      <c r="AA1139" s="126"/>
    </row>
    <row r="1140" spans="27:27">
      <c r="AA1140" s="126"/>
    </row>
    <row r="1141" spans="27:27">
      <c r="AA1141" s="126"/>
    </row>
    <row r="1142" spans="27:27">
      <c r="AA1142" s="126"/>
    </row>
    <row r="1143" spans="27:27">
      <c r="AA1143" s="126"/>
    </row>
    <row r="1144" spans="27:27">
      <c r="AA1144" s="126"/>
    </row>
    <row r="1145" spans="27:27">
      <c r="AA1145" s="126"/>
    </row>
    <row r="1146" spans="27:27">
      <c r="AA1146" s="126"/>
    </row>
    <row r="1147" spans="27:27">
      <c r="AA1147" s="126"/>
    </row>
    <row r="1148" spans="27:27">
      <c r="AA1148" s="126"/>
    </row>
    <row r="1149" spans="27:27">
      <c r="AA1149" s="126"/>
    </row>
    <row r="1150" spans="27:27">
      <c r="AA1150" s="126"/>
    </row>
    <row r="1151" spans="27:27">
      <c r="AA1151" s="126"/>
    </row>
    <row r="1152" spans="27:27">
      <c r="AA1152" s="264"/>
    </row>
    <row r="1154" spans="27:27">
      <c r="AA1154" s="126"/>
    </row>
    <row r="1155" spans="27:27">
      <c r="AA1155" s="126"/>
    </row>
    <row r="1156" spans="27:27">
      <c r="AA1156" s="126"/>
    </row>
    <row r="1157" spans="27:27">
      <c r="AA1157" s="126"/>
    </row>
    <row r="1158" spans="27:27">
      <c r="AA1158" s="126"/>
    </row>
    <row r="1159" spans="27:27">
      <c r="AA1159" s="126"/>
    </row>
    <row r="1160" spans="27:27">
      <c r="AA1160" s="126"/>
    </row>
    <row r="1161" spans="27:27">
      <c r="AA1161" s="126"/>
    </row>
    <row r="1162" spans="27:27">
      <c r="AA1162" s="126"/>
    </row>
    <row r="1163" spans="27:27">
      <c r="AA1163" s="126"/>
    </row>
    <row r="1164" spans="27:27">
      <c r="AA1164" s="126"/>
    </row>
    <row r="1165" spans="27:27">
      <c r="AA1165" s="126"/>
    </row>
    <row r="1166" spans="27:27">
      <c r="AA1166" s="126"/>
    </row>
    <row r="1167" spans="27:27">
      <c r="AA1167" s="126"/>
    </row>
    <row r="1169" spans="27:27">
      <c r="AA1169" s="126"/>
    </row>
    <row r="1170" spans="27:27">
      <c r="AA1170" s="123"/>
    </row>
    <row r="1171" spans="27:27">
      <c r="AA1171" s="126"/>
    </row>
    <row r="1172" spans="27:27">
      <c r="AA1172" s="126"/>
    </row>
    <row r="1173" spans="27:27">
      <c r="AA1173" s="126"/>
    </row>
    <row r="1174" spans="27:27">
      <c r="AA1174" s="126"/>
    </row>
    <row r="1175" spans="27:27">
      <c r="AA1175" s="126"/>
    </row>
    <row r="1176" spans="27:27">
      <c r="AA1176" s="126"/>
    </row>
    <row r="1178" spans="27:27">
      <c r="AA1178" s="126"/>
    </row>
    <row r="1179" spans="27:27">
      <c r="AA1179" s="126"/>
    </row>
    <row r="1180" spans="27:27">
      <c r="AA1180" s="126"/>
    </row>
    <row r="1181" spans="27:27">
      <c r="AA1181" s="126"/>
    </row>
    <row r="1182" spans="27:27">
      <c r="AA1182" s="126"/>
    </row>
    <row r="1183" spans="27:27">
      <c r="AA1183" s="126"/>
    </row>
    <row r="1184" spans="27:27">
      <c r="AA1184" s="126"/>
    </row>
    <row r="1185" spans="27:27">
      <c r="AA1185" s="126"/>
    </row>
    <row r="1186" spans="27:27">
      <c r="AA1186" s="126"/>
    </row>
    <row r="1187" spans="27:27">
      <c r="AA1187" s="123"/>
    </row>
    <row r="1188" spans="27:27">
      <c r="AA1188" s="126"/>
    </row>
    <row r="1189" spans="27:27">
      <c r="AA1189" s="126"/>
    </row>
    <row r="1190" spans="27:27">
      <c r="AA1190" s="126"/>
    </row>
    <row r="1192" spans="27:27">
      <c r="AA1192" s="126"/>
    </row>
    <row r="1193" spans="27:27">
      <c r="AA1193" s="126"/>
    </row>
    <row r="1194" spans="27:27">
      <c r="AA1194" s="264"/>
    </row>
    <row r="1195" spans="27:27">
      <c r="AA1195" s="126"/>
    </row>
    <row r="1196" spans="27:27">
      <c r="AA1196" s="264"/>
    </row>
    <row r="1197" spans="27:27">
      <c r="AA1197" s="126"/>
    </row>
    <row r="1198" spans="27:27">
      <c r="AA1198" s="126"/>
    </row>
    <row r="1199" spans="27:27">
      <c r="AA1199" s="126"/>
    </row>
    <row r="1200" spans="27:27">
      <c r="AA1200" s="264"/>
    </row>
    <row r="1201" spans="27:27">
      <c r="AA1201" s="264"/>
    </row>
    <row r="1202" spans="27:27">
      <c r="AA1202" s="126"/>
    </row>
    <row r="1203" spans="27:27">
      <c r="AA1203" s="126"/>
    </row>
    <row r="1204" spans="27:27">
      <c r="AA1204" s="126"/>
    </row>
    <row r="1205" spans="27:27">
      <c r="AA1205" s="126"/>
    </row>
    <row r="1206" spans="27:27">
      <c r="AA1206" s="264"/>
    </row>
    <row r="1207" spans="27:27">
      <c r="AA1207" s="126"/>
    </row>
    <row r="1208" spans="27:27">
      <c r="AA1208" s="264"/>
    </row>
    <row r="1209" spans="27:27">
      <c r="AA1209" s="126"/>
    </row>
    <row r="1210" spans="27:27">
      <c r="AA1210" s="264"/>
    </row>
    <row r="1211" spans="27:27">
      <c r="AA1211" s="126"/>
    </row>
    <row r="1212" spans="27:27">
      <c r="AA1212" s="126"/>
    </row>
    <row r="1213" spans="27:27">
      <c r="AA1213" s="126"/>
    </row>
    <row r="1214" spans="27:27">
      <c r="AA1214" s="126"/>
    </row>
    <row r="1215" spans="27:27">
      <c r="AA1215" s="126"/>
    </row>
    <row r="1216" spans="27:27">
      <c r="AA1216" s="126"/>
    </row>
    <row r="1217" spans="27:27">
      <c r="AA1217" s="126"/>
    </row>
    <row r="1218" spans="27:27">
      <c r="AA1218" s="126"/>
    </row>
    <row r="1219" spans="27:27">
      <c r="AA1219" s="126"/>
    </row>
    <row r="1220" spans="27:27">
      <c r="AA1220" s="126"/>
    </row>
    <row r="1221" spans="27:27">
      <c r="AA1221" s="126"/>
    </row>
    <row r="1222" spans="27:27">
      <c r="AA1222" s="126"/>
    </row>
    <row r="1223" spans="27:27">
      <c r="AA1223" s="126"/>
    </row>
    <row r="1224" spans="27:27">
      <c r="AA1224" s="126"/>
    </row>
    <row r="1225" spans="27:27">
      <c r="AA1225" s="126"/>
    </row>
    <row r="1226" spans="27:27">
      <c r="AA1226" s="126"/>
    </row>
    <row r="1227" spans="27:27">
      <c r="AA1227" s="264"/>
    </row>
    <row r="1228" spans="27:27">
      <c r="AA1228" s="126"/>
    </row>
    <row r="1229" spans="27:27">
      <c r="AA1229" s="126"/>
    </row>
    <row r="1230" spans="27:27">
      <c r="AA1230" s="126"/>
    </row>
    <row r="1231" spans="27:27">
      <c r="AA1231" s="126"/>
    </row>
    <row r="1232" spans="27:27">
      <c r="AA1232" s="126"/>
    </row>
    <row r="1233" spans="27:27">
      <c r="AA1233" s="126"/>
    </row>
    <row r="1234" spans="27:27">
      <c r="AA1234" s="126"/>
    </row>
    <row r="1235" spans="27:27">
      <c r="AA1235" s="264"/>
    </row>
    <row r="1236" spans="27:27">
      <c r="AA1236" s="126"/>
    </row>
    <row r="1237" spans="27:27">
      <c r="AA1237" s="126"/>
    </row>
    <row r="1238" spans="27:27">
      <c r="AA1238" s="126"/>
    </row>
    <row r="1239" spans="27:27">
      <c r="AA1239" s="126"/>
    </row>
    <row r="1240" spans="27:27">
      <c r="AA1240" s="126"/>
    </row>
    <row r="1241" spans="27:27">
      <c r="AA1241" s="126"/>
    </row>
    <row r="1242" spans="27:27">
      <c r="AA1242" s="126"/>
    </row>
    <row r="1243" spans="27:27">
      <c r="AA1243" s="126"/>
    </row>
    <row r="1244" spans="27:27">
      <c r="AA1244" s="126"/>
    </row>
    <row r="1245" spans="27:27">
      <c r="AA1245" s="126"/>
    </row>
    <row r="1246" spans="27:27">
      <c r="AA1246" s="123"/>
    </row>
    <row r="1247" spans="27:27">
      <c r="AA1247" s="126"/>
    </row>
    <row r="1248" spans="27:27">
      <c r="AA1248" s="126"/>
    </row>
    <row r="1249" spans="27:27">
      <c r="AA1249" s="264"/>
    </row>
    <row r="1250" spans="27:27">
      <c r="AA1250" s="126"/>
    </row>
    <row r="1251" spans="27:27">
      <c r="AA1251" s="126"/>
    </row>
    <row r="1252" spans="27:27">
      <c r="AA1252" s="126"/>
    </row>
    <row r="1253" spans="27:27">
      <c r="AA1253" s="126"/>
    </row>
    <row r="1254" spans="27:27">
      <c r="AA1254" s="126"/>
    </row>
    <row r="1255" spans="27:27">
      <c r="AA1255" s="126"/>
    </row>
    <row r="1256" spans="27:27">
      <c r="AA1256" s="126"/>
    </row>
    <row r="1257" spans="27:27">
      <c r="AA1257" s="264"/>
    </row>
    <row r="1258" spans="27:27">
      <c r="AA1258" s="264"/>
    </row>
    <row r="1259" spans="27:27">
      <c r="AA1259" s="126"/>
    </row>
    <row r="1260" spans="27:27">
      <c r="AA1260" s="264"/>
    </row>
    <row r="1261" spans="27:27">
      <c r="AA1261" s="126"/>
    </row>
    <row r="1262" spans="27:27">
      <c r="AA1262" s="126"/>
    </row>
    <row r="1263" spans="27:27">
      <c r="AA1263" s="126"/>
    </row>
    <row r="1264" spans="27:27">
      <c r="AA1264" s="126"/>
    </row>
    <row r="1265" spans="27:27">
      <c r="AA1265" s="126"/>
    </row>
    <row r="1266" spans="27:27">
      <c r="AA1266" s="126"/>
    </row>
    <row r="1267" spans="27:27">
      <c r="AA1267" s="126"/>
    </row>
    <row r="1268" spans="27:27">
      <c r="AA1268" s="264"/>
    </row>
    <row r="1269" spans="27:27">
      <c r="AA1269" s="126"/>
    </row>
    <row r="1270" spans="27:27">
      <c r="AA1270" s="126"/>
    </row>
    <row r="1271" spans="27:27">
      <c r="AA1271" s="126"/>
    </row>
    <row r="1272" spans="27:27">
      <c r="AA1272" s="126"/>
    </row>
    <row r="1273" spans="27:27">
      <c r="AA1273" s="126"/>
    </row>
    <row r="1274" spans="27:27">
      <c r="AA1274" s="126"/>
    </row>
    <row r="1275" spans="27:27">
      <c r="AA1275" s="126"/>
    </row>
    <row r="1276" spans="27:27">
      <c r="AA1276" s="126"/>
    </row>
    <row r="1277" spans="27:27">
      <c r="AA1277" s="126"/>
    </row>
    <row r="1278" spans="27:27">
      <c r="AA1278" s="126"/>
    </row>
    <row r="1279" spans="27:27">
      <c r="AA1279" s="126"/>
    </row>
    <row r="1280" spans="27:27">
      <c r="AA1280" s="127"/>
    </row>
    <row r="1281" spans="15:27">
      <c r="AA1281" s="126"/>
    </row>
    <row r="1282" spans="15:27">
      <c r="AA1282" s="126"/>
    </row>
    <row r="1283" spans="15:27">
      <c r="AA1283" s="126"/>
    </row>
    <row r="1284" spans="15:27">
      <c r="AA1284" s="126"/>
    </row>
    <row r="1285" spans="15:27">
      <c r="AA1285" s="126"/>
    </row>
    <row r="1286" spans="15:27">
      <c r="AA1286" s="126"/>
    </row>
    <row r="1287" spans="15:27">
      <c r="AA1287" s="126"/>
    </row>
    <row r="1288" spans="15:27">
      <c r="AA1288" s="264"/>
    </row>
    <row r="1289" spans="15:27">
      <c r="AA1289" s="126"/>
    </row>
    <row r="1290" spans="15:27">
      <c r="AA1290" s="126"/>
    </row>
    <row r="1291" spans="15:27">
      <c r="AA1291" s="126"/>
    </row>
    <row r="1292" spans="15:27">
      <c r="AA1292" s="126"/>
    </row>
    <row r="1293" spans="15:27">
      <c r="AA1293" s="126"/>
    </row>
    <row r="1294" spans="15:27">
      <c r="AA1294" s="126"/>
    </row>
    <row r="1295" spans="15:27">
      <c r="AA1295" s="126"/>
    </row>
    <row r="1296" spans="15:27">
      <c r="O1296" s="364"/>
      <c r="AA1296" s="126"/>
    </row>
    <row r="1297" spans="15:27">
      <c r="AA1297" s="126"/>
    </row>
    <row r="1298" spans="15:27">
      <c r="AA1298" s="126"/>
    </row>
    <row r="1299" spans="15:27">
      <c r="AA1299" s="126"/>
    </row>
    <row r="1300" spans="15:27">
      <c r="AA1300" s="126"/>
    </row>
    <row r="1301" spans="15:27">
      <c r="AA1301" s="126"/>
    </row>
    <row r="1302" spans="15:27">
      <c r="AA1302" s="126"/>
    </row>
    <row r="1303" spans="15:27">
      <c r="AA1303" s="264"/>
    </row>
    <row r="1304" spans="15:27">
      <c r="AA1304" s="264"/>
    </row>
    <row r="1305" spans="15:27">
      <c r="AA1305" s="126"/>
    </row>
    <row r="1306" spans="15:27">
      <c r="O1306" s="364"/>
      <c r="AA1306" s="126"/>
    </row>
    <row r="1307" spans="15:27">
      <c r="AA1307" s="126"/>
    </row>
    <row r="1308" spans="15:27">
      <c r="AA1308" s="126"/>
    </row>
    <row r="1309" spans="15:27">
      <c r="AA1309" s="126"/>
    </row>
    <row r="1310" spans="15:27">
      <c r="O1310" s="364"/>
      <c r="AA1310" s="126"/>
    </row>
    <row r="1311" spans="15:27">
      <c r="AA1311" s="126"/>
    </row>
    <row r="1312" spans="15:27">
      <c r="AA1312" s="126"/>
    </row>
    <row r="1313" spans="15:27">
      <c r="AA1313" s="126"/>
    </row>
    <row r="1314" spans="15:27">
      <c r="AA1314" s="264"/>
    </row>
    <row r="1315" spans="15:27">
      <c r="O1315" s="364"/>
      <c r="AA1315" s="126"/>
    </row>
    <row r="1316" spans="15:27">
      <c r="O1316" s="364"/>
      <c r="AA1316" s="126"/>
    </row>
    <row r="1317" spans="15:27">
      <c r="O1317" s="364"/>
      <c r="AA1317" s="126"/>
    </row>
    <row r="1318" spans="15:27">
      <c r="AA1318" s="126"/>
    </row>
    <row r="1319" spans="15:27">
      <c r="O1319" s="364"/>
      <c r="AA1319" s="126"/>
    </row>
    <row r="1320" spans="15:27">
      <c r="O1320" s="364"/>
      <c r="AA1320" s="126"/>
    </row>
    <row r="1321" spans="15:27">
      <c r="AA1321" s="123"/>
    </row>
    <row r="1322" spans="15:27">
      <c r="O1322" s="364"/>
      <c r="AA1322" s="126"/>
    </row>
    <row r="1324" spans="15:27">
      <c r="O1324" s="364"/>
      <c r="AA1324" s="126"/>
    </row>
    <row r="1325" spans="15:27">
      <c r="O1325" s="364"/>
      <c r="AA1325" s="264"/>
    </row>
    <row r="1326" spans="15:27">
      <c r="O1326" s="364"/>
      <c r="AA1326" s="126"/>
    </row>
    <row r="1327" spans="15:27">
      <c r="O1327" s="364"/>
      <c r="AA1327" s="126"/>
    </row>
    <row r="1328" spans="15:27">
      <c r="O1328" s="364"/>
      <c r="AA1328" s="126"/>
    </row>
    <row r="1329" spans="15:27">
      <c r="O1329" s="364"/>
      <c r="AA1329" s="126"/>
    </row>
    <row r="1330" spans="15:27">
      <c r="O1330" s="364"/>
      <c r="AA1330" s="126"/>
    </row>
    <row r="1331" spans="15:27">
      <c r="O1331" s="364"/>
      <c r="AA1331" s="126"/>
    </row>
    <row r="1332" spans="15:27">
      <c r="AA1332" s="126"/>
    </row>
    <row r="1333" spans="15:27">
      <c r="AA1333" s="126"/>
    </row>
    <row r="1334" spans="15:27">
      <c r="AA1334" s="126"/>
    </row>
    <row r="1335" spans="15:27">
      <c r="AA1335" s="126"/>
    </row>
    <row r="1336" spans="15:27">
      <c r="AA1336" s="126"/>
    </row>
    <row r="1337" spans="15:27">
      <c r="AA1337" s="126"/>
    </row>
    <row r="1338" spans="15:27">
      <c r="AA1338" s="126"/>
    </row>
    <row r="1339" spans="15:27">
      <c r="AA1339" s="126"/>
    </row>
    <row r="1340" spans="15:27">
      <c r="O1340" s="364"/>
      <c r="AA1340" s="126"/>
    </row>
    <row r="1341" spans="15:27">
      <c r="O1341" s="364"/>
      <c r="AA1341" s="126"/>
    </row>
    <row r="1342" spans="15:27">
      <c r="O1342" s="364"/>
      <c r="AA1342" s="126"/>
    </row>
    <row r="1343" spans="15:27">
      <c r="AA1343" s="126"/>
    </row>
    <row r="1344" spans="15:27">
      <c r="O1344" s="364"/>
      <c r="AA1344" s="126"/>
    </row>
    <row r="1345" spans="15:27">
      <c r="O1345" s="364"/>
      <c r="AA1345" s="126"/>
    </row>
    <row r="1346" spans="15:27">
      <c r="O1346" s="364"/>
      <c r="AA1346" s="126"/>
    </row>
    <row r="1347" spans="15:27">
      <c r="O1347" s="364"/>
      <c r="AA1347" s="126"/>
    </row>
    <row r="1348" spans="15:27">
      <c r="AA1348" s="126"/>
    </row>
    <row r="1350" spans="15:27">
      <c r="AA1350" s="126"/>
    </row>
    <row r="1351" spans="15:27">
      <c r="AA1351" s="126"/>
    </row>
    <row r="1352" spans="15:27">
      <c r="AA1352" s="126"/>
    </row>
    <row r="1353" spans="15:27">
      <c r="AA1353" s="126"/>
    </row>
    <row r="1354" spans="15:27">
      <c r="AA1354" s="126"/>
    </row>
    <row r="1355" spans="15:27">
      <c r="AA1355" s="126"/>
    </row>
    <row r="1356" spans="15:27">
      <c r="AA1356" s="126"/>
    </row>
    <row r="1357" spans="15:27">
      <c r="AA1357" s="126"/>
    </row>
    <row r="1358" spans="15:27">
      <c r="AA1358" s="51"/>
    </row>
    <row r="1359" spans="15:27">
      <c r="AA1359" s="126"/>
    </row>
    <row r="1360" spans="15:27">
      <c r="AA1360" s="126"/>
    </row>
    <row r="1361" spans="27:27">
      <c r="AA1361" s="126"/>
    </row>
    <row r="1362" spans="27:27">
      <c r="AA1362" s="126"/>
    </row>
    <row r="1363" spans="27:27">
      <c r="AA1363" s="126"/>
    </row>
    <row r="1364" spans="27:27">
      <c r="AA1364" s="126"/>
    </row>
    <row r="1365" spans="27:27">
      <c r="AA1365" s="126"/>
    </row>
    <row r="1366" spans="27:27">
      <c r="AA1366" s="126"/>
    </row>
    <row r="1367" spans="27:27">
      <c r="AA1367" s="126"/>
    </row>
    <row r="1368" spans="27:27">
      <c r="AA1368" s="126"/>
    </row>
    <row r="1369" spans="27:27">
      <c r="AA1369" s="264"/>
    </row>
    <row r="1370" spans="27:27">
      <c r="AA1370" s="26"/>
    </row>
    <row r="1371" spans="27:27">
      <c r="AA1371" s="264"/>
    </row>
    <row r="1372" spans="27:27">
      <c r="AA1372" s="126"/>
    </row>
    <row r="1373" spans="27:27">
      <c r="AA1373" s="126"/>
    </row>
    <row r="1374" spans="27:27">
      <c r="AA1374" s="126"/>
    </row>
    <row r="1375" spans="27:27">
      <c r="AA1375" s="126"/>
    </row>
    <row r="1376" spans="27:27">
      <c r="AA1376" s="126"/>
    </row>
    <row r="1377" spans="27:27">
      <c r="AA1377" s="126"/>
    </row>
    <row r="1378" spans="27:27">
      <c r="AA1378" s="126"/>
    </row>
    <row r="1379" spans="27:27">
      <c r="AA1379" s="126"/>
    </row>
    <row r="1380" spans="27:27">
      <c r="AA1380" s="126"/>
    </row>
    <row r="1381" spans="27:27">
      <c r="AA1381" s="126"/>
    </row>
    <row r="1382" spans="27:27">
      <c r="AA1382" s="126"/>
    </row>
    <row r="1383" spans="27:27">
      <c r="AA1383" s="126"/>
    </row>
    <row r="1384" spans="27:27">
      <c r="AA1384" s="126"/>
    </row>
    <row r="1385" spans="27:27">
      <c r="AA1385" s="126"/>
    </row>
    <row r="1386" spans="27:27">
      <c r="AA1386" s="126"/>
    </row>
    <row r="1387" spans="27:27">
      <c r="AA1387" s="126"/>
    </row>
    <row r="1388" spans="27:27">
      <c r="AA1388" s="126"/>
    </row>
    <row r="1389" spans="27:27">
      <c r="AA1389" s="126"/>
    </row>
    <row r="1390" spans="27:27">
      <c r="AA1390" s="126"/>
    </row>
    <row r="1391" spans="27:27">
      <c r="AA1391" s="126"/>
    </row>
    <row r="1392" spans="27:27">
      <c r="AA1392" s="126"/>
    </row>
    <row r="1393" spans="27:27">
      <c r="AA1393" s="264"/>
    </row>
    <row r="1394" spans="27:27">
      <c r="AA1394" s="264"/>
    </row>
    <row r="1395" spans="27:27">
      <c r="AA1395" s="27"/>
    </row>
    <row r="1396" spans="27:27">
      <c r="AA1396" s="126"/>
    </row>
    <row r="1397" spans="27:27">
      <c r="AA1397" s="126"/>
    </row>
    <row r="1398" spans="27:27">
      <c r="AA1398" s="126"/>
    </row>
    <row r="1399" spans="27:27">
      <c r="AA1399" s="126"/>
    </row>
    <row r="1400" spans="27:27">
      <c r="AA1400" s="126"/>
    </row>
    <row r="1401" spans="27:27">
      <c r="AA1401" s="126"/>
    </row>
    <row r="1402" spans="27:27">
      <c r="AA1402" s="126"/>
    </row>
    <row r="1403" spans="27:27">
      <c r="AA1403" s="126"/>
    </row>
    <row r="1404" spans="27:27">
      <c r="AA1404" s="126"/>
    </row>
    <row r="1405" spans="27:27">
      <c r="AA1405" s="126"/>
    </row>
    <row r="1406" spans="27:27">
      <c r="AA1406" s="126"/>
    </row>
    <row r="1407" spans="27:27">
      <c r="AA1407" s="126"/>
    </row>
    <row r="1408" spans="27:27">
      <c r="AA1408" s="126"/>
    </row>
    <row r="1409" spans="27:27">
      <c r="AA1409" s="264"/>
    </row>
    <row r="1410" spans="27:27">
      <c r="AA1410" s="126"/>
    </row>
    <row r="1411" spans="27:27">
      <c r="AA1411" s="126"/>
    </row>
    <row r="1412" spans="27:27">
      <c r="AA1412" s="126"/>
    </row>
    <row r="1413" spans="27:27">
      <c r="AA1413" s="126"/>
    </row>
    <row r="1414" spans="27:27">
      <c r="AA1414" s="126"/>
    </row>
    <row r="1415" spans="27:27">
      <c r="AA1415" s="126"/>
    </row>
    <row r="1416" spans="27:27">
      <c r="AA1416" s="126"/>
    </row>
    <row r="1417" spans="27:27">
      <c r="AA1417" s="126"/>
    </row>
    <row r="1418" spans="27:27">
      <c r="AA1418" s="126"/>
    </row>
    <row r="1419" spans="27:27">
      <c r="AA1419" s="126"/>
    </row>
    <row r="1420" spans="27:27">
      <c r="AA1420" s="126"/>
    </row>
    <row r="1421" spans="27:27">
      <c r="AA1421" s="27"/>
    </row>
    <row r="1422" spans="27:27">
      <c r="AA1422" s="126"/>
    </row>
    <row r="1423" spans="27:27">
      <c r="AA1423" s="126"/>
    </row>
    <row r="1424" spans="27:27">
      <c r="AA1424" s="126"/>
    </row>
    <row r="1425" spans="27:27">
      <c r="AA1425" s="126"/>
    </row>
    <row r="1426" spans="27:27">
      <c r="AA1426" s="126"/>
    </row>
    <row r="1427" spans="27:27">
      <c r="AA1427" s="126"/>
    </row>
    <row r="1428" spans="27:27">
      <c r="AA1428" s="123"/>
    </row>
    <row r="1429" spans="27:27">
      <c r="AA1429" s="126"/>
    </row>
    <row r="1430" spans="27:27">
      <c r="AA1430" s="126"/>
    </row>
    <row r="1431" spans="27:27">
      <c r="AA1431" s="126"/>
    </row>
    <row r="1432" spans="27:27">
      <c r="AA1432" s="126"/>
    </row>
    <row r="1433" spans="27:27">
      <c r="AA1433" s="126"/>
    </row>
    <row r="1434" spans="27:27">
      <c r="AA1434" s="126"/>
    </row>
    <row r="1435" spans="27:27">
      <c r="AA1435" s="126"/>
    </row>
    <row r="1436" spans="27:27">
      <c r="AA1436" s="126"/>
    </row>
    <row r="1437" spans="27:27">
      <c r="AA1437" s="126"/>
    </row>
    <row r="1438" spans="27:27">
      <c r="AA1438" s="126"/>
    </row>
    <row r="1439" spans="27:27">
      <c r="AA1439" s="126"/>
    </row>
    <row r="1440" spans="27:27">
      <c r="AA1440" s="126"/>
    </row>
    <row r="1441" spans="27:27">
      <c r="AA1441" s="126"/>
    </row>
    <row r="1442" spans="27:27">
      <c r="AA1442" s="126"/>
    </row>
    <row r="1443" spans="27:27">
      <c r="AA1443" s="126"/>
    </row>
    <row r="1444" spans="27:27">
      <c r="AA1444" s="126"/>
    </row>
    <row r="1445" spans="27:27">
      <c r="AA1445" s="126"/>
    </row>
    <row r="1446" spans="27:27">
      <c r="AA1446" s="126"/>
    </row>
    <row r="1447" spans="27:27">
      <c r="AA1447" s="126"/>
    </row>
    <row r="1448" spans="27:27">
      <c r="AA1448" s="126"/>
    </row>
    <row r="1449" spans="27:27">
      <c r="AA1449" s="126"/>
    </row>
    <row r="1450" spans="27:27">
      <c r="AA1450" s="126"/>
    </row>
    <row r="1451" spans="27:27">
      <c r="AA1451" s="126"/>
    </row>
    <row r="1452" spans="27:27">
      <c r="AA1452" s="126"/>
    </row>
    <row r="1453" spans="27:27">
      <c r="AA1453" s="126"/>
    </row>
    <row r="1454" spans="27:27">
      <c r="AA1454" s="126"/>
    </row>
    <row r="1455" spans="27:27">
      <c r="AA1455" s="126"/>
    </row>
    <row r="1456" spans="27:27">
      <c r="AA1456" s="126"/>
    </row>
    <row r="1457" spans="27:27">
      <c r="AA1457" s="126"/>
    </row>
    <row r="1458" spans="27:27">
      <c r="AA1458" s="126"/>
    </row>
    <row r="1459" spans="27:27">
      <c r="AA1459" s="126"/>
    </row>
    <row r="1460" spans="27:27">
      <c r="AA1460" s="126"/>
    </row>
    <row r="1461" spans="27:27">
      <c r="AA1461" s="126"/>
    </row>
    <row r="1462" spans="27:27">
      <c r="AA1462" s="126"/>
    </row>
    <row r="1463" spans="27:27">
      <c r="AA1463" s="126"/>
    </row>
    <row r="1464" spans="27:27">
      <c r="AA1464" s="126"/>
    </row>
    <row r="1465" spans="27:27">
      <c r="AA1465" s="126"/>
    </row>
    <row r="1466" spans="27:27">
      <c r="AA1466" s="126"/>
    </row>
    <row r="1467" spans="27:27">
      <c r="AA1467" s="126"/>
    </row>
    <row r="1468" spans="27:27">
      <c r="AA1468" s="264"/>
    </row>
    <row r="1469" spans="27:27">
      <c r="AA1469" s="126"/>
    </row>
    <row r="1470" spans="27:27">
      <c r="AA1470" s="126"/>
    </row>
    <row r="1471" spans="27:27">
      <c r="AA1471" s="126"/>
    </row>
    <row r="1472" spans="27:27">
      <c r="AA1472" s="126"/>
    </row>
    <row r="1473" spans="15:27">
      <c r="O1473" s="364"/>
      <c r="AA1473" s="266"/>
    </row>
    <row r="1474" spans="15:27">
      <c r="AA1474" s="126"/>
    </row>
    <row r="1475" spans="15:27">
      <c r="AA1475" s="126"/>
    </row>
    <row r="1476" spans="15:27">
      <c r="AA1476" s="126"/>
    </row>
    <row r="1477" spans="15:27">
      <c r="AA1477" s="126"/>
    </row>
    <row r="1478" spans="15:27">
      <c r="AA1478" s="126"/>
    </row>
    <row r="1479" spans="15:27">
      <c r="AA1479" s="126"/>
    </row>
    <row r="1480" spans="15:27">
      <c r="AA1480" s="224"/>
    </row>
    <row r="1481" spans="15:27">
      <c r="AA1481" s="126"/>
    </row>
    <row r="1482" spans="15:27">
      <c r="AA1482" s="126"/>
    </row>
    <row r="1483" spans="15:27">
      <c r="O1483" s="364"/>
      <c r="AA1483" s="126"/>
    </row>
    <row r="1484" spans="15:27">
      <c r="AA1484" s="126"/>
    </row>
    <row r="1485" spans="15:27">
      <c r="AA1485" s="126"/>
    </row>
    <row r="1486" spans="15:27">
      <c r="AA1486" s="126"/>
    </row>
    <row r="1487" spans="15:27">
      <c r="O1487" s="364"/>
      <c r="AA1487" s="126"/>
    </row>
    <row r="1488" spans="15:27">
      <c r="AA1488" s="126"/>
    </row>
    <row r="1489" spans="15:27">
      <c r="AA1489" s="126"/>
    </row>
    <row r="1490" spans="15:27">
      <c r="AA1490" s="126"/>
    </row>
    <row r="1491" spans="15:27">
      <c r="AA1491" s="264"/>
    </row>
    <row r="1492" spans="15:27">
      <c r="O1492" s="364"/>
      <c r="AA1492" s="126"/>
    </row>
    <row r="1493" spans="15:27">
      <c r="O1493" s="364"/>
      <c r="AA1493" s="126"/>
    </row>
    <row r="1494" spans="15:27">
      <c r="O1494" s="364"/>
      <c r="AA1494" s="126"/>
    </row>
    <row r="1495" spans="15:27">
      <c r="AA1495" s="126"/>
    </row>
    <row r="1496" spans="15:27">
      <c r="O1496" s="364"/>
      <c r="AA1496" s="126"/>
    </row>
    <row r="1497" spans="15:27">
      <c r="O1497" s="364"/>
      <c r="AA1497" s="126"/>
    </row>
    <row r="1498" spans="15:27">
      <c r="AA1498" s="126"/>
    </row>
    <row r="1499" spans="15:27">
      <c r="O1499" s="364"/>
      <c r="AA1499" s="126"/>
    </row>
    <row r="1500" spans="15:27">
      <c r="AA1500" s="126"/>
    </row>
    <row r="1501" spans="15:27">
      <c r="O1501" s="364"/>
      <c r="AA1501" s="126"/>
    </row>
    <row r="1502" spans="15:27">
      <c r="O1502" s="364"/>
      <c r="AA1502" s="126"/>
    </row>
    <row r="1503" spans="15:27">
      <c r="O1503" s="364"/>
      <c r="AA1503" s="264"/>
    </row>
    <row r="1504" spans="15:27">
      <c r="O1504" s="364"/>
      <c r="AA1504" s="126"/>
    </row>
    <row r="1505" spans="15:27">
      <c r="O1505" s="364"/>
      <c r="AA1505" s="27"/>
    </row>
    <row r="1506" spans="15:27">
      <c r="O1506" s="364"/>
      <c r="AA1506" s="264"/>
    </row>
    <row r="1507" spans="15:27">
      <c r="O1507" s="364"/>
      <c r="AA1507" s="126"/>
    </row>
    <row r="1508" spans="15:27">
      <c r="O1508" s="364"/>
      <c r="AA1508" s="126"/>
    </row>
    <row r="1509" spans="15:27">
      <c r="O1509" s="364"/>
      <c r="AA1509" s="126"/>
    </row>
    <row r="1510" spans="15:27">
      <c r="O1510" s="364"/>
      <c r="AA1510" s="126"/>
    </row>
    <row r="1511" spans="15:27">
      <c r="AA1511" s="264"/>
    </row>
    <row r="1512" spans="15:27">
      <c r="O1512" s="364"/>
      <c r="AA1512" s="126"/>
    </row>
    <row r="1513" spans="15:27">
      <c r="O1513" s="364"/>
      <c r="AA1513" s="126"/>
    </row>
    <row r="1514" spans="15:27">
      <c r="O1514" s="364"/>
      <c r="AA1514" s="126"/>
    </row>
    <row r="1515" spans="15:27">
      <c r="O1515" s="364"/>
      <c r="AA1515" s="126"/>
    </row>
    <row r="1516" spans="15:27">
      <c r="O1516" s="364"/>
      <c r="AA1516" s="126"/>
    </row>
    <row r="1517" spans="15:27">
      <c r="O1517" s="364"/>
      <c r="AA1517" s="126"/>
    </row>
    <row r="1518" spans="15:27">
      <c r="O1518" s="364"/>
      <c r="AA1518" s="126"/>
    </row>
    <row r="1519" spans="15:27">
      <c r="O1519" s="364"/>
      <c r="AA1519" s="126"/>
    </row>
    <row r="1520" spans="15:27">
      <c r="AA1520" s="126"/>
    </row>
    <row r="1521" spans="15:27">
      <c r="O1521" s="364"/>
      <c r="AA1521" s="126"/>
    </row>
    <row r="1522" spans="15:27">
      <c r="O1522" s="364"/>
      <c r="AA1522" s="126"/>
    </row>
    <row r="1523" spans="15:27">
      <c r="O1523" s="364"/>
      <c r="AA1523" s="126"/>
    </row>
    <row r="1524" spans="15:27">
      <c r="O1524" s="364"/>
      <c r="AA1524" s="126"/>
    </row>
    <row r="1525" spans="15:27">
      <c r="O1525" s="364"/>
      <c r="AA1525" s="126"/>
    </row>
    <row r="1526" spans="15:27">
      <c r="O1526" s="364"/>
      <c r="AA1526" s="126"/>
    </row>
    <row r="1527" spans="15:27">
      <c r="O1527" s="364"/>
      <c r="AA1527" s="126"/>
    </row>
    <row r="1528" spans="15:27">
      <c r="O1528" s="364"/>
      <c r="AA1528" s="126"/>
    </row>
    <row r="1529" spans="15:27">
      <c r="O1529" s="364"/>
      <c r="AA1529" s="126"/>
    </row>
    <row r="1530" spans="15:27">
      <c r="O1530" s="364"/>
      <c r="AA1530" s="126"/>
    </row>
    <row r="1531" spans="15:27">
      <c r="O1531" s="364"/>
      <c r="AA1531" s="264"/>
    </row>
    <row r="1532" spans="15:27">
      <c r="AA1532" s="126"/>
    </row>
    <row r="1533" spans="15:27">
      <c r="O1533" s="364"/>
      <c r="AA1533" s="126"/>
    </row>
    <row r="1534" spans="15:27">
      <c r="O1534" s="364"/>
      <c r="AA1534" s="126"/>
    </row>
    <row r="1535" spans="15:27">
      <c r="O1535" s="364"/>
      <c r="AA1535" s="126"/>
    </row>
    <row r="1536" spans="15:27">
      <c r="O1536" s="364"/>
      <c r="AA1536" s="126"/>
    </row>
    <row r="1537" spans="15:27">
      <c r="O1537" s="364"/>
      <c r="AA1537" s="126"/>
    </row>
    <row r="1538" spans="15:27">
      <c r="O1538" s="364"/>
      <c r="AA1538" s="126"/>
    </row>
    <row r="1539" spans="15:27">
      <c r="O1539" s="364"/>
      <c r="AA1539" s="126"/>
    </row>
    <row r="1540" spans="15:27">
      <c r="O1540" s="364"/>
      <c r="AA1540" s="126"/>
    </row>
    <row r="1541" spans="15:27">
      <c r="AA1541" s="126"/>
    </row>
    <row r="1542" spans="15:27">
      <c r="O1542" s="364"/>
      <c r="AA1542" s="126"/>
    </row>
    <row r="1543" spans="15:27">
      <c r="O1543" s="364"/>
      <c r="AA1543" s="126"/>
    </row>
    <row r="1544" spans="15:27">
      <c r="O1544" s="364"/>
      <c r="AA1544" s="126"/>
    </row>
    <row r="1545" spans="15:27">
      <c r="O1545" s="364"/>
      <c r="AA1545" s="126"/>
    </row>
    <row r="1546" spans="15:27">
      <c r="O1546" s="364"/>
      <c r="AA1546" s="126"/>
    </row>
    <row r="1547" spans="15:27">
      <c r="O1547" s="364"/>
      <c r="AA1547" s="126"/>
    </row>
    <row r="1548" spans="15:27">
      <c r="O1548" s="364"/>
      <c r="AA1548" s="126"/>
    </row>
    <row r="1549" spans="15:27">
      <c r="O1549" s="364"/>
      <c r="AA1549" s="126"/>
    </row>
    <row r="1550" spans="15:27">
      <c r="O1550" s="364"/>
      <c r="AA1550" s="126"/>
    </row>
    <row r="1551" spans="15:27">
      <c r="O1551" s="364"/>
      <c r="AA1551" s="126"/>
    </row>
    <row r="1552" spans="15:27">
      <c r="O1552" s="364"/>
      <c r="AA1552" s="126"/>
    </row>
    <row r="1553" spans="15:27">
      <c r="O1553" s="364"/>
      <c r="AA1553" s="126"/>
    </row>
    <row r="1554" spans="15:27">
      <c r="O1554" s="364"/>
      <c r="AA1554" s="126"/>
    </row>
    <row r="1555" spans="15:27">
      <c r="O1555" s="364"/>
      <c r="AA1555" s="126"/>
    </row>
    <row r="1556" spans="15:27">
      <c r="O1556" s="364"/>
      <c r="AA1556" s="126"/>
    </row>
    <row r="1557" spans="15:27">
      <c r="O1557" s="364"/>
      <c r="AA1557" s="126"/>
    </row>
    <row r="1558" spans="15:27">
      <c r="O1558" s="364"/>
      <c r="AA1558" s="126"/>
    </row>
    <row r="1559" spans="15:27">
      <c r="O1559" s="364"/>
      <c r="AA1559" s="126"/>
    </row>
    <row r="1560" spans="15:27">
      <c r="O1560" s="364"/>
      <c r="AA1560" s="126"/>
    </row>
    <row r="1561" spans="15:27">
      <c r="O1561" s="364"/>
      <c r="AA1561" s="126"/>
    </row>
    <row r="1562" spans="15:27">
      <c r="O1562" s="364"/>
      <c r="AA1562" s="126"/>
    </row>
    <row r="1563" spans="15:27">
      <c r="O1563" s="364"/>
      <c r="AA1563" s="126"/>
    </row>
    <row r="1564" spans="15:27">
      <c r="O1564" s="364"/>
      <c r="AA1564" s="126"/>
    </row>
    <row r="1565" spans="15:27">
      <c r="O1565" s="364"/>
      <c r="AA1565" s="126"/>
    </row>
    <row r="1566" spans="15:27">
      <c r="O1566" s="364"/>
      <c r="AA1566" s="126"/>
    </row>
    <row r="1567" spans="15:27">
      <c r="O1567" s="364"/>
      <c r="AA1567" s="126"/>
    </row>
    <row r="1568" spans="15:27">
      <c r="O1568" s="364"/>
      <c r="AA1568" s="126"/>
    </row>
    <row r="1569" spans="15:27">
      <c r="O1569" s="364"/>
      <c r="AA1569" s="126"/>
    </row>
    <row r="1570" spans="15:27">
      <c r="O1570" s="364"/>
      <c r="AA1570" s="264"/>
    </row>
    <row r="1571" spans="15:27">
      <c r="O1571" s="364"/>
      <c r="AA1571" s="126"/>
    </row>
    <row r="1572" spans="15:27">
      <c r="O1572" s="364"/>
      <c r="AA1572" s="126"/>
    </row>
    <row r="1573" spans="15:27">
      <c r="O1573" s="364"/>
      <c r="AA1573" s="126"/>
    </row>
    <row r="1574" spans="15:27">
      <c r="O1574" s="364"/>
      <c r="AA1574" s="126"/>
    </row>
    <row r="1575" spans="15:27">
      <c r="O1575" s="364"/>
      <c r="AA1575" s="126"/>
    </row>
    <row r="1576" spans="15:27">
      <c r="O1576" s="364"/>
      <c r="AA1576" s="126"/>
    </row>
    <row r="1577" spans="15:27">
      <c r="O1577" s="364"/>
      <c r="AA1577" s="126"/>
    </row>
    <row r="1578" spans="15:27">
      <c r="O1578" s="364"/>
      <c r="AA1578" s="126"/>
    </row>
    <row r="1579" spans="15:27">
      <c r="O1579" s="364"/>
      <c r="AA1579" s="126"/>
    </row>
    <row r="1580" spans="15:27">
      <c r="O1580" s="364"/>
      <c r="AA1580" s="126"/>
    </row>
    <row r="1581" spans="15:27">
      <c r="O1581" s="364"/>
      <c r="AA1581" s="126"/>
    </row>
    <row r="1582" spans="15:27">
      <c r="O1582" s="364"/>
      <c r="AA1582" s="126"/>
    </row>
    <row r="1583" spans="15:27">
      <c r="O1583" s="364"/>
      <c r="AA1583" s="126"/>
    </row>
    <row r="1584" spans="15:27">
      <c r="O1584" s="364"/>
      <c r="AA1584" s="126"/>
    </row>
    <row r="1585" spans="15:27">
      <c r="O1585" s="364"/>
      <c r="AA1585" s="126"/>
    </row>
    <row r="1586" spans="15:27">
      <c r="O1586" s="364"/>
      <c r="AA1586" s="126"/>
    </row>
    <row r="1587" spans="15:27">
      <c r="O1587" s="364"/>
      <c r="AA1587" s="126"/>
    </row>
    <row r="1588" spans="15:27">
      <c r="O1588" s="364"/>
      <c r="AA1588" s="126"/>
    </row>
    <row r="1589" spans="15:27">
      <c r="O1589" s="364"/>
      <c r="AA1589" s="126"/>
    </row>
    <row r="1590" spans="15:27">
      <c r="O1590" s="364"/>
      <c r="AA1590" s="126"/>
    </row>
    <row r="1591" spans="15:27">
      <c r="O1591" s="364"/>
      <c r="AA1591" s="126"/>
    </row>
    <row r="1592" spans="15:27">
      <c r="O1592" s="364"/>
      <c r="AA1592" s="126"/>
    </row>
    <row r="1593" spans="15:27">
      <c r="O1593" s="364"/>
      <c r="AA1593" s="126"/>
    </row>
    <row r="1594" spans="15:27">
      <c r="O1594" s="364"/>
      <c r="AA1594" s="126"/>
    </row>
    <row r="1595" spans="15:27">
      <c r="O1595" s="364"/>
      <c r="AA1595" s="126"/>
    </row>
    <row r="1596" spans="15:27">
      <c r="O1596" s="364"/>
      <c r="AA1596" s="126"/>
    </row>
    <row r="1597" spans="15:27">
      <c r="O1597" s="364"/>
      <c r="AA1597" s="126"/>
    </row>
    <row r="1598" spans="15:27">
      <c r="O1598" s="364"/>
      <c r="AA1598" s="126"/>
    </row>
    <row r="1599" spans="15:27">
      <c r="O1599" s="364"/>
      <c r="AA1599" s="126"/>
    </row>
    <row r="1600" spans="15:27">
      <c r="O1600" s="364"/>
      <c r="AA1600" s="126"/>
    </row>
    <row r="1601" spans="15:27">
      <c r="O1601" s="364"/>
      <c r="AA1601" s="126"/>
    </row>
    <row r="1602" spans="15:27">
      <c r="O1602" s="364"/>
      <c r="AA1602" s="126"/>
    </row>
    <row r="1603" spans="15:27">
      <c r="O1603" s="364"/>
      <c r="AA1603" s="123"/>
    </row>
    <row r="1604" spans="15:27">
      <c r="O1604" s="364"/>
      <c r="AA1604" s="126"/>
    </row>
    <row r="1605" spans="15:27">
      <c r="O1605" s="364"/>
      <c r="AA1605" s="126"/>
    </row>
    <row r="1606" spans="15:27">
      <c r="O1606" s="364"/>
      <c r="AA1606" s="126"/>
    </row>
    <row r="1607" spans="15:27">
      <c r="O1607" s="364"/>
      <c r="AA1607" s="126"/>
    </row>
    <row r="1608" spans="15:27">
      <c r="O1608" s="364"/>
      <c r="AA1608" s="126"/>
    </row>
    <row r="1609" spans="15:27">
      <c r="O1609" s="364"/>
      <c r="AA1609" s="126"/>
    </row>
    <row r="1610" spans="15:27">
      <c r="O1610" s="364"/>
      <c r="AA1610" s="126"/>
    </row>
    <row r="1611" spans="15:27">
      <c r="O1611" s="364"/>
      <c r="AA1611" s="126"/>
    </row>
    <row r="1612" spans="15:27">
      <c r="O1612" s="364"/>
      <c r="AA1612" s="126"/>
    </row>
    <row r="1613" spans="15:27">
      <c r="O1613" s="364"/>
      <c r="AA1613" s="126"/>
    </row>
    <row r="1614" spans="15:27">
      <c r="O1614" s="364"/>
      <c r="AA1614" s="126"/>
    </row>
    <row r="1615" spans="15:27">
      <c r="O1615" s="364"/>
      <c r="AA1615" s="126"/>
    </row>
    <row r="1616" spans="15:27">
      <c r="O1616" s="364"/>
      <c r="AA1616" s="126"/>
    </row>
    <row r="1617" spans="15:27">
      <c r="O1617" s="364"/>
      <c r="AA1617" s="264"/>
    </row>
    <row r="1618" spans="15:27">
      <c r="O1618" s="364"/>
      <c r="AA1618" s="126"/>
    </row>
    <row r="1619" spans="15:27">
      <c r="O1619" s="364"/>
      <c r="AA1619" s="126"/>
    </row>
    <row r="1620" spans="15:27">
      <c r="O1620" s="364"/>
      <c r="AA1620" s="126"/>
    </row>
    <row r="1621" spans="15:27">
      <c r="O1621" s="364"/>
      <c r="AA1621" s="126"/>
    </row>
    <row r="1622" spans="15:27">
      <c r="O1622" s="364"/>
      <c r="AA1622" s="126"/>
    </row>
    <row r="1623" spans="15:27">
      <c r="O1623" s="364"/>
      <c r="AA1623" s="126"/>
    </row>
    <row r="1624" spans="15:27">
      <c r="O1624" s="364"/>
      <c r="AA1624" s="126"/>
    </row>
    <row r="1625" spans="15:27">
      <c r="O1625" s="364"/>
      <c r="AA1625" s="126"/>
    </row>
    <row r="1626" spans="15:27">
      <c r="O1626" s="364"/>
      <c r="AA1626" s="126"/>
    </row>
    <row r="1627" spans="15:27">
      <c r="O1627" s="364"/>
      <c r="AA1627" s="126"/>
    </row>
    <row r="1628" spans="15:27">
      <c r="O1628" s="364"/>
      <c r="AA1628" s="126"/>
    </row>
    <row r="1629" spans="15:27">
      <c r="O1629" s="364"/>
      <c r="AA1629" s="126"/>
    </row>
    <row r="1630" spans="15:27">
      <c r="O1630" s="364"/>
      <c r="AA1630" s="126"/>
    </row>
    <row r="1631" spans="15:27">
      <c r="O1631" s="364"/>
      <c r="AA1631" s="126"/>
    </row>
    <row r="1632" spans="15:27">
      <c r="O1632" s="364"/>
      <c r="AA1632" s="27"/>
    </row>
    <row r="1633" spans="15:27">
      <c r="O1633" s="364"/>
      <c r="AA1633" s="126"/>
    </row>
    <row r="1634" spans="15:27">
      <c r="O1634" s="364"/>
      <c r="AA1634" s="126"/>
    </row>
    <row r="1635" spans="15:27">
      <c r="O1635" s="364"/>
      <c r="AA1635" s="126"/>
    </row>
    <row r="1636" spans="15:27">
      <c r="O1636" s="364"/>
      <c r="AA1636" s="126"/>
    </row>
    <row r="1637" spans="15:27">
      <c r="O1637" s="364"/>
      <c r="AA1637" s="126"/>
    </row>
    <row r="1638" spans="15:27">
      <c r="O1638" s="364"/>
      <c r="AA1638" s="126"/>
    </row>
    <row r="1639" spans="15:27">
      <c r="O1639" s="364"/>
      <c r="AA1639" s="126"/>
    </row>
    <row r="1640" spans="15:27">
      <c r="O1640" s="364"/>
      <c r="AA1640" s="126"/>
    </row>
    <row r="1641" spans="15:27">
      <c r="O1641" s="364"/>
      <c r="AA1641" s="126"/>
    </row>
    <row r="1642" spans="15:27">
      <c r="O1642" s="364"/>
      <c r="AA1642" s="126"/>
    </row>
    <row r="1643" spans="15:27">
      <c r="O1643" s="364"/>
      <c r="AA1643" s="126"/>
    </row>
    <row r="1644" spans="15:27">
      <c r="O1644" s="364"/>
      <c r="AA1644" s="126"/>
    </row>
    <row r="1645" spans="15:27">
      <c r="O1645" s="364"/>
      <c r="AA1645" s="126"/>
    </row>
    <row r="1646" spans="15:27">
      <c r="O1646" s="364"/>
      <c r="AA1646" s="264"/>
    </row>
    <row r="1647" spans="15:27">
      <c r="O1647" s="364"/>
      <c r="AA1647" s="126"/>
    </row>
    <row r="1648" spans="15:27">
      <c r="O1648" s="364"/>
      <c r="AA1648" s="126"/>
    </row>
    <row r="1649" spans="15:27">
      <c r="O1649" s="364"/>
      <c r="AA1649" s="126"/>
    </row>
    <row r="1650" spans="15:27">
      <c r="O1650" s="364"/>
      <c r="AA1650" s="126"/>
    </row>
    <row r="1651" spans="15:27">
      <c r="O1651" s="364"/>
      <c r="AA1651" s="126"/>
    </row>
    <row r="1652" spans="15:27">
      <c r="O1652" s="364"/>
      <c r="AA1652" s="126"/>
    </row>
    <row r="1653" spans="15:27">
      <c r="O1653" s="364"/>
      <c r="AA1653" s="126"/>
    </row>
    <row r="1654" spans="15:27">
      <c r="O1654" s="364"/>
      <c r="AA1654" s="126"/>
    </row>
    <row r="1655" spans="15:27">
      <c r="O1655" s="364"/>
      <c r="AA1655" s="126"/>
    </row>
    <row r="1656" spans="15:27">
      <c r="O1656" s="364"/>
      <c r="AA1656" s="126"/>
    </row>
    <row r="1657" spans="15:27">
      <c r="O1657" s="364"/>
      <c r="AA1657" s="264"/>
    </row>
    <row r="1658" spans="15:27">
      <c r="O1658" s="364"/>
      <c r="AA1658" s="126"/>
    </row>
    <row r="1659" spans="15:27">
      <c r="O1659" s="364"/>
      <c r="AA1659" s="126"/>
    </row>
    <row r="1660" spans="15:27">
      <c r="O1660" s="364"/>
      <c r="AA1660" s="264"/>
    </row>
    <row r="1661" spans="15:27">
      <c r="O1661" s="364"/>
      <c r="AA1661" s="126"/>
    </row>
    <row r="1662" spans="15:27">
      <c r="O1662" s="364"/>
      <c r="AA1662" s="126"/>
    </row>
    <row r="1663" spans="15:27">
      <c r="O1663" s="364"/>
      <c r="AA1663" s="126"/>
    </row>
    <row r="1664" spans="15:27">
      <c r="O1664" s="364"/>
      <c r="AA1664" s="126"/>
    </row>
    <row r="1665" spans="15:27">
      <c r="O1665" s="364"/>
      <c r="AA1665" s="126"/>
    </row>
    <row r="1666" spans="15:27">
      <c r="O1666" s="364"/>
      <c r="AA1666" s="126"/>
    </row>
    <row r="1667" spans="15:27">
      <c r="O1667" s="364"/>
      <c r="AA1667" s="126"/>
    </row>
    <row r="1668" spans="15:27">
      <c r="O1668" s="364"/>
      <c r="AA1668" s="126"/>
    </row>
    <row r="1669" spans="15:27">
      <c r="O1669" s="364"/>
      <c r="AA1669" s="126"/>
    </row>
    <row r="1670" spans="15:27">
      <c r="O1670" s="364"/>
      <c r="AA1670" s="126"/>
    </row>
    <row r="1671" spans="15:27">
      <c r="O1671" s="364"/>
      <c r="AA1671" s="126"/>
    </row>
    <row r="1672" spans="15:27">
      <c r="O1672" s="364"/>
      <c r="AA1672" s="126"/>
    </row>
    <row r="1673" spans="15:27">
      <c r="O1673" s="364"/>
      <c r="AA1673" s="126"/>
    </row>
    <row r="1674" spans="15:27">
      <c r="O1674" s="364"/>
      <c r="AA1674" s="126"/>
    </row>
    <row r="1675" spans="15:27">
      <c r="O1675" s="364"/>
      <c r="AA1675" s="126"/>
    </row>
    <row r="1676" spans="15:27">
      <c r="O1676" s="364"/>
      <c r="AA1676" s="126"/>
    </row>
    <row r="1677" spans="15:27">
      <c r="O1677" s="364"/>
      <c r="AA1677" s="126"/>
    </row>
    <row r="1678" spans="15:27">
      <c r="O1678" s="364"/>
      <c r="AA1678" s="126"/>
    </row>
    <row r="1679" spans="15:27">
      <c r="O1679" s="364"/>
      <c r="AA1679" s="126"/>
    </row>
    <row r="1680" spans="15:27">
      <c r="O1680" s="364"/>
      <c r="AA1680" s="126"/>
    </row>
    <row r="1681" spans="15:27">
      <c r="O1681" s="364"/>
      <c r="AA1681" s="126"/>
    </row>
    <row r="1682" spans="15:27">
      <c r="O1682" s="364"/>
      <c r="AA1682" s="126"/>
    </row>
    <row r="1683" spans="15:27">
      <c r="O1683" s="364"/>
      <c r="AA1683" s="264"/>
    </row>
    <row r="1684" spans="15:27">
      <c r="O1684" s="364"/>
      <c r="AA1684" s="126"/>
    </row>
    <row r="1685" spans="15:27">
      <c r="O1685" s="364"/>
      <c r="AA1685" s="126"/>
    </row>
    <row r="1686" spans="15:27">
      <c r="O1686" s="364"/>
      <c r="AA1686" s="126"/>
    </row>
    <row r="1687" spans="15:27">
      <c r="O1687" s="364"/>
      <c r="AA1687" s="126"/>
    </row>
    <row r="1688" spans="15:27">
      <c r="O1688" s="364"/>
      <c r="AA1688" s="126"/>
    </row>
    <row r="1689" spans="15:27">
      <c r="O1689" s="364"/>
      <c r="AA1689" s="126"/>
    </row>
    <row r="1690" spans="15:27">
      <c r="O1690" s="364"/>
      <c r="AA1690" s="126"/>
    </row>
    <row r="1691" spans="15:27">
      <c r="O1691" s="364"/>
      <c r="AA1691" s="126"/>
    </row>
    <row r="1692" spans="15:27">
      <c r="O1692" s="364"/>
      <c r="AA1692" s="126"/>
    </row>
    <row r="1693" spans="15:27">
      <c r="O1693" s="364"/>
      <c r="AA1693" s="126"/>
    </row>
    <row r="1694" spans="15:27">
      <c r="O1694" s="364"/>
      <c r="AA1694" s="126"/>
    </row>
    <row r="1695" spans="15:27">
      <c r="O1695" s="364"/>
      <c r="AA1695" s="126"/>
    </row>
    <row r="1696" spans="15:27">
      <c r="O1696" s="364"/>
      <c r="AA1696" s="126"/>
    </row>
    <row r="1697" spans="15:27">
      <c r="O1697" s="364"/>
      <c r="AA1697" s="126"/>
    </row>
    <row r="1698" spans="15:27">
      <c r="O1698" s="364"/>
      <c r="AA1698" s="126"/>
    </row>
    <row r="1699" spans="15:27">
      <c r="O1699" s="364"/>
      <c r="AA1699" s="126"/>
    </row>
    <row r="1700" spans="15:27">
      <c r="O1700" s="364"/>
      <c r="AA1700" s="126"/>
    </row>
    <row r="1701" spans="15:27">
      <c r="O1701" s="364"/>
      <c r="AA1701" s="126"/>
    </row>
    <row r="1702" spans="15:27">
      <c r="O1702" s="364"/>
      <c r="AA1702" s="126"/>
    </row>
    <row r="1703" spans="15:27">
      <c r="O1703" s="364"/>
      <c r="AA1703" s="126"/>
    </row>
    <row r="1704" spans="15:27">
      <c r="O1704" s="364"/>
      <c r="AA1704" s="126"/>
    </row>
    <row r="1705" spans="15:27">
      <c r="O1705" s="364"/>
      <c r="AA1705" s="126"/>
    </row>
    <row r="1706" spans="15:27">
      <c r="O1706" s="364"/>
      <c r="AA1706" s="126"/>
    </row>
    <row r="1707" spans="15:27">
      <c r="O1707" s="364"/>
      <c r="AA1707" s="126"/>
    </row>
    <row r="1708" spans="15:27">
      <c r="O1708" s="364"/>
      <c r="AA1708" s="126"/>
    </row>
    <row r="1709" spans="15:27">
      <c r="O1709" s="364"/>
      <c r="AA1709" s="126"/>
    </row>
    <row r="1710" spans="15:27">
      <c r="O1710" s="364"/>
      <c r="AA1710" s="126"/>
    </row>
    <row r="1711" spans="15:27">
      <c r="O1711" s="364"/>
      <c r="AA1711" s="126"/>
    </row>
    <row r="1712" spans="15:27">
      <c r="O1712" s="364"/>
      <c r="AA1712" s="126"/>
    </row>
    <row r="1713" spans="15:27">
      <c r="O1713" s="364"/>
      <c r="AA1713" s="126"/>
    </row>
    <row r="1714" spans="15:27">
      <c r="O1714" s="364"/>
      <c r="AA1714" s="126"/>
    </row>
    <row r="1715" spans="15:27">
      <c r="O1715" s="364"/>
      <c r="AA1715" s="126"/>
    </row>
    <row r="1716" spans="15:27">
      <c r="O1716" s="364"/>
      <c r="AA1716" s="264"/>
    </row>
    <row r="1717" spans="15:27">
      <c r="O1717" s="364"/>
      <c r="AA1717" s="264"/>
    </row>
    <row r="1718" spans="15:27">
      <c r="O1718" s="364"/>
      <c r="AA1718" s="126"/>
    </row>
    <row r="1719" spans="15:27">
      <c r="O1719" s="364"/>
      <c r="AA1719" s="126"/>
    </row>
    <row r="1720" spans="15:27">
      <c r="O1720" s="364"/>
      <c r="AA1720" s="126"/>
    </row>
    <row r="1721" spans="15:27">
      <c r="O1721" s="364"/>
      <c r="AA1721" s="126"/>
    </row>
    <row r="1722" spans="15:27">
      <c r="O1722" s="364"/>
      <c r="AA1722" s="126"/>
    </row>
    <row r="1723" spans="15:27">
      <c r="O1723" s="364"/>
      <c r="AA1723" s="126"/>
    </row>
    <row r="1724" spans="15:27">
      <c r="O1724" s="364"/>
      <c r="AA1724" s="126"/>
    </row>
    <row r="1725" spans="15:27">
      <c r="O1725" s="364"/>
      <c r="AA1725" s="126"/>
    </row>
    <row r="1726" spans="15:27">
      <c r="O1726" s="364"/>
      <c r="AA1726" s="264"/>
    </row>
    <row r="1727" spans="15:27">
      <c r="O1727" s="364"/>
      <c r="AA1727" s="126"/>
    </row>
    <row r="1728" spans="15:27">
      <c r="O1728" s="364"/>
      <c r="AA1728" s="126"/>
    </row>
    <row r="1729" spans="15:27">
      <c r="O1729" s="364"/>
      <c r="AA1729" s="126"/>
    </row>
    <row r="1730" spans="15:27">
      <c r="O1730" s="364"/>
      <c r="AA1730" s="126"/>
    </row>
    <row r="1731" spans="15:27">
      <c r="O1731" s="364"/>
      <c r="AA1731" s="126"/>
    </row>
    <row r="1732" spans="15:27">
      <c r="O1732" s="364"/>
      <c r="AA1732" s="126"/>
    </row>
    <row r="1733" spans="15:27">
      <c r="O1733" s="364"/>
      <c r="AA1733" s="126"/>
    </row>
    <row r="1734" spans="15:27">
      <c r="O1734" s="364"/>
      <c r="AA1734" s="126"/>
    </row>
    <row r="1735" spans="15:27">
      <c r="O1735" s="364"/>
      <c r="AA1735" s="126"/>
    </row>
    <row r="1736" spans="15:27" ht="26.25">
      <c r="O1736" s="364"/>
      <c r="S1736" s="61" ph="1"/>
      <c r="AA1736" s="264"/>
    </row>
    <row r="1737" spans="15:27">
      <c r="O1737" s="364"/>
      <c r="AA1737" s="126"/>
    </row>
    <row r="1738" spans="15:27">
      <c r="O1738" s="364"/>
      <c r="AA1738" s="126"/>
    </row>
    <row r="1739" spans="15:27">
      <c r="O1739" s="364"/>
      <c r="AA1739" s="126"/>
    </row>
    <row r="1740" spans="15:27">
      <c r="O1740" s="364"/>
      <c r="AA1740" s="264"/>
    </row>
    <row r="1741" spans="15:27">
      <c r="O1741" s="364"/>
      <c r="AA1741" s="126"/>
    </row>
    <row r="1742" spans="15:27">
      <c r="O1742" s="364"/>
      <c r="AA1742" s="126"/>
    </row>
    <row r="1743" spans="15:27">
      <c r="O1743" s="364"/>
      <c r="AA1743" s="126"/>
    </row>
    <row r="1744" spans="15:27">
      <c r="O1744" s="364"/>
      <c r="AA1744" s="126"/>
    </row>
    <row r="1745" spans="15:27">
      <c r="O1745" s="364"/>
      <c r="AA1745" s="126"/>
    </row>
    <row r="1746" spans="15:27" ht="26.25">
      <c r="O1746" s="364"/>
      <c r="S1746" s="61" ph="1"/>
      <c r="AA1746" s="126"/>
    </row>
    <row r="1747" spans="15:27">
      <c r="O1747" s="364"/>
      <c r="AA1747" s="126"/>
    </row>
    <row r="1748" spans="15:27">
      <c r="O1748" s="364"/>
      <c r="AA1748" s="126"/>
    </row>
    <row r="1749" spans="15:27">
      <c r="O1749" s="364"/>
      <c r="AA1749" s="126"/>
    </row>
    <row r="1750" spans="15:27" ht="26.25">
      <c r="O1750" s="364"/>
      <c r="S1750" s="61" ph="1"/>
      <c r="AA1750" s="126"/>
    </row>
    <row r="1751" spans="15:27">
      <c r="O1751" s="364"/>
      <c r="AA1751" s="126"/>
    </row>
    <row r="1752" spans="15:27">
      <c r="O1752" s="364"/>
      <c r="AA1752" s="126"/>
    </row>
    <row r="1753" spans="15:27">
      <c r="O1753" s="364"/>
      <c r="AA1753" s="126"/>
    </row>
    <row r="1754" spans="15:27">
      <c r="O1754" s="364"/>
      <c r="AA1754" s="126"/>
    </row>
    <row r="1755" spans="15:27" ht="26.25">
      <c r="O1755" s="364"/>
      <c r="S1755" s="61" ph="1"/>
      <c r="AA1755" s="126"/>
    </row>
    <row r="1756" spans="15:27" ht="26.25">
      <c r="O1756" s="364"/>
      <c r="S1756" s="61" ph="1"/>
      <c r="AA1756" s="126"/>
    </row>
    <row r="1757" spans="15:27" ht="26.25">
      <c r="O1757" s="364"/>
      <c r="S1757" s="61" ph="1"/>
      <c r="AA1757" s="126"/>
    </row>
    <row r="1758" spans="15:27">
      <c r="O1758" s="364"/>
      <c r="AA1758" s="126"/>
    </row>
    <row r="1759" spans="15:27" ht="26.25">
      <c r="O1759" s="364"/>
      <c r="S1759" s="61" ph="1"/>
      <c r="AA1759" s="126"/>
    </row>
    <row r="1760" spans="15:27" ht="26.25">
      <c r="O1760" s="364"/>
      <c r="S1760" s="61" ph="1"/>
      <c r="AA1760" s="126"/>
    </row>
    <row r="1761" spans="15:27">
      <c r="O1761" s="364"/>
      <c r="AA1761" s="126"/>
    </row>
    <row r="1762" spans="15:27" ht="26.25">
      <c r="O1762" s="364"/>
      <c r="S1762" s="61" ph="1"/>
    </row>
    <row r="1763" spans="15:27">
      <c r="O1763" s="364"/>
      <c r="AA1763" s="126"/>
    </row>
    <row r="1764" spans="15:27" ht="26.25">
      <c r="O1764" s="364"/>
      <c r="S1764" s="61" ph="1"/>
      <c r="AA1764" s="126"/>
    </row>
    <row r="1765" spans="15:27" ht="26.25">
      <c r="O1765" s="364"/>
      <c r="S1765" s="61" ph="1"/>
      <c r="AA1765" s="126"/>
    </row>
    <row r="1766" spans="15:27" ht="26.25">
      <c r="O1766" s="364"/>
      <c r="S1766" s="61" ph="1"/>
      <c r="AA1766" s="126"/>
    </row>
    <row r="1767" spans="15:27" ht="26.25">
      <c r="O1767" s="364"/>
      <c r="S1767" s="61" ph="1"/>
      <c r="AA1767" s="126"/>
    </row>
    <row r="1768" spans="15:27" ht="26.25">
      <c r="O1768" s="364"/>
      <c r="S1768" s="61" ph="1"/>
      <c r="AA1768" s="126"/>
    </row>
    <row r="1769" spans="15:27" ht="26.25">
      <c r="O1769" s="364"/>
      <c r="S1769" s="61" ph="1"/>
      <c r="AA1769" s="126"/>
    </row>
    <row r="1770" spans="15:27" ht="26.25">
      <c r="O1770" s="364"/>
      <c r="S1770" s="61" ph="1"/>
      <c r="AA1770" s="126"/>
    </row>
    <row r="1771" spans="15:27" ht="26.25">
      <c r="O1771" s="364"/>
      <c r="S1771" s="61" ph="1"/>
      <c r="AA1771" s="126"/>
    </row>
    <row r="1772" spans="15:27" ht="26.25">
      <c r="O1772" s="364"/>
      <c r="S1772" s="61" ph="1"/>
      <c r="AA1772" s="126"/>
    </row>
    <row r="1773" spans="15:27" ht="26.25">
      <c r="O1773" s="364"/>
      <c r="S1773" s="61" ph="1"/>
      <c r="AA1773" s="126"/>
    </row>
    <row r="1774" spans="15:27">
      <c r="O1774" s="364"/>
      <c r="AA1774" s="126"/>
    </row>
    <row r="1775" spans="15:27" ht="26.25">
      <c r="O1775" s="364"/>
      <c r="S1775" s="61" ph="1"/>
      <c r="AA1775" s="126"/>
    </row>
    <row r="1776" spans="15:27" ht="26.25">
      <c r="O1776" s="364"/>
      <c r="S1776" s="61" ph="1"/>
      <c r="AA1776" s="126"/>
    </row>
    <row r="1777" spans="15:27" ht="26.25">
      <c r="O1777" s="364"/>
      <c r="S1777" s="61" ph="1"/>
      <c r="AA1777" s="126"/>
    </row>
    <row r="1778" spans="15:27" ht="26.25">
      <c r="O1778" s="364"/>
      <c r="S1778" s="61" ph="1"/>
      <c r="AA1778" s="126"/>
    </row>
    <row r="1779" spans="15:27" ht="26.25">
      <c r="O1779" s="364"/>
      <c r="S1779" s="61" ph="1"/>
      <c r="AA1779" s="126"/>
    </row>
    <row r="1780" spans="15:27" ht="26.25">
      <c r="O1780" s="364"/>
      <c r="S1780" s="61" ph="1"/>
      <c r="AA1780" s="126"/>
    </row>
    <row r="1781" spans="15:27" ht="26.25">
      <c r="O1781" s="364"/>
      <c r="S1781" s="61" ph="1"/>
      <c r="AA1781" s="126"/>
    </row>
    <row r="1782" spans="15:27" ht="26.25">
      <c r="O1782" s="364"/>
      <c r="S1782" s="61" ph="1"/>
      <c r="AA1782" s="126"/>
    </row>
    <row r="1783" spans="15:27">
      <c r="O1783" s="364"/>
      <c r="AA1783" s="126"/>
    </row>
    <row r="1784" spans="15:27" ht="26.25">
      <c r="O1784" s="364"/>
      <c r="S1784" s="61" ph="1"/>
      <c r="AA1784" s="126"/>
    </row>
    <row r="1785" spans="15:27" ht="26.25">
      <c r="O1785" s="364"/>
      <c r="S1785" s="61" ph="1"/>
      <c r="AA1785" s="126"/>
    </row>
    <row r="1786" spans="15:27" ht="26.25">
      <c r="O1786" s="364"/>
      <c r="S1786" s="61" ph="1"/>
      <c r="AA1786" s="126"/>
    </row>
    <row r="1787" spans="15:27" ht="26.25">
      <c r="O1787" s="364"/>
      <c r="S1787" s="61" ph="1"/>
      <c r="AA1787" s="126"/>
    </row>
    <row r="1788" spans="15:27">
      <c r="O1788" s="364"/>
      <c r="AA1788" s="126"/>
    </row>
    <row r="1789" spans="15:27">
      <c r="O1789" s="364"/>
      <c r="AA1789" s="126"/>
    </row>
    <row r="1790" spans="15:27">
      <c r="O1790" s="364"/>
      <c r="AA1790" s="126"/>
    </row>
    <row r="1791" spans="15:27">
      <c r="O1791" s="364"/>
      <c r="AA1791" s="126"/>
    </row>
    <row r="1792" spans="15:27">
      <c r="O1792" s="364"/>
      <c r="AA1792" s="126"/>
    </row>
    <row r="1793" spans="15:27">
      <c r="O1793" s="364"/>
      <c r="AA1793" s="126"/>
    </row>
    <row r="1794" spans="15:27">
      <c r="O1794" s="364"/>
      <c r="AA1794" s="126"/>
    </row>
    <row r="1795" spans="15:27">
      <c r="O1795" s="364"/>
      <c r="AA1795" s="126"/>
    </row>
    <row r="1796" spans="15:27">
      <c r="O1796" s="364"/>
      <c r="AA1796" s="126"/>
    </row>
    <row r="1797" spans="15:27">
      <c r="O1797" s="364"/>
      <c r="AA1797" s="126"/>
    </row>
    <row r="1798" spans="15:27">
      <c r="O1798" s="364"/>
      <c r="AA1798" s="126"/>
    </row>
    <row r="1799" spans="15:27">
      <c r="O1799" s="364"/>
      <c r="AA1799" s="126"/>
    </row>
    <row r="1800" spans="15:27">
      <c r="O1800" s="364"/>
      <c r="AA1800" s="126"/>
    </row>
    <row r="1801" spans="15:27">
      <c r="O1801" s="364"/>
      <c r="AA1801" s="126"/>
    </row>
    <row r="1802" spans="15:27">
      <c r="O1802" s="364"/>
      <c r="AA1802" s="126"/>
    </row>
    <row r="1803" spans="15:27">
      <c r="O1803" s="364"/>
      <c r="AA1803" s="126"/>
    </row>
    <row r="1804" spans="15:27">
      <c r="O1804" s="364"/>
      <c r="AA1804" s="126"/>
    </row>
    <row r="1805" spans="15:27">
      <c r="O1805" s="364"/>
      <c r="AA1805" s="126"/>
    </row>
    <row r="1806" spans="15:27">
      <c r="O1806" s="364"/>
      <c r="AA1806" s="126"/>
    </row>
    <row r="1807" spans="15:27">
      <c r="O1807" s="364"/>
      <c r="AA1807" s="264"/>
    </row>
    <row r="1808" spans="15:27">
      <c r="O1808" s="364"/>
      <c r="AA1808" s="126"/>
    </row>
    <row r="1809" spans="15:27">
      <c r="O1809" s="364"/>
      <c r="AA1809" s="126"/>
    </row>
    <row r="1810" spans="15:27">
      <c r="O1810" s="364"/>
      <c r="AA1810" s="126"/>
    </row>
    <row r="1811" spans="15:27">
      <c r="O1811" s="364"/>
      <c r="AA1811" s="126"/>
    </row>
    <row r="1812" spans="15:27">
      <c r="O1812" s="364"/>
      <c r="AA1812" s="126"/>
    </row>
    <row r="1813" spans="15:27">
      <c r="O1813" s="364"/>
      <c r="AA1813" s="126"/>
    </row>
    <row r="1814" spans="15:27">
      <c r="O1814" s="364"/>
      <c r="AA1814" s="126"/>
    </row>
    <row r="1815" spans="15:27">
      <c r="O1815" s="364"/>
      <c r="AA1815" s="126"/>
    </row>
    <row r="1816" spans="15:27">
      <c r="O1816" s="364"/>
      <c r="AA1816" s="126"/>
    </row>
    <row r="1817" spans="15:27">
      <c r="O1817" s="364"/>
      <c r="AA1817" s="126"/>
    </row>
    <row r="1818" spans="15:27">
      <c r="O1818" s="364"/>
      <c r="AA1818" s="126"/>
    </row>
    <row r="1819" spans="15:27">
      <c r="O1819" s="364"/>
      <c r="AA1819" s="126"/>
    </row>
    <row r="1820" spans="15:27">
      <c r="O1820" s="364"/>
      <c r="AA1820" s="126"/>
    </row>
    <row r="1821" spans="15:27">
      <c r="O1821" s="364"/>
      <c r="AA1821" s="126"/>
    </row>
    <row r="1822" spans="15:27">
      <c r="O1822" s="364"/>
      <c r="AA1822" s="126"/>
    </row>
    <row r="1823" spans="15:27">
      <c r="O1823" s="364"/>
      <c r="AA1823" s="126"/>
    </row>
    <row r="1824" spans="15:27">
      <c r="O1824" s="364"/>
      <c r="AA1824" s="126"/>
    </row>
    <row r="1825" spans="15:27">
      <c r="O1825" s="364"/>
      <c r="AA1825" s="126"/>
    </row>
    <row r="1826" spans="15:27">
      <c r="O1826" s="364"/>
      <c r="AA1826" s="126"/>
    </row>
    <row r="1827" spans="15:27">
      <c r="O1827" s="364"/>
      <c r="AA1827" s="126"/>
    </row>
    <row r="1828" spans="15:27">
      <c r="O1828" s="364"/>
      <c r="AA1828" s="126"/>
    </row>
    <row r="1829" spans="15:27">
      <c r="O1829" s="364"/>
      <c r="AA1829" s="126"/>
    </row>
    <row r="1830" spans="15:27">
      <c r="O1830" s="364"/>
      <c r="AA1830" s="126"/>
    </row>
    <row r="1831" spans="15:27">
      <c r="O1831" s="364"/>
      <c r="AA1831" s="126"/>
    </row>
    <row r="1832" spans="15:27">
      <c r="O1832" s="364"/>
      <c r="AA1832" s="126"/>
    </row>
    <row r="1833" spans="15:27">
      <c r="O1833" s="364"/>
      <c r="AA1833" s="126"/>
    </row>
    <row r="1834" spans="15:27">
      <c r="O1834" s="364"/>
      <c r="AA1834" s="126"/>
    </row>
    <row r="1835" spans="15:27">
      <c r="O1835" s="364"/>
      <c r="AA1835" s="126"/>
    </row>
    <row r="1836" spans="15:27">
      <c r="O1836" s="364"/>
      <c r="AA1836" s="126"/>
    </row>
    <row r="1837" spans="15:27">
      <c r="O1837" s="364"/>
      <c r="AA1837" s="126"/>
    </row>
    <row r="1838" spans="15:27">
      <c r="O1838" s="364"/>
      <c r="AA1838" s="126"/>
    </row>
    <row r="1839" spans="15:27">
      <c r="O1839" s="364"/>
      <c r="AA1839" s="126"/>
    </row>
    <row r="1840" spans="15:27">
      <c r="O1840" s="364"/>
      <c r="AA1840" s="126"/>
    </row>
    <row r="1841" spans="15:27">
      <c r="O1841" s="364"/>
      <c r="AA1841" s="126"/>
    </row>
    <row r="1842" spans="15:27">
      <c r="O1842" s="364"/>
      <c r="AA1842" s="126"/>
    </row>
    <row r="1843" spans="15:27">
      <c r="O1843" s="364"/>
      <c r="AA1843" s="126"/>
    </row>
    <row r="1844" spans="15:27">
      <c r="O1844" s="364"/>
      <c r="AA1844" s="126"/>
    </row>
    <row r="1845" spans="15:27">
      <c r="O1845" s="364"/>
      <c r="AA1845" s="126"/>
    </row>
    <row r="1846" spans="15:27">
      <c r="O1846" s="364"/>
      <c r="AA1846" s="126"/>
    </row>
    <row r="1847" spans="15:27">
      <c r="O1847" s="364"/>
      <c r="AA1847" s="126"/>
    </row>
    <row r="1848" spans="15:27">
      <c r="O1848" s="364"/>
      <c r="AA1848" s="126"/>
    </row>
    <row r="1849" spans="15:27">
      <c r="O1849" s="364"/>
      <c r="AA1849" s="126"/>
    </row>
    <row r="1850" spans="15:27">
      <c r="O1850" s="364"/>
      <c r="AA1850" s="264"/>
    </row>
    <row r="1851" spans="15:27">
      <c r="O1851" s="364"/>
      <c r="AA1851" s="264"/>
    </row>
    <row r="1852" spans="15:27">
      <c r="O1852" s="364"/>
      <c r="AA1852" s="126"/>
    </row>
    <row r="1853" spans="15:27">
      <c r="O1853" s="364"/>
      <c r="AA1853" s="126"/>
    </row>
    <row r="1854" spans="15:27">
      <c r="O1854" s="364"/>
      <c r="AA1854" s="126"/>
    </row>
    <row r="1855" spans="15:27">
      <c r="O1855" s="364"/>
      <c r="AA1855" s="126"/>
    </row>
    <row r="1856" spans="15:27">
      <c r="O1856" s="364"/>
      <c r="AA1856" s="126"/>
    </row>
    <row r="1857" spans="15:27">
      <c r="O1857" s="364"/>
      <c r="AA1857" s="126"/>
    </row>
    <row r="1858" spans="15:27">
      <c r="O1858" s="364"/>
      <c r="AA1858" s="126"/>
    </row>
    <row r="1859" spans="15:27">
      <c r="O1859" s="364"/>
      <c r="AA1859" s="126"/>
    </row>
    <row r="1860" spans="15:27">
      <c r="O1860" s="364"/>
      <c r="AA1860" s="126"/>
    </row>
    <row r="1861" spans="15:27">
      <c r="O1861" s="364"/>
      <c r="AA1861" s="126"/>
    </row>
    <row r="1862" spans="15:27">
      <c r="O1862" s="364"/>
      <c r="AA1862" s="126"/>
    </row>
    <row r="1863" spans="15:27">
      <c r="O1863" s="364"/>
      <c r="AA1863" s="126"/>
    </row>
    <row r="1864" spans="15:27">
      <c r="O1864" s="364"/>
      <c r="AA1864" s="264"/>
    </row>
    <row r="1865" spans="15:27">
      <c r="O1865" s="364"/>
      <c r="AA1865" s="126"/>
    </row>
    <row r="1866" spans="15:27">
      <c r="O1866" s="364"/>
      <c r="AA1866" s="126"/>
    </row>
    <row r="1867" spans="15:27">
      <c r="O1867" s="364"/>
      <c r="AA1867" s="126"/>
    </row>
    <row r="1868" spans="15:27">
      <c r="O1868" s="364"/>
      <c r="AA1868" s="126"/>
    </row>
    <row r="1869" spans="15:27">
      <c r="O1869" s="364"/>
      <c r="AA1869" s="126"/>
    </row>
    <row r="1870" spans="15:27">
      <c r="O1870" s="364"/>
      <c r="AA1870" s="126"/>
    </row>
    <row r="1871" spans="15:27">
      <c r="O1871" s="364"/>
      <c r="AA1871" s="51"/>
    </row>
    <row r="1872" spans="15:27">
      <c r="O1872" s="364"/>
      <c r="AA1872" s="126"/>
    </row>
    <row r="1873" spans="15:27">
      <c r="O1873" s="364"/>
      <c r="AA1873" s="126"/>
    </row>
    <row r="1874" spans="15:27">
      <c r="O1874" s="364"/>
      <c r="AA1874" s="126"/>
    </row>
    <row r="1875" spans="15:27">
      <c r="O1875" s="364"/>
      <c r="AA1875" s="126"/>
    </row>
    <row r="1876" spans="15:27">
      <c r="O1876" s="364"/>
      <c r="AA1876" s="126"/>
    </row>
    <row r="1877" spans="15:27">
      <c r="O1877" s="364"/>
      <c r="AA1877" s="126"/>
    </row>
    <row r="1878" spans="15:27">
      <c r="O1878" s="364"/>
      <c r="AA1878" s="126"/>
    </row>
    <row r="1879" spans="15:27">
      <c r="O1879" s="364"/>
      <c r="AA1879" s="126"/>
    </row>
    <row r="1880" spans="15:27">
      <c r="O1880" s="364"/>
      <c r="AA1880" s="126"/>
    </row>
    <row r="1881" spans="15:27">
      <c r="O1881" s="364"/>
      <c r="AA1881" s="126"/>
    </row>
    <row r="1882" spans="15:27">
      <c r="O1882" s="364"/>
      <c r="AA1882" s="126"/>
    </row>
    <row r="1883" spans="15:27">
      <c r="O1883" s="364"/>
      <c r="AA1883" s="126"/>
    </row>
    <row r="1884" spans="15:27">
      <c r="O1884" s="364"/>
      <c r="AA1884" s="126"/>
    </row>
    <row r="1885" spans="15:27">
      <c r="O1885" s="364"/>
      <c r="AA1885" s="126"/>
    </row>
    <row r="1886" spans="15:27">
      <c r="O1886" s="364"/>
      <c r="AA1886" s="126"/>
    </row>
    <row r="1887" spans="15:27">
      <c r="O1887" s="364"/>
      <c r="AA1887" s="126"/>
    </row>
    <row r="1888" spans="15:27">
      <c r="O1888" s="364"/>
      <c r="AA1888" s="126"/>
    </row>
    <row r="1889" spans="15:27">
      <c r="O1889" s="364"/>
      <c r="AA1889" s="126"/>
    </row>
    <row r="1890" spans="15:27">
      <c r="O1890" s="364"/>
      <c r="AA1890" s="126"/>
    </row>
    <row r="1891" spans="15:27">
      <c r="O1891" s="364"/>
      <c r="AA1891" s="126"/>
    </row>
    <row r="1892" spans="15:27">
      <c r="O1892" s="364"/>
      <c r="AA1892" s="126"/>
    </row>
    <row r="1893" spans="15:27">
      <c r="O1893" s="364"/>
      <c r="AA1893" s="126"/>
    </row>
    <row r="1894" spans="15:27">
      <c r="O1894" s="364"/>
      <c r="AA1894" s="126"/>
    </row>
    <row r="1895" spans="15:27">
      <c r="O1895" s="364"/>
      <c r="AA1895" s="126"/>
    </row>
    <row r="1896" spans="15:27">
      <c r="O1896" s="364"/>
      <c r="AA1896" s="126"/>
    </row>
    <row r="1897" spans="15:27">
      <c r="O1897" s="364"/>
      <c r="AA1897" s="126"/>
    </row>
    <row r="1898" spans="15:27">
      <c r="O1898" s="364"/>
      <c r="AA1898" s="126"/>
    </row>
    <row r="1899" spans="15:27">
      <c r="O1899" s="364"/>
      <c r="AA1899" s="126"/>
    </row>
    <row r="1900" spans="15:27">
      <c r="O1900" s="364"/>
      <c r="AA1900" s="126"/>
    </row>
    <row r="1901" spans="15:27">
      <c r="O1901" s="364"/>
      <c r="AA1901" s="126"/>
    </row>
    <row r="1902" spans="15:27">
      <c r="O1902" s="364"/>
      <c r="AA1902" s="126"/>
    </row>
    <row r="1903" spans="15:27">
      <c r="O1903" s="364"/>
      <c r="AA1903" s="126"/>
    </row>
    <row r="1904" spans="15:27">
      <c r="O1904" s="364"/>
      <c r="AA1904" s="123"/>
    </row>
    <row r="1905" spans="15:27">
      <c r="O1905" s="364"/>
      <c r="AA1905" s="126"/>
    </row>
    <row r="1906" spans="15:27">
      <c r="O1906" s="364"/>
      <c r="AA1906" s="126"/>
    </row>
    <row r="1907" spans="15:27">
      <c r="O1907" s="364"/>
      <c r="AA1907" s="126"/>
    </row>
    <row r="1908" spans="15:27">
      <c r="O1908" s="364"/>
      <c r="AA1908" s="126"/>
    </row>
    <row r="1909" spans="15:27">
      <c r="O1909" s="364"/>
      <c r="AA1909" s="126"/>
    </row>
    <row r="1910" spans="15:27">
      <c r="O1910" s="364"/>
      <c r="AA1910" s="126"/>
    </row>
    <row r="1911" spans="15:27">
      <c r="O1911" s="364"/>
      <c r="AA1911" s="126"/>
    </row>
    <row r="1912" spans="15:27">
      <c r="O1912" s="364"/>
      <c r="AA1912" s="126"/>
    </row>
    <row r="1913" spans="15:27" ht="26.25">
      <c r="O1913" s="364"/>
      <c r="S1913" s="61" ph="1"/>
      <c r="AA1913" s="126"/>
    </row>
    <row r="1914" spans="15:27">
      <c r="O1914" s="364"/>
      <c r="AA1914" s="126"/>
    </row>
    <row r="1915" spans="15:27">
      <c r="O1915" s="364"/>
      <c r="AA1915" s="126"/>
    </row>
    <row r="1916" spans="15:27">
      <c r="O1916" s="364"/>
      <c r="AA1916" s="126"/>
    </row>
    <row r="1917" spans="15:27">
      <c r="O1917" s="364"/>
      <c r="AA1917" s="126"/>
    </row>
    <row r="1918" spans="15:27">
      <c r="O1918" s="364"/>
      <c r="AA1918" s="126"/>
    </row>
    <row r="1919" spans="15:27">
      <c r="O1919" s="364"/>
      <c r="AA1919" s="126"/>
    </row>
    <row r="1920" spans="15:27">
      <c r="O1920" s="364"/>
      <c r="AA1920" s="126"/>
    </row>
    <row r="1921" spans="15:27">
      <c r="O1921" s="364"/>
      <c r="AA1921" s="126"/>
    </row>
    <row r="1922" spans="15:27">
      <c r="O1922" s="364"/>
      <c r="AA1922" s="126"/>
    </row>
    <row r="1923" spans="15:27" ht="26.25">
      <c r="O1923" s="364"/>
      <c r="S1923" s="61" ph="1"/>
      <c r="AA1923" s="126"/>
    </row>
    <row r="1924" spans="15:27">
      <c r="O1924" s="364"/>
      <c r="AA1924" s="126"/>
    </row>
    <row r="1925" spans="15:27">
      <c r="O1925" s="364"/>
      <c r="AA1925" s="126"/>
    </row>
    <row r="1926" spans="15:27">
      <c r="O1926" s="364"/>
      <c r="AA1926" s="126"/>
    </row>
    <row r="1927" spans="15:27" ht="26.25">
      <c r="O1927" s="364"/>
      <c r="S1927" s="61" ph="1"/>
      <c r="AA1927" s="126"/>
    </row>
    <row r="1928" spans="15:27">
      <c r="O1928" s="364"/>
      <c r="AA1928" s="264"/>
    </row>
    <row r="1929" spans="15:27">
      <c r="O1929" s="364"/>
      <c r="AA1929" s="126"/>
    </row>
    <row r="1930" spans="15:27">
      <c r="O1930" s="364"/>
      <c r="AA1930" s="126"/>
    </row>
    <row r="1931" spans="15:27">
      <c r="O1931" s="364"/>
      <c r="AA1931" s="126"/>
    </row>
    <row r="1932" spans="15:27" ht="26.25">
      <c r="O1932" s="364"/>
      <c r="S1932" s="61" ph="1"/>
      <c r="AA1932" s="126"/>
    </row>
    <row r="1933" spans="15:27" ht="26.25">
      <c r="O1933" s="364"/>
      <c r="S1933" s="61" ph="1"/>
      <c r="AA1933" s="264"/>
    </row>
    <row r="1934" spans="15:27" ht="26.25">
      <c r="O1934" s="364"/>
      <c r="S1934" s="61" ph="1"/>
      <c r="AA1934" s="126"/>
    </row>
    <row r="1935" spans="15:27">
      <c r="O1935" s="364"/>
      <c r="AA1935" s="126"/>
    </row>
    <row r="1936" spans="15:27" ht="26.25">
      <c r="O1936" s="364"/>
      <c r="S1936" s="61" ph="1"/>
      <c r="AA1936" s="126"/>
    </row>
    <row r="1937" spans="15:27" ht="26.25">
      <c r="O1937" s="364"/>
      <c r="S1937" s="61" ph="1"/>
      <c r="AA1937" s="126"/>
    </row>
    <row r="1938" spans="15:27">
      <c r="O1938" s="364"/>
      <c r="AA1938" s="126"/>
    </row>
    <row r="1939" spans="15:27" ht="26.25">
      <c r="O1939" s="364"/>
      <c r="S1939" s="61" ph="1"/>
      <c r="AA1939" s="126"/>
    </row>
    <row r="1940" spans="15:27">
      <c r="O1940" s="364"/>
      <c r="AA1940" s="126"/>
    </row>
    <row r="1941" spans="15:27" ht="26.25">
      <c r="O1941" s="364"/>
      <c r="S1941" s="61" ph="1"/>
      <c r="AA1941" s="126"/>
    </row>
    <row r="1942" spans="15:27" ht="26.25">
      <c r="O1942" s="364"/>
      <c r="S1942" s="61" ph="1"/>
      <c r="AA1942" s="126"/>
    </row>
    <row r="1943" spans="15:27" ht="26.25">
      <c r="O1943" s="364"/>
      <c r="S1943" s="61" ph="1"/>
      <c r="AA1943" s="126"/>
    </row>
    <row r="1944" spans="15:27" ht="26.25">
      <c r="O1944" s="364"/>
      <c r="S1944" s="61" ph="1"/>
      <c r="AA1944" s="126"/>
    </row>
    <row r="1945" spans="15:27" ht="26.25">
      <c r="O1945" s="364"/>
      <c r="S1945" s="61" ph="1"/>
      <c r="AA1945" s="264"/>
    </row>
    <row r="1946" spans="15:27" ht="26.25">
      <c r="O1946" s="364"/>
      <c r="S1946" s="61" ph="1"/>
      <c r="AA1946" s="264"/>
    </row>
    <row r="1947" spans="15:27" ht="26.25">
      <c r="O1947" s="364"/>
      <c r="S1947" s="61" ph="1"/>
      <c r="AA1947" s="264"/>
    </row>
    <row r="1948" spans="15:27" ht="26.25">
      <c r="O1948" s="364"/>
      <c r="S1948" s="61" ph="1"/>
      <c r="AA1948" s="264"/>
    </row>
    <row r="1949" spans="15:27" ht="26.25">
      <c r="O1949" s="364"/>
      <c r="S1949" s="61" ph="1"/>
      <c r="AA1949" s="264"/>
    </row>
    <row r="1950" spans="15:27" ht="26.25">
      <c r="O1950" s="364"/>
      <c r="S1950" s="61" ph="1"/>
      <c r="AA1950" s="264"/>
    </row>
    <row r="1951" spans="15:27">
      <c r="O1951" s="364"/>
      <c r="AA1951" s="264"/>
    </row>
    <row r="1952" spans="15:27" ht="26.25">
      <c r="O1952" s="364"/>
      <c r="S1952" s="61" ph="1"/>
      <c r="AA1952" s="264"/>
    </row>
    <row r="1953" spans="15:27" ht="26.25">
      <c r="O1953" s="364"/>
      <c r="S1953" s="61" ph="1"/>
      <c r="AA1953" s="264"/>
    </row>
    <row r="1954" spans="15:27" ht="26.25">
      <c r="O1954" s="364"/>
      <c r="S1954" s="61" ph="1"/>
      <c r="AA1954" s="126"/>
    </row>
    <row r="1955" spans="15:27" ht="26.25">
      <c r="O1955" s="364"/>
      <c r="S1955" s="61" ph="1"/>
      <c r="AA1955" s="264"/>
    </row>
    <row r="1956" spans="15:27" ht="26.25">
      <c r="O1956" s="364"/>
      <c r="S1956" s="61" ph="1"/>
      <c r="AA1956" s="264"/>
    </row>
    <row r="1957" spans="15:27" ht="26.25">
      <c r="O1957" s="364"/>
      <c r="S1957" s="61" ph="1"/>
      <c r="AA1957" s="264"/>
    </row>
    <row r="1958" spans="15:27" ht="26.25">
      <c r="O1958" s="364"/>
      <c r="S1958" s="61" ph="1"/>
      <c r="AA1958" s="126"/>
    </row>
    <row r="1959" spans="15:27" ht="26.25">
      <c r="O1959" s="364"/>
      <c r="S1959" s="61" ph="1"/>
      <c r="AA1959" s="264"/>
    </row>
    <row r="1960" spans="15:27">
      <c r="O1960" s="364"/>
      <c r="AA1960" s="264"/>
    </row>
    <row r="1961" spans="15:27" ht="26.25">
      <c r="O1961" s="364"/>
      <c r="S1961" s="61" ph="1"/>
      <c r="AA1961" s="126"/>
    </row>
    <row r="1962" spans="15:27" ht="26.25">
      <c r="O1962" s="364"/>
      <c r="S1962" s="61" ph="1"/>
      <c r="AA1962" s="126"/>
    </row>
    <row r="1963" spans="15:27" ht="26.25">
      <c r="O1963" s="364"/>
      <c r="S1963" s="61" ph="1"/>
    </row>
    <row r="1964" spans="15:27" ht="26.25">
      <c r="O1964" s="364"/>
      <c r="S1964" s="61" ph="1"/>
    </row>
    <row r="1965" spans="15:27" ht="26.25">
      <c r="O1965" s="364"/>
      <c r="S1965" s="61" ph="1"/>
    </row>
    <row r="1966" spans="15:27" ht="26.25">
      <c r="O1966" s="364"/>
      <c r="S1966" s="61" ph="1"/>
    </row>
    <row r="1967" spans="15:27" ht="26.25">
      <c r="O1967" s="364"/>
      <c r="S1967" s="61" ph="1"/>
    </row>
    <row r="1968" spans="15:27" ht="26.25">
      <c r="O1968" s="364"/>
      <c r="S1968" s="61" ph="1"/>
    </row>
    <row r="1969" spans="15:19" ht="26.25">
      <c r="O1969" s="364"/>
      <c r="S1969" s="61" ph="1"/>
    </row>
    <row r="1970" spans="15:19" ht="26.25">
      <c r="O1970" s="364"/>
      <c r="S1970" s="61" ph="1"/>
    </row>
    <row r="1971" spans="15:19" ht="26.25">
      <c r="O1971" s="364"/>
      <c r="S1971" s="61" ph="1"/>
    </row>
    <row r="1972" spans="15:19">
      <c r="O1972" s="364"/>
    </row>
    <row r="1973" spans="15:19" ht="26.25">
      <c r="O1973" s="364"/>
      <c r="S1973" s="61" ph="1"/>
    </row>
    <row r="1974" spans="15:19" ht="26.25">
      <c r="O1974" s="364"/>
      <c r="S1974" s="61" ph="1"/>
    </row>
    <row r="1975" spans="15:19" ht="26.25">
      <c r="O1975" s="364"/>
      <c r="S1975" s="61" ph="1"/>
    </row>
    <row r="1976" spans="15:19" ht="26.25">
      <c r="O1976" s="364"/>
      <c r="S1976" s="61" ph="1"/>
    </row>
    <row r="1977" spans="15:19" ht="26.25">
      <c r="O1977" s="364"/>
      <c r="S1977" s="61" ph="1"/>
    </row>
    <row r="1978" spans="15:19" ht="26.25">
      <c r="O1978" s="364"/>
      <c r="S1978" s="61" ph="1"/>
    </row>
    <row r="1979" spans="15:19" ht="26.25">
      <c r="O1979" s="364"/>
      <c r="S1979" s="61" ph="1"/>
    </row>
    <row r="1980" spans="15:19" ht="26.25">
      <c r="O1980" s="364"/>
      <c r="S1980" s="61" ph="1"/>
    </row>
    <row r="1981" spans="15:19">
      <c r="O1981" s="364"/>
    </row>
    <row r="1982" spans="15:19" ht="26.25">
      <c r="O1982" s="364"/>
      <c r="S1982" s="61" ph="1"/>
    </row>
    <row r="1983" spans="15:19" ht="26.25">
      <c r="O1983" s="364"/>
      <c r="S1983" s="61" ph="1"/>
    </row>
    <row r="1984" spans="15:19" ht="26.25">
      <c r="O1984" s="364"/>
      <c r="S1984" s="61" ph="1"/>
    </row>
    <row r="1985" spans="15:19" ht="26.25">
      <c r="O1985" s="364"/>
      <c r="S1985" s="61" ph="1"/>
    </row>
    <row r="1986" spans="15:19" ht="26.25">
      <c r="O1986" s="364"/>
      <c r="S1986" s="61" ph="1"/>
    </row>
    <row r="1987" spans="15:19" ht="26.25">
      <c r="O1987" s="364"/>
      <c r="S1987" s="61" ph="1"/>
    </row>
    <row r="1988" spans="15:19" ht="26.25">
      <c r="O1988" s="364"/>
      <c r="S1988" s="61" ph="1"/>
    </row>
    <row r="1989" spans="15:19" ht="26.25">
      <c r="O1989" s="364"/>
      <c r="S1989" s="61" ph="1"/>
    </row>
    <row r="1990" spans="15:19" ht="26.25">
      <c r="O1990" s="364"/>
      <c r="S1990" s="61" ph="1"/>
    </row>
    <row r="1991" spans="15:19" ht="26.25">
      <c r="O1991" s="364"/>
      <c r="S1991" s="61" ph="1"/>
    </row>
    <row r="1992" spans="15:19" ht="26.25">
      <c r="O1992" s="364"/>
      <c r="S1992" s="61" ph="1"/>
    </row>
    <row r="1993" spans="15:19" ht="26.25">
      <c r="O1993" s="364"/>
      <c r="S1993" s="61" ph="1"/>
    </row>
    <row r="1994" spans="15:19" ht="26.25">
      <c r="O1994" s="364"/>
      <c r="S1994" s="61" ph="1"/>
    </row>
    <row r="1995" spans="15:19" ht="26.25">
      <c r="O1995" s="364"/>
      <c r="S1995" s="61" ph="1"/>
    </row>
    <row r="1996" spans="15:19" ht="26.25">
      <c r="O1996" s="364"/>
      <c r="S1996" s="61" ph="1"/>
    </row>
    <row r="1997" spans="15:19" ht="26.25">
      <c r="O1997" s="364"/>
      <c r="S1997" s="61" ph="1"/>
    </row>
    <row r="1998" spans="15:19" ht="26.25">
      <c r="O1998" s="364"/>
      <c r="S1998" s="61" ph="1"/>
    </row>
    <row r="1999" spans="15:19" ht="26.25">
      <c r="O1999" s="364"/>
      <c r="S1999" s="61" ph="1"/>
    </row>
    <row r="2000" spans="15:19" ht="26.25">
      <c r="O2000" s="364"/>
      <c r="S2000" s="61" ph="1"/>
    </row>
    <row r="2001" spans="15:19" ht="26.25">
      <c r="O2001" s="364"/>
      <c r="S2001" s="61" ph="1"/>
    </row>
    <row r="2002" spans="15:19" ht="26.25">
      <c r="O2002" s="364"/>
      <c r="S2002" s="61" ph="1"/>
    </row>
    <row r="2003" spans="15:19" ht="26.25">
      <c r="O2003" s="364"/>
      <c r="S2003" s="61" ph="1"/>
    </row>
    <row r="2004" spans="15:19" ht="26.25">
      <c r="O2004" s="364"/>
      <c r="S2004" s="61" ph="1"/>
    </row>
    <row r="2005" spans="15:19" ht="26.25">
      <c r="O2005" s="364"/>
      <c r="S2005" s="61" ph="1"/>
    </row>
    <row r="2006" spans="15:19" ht="26.25">
      <c r="O2006" s="364"/>
      <c r="S2006" s="61" ph="1"/>
    </row>
    <row r="2007" spans="15:19" ht="26.25">
      <c r="O2007" s="364"/>
      <c r="S2007" s="61" ph="1"/>
    </row>
    <row r="2008" spans="15:19" ht="26.25">
      <c r="O2008" s="364"/>
      <c r="S2008" s="61" ph="1"/>
    </row>
    <row r="2009" spans="15:19" ht="26.25">
      <c r="O2009" s="364"/>
      <c r="S2009" s="61" ph="1"/>
    </row>
    <row r="2010" spans="15:19" ht="26.25">
      <c r="O2010" s="364"/>
      <c r="S2010" s="61" ph="1"/>
    </row>
    <row r="2011" spans="15:19" ht="26.25">
      <c r="O2011" s="364"/>
      <c r="S2011" s="61" ph="1"/>
    </row>
    <row r="2012" spans="15:19" ht="26.25">
      <c r="O2012" s="364"/>
      <c r="S2012" s="61" ph="1"/>
    </row>
    <row r="2013" spans="15:19" ht="26.25">
      <c r="O2013" s="364"/>
      <c r="S2013" s="61" ph="1"/>
    </row>
    <row r="2014" spans="15:19" ht="26.25">
      <c r="O2014" s="364"/>
      <c r="S2014" s="61" ph="1"/>
    </row>
    <row r="2015" spans="15:19" ht="26.25">
      <c r="O2015" s="364"/>
      <c r="S2015" s="61" ph="1"/>
    </row>
    <row r="2016" spans="15:19" ht="26.25">
      <c r="O2016" s="364"/>
      <c r="S2016" s="61" ph="1"/>
    </row>
    <row r="2017" spans="15:19" ht="26.25">
      <c r="O2017" s="364"/>
      <c r="S2017" s="61" ph="1"/>
    </row>
    <row r="2018" spans="15:19" ht="26.25">
      <c r="O2018" s="364"/>
      <c r="S2018" s="61" ph="1"/>
    </row>
    <row r="2019" spans="15:19" ht="26.25">
      <c r="O2019" s="364"/>
      <c r="S2019" s="61" ph="1"/>
    </row>
    <row r="2020" spans="15:19" ht="26.25">
      <c r="O2020" s="364"/>
      <c r="S2020" s="61" ph="1"/>
    </row>
    <row r="2021" spans="15:19" ht="26.25">
      <c r="O2021" s="364"/>
      <c r="S2021" s="61" ph="1"/>
    </row>
    <row r="2022" spans="15:19" ht="26.25">
      <c r="O2022" s="364"/>
      <c r="S2022" s="61" ph="1"/>
    </row>
    <row r="2023" spans="15:19" ht="26.25">
      <c r="O2023" s="364"/>
      <c r="S2023" s="61" ph="1"/>
    </row>
    <row r="2024" spans="15:19" ht="26.25">
      <c r="O2024" s="364"/>
      <c r="S2024" s="61" ph="1"/>
    </row>
    <row r="2025" spans="15:19" ht="26.25">
      <c r="O2025" s="364"/>
      <c r="S2025" s="61" ph="1"/>
    </row>
    <row r="2026" spans="15:19" ht="26.25">
      <c r="O2026" s="364"/>
      <c r="S2026" s="61" ph="1"/>
    </row>
    <row r="2027" spans="15:19" ht="26.25">
      <c r="O2027" s="364"/>
      <c r="S2027" s="61" ph="1"/>
    </row>
    <row r="2028" spans="15:19" ht="26.25">
      <c r="O2028" s="364"/>
      <c r="S2028" s="61" ph="1"/>
    </row>
    <row r="2029" spans="15:19" ht="26.25">
      <c r="O2029" s="364"/>
      <c r="S2029" s="61" ph="1"/>
    </row>
    <row r="2030" spans="15:19" ht="26.25">
      <c r="O2030" s="364"/>
      <c r="S2030" s="61" ph="1"/>
    </row>
    <row r="2031" spans="15:19" ht="26.25">
      <c r="O2031" s="364"/>
      <c r="S2031" s="61" ph="1"/>
    </row>
    <row r="2032" spans="15:19" ht="26.25">
      <c r="O2032" s="364"/>
      <c r="S2032" s="61" ph="1"/>
    </row>
    <row r="2033" spans="15:19" ht="26.25">
      <c r="O2033" s="364"/>
      <c r="S2033" s="61" ph="1"/>
    </row>
    <row r="2034" spans="15:19" ht="26.25">
      <c r="O2034" s="364"/>
      <c r="S2034" s="61" ph="1"/>
    </row>
    <row r="2035" spans="15:19" ht="26.25">
      <c r="O2035" s="364"/>
      <c r="S2035" s="61" ph="1"/>
    </row>
    <row r="2036" spans="15:19" ht="26.25">
      <c r="O2036" s="364"/>
      <c r="S2036" s="61" ph="1"/>
    </row>
    <row r="2037" spans="15:19" ht="26.25">
      <c r="O2037" s="364"/>
      <c r="S2037" s="61" ph="1"/>
    </row>
    <row r="2038" spans="15:19" ht="26.25">
      <c r="O2038" s="364"/>
      <c r="S2038" s="61" ph="1"/>
    </row>
    <row r="2039" spans="15:19" ht="26.25">
      <c r="O2039" s="364"/>
      <c r="S2039" s="61" ph="1"/>
    </row>
    <row r="2040" spans="15:19" ht="26.25">
      <c r="O2040" s="364"/>
      <c r="S2040" s="61" ph="1"/>
    </row>
    <row r="2041" spans="15:19" ht="26.25">
      <c r="O2041" s="364"/>
      <c r="S2041" s="61" ph="1"/>
    </row>
    <row r="2042" spans="15:19" ht="26.25">
      <c r="O2042" s="364"/>
      <c r="S2042" s="61" ph="1"/>
    </row>
    <row r="2043" spans="15:19" ht="26.25">
      <c r="O2043" s="364"/>
      <c r="S2043" s="61" ph="1"/>
    </row>
    <row r="2044" spans="15:19" ht="26.25">
      <c r="O2044" s="364"/>
      <c r="S2044" s="61" ph="1"/>
    </row>
    <row r="2045" spans="15:19" ht="26.25">
      <c r="O2045" s="364"/>
      <c r="S2045" s="61" ph="1"/>
    </row>
    <row r="2046" spans="15:19" ht="26.25">
      <c r="O2046" s="364"/>
      <c r="S2046" s="61" ph="1"/>
    </row>
    <row r="2047" spans="15:19" ht="26.25">
      <c r="O2047" s="364"/>
      <c r="S2047" s="61" ph="1"/>
    </row>
    <row r="2048" spans="15:19" ht="26.25">
      <c r="O2048" s="364"/>
      <c r="S2048" s="61" ph="1"/>
    </row>
    <row r="2049" spans="15:19" ht="26.25">
      <c r="O2049" s="364"/>
      <c r="S2049" s="61" ph="1"/>
    </row>
    <row r="2050" spans="15:19" ht="26.25">
      <c r="O2050" s="364"/>
      <c r="S2050" s="61" ph="1"/>
    </row>
    <row r="2051" spans="15:19" ht="26.25">
      <c r="O2051" s="364"/>
      <c r="S2051" s="61" ph="1"/>
    </row>
    <row r="2052" spans="15:19" ht="26.25">
      <c r="O2052" s="364"/>
      <c r="S2052" s="61" ph="1"/>
    </row>
    <row r="2053" spans="15:19" ht="26.25">
      <c r="O2053" s="364"/>
      <c r="S2053" s="61" ph="1"/>
    </row>
    <row r="2054" spans="15:19" ht="26.25">
      <c r="O2054" s="364"/>
      <c r="S2054" s="61" ph="1"/>
    </row>
    <row r="2055" spans="15:19" ht="26.25">
      <c r="O2055" s="364"/>
      <c r="S2055" s="61" ph="1"/>
    </row>
    <row r="2056" spans="15:19" ht="26.25">
      <c r="O2056" s="364"/>
      <c r="S2056" s="61" ph="1"/>
    </row>
    <row r="2057" spans="15:19" ht="26.25">
      <c r="O2057" s="364"/>
      <c r="S2057" s="61" ph="1"/>
    </row>
    <row r="2058" spans="15:19" ht="26.25">
      <c r="O2058" s="364"/>
      <c r="S2058" s="61" ph="1"/>
    </row>
    <row r="2059" spans="15:19" ht="26.25">
      <c r="O2059" s="364"/>
      <c r="S2059" s="61" ph="1"/>
    </row>
    <row r="2060" spans="15:19" ht="26.25">
      <c r="O2060" s="364"/>
      <c r="S2060" s="61" ph="1"/>
    </row>
    <row r="2061" spans="15:19" ht="26.25">
      <c r="O2061" s="364"/>
      <c r="S2061" s="61" ph="1"/>
    </row>
    <row r="2062" spans="15:19" ht="26.25">
      <c r="O2062" s="364"/>
      <c r="S2062" s="61" ph="1"/>
    </row>
    <row r="2063" spans="15:19" ht="26.25">
      <c r="O2063" s="364"/>
      <c r="S2063" s="61" ph="1"/>
    </row>
    <row r="2064" spans="15:19" ht="26.25">
      <c r="O2064" s="364"/>
      <c r="S2064" s="61" ph="1"/>
    </row>
    <row r="2065" spans="15:19" ht="26.25">
      <c r="O2065" s="364"/>
      <c r="S2065" s="61" ph="1"/>
    </row>
    <row r="2066" spans="15:19" ht="26.25">
      <c r="O2066" s="364"/>
      <c r="S2066" s="61" ph="1"/>
    </row>
    <row r="2067" spans="15:19" ht="26.25">
      <c r="O2067" s="364"/>
      <c r="S2067" s="61" ph="1"/>
    </row>
    <row r="2068" spans="15:19" ht="26.25">
      <c r="O2068" s="364"/>
      <c r="S2068" s="61" ph="1"/>
    </row>
    <row r="2069" spans="15:19" ht="26.25">
      <c r="O2069" s="364"/>
      <c r="S2069" s="61" ph="1"/>
    </row>
    <row r="2070" spans="15:19" ht="26.25">
      <c r="O2070" s="364"/>
      <c r="S2070" s="61" ph="1"/>
    </row>
    <row r="2071" spans="15:19" ht="26.25">
      <c r="O2071" s="364"/>
      <c r="S2071" s="61" ph="1"/>
    </row>
    <row r="2072" spans="15:19" ht="26.25">
      <c r="O2072" s="364"/>
      <c r="S2072" s="61" ph="1"/>
    </row>
    <row r="2073" spans="15:19" ht="26.25">
      <c r="O2073" s="364"/>
      <c r="S2073" s="61" ph="1"/>
    </row>
    <row r="2074" spans="15:19" ht="26.25">
      <c r="O2074" s="364"/>
      <c r="S2074" s="61" ph="1"/>
    </row>
    <row r="2075" spans="15:19" ht="26.25">
      <c r="O2075" s="364"/>
      <c r="S2075" s="61" ph="1"/>
    </row>
    <row r="2076" spans="15:19" ht="26.25">
      <c r="O2076" s="364"/>
      <c r="S2076" s="61" ph="1"/>
    </row>
    <row r="2077" spans="15:19" ht="26.25">
      <c r="O2077" s="364"/>
      <c r="S2077" s="61" ph="1"/>
    </row>
    <row r="2078" spans="15:19" ht="26.25">
      <c r="O2078" s="364"/>
      <c r="S2078" s="61" ph="1"/>
    </row>
    <row r="2079" spans="15:19" ht="26.25">
      <c r="O2079" s="364"/>
      <c r="S2079" s="61" ph="1"/>
    </row>
    <row r="2080" spans="15:19" ht="26.25">
      <c r="O2080" s="364"/>
      <c r="S2080" s="61" ph="1"/>
    </row>
    <row r="2081" spans="15:19" ht="26.25">
      <c r="O2081" s="364"/>
      <c r="S2081" s="61" ph="1"/>
    </row>
    <row r="2082" spans="15:19" ht="26.25">
      <c r="O2082" s="364"/>
      <c r="S2082" s="61" ph="1"/>
    </row>
    <row r="2083" spans="15:19" ht="26.25">
      <c r="O2083" s="364"/>
      <c r="S2083" s="61" ph="1"/>
    </row>
    <row r="2084" spans="15:19" ht="26.25">
      <c r="O2084" s="364"/>
      <c r="S2084" s="61" ph="1"/>
    </row>
    <row r="2085" spans="15:19" ht="26.25">
      <c r="O2085" s="364"/>
      <c r="S2085" s="61" ph="1"/>
    </row>
    <row r="2086" spans="15:19" ht="26.25">
      <c r="O2086" s="364"/>
      <c r="S2086" s="61" ph="1"/>
    </row>
    <row r="2087" spans="15:19" ht="26.25">
      <c r="O2087" s="364"/>
      <c r="S2087" s="61" ph="1"/>
    </row>
    <row r="2088" spans="15:19" ht="26.25">
      <c r="O2088" s="364"/>
      <c r="S2088" s="61" ph="1"/>
    </row>
    <row r="2089" spans="15:19" ht="26.25">
      <c r="O2089" s="364"/>
      <c r="S2089" s="61" ph="1"/>
    </row>
    <row r="2090" spans="15:19" ht="26.25">
      <c r="O2090" s="364"/>
      <c r="S2090" s="61" ph="1"/>
    </row>
    <row r="2091" spans="15:19" ht="26.25">
      <c r="O2091" s="364"/>
      <c r="S2091" s="61" ph="1"/>
    </row>
    <row r="2092" spans="15:19" ht="26.25">
      <c r="O2092" s="364"/>
      <c r="S2092" s="61" ph="1"/>
    </row>
    <row r="2093" spans="15:19" ht="26.25">
      <c r="O2093" s="364"/>
      <c r="S2093" s="61" ph="1"/>
    </row>
    <row r="2094" spans="15:19" ht="26.25">
      <c r="O2094" s="364"/>
      <c r="S2094" s="61" ph="1"/>
    </row>
    <row r="2095" spans="15:19" ht="26.25">
      <c r="O2095" s="364"/>
      <c r="S2095" s="61" ph="1"/>
    </row>
    <row r="2096" spans="15:19" ht="26.25">
      <c r="O2096" s="364"/>
      <c r="S2096" s="61" ph="1"/>
    </row>
    <row r="2097" spans="15:19" ht="26.25">
      <c r="O2097" s="364"/>
      <c r="S2097" s="61" ph="1"/>
    </row>
    <row r="2098" spans="15:19" ht="26.25">
      <c r="O2098" s="364"/>
      <c r="S2098" s="61" ph="1"/>
    </row>
    <row r="2099" spans="15:19" ht="26.25">
      <c r="O2099" s="364"/>
      <c r="S2099" s="61" ph="1"/>
    </row>
    <row r="2100" spans="15:19" ht="26.25">
      <c r="O2100" s="364"/>
      <c r="S2100" s="61" ph="1"/>
    </row>
    <row r="2101" spans="15:19" ht="26.25">
      <c r="O2101" s="364"/>
      <c r="S2101" s="61" ph="1"/>
    </row>
    <row r="2102" spans="15:19" ht="26.25">
      <c r="O2102" s="364"/>
      <c r="S2102" s="61" ph="1"/>
    </row>
    <row r="2103" spans="15:19" ht="26.25">
      <c r="O2103" s="364"/>
      <c r="S2103" s="61" ph="1"/>
    </row>
    <row r="2104" spans="15:19" ht="26.25">
      <c r="O2104" s="364"/>
      <c r="S2104" s="61" ph="1"/>
    </row>
    <row r="2105" spans="15:19" ht="26.25">
      <c r="O2105" s="364"/>
      <c r="S2105" s="61" ph="1"/>
    </row>
    <row r="2106" spans="15:19" ht="26.25">
      <c r="O2106" s="364"/>
      <c r="S2106" s="61" ph="1"/>
    </row>
    <row r="2107" spans="15:19" ht="26.25">
      <c r="O2107" s="364"/>
      <c r="S2107" s="61" ph="1"/>
    </row>
    <row r="2108" spans="15:19" ht="26.25">
      <c r="O2108" s="364"/>
      <c r="S2108" s="61" ph="1"/>
    </row>
    <row r="2109" spans="15:19" ht="26.25">
      <c r="O2109" s="364"/>
      <c r="S2109" s="61" ph="1"/>
    </row>
    <row r="2110" spans="15:19" ht="26.25">
      <c r="O2110" s="364"/>
      <c r="S2110" s="61" ph="1"/>
    </row>
    <row r="2111" spans="15:19" ht="26.25">
      <c r="O2111" s="364"/>
      <c r="S2111" s="61" ph="1"/>
    </row>
    <row r="2112" spans="15:19" ht="26.25">
      <c r="O2112" s="364"/>
      <c r="S2112" s="61" ph="1"/>
    </row>
    <row r="2113" spans="15:19" ht="26.25">
      <c r="O2113" s="364"/>
      <c r="S2113" s="61" ph="1"/>
    </row>
    <row r="2114" spans="15:19" ht="26.25">
      <c r="O2114" s="364"/>
      <c r="S2114" s="61" ph="1"/>
    </row>
    <row r="2115" spans="15:19" ht="26.25">
      <c r="O2115" s="364"/>
      <c r="S2115" s="61" ph="1"/>
    </row>
    <row r="2116" spans="15:19" ht="26.25">
      <c r="O2116" s="364"/>
      <c r="S2116" s="61" ph="1"/>
    </row>
    <row r="2117" spans="15:19" ht="26.25">
      <c r="O2117" s="364"/>
      <c r="S2117" s="61" ph="1"/>
    </row>
    <row r="2118" spans="15:19" ht="26.25">
      <c r="O2118" s="364"/>
      <c r="S2118" s="61" ph="1"/>
    </row>
    <row r="2119" spans="15:19" ht="26.25">
      <c r="O2119" s="364"/>
      <c r="S2119" s="61" ph="1"/>
    </row>
    <row r="2120" spans="15:19" ht="26.25">
      <c r="O2120" s="364"/>
      <c r="S2120" s="61" ph="1"/>
    </row>
    <row r="2121" spans="15:19" ht="26.25">
      <c r="O2121" s="364"/>
      <c r="S2121" s="61" ph="1"/>
    </row>
    <row r="2122" spans="15:19" ht="26.25">
      <c r="O2122" s="364"/>
      <c r="S2122" s="61" ph="1"/>
    </row>
    <row r="2123" spans="15:19" ht="26.25">
      <c r="O2123" s="364"/>
      <c r="S2123" s="61" ph="1"/>
    </row>
    <row r="2124" spans="15:19" ht="26.25">
      <c r="O2124" s="364"/>
      <c r="S2124" s="61" ph="1"/>
    </row>
    <row r="2125" spans="15:19" ht="26.25">
      <c r="O2125" s="364"/>
      <c r="S2125" s="61" ph="1"/>
    </row>
    <row r="2126" spans="15:19" ht="26.25">
      <c r="O2126" s="364"/>
      <c r="S2126" s="61" ph="1"/>
    </row>
    <row r="2127" spans="15:19" ht="26.25">
      <c r="O2127" s="364"/>
      <c r="S2127" s="61" ph="1"/>
    </row>
    <row r="2128" spans="15:19" ht="26.25">
      <c r="O2128" s="364"/>
      <c r="S2128" s="61" ph="1"/>
    </row>
    <row r="2129" spans="15:19" ht="26.25">
      <c r="O2129" s="364"/>
      <c r="S2129" s="61" ph="1"/>
    </row>
    <row r="2130" spans="15:19" ht="26.25">
      <c r="O2130" s="364"/>
      <c r="S2130" s="61" ph="1"/>
    </row>
    <row r="2131" spans="15:19" ht="26.25">
      <c r="O2131" s="364"/>
      <c r="S2131" s="61" ph="1"/>
    </row>
    <row r="2132" spans="15:19" ht="26.25">
      <c r="O2132" s="364"/>
      <c r="S2132" s="61" ph="1"/>
    </row>
    <row r="2133" spans="15:19" ht="26.25">
      <c r="O2133" s="364"/>
      <c r="S2133" s="61" ph="1"/>
    </row>
    <row r="2134" spans="15:19" ht="26.25">
      <c r="O2134" s="364"/>
      <c r="S2134" s="61" ph="1"/>
    </row>
    <row r="2135" spans="15:19" ht="26.25">
      <c r="O2135" s="364"/>
      <c r="S2135" s="61" ph="1"/>
    </row>
    <row r="2136" spans="15:19" ht="26.25">
      <c r="O2136" s="364"/>
      <c r="S2136" s="61" ph="1"/>
    </row>
    <row r="2137" spans="15:19" ht="26.25">
      <c r="O2137" s="364"/>
      <c r="S2137" s="61" ph="1"/>
    </row>
    <row r="2138" spans="15:19" ht="26.25">
      <c r="O2138" s="364"/>
      <c r="S2138" s="61" ph="1"/>
    </row>
    <row r="2139" spans="15:19" ht="26.25">
      <c r="O2139" s="364"/>
      <c r="S2139" s="61" ph="1"/>
    </row>
    <row r="2140" spans="15:19" ht="26.25">
      <c r="O2140" s="364"/>
      <c r="S2140" s="61" ph="1"/>
    </row>
    <row r="2141" spans="15:19" ht="26.25">
      <c r="O2141" s="364"/>
      <c r="S2141" s="61" ph="1"/>
    </row>
    <row r="2142" spans="15:19" ht="26.25">
      <c r="O2142" s="364"/>
      <c r="S2142" s="61" ph="1"/>
    </row>
    <row r="2143" spans="15:19" ht="26.25">
      <c r="O2143" s="364"/>
      <c r="S2143" s="61" ph="1"/>
    </row>
    <row r="2144" spans="15:19" ht="26.25">
      <c r="O2144" s="364"/>
      <c r="S2144" s="61" ph="1"/>
    </row>
    <row r="2145" spans="15:19" ht="26.25">
      <c r="O2145" s="364"/>
      <c r="S2145" s="61" ph="1"/>
    </row>
    <row r="2146" spans="15:19" ht="26.25">
      <c r="O2146" s="364"/>
      <c r="S2146" s="61" ph="1"/>
    </row>
    <row r="2147" spans="15:19" ht="26.25">
      <c r="O2147" s="364"/>
      <c r="S2147" s="61" ph="1"/>
    </row>
    <row r="2148" spans="15:19" ht="26.25">
      <c r="O2148" s="364"/>
      <c r="S2148" s="61" ph="1"/>
    </row>
    <row r="2149" spans="15:19" ht="26.25">
      <c r="O2149" s="364"/>
      <c r="S2149" s="61" ph="1"/>
    </row>
    <row r="2150" spans="15:19" ht="26.25">
      <c r="O2150" s="364"/>
      <c r="S2150" s="61" ph="1"/>
    </row>
    <row r="2151" spans="15:19" ht="26.25">
      <c r="O2151" s="364"/>
      <c r="S2151" s="61" ph="1"/>
    </row>
    <row r="2152" spans="15:19" ht="26.25">
      <c r="O2152" s="364"/>
      <c r="S2152" s="61" ph="1"/>
    </row>
    <row r="2153" spans="15:19" ht="26.25">
      <c r="O2153" s="364"/>
      <c r="S2153" s="61" ph="1"/>
    </row>
    <row r="2154" spans="15:19" ht="26.25">
      <c r="O2154" s="364"/>
      <c r="S2154" s="61" ph="1"/>
    </row>
    <row r="2155" spans="15:19" ht="26.25">
      <c r="O2155" s="364"/>
      <c r="S2155" s="61" ph="1"/>
    </row>
    <row r="2156" spans="15:19" ht="26.25">
      <c r="O2156" s="364"/>
      <c r="S2156" s="61" ph="1"/>
    </row>
    <row r="2157" spans="15:19" ht="26.25">
      <c r="O2157" s="364"/>
      <c r="S2157" s="61" ph="1"/>
    </row>
    <row r="2158" spans="15:19" ht="26.25">
      <c r="O2158" s="364"/>
      <c r="S2158" s="61" ph="1"/>
    </row>
    <row r="2159" spans="15:19" ht="26.25">
      <c r="O2159" s="364"/>
      <c r="S2159" s="61" ph="1"/>
    </row>
    <row r="2160" spans="15:19" ht="26.25">
      <c r="O2160" s="364"/>
      <c r="S2160" s="61" ph="1"/>
    </row>
    <row r="2161" spans="15:19" ht="26.25">
      <c r="O2161" s="364"/>
      <c r="S2161" s="61" ph="1"/>
    </row>
    <row r="2162" spans="15:19" ht="26.25">
      <c r="O2162" s="364"/>
      <c r="S2162" s="61" ph="1"/>
    </row>
    <row r="2163" spans="15:19" ht="26.25">
      <c r="O2163" s="364"/>
      <c r="S2163" s="61" ph="1"/>
    </row>
    <row r="2164" spans="15:19" ht="26.25">
      <c r="O2164" s="364"/>
      <c r="S2164" s="61" ph="1"/>
    </row>
    <row r="2165" spans="15:19" ht="26.25">
      <c r="O2165" s="364"/>
      <c r="S2165" s="61" ph="1"/>
    </row>
    <row r="2166" spans="15:19" ht="26.25">
      <c r="O2166" s="364"/>
      <c r="S2166" s="61" ph="1"/>
    </row>
    <row r="2167" spans="15:19" ht="26.25">
      <c r="O2167" s="364"/>
      <c r="S2167" s="61" ph="1"/>
    </row>
    <row r="2168" spans="15:19" ht="26.25">
      <c r="O2168" s="364"/>
      <c r="S2168" s="61" ph="1"/>
    </row>
    <row r="2169" spans="15:19" ht="26.25">
      <c r="O2169" s="364"/>
      <c r="S2169" s="61" ph="1"/>
    </row>
    <row r="2170" spans="15:19" ht="26.25">
      <c r="O2170" s="364"/>
      <c r="S2170" s="61" ph="1"/>
    </row>
    <row r="2171" spans="15:19" ht="26.25">
      <c r="O2171" s="364"/>
      <c r="S2171" s="61" ph="1"/>
    </row>
    <row r="2172" spans="15:19" ht="26.25">
      <c r="O2172" s="364"/>
      <c r="S2172" s="61" ph="1"/>
    </row>
    <row r="2173" spans="15:19" ht="26.25">
      <c r="O2173" s="364"/>
      <c r="S2173" s="61" ph="1"/>
    </row>
    <row r="2174" spans="15:19" ht="26.25">
      <c r="O2174" s="364"/>
      <c r="S2174" s="61" ph="1"/>
    </row>
    <row r="2175" spans="15:19" ht="26.25">
      <c r="O2175" s="364"/>
      <c r="S2175" s="61" ph="1"/>
    </row>
    <row r="2176" spans="15:19" ht="26.25">
      <c r="O2176" s="364"/>
      <c r="S2176" s="61" ph="1"/>
    </row>
    <row r="2177" spans="15:19" ht="26.25">
      <c r="O2177" s="364"/>
      <c r="S2177" s="61" ph="1"/>
    </row>
    <row r="2178" spans="15:19" ht="26.25">
      <c r="O2178" s="364"/>
      <c r="S2178" s="61" ph="1"/>
    </row>
    <row r="2179" spans="15:19" ht="26.25">
      <c r="O2179" s="364"/>
      <c r="S2179" s="61" ph="1"/>
    </row>
    <row r="2180" spans="15:19" ht="26.25">
      <c r="O2180" s="364"/>
      <c r="S2180" s="61" ph="1"/>
    </row>
    <row r="2181" spans="15:19" ht="26.25">
      <c r="O2181" s="364"/>
      <c r="S2181" s="61" ph="1"/>
    </row>
    <row r="2182" spans="15:19" ht="26.25">
      <c r="O2182" s="364"/>
      <c r="S2182" s="61" ph="1"/>
    </row>
    <row r="2183" spans="15:19" ht="26.25">
      <c r="O2183" s="364"/>
      <c r="S2183" s="61" ph="1"/>
    </row>
    <row r="2184" spans="15:19" ht="26.25">
      <c r="O2184" s="364"/>
      <c r="S2184" s="61" ph="1"/>
    </row>
    <row r="2185" spans="15:19" ht="26.25">
      <c r="O2185" s="364"/>
      <c r="S2185" s="61" ph="1"/>
    </row>
    <row r="2186" spans="15:19" ht="26.25">
      <c r="O2186" s="364"/>
      <c r="S2186" s="61" ph="1"/>
    </row>
    <row r="2187" spans="15:19" ht="26.25">
      <c r="O2187" s="364"/>
      <c r="S2187" s="61" ph="1"/>
    </row>
    <row r="2188" spans="15:19" ht="26.25">
      <c r="O2188" s="364"/>
      <c r="S2188" s="61" ph="1"/>
    </row>
    <row r="2189" spans="15:19" ht="26.25">
      <c r="O2189" s="364"/>
      <c r="S2189" s="61" ph="1"/>
    </row>
    <row r="2190" spans="15:19" ht="26.25">
      <c r="O2190" s="364"/>
      <c r="S2190" s="61" ph="1"/>
    </row>
    <row r="2191" spans="15:19" ht="26.25">
      <c r="O2191" s="364"/>
      <c r="S2191" s="61" ph="1"/>
    </row>
    <row r="2192" spans="15:19" ht="26.25">
      <c r="O2192" s="364"/>
      <c r="S2192" s="61" ph="1"/>
    </row>
    <row r="2193" spans="15:19" ht="26.25">
      <c r="O2193" s="364"/>
      <c r="S2193" s="61" ph="1"/>
    </row>
    <row r="2194" spans="15:19" ht="26.25">
      <c r="O2194" s="364"/>
      <c r="S2194" s="61" ph="1"/>
    </row>
    <row r="2195" spans="15:19" ht="26.25">
      <c r="O2195" s="364"/>
      <c r="S2195" s="61" ph="1"/>
    </row>
    <row r="2196" spans="15:19" ht="26.25">
      <c r="O2196" s="364"/>
      <c r="S2196" s="61" ph="1"/>
    </row>
    <row r="2197" spans="15:19" ht="26.25">
      <c r="O2197" s="364"/>
      <c r="S2197" s="61" ph="1"/>
    </row>
    <row r="2198" spans="15:19" ht="26.25">
      <c r="O2198" s="364"/>
      <c r="S2198" s="61" ph="1"/>
    </row>
    <row r="2199" spans="15:19" ht="26.25">
      <c r="O2199" s="364"/>
      <c r="S2199" s="61" ph="1"/>
    </row>
    <row r="2200" spans="15:19" ht="26.25">
      <c r="O2200" s="364"/>
      <c r="S2200" s="61" ph="1"/>
    </row>
    <row r="2201" spans="15:19" ht="26.25">
      <c r="O2201" s="364"/>
      <c r="S2201" s="61" ph="1"/>
    </row>
    <row r="2202" spans="15:19" ht="26.25">
      <c r="O2202" s="364"/>
      <c r="S2202" s="61" ph="1"/>
    </row>
    <row r="2203" spans="15:19" ht="26.25">
      <c r="O2203" s="364"/>
      <c r="S2203" s="61" ph="1"/>
    </row>
    <row r="2204" spans="15:19" ht="26.25">
      <c r="O2204" s="364"/>
      <c r="S2204" s="61" ph="1"/>
    </row>
    <row r="2205" spans="15:19" ht="26.25">
      <c r="O2205" s="364"/>
      <c r="S2205" s="61" ph="1"/>
    </row>
    <row r="2206" spans="15:19" ht="26.25">
      <c r="O2206" s="364"/>
      <c r="S2206" s="61" ph="1"/>
    </row>
    <row r="2207" spans="15:19" ht="26.25">
      <c r="O2207" s="364"/>
      <c r="S2207" s="61" ph="1"/>
    </row>
    <row r="2208" spans="15:19" ht="26.25">
      <c r="O2208" s="364"/>
      <c r="S2208" s="61" ph="1"/>
    </row>
    <row r="2209" spans="15:19" ht="26.25">
      <c r="O2209" s="364"/>
      <c r="S2209" s="61" ph="1"/>
    </row>
    <row r="2210" spans="15:19" ht="26.25">
      <c r="O2210" s="364"/>
      <c r="S2210" s="61" ph="1"/>
    </row>
    <row r="2211" spans="15:19" ht="26.25">
      <c r="O2211" s="364"/>
      <c r="S2211" s="61" ph="1"/>
    </row>
    <row r="2212" spans="15:19" ht="26.25">
      <c r="O2212" s="364"/>
      <c r="S2212" s="61" ph="1"/>
    </row>
    <row r="2213" spans="15:19" ht="26.25">
      <c r="O2213" s="364"/>
      <c r="S2213" s="61" ph="1"/>
    </row>
    <row r="2214" spans="15:19" ht="26.25">
      <c r="O2214" s="364"/>
      <c r="S2214" s="61" ph="1"/>
    </row>
    <row r="2215" spans="15:19" ht="26.25">
      <c r="O2215" s="364"/>
      <c r="S2215" s="61" ph="1"/>
    </row>
    <row r="2216" spans="15:19" ht="26.25">
      <c r="O2216" s="364"/>
      <c r="S2216" s="61" ph="1"/>
    </row>
    <row r="2217" spans="15:19" ht="26.25">
      <c r="O2217" s="364"/>
      <c r="S2217" s="61" ph="1"/>
    </row>
    <row r="2218" spans="15:19" ht="26.25">
      <c r="O2218" s="364"/>
      <c r="S2218" s="61" ph="1"/>
    </row>
    <row r="2219" spans="15:19" ht="26.25">
      <c r="O2219" s="364"/>
      <c r="S2219" s="61" ph="1"/>
    </row>
    <row r="2220" spans="15:19" ht="26.25">
      <c r="O2220" s="364"/>
      <c r="S2220" s="61" ph="1"/>
    </row>
    <row r="2221" spans="15:19" ht="26.25">
      <c r="O2221" s="364"/>
      <c r="S2221" s="61" ph="1"/>
    </row>
    <row r="2222" spans="15:19" ht="26.25">
      <c r="O2222" s="364"/>
      <c r="S2222" s="61" ph="1"/>
    </row>
    <row r="2223" spans="15:19" ht="26.25">
      <c r="O2223" s="364"/>
      <c r="S2223" s="61" ph="1"/>
    </row>
    <row r="2224" spans="15:19" ht="26.25">
      <c r="O2224" s="364"/>
      <c r="S2224" s="61" ph="1"/>
    </row>
    <row r="2225" spans="15:19" ht="26.25">
      <c r="O2225" s="364"/>
      <c r="S2225" s="61" ph="1"/>
    </row>
    <row r="2226" spans="15:19" ht="26.25">
      <c r="O2226" s="364"/>
      <c r="S2226" s="61" ph="1"/>
    </row>
    <row r="2227" spans="15:19" ht="26.25">
      <c r="O2227" s="364"/>
      <c r="S2227" s="61" ph="1"/>
    </row>
    <row r="2228" spans="15:19" ht="26.25">
      <c r="O2228" s="364"/>
      <c r="S2228" s="61" ph="1"/>
    </row>
    <row r="2229" spans="15:19" ht="26.25">
      <c r="O2229" s="364"/>
      <c r="S2229" s="61" ph="1"/>
    </row>
    <row r="2230" spans="15:19" ht="26.25">
      <c r="O2230" s="364"/>
      <c r="S2230" s="61" ph="1"/>
    </row>
    <row r="2231" spans="15:19" ht="26.25">
      <c r="O2231" s="364"/>
      <c r="S2231" s="61" ph="1"/>
    </row>
    <row r="2232" spans="15:19" ht="26.25">
      <c r="O2232" s="364"/>
      <c r="S2232" s="61" ph="1"/>
    </row>
    <row r="2233" spans="15:19" ht="26.25">
      <c r="O2233" s="364"/>
      <c r="S2233" s="61" ph="1"/>
    </row>
    <row r="2234" spans="15:19" ht="26.25">
      <c r="O2234" s="364"/>
      <c r="S2234" s="61" ph="1"/>
    </row>
    <row r="2235" spans="15:19" ht="26.25">
      <c r="O2235" s="364"/>
      <c r="S2235" s="61" ph="1"/>
    </row>
    <row r="2236" spans="15:19" ht="26.25">
      <c r="O2236" s="364"/>
      <c r="S2236" s="61" ph="1"/>
    </row>
    <row r="2237" spans="15:19" ht="26.25">
      <c r="O2237" s="364"/>
      <c r="S2237" s="61" ph="1"/>
    </row>
    <row r="2238" spans="15:19" ht="26.25">
      <c r="O2238" s="364"/>
      <c r="S2238" s="61" ph="1"/>
    </row>
    <row r="2239" spans="15:19" ht="26.25">
      <c r="O2239" s="364"/>
      <c r="S2239" s="61" ph="1"/>
    </row>
    <row r="2240" spans="15:19" ht="26.25">
      <c r="O2240" s="364"/>
      <c r="S2240" s="61" ph="1"/>
    </row>
    <row r="2241" spans="15:19" ht="26.25">
      <c r="O2241" s="364"/>
      <c r="S2241" s="61" ph="1"/>
    </row>
    <row r="2242" spans="15:19" ht="26.25">
      <c r="O2242" s="364"/>
      <c r="S2242" s="61" ph="1"/>
    </row>
    <row r="2243" spans="15:19" ht="26.25">
      <c r="O2243" s="364"/>
      <c r="S2243" s="61" ph="1"/>
    </row>
    <row r="2244" spans="15:19" ht="26.25">
      <c r="O2244" s="364"/>
      <c r="S2244" s="61" ph="1"/>
    </row>
    <row r="2245" spans="15:19" ht="26.25">
      <c r="O2245" s="364"/>
      <c r="S2245" s="61" ph="1"/>
    </row>
    <row r="2246" spans="15:19" ht="26.25">
      <c r="O2246" s="364"/>
      <c r="S2246" s="61" ph="1"/>
    </row>
    <row r="2247" spans="15:19" ht="26.25">
      <c r="O2247" s="364"/>
      <c r="S2247" s="61" ph="1"/>
    </row>
    <row r="2248" spans="15:19" ht="26.25">
      <c r="O2248" s="364"/>
      <c r="S2248" s="61" ph="1"/>
    </row>
    <row r="2249" spans="15:19" ht="26.25">
      <c r="O2249" s="364"/>
      <c r="S2249" s="61" ph="1"/>
    </row>
    <row r="2250" spans="15:19" ht="26.25">
      <c r="O2250" s="364"/>
      <c r="S2250" s="61" ph="1"/>
    </row>
    <row r="2251" spans="15:19" ht="26.25">
      <c r="O2251" s="364"/>
      <c r="S2251" s="61" ph="1"/>
    </row>
    <row r="2252" spans="15:19" ht="26.25">
      <c r="O2252" s="364"/>
      <c r="S2252" s="61" ph="1"/>
    </row>
    <row r="2253" spans="15:19" ht="26.25">
      <c r="O2253" s="364"/>
      <c r="S2253" s="61" ph="1"/>
    </row>
    <row r="2254" spans="15:19" ht="26.25">
      <c r="O2254" s="364"/>
      <c r="S2254" s="61" ph="1"/>
    </row>
    <row r="2255" spans="15:19" ht="26.25">
      <c r="O2255" s="364"/>
      <c r="S2255" s="61" ph="1"/>
    </row>
    <row r="2256" spans="15:19" ht="26.25">
      <c r="O2256" s="364"/>
      <c r="S2256" s="61" ph="1"/>
    </row>
    <row r="2257" spans="15:19" ht="26.25">
      <c r="O2257" s="364"/>
      <c r="S2257" s="61" ph="1"/>
    </row>
    <row r="2258" spans="15:19" ht="26.25">
      <c r="O2258" s="364"/>
      <c r="S2258" s="61" ph="1"/>
    </row>
    <row r="2259" spans="15:19" ht="26.25">
      <c r="O2259" s="364"/>
      <c r="S2259" s="61" ph="1"/>
    </row>
    <row r="2260" spans="15:19" ht="26.25">
      <c r="O2260" s="364"/>
      <c r="S2260" s="61" ph="1"/>
    </row>
    <row r="2261" spans="15:19" ht="26.25">
      <c r="O2261" s="364"/>
      <c r="S2261" s="61" ph="1"/>
    </row>
    <row r="2262" spans="15:19" ht="26.25">
      <c r="O2262" s="364"/>
      <c r="S2262" s="61" ph="1"/>
    </row>
    <row r="2263" spans="15:19" ht="26.25">
      <c r="O2263" s="364"/>
      <c r="S2263" s="61" ph="1"/>
    </row>
    <row r="2264" spans="15:19" ht="26.25">
      <c r="O2264" s="364"/>
      <c r="S2264" s="61" ph="1"/>
    </row>
    <row r="2265" spans="15:19" ht="26.25">
      <c r="O2265" s="364"/>
      <c r="S2265" s="61" ph="1"/>
    </row>
    <row r="2266" spans="15:19" ht="26.25">
      <c r="O2266" s="364"/>
      <c r="S2266" s="61" ph="1"/>
    </row>
    <row r="2267" spans="15:19" ht="26.25">
      <c r="O2267" s="364"/>
      <c r="S2267" s="61" ph="1"/>
    </row>
    <row r="2268" spans="15:19" ht="26.25">
      <c r="O2268" s="364"/>
      <c r="S2268" s="61" ph="1"/>
    </row>
    <row r="2269" spans="15:19" ht="26.25">
      <c r="O2269" s="364"/>
      <c r="S2269" s="61" ph="1"/>
    </row>
    <row r="2270" spans="15:19" ht="26.25">
      <c r="O2270" s="364"/>
      <c r="S2270" s="61" ph="1"/>
    </row>
    <row r="2271" spans="15:19" ht="26.25">
      <c r="O2271" s="364"/>
      <c r="S2271" s="61" ph="1"/>
    </row>
    <row r="2272" spans="15:19" ht="26.25">
      <c r="O2272" s="364"/>
      <c r="S2272" s="61" ph="1"/>
    </row>
    <row r="2273" spans="15:19" ht="26.25">
      <c r="O2273" s="364"/>
      <c r="S2273" s="61" ph="1"/>
    </row>
    <row r="2274" spans="15:19" ht="26.25">
      <c r="O2274" s="364"/>
      <c r="S2274" s="61" ph="1"/>
    </row>
    <row r="2275" spans="15:19" ht="26.25">
      <c r="O2275" s="364"/>
      <c r="S2275" s="61" ph="1"/>
    </row>
    <row r="2276" spans="15:19" ht="26.25">
      <c r="O2276" s="364"/>
      <c r="S2276" s="61" ph="1"/>
    </row>
    <row r="2277" spans="15:19" ht="26.25">
      <c r="O2277" s="364"/>
      <c r="S2277" s="61" ph="1"/>
    </row>
    <row r="2278" spans="15:19" ht="26.25">
      <c r="O2278" s="364"/>
      <c r="S2278" s="61" ph="1"/>
    </row>
    <row r="2279" spans="15:19" ht="26.25">
      <c r="O2279" s="364"/>
      <c r="S2279" s="61" ph="1"/>
    </row>
    <row r="2280" spans="15:19" ht="26.25">
      <c r="O2280" s="364"/>
      <c r="S2280" s="61" ph="1"/>
    </row>
    <row r="2281" spans="15:19" ht="26.25">
      <c r="O2281" s="364"/>
      <c r="S2281" s="61" ph="1"/>
    </row>
    <row r="2282" spans="15:19" ht="26.25">
      <c r="O2282" s="364"/>
      <c r="S2282" s="61" ph="1"/>
    </row>
    <row r="2283" spans="15:19" ht="26.25">
      <c r="O2283" s="364"/>
      <c r="S2283" s="61" ph="1"/>
    </row>
    <row r="2284" spans="15:19" ht="26.25">
      <c r="O2284" s="364"/>
      <c r="S2284" s="61" ph="1"/>
    </row>
    <row r="2285" spans="15:19" ht="26.25">
      <c r="O2285" s="364"/>
      <c r="S2285" s="61" ph="1"/>
    </row>
    <row r="2286" spans="15:19" ht="26.25">
      <c r="O2286" s="364"/>
      <c r="S2286" s="61" ph="1"/>
    </row>
    <row r="2287" spans="15:19" ht="26.25">
      <c r="O2287" s="364"/>
      <c r="S2287" s="61" ph="1"/>
    </row>
    <row r="2288" spans="15:19" ht="26.25">
      <c r="O2288" s="364"/>
      <c r="S2288" s="61" ph="1"/>
    </row>
    <row r="2289" spans="15:19" ht="26.25">
      <c r="O2289" s="364"/>
      <c r="S2289" s="61" ph="1"/>
    </row>
    <row r="2290" spans="15:19" ht="26.25">
      <c r="O2290" s="364"/>
      <c r="S2290" s="61" ph="1"/>
    </row>
    <row r="2291" spans="15:19" ht="26.25">
      <c r="O2291" s="364"/>
      <c r="S2291" s="61" ph="1"/>
    </row>
    <row r="2292" spans="15:19" ht="26.25">
      <c r="O2292" s="364"/>
      <c r="S2292" s="61" ph="1"/>
    </row>
    <row r="2293" spans="15:19" ht="26.25">
      <c r="O2293" s="364"/>
      <c r="S2293" s="61" ph="1"/>
    </row>
    <row r="2294" spans="15:19" ht="26.25">
      <c r="O2294" s="364"/>
      <c r="S2294" s="61" ph="1"/>
    </row>
    <row r="2295" spans="15:19" ht="26.25">
      <c r="O2295" s="364"/>
      <c r="S2295" s="61" ph="1"/>
    </row>
    <row r="2296" spans="15:19" ht="26.25">
      <c r="O2296" s="364"/>
      <c r="S2296" s="61" ph="1"/>
    </row>
    <row r="2297" spans="15:19" ht="26.25">
      <c r="O2297" s="364"/>
      <c r="S2297" s="61" ph="1"/>
    </row>
    <row r="2298" spans="15:19" ht="26.25">
      <c r="O2298" s="364"/>
      <c r="S2298" s="61" ph="1"/>
    </row>
    <row r="2299" spans="15:19" ht="26.25">
      <c r="O2299" s="364"/>
      <c r="S2299" s="61" ph="1"/>
    </row>
    <row r="2300" spans="15:19" ht="26.25">
      <c r="O2300" s="364"/>
      <c r="S2300" s="61" ph="1"/>
    </row>
    <row r="2301" spans="15:19" ht="26.25">
      <c r="O2301" s="364"/>
      <c r="S2301" s="61" ph="1"/>
    </row>
    <row r="2302" spans="15:19" ht="26.25">
      <c r="O2302" s="364"/>
      <c r="S2302" s="61" ph="1"/>
    </row>
    <row r="2303" spans="15:19" ht="26.25">
      <c r="O2303" s="364"/>
      <c r="S2303" s="61" ph="1"/>
    </row>
    <row r="2304" spans="15:19" ht="26.25">
      <c r="O2304" s="364"/>
      <c r="S2304" s="61" ph="1"/>
    </row>
    <row r="2305" spans="15:19" ht="26.25">
      <c r="O2305" s="364"/>
      <c r="S2305" s="61" ph="1"/>
    </row>
    <row r="2306" spans="15:19" ht="26.25">
      <c r="O2306" s="364"/>
      <c r="S2306" s="61" ph="1"/>
    </row>
    <row r="2307" spans="15:19" ht="26.25">
      <c r="O2307" s="364"/>
      <c r="S2307" s="61" ph="1"/>
    </row>
    <row r="2308" spans="15:19" ht="26.25">
      <c r="O2308" s="364"/>
      <c r="S2308" s="61" ph="1"/>
    </row>
    <row r="2309" spans="15:19" ht="26.25">
      <c r="S2309" s="61" ph="1"/>
    </row>
    <row r="2310" spans="15:19" ht="26.25">
      <c r="S2310" s="61" ph="1"/>
    </row>
    <row r="2311" spans="15:19" ht="26.25">
      <c r="S2311" s="61" ph="1"/>
    </row>
    <row r="2312" spans="15:19" ht="26.25">
      <c r="S2312" s="61" ph="1"/>
    </row>
    <row r="2313" spans="15:19" ht="26.25">
      <c r="S2313" s="61" ph="1"/>
    </row>
    <row r="2314" spans="15:19" ht="26.25">
      <c r="S2314" s="61" ph="1"/>
    </row>
    <row r="2315" spans="15:19" ht="26.25">
      <c r="S2315" s="61" ph="1"/>
    </row>
    <row r="2316" spans="15:19" ht="26.25">
      <c r="S2316" s="61" ph="1"/>
    </row>
    <row r="2317" spans="15:19" ht="26.25">
      <c r="S2317" s="61" ph="1"/>
    </row>
    <row r="2318" spans="15:19" ht="26.25">
      <c r="S2318" s="61" ph="1"/>
    </row>
    <row r="2319" spans="15:19" ht="26.25">
      <c r="S2319" s="61" ph="1"/>
    </row>
    <row r="2320" spans="15:19" ht="26.25">
      <c r="S2320" s="61" ph="1"/>
    </row>
    <row r="2321" spans="19:19" ht="26.25">
      <c r="S2321" s="61" ph="1"/>
    </row>
    <row r="2322" spans="19:19" ht="26.25">
      <c r="S2322" s="61" ph="1"/>
    </row>
    <row r="2323" spans="19:19" ht="26.25">
      <c r="S2323" s="61" ph="1"/>
    </row>
    <row r="2324" spans="19:19" ht="26.25">
      <c r="S2324" s="61" ph="1"/>
    </row>
    <row r="2325" spans="19:19" ht="26.25">
      <c r="S2325" s="61" ph="1"/>
    </row>
    <row r="2326" spans="19:19" ht="26.25">
      <c r="S2326" s="61" ph="1"/>
    </row>
    <row r="2327" spans="19:19" ht="26.25">
      <c r="S2327" s="61" ph="1"/>
    </row>
    <row r="2328" spans="19:19" ht="26.25">
      <c r="S2328" s="61" ph="1"/>
    </row>
    <row r="2329" spans="19:19" ht="26.25">
      <c r="S2329" s="61" ph="1"/>
    </row>
    <row r="2330" spans="19:19" ht="26.25">
      <c r="S2330" s="61" ph="1"/>
    </row>
    <row r="2331" spans="19:19" ht="26.25">
      <c r="S2331" s="61" ph="1"/>
    </row>
    <row r="2332" spans="19:19" ht="26.25">
      <c r="S2332" s="61" ph="1"/>
    </row>
    <row r="2333" spans="19:19" ht="26.25">
      <c r="S2333" s="61" ph="1"/>
    </row>
    <row r="2334" spans="19:19" ht="26.25">
      <c r="S2334" s="61" ph="1"/>
    </row>
    <row r="2335" spans="19:19" ht="26.25">
      <c r="S2335" s="61" ph="1"/>
    </row>
    <row r="2336" spans="19:19" ht="26.25">
      <c r="S2336" s="61" ph="1"/>
    </row>
    <row r="2337" spans="19:19" ht="26.25">
      <c r="S2337" s="61" ph="1"/>
    </row>
    <row r="2338" spans="19:19" ht="26.25">
      <c r="S2338" s="61" ph="1"/>
    </row>
    <row r="2339" spans="19:19" ht="26.25">
      <c r="S2339" s="61" ph="1"/>
    </row>
    <row r="2340" spans="19:19" ht="26.25">
      <c r="S2340" s="61" ph="1"/>
    </row>
    <row r="2341" spans="19:19" ht="26.25">
      <c r="S2341" s="61" ph="1"/>
    </row>
    <row r="2342" spans="19:19" ht="26.25">
      <c r="S2342" s="61" ph="1"/>
    </row>
    <row r="2343" spans="19:19" ht="26.25">
      <c r="S2343" s="61" ph="1"/>
    </row>
    <row r="2344" spans="19:19" ht="26.25">
      <c r="S2344" s="61" ph="1"/>
    </row>
    <row r="2345" spans="19:19" ht="26.25">
      <c r="S2345" s="61" ph="1"/>
    </row>
    <row r="2346" spans="19:19" ht="26.25">
      <c r="S2346" s="61" ph="1"/>
    </row>
    <row r="2347" spans="19:19" ht="26.25">
      <c r="S2347" s="61" ph="1"/>
    </row>
    <row r="2348" spans="19:19" ht="26.25">
      <c r="S2348" s="61" ph="1"/>
    </row>
    <row r="2349" spans="19:19" ht="26.25">
      <c r="S2349" s="61" ph="1"/>
    </row>
    <row r="2350" spans="19:19" ht="26.25">
      <c r="S2350" s="61" ph="1"/>
    </row>
    <row r="2351" spans="19:19" ht="26.25">
      <c r="S2351" s="61" ph="1"/>
    </row>
    <row r="2352" spans="19:19" ht="26.25">
      <c r="S2352" s="61" ph="1"/>
    </row>
    <row r="2353" spans="19:19" ht="26.25">
      <c r="S2353" s="61" ph="1"/>
    </row>
    <row r="2354" spans="19:19" ht="26.25">
      <c r="S2354" s="61" ph="1"/>
    </row>
    <row r="2355" spans="19:19" ht="26.25">
      <c r="S2355" s="61" ph="1"/>
    </row>
    <row r="2356" spans="19:19" ht="26.25">
      <c r="S2356" s="61" ph="1"/>
    </row>
    <row r="2357" spans="19:19" ht="26.25">
      <c r="S2357" s="61" ph="1"/>
    </row>
    <row r="2358" spans="19:19" ht="26.25">
      <c r="S2358" s="61" ph="1"/>
    </row>
    <row r="2359" spans="19:19" ht="26.25">
      <c r="S2359" s="61" ph="1"/>
    </row>
    <row r="2360" spans="19:19" ht="26.25">
      <c r="S2360" s="61" ph="1"/>
    </row>
    <row r="2361" spans="19:19" ht="26.25">
      <c r="S2361" s="61" ph="1"/>
    </row>
    <row r="2362" spans="19:19" ht="26.25">
      <c r="S2362" s="61" ph="1"/>
    </row>
    <row r="2363" spans="19:19" ht="26.25">
      <c r="S2363" s="61" ph="1"/>
    </row>
    <row r="2364" spans="19:19" ht="26.25">
      <c r="S2364" s="61" ph="1"/>
    </row>
    <row r="2365" spans="19:19" ht="26.25">
      <c r="S2365" s="61" ph="1"/>
    </row>
    <row r="2366" spans="19:19" ht="26.25">
      <c r="S2366" s="61" ph="1"/>
    </row>
    <row r="2367" spans="19:19" ht="26.25">
      <c r="S2367" s="61" ph="1"/>
    </row>
    <row r="2368" spans="19:19" ht="26.25">
      <c r="S2368" s="61" ph="1"/>
    </row>
    <row r="2369" spans="19:19" ht="26.25">
      <c r="S2369" s="61" ph="1"/>
    </row>
    <row r="2370" spans="19:19" ht="26.25">
      <c r="S2370" s="61" ph="1"/>
    </row>
    <row r="2371" spans="19:19" ht="26.25">
      <c r="S2371" s="61" ph="1"/>
    </row>
    <row r="2372" spans="19:19" ht="26.25">
      <c r="S2372" s="61" ph="1"/>
    </row>
    <row r="2373" spans="19:19" ht="26.25">
      <c r="S2373" s="61" ph="1"/>
    </row>
    <row r="2374" spans="19:19" ht="26.25">
      <c r="S2374" s="61" ph="1"/>
    </row>
    <row r="2375" spans="19:19" ht="26.25">
      <c r="S2375" s="61" ph="1"/>
    </row>
    <row r="2376" spans="19:19" ht="26.25">
      <c r="S2376" s="61" ph="1"/>
    </row>
    <row r="2377" spans="19:19" ht="26.25">
      <c r="S2377" s="61" ph="1"/>
    </row>
    <row r="2378" spans="19:19" ht="26.25">
      <c r="S2378" s="61" ph="1"/>
    </row>
    <row r="2379" spans="19:19" ht="26.25">
      <c r="S2379" s="61" ph="1"/>
    </row>
    <row r="2380" spans="19:19" ht="26.25">
      <c r="S2380" s="61" ph="1"/>
    </row>
    <row r="2381" spans="19:19" ht="26.25">
      <c r="S2381" s="61" ph="1"/>
    </row>
    <row r="2382" spans="19:19" ht="26.25">
      <c r="S2382" s="61" ph="1"/>
    </row>
    <row r="2383" spans="19:19" ht="26.25">
      <c r="S2383" s="61" ph="1"/>
    </row>
    <row r="2384" spans="19:19" ht="26.25">
      <c r="S2384" s="61" ph="1"/>
    </row>
    <row r="2385" spans="19:19" ht="26.25">
      <c r="S2385" s="61" ph="1"/>
    </row>
    <row r="2386" spans="19:19" ht="26.25">
      <c r="S2386" s="61" ph="1"/>
    </row>
    <row r="2387" spans="19:19" ht="26.25">
      <c r="S2387" s="61" ph="1"/>
    </row>
    <row r="2388" spans="19:19" ht="26.25">
      <c r="S2388" s="61" ph="1"/>
    </row>
    <row r="2389" spans="19:19" ht="26.25">
      <c r="S2389" s="61" ph="1"/>
    </row>
    <row r="2390" spans="19:19" ht="26.25">
      <c r="S2390" s="61" ph="1"/>
    </row>
    <row r="2391" spans="19:19" ht="26.25">
      <c r="S2391" s="61" ph="1"/>
    </row>
    <row r="2392" spans="19:19" ht="26.25">
      <c r="S2392" s="61" ph="1"/>
    </row>
    <row r="2393" spans="19:19" ht="26.25">
      <c r="S2393" s="61" ph="1"/>
    </row>
    <row r="2394" spans="19:19" ht="26.25">
      <c r="S2394" s="61" ph="1"/>
    </row>
    <row r="2395" spans="19:19" ht="26.25">
      <c r="S2395" s="61" ph="1"/>
    </row>
    <row r="2396" spans="19:19" ht="26.25">
      <c r="S2396" s="61" ph="1"/>
    </row>
    <row r="2397" spans="19:19" ht="26.25">
      <c r="S2397" s="61" ph="1"/>
    </row>
    <row r="2398" spans="19:19" ht="26.25">
      <c r="S2398" s="61" ph="1"/>
    </row>
    <row r="2399" spans="19:19" ht="26.25">
      <c r="S2399" s="61" ph="1"/>
    </row>
    <row r="2400" spans="19:19" ht="26.25">
      <c r="S2400" s="61" ph="1"/>
    </row>
    <row r="2401" spans="19:19" ht="26.25">
      <c r="S2401" s="61" ph="1"/>
    </row>
    <row r="2402" spans="19:19" ht="26.25">
      <c r="S2402" s="61" ph="1"/>
    </row>
    <row r="2403" spans="19:19" ht="26.25">
      <c r="S2403" s="61" ph="1"/>
    </row>
    <row r="2404" spans="19:19" ht="26.25">
      <c r="S2404" s="61" ph="1"/>
    </row>
    <row r="2405" spans="19:19" ht="26.25">
      <c r="S2405" s="61" ph="1"/>
    </row>
    <row r="2406" spans="19:19" ht="26.25">
      <c r="S2406" s="61" ph="1"/>
    </row>
    <row r="2407" spans="19:19" ht="26.25">
      <c r="S2407" s="61" ph="1"/>
    </row>
    <row r="2408" spans="19:19" ht="26.25">
      <c r="S2408" s="61" ph="1"/>
    </row>
    <row r="2409" spans="19:19" ht="26.25">
      <c r="S2409" s="61" ph="1"/>
    </row>
    <row r="2410" spans="19:19" ht="26.25">
      <c r="S2410" s="61" ph="1"/>
    </row>
    <row r="2411" spans="19:19" ht="26.25">
      <c r="S2411" s="61" ph="1"/>
    </row>
    <row r="2412" spans="19:19" ht="26.25">
      <c r="S2412" s="61" ph="1"/>
    </row>
    <row r="2413" spans="19:19" ht="26.25">
      <c r="S2413" s="61" ph="1"/>
    </row>
    <row r="2414" spans="19:19" ht="26.25">
      <c r="S2414" s="61" ph="1"/>
    </row>
    <row r="2415" spans="19:19" ht="26.25">
      <c r="S2415" s="61" ph="1"/>
    </row>
    <row r="2416" spans="19:19" ht="26.25">
      <c r="S2416" s="61" ph="1"/>
    </row>
    <row r="2417" spans="19:19" ht="26.25">
      <c r="S2417" s="61" ph="1"/>
    </row>
    <row r="2418" spans="19:19" ht="26.25">
      <c r="S2418" s="61" ph="1"/>
    </row>
    <row r="2419" spans="19:19" ht="26.25">
      <c r="S2419" s="61" ph="1"/>
    </row>
    <row r="2420" spans="19:19" ht="26.25">
      <c r="S2420" s="61" ph="1"/>
    </row>
    <row r="2421" spans="19:19" ht="26.25">
      <c r="S2421" s="61" ph="1"/>
    </row>
    <row r="2422" spans="19:19" ht="26.25">
      <c r="S2422" s="61" ph="1"/>
    </row>
    <row r="2423" spans="19:19" ht="26.25">
      <c r="S2423" s="61" ph="1"/>
    </row>
    <row r="2424" spans="19:19" ht="26.25">
      <c r="S2424" s="61" ph="1"/>
    </row>
    <row r="2425" spans="19:19" ht="26.25">
      <c r="S2425" s="61" ph="1"/>
    </row>
    <row r="2426" spans="19:19" ht="26.25">
      <c r="S2426" s="61" ph="1"/>
    </row>
    <row r="2427" spans="19:19" ht="26.25">
      <c r="S2427" s="61" ph="1"/>
    </row>
    <row r="2428" spans="19:19" ht="26.25">
      <c r="S2428" s="61" ph="1"/>
    </row>
    <row r="2429" spans="19:19" ht="26.25">
      <c r="S2429" s="61" ph="1"/>
    </row>
    <row r="2430" spans="19:19" ht="26.25">
      <c r="S2430" s="61" ph="1"/>
    </row>
    <row r="2431" spans="19:19" ht="26.25">
      <c r="S2431" s="61" ph="1"/>
    </row>
    <row r="2432" spans="19:19" ht="26.25">
      <c r="S2432" s="61" ph="1"/>
    </row>
    <row r="2433" spans="19:19" ht="26.25">
      <c r="S2433" s="61" ph="1"/>
    </row>
    <row r="2434" spans="19:19" ht="26.25">
      <c r="S2434" s="61" ph="1"/>
    </row>
    <row r="2435" spans="19:19" ht="26.25">
      <c r="S2435" s="61" ph="1"/>
    </row>
    <row r="2436" spans="19:19" ht="26.25">
      <c r="S2436" s="61" ph="1"/>
    </row>
    <row r="2437" spans="19:19" ht="26.25">
      <c r="S2437" s="61" ph="1"/>
    </row>
    <row r="2438" spans="19:19" ht="26.25">
      <c r="S2438" s="61" ph="1"/>
    </row>
    <row r="2439" spans="19:19" ht="26.25">
      <c r="S2439" s="61" ph="1"/>
    </row>
    <row r="2440" spans="19:19" ht="26.25">
      <c r="S2440" s="61" ph="1"/>
    </row>
    <row r="2441" spans="19:19" ht="26.25">
      <c r="S2441" s="61" ph="1"/>
    </row>
    <row r="2442" spans="19:19" ht="26.25">
      <c r="S2442" s="61" ph="1"/>
    </row>
    <row r="2443" spans="19:19" ht="26.25">
      <c r="S2443" s="61" ph="1"/>
    </row>
    <row r="2444" spans="19:19" ht="26.25">
      <c r="S2444" s="61" ph="1"/>
    </row>
    <row r="2445" spans="19:19" ht="26.25">
      <c r="S2445" s="61" ph="1"/>
    </row>
    <row r="2446" spans="19:19" ht="26.25">
      <c r="S2446" s="61" ph="1"/>
    </row>
    <row r="2447" spans="19:19" ht="26.25">
      <c r="S2447" s="61" ph="1"/>
    </row>
    <row r="2448" spans="19:19" ht="26.25">
      <c r="S2448" s="61" ph="1"/>
    </row>
    <row r="2449" spans="19:19" ht="26.25">
      <c r="S2449" s="61" ph="1"/>
    </row>
    <row r="2450" spans="19:19" ht="26.25">
      <c r="S2450" s="61" ph="1"/>
    </row>
    <row r="2451" spans="19:19" ht="26.25">
      <c r="S2451" s="61" ph="1"/>
    </row>
    <row r="2452" spans="19:19" ht="26.25">
      <c r="S2452" s="61" ph="1"/>
    </row>
    <row r="2453" spans="19:19" ht="26.25">
      <c r="S2453" s="61" ph="1"/>
    </row>
    <row r="2454" spans="19:19" ht="26.25">
      <c r="S2454" s="61" ph="1"/>
    </row>
    <row r="2455" spans="19:19" ht="26.25">
      <c r="S2455" s="61" ph="1"/>
    </row>
    <row r="2456" spans="19:19" ht="26.25">
      <c r="S2456" s="61" ph="1"/>
    </row>
    <row r="2457" spans="19:19" ht="26.25">
      <c r="S2457" s="61" ph="1"/>
    </row>
    <row r="2458" spans="19:19" ht="26.25">
      <c r="S2458" s="61" ph="1"/>
    </row>
    <row r="2459" spans="19:19" ht="26.25">
      <c r="S2459" s="61" ph="1"/>
    </row>
    <row r="2460" spans="19:19" ht="26.25">
      <c r="S2460" s="61" ph="1"/>
    </row>
    <row r="2461" spans="19:19" ht="26.25">
      <c r="S2461" s="61" ph="1"/>
    </row>
    <row r="2462" spans="19:19" ht="26.25">
      <c r="S2462" s="61" ph="1"/>
    </row>
    <row r="2463" spans="19:19" ht="26.25">
      <c r="S2463" s="61" ph="1"/>
    </row>
    <row r="2464" spans="19:19" ht="26.25">
      <c r="S2464" s="61" ph="1"/>
    </row>
    <row r="2465" spans="19:19" ht="26.25">
      <c r="S2465" s="61" ph="1"/>
    </row>
    <row r="2466" spans="19:19" ht="26.25">
      <c r="S2466" s="61" ph="1"/>
    </row>
    <row r="2467" spans="19:19" ht="26.25">
      <c r="S2467" s="61" ph="1"/>
    </row>
    <row r="2468" spans="19:19" ht="26.25">
      <c r="S2468" s="61" ph="1"/>
    </row>
    <row r="2469" spans="19:19" ht="26.25">
      <c r="S2469" s="61" ph="1"/>
    </row>
    <row r="2470" spans="19:19" ht="26.25">
      <c r="S2470" s="61" ph="1"/>
    </row>
    <row r="2471" spans="19:19" ht="26.25">
      <c r="S2471" s="61" ph="1"/>
    </row>
    <row r="2472" spans="19:19" ht="26.25">
      <c r="S2472" s="61" ph="1"/>
    </row>
    <row r="2473" spans="19:19" ht="26.25">
      <c r="S2473" s="61" ph="1"/>
    </row>
    <row r="2474" spans="19:19" ht="26.25">
      <c r="S2474" s="61" ph="1"/>
    </row>
    <row r="2475" spans="19:19" ht="26.25">
      <c r="S2475" s="61" ph="1"/>
    </row>
    <row r="2476" spans="19:19" ht="26.25">
      <c r="S2476" s="61" ph="1"/>
    </row>
    <row r="2477" spans="19:19" ht="26.25">
      <c r="S2477" s="61" ph="1"/>
    </row>
    <row r="2478" spans="19:19" ht="26.25">
      <c r="S2478" s="61" ph="1"/>
    </row>
    <row r="2479" spans="19:19" ht="26.25">
      <c r="S2479" s="61" ph="1"/>
    </row>
    <row r="2480" spans="19:19" ht="26.25">
      <c r="S2480" s="61" ph="1"/>
    </row>
    <row r="2481" spans="19:19" ht="26.25">
      <c r="S2481" s="61" ph="1"/>
    </row>
    <row r="2482" spans="19:19" ht="26.25">
      <c r="S2482" s="61" ph="1"/>
    </row>
    <row r="2483" spans="19:19" ht="26.25">
      <c r="S2483" s="61" ph="1"/>
    </row>
    <row r="2484" spans="19:19" ht="26.25">
      <c r="S2484" s="61" ph="1"/>
    </row>
    <row r="2485" spans="19:19" ht="26.25">
      <c r="S2485" s="61" ph="1"/>
    </row>
    <row r="2486" spans="19:19" ht="26.25">
      <c r="S2486" s="61" ph="1"/>
    </row>
    <row r="2487" spans="19:19" ht="26.25">
      <c r="S2487" s="61" ph="1"/>
    </row>
    <row r="2488" spans="19:19" ht="26.25">
      <c r="S2488" s="61" ph="1"/>
    </row>
    <row r="2489" spans="19:19" ht="26.25">
      <c r="S2489" s="61" ph="1"/>
    </row>
    <row r="2490" spans="19:19" ht="26.25">
      <c r="S2490" s="61" ph="1"/>
    </row>
    <row r="2491" spans="19:19" ht="26.25">
      <c r="S2491" s="61" ph="1"/>
    </row>
    <row r="2492" spans="19:19" ht="26.25">
      <c r="S2492" s="61" ph="1"/>
    </row>
    <row r="2493" spans="19:19" ht="26.25">
      <c r="S2493" s="61" ph="1"/>
    </row>
    <row r="2494" spans="19:19" ht="26.25">
      <c r="S2494" s="61" ph="1"/>
    </row>
    <row r="2495" spans="19:19" ht="26.25">
      <c r="S2495" s="61" ph="1"/>
    </row>
    <row r="2496" spans="19:19" ht="26.25">
      <c r="S2496" s="61" ph="1"/>
    </row>
    <row r="2497" spans="19:19" ht="26.25">
      <c r="S2497" s="61" ph="1"/>
    </row>
    <row r="2498" spans="19:19" ht="26.25">
      <c r="S2498" s="61" ph="1"/>
    </row>
    <row r="2499" spans="19:19" ht="26.25">
      <c r="S2499" s="61" ph="1"/>
    </row>
    <row r="2500" spans="19:19" ht="26.25">
      <c r="S2500" s="61" ph="1"/>
    </row>
    <row r="2501" spans="19:19" ht="26.25">
      <c r="S2501" s="61" ph="1"/>
    </row>
    <row r="2502" spans="19:19" ht="26.25">
      <c r="S2502" s="61" ph="1"/>
    </row>
    <row r="2503" spans="19:19" ht="26.25">
      <c r="S2503" s="61" ph="1"/>
    </row>
    <row r="2504" spans="19:19" ht="26.25">
      <c r="S2504" s="61" ph="1"/>
    </row>
    <row r="2505" spans="19:19" ht="26.25">
      <c r="S2505" s="61" ph="1"/>
    </row>
    <row r="2506" spans="19:19" ht="26.25">
      <c r="S2506" s="61" ph="1"/>
    </row>
    <row r="2507" spans="19:19" ht="26.25">
      <c r="S2507" s="61" ph="1"/>
    </row>
    <row r="2508" spans="19:19" ht="26.25">
      <c r="S2508" s="61" ph="1"/>
    </row>
    <row r="2509" spans="19:19" ht="26.25">
      <c r="S2509" s="61" ph="1"/>
    </row>
    <row r="2510" spans="19:19" ht="26.25">
      <c r="S2510" s="61" ph="1"/>
    </row>
    <row r="2511" spans="19:19" ht="26.25">
      <c r="S2511" s="61" ph="1"/>
    </row>
    <row r="2512" spans="19:19" ht="26.25">
      <c r="S2512" s="61" ph="1"/>
    </row>
    <row r="2513" spans="19:19" ht="26.25">
      <c r="S2513" s="61" ph="1"/>
    </row>
    <row r="2514" spans="19:19" ht="26.25">
      <c r="S2514" s="61" ph="1"/>
    </row>
    <row r="2515" spans="19:19" ht="26.25">
      <c r="S2515" s="61" ph="1"/>
    </row>
    <row r="2516" spans="19:19" ht="26.25">
      <c r="S2516" s="61" ph="1"/>
    </row>
    <row r="2517" spans="19:19" ht="26.25">
      <c r="S2517" s="61" ph="1"/>
    </row>
    <row r="2518" spans="19:19" ht="26.25">
      <c r="S2518" s="61" ph="1"/>
    </row>
    <row r="2519" spans="19:19" ht="26.25">
      <c r="S2519" s="61" ph="1"/>
    </row>
    <row r="2520" spans="19:19" ht="26.25">
      <c r="S2520" s="61" ph="1"/>
    </row>
    <row r="2521" spans="19:19" ht="26.25">
      <c r="S2521" s="61" ph="1"/>
    </row>
    <row r="2522" spans="19:19" ht="26.25">
      <c r="S2522" s="61" ph="1"/>
    </row>
    <row r="2523" spans="19:19" ht="26.25">
      <c r="S2523" s="61" ph="1"/>
    </row>
    <row r="2524" spans="19:19" ht="26.25">
      <c r="S2524" s="61" ph="1"/>
    </row>
    <row r="2525" spans="19:19" ht="26.25">
      <c r="S2525" s="61" ph="1"/>
    </row>
    <row r="2526" spans="19:19" ht="26.25">
      <c r="S2526" s="61" ph="1"/>
    </row>
    <row r="2527" spans="19:19" ht="26.25">
      <c r="S2527" s="61" ph="1"/>
    </row>
    <row r="2528" spans="19:19" ht="26.25">
      <c r="S2528" s="61" ph="1"/>
    </row>
    <row r="2529" spans="19:19" ht="26.25">
      <c r="S2529" s="61" ph="1"/>
    </row>
    <row r="2530" spans="19:19" ht="26.25">
      <c r="S2530" s="61" ph="1"/>
    </row>
    <row r="2531" spans="19:19" ht="26.25">
      <c r="S2531" s="61" ph="1"/>
    </row>
    <row r="2532" spans="19:19" ht="26.25">
      <c r="S2532" s="61" ph="1"/>
    </row>
    <row r="2533" spans="19:19" ht="26.25">
      <c r="S2533" s="61" ph="1"/>
    </row>
    <row r="2534" spans="19:19" ht="26.25">
      <c r="S2534" s="61" ph="1"/>
    </row>
    <row r="2535" spans="19:19" ht="26.25">
      <c r="S2535" s="61" ph="1"/>
    </row>
    <row r="2536" spans="19:19" ht="26.25">
      <c r="S2536" s="61" ph="1"/>
    </row>
    <row r="2537" spans="19:19" ht="26.25">
      <c r="S2537" s="61" ph="1"/>
    </row>
    <row r="2538" spans="19:19" ht="26.25">
      <c r="S2538" s="61" ph="1"/>
    </row>
    <row r="2539" spans="19:19" ht="26.25">
      <c r="S2539" s="61" ph="1"/>
    </row>
    <row r="2540" spans="19:19" ht="26.25">
      <c r="S2540" s="61" ph="1"/>
    </row>
    <row r="2541" spans="19:19" ht="26.25">
      <c r="S2541" s="61" ph="1"/>
    </row>
    <row r="2542" spans="19:19" ht="26.25">
      <c r="S2542" s="61" ph="1"/>
    </row>
    <row r="2543" spans="19:19" ht="26.25">
      <c r="S2543" s="61" ph="1"/>
    </row>
    <row r="2544" spans="19:19" ht="26.25">
      <c r="S2544" s="61" ph="1"/>
    </row>
    <row r="2545" spans="19:19" ht="26.25">
      <c r="S2545" s="61" ph="1"/>
    </row>
    <row r="2546" spans="19:19" ht="26.25">
      <c r="S2546" s="61" ph="1"/>
    </row>
    <row r="2547" spans="19:19" ht="26.25">
      <c r="S2547" s="61" ph="1"/>
    </row>
    <row r="2548" spans="19:19" ht="26.25">
      <c r="S2548" s="61" ph="1"/>
    </row>
    <row r="2549" spans="19:19" ht="26.25">
      <c r="S2549" s="61" ph="1"/>
    </row>
    <row r="2550" spans="19:19" ht="26.25">
      <c r="S2550" s="61" ph="1"/>
    </row>
    <row r="2551" spans="19:19" ht="26.25">
      <c r="S2551" s="61" ph="1"/>
    </row>
    <row r="2552" spans="19:19" ht="26.25">
      <c r="S2552" s="61" ph="1"/>
    </row>
    <row r="2553" spans="19:19" ht="26.25">
      <c r="S2553" s="61" ph="1"/>
    </row>
    <row r="2554" spans="19:19" ht="26.25">
      <c r="S2554" s="61" ph="1"/>
    </row>
    <row r="2555" spans="19:19" ht="26.25">
      <c r="S2555" s="61" ph="1"/>
    </row>
    <row r="2556" spans="19:19" ht="26.25">
      <c r="S2556" s="61" ph="1"/>
    </row>
    <row r="2557" spans="19:19" ht="26.25">
      <c r="S2557" s="61" ph="1"/>
    </row>
    <row r="2558" spans="19:19" ht="26.25">
      <c r="S2558" s="61" ph="1"/>
    </row>
    <row r="2559" spans="19:19" ht="26.25">
      <c r="S2559" s="61" ph="1"/>
    </row>
    <row r="2560" spans="19:19" ht="26.25">
      <c r="S2560" s="61" ph="1"/>
    </row>
    <row r="2561" spans="19:19" ht="26.25">
      <c r="S2561" s="61" ph="1"/>
    </row>
    <row r="2562" spans="19:19" ht="26.25">
      <c r="S2562" s="61" ph="1"/>
    </row>
    <row r="2563" spans="19:19" ht="26.25">
      <c r="S2563" s="61" ph="1"/>
    </row>
    <row r="2564" spans="19:19" ht="26.25">
      <c r="S2564" s="61" ph="1"/>
    </row>
    <row r="2565" spans="19:19" ht="26.25">
      <c r="S2565" s="61" ph="1"/>
    </row>
    <row r="2566" spans="19:19" ht="26.25">
      <c r="S2566" s="61" ph="1"/>
    </row>
    <row r="2567" spans="19:19" ht="26.25">
      <c r="S2567" s="61" ph="1"/>
    </row>
    <row r="2568" spans="19:19" ht="26.25">
      <c r="S2568" s="61" ph="1"/>
    </row>
    <row r="2569" spans="19:19" ht="26.25">
      <c r="S2569" s="61" ph="1"/>
    </row>
    <row r="2570" spans="19:19" ht="26.25">
      <c r="S2570" s="61" ph="1"/>
    </row>
    <row r="2571" spans="19:19" ht="26.25">
      <c r="S2571" s="61" ph="1"/>
    </row>
    <row r="2572" spans="19:19" ht="26.25">
      <c r="S2572" s="61" ph="1"/>
    </row>
    <row r="2573" spans="19:19" ht="26.25">
      <c r="S2573" s="61" ph="1"/>
    </row>
    <row r="2574" spans="19:19" ht="26.25">
      <c r="S2574" s="61" ph="1"/>
    </row>
    <row r="2575" spans="19:19" ht="26.25">
      <c r="S2575" s="61" ph="1"/>
    </row>
    <row r="2576" spans="19:19" ht="26.25">
      <c r="S2576" s="61" ph="1"/>
    </row>
    <row r="2577" spans="19:19" ht="26.25">
      <c r="S2577" s="61" ph="1"/>
    </row>
    <row r="2578" spans="19:19" ht="26.25">
      <c r="S2578" s="61" ph="1"/>
    </row>
    <row r="2579" spans="19:19" ht="26.25">
      <c r="S2579" s="61" ph="1"/>
    </row>
    <row r="2580" spans="19:19" ht="26.25">
      <c r="S2580" s="61" ph="1"/>
    </row>
    <row r="2581" spans="19:19" ht="26.25">
      <c r="S2581" s="61" ph="1"/>
    </row>
    <row r="2582" spans="19:19" ht="26.25">
      <c r="S2582" s="61" ph="1"/>
    </row>
    <row r="2583" spans="19:19" ht="26.25">
      <c r="S2583" s="61" ph="1"/>
    </row>
    <row r="2584" spans="19:19" ht="26.25">
      <c r="S2584" s="61" ph="1"/>
    </row>
    <row r="2585" spans="19:19" ht="26.25">
      <c r="S2585" s="61" ph="1"/>
    </row>
    <row r="2586" spans="19:19" ht="26.25">
      <c r="S2586" s="61" ph="1"/>
    </row>
    <row r="2587" spans="19:19" ht="26.25">
      <c r="S2587" s="61" ph="1"/>
    </row>
    <row r="2588" spans="19:19" ht="26.25">
      <c r="S2588" s="61" ph="1"/>
    </row>
    <row r="2589" spans="19:19" ht="26.25">
      <c r="S2589" s="61" ph="1"/>
    </row>
    <row r="2590" spans="19:19" ht="26.25">
      <c r="S2590" s="61" ph="1"/>
    </row>
    <row r="2591" spans="19:19" ht="26.25">
      <c r="S2591" s="61" ph="1"/>
    </row>
    <row r="2592" spans="19:19" ht="26.25">
      <c r="S2592" s="61" ph="1"/>
    </row>
    <row r="2593" spans="19:19" ht="26.25">
      <c r="S2593" s="61" ph="1"/>
    </row>
    <row r="2594" spans="19:19" ht="26.25">
      <c r="S2594" s="61" ph="1"/>
    </row>
    <row r="2595" spans="19:19" ht="26.25">
      <c r="S2595" s="61" ph="1"/>
    </row>
    <row r="2596" spans="19:19" ht="26.25">
      <c r="S2596" s="61" ph="1"/>
    </row>
    <row r="2597" spans="19:19" ht="26.25">
      <c r="S2597" s="61" ph="1"/>
    </row>
    <row r="2598" spans="19:19" ht="26.25">
      <c r="S2598" s="61" ph="1"/>
    </row>
    <row r="2599" spans="19:19" ht="26.25">
      <c r="S2599" s="61" ph="1"/>
    </row>
    <row r="2600" spans="19:19" ht="26.25">
      <c r="S2600" s="61" ph="1"/>
    </row>
    <row r="2601" spans="19:19" ht="26.25">
      <c r="S2601" s="61" ph="1"/>
    </row>
    <row r="2602" spans="19:19" ht="26.25">
      <c r="S2602" s="61" ph="1"/>
    </row>
    <row r="2603" spans="19:19" ht="26.25">
      <c r="S2603" s="61" ph="1"/>
    </row>
    <row r="2604" spans="19:19" ht="26.25">
      <c r="S2604" s="61" ph="1"/>
    </row>
    <row r="2605" spans="19:19" ht="26.25">
      <c r="S2605" s="61" ph="1"/>
    </row>
    <row r="2606" spans="19:19" ht="26.25">
      <c r="S2606" s="61" ph="1"/>
    </row>
    <row r="2607" spans="19:19" ht="26.25">
      <c r="S2607" s="61" ph="1"/>
    </row>
    <row r="2608" spans="19:19" ht="26.25">
      <c r="S2608" s="61" ph="1"/>
    </row>
    <row r="2609" spans="19:19" ht="26.25">
      <c r="S2609" s="61" ph="1"/>
    </row>
    <row r="2610" spans="19:19" ht="26.25">
      <c r="S2610" s="61" ph="1"/>
    </row>
    <row r="2611" spans="19:19" ht="26.25">
      <c r="S2611" s="61" ph="1"/>
    </row>
    <row r="2612" spans="19:19" ht="26.25">
      <c r="S2612" s="61" ph="1"/>
    </row>
    <row r="2613" spans="19:19" ht="26.25">
      <c r="S2613" s="61" ph="1"/>
    </row>
    <row r="2614" spans="19:19" ht="26.25">
      <c r="S2614" s="61" ph="1"/>
    </row>
    <row r="2615" spans="19:19" ht="26.25">
      <c r="S2615" s="61" ph="1"/>
    </row>
    <row r="2616" spans="19:19" ht="26.25">
      <c r="S2616" s="61" ph="1"/>
    </row>
    <row r="2617" spans="19:19" ht="26.25">
      <c r="S2617" s="61" ph="1"/>
    </row>
    <row r="2618" spans="19:19" ht="26.25">
      <c r="S2618" s="61" ph="1"/>
    </row>
    <row r="2619" spans="19:19" ht="26.25">
      <c r="S2619" s="61" ph="1"/>
    </row>
    <row r="2620" spans="19:19" ht="26.25">
      <c r="S2620" s="61" ph="1"/>
    </row>
    <row r="2621" spans="19:19" ht="26.25">
      <c r="S2621" s="61" ph="1"/>
    </row>
    <row r="2622" spans="19:19" ht="26.25">
      <c r="S2622" s="61" ph="1"/>
    </row>
    <row r="2623" spans="19:19" ht="26.25">
      <c r="S2623" s="61" ph="1"/>
    </row>
    <row r="2624" spans="19:19" ht="26.25">
      <c r="S2624" s="61" ph="1"/>
    </row>
    <row r="2625" spans="19:19" ht="26.25">
      <c r="S2625" s="61" ph="1"/>
    </row>
    <row r="2626" spans="19:19" ht="26.25">
      <c r="S2626" s="61" ph="1"/>
    </row>
    <row r="2627" spans="19:19" ht="26.25">
      <c r="S2627" s="61" ph="1"/>
    </row>
    <row r="2628" spans="19:19" ht="26.25">
      <c r="S2628" s="61" ph="1"/>
    </row>
    <row r="2629" spans="19:19" ht="26.25">
      <c r="S2629" s="61" ph="1"/>
    </row>
    <row r="2630" spans="19:19" ht="26.25">
      <c r="S2630" s="61" ph="1"/>
    </row>
    <row r="2631" spans="19:19" ht="26.25">
      <c r="S2631" s="61" ph="1"/>
    </row>
    <row r="2632" spans="19:19" ht="26.25">
      <c r="S2632" s="61" ph="1"/>
    </row>
    <row r="2633" spans="19:19" ht="26.25">
      <c r="S2633" s="61" ph="1"/>
    </row>
    <row r="2634" spans="19:19" ht="26.25">
      <c r="S2634" s="61" ph="1"/>
    </row>
    <row r="2635" spans="19:19" ht="26.25">
      <c r="S2635" s="61" ph="1"/>
    </row>
    <row r="2636" spans="19:19" ht="26.25">
      <c r="S2636" s="61" ph="1"/>
    </row>
    <row r="2637" spans="19:19" ht="26.25">
      <c r="S2637" s="61" ph="1"/>
    </row>
    <row r="2638" spans="19:19" ht="26.25">
      <c r="S2638" s="61" ph="1"/>
    </row>
    <row r="2639" spans="19:19" ht="26.25">
      <c r="S2639" s="61" ph="1"/>
    </row>
    <row r="2640" spans="19:19" ht="26.25">
      <c r="S2640" s="61" ph="1"/>
    </row>
    <row r="2641" spans="19:19" ht="26.25">
      <c r="S2641" s="61" ph="1"/>
    </row>
    <row r="2642" spans="19:19" ht="26.25">
      <c r="S2642" s="61" ph="1"/>
    </row>
    <row r="2643" spans="19:19" ht="26.25">
      <c r="S2643" s="61" ph="1"/>
    </row>
    <row r="2644" spans="19:19" ht="26.25">
      <c r="S2644" s="61" ph="1"/>
    </row>
    <row r="2645" spans="19:19" ht="26.25">
      <c r="S2645" s="61" ph="1"/>
    </row>
    <row r="2646" spans="19:19" ht="26.25">
      <c r="S2646" s="61" ph="1"/>
    </row>
    <row r="2647" spans="19:19" ht="26.25">
      <c r="S2647" s="61" ph="1"/>
    </row>
    <row r="2648" spans="19:19" ht="26.25">
      <c r="S2648" s="61" ph="1"/>
    </row>
    <row r="2649" spans="19:19" ht="26.25">
      <c r="S2649" s="61" ph="1"/>
    </row>
    <row r="2650" spans="19:19" ht="26.25">
      <c r="S2650" s="61" ph="1"/>
    </row>
    <row r="2651" spans="19:19" ht="26.25">
      <c r="S2651" s="61" ph="1"/>
    </row>
    <row r="2652" spans="19:19" ht="26.25">
      <c r="S2652" s="61" ph="1"/>
    </row>
    <row r="2653" spans="19:19" ht="26.25">
      <c r="S2653" s="61" ph="1"/>
    </row>
    <row r="2654" spans="19:19" ht="26.25">
      <c r="S2654" s="61" ph="1"/>
    </row>
    <row r="2655" spans="19:19" ht="26.25">
      <c r="S2655" s="61" ph="1"/>
    </row>
    <row r="2656" spans="19:19" ht="26.25">
      <c r="S2656" s="61" ph="1"/>
    </row>
    <row r="2657" spans="19:19" ht="26.25">
      <c r="S2657" s="61" ph="1"/>
    </row>
    <row r="2658" spans="19:19" ht="26.25">
      <c r="S2658" s="61" ph="1"/>
    </row>
    <row r="2659" spans="19:19" ht="26.25">
      <c r="S2659" s="61" ph="1"/>
    </row>
    <row r="2660" spans="19:19" ht="26.25">
      <c r="S2660" s="61" ph="1"/>
    </row>
    <row r="2661" spans="19:19" ht="26.25">
      <c r="S2661" s="61" ph="1"/>
    </row>
    <row r="2662" spans="19:19" ht="26.25">
      <c r="S2662" s="61" ph="1"/>
    </row>
    <row r="2663" spans="19:19" ht="26.25">
      <c r="S2663" s="61" ph="1"/>
    </row>
    <row r="2664" spans="19:19" ht="26.25">
      <c r="S2664" s="61" ph="1"/>
    </row>
    <row r="2665" spans="19:19" ht="26.25">
      <c r="S2665" s="61" ph="1"/>
    </row>
    <row r="2666" spans="19:19" ht="26.25">
      <c r="S2666" s="61" ph="1"/>
    </row>
    <row r="2667" spans="19:19" ht="26.25">
      <c r="S2667" s="61" ph="1"/>
    </row>
    <row r="2668" spans="19:19" ht="26.25">
      <c r="S2668" s="61" ph="1"/>
    </row>
    <row r="2669" spans="19:19" ht="26.25">
      <c r="S2669" s="61" ph="1"/>
    </row>
    <row r="2670" spans="19:19" ht="26.25">
      <c r="S2670" s="61" ph="1"/>
    </row>
    <row r="2671" spans="19:19" ht="26.25">
      <c r="S2671" s="61" ph="1"/>
    </row>
    <row r="2672" spans="19:19" ht="26.25">
      <c r="S2672" s="61" ph="1"/>
    </row>
    <row r="2673" spans="19:19" ht="26.25">
      <c r="S2673" s="61" ph="1"/>
    </row>
    <row r="2674" spans="19:19" ht="26.25">
      <c r="S2674" s="61" ph="1"/>
    </row>
    <row r="2675" spans="19:19" ht="26.25">
      <c r="S2675" s="61" ph="1"/>
    </row>
    <row r="2676" spans="19:19" ht="26.25">
      <c r="S2676" s="61" ph="1"/>
    </row>
    <row r="2677" spans="19:19" ht="26.25">
      <c r="S2677" s="61" ph="1"/>
    </row>
    <row r="2678" spans="19:19" ht="26.25">
      <c r="S2678" s="61" ph="1"/>
    </row>
    <row r="2679" spans="19:19" ht="26.25">
      <c r="S2679" s="61" ph="1"/>
    </row>
    <row r="2680" spans="19:19" ht="26.25">
      <c r="S2680" s="61" ph="1"/>
    </row>
    <row r="2681" spans="19:19" ht="26.25">
      <c r="S2681" s="61" ph="1"/>
    </row>
    <row r="2682" spans="19:19" ht="26.25">
      <c r="S2682" s="61" ph="1"/>
    </row>
    <row r="2683" spans="19:19" ht="26.25">
      <c r="S2683" s="61" ph="1"/>
    </row>
    <row r="2684" spans="19:19" ht="26.25">
      <c r="S2684" s="61" ph="1"/>
    </row>
    <row r="2685" spans="19:19" ht="26.25">
      <c r="S2685" s="61" ph="1"/>
    </row>
    <row r="2686" spans="19:19" ht="26.25">
      <c r="S2686" s="61" ph="1"/>
    </row>
    <row r="2687" spans="19:19" ht="26.25">
      <c r="S2687" s="61" ph="1"/>
    </row>
    <row r="2688" spans="19:19" ht="26.25">
      <c r="S2688" s="61" ph="1"/>
    </row>
    <row r="2689" spans="19:19" ht="26.25">
      <c r="S2689" s="61" ph="1"/>
    </row>
    <row r="2690" spans="19:19" ht="26.25">
      <c r="S2690" s="61" ph="1"/>
    </row>
    <row r="2691" spans="19:19" ht="26.25">
      <c r="S2691" s="61" ph="1"/>
    </row>
    <row r="2692" spans="19:19" ht="26.25">
      <c r="S2692" s="61" ph="1"/>
    </row>
    <row r="2693" spans="19:19" ht="26.25">
      <c r="S2693" s="61" ph="1"/>
    </row>
    <row r="2694" spans="19:19" ht="26.25">
      <c r="S2694" s="61" ph="1"/>
    </row>
    <row r="2695" spans="19:19" ht="26.25">
      <c r="S2695" s="61" ph="1"/>
    </row>
    <row r="2696" spans="19:19" ht="26.25">
      <c r="S2696" s="61" ph="1"/>
    </row>
    <row r="2697" spans="19:19" ht="26.25">
      <c r="S2697" s="61" ph="1"/>
    </row>
    <row r="2698" spans="19:19" ht="26.25">
      <c r="S2698" s="61" ph="1"/>
    </row>
    <row r="2699" spans="19:19" ht="26.25">
      <c r="S2699" s="61" ph="1"/>
    </row>
    <row r="2700" spans="19:19" ht="26.25">
      <c r="S2700" s="61" ph="1"/>
    </row>
    <row r="2701" spans="19:19" ht="26.25">
      <c r="S2701" s="61" ph="1"/>
    </row>
    <row r="2702" spans="19:19" ht="26.25">
      <c r="S2702" s="61" ph="1"/>
    </row>
    <row r="2703" spans="19:19" ht="26.25">
      <c r="S2703" s="61" ph="1"/>
    </row>
    <row r="2704" spans="19:19" ht="26.25">
      <c r="S2704" s="61" ph="1"/>
    </row>
    <row r="2705" spans="19:19" ht="26.25">
      <c r="S2705" s="61" ph="1"/>
    </row>
    <row r="2706" spans="19:19" ht="26.25">
      <c r="S2706" s="61" ph="1"/>
    </row>
    <row r="2707" spans="19:19" ht="26.25">
      <c r="S2707" s="61" ph="1"/>
    </row>
    <row r="2708" spans="19:19" ht="26.25">
      <c r="S2708" s="61" ph="1"/>
    </row>
    <row r="2709" spans="19:19" ht="26.25">
      <c r="S2709" s="61" ph="1"/>
    </row>
    <row r="2710" spans="19:19" ht="26.25">
      <c r="S2710" s="61" ph="1"/>
    </row>
    <row r="2711" spans="19:19" ht="26.25">
      <c r="S2711" s="61" ph="1"/>
    </row>
    <row r="2712" spans="19:19" ht="26.25">
      <c r="S2712" s="61" ph="1"/>
    </row>
    <row r="2713" spans="19:19" ht="26.25">
      <c r="S2713" s="61" ph="1"/>
    </row>
    <row r="2714" spans="19:19" ht="26.25">
      <c r="S2714" s="61" ph="1"/>
    </row>
    <row r="2715" spans="19:19" ht="26.25">
      <c r="S2715" s="61" ph="1"/>
    </row>
    <row r="2716" spans="19:19" ht="26.25">
      <c r="S2716" s="61" ph="1"/>
    </row>
    <row r="2717" spans="19:19" ht="26.25">
      <c r="S2717" s="61" ph="1"/>
    </row>
    <row r="2718" spans="19:19" ht="26.25">
      <c r="S2718" s="61" ph="1"/>
    </row>
    <row r="2719" spans="19:19" ht="26.25">
      <c r="S2719" s="61" ph="1"/>
    </row>
    <row r="2720" spans="19:19" ht="26.25">
      <c r="S2720" s="61" ph="1"/>
    </row>
    <row r="2721" spans="19:19" ht="26.25">
      <c r="S2721" s="61" ph="1"/>
    </row>
    <row r="2722" spans="19:19" ht="26.25">
      <c r="S2722" s="61" ph="1"/>
    </row>
    <row r="2723" spans="19:19" ht="26.25">
      <c r="S2723" s="61" ph="1"/>
    </row>
    <row r="2724" spans="19:19" ht="26.25">
      <c r="S2724" s="61" ph="1"/>
    </row>
    <row r="2725" spans="19:19" ht="26.25">
      <c r="S2725" s="61" ph="1"/>
    </row>
    <row r="2726" spans="19:19" ht="26.25">
      <c r="S2726" s="61" ph="1"/>
    </row>
    <row r="2727" spans="19:19" ht="26.25">
      <c r="S2727" s="61" ph="1"/>
    </row>
    <row r="2728" spans="19:19" ht="26.25">
      <c r="S2728" s="61" ph="1"/>
    </row>
    <row r="2729" spans="19:19" ht="26.25">
      <c r="S2729" s="61" ph="1"/>
    </row>
    <row r="2730" spans="19:19" ht="26.25">
      <c r="S2730" s="61" ph="1"/>
    </row>
    <row r="2731" spans="19:19" ht="26.25">
      <c r="S2731" s="61" ph="1"/>
    </row>
    <row r="2732" spans="19:19" ht="26.25">
      <c r="S2732" s="61" ph="1"/>
    </row>
    <row r="2733" spans="19:19" ht="26.25">
      <c r="S2733" s="61" ph="1"/>
    </row>
    <row r="2734" spans="19:19" ht="26.25">
      <c r="S2734" s="61" ph="1"/>
    </row>
    <row r="2735" spans="19:19" ht="26.25">
      <c r="S2735" s="61" ph="1"/>
    </row>
    <row r="2736" spans="19:19" ht="26.25">
      <c r="S2736" s="61" ph="1"/>
    </row>
    <row r="2737" spans="19:19" ht="26.25">
      <c r="S2737" s="61" ph="1"/>
    </row>
    <row r="2738" spans="19:19" ht="26.25">
      <c r="S2738" s="61" ph="1"/>
    </row>
    <row r="2739" spans="19:19" ht="26.25">
      <c r="S2739" s="61" ph="1"/>
    </row>
    <row r="2740" spans="19:19" ht="26.25">
      <c r="S2740" s="61" ph="1"/>
    </row>
    <row r="2741" spans="19:19" ht="26.25">
      <c r="S2741" s="61" ph="1"/>
    </row>
    <row r="2742" spans="19:19" ht="26.25">
      <c r="S2742" s="61" ph="1"/>
    </row>
    <row r="2743" spans="19:19" ht="26.25">
      <c r="S2743" s="61" ph="1"/>
    </row>
    <row r="2744" spans="19:19" ht="26.25">
      <c r="S2744" s="61" ph="1"/>
    </row>
    <row r="2745" spans="19:19" ht="26.25">
      <c r="S2745" s="61" ph="1"/>
    </row>
    <row r="2746" spans="19:19" ht="26.25">
      <c r="S2746" s="61" ph="1"/>
    </row>
    <row r="2747" spans="19:19" ht="26.25">
      <c r="S2747" s="61" ph="1"/>
    </row>
    <row r="2748" spans="19:19" ht="26.25">
      <c r="S2748" s="61" ph="1"/>
    </row>
    <row r="2749" spans="19:19" ht="26.25">
      <c r="S2749" s="61" ph="1"/>
    </row>
    <row r="2750" spans="19:19" ht="26.25">
      <c r="S2750" s="61" ph="1"/>
    </row>
    <row r="2751" spans="19:19" ht="26.25">
      <c r="S2751" s="61" ph="1"/>
    </row>
    <row r="2752" spans="19:19" ht="26.25">
      <c r="S2752" s="61" ph="1"/>
    </row>
    <row r="2753" spans="19:19" ht="26.25">
      <c r="S2753" s="61" ph="1"/>
    </row>
    <row r="2754" spans="19:19" ht="26.25">
      <c r="S2754" s="61" ph="1"/>
    </row>
    <row r="2755" spans="19:19" ht="26.25">
      <c r="S2755" s="61" ph="1"/>
    </row>
    <row r="2756" spans="19:19" ht="26.25">
      <c r="S2756" s="61" ph="1"/>
    </row>
    <row r="2757" spans="19:19" ht="26.25">
      <c r="S2757" s="61" ph="1"/>
    </row>
    <row r="2758" spans="19:19" ht="26.25">
      <c r="S2758" s="61" ph="1"/>
    </row>
    <row r="2759" spans="19:19" ht="26.25">
      <c r="S2759" s="61" ph="1"/>
    </row>
    <row r="2760" spans="19:19" ht="26.25">
      <c r="S2760" s="61" ph="1"/>
    </row>
    <row r="2761" spans="19:19" ht="26.25">
      <c r="S2761" s="61" ph="1"/>
    </row>
    <row r="2762" spans="19:19" ht="26.25">
      <c r="S2762" s="61" ph="1"/>
    </row>
    <row r="2763" spans="19:19" ht="26.25">
      <c r="S2763" s="61" ph="1"/>
    </row>
    <row r="2764" spans="19:19" ht="26.25">
      <c r="S2764" s="61" ph="1"/>
    </row>
    <row r="2765" spans="19:19" ht="26.25">
      <c r="S2765" s="61" ph="1"/>
    </row>
    <row r="2766" spans="19:19" ht="26.25">
      <c r="S2766" s="61" ph="1"/>
    </row>
    <row r="2767" spans="19:19" ht="26.25">
      <c r="S2767" s="61" ph="1"/>
    </row>
    <row r="2768" spans="19:19" ht="26.25">
      <c r="S2768" s="61" ph="1"/>
    </row>
    <row r="2769" spans="19:19" ht="26.25">
      <c r="S2769" s="61" ph="1"/>
    </row>
    <row r="2770" spans="19:19" ht="26.25">
      <c r="S2770" s="61" ph="1"/>
    </row>
    <row r="2771" spans="19:19" ht="26.25">
      <c r="S2771" s="61" ph="1"/>
    </row>
    <row r="2772" spans="19:19" ht="26.25">
      <c r="S2772" s="61" ph="1"/>
    </row>
    <row r="2773" spans="19:19" ht="26.25">
      <c r="S2773" s="61" ph="1"/>
    </row>
    <row r="2774" spans="19:19" ht="26.25">
      <c r="S2774" s="61" ph="1"/>
    </row>
    <row r="2775" spans="19:19" ht="26.25">
      <c r="S2775" s="61" ph="1"/>
    </row>
    <row r="2776" spans="19:19" ht="26.25">
      <c r="S2776" s="61" ph="1"/>
    </row>
    <row r="2777" spans="19:19" ht="26.25">
      <c r="S2777" s="61" ph="1"/>
    </row>
    <row r="2778" spans="19:19" ht="26.25">
      <c r="S2778" s="61" ph="1"/>
    </row>
    <row r="2779" spans="19:19" ht="26.25">
      <c r="S2779" s="61" ph="1"/>
    </row>
    <row r="2780" spans="19:19" ht="26.25">
      <c r="S2780" s="61" ph="1"/>
    </row>
    <row r="2781" spans="19:19" ht="26.25">
      <c r="S2781" s="61" ph="1"/>
    </row>
    <row r="2782" spans="19:19" ht="26.25">
      <c r="S2782" s="61" ph="1"/>
    </row>
    <row r="2783" spans="19:19" ht="26.25">
      <c r="S2783" s="61" ph="1"/>
    </row>
    <row r="2784" spans="19:19" ht="26.25">
      <c r="S2784" s="61" ph="1"/>
    </row>
    <row r="2785" spans="19:19" ht="26.25">
      <c r="S2785" s="61" ph="1"/>
    </row>
    <row r="2786" spans="19:19" ht="26.25">
      <c r="S2786" s="61" ph="1"/>
    </row>
    <row r="2787" spans="19:19" ht="26.25">
      <c r="S2787" s="61" ph="1"/>
    </row>
    <row r="2788" spans="19:19" ht="26.25">
      <c r="S2788" s="61" ph="1"/>
    </row>
    <row r="2789" spans="19:19" ht="26.25">
      <c r="S2789" s="61" ph="1"/>
    </row>
    <row r="2790" spans="19:19" ht="26.25">
      <c r="S2790" s="61" ph="1"/>
    </row>
    <row r="2791" spans="19:19" ht="26.25">
      <c r="S2791" s="61" ph="1"/>
    </row>
    <row r="2792" spans="19:19" ht="26.25">
      <c r="S2792" s="61" ph="1"/>
    </row>
    <row r="2793" spans="19:19" ht="26.25">
      <c r="S2793" s="61" ph="1"/>
    </row>
    <row r="2794" spans="19:19" ht="26.25">
      <c r="S2794" s="61" ph="1"/>
    </row>
    <row r="2795" spans="19:19" ht="26.25">
      <c r="S2795" s="61" ph="1"/>
    </row>
    <row r="2796" spans="19:19" ht="26.25">
      <c r="S2796" s="61" ph="1"/>
    </row>
    <row r="2797" spans="19:19" ht="26.25">
      <c r="S2797" s="61" ph="1"/>
    </row>
    <row r="2798" spans="19:19" ht="26.25">
      <c r="S2798" s="61" ph="1"/>
    </row>
    <row r="2799" spans="19:19" ht="26.25">
      <c r="S2799" s="61" ph="1"/>
    </row>
    <row r="2800" spans="19:19" ht="26.25">
      <c r="S2800" s="61" ph="1"/>
    </row>
    <row r="2801" spans="19:19" ht="26.25">
      <c r="S2801" s="61" ph="1"/>
    </row>
    <row r="2802" spans="19:19" ht="26.25">
      <c r="S2802" s="61" ph="1"/>
    </row>
    <row r="2803" spans="19:19" ht="26.25">
      <c r="S2803" s="61" ph="1"/>
    </row>
    <row r="2804" spans="19:19" ht="26.25">
      <c r="S2804" s="61" ph="1"/>
    </row>
    <row r="2805" spans="19:19" ht="26.25">
      <c r="S2805" s="61" ph="1"/>
    </row>
    <row r="2806" spans="19:19" ht="26.25">
      <c r="S2806" s="61" ph="1"/>
    </row>
    <row r="2807" spans="19:19" ht="26.25">
      <c r="S2807" s="61" ph="1"/>
    </row>
    <row r="2808" spans="19:19" ht="26.25">
      <c r="S2808" s="61" ph="1"/>
    </row>
    <row r="2809" spans="19:19" ht="26.25">
      <c r="S2809" s="61" ph="1"/>
    </row>
    <row r="2810" spans="19:19" ht="26.25">
      <c r="S2810" s="61" ph="1"/>
    </row>
    <row r="2811" spans="19:19" ht="26.25">
      <c r="S2811" s="61" ph="1"/>
    </row>
    <row r="2812" spans="19:19" ht="26.25">
      <c r="S2812" s="61" ph="1"/>
    </row>
    <row r="2813" spans="19:19" ht="26.25">
      <c r="S2813" s="61" ph="1"/>
    </row>
    <row r="2814" spans="19:19" ht="26.25">
      <c r="S2814" s="61" ph="1"/>
    </row>
    <row r="2815" spans="19:19" ht="26.25">
      <c r="S2815" s="61" ph="1"/>
    </row>
    <row r="2816" spans="19:19" ht="26.25">
      <c r="S2816" s="61" ph="1"/>
    </row>
    <row r="2817" spans="19:19" ht="26.25">
      <c r="S2817" s="61" ph="1"/>
    </row>
    <row r="2818" spans="19:19" ht="26.25">
      <c r="S2818" s="61" ph="1"/>
    </row>
    <row r="2819" spans="19:19" ht="26.25">
      <c r="S2819" s="61" ph="1"/>
    </row>
    <row r="2820" spans="19:19" ht="26.25">
      <c r="S2820" s="61" ph="1"/>
    </row>
    <row r="2821" spans="19:19" ht="26.25">
      <c r="S2821" s="61" ph="1"/>
    </row>
    <row r="2822" spans="19:19" ht="26.25">
      <c r="S2822" s="61" ph="1"/>
    </row>
    <row r="2823" spans="19:19" ht="26.25">
      <c r="S2823" s="61" ph="1"/>
    </row>
    <row r="2824" spans="19:19" ht="26.25">
      <c r="S2824" s="61" ph="1"/>
    </row>
    <row r="2825" spans="19:19" ht="26.25">
      <c r="S2825" s="61" ph="1"/>
    </row>
    <row r="2826" spans="19:19" ht="26.25">
      <c r="S2826" s="61" ph="1"/>
    </row>
    <row r="2827" spans="19:19" ht="26.25">
      <c r="S2827" s="61" ph="1"/>
    </row>
    <row r="2828" spans="19:19" ht="26.25">
      <c r="S2828" s="61" ph="1"/>
    </row>
    <row r="2829" spans="19:19" ht="26.25">
      <c r="S2829" s="61" ph="1"/>
    </row>
    <row r="2830" spans="19:19" ht="26.25">
      <c r="S2830" s="61" ph="1"/>
    </row>
    <row r="2831" spans="19:19" ht="26.25">
      <c r="S2831" s="61" ph="1"/>
    </row>
    <row r="2832" spans="19:19" ht="26.25">
      <c r="S2832" s="61" ph="1"/>
    </row>
    <row r="2833" spans="19:19" ht="26.25">
      <c r="S2833" s="61" ph="1"/>
    </row>
    <row r="2834" spans="19:19" ht="26.25">
      <c r="S2834" s="61" ph="1"/>
    </row>
    <row r="2835" spans="19:19" ht="26.25">
      <c r="S2835" s="61" ph="1"/>
    </row>
    <row r="2836" spans="19:19" ht="26.25">
      <c r="S2836" s="61" ph="1"/>
    </row>
    <row r="2837" spans="19:19" ht="26.25">
      <c r="S2837" s="61" ph="1"/>
    </row>
    <row r="2838" spans="19:19" ht="26.25">
      <c r="S2838" s="61" ph="1"/>
    </row>
    <row r="2839" spans="19:19" ht="26.25">
      <c r="S2839" s="61" ph="1"/>
    </row>
    <row r="2840" spans="19:19" ht="26.25">
      <c r="S2840" s="61" ph="1"/>
    </row>
    <row r="2841" spans="19:19" ht="26.25">
      <c r="S2841" s="61" ph="1"/>
    </row>
    <row r="2842" spans="19:19" ht="26.25">
      <c r="S2842" s="61" ph="1"/>
    </row>
    <row r="2843" spans="19:19" ht="26.25">
      <c r="S2843" s="61" ph="1"/>
    </row>
    <row r="2844" spans="19:19" ht="26.25">
      <c r="S2844" s="61" ph="1"/>
    </row>
    <row r="2845" spans="19:19" ht="26.25">
      <c r="S2845" s="61" ph="1"/>
    </row>
    <row r="2846" spans="19:19" ht="26.25">
      <c r="S2846" s="61" ph="1"/>
    </row>
    <row r="2847" spans="19:19" ht="26.25">
      <c r="S2847" s="61" ph="1"/>
    </row>
    <row r="2848" spans="19:19" ht="26.25">
      <c r="S2848" s="61" ph="1"/>
    </row>
    <row r="2849" spans="19:19" ht="26.25">
      <c r="S2849" s="61" ph="1"/>
    </row>
    <row r="2850" spans="19:19" ht="26.25">
      <c r="S2850" s="61" ph="1"/>
    </row>
    <row r="2851" spans="19:19" ht="26.25">
      <c r="S2851" s="61" ph="1"/>
    </row>
    <row r="2852" spans="19:19" ht="26.25">
      <c r="S2852" s="61" ph="1"/>
    </row>
    <row r="2853" spans="19:19" ht="26.25">
      <c r="S2853" s="61" ph="1"/>
    </row>
    <row r="2854" spans="19:19" ht="26.25">
      <c r="S2854" s="61" ph="1"/>
    </row>
    <row r="2855" spans="19:19" ht="26.25">
      <c r="S2855" s="61" ph="1"/>
    </row>
    <row r="2856" spans="19:19" ht="26.25">
      <c r="S2856" s="61" ph="1"/>
    </row>
    <row r="2857" spans="19:19" ht="26.25">
      <c r="S2857" s="61" ph="1"/>
    </row>
    <row r="2858" spans="19:19" ht="26.25">
      <c r="S2858" s="61" ph="1"/>
    </row>
    <row r="2859" spans="19:19" ht="26.25">
      <c r="S2859" s="61" ph="1"/>
    </row>
    <row r="2860" spans="19:19" ht="26.25">
      <c r="S2860" s="61" ph="1"/>
    </row>
    <row r="2861" spans="19:19" ht="26.25">
      <c r="S2861" s="61" ph="1"/>
    </row>
    <row r="2862" spans="19:19" ht="26.25">
      <c r="S2862" s="61" ph="1"/>
    </row>
    <row r="2863" spans="19:19" ht="26.25">
      <c r="S2863" s="61" ph="1"/>
    </row>
    <row r="2864" spans="19:19" ht="26.25">
      <c r="S2864" s="61" ph="1"/>
    </row>
    <row r="2865" spans="19:19" ht="26.25">
      <c r="S2865" s="61" ph="1"/>
    </row>
    <row r="2866" spans="19:19" ht="26.25">
      <c r="S2866" s="61" ph="1"/>
    </row>
    <row r="2867" spans="19:19" ht="26.25">
      <c r="S2867" s="61" ph="1"/>
    </row>
    <row r="2868" spans="19:19" ht="26.25">
      <c r="S2868" s="61" ph="1"/>
    </row>
    <row r="2869" spans="19:19" ht="26.25">
      <c r="S2869" s="61" ph="1"/>
    </row>
    <row r="2870" spans="19:19" ht="26.25">
      <c r="S2870" s="61" ph="1"/>
    </row>
    <row r="2871" spans="19:19" ht="26.25">
      <c r="S2871" s="61" ph="1"/>
    </row>
    <row r="2872" spans="19:19" ht="26.25">
      <c r="S2872" s="61" ph="1"/>
    </row>
    <row r="2873" spans="19:19" ht="26.25">
      <c r="S2873" s="61" ph="1"/>
    </row>
    <row r="2874" spans="19:19" ht="26.25">
      <c r="S2874" s="61" ph="1"/>
    </row>
    <row r="2875" spans="19:19" ht="26.25">
      <c r="S2875" s="61" ph="1"/>
    </row>
    <row r="2876" spans="19:19" ht="26.25">
      <c r="S2876" s="61" ph="1"/>
    </row>
    <row r="2877" spans="19:19" ht="26.25">
      <c r="S2877" s="61" ph="1"/>
    </row>
    <row r="2878" spans="19:19" ht="26.25">
      <c r="S2878" s="61" ph="1"/>
    </row>
    <row r="2879" spans="19:19" ht="26.25">
      <c r="S2879" s="61" ph="1"/>
    </row>
    <row r="2880" spans="19:19" ht="26.25">
      <c r="S2880" s="61" ph="1"/>
    </row>
    <row r="2881" spans="19:19" ht="26.25">
      <c r="S2881" s="61" ph="1"/>
    </row>
    <row r="2882" spans="19:19" ht="26.25">
      <c r="S2882" s="61" ph="1"/>
    </row>
    <row r="2883" spans="19:19" ht="26.25">
      <c r="S2883" s="61" ph="1"/>
    </row>
    <row r="2884" spans="19:19" ht="26.25">
      <c r="S2884" s="61" ph="1"/>
    </row>
    <row r="2885" spans="19:19" ht="26.25">
      <c r="S2885" s="61" ph="1"/>
    </row>
    <row r="2886" spans="19:19" ht="26.25">
      <c r="S2886" s="61" ph="1"/>
    </row>
    <row r="2887" spans="19:19" ht="26.25">
      <c r="S2887" s="61" ph="1"/>
    </row>
    <row r="2888" spans="19:19" ht="26.25">
      <c r="S2888" s="61" ph="1"/>
    </row>
    <row r="2889" spans="19:19" ht="26.25">
      <c r="S2889" s="61" ph="1"/>
    </row>
    <row r="2890" spans="19:19" ht="26.25">
      <c r="S2890" s="61" ph="1"/>
    </row>
    <row r="2891" spans="19:19" ht="26.25">
      <c r="S2891" s="61" ph="1"/>
    </row>
    <row r="2892" spans="19:19" ht="26.25">
      <c r="S2892" s="61" ph="1"/>
    </row>
    <row r="2893" spans="19:19" ht="26.25">
      <c r="S2893" s="61" ph="1"/>
    </row>
    <row r="2894" spans="19:19" ht="26.25">
      <c r="S2894" s="61" ph="1"/>
    </row>
    <row r="2895" spans="19:19" ht="26.25">
      <c r="S2895" s="61" ph="1"/>
    </row>
    <row r="2896" spans="19:19" ht="26.25">
      <c r="S2896" s="61" ph="1"/>
    </row>
    <row r="2897" spans="19:19" ht="26.25">
      <c r="S2897" s="61" ph="1"/>
    </row>
    <row r="2898" spans="19:19" ht="26.25">
      <c r="S2898" s="61" ph="1"/>
    </row>
    <row r="2899" spans="19:19" ht="26.25">
      <c r="S2899" s="61" ph="1"/>
    </row>
    <row r="2900" spans="19:19" ht="26.25">
      <c r="S2900" s="61" ph="1"/>
    </row>
    <row r="2901" spans="19:19" ht="26.25">
      <c r="S2901" s="61" ph="1"/>
    </row>
    <row r="2902" spans="19:19" ht="26.25">
      <c r="S2902" s="61" ph="1"/>
    </row>
    <row r="2903" spans="19:19" ht="26.25">
      <c r="S2903" s="61" ph="1"/>
    </row>
    <row r="2904" spans="19:19" ht="26.25">
      <c r="S2904" s="61" ph="1"/>
    </row>
    <row r="2905" spans="19:19" ht="26.25">
      <c r="S2905" s="61" ph="1"/>
    </row>
    <row r="2906" spans="19:19" ht="26.25">
      <c r="S2906" s="61" ph="1"/>
    </row>
    <row r="2907" spans="19:19" ht="26.25">
      <c r="S2907" s="61" ph="1"/>
    </row>
    <row r="2908" spans="19:19" ht="26.25">
      <c r="S2908" s="61" ph="1"/>
    </row>
    <row r="2909" spans="19:19" ht="26.25">
      <c r="S2909" s="61" ph="1"/>
    </row>
    <row r="2910" spans="19:19" ht="26.25">
      <c r="S2910" s="61" ph="1"/>
    </row>
    <row r="2911" spans="19:19" ht="26.25">
      <c r="S2911" s="61" ph="1"/>
    </row>
    <row r="2912" spans="19:19" ht="26.25">
      <c r="S2912" s="61" ph="1"/>
    </row>
    <row r="2913" spans="19:19" ht="26.25">
      <c r="S2913" s="61" ph="1"/>
    </row>
    <row r="2914" spans="19:19" ht="26.25">
      <c r="S2914" s="61" ph="1"/>
    </row>
    <row r="2915" spans="19:19" ht="26.25">
      <c r="S2915" s="61" ph="1"/>
    </row>
    <row r="2916" spans="19:19" ht="26.25">
      <c r="S2916" s="61" ph="1"/>
    </row>
    <row r="2917" spans="19:19" ht="26.25">
      <c r="S2917" s="61" ph="1"/>
    </row>
    <row r="2918" spans="19:19" ht="26.25">
      <c r="S2918" s="61" ph="1"/>
    </row>
    <row r="2919" spans="19:19" ht="26.25">
      <c r="S2919" s="61" ph="1"/>
    </row>
    <row r="2920" spans="19:19" ht="26.25">
      <c r="S2920" s="61" ph="1"/>
    </row>
    <row r="2921" spans="19:19" ht="26.25">
      <c r="S2921" s="61" ph="1"/>
    </row>
    <row r="2922" spans="19:19" ht="26.25">
      <c r="S2922" s="61" ph="1"/>
    </row>
    <row r="2923" spans="19:19" ht="26.25">
      <c r="S2923" s="61" ph="1"/>
    </row>
    <row r="2924" spans="19:19" ht="26.25">
      <c r="S2924" s="61" ph="1"/>
    </row>
    <row r="2925" spans="19:19" ht="26.25">
      <c r="S2925" s="61" ph="1"/>
    </row>
    <row r="2926" spans="19:19" ht="26.25">
      <c r="S2926" s="61" ph="1"/>
    </row>
    <row r="2927" spans="19:19" ht="26.25">
      <c r="S2927" s="61" ph="1"/>
    </row>
    <row r="2928" spans="19:19" ht="26.25">
      <c r="S2928" s="61" ph="1"/>
    </row>
    <row r="2929" spans="19:19" ht="26.25">
      <c r="S2929" s="61" ph="1"/>
    </row>
    <row r="2930" spans="19:19" ht="26.25">
      <c r="S2930" s="61" ph="1"/>
    </row>
    <row r="2931" spans="19:19" ht="26.25">
      <c r="S2931" s="61" ph="1"/>
    </row>
    <row r="2932" spans="19:19" ht="26.25">
      <c r="S2932" s="61" ph="1"/>
    </row>
    <row r="2933" spans="19:19" ht="26.25">
      <c r="S2933" s="61" ph="1"/>
    </row>
    <row r="2934" spans="19:19" ht="26.25">
      <c r="S2934" s="61" ph="1"/>
    </row>
    <row r="2935" spans="19:19" ht="26.25">
      <c r="S2935" s="61" ph="1"/>
    </row>
    <row r="2936" spans="19:19" ht="26.25">
      <c r="S2936" s="61" ph="1"/>
    </row>
    <row r="2937" spans="19:19" ht="26.25">
      <c r="S2937" s="61" ph="1"/>
    </row>
    <row r="2938" spans="19:19" ht="26.25">
      <c r="S2938" s="61" ph="1"/>
    </row>
    <row r="2939" spans="19:19" ht="26.25">
      <c r="S2939" s="61" ph="1"/>
    </row>
    <row r="2940" spans="19:19" ht="26.25">
      <c r="S2940" s="61" ph="1"/>
    </row>
    <row r="2941" spans="19:19" ht="26.25">
      <c r="S2941" s="61" ph="1"/>
    </row>
    <row r="2942" spans="19:19" ht="26.25">
      <c r="S2942" s="61" ph="1"/>
    </row>
    <row r="2943" spans="19:19" ht="26.25">
      <c r="S2943" s="61" ph="1"/>
    </row>
    <row r="2944" spans="19:19" ht="26.25">
      <c r="S2944" s="61" ph="1"/>
    </row>
    <row r="2945" spans="19:19" ht="26.25">
      <c r="S2945" s="61" ph="1"/>
    </row>
    <row r="2946" spans="19:19" ht="26.25">
      <c r="S2946" s="61" ph="1"/>
    </row>
    <row r="2947" spans="19:19" ht="26.25">
      <c r="S2947" s="61" ph="1"/>
    </row>
    <row r="2948" spans="19:19" ht="26.25">
      <c r="S2948" s="61" ph="1"/>
    </row>
    <row r="2949" spans="19:19" ht="26.25">
      <c r="S2949" s="61" ph="1"/>
    </row>
    <row r="2950" spans="19:19" ht="26.25">
      <c r="S2950" s="61" ph="1"/>
    </row>
    <row r="2951" spans="19:19" ht="26.25">
      <c r="S2951" s="61" ph="1"/>
    </row>
    <row r="2952" spans="19:19" ht="26.25">
      <c r="S2952" s="61" ph="1"/>
    </row>
    <row r="2953" spans="19:19" ht="26.25">
      <c r="S2953" s="61" ph="1"/>
    </row>
    <row r="2954" spans="19:19" ht="26.25">
      <c r="S2954" s="61" ph="1"/>
    </row>
    <row r="2955" spans="19:19" ht="26.25">
      <c r="S2955" s="61" ph="1"/>
    </row>
    <row r="2956" spans="19:19" ht="26.25">
      <c r="S2956" s="61" ph="1"/>
    </row>
    <row r="2957" spans="19:19" ht="26.25">
      <c r="S2957" s="61" ph="1"/>
    </row>
    <row r="2958" spans="19:19" ht="26.25">
      <c r="S2958" s="61" ph="1"/>
    </row>
    <row r="2959" spans="19:19" ht="26.25">
      <c r="S2959" s="61" ph="1"/>
    </row>
    <row r="2960" spans="19:19" ht="26.25">
      <c r="S2960" s="61" ph="1"/>
    </row>
    <row r="2961" spans="19:19" ht="26.25">
      <c r="S2961" s="61" ph="1"/>
    </row>
    <row r="2962" spans="19:19" ht="26.25">
      <c r="S2962" s="61" ph="1"/>
    </row>
    <row r="2963" spans="19:19" ht="26.25">
      <c r="S2963" s="61" ph="1"/>
    </row>
    <row r="2964" spans="19:19" ht="26.25">
      <c r="S2964" s="61" ph="1"/>
    </row>
    <row r="2965" spans="19:19" ht="26.25">
      <c r="S2965" s="61" ph="1"/>
    </row>
    <row r="2966" spans="19:19" ht="26.25">
      <c r="S2966" s="61" ph="1"/>
    </row>
    <row r="2967" spans="19:19" ht="26.25">
      <c r="S2967" s="61" ph="1"/>
    </row>
    <row r="2968" spans="19:19" ht="26.25">
      <c r="S2968" s="61" ph="1"/>
    </row>
    <row r="2969" spans="19:19" ht="26.25">
      <c r="S2969" s="61" ph="1"/>
    </row>
    <row r="2970" spans="19:19" ht="26.25">
      <c r="S2970" s="61" ph="1"/>
    </row>
    <row r="2971" spans="19:19" ht="26.25">
      <c r="S2971" s="61" ph="1"/>
    </row>
    <row r="2972" spans="19:19" ht="26.25">
      <c r="S2972" s="61" ph="1"/>
    </row>
    <row r="2973" spans="19:19" ht="26.25">
      <c r="S2973" s="61" ph="1"/>
    </row>
    <row r="2974" spans="19:19" ht="26.25">
      <c r="S2974" s="61" ph="1"/>
    </row>
    <row r="2975" spans="19:19" ht="26.25">
      <c r="S2975" s="61" ph="1"/>
    </row>
    <row r="2976" spans="19:19" ht="26.25">
      <c r="S2976" s="61" ph="1"/>
    </row>
    <row r="2977" spans="19:19" ht="26.25">
      <c r="S2977" s="61" ph="1"/>
    </row>
    <row r="2978" spans="19:19" ht="26.25">
      <c r="S2978" s="61" ph="1"/>
    </row>
    <row r="2979" spans="19:19" ht="26.25">
      <c r="S2979" s="61" ph="1"/>
    </row>
    <row r="2980" spans="19:19" ht="26.25">
      <c r="S2980" s="61" ph="1"/>
    </row>
    <row r="2981" spans="19:19" ht="26.25">
      <c r="S2981" s="61" ph="1"/>
    </row>
    <row r="2982" spans="19:19" ht="26.25">
      <c r="S2982" s="61" ph="1"/>
    </row>
    <row r="2983" spans="19:19" ht="26.25">
      <c r="S2983" s="61" ph="1"/>
    </row>
    <row r="2984" spans="19:19" ht="26.25">
      <c r="S2984" s="61" ph="1"/>
    </row>
    <row r="2985" spans="19:19" ht="26.25">
      <c r="S2985" s="61" ph="1"/>
    </row>
    <row r="2986" spans="19:19" ht="26.25">
      <c r="S2986" s="61" ph="1"/>
    </row>
    <row r="2987" spans="19:19" ht="26.25">
      <c r="S2987" s="61" ph="1"/>
    </row>
    <row r="2988" spans="19:19" ht="26.25">
      <c r="S2988" s="61" ph="1"/>
    </row>
    <row r="2989" spans="19:19" ht="26.25">
      <c r="S2989" s="61" ph="1"/>
    </row>
    <row r="2990" spans="19:19" ht="26.25">
      <c r="S2990" s="61" ph="1"/>
    </row>
    <row r="2991" spans="19:19" ht="26.25">
      <c r="S2991" s="61" ph="1"/>
    </row>
    <row r="2992" spans="19:19" ht="26.25">
      <c r="S2992" s="61" ph="1"/>
    </row>
    <row r="2993" spans="19:19" ht="26.25">
      <c r="S2993" s="61" ph="1"/>
    </row>
    <row r="2994" spans="19:19" ht="26.25">
      <c r="S2994" s="61" ph="1"/>
    </row>
    <row r="2995" spans="19:19" ht="26.25">
      <c r="S2995" s="61" ph="1"/>
    </row>
    <row r="2996" spans="19:19" ht="26.25">
      <c r="S2996" s="61" ph="1"/>
    </row>
    <row r="2997" spans="19:19" ht="26.25">
      <c r="S2997" s="61" ph="1"/>
    </row>
    <row r="2998" spans="19:19" ht="26.25">
      <c r="S2998" s="61" ph="1"/>
    </row>
    <row r="2999" spans="19:19" ht="26.25">
      <c r="S2999" s="61" ph="1"/>
    </row>
    <row r="3000" spans="19:19" ht="26.25">
      <c r="S3000" s="61" ph="1"/>
    </row>
    <row r="3001" spans="19:19" ht="26.25">
      <c r="S3001" s="61" ph="1"/>
    </row>
    <row r="3002" spans="19:19" ht="26.25">
      <c r="S3002" s="61" ph="1"/>
    </row>
    <row r="3003" spans="19:19" ht="26.25">
      <c r="S3003" s="61" ph="1"/>
    </row>
    <row r="3004" spans="19:19" ht="26.25">
      <c r="S3004" s="61" ph="1"/>
    </row>
    <row r="3005" spans="19:19" ht="26.25">
      <c r="S3005" s="61" ph="1"/>
    </row>
    <row r="3006" spans="19:19" ht="26.25">
      <c r="S3006" s="61" ph="1"/>
    </row>
    <row r="3007" spans="19:19" ht="26.25">
      <c r="S3007" s="61" ph="1"/>
    </row>
    <row r="3008" spans="19:19" ht="26.25">
      <c r="S3008" s="61" ph="1"/>
    </row>
    <row r="3009" spans="19:19" ht="26.25">
      <c r="S3009" s="61" ph="1"/>
    </row>
    <row r="3010" spans="19:19" ht="26.25">
      <c r="S3010" s="61" ph="1"/>
    </row>
    <row r="3011" spans="19:19" ht="26.25">
      <c r="S3011" s="61" ph="1"/>
    </row>
    <row r="3012" spans="19:19" ht="26.25">
      <c r="S3012" s="61" ph="1"/>
    </row>
    <row r="3013" spans="19:19" ht="26.25">
      <c r="S3013" s="61" ph="1"/>
    </row>
    <row r="3014" spans="19:19" ht="26.25">
      <c r="S3014" s="61" ph="1"/>
    </row>
    <row r="3015" spans="19:19" ht="26.25">
      <c r="S3015" s="61" ph="1"/>
    </row>
    <row r="3016" spans="19:19" ht="26.25">
      <c r="S3016" s="61" ph="1"/>
    </row>
    <row r="3017" spans="19:19" ht="26.25">
      <c r="S3017" s="61" ph="1"/>
    </row>
    <row r="3018" spans="19:19" ht="26.25">
      <c r="S3018" s="61" ph="1"/>
    </row>
    <row r="3019" spans="19:19" ht="26.25">
      <c r="S3019" s="61" ph="1"/>
    </row>
    <row r="3020" spans="19:19" ht="26.25">
      <c r="S3020" s="61" ph="1"/>
    </row>
    <row r="3021" spans="19:19" ht="26.25">
      <c r="S3021" s="61" ph="1"/>
    </row>
    <row r="3022" spans="19:19" ht="26.25">
      <c r="S3022" s="61" ph="1"/>
    </row>
    <row r="3023" spans="19:19" ht="26.25">
      <c r="S3023" s="61" ph="1"/>
    </row>
    <row r="3024" spans="19:19" ht="26.25">
      <c r="S3024" s="61" ph="1"/>
    </row>
    <row r="3025" spans="19:19" ht="26.25">
      <c r="S3025" s="61" ph="1"/>
    </row>
    <row r="3026" spans="19:19" ht="26.25">
      <c r="S3026" s="61" ph="1"/>
    </row>
    <row r="3027" spans="19:19" ht="26.25">
      <c r="S3027" s="61" ph="1"/>
    </row>
    <row r="3028" spans="19:19" ht="26.25">
      <c r="S3028" s="61" ph="1"/>
    </row>
    <row r="3029" spans="19:19" ht="26.25">
      <c r="S3029" s="61" ph="1"/>
    </row>
    <row r="3030" spans="19:19" ht="26.25">
      <c r="S3030" s="61" ph="1"/>
    </row>
    <row r="3031" spans="19:19" ht="26.25">
      <c r="S3031" s="61" ph="1"/>
    </row>
    <row r="3032" spans="19:19" ht="26.25">
      <c r="S3032" s="61" ph="1"/>
    </row>
    <row r="3033" spans="19:19" ht="26.25">
      <c r="S3033" s="61" ph="1"/>
    </row>
    <row r="3034" spans="19:19" ht="26.25">
      <c r="S3034" s="61" ph="1"/>
    </row>
    <row r="3035" spans="19:19" ht="26.25">
      <c r="S3035" s="61" ph="1"/>
    </row>
    <row r="3036" spans="19:19" ht="26.25">
      <c r="S3036" s="61" ph="1"/>
    </row>
    <row r="3037" spans="19:19" ht="26.25">
      <c r="S3037" s="61" ph="1"/>
    </row>
    <row r="3038" spans="19:19" ht="26.25">
      <c r="S3038" s="61" ph="1"/>
    </row>
    <row r="3039" spans="19:19" ht="26.25">
      <c r="S3039" s="61" ph="1"/>
    </row>
    <row r="3040" spans="19:19" ht="26.25">
      <c r="S3040" s="61" ph="1"/>
    </row>
    <row r="3041" spans="19:19" ht="26.25">
      <c r="S3041" s="61" ph="1"/>
    </row>
    <row r="3042" spans="19:19" ht="26.25">
      <c r="S3042" s="61" ph="1"/>
    </row>
    <row r="3043" spans="19:19" ht="26.25">
      <c r="S3043" s="61" ph="1"/>
    </row>
    <row r="3044" spans="19:19" ht="26.25">
      <c r="S3044" s="61" ph="1"/>
    </row>
    <row r="3045" spans="19:19" ht="26.25">
      <c r="S3045" s="61" ph="1"/>
    </row>
    <row r="3046" spans="19:19" ht="26.25">
      <c r="S3046" s="61" ph="1"/>
    </row>
    <row r="3047" spans="19:19" ht="26.25">
      <c r="S3047" s="61" ph="1"/>
    </row>
    <row r="3048" spans="19:19" ht="26.25">
      <c r="S3048" s="61" ph="1"/>
    </row>
    <row r="3049" spans="19:19" ht="26.25">
      <c r="S3049" s="61" ph="1"/>
    </row>
    <row r="3050" spans="19:19" ht="26.25">
      <c r="S3050" s="61" ph="1"/>
    </row>
    <row r="3051" spans="19:19" ht="26.25">
      <c r="S3051" s="61" ph="1"/>
    </row>
    <row r="3052" spans="19:19" ht="26.25">
      <c r="S3052" s="61" ph="1"/>
    </row>
    <row r="3053" spans="19:19" ht="26.25">
      <c r="S3053" s="61" ph="1"/>
    </row>
    <row r="3054" spans="19:19" ht="26.25">
      <c r="S3054" s="61" ph="1"/>
    </row>
    <row r="3055" spans="19:19" ht="26.25">
      <c r="S3055" s="61" ph="1"/>
    </row>
    <row r="3056" spans="19:19" ht="26.25">
      <c r="S3056" s="61" ph="1"/>
    </row>
    <row r="3057" spans="19:19" ht="26.25">
      <c r="S3057" s="61" ph="1"/>
    </row>
    <row r="3058" spans="19:19" ht="26.25">
      <c r="S3058" s="61" ph="1"/>
    </row>
    <row r="3059" spans="19:19" ht="26.25">
      <c r="S3059" s="61" ph="1"/>
    </row>
    <row r="3060" spans="19:19" ht="26.25">
      <c r="S3060" s="61" ph="1"/>
    </row>
    <row r="3061" spans="19:19" ht="26.25">
      <c r="S3061" s="61" ph="1"/>
    </row>
    <row r="3062" spans="19:19" ht="26.25">
      <c r="S3062" s="61" ph="1"/>
    </row>
    <row r="3063" spans="19:19" ht="26.25">
      <c r="S3063" s="61" ph="1"/>
    </row>
    <row r="3064" spans="19:19" ht="26.25">
      <c r="S3064" s="61" ph="1"/>
    </row>
    <row r="3065" spans="19:19" ht="26.25">
      <c r="S3065" s="61" ph="1"/>
    </row>
    <row r="3066" spans="19:19" ht="26.25">
      <c r="S3066" s="61" ph="1"/>
    </row>
    <row r="3067" spans="19:19" ht="26.25">
      <c r="S3067" s="61" ph="1"/>
    </row>
    <row r="3068" spans="19:19" ht="26.25">
      <c r="S3068" s="61" ph="1"/>
    </row>
    <row r="3069" spans="19:19" ht="26.25">
      <c r="S3069" s="61" ph="1"/>
    </row>
    <row r="3070" spans="19:19" ht="26.25">
      <c r="S3070" s="61" ph="1"/>
    </row>
    <row r="3071" spans="19:19" ht="26.25">
      <c r="S3071" s="61" ph="1"/>
    </row>
    <row r="3072" spans="19:19" ht="26.25">
      <c r="S3072" s="61" ph="1"/>
    </row>
    <row r="3073" spans="19:19" ht="26.25">
      <c r="S3073" s="61" ph="1"/>
    </row>
    <row r="3074" spans="19:19" ht="26.25">
      <c r="S3074" s="61" ph="1"/>
    </row>
    <row r="3075" spans="19:19" ht="26.25">
      <c r="S3075" s="61" ph="1"/>
    </row>
    <row r="3076" spans="19:19" ht="26.25">
      <c r="S3076" s="61" ph="1"/>
    </row>
    <row r="3077" spans="19:19" ht="26.25">
      <c r="S3077" s="61" ph="1"/>
    </row>
    <row r="3078" spans="19:19" ht="26.25">
      <c r="S3078" s="61" ph="1"/>
    </row>
    <row r="3079" spans="19:19" ht="26.25">
      <c r="S3079" s="61" ph="1"/>
    </row>
    <row r="3080" spans="19:19" ht="26.25">
      <c r="S3080" s="61" ph="1"/>
    </row>
    <row r="3081" spans="19:19" ht="26.25">
      <c r="S3081" s="61" ph="1"/>
    </row>
    <row r="3082" spans="19:19" ht="26.25">
      <c r="S3082" s="61" ph="1"/>
    </row>
    <row r="3083" spans="19:19" ht="26.25">
      <c r="S3083" s="61" ph="1"/>
    </row>
    <row r="3084" spans="19:19" ht="26.25">
      <c r="S3084" s="61" ph="1"/>
    </row>
    <row r="3085" spans="19:19" ht="26.25">
      <c r="S3085" s="61" ph="1"/>
    </row>
    <row r="3086" spans="19:19" ht="26.25">
      <c r="S3086" s="61" ph="1"/>
    </row>
    <row r="3087" spans="19:19" ht="26.25">
      <c r="S3087" s="61" ph="1"/>
    </row>
    <row r="3088" spans="19:19" ht="26.25">
      <c r="S3088" s="61" ph="1"/>
    </row>
    <row r="3089" spans="19:19" ht="26.25">
      <c r="S3089" s="61" ph="1"/>
    </row>
    <row r="3090" spans="19:19" ht="26.25">
      <c r="S3090" s="61" ph="1"/>
    </row>
    <row r="3091" spans="19:19" ht="26.25">
      <c r="S3091" s="61" ph="1"/>
    </row>
    <row r="3092" spans="19:19" ht="26.25">
      <c r="S3092" s="61" ph="1"/>
    </row>
    <row r="3093" spans="19:19" ht="26.25">
      <c r="S3093" s="61" ph="1"/>
    </row>
    <row r="3094" spans="19:19" ht="26.25">
      <c r="S3094" s="61" ph="1"/>
    </row>
    <row r="3095" spans="19:19" ht="26.25">
      <c r="S3095" s="61" ph="1"/>
    </row>
    <row r="3096" spans="19:19" ht="26.25">
      <c r="S3096" s="61" ph="1"/>
    </row>
    <row r="3097" spans="19:19" ht="26.25">
      <c r="S3097" s="61" ph="1"/>
    </row>
    <row r="3098" spans="19:19" ht="26.25">
      <c r="S3098" s="61" ph="1"/>
    </row>
    <row r="3099" spans="19:19" ht="26.25">
      <c r="S3099" s="61" ph="1"/>
    </row>
    <row r="3100" spans="19:19" ht="26.25">
      <c r="S3100" s="61" ph="1"/>
    </row>
    <row r="3101" spans="19:19" ht="26.25">
      <c r="S3101" s="61" ph="1"/>
    </row>
    <row r="3102" spans="19:19" ht="26.25">
      <c r="S3102" s="61" ph="1"/>
    </row>
    <row r="3103" spans="19:19" ht="26.25">
      <c r="S3103" s="61" ph="1"/>
    </row>
    <row r="3104" spans="19:19" ht="26.25">
      <c r="S3104" s="61" ph="1"/>
    </row>
    <row r="3105" spans="19:19" ht="26.25">
      <c r="S3105" s="61" ph="1"/>
    </row>
    <row r="3106" spans="19:19" ht="26.25">
      <c r="S3106" s="61" ph="1"/>
    </row>
    <row r="3107" spans="19:19" ht="26.25">
      <c r="S3107" s="61" ph="1"/>
    </row>
    <row r="3108" spans="19:19" ht="26.25">
      <c r="S3108" s="61" ph="1"/>
    </row>
    <row r="3109" spans="19:19" ht="26.25">
      <c r="S3109" s="61" ph="1"/>
    </row>
    <row r="3110" spans="19:19" ht="26.25">
      <c r="S3110" s="61" ph="1"/>
    </row>
    <row r="3111" spans="19:19" ht="26.25">
      <c r="S3111" s="61" ph="1"/>
    </row>
    <row r="3112" spans="19:19" ht="26.25">
      <c r="S3112" s="61" ph="1"/>
    </row>
    <row r="3113" spans="19:19" ht="26.25">
      <c r="S3113" s="61" ph="1"/>
    </row>
    <row r="3114" spans="19:19" ht="26.25">
      <c r="S3114" s="61" ph="1"/>
    </row>
    <row r="3115" spans="19:19" ht="26.25">
      <c r="S3115" s="61" ph="1"/>
    </row>
    <row r="3116" spans="19:19" ht="26.25">
      <c r="S3116" s="61" ph="1"/>
    </row>
    <row r="3117" spans="19:19" ht="26.25">
      <c r="S3117" s="61" ph="1"/>
    </row>
    <row r="3118" spans="19:19" ht="26.25">
      <c r="S3118" s="61" ph="1"/>
    </row>
    <row r="3119" spans="19:19" ht="26.25">
      <c r="S3119" s="61" ph="1"/>
    </row>
    <row r="3120" spans="19:19" ht="26.25">
      <c r="S3120" s="61" ph="1"/>
    </row>
    <row r="3121" spans="19:19" ht="26.25">
      <c r="S3121" s="61" ph="1"/>
    </row>
    <row r="3122" spans="19:19" ht="26.25">
      <c r="S3122" s="61" ph="1"/>
    </row>
    <row r="3123" spans="19:19" ht="26.25">
      <c r="S3123" s="61" ph="1"/>
    </row>
    <row r="3124" spans="19:19" ht="26.25">
      <c r="S3124" s="61" ph="1"/>
    </row>
    <row r="3125" spans="19:19" ht="26.25">
      <c r="S3125" s="61" ph="1"/>
    </row>
    <row r="3126" spans="19:19" ht="26.25">
      <c r="S3126" s="61" ph="1"/>
    </row>
    <row r="3127" spans="19:19" ht="26.25">
      <c r="S3127" s="61" ph="1"/>
    </row>
    <row r="3128" spans="19:19" ht="26.25">
      <c r="S3128" s="61" ph="1"/>
    </row>
    <row r="3129" spans="19:19" ht="26.25">
      <c r="S3129" s="61" ph="1"/>
    </row>
    <row r="3130" spans="19:19" ht="26.25">
      <c r="S3130" s="61" ph="1"/>
    </row>
    <row r="3131" spans="19:19" ht="26.25">
      <c r="S3131" s="61" ph="1"/>
    </row>
    <row r="3132" spans="19:19" ht="26.25">
      <c r="S3132" s="61" ph="1"/>
    </row>
    <row r="3133" spans="19:19" ht="26.25">
      <c r="S3133" s="61" ph="1"/>
    </row>
    <row r="3134" spans="19:19" ht="26.25">
      <c r="S3134" s="61" ph="1"/>
    </row>
    <row r="3135" spans="19:19" ht="26.25">
      <c r="S3135" s="61" ph="1"/>
    </row>
    <row r="3136" spans="19:19" ht="26.25">
      <c r="S3136" s="61" ph="1"/>
    </row>
    <row r="3137" spans="19:19" ht="26.25">
      <c r="S3137" s="61" ph="1"/>
    </row>
    <row r="3138" spans="19:19" ht="26.25">
      <c r="S3138" s="61" ph="1"/>
    </row>
    <row r="3139" spans="19:19" ht="26.25">
      <c r="S3139" s="61" ph="1"/>
    </row>
    <row r="3140" spans="19:19" ht="26.25">
      <c r="S3140" s="61" ph="1"/>
    </row>
    <row r="3141" spans="19:19" ht="26.25">
      <c r="S3141" s="61" ph="1"/>
    </row>
    <row r="3142" spans="19:19" ht="26.25">
      <c r="S3142" s="61" ph="1"/>
    </row>
    <row r="3143" spans="19:19" ht="26.25">
      <c r="S3143" s="61" ph="1"/>
    </row>
    <row r="3144" spans="19:19" ht="26.25">
      <c r="S3144" s="61" ph="1"/>
    </row>
    <row r="3145" spans="19:19" ht="26.25">
      <c r="S3145" s="61" ph="1"/>
    </row>
    <row r="3146" spans="19:19" ht="26.25">
      <c r="S3146" s="61" ph="1"/>
    </row>
    <row r="3147" spans="19:19" ht="26.25">
      <c r="S3147" s="61" ph="1"/>
    </row>
    <row r="3148" spans="19:19" ht="26.25">
      <c r="S3148" s="61" ph="1"/>
    </row>
    <row r="3149" spans="19:19" ht="26.25">
      <c r="S3149" s="61" ph="1"/>
    </row>
    <row r="3150" spans="19:19" ht="26.25">
      <c r="S3150" s="61" ph="1"/>
    </row>
    <row r="3151" spans="19:19" ht="26.25">
      <c r="S3151" s="61" ph="1"/>
    </row>
    <row r="3152" spans="19:19" ht="26.25">
      <c r="S3152" s="61" ph="1"/>
    </row>
    <row r="3153" spans="19:19" ht="26.25">
      <c r="S3153" s="61" ph="1"/>
    </row>
    <row r="3154" spans="19:19" ht="26.25">
      <c r="S3154" s="61" ph="1"/>
    </row>
    <row r="3155" spans="19:19" ht="26.25">
      <c r="S3155" s="61" ph="1"/>
    </row>
    <row r="3156" spans="19:19" ht="26.25">
      <c r="S3156" s="61" ph="1"/>
    </row>
    <row r="3157" spans="19:19" ht="26.25">
      <c r="S3157" s="61" ph="1"/>
    </row>
    <row r="3158" spans="19:19" ht="26.25">
      <c r="S3158" s="61" ph="1"/>
    </row>
    <row r="3159" spans="19:19" ht="26.25">
      <c r="S3159" s="61" ph="1"/>
    </row>
    <row r="3160" spans="19:19" ht="26.25">
      <c r="S3160" s="61" ph="1"/>
    </row>
    <row r="3161" spans="19:19" ht="26.25">
      <c r="S3161" s="61" ph="1"/>
    </row>
    <row r="3162" spans="19:19" ht="26.25">
      <c r="S3162" s="61" ph="1"/>
    </row>
    <row r="3163" spans="19:19" ht="26.25">
      <c r="S3163" s="61" ph="1"/>
    </row>
    <row r="3164" spans="19:19" ht="26.25">
      <c r="S3164" s="61" ph="1"/>
    </row>
    <row r="3165" spans="19:19" ht="26.25">
      <c r="S3165" s="61" ph="1"/>
    </row>
    <row r="3166" spans="19:19" ht="26.25">
      <c r="S3166" s="61" ph="1"/>
    </row>
    <row r="3167" spans="19:19" ht="26.25">
      <c r="S3167" s="61" ph="1"/>
    </row>
    <row r="3168" spans="19:19" ht="26.25">
      <c r="S3168" s="61" ph="1"/>
    </row>
    <row r="3169" spans="19:19" ht="26.25">
      <c r="S3169" s="61" ph="1"/>
    </row>
    <row r="3170" spans="19:19" ht="26.25">
      <c r="S3170" s="61" ph="1"/>
    </row>
    <row r="3171" spans="19:19" ht="26.25">
      <c r="S3171" s="61" ph="1"/>
    </row>
    <row r="3172" spans="19:19" ht="26.25">
      <c r="S3172" s="61" ph="1"/>
    </row>
    <row r="3173" spans="19:19" ht="26.25">
      <c r="S3173" s="61" ph="1"/>
    </row>
    <row r="3174" spans="19:19" ht="26.25">
      <c r="S3174" s="61" ph="1"/>
    </row>
    <row r="3175" spans="19:19" ht="26.25">
      <c r="S3175" s="61" ph="1"/>
    </row>
    <row r="3176" spans="19:19" ht="26.25">
      <c r="S3176" s="61" ph="1"/>
    </row>
    <row r="3177" spans="19:19" ht="26.25">
      <c r="S3177" s="61" ph="1"/>
    </row>
    <row r="3178" spans="19:19" ht="26.25">
      <c r="S3178" s="61" ph="1"/>
    </row>
    <row r="3179" spans="19:19" ht="26.25">
      <c r="S3179" s="61" ph="1"/>
    </row>
    <row r="3180" spans="19:19" ht="26.25">
      <c r="S3180" s="61" ph="1"/>
    </row>
    <row r="3181" spans="19:19" ht="26.25">
      <c r="S3181" s="61" ph="1"/>
    </row>
    <row r="3182" spans="19:19" ht="26.25">
      <c r="S3182" s="61" ph="1"/>
    </row>
    <row r="3183" spans="19:19" ht="26.25">
      <c r="S3183" s="61" ph="1"/>
    </row>
    <row r="3184" spans="19:19" ht="26.25">
      <c r="S3184" s="61" ph="1"/>
    </row>
    <row r="3185" spans="19:19" ht="26.25">
      <c r="S3185" s="61" ph="1"/>
    </row>
    <row r="3186" spans="19:19" ht="26.25">
      <c r="S3186" s="61" ph="1"/>
    </row>
    <row r="3187" spans="19:19" ht="26.25">
      <c r="S3187" s="61" ph="1"/>
    </row>
    <row r="3188" spans="19:19" ht="26.25">
      <c r="S3188" s="61" ph="1"/>
    </row>
    <row r="3189" spans="19:19" ht="26.25">
      <c r="S3189" s="61" ph="1"/>
    </row>
    <row r="3190" spans="19:19" ht="26.25">
      <c r="S3190" s="61" ph="1"/>
    </row>
    <row r="3191" spans="19:19" ht="26.25">
      <c r="S3191" s="61" ph="1"/>
    </row>
    <row r="3192" spans="19:19" ht="26.25">
      <c r="S3192" s="61" ph="1"/>
    </row>
    <row r="3193" spans="19:19" ht="26.25">
      <c r="S3193" s="61" ph="1"/>
    </row>
    <row r="3194" spans="19:19" ht="26.25">
      <c r="S3194" s="61" ph="1"/>
    </row>
    <row r="3195" spans="19:19" ht="26.25">
      <c r="S3195" s="61" ph="1"/>
    </row>
    <row r="3196" spans="19:19" ht="26.25">
      <c r="S3196" s="61" ph="1"/>
    </row>
    <row r="3197" spans="19:19" ht="26.25">
      <c r="S3197" s="61" ph="1"/>
    </row>
    <row r="3198" spans="19:19" ht="26.25">
      <c r="S3198" s="61" ph="1"/>
    </row>
    <row r="3199" spans="19:19" ht="26.25">
      <c r="S3199" s="61" ph="1"/>
    </row>
    <row r="3200" spans="19:19" ht="26.25">
      <c r="S3200" s="61" ph="1"/>
    </row>
    <row r="3201" spans="19:19" ht="26.25">
      <c r="S3201" s="61" ph="1"/>
    </row>
    <row r="3202" spans="19:19" ht="26.25">
      <c r="S3202" s="61" ph="1"/>
    </row>
    <row r="3203" spans="19:19" ht="26.25">
      <c r="S3203" s="61" ph="1"/>
    </row>
    <row r="3204" spans="19:19" ht="26.25">
      <c r="S3204" s="61" ph="1"/>
    </row>
    <row r="3205" spans="19:19" ht="26.25">
      <c r="S3205" s="61" ph="1"/>
    </row>
    <row r="3206" spans="19:19" ht="26.25">
      <c r="S3206" s="61" ph="1"/>
    </row>
    <row r="3207" spans="19:19" ht="26.25">
      <c r="S3207" s="61" ph="1"/>
    </row>
    <row r="3208" spans="19:19" ht="26.25">
      <c r="S3208" s="61" ph="1"/>
    </row>
    <row r="3209" spans="19:19" ht="26.25">
      <c r="S3209" s="61" ph="1"/>
    </row>
    <row r="3210" spans="19:19" ht="26.25">
      <c r="S3210" s="61" ph="1"/>
    </row>
    <row r="3211" spans="19:19" ht="26.25">
      <c r="S3211" s="61" ph="1"/>
    </row>
    <row r="3212" spans="19:19" ht="26.25">
      <c r="S3212" s="61" ph="1"/>
    </row>
    <row r="3213" spans="19:19" ht="26.25">
      <c r="S3213" s="61" ph="1"/>
    </row>
    <row r="3214" spans="19:19" ht="26.25">
      <c r="S3214" s="61" ph="1"/>
    </row>
    <row r="3215" spans="19:19" ht="26.25">
      <c r="S3215" s="61" ph="1"/>
    </row>
    <row r="3216" spans="19:19" ht="26.25">
      <c r="S3216" s="61" ph="1"/>
    </row>
    <row r="3217" spans="19:19" ht="26.25">
      <c r="S3217" s="61" ph="1"/>
    </row>
    <row r="3218" spans="19:19" ht="26.25">
      <c r="S3218" s="61" ph="1"/>
    </row>
    <row r="3219" spans="19:19" ht="26.25">
      <c r="S3219" s="61" ph="1"/>
    </row>
    <row r="3220" spans="19:19" ht="26.25">
      <c r="S3220" s="61" ph="1"/>
    </row>
    <row r="3221" spans="19:19" ht="26.25">
      <c r="S3221" s="61" ph="1"/>
    </row>
    <row r="3222" spans="19:19" ht="26.25">
      <c r="S3222" s="61" ph="1"/>
    </row>
    <row r="3223" spans="19:19" ht="26.25">
      <c r="S3223" s="61" ph="1"/>
    </row>
    <row r="3224" spans="19:19" ht="26.25">
      <c r="S3224" s="61" ph="1"/>
    </row>
    <row r="3225" spans="19:19" ht="26.25">
      <c r="S3225" s="61" ph="1"/>
    </row>
    <row r="3226" spans="19:19" ht="26.25">
      <c r="S3226" s="61" ph="1"/>
    </row>
    <row r="3227" spans="19:19" ht="26.25">
      <c r="S3227" s="61" ph="1"/>
    </row>
    <row r="3228" spans="19:19" ht="26.25">
      <c r="S3228" s="61" ph="1"/>
    </row>
    <row r="3229" spans="19:19" ht="26.25">
      <c r="S3229" s="61" ph="1"/>
    </row>
    <row r="3230" spans="19:19" ht="26.25">
      <c r="S3230" s="61" ph="1"/>
    </row>
    <row r="3231" spans="19:19" ht="26.25">
      <c r="S3231" s="61" ph="1"/>
    </row>
    <row r="3232" spans="19:19" ht="26.25">
      <c r="S3232" s="61" ph="1"/>
    </row>
    <row r="3233" spans="19:19" ht="26.25">
      <c r="S3233" s="61" ph="1"/>
    </row>
    <row r="3234" spans="19:19" ht="26.25">
      <c r="S3234" s="61" ph="1"/>
    </row>
    <row r="3235" spans="19:19" ht="26.25">
      <c r="S3235" s="61" ph="1"/>
    </row>
    <row r="3236" spans="19:19" ht="26.25">
      <c r="S3236" s="61" ph="1"/>
    </row>
    <row r="3237" spans="19:19" ht="26.25">
      <c r="S3237" s="61" ph="1"/>
    </row>
    <row r="3238" spans="19:19" ht="26.25">
      <c r="S3238" s="61" ph="1"/>
    </row>
    <row r="3239" spans="19:19" ht="26.25">
      <c r="S3239" s="61" ph="1"/>
    </row>
    <row r="3240" spans="19:19" ht="26.25">
      <c r="S3240" s="61" ph="1"/>
    </row>
    <row r="3241" spans="19:19" ht="26.25">
      <c r="S3241" s="61" ph="1"/>
    </row>
    <row r="3242" spans="19:19" ht="26.25">
      <c r="S3242" s="61" ph="1"/>
    </row>
    <row r="3243" spans="19:19" ht="26.25">
      <c r="S3243" s="61" ph="1"/>
    </row>
    <row r="3244" spans="19:19" ht="26.25">
      <c r="S3244" s="61" ph="1"/>
    </row>
    <row r="3245" spans="19:19" ht="26.25">
      <c r="S3245" s="61" ph="1"/>
    </row>
    <row r="3246" spans="19:19" ht="26.25">
      <c r="S3246" s="61" ph="1"/>
    </row>
    <row r="3247" spans="19:19" ht="26.25">
      <c r="S3247" s="61" ph="1"/>
    </row>
    <row r="3248" spans="19:19" ht="26.25">
      <c r="S3248" s="61" ph="1"/>
    </row>
    <row r="3249" spans="19:19" ht="26.25">
      <c r="S3249" s="61" ph="1"/>
    </row>
    <row r="3250" spans="19:19" ht="26.25">
      <c r="S3250" s="61" ph="1"/>
    </row>
    <row r="3251" spans="19:19" ht="26.25">
      <c r="S3251" s="61" ph="1"/>
    </row>
    <row r="3252" spans="19:19" ht="26.25">
      <c r="S3252" s="61" ph="1"/>
    </row>
    <row r="3253" spans="19:19" ht="26.25">
      <c r="S3253" s="61" ph="1"/>
    </row>
    <row r="3254" spans="19:19" ht="26.25">
      <c r="S3254" s="61" ph="1"/>
    </row>
    <row r="3255" spans="19:19" ht="26.25">
      <c r="S3255" s="61" ph="1"/>
    </row>
    <row r="3256" spans="19:19" ht="26.25">
      <c r="S3256" s="61" ph="1"/>
    </row>
    <row r="3257" spans="19:19" ht="26.25">
      <c r="S3257" s="61" ph="1"/>
    </row>
    <row r="3258" spans="19:19" ht="26.25">
      <c r="S3258" s="61" ph="1"/>
    </row>
    <row r="3259" spans="19:19" ht="26.25">
      <c r="S3259" s="61" ph="1"/>
    </row>
    <row r="3260" spans="19:19" ht="26.25">
      <c r="S3260" s="61" ph="1"/>
    </row>
    <row r="3261" spans="19:19" ht="26.25">
      <c r="S3261" s="61" ph="1"/>
    </row>
    <row r="3262" spans="19:19" ht="26.25">
      <c r="S3262" s="61" ph="1"/>
    </row>
    <row r="3263" spans="19:19" ht="26.25">
      <c r="S3263" s="61" ph="1"/>
    </row>
    <row r="3264" spans="19:19" ht="26.25">
      <c r="S3264" s="61" ph="1"/>
    </row>
    <row r="3265" spans="19:19" ht="26.25">
      <c r="S3265" s="61" ph="1"/>
    </row>
    <row r="3266" spans="19:19" ht="26.25">
      <c r="S3266" s="61" ph="1"/>
    </row>
    <row r="3267" spans="19:19" ht="26.25">
      <c r="S3267" s="61" ph="1"/>
    </row>
    <row r="3268" spans="19:19" ht="26.25">
      <c r="S3268" s="61" ph="1"/>
    </row>
    <row r="3269" spans="19:19" ht="26.25">
      <c r="S3269" s="61" ph="1"/>
    </row>
    <row r="3270" spans="19:19" ht="26.25">
      <c r="S3270" s="61" ph="1"/>
    </row>
    <row r="3271" spans="19:19" ht="26.25">
      <c r="S3271" s="61" ph="1"/>
    </row>
    <row r="3272" spans="19:19" ht="26.25">
      <c r="S3272" s="61" ph="1"/>
    </row>
    <row r="3273" spans="19:19" ht="26.25">
      <c r="S3273" s="61" ph="1"/>
    </row>
    <row r="3274" spans="19:19" ht="26.25">
      <c r="S3274" s="61" ph="1"/>
    </row>
    <row r="3275" spans="19:19" ht="26.25">
      <c r="S3275" s="61" ph="1"/>
    </row>
    <row r="3276" spans="19:19" ht="26.25">
      <c r="S3276" s="61" ph="1"/>
    </row>
    <row r="3277" spans="19:19" ht="26.25">
      <c r="S3277" s="61" ph="1"/>
    </row>
    <row r="3278" spans="19:19" ht="26.25">
      <c r="S3278" s="61" ph="1"/>
    </row>
    <row r="3279" spans="19:19" ht="26.25">
      <c r="S3279" s="61" ph="1"/>
    </row>
    <row r="3280" spans="19:19" ht="26.25">
      <c r="S3280" s="61" ph="1"/>
    </row>
    <row r="3281" spans="19:19" ht="26.25">
      <c r="S3281" s="61" ph="1"/>
    </row>
    <row r="3282" spans="19:19" ht="26.25">
      <c r="S3282" s="61" ph="1"/>
    </row>
    <row r="3283" spans="19:19" ht="26.25">
      <c r="S3283" s="61" ph="1"/>
    </row>
    <row r="3284" spans="19:19" ht="26.25">
      <c r="S3284" s="61" ph="1"/>
    </row>
    <row r="3285" spans="19:19" ht="26.25">
      <c r="S3285" s="61" ph="1"/>
    </row>
    <row r="3286" spans="19:19" ht="26.25">
      <c r="S3286" s="61" ph="1"/>
    </row>
    <row r="3287" spans="19:19" ht="26.25">
      <c r="S3287" s="61" ph="1"/>
    </row>
    <row r="3288" spans="19:19" ht="26.25">
      <c r="S3288" s="61" ph="1"/>
    </row>
    <row r="3289" spans="19:19" ht="26.25">
      <c r="S3289" s="61" ph="1"/>
    </row>
    <row r="3290" spans="19:19" ht="26.25">
      <c r="S3290" s="61" ph="1"/>
    </row>
    <row r="3291" spans="19:19" ht="26.25">
      <c r="S3291" s="61" ph="1"/>
    </row>
    <row r="3292" spans="19:19" ht="26.25">
      <c r="S3292" s="61" ph="1"/>
    </row>
    <row r="3293" spans="19:19" ht="26.25">
      <c r="S3293" s="61" ph="1"/>
    </row>
    <row r="3294" spans="19:19" ht="26.25">
      <c r="S3294" s="61" ph="1"/>
    </row>
    <row r="3295" spans="19:19" ht="26.25">
      <c r="S3295" s="61" ph="1"/>
    </row>
    <row r="3296" spans="19:19" ht="26.25">
      <c r="S3296" s="61" ph="1"/>
    </row>
    <row r="3297" spans="19:19" ht="26.25">
      <c r="S3297" s="61" ph="1"/>
    </row>
    <row r="3298" spans="19:19" ht="26.25">
      <c r="S3298" s="61" ph="1"/>
    </row>
    <row r="3299" spans="19:19" ht="26.25">
      <c r="S3299" s="61" ph="1"/>
    </row>
    <row r="3300" spans="19:19" ht="26.25">
      <c r="S3300" s="61" ph="1"/>
    </row>
    <row r="3301" spans="19:19" ht="26.25">
      <c r="S3301" s="61" ph="1"/>
    </row>
    <row r="3302" spans="19:19" ht="26.25">
      <c r="S3302" s="61" ph="1"/>
    </row>
    <row r="3303" spans="19:19" ht="26.25">
      <c r="S3303" s="61" ph="1"/>
    </row>
    <row r="3304" spans="19:19" ht="26.25">
      <c r="S3304" s="61" ph="1"/>
    </row>
    <row r="3305" spans="19:19" ht="26.25">
      <c r="S3305" s="61" ph="1"/>
    </row>
    <row r="3306" spans="19:19" ht="26.25">
      <c r="S3306" s="61" ph="1"/>
    </row>
    <row r="3307" spans="19:19" ht="26.25">
      <c r="S3307" s="61" ph="1"/>
    </row>
    <row r="3308" spans="19:19" ht="26.25">
      <c r="S3308" s="61" ph="1"/>
    </row>
    <row r="3309" spans="19:19" ht="26.25">
      <c r="S3309" s="61" ph="1"/>
    </row>
    <row r="3310" spans="19:19" ht="26.25">
      <c r="S3310" s="61" ph="1"/>
    </row>
    <row r="3311" spans="19:19" ht="26.25">
      <c r="S3311" s="61" ph="1"/>
    </row>
    <row r="3312" spans="19:19" ht="26.25">
      <c r="S3312" s="61" ph="1"/>
    </row>
    <row r="3313" spans="19:19" ht="26.25">
      <c r="S3313" s="61" ph="1"/>
    </row>
    <row r="3314" spans="19:19" ht="26.25">
      <c r="S3314" s="61" ph="1"/>
    </row>
    <row r="3315" spans="19:19" ht="26.25">
      <c r="S3315" s="61" ph="1"/>
    </row>
    <row r="3316" spans="19:19" ht="26.25">
      <c r="S3316" s="61" ph="1"/>
    </row>
    <row r="3317" spans="19:19" ht="26.25">
      <c r="S3317" s="61" ph="1"/>
    </row>
    <row r="3318" spans="19:19" ht="26.25">
      <c r="S3318" s="61" ph="1"/>
    </row>
    <row r="3319" spans="19:19" ht="26.25">
      <c r="S3319" s="61" ph="1"/>
    </row>
    <row r="3320" spans="19:19" ht="26.25">
      <c r="S3320" s="61" ph="1"/>
    </row>
    <row r="3321" spans="19:19" ht="26.25">
      <c r="S3321" s="61" ph="1"/>
    </row>
    <row r="3322" spans="19:19" ht="26.25">
      <c r="S3322" s="61" ph="1"/>
    </row>
    <row r="3323" spans="19:19" ht="26.25">
      <c r="S3323" s="61" ph="1"/>
    </row>
    <row r="3324" spans="19:19" ht="26.25">
      <c r="S3324" s="61" ph="1"/>
    </row>
    <row r="3325" spans="19:19" ht="26.25">
      <c r="S3325" s="61" ph="1"/>
    </row>
    <row r="3326" spans="19:19" ht="26.25">
      <c r="S3326" s="61" ph="1"/>
    </row>
    <row r="3327" spans="19:19" ht="26.25">
      <c r="S3327" s="61" ph="1"/>
    </row>
    <row r="3328" spans="19:19" ht="26.25">
      <c r="S3328" s="61" ph="1"/>
    </row>
    <row r="3329" spans="19:19" ht="26.25">
      <c r="S3329" s="61" ph="1"/>
    </row>
    <row r="3330" spans="19:19" ht="26.25">
      <c r="S3330" s="61" ph="1"/>
    </row>
    <row r="3331" spans="19:19" ht="26.25">
      <c r="S3331" s="61" ph="1"/>
    </row>
    <row r="3332" spans="19:19" ht="26.25">
      <c r="S3332" s="61" ph="1"/>
    </row>
    <row r="3333" spans="19:19" ht="26.25">
      <c r="S3333" s="61" ph="1"/>
    </row>
    <row r="3334" spans="19:19" ht="26.25">
      <c r="S3334" s="61" ph="1"/>
    </row>
    <row r="3335" spans="19:19" ht="26.25">
      <c r="S3335" s="61" ph="1"/>
    </row>
    <row r="3336" spans="19:19" ht="26.25">
      <c r="S3336" s="61" ph="1"/>
    </row>
    <row r="3337" spans="19:19" ht="26.25">
      <c r="S3337" s="61" ph="1"/>
    </row>
    <row r="3338" spans="19:19" ht="26.25">
      <c r="S3338" s="61" ph="1"/>
    </row>
    <row r="3339" spans="19:19" ht="26.25">
      <c r="S3339" s="61" ph="1"/>
    </row>
    <row r="3340" spans="19:19" ht="26.25">
      <c r="S3340" s="61" ph="1"/>
    </row>
    <row r="3341" spans="19:19" ht="26.25">
      <c r="S3341" s="61" ph="1"/>
    </row>
    <row r="3342" spans="19:19" ht="26.25">
      <c r="S3342" s="61" ph="1"/>
    </row>
    <row r="3343" spans="19:19" ht="26.25">
      <c r="S3343" s="61" ph="1"/>
    </row>
    <row r="3344" spans="19:19" ht="26.25">
      <c r="S3344" s="61" ph="1"/>
    </row>
    <row r="3345" spans="19:19" ht="26.25">
      <c r="S3345" s="61" ph="1"/>
    </row>
    <row r="3346" spans="19:19" ht="26.25">
      <c r="S3346" s="61" ph="1"/>
    </row>
    <row r="3347" spans="19:19" ht="26.25">
      <c r="S3347" s="61" ph="1"/>
    </row>
    <row r="3348" spans="19:19" ht="26.25">
      <c r="S3348" s="61" ph="1"/>
    </row>
    <row r="3349" spans="19:19" ht="26.25">
      <c r="S3349" s="61" ph="1"/>
    </row>
    <row r="3350" spans="19:19" ht="26.25">
      <c r="S3350" s="61" ph="1"/>
    </row>
    <row r="3351" spans="19:19" ht="26.25">
      <c r="S3351" s="61" ph="1"/>
    </row>
    <row r="3352" spans="19:19" ht="26.25">
      <c r="S3352" s="61" ph="1"/>
    </row>
    <row r="3353" spans="19:19" ht="26.25">
      <c r="S3353" s="61" ph="1"/>
    </row>
    <row r="3354" spans="19:19" ht="26.25">
      <c r="S3354" s="61" ph="1"/>
    </row>
    <row r="3355" spans="19:19" ht="26.25">
      <c r="S3355" s="61" ph="1"/>
    </row>
    <row r="3356" spans="19:19" ht="26.25">
      <c r="S3356" s="61" ph="1"/>
    </row>
    <row r="3357" spans="19:19" ht="26.25">
      <c r="S3357" s="61" ph="1"/>
    </row>
    <row r="3358" spans="19:19" ht="26.25">
      <c r="S3358" s="61" ph="1"/>
    </row>
    <row r="3359" spans="19:19" ht="26.25">
      <c r="S3359" s="61" ph="1"/>
    </row>
    <row r="3360" spans="19:19" ht="26.25">
      <c r="S3360" s="61" ph="1"/>
    </row>
    <row r="3361" spans="19:19" ht="26.25">
      <c r="S3361" s="61" ph="1"/>
    </row>
    <row r="3362" spans="19:19" ht="26.25">
      <c r="S3362" s="61" ph="1"/>
    </row>
    <row r="3363" spans="19:19" ht="26.25">
      <c r="S3363" s="61" ph="1"/>
    </row>
    <row r="3364" spans="19:19" ht="26.25">
      <c r="S3364" s="61" ph="1"/>
    </row>
    <row r="3365" spans="19:19" ht="26.25">
      <c r="S3365" s="61" ph="1"/>
    </row>
    <row r="3366" spans="19:19" ht="26.25">
      <c r="S3366" s="61" ph="1"/>
    </row>
    <row r="3367" spans="19:19" ht="26.25">
      <c r="S3367" s="61" ph="1"/>
    </row>
    <row r="3368" spans="19:19" ht="26.25">
      <c r="S3368" s="61" ph="1"/>
    </row>
    <row r="3369" spans="19:19" ht="26.25">
      <c r="S3369" s="61" ph="1"/>
    </row>
    <row r="3370" spans="19:19" ht="26.25">
      <c r="S3370" s="61" ph="1"/>
    </row>
    <row r="3371" spans="19:19" ht="26.25">
      <c r="S3371" s="61" ph="1"/>
    </row>
    <row r="3372" spans="19:19" ht="26.25">
      <c r="S3372" s="61" ph="1"/>
    </row>
    <row r="3373" spans="19:19" ht="26.25">
      <c r="S3373" s="61" ph="1"/>
    </row>
    <row r="3374" spans="19:19" ht="26.25">
      <c r="S3374" s="61" ph="1"/>
    </row>
    <row r="3375" spans="19:19" ht="26.25">
      <c r="S3375" s="61" ph="1"/>
    </row>
    <row r="3376" spans="19:19" ht="26.25">
      <c r="S3376" s="61" ph="1"/>
    </row>
    <row r="3377" spans="19:19" ht="26.25">
      <c r="S3377" s="61" ph="1"/>
    </row>
    <row r="3378" spans="19:19" ht="26.25">
      <c r="S3378" s="61" ph="1"/>
    </row>
    <row r="3379" spans="19:19" ht="26.25">
      <c r="S3379" s="61" ph="1"/>
    </row>
    <row r="3380" spans="19:19" ht="26.25">
      <c r="S3380" s="61" ph="1"/>
    </row>
    <row r="3381" spans="19:19" ht="26.25">
      <c r="S3381" s="61" ph="1"/>
    </row>
    <row r="3382" spans="19:19" ht="26.25">
      <c r="S3382" s="61" ph="1"/>
    </row>
    <row r="3383" spans="19:19" ht="26.25">
      <c r="S3383" s="61" ph="1"/>
    </row>
    <row r="3384" spans="19:19" ht="26.25">
      <c r="S3384" s="61" ph="1"/>
    </row>
    <row r="3385" spans="19:19" ht="26.25">
      <c r="S3385" s="61" ph="1"/>
    </row>
    <row r="3386" spans="19:19" ht="26.25">
      <c r="S3386" s="61" ph="1"/>
    </row>
    <row r="3387" spans="19:19" ht="26.25">
      <c r="S3387" s="61" ph="1"/>
    </row>
    <row r="3388" spans="19:19" ht="26.25">
      <c r="S3388" s="61" ph="1"/>
    </row>
    <row r="3389" spans="19:19" ht="26.25">
      <c r="S3389" s="61" ph="1"/>
    </row>
    <row r="3390" spans="19:19" ht="26.25">
      <c r="S3390" s="61" ph="1"/>
    </row>
    <row r="3391" spans="19:19" ht="26.25">
      <c r="S3391" s="61" ph="1"/>
    </row>
    <row r="3392" spans="19:19" ht="26.25">
      <c r="S3392" s="61" ph="1"/>
    </row>
    <row r="3393" spans="19:19" ht="26.25">
      <c r="S3393" s="61" ph="1"/>
    </row>
    <row r="3394" spans="19:19" ht="26.25">
      <c r="S3394" s="61" ph="1"/>
    </row>
    <row r="3395" spans="19:19" ht="26.25">
      <c r="S3395" s="61" ph="1"/>
    </row>
    <row r="3396" spans="19:19" ht="26.25">
      <c r="S3396" s="61" ph="1"/>
    </row>
    <row r="3397" spans="19:19" ht="26.25">
      <c r="S3397" s="61" ph="1"/>
    </row>
    <row r="3398" spans="19:19" ht="26.25">
      <c r="S3398" s="61" ph="1"/>
    </row>
    <row r="3399" spans="19:19" ht="26.25">
      <c r="S3399" s="61" ph="1"/>
    </row>
    <row r="3400" spans="19:19" ht="26.25">
      <c r="S3400" s="61" ph="1"/>
    </row>
    <row r="3401" spans="19:19" ht="26.25">
      <c r="S3401" s="61" ph="1"/>
    </row>
    <row r="3402" spans="19:19" ht="26.25">
      <c r="S3402" s="61" ph="1"/>
    </row>
    <row r="3403" spans="19:19" ht="26.25">
      <c r="S3403" s="61" ph="1"/>
    </row>
    <row r="3404" spans="19:19" ht="26.25">
      <c r="S3404" s="61" ph="1"/>
    </row>
    <row r="3405" spans="19:19" ht="26.25">
      <c r="S3405" s="61" ph="1"/>
    </row>
    <row r="3406" spans="19:19" ht="26.25">
      <c r="S3406" s="61" ph="1"/>
    </row>
    <row r="3407" spans="19:19" ht="26.25">
      <c r="S3407" s="61" ph="1"/>
    </row>
    <row r="3408" spans="19:19" ht="26.25">
      <c r="S3408" s="61" ph="1"/>
    </row>
    <row r="3409" spans="19:19" ht="26.25">
      <c r="S3409" s="61" ph="1"/>
    </row>
    <row r="3410" spans="19:19" ht="26.25">
      <c r="S3410" s="61" ph="1"/>
    </row>
    <row r="3411" spans="19:19" ht="26.25">
      <c r="S3411" s="61" ph="1"/>
    </row>
    <row r="3412" spans="19:19" ht="26.25">
      <c r="S3412" s="61" ph="1"/>
    </row>
    <row r="3413" spans="19:19" ht="26.25">
      <c r="S3413" s="61" ph="1"/>
    </row>
    <row r="3414" spans="19:19" ht="26.25">
      <c r="S3414" s="61" ph="1"/>
    </row>
    <row r="3415" spans="19:19" ht="26.25">
      <c r="S3415" s="61" ph="1"/>
    </row>
    <row r="3416" spans="19:19" ht="26.25">
      <c r="S3416" s="61" ph="1"/>
    </row>
    <row r="3417" spans="19:19" ht="26.25">
      <c r="S3417" s="61" ph="1"/>
    </row>
    <row r="3418" spans="19:19" ht="26.25">
      <c r="S3418" s="61" ph="1"/>
    </row>
    <row r="3419" spans="19:19" ht="26.25">
      <c r="S3419" s="61" ph="1"/>
    </row>
    <row r="3420" spans="19:19" ht="26.25">
      <c r="S3420" s="61" ph="1"/>
    </row>
    <row r="3421" spans="19:19" ht="26.25">
      <c r="S3421" s="61" ph="1"/>
    </row>
    <row r="3422" spans="19:19" ht="26.25">
      <c r="S3422" s="61" ph="1"/>
    </row>
    <row r="3423" spans="19:19" ht="26.25">
      <c r="S3423" s="61" ph="1"/>
    </row>
    <row r="3424" spans="19:19" ht="26.25">
      <c r="S3424" s="61" ph="1"/>
    </row>
    <row r="3425" spans="19:19" ht="26.25">
      <c r="S3425" s="61" ph="1"/>
    </row>
    <row r="3426" spans="19:19" ht="26.25">
      <c r="S3426" s="61" ph="1"/>
    </row>
    <row r="3427" spans="19:19" ht="26.25">
      <c r="S3427" s="61" ph="1"/>
    </row>
    <row r="3428" spans="19:19" ht="26.25">
      <c r="S3428" s="61" ph="1"/>
    </row>
    <row r="3429" spans="19:19" ht="26.25">
      <c r="S3429" s="61" ph="1"/>
    </row>
    <row r="3430" spans="19:19" ht="26.25">
      <c r="S3430" s="61" ph="1"/>
    </row>
    <row r="3431" spans="19:19" ht="26.25">
      <c r="S3431" s="61" ph="1"/>
    </row>
    <row r="3432" spans="19:19" ht="26.25">
      <c r="S3432" s="61" ph="1"/>
    </row>
    <row r="3433" spans="19:19" ht="26.25">
      <c r="S3433" s="61" ph="1"/>
    </row>
    <row r="3434" spans="19:19" ht="26.25">
      <c r="S3434" s="61" ph="1"/>
    </row>
    <row r="3435" spans="19:19" ht="26.25">
      <c r="S3435" s="61" ph="1"/>
    </row>
    <row r="3436" spans="19:19" ht="26.25">
      <c r="S3436" s="61" ph="1"/>
    </row>
    <row r="3437" spans="19:19" ht="26.25">
      <c r="S3437" s="61" ph="1"/>
    </row>
    <row r="3438" spans="19:19" ht="26.25">
      <c r="S3438" s="61" ph="1"/>
    </row>
    <row r="3439" spans="19:19" ht="26.25">
      <c r="S3439" s="61" ph="1"/>
    </row>
    <row r="3440" spans="19:19" ht="26.25">
      <c r="S3440" s="61" ph="1"/>
    </row>
    <row r="3441" spans="19:19" ht="26.25">
      <c r="S3441" s="61" ph="1"/>
    </row>
    <row r="3442" spans="19:19" ht="26.25">
      <c r="S3442" s="61" ph="1"/>
    </row>
    <row r="3443" spans="19:19" ht="26.25">
      <c r="S3443" s="61" ph="1"/>
    </row>
    <row r="3444" spans="19:19" ht="26.25">
      <c r="S3444" s="61" ph="1"/>
    </row>
    <row r="3445" spans="19:19" ht="26.25">
      <c r="S3445" s="61" ph="1"/>
    </row>
    <row r="3446" spans="19:19" ht="26.25">
      <c r="S3446" s="61" ph="1"/>
    </row>
    <row r="3447" spans="19:19" ht="26.25">
      <c r="S3447" s="61" ph="1"/>
    </row>
    <row r="3448" spans="19:19" ht="26.25">
      <c r="S3448" s="61" ph="1"/>
    </row>
    <row r="3449" spans="19:19" ht="26.25">
      <c r="S3449" s="61" ph="1"/>
    </row>
    <row r="3450" spans="19:19" ht="26.25">
      <c r="S3450" s="61" ph="1"/>
    </row>
    <row r="3451" spans="19:19" ht="26.25">
      <c r="S3451" s="61" ph="1"/>
    </row>
    <row r="3452" spans="19:19" ht="26.25">
      <c r="S3452" s="61" ph="1"/>
    </row>
    <row r="3453" spans="19:19" ht="26.25">
      <c r="S3453" s="61" ph="1"/>
    </row>
    <row r="3454" spans="19:19" ht="26.25">
      <c r="S3454" s="61" ph="1"/>
    </row>
    <row r="3455" spans="19:19" ht="26.25">
      <c r="S3455" s="61" ph="1"/>
    </row>
    <row r="3456" spans="19:19" ht="26.25">
      <c r="S3456" s="61" ph="1"/>
    </row>
    <row r="3457" spans="19:19" ht="26.25">
      <c r="S3457" s="61" ph="1"/>
    </row>
    <row r="3458" spans="19:19" ht="26.25">
      <c r="S3458" s="61" ph="1"/>
    </row>
    <row r="3459" spans="19:19" ht="26.25">
      <c r="S3459" s="61" ph="1"/>
    </row>
    <row r="3460" spans="19:19" ht="26.25">
      <c r="S3460" s="61" ph="1"/>
    </row>
    <row r="3461" spans="19:19" ht="26.25">
      <c r="S3461" s="61" ph="1"/>
    </row>
    <row r="3462" spans="19:19" ht="26.25">
      <c r="S3462" s="61" ph="1"/>
    </row>
    <row r="3463" spans="19:19" ht="26.25">
      <c r="S3463" s="61" ph="1"/>
    </row>
    <row r="3464" spans="19:19" ht="26.25">
      <c r="S3464" s="61" ph="1"/>
    </row>
    <row r="3465" spans="19:19" ht="26.25">
      <c r="S3465" s="61" ph="1"/>
    </row>
    <row r="3466" spans="19:19" ht="26.25">
      <c r="S3466" s="61" ph="1"/>
    </row>
    <row r="3467" spans="19:19" ht="26.25">
      <c r="S3467" s="61" ph="1"/>
    </row>
    <row r="3468" spans="19:19" ht="26.25">
      <c r="S3468" s="61" ph="1"/>
    </row>
    <row r="3469" spans="19:19" ht="26.25">
      <c r="S3469" s="61" ph="1"/>
    </row>
    <row r="3470" spans="19:19" ht="26.25">
      <c r="S3470" s="61" ph="1"/>
    </row>
    <row r="3471" spans="19:19" ht="26.25">
      <c r="S3471" s="61" ph="1"/>
    </row>
    <row r="3472" spans="19:19" ht="26.25">
      <c r="S3472" s="61" ph="1"/>
    </row>
    <row r="3473" spans="19:19" ht="26.25">
      <c r="S3473" s="61" ph="1"/>
    </row>
    <row r="3474" spans="19:19" ht="26.25">
      <c r="S3474" s="61" ph="1"/>
    </row>
    <row r="3475" spans="19:19" ht="26.25">
      <c r="S3475" s="61" ph="1"/>
    </row>
    <row r="3476" spans="19:19" ht="26.25">
      <c r="S3476" s="61" ph="1"/>
    </row>
    <row r="3477" spans="19:19" ht="26.25">
      <c r="S3477" s="61" ph="1"/>
    </row>
    <row r="3478" spans="19:19" ht="26.25">
      <c r="S3478" s="61" ph="1"/>
    </row>
    <row r="3479" spans="19:19" ht="26.25">
      <c r="S3479" s="61" ph="1"/>
    </row>
    <row r="3480" spans="19:19" ht="26.25">
      <c r="S3480" s="61" ph="1"/>
    </row>
    <row r="3481" spans="19:19" ht="26.25">
      <c r="S3481" s="61" ph="1"/>
    </row>
    <row r="3482" spans="19:19" ht="26.25">
      <c r="S3482" s="61" ph="1"/>
    </row>
    <row r="3483" spans="19:19" ht="26.25">
      <c r="S3483" s="61" ph="1"/>
    </row>
    <row r="3484" spans="19:19" ht="26.25">
      <c r="S3484" s="61" ph="1"/>
    </row>
    <row r="3485" spans="19:19" ht="26.25">
      <c r="S3485" s="61" ph="1"/>
    </row>
    <row r="3486" spans="19:19" ht="26.25">
      <c r="S3486" s="61" ph="1"/>
    </row>
    <row r="3487" spans="19:19" ht="26.25">
      <c r="S3487" s="61" ph="1"/>
    </row>
    <row r="3488" spans="19:19" ht="26.25">
      <c r="S3488" s="61" ph="1"/>
    </row>
    <row r="3489" spans="19:19" ht="26.25">
      <c r="S3489" s="61" ph="1"/>
    </row>
    <row r="3490" spans="19:19" ht="26.25">
      <c r="S3490" s="61" ph="1"/>
    </row>
    <row r="3491" spans="19:19" ht="26.25">
      <c r="S3491" s="61" ph="1"/>
    </row>
    <row r="3492" spans="19:19" ht="26.25">
      <c r="S3492" s="61" ph="1"/>
    </row>
    <row r="3493" spans="19:19" ht="26.25">
      <c r="S3493" s="61" ph="1"/>
    </row>
    <row r="3494" spans="19:19" ht="26.25">
      <c r="S3494" s="61" ph="1"/>
    </row>
    <row r="3495" spans="19:19" ht="26.25">
      <c r="S3495" s="61" ph="1"/>
    </row>
    <row r="3496" spans="19:19" ht="26.25">
      <c r="S3496" s="61" ph="1"/>
    </row>
    <row r="3497" spans="19:19" ht="26.25">
      <c r="S3497" s="61" ph="1"/>
    </row>
    <row r="3498" spans="19:19" ht="26.25">
      <c r="S3498" s="61" ph="1"/>
    </row>
    <row r="3499" spans="19:19" ht="26.25">
      <c r="S3499" s="61" ph="1"/>
    </row>
    <row r="3500" spans="19:19" ht="26.25">
      <c r="S3500" s="61" ph="1"/>
    </row>
    <row r="3501" spans="19:19" ht="26.25">
      <c r="S3501" s="61" ph="1"/>
    </row>
    <row r="3502" spans="19:19" ht="26.25">
      <c r="S3502" s="61" ph="1"/>
    </row>
    <row r="3503" spans="19:19" ht="26.25">
      <c r="S3503" s="61" ph="1"/>
    </row>
    <row r="3504" spans="19:19" ht="26.25">
      <c r="S3504" s="61" ph="1"/>
    </row>
    <row r="3505" spans="19:19" ht="26.25">
      <c r="S3505" s="61" ph="1"/>
    </row>
    <row r="3506" spans="19:19" ht="26.25">
      <c r="S3506" s="61" ph="1"/>
    </row>
    <row r="3507" spans="19:19" ht="26.25">
      <c r="S3507" s="61" ph="1"/>
    </row>
    <row r="3508" spans="19:19" ht="26.25">
      <c r="S3508" s="61" ph="1"/>
    </row>
    <row r="3509" spans="19:19" ht="26.25">
      <c r="S3509" s="61" ph="1"/>
    </row>
    <row r="3510" spans="19:19" ht="26.25">
      <c r="S3510" s="61" ph="1"/>
    </row>
    <row r="3511" spans="19:19" ht="26.25">
      <c r="S3511" s="61" ph="1"/>
    </row>
    <row r="3512" spans="19:19" ht="26.25">
      <c r="S3512" s="61" ph="1"/>
    </row>
    <row r="3513" spans="19:19" ht="26.25">
      <c r="S3513" s="61" ph="1"/>
    </row>
    <row r="3514" spans="19:19" ht="26.25">
      <c r="S3514" s="61" ph="1"/>
    </row>
    <row r="3515" spans="19:19" ht="26.25">
      <c r="S3515" s="61" ph="1"/>
    </row>
    <row r="3516" spans="19:19" ht="26.25">
      <c r="S3516" s="61" ph="1"/>
    </row>
    <row r="3517" spans="19:19" ht="26.25">
      <c r="S3517" s="61" ph="1"/>
    </row>
    <row r="3518" spans="19:19" ht="26.25">
      <c r="S3518" s="61" ph="1"/>
    </row>
    <row r="3519" spans="19:19" ht="26.25">
      <c r="S3519" s="61" ph="1"/>
    </row>
    <row r="3520" spans="19:19" ht="26.25">
      <c r="S3520" s="61" ph="1"/>
    </row>
    <row r="3521" spans="19:19" ht="26.25">
      <c r="S3521" s="61" ph="1"/>
    </row>
    <row r="3522" spans="19:19" ht="26.25">
      <c r="S3522" s="61" ph="1"/>
    </row>
    <row r="3523" spans="19:19" ht="26.25">
      <c r="S3523" s="61" ph="1"/>
    </row>
    <row r="3524" spans="19:19" ht="26.25">
      <c r="S3524" s="61" ph="1"/>
    </row>
    <row r="3525" spans="19:19" ht="26.25">
      <c r="S3525" s="61" ph="1"/>
    </row>
    <row r="3526" spans="19:19" ht="26.25">
      <c r="S3526" s="61" ph="1"/>
    </row>
    <row r="3527" spans="19:19" ht="26.25">
      <c r="S3527" s="61" ph="1"/>
    </row>
    <row r="3528" spans="19:19" ht="26.25">
      <c r="S3528" s="61" ph="1"/>
    </row>
    <row r="3529" spans="19:19" ht="26.25">
      <c r="S3529" s="61" ph="1"/>
    </row>
    <row r="3530" spans="19:19" ht="26.25">
      <c r="S3530" s="61" ph="1"/>
    </row>
    <row r="3531" spans="19:19" ht="26.25">
      <c r="S3531" s="61" ph="1"/>
    </row>
    <row r="3532" spans="19:19" ht="26.25">
      <c r="S3532" s="61" ph="1"/>
    </row>
    <row r="3533" spans="19:19" ht="26.25">
      <c r="S3533" s="61" ph="1"/>
    </row>
    <row r="3534" spans="19:19" ht="26.25">
      <c r="S3534" s="61" ph="1"/>
    </row>
    <row r="3535" spans="19:19" ht="26.25">
      <c r="S3535" s="61" ph="1"/>
    </row>
    <row r="3536" spans="19:19" ht="26.25">
      <c r="S3536" s="61" ph="1"/>
    </row>
    <row r="3537" spans="19:19" ht="26.25">
      <c r="S3537" s="61" ph="1"/>
    </row>
    <row r="3538" spans="19:19" ht="26.25">
      <c r="S3538" s="61" ph="1"/>
    </row>
    <row r="3539" spans="19:19" ht="26.25">
      <c r="S3539" s="61" ph="1"/>
    </row>
    <row r="3540" spans="19:19" ht="26.25">
      <c r="S3540" s="61" ph="1"/>
    </row>
    <row r="3541" spans="19:19" ht="26.25">
      <c r="S3541" s="61" ph="1"/>
    </row>
    <row r="3542" spans="19:19" ht="26.25">
      <c r="S3542" s="61" ph="1"/>
    </row>
    <row r="3543" spans="19:19" ht="26.25">
      <c r="S3543" s="61" ph="1"/>
    </row>
    <row r="3544" spans="19:19" ht="26.25">
      <c r="S3544" s="61" ph="1"/>
    </row>
    <row r="3545" spans="19:19" ht="26.25">
      <c r="S3545" s="61" ph="1"/>
    </row>
    <row r="3546" spans="19:19" ht="26.25">
      <c r="S3546" s="61" ph="1"/>
    </row>
    <row r="3547" spans="19:19" ht="26.25">
      <c r="S3547" s="61" ph="1"/>
    </row>
    <row r="3548" spans="19:19" ht="26.25">
      <c r="S3548" s="61" ph="1"/>
    </row>
    <row r="3549" spans="19:19" ht="26.25">
      <c r="S3549" s="61" ph="1"/>
    </row>
    <row r="3550" spans="19:19" ht="26.25">
      <c r="S3550" s="61" ph="1"/>
    </row>
    <row r="3551" spans="19:19" ht="26.25">
      <c r="S3551" s="61" ph="1"/>
    </row>
    <row r="3552" spans="19:19" ht="26.25">
      <c r="S3552" s="61" ph="1"/>
    </row>
    <row r="3553" spans="19:19" ht="26.25">
      <c r="S3553" s="61" ph="1"/>
    </row>
    <row r="3554" spans="19:19" ht="26.25">
      <c r="S3554" s="61" ph="1"/>
    </row>
    <row r="3555" spans="19:19" ht="26.25">
      <c r="S3555" s="61" ph="1"/>
    </row>
    <row r="3556" spans="19:19" ht="26.25">
      <c r="S3556" s="61" ph="1"/>
    </row>
    <row r="3557" spans="19:19" ht="26.25">
      <c r="S3557" s="61" ph="1"/>
    </row>
    <row r="3558" spans="19:19" ht="26.25">
      <c r="S3558" s="61" ph="1"/>
    </row>
    <row r="3559" spans="19:19" ht="26.25">
      <c r="S3559" s="61" ph="1"/>
    </row>
    <row r="3560" spans="19:19" ht="26.25">
      <c r="S3560" s="61" ph="1"/>
    </row>
    <row r="3561" spans="19:19" ht="26.25">
      <c r="S3561" s="61" ph="1"/>
    </row>
    <row r="3562" spans="19:19" ht="26.25">
      <c r="S3562" s="61" ph="1"/>
    </row>
    <row r="3563" spans="19:19" ht="26.25">
      <c r="S3563" s="61" ph="1"/>
    </row>
    <row r="3564" spans="19:19" ht="26.25">
      <c r="S3564" s="61" ph="1"/>
    </row>
    <row r="3565" spans="19:19" ht="26.25">
      <c r="S3565" s="61" ph="1"/>
    </row>
    <row r="3566" spans="19:19" ht="26.25">
      <c r="S3566" s="61" ph="1"/>
    </row>
    <row r="3567" spans="19:19" ht="26.25">
      <c r="S3567" s="61" ph="1"/>
    </row>
    <row r="3568" spans="19:19" ht="26.25">
      <c r="S3568" s="61" ph="1"/>
    </row>
    <row r="3569" spans="19:19" ht="26.25">
      <c r="S3569" s="61" ph="1"/>
    </row>
    <row r="3570" spans="19:19" ht="26.25">
      <c r="S3570" s="61" ph="1"/>
    </row>
    <row r="3571" spans="19:19" ht="26.25">
      <c r="S3571" s="61" ph="1"/>
    </row>
    <row r="3572" spans="19:19" ht="26.25">
      <c r="S3572" s="61" ph="1"/>
    </row>
    <row r="3573" spans="19:19" ht="26.25">
      <c r="S3573" s="61" ph="1"/>
    </row>
    <row r="3574" spans="19:19" ht="26.25">
      <c r="S3574" s="61" ph="1"/>
    </row>
    <row r="3575" spans="19:19" ht="26.25">
      <c r="S3575" s="61" ph="1"/>
    </row>
    <row r="3576" spans="19:19" ht="26.25">
      <c r="S3576" s="61" ph="1"/>
    </row>
    <row r="3577" spans="19:19" ht="26.25">
      <c r="S3577" s="61" ph="1"/>
    </row>
    <row r="3578" spans="19:19" ht="26.25">
      <c r="S3578" s="61" ph="1"/>
    </row>
    <row r="3579" spans="19:19" ht="26.25">
      <c r="S3579" s="61" ph="1"/>
    </row>
    <row r="3580" spans="19:19" ht="26.25">
      <c r="S3580" s="61" ph="1"/>
    </row>
    <row r="3581" spans="19:19" ht="26.25">
      <c r="S3581" s="61" ph="1"/>
    </row>
    <row r="3582" spans="19:19" ht="26.25">
      <c r="S3582" s="61" ph="1"/>
    </row>
    <row r="3583" spans="19:19" ht="26.25">
      <c r="S3583" s="61" ph="1"/>
    </row>
    <row r="3584" spans="19:19" ht="26.25">
      <c r="S3584" s="61" ph="1"/>
    </row>
    <row r="3585" spans="19:19" ht="26.25">
      <c r="S3585" s="61" ph="1"/>
    </row>
    <row r="3586" spans="19:19" ht="26.25">
      <c r="S3586" s="61" ph="1"/>
    </row>
    <row r="3587" spans="19:19" ht="26.25">
      <c r="S3587" s="61" ph="1"/>
    </row>
    <row r="3588" spans="19:19" ht="26.25">
      <c r="S3588" s="61" ph="1"/>
    </row>
    <row r="3589" spans="19:19" ht="26.25">
      <c r="S3589" s="61" ph="1"/>
    </row>
    <row r="3590" spans="19:19" ht="26.25">
      <c r="S3590" s="61" ph="1"/>
    </row>
    <row r="3591" spans="19:19" ht="26.25">
      <c r="S3591" s="61" ph="1"/>
    </row>
    <row r="3592" spans="19:19" ht="26.25">
      <c r="S3592" s="61" ph="1"/>
    </row>
    <row r="3593" spans="19:19" ht="26.25">
      <c r="S3593" s="61" ph="1"/>
    </row>
    <row r="3594" spans="19:19" ht="26.25">
      <c r="S3594" s="61" ph="1"/>
    </row>
    <row r="3595" spans="19:19" ht="26.25">
      <c r="S3595" s="61" ph="1"/>
    </row>
    <row r="3596" spans="19:19" ht="26.25">
      <c r="S3596" s="61" ph="1"/>
    </row>
    <row r="3597" spans="19:19" ht="26.25">
      <c r="S3597" s="61" ph="1"/>
    </row>
    <row r="3598" spans="19:19" ht="26.25">
      <c r="S3598" s="61" ph="1"/>
    </row>
    <row r="3599" spans="19:19" ht="26.25">
      <c r="S3599" s="61" ph="1"/>
    </row>
    <row r="3600" spans="19:19" ht="26.25">
      <c r="S3600" s="61" ph="1"/>
    </row>
    <row r="3601" spans="19:19" ht="26.25">
      <c r="S3601" s="61" ph="1"/>
    </row>
    <row r="3602" spans="19:19" ht="26.25">
      <c r="S3602" s="61" ph="1"/>
    </row>
    <row r="3603" spans="19:19" ht="26.25">
      <c r="S3603" s="61" ph="1"/>
    </row>
    <row r="3604" spans="19:19" ht="26.25">
      <c r="S3604" s="61" ph="1"/>
    </row>
    <row r="3605" spans="19:19" ht="26.25">
      <c r="S3605" s="61" ph="1"/>
    </row>
    <row r="3606" spans="19:19" ht="26.25">
      <c r="S3606" s="61" ph="1"/>
    </row>
    <row r="3607" spans="19:19" ht="26.25">
      <c r="S3607" s="61" ph="1"/>
    </row>
    <row r="3608" spans="19:19" ht="26.25">
      <c r="S3608" s="61" ph="1"/>
    </row>
    <row r="3609" spans="19:19" ht="26.25">
      <c r="S3609" s="61" ph="1"/>
    </row>
    <row r="3610" spans="19:19" ht="26.25">
      <c r="S3610" s="61" ph="1"/>
    </row>
    <row r="3611" spans="19:19" ht="26.25">
      <c r="S3611" s="61" ph="1"/>
    </row>
    <row r="3612" spans="19:19" ht="26.25">
      <c r="S3612" s="61" ph="1"/>
    </row>
    <row r="3613" spans="19:19" ht="26.25">
      <c r="S3613" s="61" ph="1"/>
    </row>
    <row r="3614" spans="19:19" ht="26.25">
      <c r="S3614" s="61" ph="1"/>
    </row>
    <row r="3615" spans="19:19" ht="26.25">
      <c r="S3615" s="61" ph="1"/>
    </row>
    <row r="3616" spans="19:19" ht="26.25">
      <c r="S3616" s="61" ph="1"/>
    </row>
    <row r="3617" spans="19:19" ht="26.25">
      <c r="S3617" s="61" ph="1"/>
    </row>
    <row r="3618" spans="19:19" ht="26.25">
      <c r="S3618" s="61" ph="1"/>
    </row>
    <row r="3619" spans="19:19" ht="26.25">
      <c r="S3619" s="61" ph="1"/>
    </row>
    <row r="3620" spans="19:19" ht="26.25">
      <c r="S3620" s="61" ph="1"/>
    </row>
    <row r="3621" spans="19:19" ht="26.25">
      <c r="S3621" s="61" ph="1"/>
    </row>
    <row r="3622" spans="19:19" ht="26.25">
      <c r="S3622" s="61" ph="1"/>
    </row>
    <row r="3623" spans="19:19" ht="26.25">
      <c r="S3623" s="61" ph="1"/>
    </row>
    <row r="3624" spans="19:19" ht="26.25">
      <c r="S3624" s="61" ph="1"/>
    </row>
    <row r="3625" spans="19:19" ht="26.25">
      <c r="S3625" s="61" ph="1"/>
    </row>
    <row r="3626" spans="19:19" ht="26.25">
      <c r="S3626" s="61" ph="1"/>
    </row>
    <row r="3627" spans="19:19" ht="26.25">
      <c r="S3627" s="61" ph="1"/>
    </row>
    <row r="3628" spans="19:19" ht="26.25">
      <c r="S3628" s="61" ph="1"/>
    </row>
    <row r="3629" spans="19:19" ht="26.25">
      <c r="S3629" s="61" ph="1"/>
    </row>
    <row r="3630" spans="19:19" ht="26.25">
      <c r="S3630" s="61" ph="1"/>
    </row>
    <row r="3631" spans="19:19" ht="26.25">
      <c r="S3631" s="61" ph="1"/>
    </row>
    <row r="3632" spans="19:19" ht="26.25">
      <c r="S3632" s="61" ph="1"/>
    </row>
    <row r="3633" spans="19:19" ht="26.25">
      <c r="S3633" s="61" ph="1"/>
    </row>
    <row r="3634" spans="19:19" ht="26.25">
      <c r="S3634" s="61" ph="1"/>
    </row>
    <row r="3635" spans="19:19" ht="26.25">
      <c r="S3635" s="61" ph="1"/>
    </row>
    <row r="3636" spans="19:19" ht="26.25">
      <c r="S3636" s="61" ph="1"/>
    </row>
    <row r="3637" spans="19:19" ht="26.25">
      <c r="S3637" s="61" ph="1"/>
    </row>
    <row r="3638" spans="19:19" ht="26.25">
      <c r="S3638" s="61" ph="1"/>
    </row>
    <row r="3639" spans="19:19" ht="26.25">
      <c r="S3639" s="61" ph="1"/>
    </row>
    <row r="3640" spans="19:19" ht="26.25">
      <c r="S3640" s="61" ph="1"/>
    </row>
    <row r="3641" spans="19:19" ht="26.25">
      <c r="S3641" s="61" ph="1"/>
    </row>
    <row r="3642" spans="19:19" ht="26.25">
      <c r="S3642" s="61" ph="1"/>
    </row>
    <row r="3643" spans="19:19" ht="26.25">
      <c r="S3643" s="61" ph="1"/>
    </row>
    <row r="3644" spans="19:19" ht="26.25">
      <c r="S3644" s="61" ph="1"/>
    </row>
    <row r="3645" spans="19:19" ht="26.25">
      <c r="S3645" s="61" ph="1"/>
    </row>
    <row r="3646" spans="19:19" ht="26.25">
      <c r="S3646" s="61" ph="1"/>
    </row>
    <row r="3647" spans="19:19" ht="26.25">
      <c r="S3647" s="61" ph="1"/>
    </row>
    <row r="3648" spans="19:19" ht="26.25">
      <c r="S3648" s="61" ph="1"/>
    </row>
    <row r="3649" spans="19:19" ht="26.25">
      <c r="S3649" s="61" ph="1"/>
    </row>
    <row r="3650" spans="19:19" ht="26.25">
      <c r="S3650" s="61" ph="1"/>
    </row>
    <row r="3651" spans="19:19" ht="26.25">
      <c r="S3651" s="61" ph="1"/>
    </row>
    <row r="3652" spans="19:19" ht="26.25">
      <c r="S3652" s="61" ph="1"/>
    </row>
    <row r="3653" spans="19:19" ht="26.25">
      <c r="S3653" s="61" ph="1"/>
    </row>
    <row r="3654" spans="19:19" ht="26.25">
      <c r="S3654" s="61" ph="1"/>
    </row>
    <row r="3655" spans="19:19" ht="26.25">
      <c r="S3655" s="61" ph="1"/>
    </row>
    <row r="3656" spans="19:19" ht="26.25">
      <c r="S3656" s="61" ph="1"/>
    </row>
    <row r="3657" spans="19:19" ht="26.25">
      <c r="S3657" s="61" ph="1"/>
    </row>
    <row r="3658" spans="19:19" ht="26.25">
      <c r="S3658" s="61" ph="1"/>
    </row>
    <row r="3659" spans="19:19" ht="26.25">
      <c r="S3659" s="61" ph="1"/>
    </row>
    <row r="3660" spans="19:19" ht="26.25">
      <c r="S3660" s="61" ph="1"/>
    </row>
    <row r="3661" spans="19:19" ht="26.25">
      <c r="S3661" s="61" ph="1"/>
    </row>
    <row r="3662" spans="19:19" ht="26.25">
      <c r="S3662" s="61" ph="1"/>
    </row>
    <row r="3663" spans="19:19" ht="26.25">
      <c r="S3663" s="61" ph="1"/>
    </row>
    <row r="3664" spans="19:19" ht="26.25">
      <c r="S3664" s="61" ph="1"/>
    </row>
    <row r="3665" spans="19:19" ht="26.25">
      <c r="S3665" s="61" ph="1"/>
    </row>
    <row r="3666" spans="19:19" ht="26.25">
      <c r="S3666" s="61" ph="1"/>
    </row>
    <row r="3667" spans="19:19" ht="26.25">
      <c r="S3667" s="61" ph="1"/>
    </row>
    <row r="3668" spans="19:19" ht="26.25">
      <c r="S3668" s="61" ph="1"/>
    </row>
    <row r="3669" spans="19:19" ht="26.25">
      <c r="S3669" s="61" ph="1"/>
    </row>
    <row r="3670" spans="19:19" ht="26.25">
      <c r="S3670" s="61" ph="1"/>
    </row>
    <row r="3671" spans="19:19" ht="26.25">
      <c r="S3671" s="61" ph="1"/>
    </row>
    <row r="3672" spans="19:19" ht="26.25">
      <c r="S3672" s="61" ph="1"/>
    </row>
    <row r="3673" spans="19:19" ht="26.25">
      <c r="S3673" s="61" ph="1"/>
    </row>
    <row r="3674" spans="19:19" ht="26.25">
      <c r="S3674" s="61" ph="1"/>
    </row>
    <row r="3675" spans="19:19" ht="26.25">
      <c r="S3675" s="61" ph="1"/>
    </row>
    <row r="3676" spans="19:19" ht="26.25">
      <c r="S3676" s="61" ph="1"/>
    </row>
    <row r="3677" spans="19:19" ht="26.25">
      <c r="S3677" s="61" ph="1"/>
    </row>
    <row r="3678" spans="19:19" ht="26.25">
      <c r="S3678" s="61" ph="1"/>
    </row>
    <row r="3679" spans="19:19" ht="26.25">
      <c r="S3679" s="61" ph="1"/>
    </row>
    <row r="3680" spans="19:19" ht="26.25">
      <c r="S3680" s="61" ph="1"/>
    </row>
    <row r="3681" spans="19:19" ht="26.25">
      <c r="S3681" s="61" ph="1"/>
    </row>
    <row r="3682" spans="19:19" ht="26.25">
      <c r="S3682" s="61" ph="1"/>
    </row>
    <row r="3683" spans="19:19" ht="26.25">
      <c r="S3683" s="61" ph="1"/>
    </row>
    <row r="3684" spans="19:19" ht="26.25">
      <c r="S3684" s="61" ph="1"/>
    </row>
    <row r="3685" spans="19:19" ht="26.25">
      <c r="S3685" s="61" ph="1"/>
    </row>
    <row r="3686" spans="19:19" ht="26.25">
      <c r="S3686" s="61" ph="1"/>
    </row>
    <row r="3687" spans="19:19" ht="26.25">
      <c r="S3687" s="61" ph="1"/>
    </row>
    <row r="3688" spans="19:19" ht="26.25">
      <c r="S3688" s="61" ph="1"/>
    </row>
    <row r="3689" spans="19:19" ht="26.25">
      <c r="S3689" s="61" ph="1"/>
    </row>
    <row r="3690" spans="19:19" ht="26.25">
      <c r="S3690" s="61" ph="1"/>
    </row>
    <row r="3691" spans="19:19" ht="26.25">
      <c r="S3691" s="61" ph="1"/>
    </row>
    <row r="3692" spans="19:19" ht="26.25">
      <c r="S3692" s="61" ph="1"/>
    </row>
    <row r="3693" spans="19:19" ht="26.25">
      <c r="S3693" s="61" ph="1"/>
    </row>
    <row r="3694" spans="19:19" ht="26.25">
      <c r="S3694" s="61" ph="1"/>
    </row>
    <row r="3695" spans="19:19" ht="26.25">
      <c r="S3695" s="61" ph="1"/>
    </row>
    <row r="3696" spans="19:19" ht="26.25">
      <c r="S3696" s="61" ph="1"/>
    </row>
    <row r="3697" spans="19:19" ht="26.25">
      <c r="S3697" s="61" ph="1"/>
    </row>
    <row r="3698" spans="19:19" ht="26.25">
      <c r="S3698" s="61" ph="1"/>
    </row>
    <row r="3699" spans="19:19" ht="26.25">
      <c r="S3699" s="61" ph="1"/>
    </row>
    <row r="3700" spans="19:19" ht="26.25">
      <c r="S3700" s="61" ph="1"/>
    </row>
    <row r="3701" spans="19:19" ht="26.25">
      <c r="S3701" s="61" ph="1"/>
    </row>
    <row r="3702" spans="19:19" ht="26.25">
      <c r="S3702" s="61" ph="1"/>
    </row>
    <row r="3703" spans="19:19" ht="26.25">
      <c r="S3703" s="61" ph="1"/>
    </row>
    <row r="3704" spans="19:19" ht="26.25">
      <c r="S3704" s="61" ph="1"/>
    </row>
    <row r="3705" spans="19:19" ht="26.25">
      <c r="S3705" s="61" ph="1"/>
    </row>
    <row r="3706" spans="19:19" ht="26.25">
      <c r="S3706" s="61" ph="1"/>
    </row>
    <row r="3707" spans="19:19" ht="26.25">
      <c r="S3707" s="61" ph="1"/>
    </row>
    <row r="3708" spans="19:19" ht="26.25">
      <c r="S3708" s="61" ph="1"/>
    </row>
    <row r="3709" spans="19:19" ht="26.25">
      <c r="S3709" s="61" ph="1"/>
    </row>
    <row r="3710" spans="19:19" ht="26.25">
      <c r="S3710" s="61" ph="1"/>
    </row>
    <row r="3711" spans="19:19" ht="26.25">
      <c r="S3711" s="61" ph="1"/>
    </row>
    <row r="3712" spans="19:19" ht="26.25">
      <c r="S3712" s="61" ph="1"/>
    </row>
    <row r="3713" spans="19:19" ht="26.25">
      <c r="S3713" s="61" ph="1"/>
    </row>
    <row r="3714" spans="19:19" ht="26.25">
      <c r="S3714" s="61" ph="1"/>
    </row>
    <row r="3715" spans="19:19" ht="26.25">
      <c r="S3715" s="61" ph="1"/>
    </row>
    <row r="3716" spans="19:19" ht="26.25">
      <c r="S3716" s="61" ph="1"/>
    </row>
    <row r="3717" spans="19:19" ht="26.25">
      <c r="S3717" s="61" ph="1"/>
    </row>
    <row r="3718" spans="19:19" ht="26.25">
      <c r="S3718" s="61" ph="1"/>
    </row>
    <row r="3719" spans="19:19" ht="26.25">
      <c r="S3719" s="61" ph="1"/>
    </row>
    <row r="3720" spans="19:19" ht="26.25">
      <c r="S3720" s="61" ph="1"/>
    </row>
    <row r="3721" spans="19:19" ht="26.25">
      <c r="S3721" s="61" ph="1"/>
    </row>
    <row r="3722" spans="19:19" ht="26.25">
      <c r="S3722" s="61" ph="1"/>
    </row>
    <row r="3723" spans="19:19" ht="26.25">
      <c r="S3723" s="61" ph="1"/>
    </row>
    <row r="3724" spans="19:19" ht="26.25">
      <c r="S3724" s="61" ph="1"/>
    </row>
    <row r="3725" spans="19:19" ht="26.25">
      <c r="S3725" s="61" ph="1"/>
    </row>
    <row r="3726" spans="19:19" ht="26.25">
      <c r="S3726" s="61" ph="1"/>
    </row>
    <row r="3727" spans="19:19" ht="26.25">
      <c r="S3727" s="61" ph="1"/>
    </row>
    <row r="3728" spans="19:19" ht="26.25">
      <c r="S3728" s="61" ph="1"/>
    </row>
    <row r="3729" spans="19:19" ht="26.25">
      <c r="S3729" s="61" ph="1"/>
    </row>
    <row r="3730" spans="19:19" ht="26.25">
      <c r="S3730" s="61" ph="1"/>
    </row>
    <row r="3731" spans="19:19" ht="26.25">
      <c r="S3731" s="61" ph="1"/>
    </row>
    <row r="3732" spans="19:19" ht="26.25">
      <c r="S3732" s="61" ph="1"/>
    </row>
    <row r="3733" spans="19:19" ht="26.25">
      <c r="S3733" s="61" ph="1"/>
    </row>
    <row r="3734" spans="19:19" ht="26.25">
      <c r="S3734" s="61" ph="1"/>
    </row>
    <row r="3735" spans="19:19" ht="26.25">
      <c r="S3735" s="61" ph="1"/>
    </row>
    <row r="3736" spans="19:19" ht="26.25">
      <c r="S3736" s="61" ph="1"/>
    </row>
    <row r="3737" spans="19:19" ht="26.25">
      <c r="S3737" s="61" ph="1"/>
    </row>
    <row r="3738" spans="19:19" ht="26.25">
      <c r="S3738" s="61" ph="1"/>
    </row>
    <row r="3739" spans="19:19" ht="26.25">
      <c r="S3739" s="61" ph="1"/>
    </row>
    <row r="3740" spans="19:19" ht="26.25">
      <c r="S3740" s="61" ph="1"/>
    </row>
    <row r="3741" spans="19:19" ht="26.25">
      <c r="S3741" s="61" ph="1"/>
    </row>
    <row r="3742" spans="19:19" ht="26.25">
      <c r="S3742" s="61" ph="1"/>
    </row>
    <row r="3743" spans="19:19" ht="26.25">
      <c r="S3743" s="61" ph="1"/>
    </row>
    <row r="3744" spans="19:19" ht="26.25">
      <c r="S3744" s="61" ph="1"/>
    </row>
    <row r="3745" spans="19:19" ht="26.25">
      <c r="S3745" s="61" ph="1"/>
    </row>
    <row r="3746" spans="19:19" ht="26.25">
      <c r="S3746" s="61" ph="1"/>
    </row>
    <row r="3747" spans="19:19" ht="26.25">
      <c r="S3747" s="61" ph="1"/>
    </row>
    <row r="3748" spans="19:19" ht="26.25">
      <c r="S3748" s="61" ph="1"/>
    </row>
    <row r="3749" spans="19:19" ht="26.25">
      <c r="S3749" s="61" ph="1"/>
    </row>
    <row r="3750" spans="19:19" ht="26.25">
      <c r="S3750" s="61" ph="1"/>
    </row>
    <row r="3751" spans="19:19" ht="26.25">
      <c r="S3751" s="61" ph="1"/>
    </row>
    <row r="3752" spans="19:19" ht="26.25">
      <c r="S3752" s="61" ph="1"/>
    </row>
    <row r="3753" spans="19:19" ht="26.25">
      <c r="S3753" s="61" ph="1"/>
    </row>
    <row r="3754" spans="19:19" ht="26.25">
      <c r="S3754" s="61" ph="1"/>
    </row>
    <row r="3755" spans="19:19" ht="26.25">
      <c r="S3755" s="61" ph="1"/>
    </row>
    <row r="3756" spans="19:19" ht="26.25">
      <c r="S3756" s="61" ph="1"/>
    </row>
    <row r="3757" spans="19:19" ht="26.25">
      <c r="S3757" s="61" ph="1"/>
    </row>
    <row r="3758" spans="19:19" ht="26.25">
      <c r="S3758" s="61" ph="1"/>
    </row>
    <row r="3759" spans="19:19" ht="26.25">
      <c r="S3759" s="61" ph="1"/>
    </row>
    <row r="3760" spans="19:19" ht="26.25">
      <c r="S3760" s="61" ph="1"/>
    </row>
    <row r="3761" spans="19:19" ht="26.25">
      <c r="S3761" s="61" ph="1"/>
    </row>
    <row r="3762" spans="19:19" ht="26.25">
      <c r="S3762" s="61" ph="1"/>
    </row>
    <row r="3763" spans="19:19" ht="26.25">
      <c r="S3763" s="61" ph="1"/>
    </row>
    <row r="3764" spans="19:19" ht="26.25">
      <c r="S3764" s="61" ph="1"/>
    </row>
    <row r="3765" spans="19:19" ht="26.25">
      <c r="S3765" s="61" ph="1"/>
    </row>
    <row r="3766" spans="19:19" ht="26.25">
      <c r="S3766" s="61" ph="1"/>
    </row>
    <row r="3767" spans="19:19" ht="26.25">
      <c r="S3767" s="61" ph="1"/>
    </row>
    <row r="3768" spans="19:19" ht="26.25">
      <c r="S3768" s="61" ph="1"/>
    </row>
    <row r="3769" spans="19:19" ht="26.25">
      <c r="S3769" s="61" ph="1"/>
    </row>
    <row r="3770" spans="19:19" ht="26.25">
      <c r="S3770" s="61" ph="1"/>
    </row>
    <row r="3771" spans="19:19" ht="26.25">
      <c r="S3771" s="61" ph="1"/>
    </row>
    <row r="3772" spans="19:19" ht="26.25">
      <c r="S3772" s="61" ph="1"/>
    </row>
    <row r="3773" spans="19:19" ht="26.25">
      <c r="S3773" s="61" ph="1"/>
    </row>
    <row r="3774" spans="19:19" ht="26.25">
      <c r="S3774" s="61" ph="1"/>
    </row>
    <row r="3775" spans="19:19" ht="26.25">
      <c r="S3775" s="61" ph="1"/>
    </row>
    <row r="3776" spans="19:19" ht="26.25">
      <c r="S3776" s="61" ph="1"/>
    </row>
    <row r="3777" spans="19:19" ht="26.25">
      <c r="S3777" s="61" ph="1"/>
    </row>
    <row r="3778" spans="19:19" ht="26.25">
      <c r="S3778" s="61" ph="1"/>
    </row>
    <row r="3779" spans="19:19" ht="26.25">
      <c r="S3779" s="61" ph="1"/>
    </row>
    <row r="3780" spans="19:19" ht="26.25">
      <c r="S3780" s="61" ph="1"/>
    </row>
    <row r="3781" spans="19:19" ht="26.25">
      <c r="S3781" s="61" ph="1"/>
    </row>
    <row r="3782" spans="19:19" ht="26.25">
      <c r="S3782" s="61" ph="1"/>
    </row>
    <row r="3783" spans="19:19" ht="26.25">
      <c r="S3783" s="61" ph="1"/>
    </row>
    <row r="3784" spans="19:19" ht="26.25">
      <c r="S3784" s="61" ph="1"/>
    </row>
    <row r="3785" spans="19:19" ht="26.25">
      <c r="S3785" s="61" ph="1"/>
    </row>
    <row r="3786" spans="19:19" ht="26.25">
      <c r="S3786" s="61" ph="1"/>
    </row>
    <row r="3787" spans="19:19" ht="26.25">
      <c r="S3787" s="61" ph="1"/>
    </row>
    <row r="3788" spans="19:19" ht="26.25">
      <c r="S3788" s="61" ph="1"/>
    </row>
    <row r="3789" spans="19:19" ht="26.25">
      <c r="S3789" s="61" ph="1"/>
    </row>
    <row r="3790" spans="19:19" ht="26.25">
      <c r="S3790" s="61" ph="1"/>
    </row>
    <row r="3791" spans="19:19" ht="26.25">
      <c r="S3791" s="61" ph="1"/>
    </row>
    <row r="3792" spans="19:19" ht="26.25">
      <c r="S3792" s="61" ph="1"/>
    </row>
    <row r="3793" spans="19:19" ht="26.25">
      <c r="S3793" s="61" ph="1"/>
    </row>
    <row r="3794" spans="19:19" ht="26.25">
      <c r="S3794" s="61" ph="1"/>
    </row>
    <row r="3795" spans="19:19" ht="26.25">
      <c r="S3795" s="61" ph="1"/>
    </row>
    <row r="3796" spans="19:19" ht="26.25">
      <c r="S3796" s="61" ph="1"/>
    </row>
    <row r="3797" spans="19:19" ht="26.25">
      <c r="S3797" s="61" ph="1"/>
    </row>
    <row r="3798" spans="19:19" ht="26.25">
      <c r="S3798" s="61" ph="1"/>
    </row>
    <row r="3799" spans="19:19" ht="26.25">
      <c r="S3799" s="61" ph="1"/>
    </row>
    <row r="3800" spans="19:19" ht="26.25">
      <c r="S3800" s="61" ph="1"/>
    </row>
    <row r="3801" spans="19:19" ht="26.25">
      <c r="S3801" s="61" ph="1"/>
    </row>
    <row r="3802" spans="19:19" ht="26.25">
      <c r="S3802" s="61" ph="1"/>
    </row>
    <row r="3803" spans="19:19" ht="26.25">
      <c r="S3803" s="61" ph="1"/>
    </row>
    <row r="3804" spans="19:19" ht="26.25">
      <c r="S3804" s="61" ph="1"/>
    </row>
    <row r="3805" spans="19:19" ht="26.25">
      <c r="S3805" s="61" ph="1"/>
    </row>
    <row r="3806" spans="19:19" ht="26.25">
      <c r="S3806" s="61" ph="1"/>
    </row>
    <row r="3807" spans="19:19" ht="26.25">
      <c r="S3807" s="61" ph="1"/>
    </row>
    <row r="3808" spans="19:19" ht="26.25">
      <c r="S3808" s="61" ph="1"/>
    </row>
    <row r="3809" spans="19:19" ht="26.25">
      <c r="S3809" s="61" ph="1"/>
    </row>
    <row r="3810" spans="19:19" ht="26.25">
      <c r="S3810" s="61" ph="1"/>
    </row>
    <row r="3811" spans="19:19" ht="26.25">
      <c r="S3811" s="61" ph="1"/>
    </row>
    <row r="3812" spans="19:19" ht="26.25">
      <c r="S3812" s="61" ph="1"/>
    </row>
    <row r="3813" spans="19:19" ht="26.25">
      <c r="S3813" s="61" ph="1"/>
    </row>
    <row r="3814" spans="19:19" ht="26.25">
      <c r="S3814" s="61" ph="1"/>
    </row>
    <row r="3815" spans="19:19" ht="26.25">
      <c r="S3815" s="61" ph="1"/>
    </row>
    <row r="3816" spans="19:19" ht="26.25">
      <c r="S3816" s="61" ph="1"/>
    </row>
    <row r="3817" spans="19:19" ht="26.25">
      <c r="S3817" s="61" ph="1"/>
    </row>
    <row r="3818" spans="19:19" ht="26.25">
      <c r="S3818" s="61" ph="1"/>
    </row>
    <row r="3819" spans="19:19" ht="26.25">
      <c r="S3819" s="61" ph="1"/>
    </row>
    <row r="3820" spans="19:19" ht="26.25">
      <c r="S3820" s="61" ph="1"/>
    </row>
    <row r="3821" spans="19:19" ht="26.25">
      <c r="S3821" s="61" ph="1"/>
    </row>
    <row r="3822" spans="19:19" ht="26.25">
      <c r="S3822" s="61" ph="1"/>
    </row>
    <row r="3823" spans="19:19" ht="26.25">
      <c r="S3823" s="61" ph="1"/>
    </row>
    <row r="3824" spans="19:19" ht="26.25">
      <c r="S3824" s="61" ph="1"/>
    </row>
    <row r="3825" spans="19:19" ht="26.25">
      <c r="S3825" s="61" ph="1"/>
    </row>
    <row r="3826" spans="19:19" ht="26.25">
      <c r="S3826" s="61" ph="1"/>
    </row>
    <row r="3827" spans="19:19" ht="26.25">
      <c r="S3827" s="61" ph="1"/>
    </row>
    <row r="3828" spans="19:19" ht="26.25">
      <c r="S3828" s="61" ph="1"/>
    </row>
    <row r="3829" spans="19:19" ht="26.25">
      <c r="S3829" s="61" ph="1"/>
    </row>
    <row r="3830" spans="19:19" ht="26.25">
      <c r="S3830" s="61" ph="1"/>
    </row>
    <row r="3831" spans="19:19" ht="26.25">
      <c r="S3831" s="61" ph="1"/>
    </row>
    <row r="3832" spans="19:19" ht="26.25">
      <c r="S3832" s="61" ph="1"/>
    </row>
    <row r="3833" spans="19:19" ht="26.25">
      <c r="S3833" s="61" ph="1"/>
    </row>
    <row r="3834" spans="19:19" ht="26.25">
      <c r="S3834" s="61" ph="1"/>
    </row>
    <row r="3835" spans="19:19" ht="26.25">
      <c r="S3835" s="61" ph="1"/>
    </row>
    <row r="3836" spans="19:19" ht="26.25">
      <c r="S3836" s="61" ph="1"/>
    </row>
    <row r="3837" spans="19:19" ht="26.25">
      <c r="S3837" s="61" ph="1"/>
    </row>
    <row r="3838" spans="19:19" ht="26.25">
      <c r="S3838" s="61" ph="1"/>
    </row>
    <row r="3839" spans="19:19" ht="26.25">
      <c r="S3839" s="61" ph="1"/>
    </row>
    <row r="3840" spans="19:19" ht="26.25">
      <c r="S3840" s="61" ph="1"/>
    </row>
    <row r="3841" spans="19:19" ht="26.25">
      <c r="S3841" s="61" ph="1"/>
    </row>
    <row r="3842" spans="19:19" ht="26.25">
      <c r="S3842" s="61" ph="1"/>
    </row>
    <row r="3843" spans="19:19" ht="26.25">
      <c r="S3843" s="61" ph="1"/>
    </row>
    <row r="3844" spans="19:19" ht="26.25">
      <c r="S3844" s="61" ph="1"/>
    </row>
    <row r="3845" spans="19:19" ht="26.25">
      <c r="S3845" s="61" ph="1"/>
    </row>
    <row r="3846" spans="19:19" ht="26.25">
      <c r="S3846" s="61" ph="1"/>
    </row>
    <row r="3847" spans="19:19" ht="26.25">
      <c r="S3847" s="61" ph="1"/>
    </row>
    <row r="3848" spans="19:19" ht="26.25">
      <c r="S3848" s="61" ph="1"/>
    </row>
    <row r="3849" spans="19:19" ht="26.25">
      <c r="S3849" s="61" ph="1"/>
    </row>
    <row r="3850" spans="19:19" ht="26.25">
      <c r="S3850" s="61" ph="1"/>
    </row>
    <row r="3851" spans="19:19" ht="26.25">
      <c r="S3851" s="61" ph="1"/>
    </row>
    <row r="3852" spans="19:19" ht="26.25">
      <c r="S3852" s="61" ph="1"/>
    </row>
    <row r="3853" spans="19:19" ht="26.25">
      <c r="S3853" s="61" ph="1"/>
    </row>
    <row r="3854" spans="19:19" ht="26.25">
      <c r="S3854" s="61" ph="1"/>
    </row>
    <row r="3855" spans="19:19" ht="26.25">
      <c r="S3855" s="61" ph="1"/>
    </row>
    <row r="3856" spans="19:19" ht="26.25">
      <c r="S3856" s="61" ph="1"/>
    </row>
    <row r="3857" spans="19:19" ht="26.25">
      <c r="S3857" s="61" ph="1"/>
    </row>
    <row r="3858" spans="19:19" ht="26.25">
      <c r="S3858" s="61" ph="1"/>
    </row>
    <row r="3859" spans="19:19" ht="26.25">
      <c r="S3859" s="61" ph="1"/>
    </row>
    <row r="3860" spans="19:19" ht="26.25">
      <c r="S3860" s="61" ph="1"/>
    </row>
    <row r="3861" spans="19:19" ht="26.25">
      <c r="S3861" s="61" ph="1"/>
    </row>
    <row r="3862" spans="19:19" ht="26.25">
      <c r="S3862" s="61" ph="1"/>
    </row>
    <row r="3863" spans="19:19" ht="26.25">
      <c r="S3863" s="61" ph="1"/>
    </row>
    <row r="3864" spans="19:19" ht="26.25">
      <c r="S3864" s="61" ph="1"/>
    </row>
    <row r="3865" spans="19:19" ht="26.25">
      <c r="S3865" s="61" ph="1"/>
    </row>
    <row r="3866" spans="19:19" ht="26.25">
      <c r="S3866" s="61" ph="1"/>
    </row>
    <row r="3867" spans="19:19" ht="26.25">
      <c r="S3867" s="61" ph="1"/>
    </row>
    <row r="3868" spans="19:19" ht="26.25">
      <c r="S3868" s="61" ph="1"/>
    </row>
    <row r="3869" spans="19:19" ht="26.25">
      <c r="S3869" s="61" ph="1"/>
    </row>
    <row r="3870" spans="19:19" ht="26.25">
      <c r="S3870" s="61" ph="1"/>
    </row>
    <row r="3871" spans="19:19" ht="26.25">
      <c r="S3871" s="61" ph="1"/>
    </row>
    <row r="3872" spans="19:19" ht="26.25">
      <c r="S3872" s="61" ph="1"/>
    </row>
    <row r="3873" spans="19:19" ht="26.25">
      <c r="S3873" s="61" ph="1"/>
    </row>
    <row r="3874" spans="19:19" ht="26.25">
      <c r="S3874" s="61" ph="1"/>
    </row>
    <row r="3875" spans="19:19" ht="26.25">
      <c r="S3875" s="61" ph="1"/>
    </row>
    <row r="3876" spans="19:19" ht="26.25">
      <c r="S3876" s="61" ph="1"/>
    </row>
    <row r="3877" spans="19:19" ht="26.25">
      <c r="S3877" s="61" ph="1"/>
    </row>
    <row r="3878" spans="19:19" ht="26.25">
      <c r="S3878" s="61" ph="1"/>
    </row>
    <row r="3879" spans="19:19" ht="26.25">
      <c r="S3879" s="61" ph="1"/>
    </row>
    <row r="3880" spans="19:19" ht="26.25">
      <c r="S3880" s="61" ph="1"/>
    </row>
    <row r="3881" spans="19:19" ht="26.25">
      <c r="S3881" s="61" ph="1"/>
    </row>
    <row r="3882" spans="19:19" ht="26.25">
      <c r="S3882" s="61" ph="1"/>
    </row>
    <row r="3883" spans="19:19" ht="26.25">
      <c r="S3883" s="61" ph="1"/>
    </row>
    <row r="3884" spans="19:19" ht="26.25">
      <c r="S3884" s="61" ph="1"/>
    </row>
    <row r="3885" spans="19:19" ht="26.25">
      <c r="S3885" s="61" ph="1"/>
    </row>
    <row r="3886" spans="19:19" ht="26.25">
      <c r="S3886" s="61" ph="1"/>
    </row>
    <row r="3887" spans="19:19" ht="26.25">
      <c r="S3887" s="61" ph="1"/>
    </row>
    <row r="3888" spans="19:19" ht="26.25">
      <c r="S3888" s="61" ph="1"/>
    </row>
    <row r="3889" spans="19:19" ht="26.25">
      <c r="S3889" s="61" ph="1"/>
    </row>
    <row r="3890" spans="19:19" ht="26.25">
      <c r="S3890" s="61" ph="1"/>
    </row>
    <row r="3891" spans="19:19" ht="26.25">
      <c r="S3891" s="61" ph="1"/>
    </row>
    <row r="3892" spans="19:19" ht="26.25">
      <c r="S3892" s="61" ph="1"/>
    </row>
    <row r="3893" spans="19:19" ht="26.25">
      <c r="S3893" s="61" ph="1"/>
    </row>
    <row r="3894" spans="19:19" ht="26.25">
      <c r="S3894" s="61" ph="1"/>
    </row>
    <row r="3895" spans="19:19" ht="26.25">
      <c r="S3895" s="61" ph="1"/>
    </row>
    <row r="3896" spans="19:19" ht="26.25">
      <c r="S3896" s="61" ph="1"/>
    </row>
    <row r="3897" spans="19:19" ht="26.25">
      <c r="S3897" s="61" ph="1"/>
    </row>
    <row r="3898" spans="19:19" ht="26.25">
      <c r="S3898" s="61" ph="1"/>
    </row>
    <row r="3899" spans="19:19" ht="26.25">
      <c r="S3899" s="61" ph="1"/>
    </row>
    <row r="3900" spans="19:19" ht="26.25">
      <c r="S3900" s="61" ph="1"/>
    </row>
    <row r="3901" spans="19:19" ht="26.25">
      <c r="S3901" s="61" ph="1"/>
    </row>
    <row r="3902" spans="19:19" ht="26.25">
      <c r="S3902" s="61" ph="1"/>
    </row>
    <row r="3903" spans="19:19" ht="26.25">
      <c r="S3903" s="61" ph="1"/>
    </row>
    <row r="3904" spans="19:19" ht="26.25">
      <c r="S3904" s="61" ph="1"/>
    </row>
    <row r="3905" spans="19:19" ht="26.25">
      <c r="S3905" s="61" ph="1"/>
    </row>
    <row r="3906" spans="19:19" ht="26.25">
      <c r="S3906" s="61" ph="1"/>
    </row>
    <row r="3907" spans="19:19" ht="26.25">
      <c r="S3907" s="61" ph="1"/>
    </row>
    <row r="3908" spans="19:19" ht="26.25">
      <c r="S3908" s="61" ph="1"/>
    </row>
    <row r="3909" spans="19:19" ht="26.25">
      <c r="S3909" s="61" ph="1"/>
    </row>
    <row r="3910" spans="19:19" ht="26.25">
      <c r="S3910" s="61" ph="1"/>
    </row>
    <row r="3911" spans="19:19" ht="26.25">
      <c r="S3911" s="61" ph="1"/>
    </row>
    <row r="3912" spans="19:19" ht="26.25">
      <c r="S3912" s="61" ph="1"/>
    </row>
    <row r="3913" spans="19:19" ht="26.25">
      <c r="S3913" s="61" ph="1"/>
    </row>
    <row r="3914" spans="19:19" ht="26.25">
      <c r="S3914" s="61" ph="1"/>
    </row>
    <row r="3915" spans="19:19" ht="26.25">
      <c r="S3915" s="61" ph="1"/>
    </row>
    <row r="3916" spans="19:19" ht="26.25">
      <c r="S3916" s="61" ph="1"/>
    </row>
    <row r="3917" spans="19:19" ht="26.25">
      <c r="S3917" s="61" ph="1"/>
    </row>
    <row r="3918" spans="19:19" ht="26.25">
      <c r="S3918" s="61" ph="1"/>
    </row>
    <row r="3919" spans="19:19" ht="26.25">
      <c r="S3919" s="61" ph="1"/>
    </row>
    <row r="3920" spans="19:19" ht="26.25">
      <c r="S3920" s="61" ph="1"/>
    </row>
    <row r="3921" spans="19:19" ht="26.25">
      <c r="S3921" s="61" ph="1"/>
    </row>
    <row r="3922" spans="19:19" ht="26.25">
      <c r="S3922" s="61" ph="1"/>
    </row>
    <row r="3923" spans="19:19" ht="26.25">
      <c r="S3923" s="61" ph="1"/>
    </row>
    <row r="3924" spans="19:19" ht="26.25">
      <c r="S3924" s="61" ph="1"/>
    </row>
    <row r="3925" spans="19:19" ht="26.25">
      <c r="S3925" s="61" ph="1"/>
    </row>
    <row r="3926" spans="19:19" ht="26.25">
      <c r="S3926" s="61" ph="1"/>
    </row>
    <row r="3927" spans="19:19" ht="26.25">
      <c r="S3927" s="61" ph="1"/>
    </row>
    <row r="3928" spans="19:19" ht="26.25">
      <c r="S3928" s="61" ph="1"/>
    </row>
    <row r="3929" spans="19:19" ht="26.25">
      <c r="S3929" s="61" ph="1"/>
    </row>
    <row r="3930" spans="19:19" ht="26.25">
      <c r="S3930" s="61" ph="1"/>
    </row>
    <row r="3931" spans="19:19" ht="26.25">
      <c r="S3931" s="61" ph="1"/>
    </row>
    <row r="3932" spans="19:19" ht="26.25">
      <c r="S3932" s="61" ph="1"/>
    </row>
    <row r="3933" spans="19:19" ht="26.25">
      <c r="S3933" s="61" ph="1"/>
    </row>
    <row r="3934" spans="19:19" ht="26.25">
      <c r="S3934" s="61" ph="1"/>
    </row>
    <row r="3935" spans="19:19" ht="26.25">
      <c r="S3935" s="61" ph="1"/>
    </row>
    <row r="3936" spans="19:19" ht="26.25">
      <c r="S3936" s="61" ph="1"/>
    </row>
    <row r="3937" spans="19:19" ht="26.25">
      <c r="S3937" s="61" ph="1"/>
    </row>
    <row r="3938" spans="19:19" ht="26.25">
      <c r="S3938" s="61" ph="1"/>
    </row>
    <row r="3939" spans="19:19" ht="26.25">
      <c r="S3939" s="61" ph="1"/>
    </row>
    <row r="3940" spans="19:19" ht="26.25">
      <c r="S3940" s="61" ph="1"/>
    </row>
    <row r="3941" spans="19:19" ht="26.25">
      <c r="S3941" s="61" ph="1"/>
    </row>
    <row r="3942" spans="19:19" ht="26.25">
      <c r="S3942" s="61" ph="1"/>
    </row>
    <row r="3943" spans="19:19" ht="26.25">
      <c r="S3943" s="61" ph="1"/>
    </row>
    <row r="3944" spans="19:19" ht="26.25">
      <c r="S3944" s="61" ph="1"/>
    </row>
    <row r="3945" spans="19:19" ht="26.25">
      <c r="S3945" s="61" ph="1"/>
    </row>
    <row r="3946" spans="19:19" ht="26.25">
      <c r="S3946" s="61" ph="1"/>
    </row>
    <row r="3947" spans="19:19" ht="26.25">
      <c r="S3947" s="61" ph="1"/>
    </row>
    <row r="3948" spans="19:19" ht="26.25">
      <c r="S3948" s="61" ph="1"/>
    </row>
    <row r="3949" spans="19:19" ht="26.25">
      <c r="S3949" s="61" ph="1"/>
    </row>
    <row r="3950" spans="19:19" ht="26.25">
      <c r="S3950" s="61" ph="1"/>
    </row>
    <row r="3951" spans="19:19" ht="26.25">
      <c r="S3951" s="61" ph="1"/>
    </row>
    <row r="3952" spans="19:19" ht="26.25">
      <c r="S3952" s="61" ph="1"/>
    </row>
    <row r="3953" spans="19:19" ht="26.25">
      <c r="S3953" s="61" ph="1"/>
    </row>
    <row r="3954" spans="19:19" ht="26.25">
      <c r="S3954" s="61" ph="1"/>
    </row>
    <row r="3955" spans="19:19" ht="26.25">
      <c r="S3955" s="61" ph="1"/>
    </row>
    <row r="3956" spans="19:19" ht="26.25">
      <c r="S3956" s="61" ph="1"/>
    </row>
    <row r="3957" spans="19:19" ht="26.25">
      <c r="S3957" s="61" ph="1"/>
    </row>
    <row r="3958" spans="19:19" ht="26.25">
      <c r="S3958" s="61" ph="1"/>
    </row>
    <row r="3959" spans="19:19" ht="26.25">
      <c r="S3959" s="61" ph="1"/>
    </row>
    <row r="3960" spans="19:19" ht="26.25">
      <c r="S3960" s="61" ph="1"/>
    </row>
    <row r="3961" spans="19:19" ht="26.25">
      <c r="S3961" s="61" ph="1"/>
    </row>
    <row r="3962" spans="19:19" ht="26.25">
      <c r="S3962" s="61" ph="1"/>
    </row>
    <row r="3963" spans="19:19" ht="26.25">
      <c r="S3963" s="61" ph="1"/>
    </row>
    <row r="3964" spans="19:19" ht="26.25">
      <c r="S3964" s="61" ph="1"/>
    </row>
    <row r="3965" spans="19:19" ht="26.25">
      <c r="S3965" s="61" ph="1"/>
    </row>
    <row r="3966" spans="19:19" ht="26.25">
      <c r="S3966" s="61" ph="1"/>
    </row>
    <row r="3967" spans="19:19" ht="26.25">
      <c r="S3967" s="61" ph="1"/>
    </row>
    <row r="3968" spans="19:19" ht="26.25">
      <c r="S3968" s="61" ph="1"/>
    </row>
    <row r="3969" spans="19:19" ht="26.25">
      <c r="S3969" s="61" ph="1"/>
    </row>
    <row r="3970" spans="19:19" ht="26.25">
      <c r="S3970" s="61" ph="1"/>
    </row>
    <row r="3971" spans="19:19" ht="26.25">
      <c r="S3971" s="61" ph="1"/>
    </row>
    <row r="3972" spans="19:19" ht="26.25">
      <c r="S3972" s="61" ph="1"/>
    </row>
    <row r="3973" spans="19:19" ht="26.25">
      <c r="S3973" s="61" ph="1"/>
    </row>
    <row r="3974" spans="19:19" ht="26.25">
      <c r="S3974" s="61" ph="1"/>
    </row>
    <row r="3975" spans="19:19" ht="26.25">
      <c r="S3975" s="61" ph="1"/>
    </row>
    <row r="3976" spans="19:19" ht="26.25">
      <c r="S3976" s="61" ph="1"/>
    </row>
    <row r="3977" spans="19:19" ht="26.25">
      <c r="S3977" s="61" ph="1"/>
    </row>
    <row r="3978" spans="19:19" ht="26.25">
      <c r="S3978" s="61" ph="1"/>
    </row>
    <row r="3979" spans="19:19" ht="26.25">
      <c r="S3979" s="61" ph="1"/>
    </row>
    <row r="3980" spans="19:19" ht="26.25">
      <c r="S3980" s="61" ph="1"/>
    </row>
    <row r="3981" spans="19:19" ht="26.25">
      <c r="S3981" s="61" ph="1"/>
    </row>
    <row r="3982" spans="19:19" ht="26.25">
      <c r="S3982" s="61" ph="1"/>
    </row>
    <row r="3983" spans="19:19" ht="26.25">
      <c r="S3983" s="61" ph="1"/>
    </row>
    <row r="3984" spans="19:19" ht="26.25">
      <c r="S3984" s="61" ph="1"/>
    </row>
    <row r="3985" spans="19:19" ht="26.25">
      <c r="S3985" s="61" ph="1"/>
    </row>
    <row r="3986" spans="19:19" ht="26.25">
      <c r="S3986" s="61" ph="1"/>
    </row>
    <row r="3987" spans="19:19" ht="26.25">
      <c r="S3987" s="61" ph="1"/>
    </row>
    <row r="3988" spans="19:19" ht="26.25">
      <c r="S3988" s="61" ph="1"/>
    </row>
    <row r="3989" spans="19:19" ht="26.25">
      <c r="S3989" s="61" ph="1"/>
    </row>
    <row r="3990" spans="19:19" ht="26.25">
      <c r="S3990" s="61" ph="1"/>
    </row>
    <row r="3991" spans="19:19" ht="26.25">
      <c r="S3991" s="61" ph="1"/>
    </row>
    <row r="3992" spans="19:19" ht="26.25">
      <c r="S3992" s="61" ph="1"/>
    </row>
    <row r="3993" spans="19:19" ht="26.25">
      <c r="S3993" s="61" ph="1"/>
    </row>
    <row r="3994" spans="19:19" ht="26.25">
      <c r="S3994" s="61" ph="1"/>
    </row>
    <row r="3995" spans="19:19" ht="26.25">
      <c r="S3995" s="61" ph="1"/>
    </row>
    <row r="3996" spans="19:19" ht="26.25">
      <c r="S3996" s="61" ph="1"/>
    </row>
    <row r="3997" spans="19:19" ht="26.25">
      <c r="S3997" s="61" ph="1"/>
    </row>
    <row r="3998" spans="19:19" ht="26.25">
      <c r="S3998" s="61" ph="1"/>
    </row>
    <row r="3999" spans="19:19" ht="26.25">
      <c r="S3999" s="61" ph="1"/>
    </row>
    <row r="4000" spans="19:19" ht="26.25">
      <c r="S4000" s="61" ph="1"/>
    </row>
    <row r="4001" spans="19:19" ht="26.25">
      <c r="S4001" s="61" ph="1"/>
    </row>
    <row r="4002" spans="19:19" ht="26.25">
      <c r="S4002" s="61" ph="1"/>
    </row>
    <row r="4003" spans="19:19" ht="26.25">
      <c r="S4003" s="61" ph="1"/>
    </row>
    <row r="4004" spans="19:19" ht="26.25">
      <c r="S4004" s="61" ph="1"/>
    </row>
    <row r="4005" spans="19:19" ht="26.25">
      <c r="S4005" s="61" ph="1"/>
    </row>
    <row r="4006" spans="19:19" ht="26.25">
      <c r="S4006" s="61" ph="1"/>
    </row>
    <row r="4007" spans="19:19" ht="26.25">
      <c r="S4007" s="61" ph="1"/>
    </row>
    <row r="4008" spans="19:19" ht="26.25">
      <c r="S4008" s="61" ph="1"/>
    </row>
    <row r="4009" spans="19:19" ht="26.25">
      <c r="S4009" s="61" ph="1"/>
    </row>
    <row r="4010" spans="19:19" ht="26.25">
      <c r="S4010" s="61" ph="1"/>
    </row>
    <row r="4011" spans="19:19" ht="26.25">
      <c r="S4011" s="61" ph="1"/>
    </row>
    <row r="4012" spans="19:19" ht="26.25">
      <c r="S4012" s="61" ph="1"/>
    </row>
    <row r="4013" spans="19:19" ht="26.25">
      <c r="S4013" s="61" ph="1"/>
    </row>
    <row r="4014" spans="19:19" ht="26.25">
      <c r="S4014" s="61" ph="1"/>
    </row>
    <row r="4015" spans="19:19" ht="26.25">
      <c r="S4015" s="61" ph="1"/>
    </row>
    <row r="4016" spans="19:19" ht="26.25">
      <c r="S4016" s="61" ph="1"/>
    </row>
    <row r="4017" spans="19:19" ht="26.25">
      <c r="S4017" s="61" ph="1"/>
    </row>
    <row r="4018" spans="19:19" ht="26.25">
      <c r="S4018" s="61" ph="1"/>
    </row>
    <row r="4019" spans="19:19" ht="26.25">
      <c r="S4019" s="61" ph="1"/>
    </row>
    <row r="4020" spans="19:19" ht="26.25">
      <c r="S4020" s="61" ph="1"/>
    </row>
    <row r="4021" spans="19:19" ht="26.25">
      <c r="S4021" s="61" ph="1"/>
    </row>
    <row r="4022" spans="19:19" ht="26.25">
      <c r="S4022" s="61" ph="1"/>
    </row>
    <row r="4023" spans="19:19" ht="26.25">
      <c r="S4023" s="61" ph="1"/>
    </row>
    <row r="4024" spans="19:19" ht="26.25">
      <c r="S4024" s="61" ph="1"/>
    </row>
    <row r="4025" spans="19:19" ht="26.25">
      <c r="S4025" s="61" ph="1"/>
    </row>
    <row r="4026" spans="19:19" ht="26.25">
      <c r="S4026" s="61" ph="1"/>
    </row>
    <row r="4027" spans="19:19" ht="26.25">
      <c r="S4027" s="61" ph="1"/>
    </row>
    <row r="4028" spans="19:19" ht="26.25">
      <c r="S4028" s="61" ph="1"/>
    </row>
    <row r="4029" spans="19:19" ht="26.25">
      <c r="S4029" s="61" ph="1"/>
    </row>
    <row r="4030" spans="19:19" ht="26.25">
      <c r="S4030" s="61" ph="1"/>
    </row>
    <row r="4031" spans="19:19" ht="26.25">
      <c r="S4031" s="61" ph="1"/>
    </row>
    <row r="4032" spans="19:19" ht="26.25">
      <c r="S4032" s="61" ph="1"/>
    </row>
    <row r="4033" spans="19:19" ht="26.25">
      <c r="S4033" s="61" ph="1"/>
    </row>
    <row r="4034" spans="19:19" ht="26.25">
      <c r="S4034" s="61" ph="1"/>
    </row>
    <row r="4035" spans="19:19" ht="26.25">
      <c r="S4035" s="61" ph="1"/>
    </row>
    <row r="4036" spans="19:19" ht="26.25">
      <c r="S4036" s="61" ph="1"/>
    </row>
    <row r="4037" spans="19:19" ht="26.25">
      <c r="S4037" s="61" ph="1"/>
    </row>
    <row r="4038" spans="19:19" ht="26.25">
      <c r="S4038" s="61" ph="1"/>
    </row>
    <row r="4039" spans="19:19" ht="26.25">
      <c r="S4039" s="61" ph="1"/>
    </row>
    <row r="4040" spans="19:19" ht="26.25">
      <c r="S4040" s="61" ph="1"/>
    </row>
    <row r="4041" spans="19:19" ht="26.25">
      <c r="S4041" s="61" ph="1"/>
    </row>
    <row r="4042" spans="19:19" ht="26.25">
      <c r="S4042" s="61" ph="1"/>
    </row>
    <row r="4043" spans="19:19" ht="26.25">
      <c r="S4043" s="61" ph="1"/>
    </row>
    <row r="4044" spans="19:19" ht="26.25">
      <c r="S4044" s="61" ph="1"/>
    </row>
    <row r="4045" spans="19:19" ht="26.25">
      <c r="S4045" s="61" ph="1"/>
    </row>
    <row r="4046" spans="19:19" ht="26.25">
      <c r="S4046" s="61" ph="1"/>
    </row>
    <row r="4047" spans="19:19" ht="26.25">
      <c r="S4047" s="61" ph="1"/>
    </row>
    <row r="4048" spans="19:19" ht="26.25">
      <c r="S4048" s="61" ph="1"/>
    </row>
    <row r="4049" spans="19:19" ht="26.25">
      <c r="S4049" s="61" ph="1"/>
    </row>
    <row r="4050" spans="19:19" ht="26.25">
      <c r="S4050" s="61" ph="1"/>
    </row>
    <row r="4051" spans="19:19" ht="26.25">
      <c r="S4051" s="61" ph="1"/>
    </row>
    <row r="4052" spans="19:19" ht="26.25">
      <c r="S4052" s="61" ph="1"/>
    </row>
    <row r="4053" spans="19:19" ht="26.25">
      <c r="S4053" s="61" ph="1"/>
    </row>
    <row r="4054" spans="19:19" ht="26.25">
      <c r="S4054" s="61" ph="1"/>
    </row>
    <row r="4055" spans="19:19" ht="26.25">
      <c r="S4055" s="61" ph="1"/>
    </row>
    <row r="4056" spans="19:19" ht="26.25">
      <c r="S4056" s="61" ph="1"/>
    </row>
    <row r="4057" spans="19:19" ht="26.25">
      <c r="S4057" s="61" ph="1"/>
    </row>
    <row r="4058" spans="19:19" ht="26.25">
      <c r="S4058" s="61" ph="1"/>
    </row>
    <row r="4059" spans="19:19" ht="26.25">
      <c r="S4059" s="61" ph="1"/>
    </row>
    <row r="4060" spans="19:19" ht="26.25">
      <c r="S4060" s="61" ph="1"/>
    </row>
    <row r="4061" spans="19:19" ht="26.25">
      <c r="S4061" s="61" ph="1"/>
    </row>
    <row r="4062" spans="19:19" ht="26.25">
      <c r="S4062" s="61" ph="1"/>
    </row>
    <row r="4063" spans="19:19" ht="26.25">
      <c r="S4063" s="61" ph="1"/>
    </row>
    <row r="4064" spans="19:19" ht="26.25">
      <c r="S4064" s="61" ph="1"/>
    </row>
    <row r="4065" spans="19:19" ht="26.25">
      <c r="S4065" s="61" ph="1"/>
    </row>
    <row r="4066" spans="19:19" ht="26.25">
      <c r="S4066" s="61" ph="1"/>
    </row>
    <row r="4067" spans="19:19" ht="26.25">
      <c r="S4067" s="61" ph="1"/>
    </row>
    <row r="4068" spans="19:19" ht="26.25">
      <c r="S4068" s="61" ph="1"/>
    </row>
    <row r="4069" spans="19:19" ht="26.25">
      <c r="S4069" s="61" ph="1"/>
    </row>
    <row r="4070" spans="19:19" ht="26.25">
      <c r="S4070" s="61" ph="1"/>
    </row>
    <row r="4071" spans="19:19" ht="26.25">
      <c r="S4071" s="61" ph="1"/>
    </row>
    <row r="4072" spans="19:19" ht="26.25">
      <c r="S4072" s="61" ph="1"/>
    </row>
    <row r="4073" spans="19:19" ht="26.25">
      <c r="S4073" s="61" ph="1"/>
    </row>
    <row r="4074" spans="19:19" ht="26.25">
      <c r="S4074" s="61" ph="1"/>
    </row>
    <row r="4075" spans="19:19" ht="26.25">
      <c r="S4075" s="61" ph="1"/>
    </row>
    <row r="4076" spans="19:19" ht="26.25">
      <c r="S4076" s="61" ph="1"/>
    </row>
    <row r="4077" spans="19:19" ht="26.25">
      <c r="S4077" s="61" ph="1"/>
    </row>
    <row r="4078" spans="19:19" ht="26.25">
      <c r="S4078" s="61" ph="1"/>
    </row>
    <row r="4079" spans="19:19" ht="26.25">
      <c r="S4079" s="61" ph="1"/>
    </row>
    <row r="4080" spans="19:19" ht="26.25">
      <c r="S4080" s="61" ph="1"/>
    </row>
    <row r="4081" spans="19:19" ht="26.25">
      <c r="S4081" s="61" ph="1"/>
    </row>
    <row r="4082" spans="19:19" ht="26.25">
      <c r="S4082" s="61" ph="1"/>
    </row>
    <row r="4083" spans="19:19" ht="26.25">
      <c r="S4083" s="61" ph="1"/>
    </row>
    <row r="4084" spans="19:19" ht="26.25">
      <c r="S4084" s="61" ph="1"/>
    </row>
    <row r="4085" spans="19:19" ht="26.25">
      <c r="S4085" s="61" ph="1"/>
    </row>
    <row r="4086" spans="19:19" ht="26.25">
      <c r="S4086" s="61" ph="1"/>
    </row>
    <row r="4087" spans="19:19" ht="26.25">
      <c r="S4087" s="61" ph="1"/>
    </row>
    <row r="4088" spans="19:19" ht="26.25">
      <c r="S4088" s="61" ph="1"/>
    </row>
    <row r="4089" spans="19:19" ht="26.25">
      <c r="S4089" s="61" ph="1"/>
    </row>
    <row r="4090" spans="19:19" ht="26.25">
      <c r="S4090" s="61" ph="1"/>
    </row>
    <row r="4091" spans="19:19" ht="26.25">
      <c r="S4091" s="61" ph="1"/>
    </row>
    <row r="4092" spans="19:19" ht="26.25">
      <c r="S4092" s="61" ph="1"/>
    </row>
    <row r="4093" spans="19:19" ht="26.25">
      <c r="S4093" s="61" ph="1"/>
    </row>
    <row r="4094" spans="19:19" ht="26.25">
      <c r="S4094" s="61" ph="1"/>
    </row>
    <row r="4095" spans="19:19" ht="26.25">
      <c r="S4095" s="61" ph="1"/>
    </row>
    <row r="4096" spans="19:19" ht="26.25">
      <c r="S4096" s="61" ph="1"/>
    </row>
    <row r="4097" spans="19:19" ht="26.25">
      <c r="S4097" s="61" ph="1"/>
    </row>
    <row r="4098" spans="19:19" ht="26.25">
      <c r="S4098" s="61" ph="1"/>
    </row>
    <row r="4099" spans="19:19" ht="26.25">
      <c r="S4099" s="61" ph="1"/>
    </row>
    <row r="4100" spans="19:19" ht="26.25">
      <c r="S4100" s="61" ph="1"/>
    </row>
    <row r="4101" spans="19:19" ht="26.25">
      <c r="S4101" s="61" ph="1"/>
    </row>
    <row r="4102" spans="19:19" ht="26.25">
      <c r="S4102" s="61" ph="1"/>
    </row>
    <row r="4103" spans="19:19" ht="26.25">
      <c r="S4103" s="61" ph="1"/>
    </row>
    <row r="4104" spans="19:19" ht="26.25">
      <c r="S4104" s="61" ph="1"/>
    </row>
    <row r="4105" spans="19:19" ht="26.25">
      <c r="S4105" s="61" ph="1"/>
    </row>
    <row r="4106" spans="19:19" ht="26.25">
      <c r="S4106" s="61" ph="1"/>
    </row>
    <row r="4107" spans="19:19" ht="26.25">
      <c r="S4107" s="61" ph="1"/>
    </row>
    <row r="4108" spans="19:19" ht="26.25">
      <c r="S4108" s="61" ph="1"/>
    </row>
    <row r="4109" spans="19:19" ht="26.25">
      <c r="S4109" s="61" ph="1"/>
    </row>
    <row r="4110" spans="19:19" ht="26.25">
      <c r="S4110" s="61" ph="1"/>
    </row>
    <row r="4111" spans="19:19" ht="26.25">
      <c r="S4111" s="61" ph="1"/>
    </row>
    <row r="4112" spans="19:19" ht="26.25">
      <c r="S4112" s="61" ph="1"/>
    </row>
    <row r="4113" spans="19:19" ht="26.25">
      <c r="S4113" s="61" ph="1"/>
    </row>
    <row r="4114" spans="19:19" ht="26.25">
      <c r="S4114" s="61" ph="1"/>
    </row>
    <row r="4115" spans="19:19" ht="26.25">
      <c r="S4115" s="61" ph="1"/>
    </row>
    <row r="4116" spans="19:19" ht="26.25">
      <c r="S4116" s="61" ph="1"/>
    </row>
    <row r="4117" spans="19:19" ht="26.25">
      <c r="S4117" s="61" ph="1"/>
    </row>
    <row r="4118" spans="19:19" ht="26.25">
      <c r="S4118" s="61" ph="1"/>
    </row>
    <row r="4119" spans="19:19" ht="26.25">
      <c r="S4119" s="61" ph="1"/>
    </row>
    <row r="4120" spans="19:19" ht="26.25">
      <c r="S4120" s="61" ph="1"/>
    </row>
    <row r="4121" spans="19:19" ht="26.25">
      <c r="S4121" s="61" ph="1"/>
    </row>
    <row r="4122" spans="19:19" ht="26.25">
      <c r="S4122" s="61" ph="1"/>
    </row>
    <row r="4123" spans="19:19" ht="26.25">
      <c r="S4123" s="61" ph="1"/>
    </row>
    <row r="4124" spans="19:19" ht="26.25">
      <c r="S4124" s="61" ph="1"/>
    </row>
    <row r="4125" spans="19:19" ht="26.25">
      <c r="S4125" s="61" ph="1"/>
    </row>
    <row r="4126" spans="19:19" ht="26.25">
      <c r="S4126" s="61" ph="1"/>
    </row>
    <row r="4127" spans="19:19" ht="26.25">
      <c r="S4127" s="61" ph="1"/>
    </row>
    <row r="4128" spans="19:19" ht="26.25">
      <c r="S4128" s="61" ph="1"/>
    </row>
    <row r="4129" spans="19:19" ht="26.25">
      <c r="S4129" s="61" ph="1"/>
    </row>
    <row r="4130" spans="19:19" ht="26.25">
      <c r="S4130" s="61" ph="1"/>
    </row>
    <row r="4131" spans="19:19" ht="26.25">
      <c r="S4131" s="61" ph="1"/>
    </row>
    <row r="4132" spans="19:19" ht="26.25">
      <c r="S4132" s="61" ph="1"/>
    </row>
    <row r="4133" spans="19:19" ht="26.25">
      <c r="S4133" s="61" ph="1"/>
    </row>
    <row r="4134" spans="19:19" ht="26.25">
      <c r="S4134" s="61" ph="1"/>
    </row>
    <row r="4135" spans="19:19" ht="26.25">
      <c r="S4135" s="61" ph="1"/>
    </row>
    <row r="4136" spans="19:19" ht="26.25">
      <c r="S4136" s="61" ph="1"/>
    </row>
    <row r="4137" spans="19:19" ht="26.25">
      <c r="S4137" s="61" ph="1"/>
    </row>
    <row r="4138" spans="19:19" ht="26.25">
      <c r="S4138" s="61" ph="1"/>
    </row>
    <row r="4139" spans="19:19" ht="26.25">
      <c r="S4139" s="61" ph="1"/>
    </row>
    <row r="4140" spans="19:19" ht="26.25">
      <c r="S4140" s="61" ph="1"/>
    </row>
    <row r="4141" spans="19:19" ht="26.25">
      <c r="S4141" s="61" ph="1"/>
    </row>
    <row r="4142" spans="19:19" ht="26.25">
      <c r="S4142" s="61" ph="1"/>
    </row>
    <row r="4143" spans="19:19" ht="26.25">
      <c r="S4143" s="61" ph="1"/>
    </row>
    <row r="4144" spans="19:19" ht="26.25">
      <c r="S4144" s="61" ph="1"/>
    </row>
    <row r="4145" spans="19:19" ht="26.25">
      <c r="S4145" s="61" ph="1"/>
    </row>
    <row r="4146" spans="19:19" ht="26.25">
      <c r="S4146" s="61" ph="1"/>
    </row>
    <row r="4147" spans="19:19" ht="26.25">
      <c r="S4147" s="61" ph="1"/>
    </row>
    <row r="4148" spans="19:19" ht="26.25">
      <c r="S4148" s="61" ph="1"/>
    </row>
    <row r="4149" spans="19:19" ht="26.25">
      <c r="S4149" s="61" ph="1"/>
    </row>
    <row r="4150" spans="19:19" ht="26.25">
      <c r="S4150" s="61" ph="1"/>
    </row>
    <row r="4151" spans="19:19" ht="26.25">
      <c r="S4151" s="61" ph="1"/>
    </row>
    <row r="4152" spans="19:19" ht="26.25">
      <c r="S4152" s="61" ph="1"/>
    </row>
    <row r="4153" spans="19:19" ht="26.25">
      <c r="S4153" s="61" ph="1"/>
    </row>
    <row r="4154" spans="19:19" ht="26.25">
      <c r="S4154" s="61" ph="1"/>
    </row>
    <row r="4155" spans="19:19" ht="26.25">
      <c r="S4155" s="61" ph="1"/>
    </row>
    <row r="4156" spans="19:19" ht="26.25">
      <c r="S4156" s="61" ph="1"/>
    </row>
    <row r="4157" spans="19:19" ht="26.25">
      <c r="S4157" s="61" ph="1"/>
    </row>
    <row r="4158" spans="19:19" ht="26.25">
      <c r="S4158" s="61" ph="1"/>
    </row>
    <row r="4159" spans="19:19" ht="26.25">
      <c r="S4159" s="61" ph="1"/>
    </row>
    <row r="4160" spans="19:19" ht="26.25">
      <c r="S4160" s="61" ph="1"/>
    </row>
    <row r="4161" spans="19:19" ht="26.25">
      <c r="S4161" s="61" ph="1"/>
    </row>
    <row r="4162" spans="19:19" ht="26.25">
      <c r="S4162" s="61" ph="1"/>
    </row>
    <row r="4163" spans="19:19" ht="26.25">
      <c r="S4163" s="61" ph="1"/>
    </row>
    <row r="4164" spans="19:19" ht="26.25">
      <c r="S4164" s="61" ph="1"/>
    </row>
    <row r="4165" spans="19:19" ht="26.25">
      <c r="S4165" s="61" ph="1"/>
    </row>
    <row r="4166" spans="19:19" ht="26.25">
      <c r="S4166" s="61" ph="1"/>
    </row>
    <row r="4167" spans="19:19" ht="26.25">
      <c r="S4167" s="61" ph="1"/>
    </row>
    <row r="4168" spans="19:19" ht="26.25">
      <c r="S4168" s="61" ph="1"/>
    </row>
    <row r="4169" spans="19:19" ht="26.25">
      <c r="S4169" s="61" ph="1"/>
    </row>
    <row r="4170" spans="19:19" ht="26.25">
      <c r="S4170" s="61" ph="1"/>
    </row>
    <row r="4171" spans="19:19" ht="26.25">
      <c r="S4171" s="61" ph="1"/>
    </row>
    <row r="4172" spans="19:19" ht="26.25">
      <c r="S4172" s="61" ph="1"/>
    </row>
    <row r="4173" spans="19:19" ht="26.25">
      <c r="S4173" s="61" ph="1"/>
    </row>
    <row r="4174" spans="19:19" ht="26.25">
      <c r="S4174" s="61" ph="1"/>
    </row>
    <row r="4175" spans="19:19" ht="26.25">
      <c r="S4175" s="61" ph="1"/>
    </row>
    <row r="4176" spans="19:19" ht="26.25">
      <c r="S4176" s="61" ph="1"/>
    </row>
    <row r="4177" spans="19:19" ht="26.25">
      <c r="S4177" s="61" ph="1"/>
    </row>
    <row r="4178" spans="19:19" ht="26.25">
      <c r="S4178" s="61" ph="1"/>
    </row>
    <row r="4179" spans="19:19" ht="26.25">
      <c r="S4179" s="61" ph="1"/>
    </row>
    <row r="4180" spans="19:19" ht="26.25">
      <c r="S4180" s="61" ph="1"/>
    </row>
    <row r="4181" spans="19:19" ht="26.25">
      <c r="S4181" s="61" ph="1"/>
    </row>
    <row r="4182" spans="19:19" ht="26.25">
      <c r="S4182" s="61" ph="1"/>
    </row>
    <row r="4183" spans="19:19" ht="26.25">
      <c r="S4183" s="61" ph="1"/>
    </row>
    <row r="4184" spans="19:19" ht="26.25">
      <c r="S4184" s="61" ph="1"/>
    </row>
    <row r="4185" spans="19:19" ht="26.25">
      <c r="S4185" s="61" ph="1"/>
    </row>
    <row r="4186" spans="19:19" ht="26.25">
      <c r="S4186" s="61" ph="1"/>
    </row>
    <row r="4187" spans="19:19" ht="26.25">
      <c r="S4187" s="61" ph="1"/>
    </row>
    <row r="4188" spans="19:19" ht="26.25">
      <c r="S4188" s="61" ph="1"/>
    </row>
    <row r="4189" spans="19:19" ht="26.25">
      <c r="S4189" s="61" ph="1"/>
    </row>
    <row r="4190" spans="19:19" ht="26.25">
      <c r="S4190" s="61" ph="1"/>
    </row>
    <row r="4191" spans="19:19" ht="26.25">
      <c r="S4191" s="61" ph="1"/>
    </row>
    <row r="4192" spans="19:19" ht="26.25">
      <c r="S4192" s="61" ph="1"/>
    </row>
    <row r="4193" spans="19:19" ht="26.25">
      <c r="S4193" s="61" ph="1"/>
    </row>
    <row r="4194" spans="19:19" ht="26.25">
      <c r="S4194" s="61" ph="1"/>
    </row>
    <row r="4195" spans="19:19" ht="26.25">
      <c r="S4195" s="61" ph="1"/>
    </row>
    <row r="4196" spans="19:19" ht="26.25">
      <c r="S4196" s="61" ph="1"/>
    </row>
    <row r="4197" spans="19:19" ht="26.25">
      <c r="S4197" s="61" ph="1"/>
    </row>
    <row r="4198" spans="19:19" ht="26.25">
      <c r="S4198" s="61" ph="1"/>
    </row>
    <row r="4199" spans="19:19" ht="26.25">
      <c r="S4199" s="61" ph="1"/>
    </row>
    <row r="4200" spans="19:19" ht="26.25">
      <c r="S4200" s="61" ph="1"/>
    </row>
    <row r="4201" spans="19:19" ht="26.25">
      <c r="S4201" s="61" ph="1"/>
    </row>
    <row r="4202" spans="19:19" ht="26.25">
      <c r="S4202" s="61" ph="1"/>
    </row>
    <row r="4203" spans="19:19" ht="26.25">
      <c r="S4203" s="61" ph="1"/>
    </row>
    <row r="4204" spans="19:19" ht="26.25">
      <c r="S4204" s="61" ph="1"/>
    </row>
    <row r="4205" spans="19:19" ht="26.25">
      <c r="S4205" s="61" ph="1"/>
    </row>
    <row r="4206" spans="19:19" ht="26.25">
      <c r="S4206" s="61" ph="1"/>
    </row>
    <row r="4207" spans="19:19" ht="26.25">
      <c r="S4207" s="61" ph="1"/>
    </row>
    <row r="4208" spans="19:19" ht="26.25">
      <c r="S4208" s="61" ph="1"/>
    </row>
    <row r="4209" spans="19:19" ht="26.25">
      <c r="S4209" s="61" ph="1"/>
    </row>
    <row r="4210" spans="19:19" ht="26.25">
      <c r="S4210" s="61" ph="1"/>
    </row>
    <row r="4211" spans="19:19" ht="26.25">
      <c r="S4211" s="61" ph="1"/>
    </row>
    <row r="4212" spans="19:19" ht="26.25">
      <c r="S4212" s="61" ph="1"/>
    </row>
    <row r="4213" spans="19:19" ht="26.25">
      <c r="S4213" s="61" ph="1"/>
    </row>
    <row r="4214" spans="19:19" ht="26.25">
      <c r="S4214" s="61" ph="1"/>
    </row>
    <row r="4215" spans="19:19" ht="26.25">
      <c r="S4215" s="61" ph="1"/>
    </row>
    <row r="4216" spans="19:19" ht="26.25">
      <c r="S4216" s="61" ph="1"/>
    </row>
    <row r="4217" spans="19:19" ht="26.25">
      <c r="S4217" s="61" ph="1"/>
    </row>
    <row r="4218" spans="19:19" ht="26.25">
      <c r="S4218" s="61" ph="1"/>
    </row>
    <row r="4219" spans="19:19" ht="26.25">
      <c r="S4219" s="61" ph="1"/>
    </row>
    <row r="4220" spans="19:19" ht="26.25">
      <c r="S4220" s="61" ph="1"/>
    </row>
    <row r="4221" spans="19:19" ht="26.25">
      <c r="S4221" s="61" ph="1"/>
    </row>
    <row r="4222" spans="19:19" ht="26.25">
      <c r="S4222" s="61" ph="1"/>
    </row>
    <row r="4223" spans="19:19" ht="26.25">
      <c r="S4223" s="61" ph="1"/>
    </row>
    <row r="4224" spans="19:19" ht="26.25">
      <c r="S4224" s="61" ph="1"/>
    </row>
    <row r="4225" spans="19:19" ht="26.25">
      <c r="S4225" s="61" ph="1"/>
    </row>
    <row r="4226" spans="19:19" ht="26.25">
      <c r="S4226" s="61" ph="1"/>
    </row>
    <row r="4227" spans="19:19" ht="26.25">
      <c r="S4227" s="61" ph="1"/>
    </row>
    <row r="4228" spans="19:19" ht="26.25">
      <c r="S4228" s="61" ph="1"/>
    </row>
    <row r="4229" spans="19:19" ht="26.25">
      <c r="S4229" s="61" ph="1"/>
    </row>
    <row r="4230" spans="19:19" ht="26.25">
      <c r="S4230" s="61" ph="1"/>
    </row>
    <row r="4231" spans="19:19" ht="26.25">
      <c r="S4231" s="61" ph="1"/>
    </row>
    <row r="4232" spans="19:19" ht="26.25">
      <c r="S4232" s="61" ph="1"/>
    </row>
    <row r="4233" spans="19:19" ht="26.25">
      <c r="S4233" s="61" ph="1"/>
    </row>
    <row r="4234" spans="19:19" ht="26.25">
      <c r="S4234" s="61" ph="1"/>
    </row>
    <row r="4235" spans="19:19" ht="26.25">
      <c r="S4235" s="61" ph="1"/>
    </row>
    <row r="4236" spans="19:19" ht="26.25">
      <c r="S4236" s="61" ph="1"/>
    </row>
    <row r="4237" spans="19:19" ht="26.25">
      <c r="S4237" s="61" ph="1"/>
    </row>
    <row r="4238" spans="19:19" ht="26.25">
      <c r="S4238" s="61" ph="1"/>
    </row>
    <row r="4239" spans="19:19" ht="26.25">
      <c r="S4239" s="61" ph="1"/>
    </row>
    <row r="4240" spans="19:19" ht="26.25">
      <c r="S4240" s="61" ph="1"/>
    </row>
    <row r="4241" spans="19:19" ht="26.25">
      <c r="S4241" s="61" ph="1"/>
    </row>
    <row r="4242" spans="19:19" ht="26.25">
      <c r="S4242" s="61" ph="1"/>
    </row>
    <row r="4243" spans="19:19" ht="26.25">
      <c r="S4243" s="61" ph="1"/>
    </row>
    <row r="4244" spans="19:19" ht="26.25">
      <c r="S4244" s="61" ph="1"/>
    </row>
    <row r="4245" spans="19:19" ht="26.25">
      <c r="S4245" s="61" ph="1"/>
    </row>
    <row r="4246" spans="19:19" ht="26.25">
      <c r="S4246" s="61" ph="1"/>
    </row>
    <row r="4247" spans="19:19" ht="26.25">
      <c r="S4247" s="61" ph="1"/>
    </row>
    <row r="4248" spans="19:19" ht="26.25">
      <c r="S4248" s="61" ph="1"/>
    </row>
    <row r="4249" spans="19:19" ht="26.25">
      <c r="S4249" s="61" ph="1"/>
    </row>
    <row r="4250" spans="19:19" ht="26.25">
      <c r="S4250" s="61" ph="1"/>
    </row>
    <row r="4251" spans="19:19" ht="26.25">
      <c r="S4251" s="61" ph="1"/>
    </row>
    <row r="4252" spans="19:19" ht="26.25">
      <c r="S4252" s="61" ph="1"/>
    </row>
    <row r="4253" spans="19:19" ht="26.25">
      <c r="S4253" s="61" ph="1"/>
    </row>
    <row r="4254" spans="19:19" ht="26.25">
      <c r="S4254" s="61" ph="1"/>
    </row>
    <row r="4255" spans="19:19" ht="26.25">
      <c r="S4255" s="61" ph="1"/>
    </row>
    <row r="4256" spans="19:19" ht="26.25">
      <c r="S4256" s="61" ph="1"/>
    </row>
    <row r="4257" spans="19:19" ht="26.25">
      <c r="S4257" s="61" ph="1"/>
    </row>
    <row r="4258" spans="19:19" ht="26.25">
      <c r="S4258" s="61" ph="1"/>
    </row>
    <row r="4259" spans="19:19" ht="26.25">
      <c r="S4259" s="61" ph="1"/>
    </row>
    <row r="4260" spans="19:19" ht="26.25">
      <c r="S4260" s="61" ph="1"/>
    </row>
    <row r="4261" spans="19:19" ht="26.25">
      <c r="S4261" s="61" ph="1"/>
    </row>
    <row r="4262" spans="19:19" ht="26.25">
      <c r="S4262" s="61" ph="1"/>
    </row>
    <row r="4263" spans="19:19" ht="26.25">
      <c r="S4263" s="61" ph="1"/>
    </row>
    <row r="4264" spans="19:19" ht="26.25">
      <c r="S4264" s="61" ph="1"/>
    </row>
    <row r="4265" spans="19:19" ht="26.25">
      <c r="S4265" s="61" ph="1"/>
    </row>
    <row r="4266" spans="19:19" ht="26.25">
      <c r="S4266" s="61" ph="1"/>
    </row>
    <row r="4267" spans="19:19" ht="26.25">
      <c r="S4267" s="61" ph="1"/>
    </row>
    <row r="4268" spans="19:19" ht="26.25">
      <c r="S4268" s="61" ph="1"/>
    </row>
    <row r="4269" spans="19:19" ht="26.25">
      <c r="S4269" s="61" ph="1"/>
    </row>
    <row r="4270" spans="19:19" ht="26.25">
      <c r="S4270" s="61" ph="1"/>
    </row>
    <row r="4271" spans="19:19" ht="26.25">
      <c r="S4271" s="61" ph="1"/>
    </row>
    <row r="4272" spans="19:19" ht="26.25">
      <c r="S4272" s="61" ph="1"/>
    </row>
    <row r="4273" spans="19:19" ht="26.25">
      <c r="S4273" s="61" ph="1"/>
    </row>
    <row r="4274" spans="19:19" ht="26.25">
      <c r="S4274" s="61" ph="1"/>
    </row>
    <row r="4275" spans="19:19" ht="26.25">
      <c r="S4275" s="61" ph="1"/>
    </row>
    <row r="4276" spans="19:19" ht="26.25">
      <c r="S4276" s="61" ph="1"/>
    </row>
    <row r="4277" spans="19:19" ht="26.25">
      <c r="S4277" s="61" ph="1"/>
    </row>
    <row r="4278" spans="19:19" ht="26.25">
      <c r="S4278" s="61" ph="1"/>
    </row>
    <row r="4279" spans="19:19" ht="26.25">
      <c r="S4279" s="61" ph="1"/>
    </row>
    <row r="4280" spans="19:19" ht="26.25">
      <c r="S4280" s="61" ph="1"/>
    </row>
    <row r="4281" spans="19:19" ht="26.25">
      <c r="S4281" s="61" ph="1"/>
    </row>
    <row r="4282" spans="19:19" ht="26.25">
      <c r="S4282" s="61" ph="1"/>
    </row>
    <row r="4283" spans="19:19" ht="26.25">
      <c r="S4283" s="61" ph="1"/>
    </row>
    <row r="4284" spans="19:19" ht="26.25">
      <c r="S4284" s="61" ph="1"/>
    </row>
    <row r="4285" spans="19:19" ht="26.25">
      <c r="S4285" s="61" ph="1"/>
    </row>
    <row r="4286" spans="19:19" ht="26.25">
      <c r="S4286" s="61" ph="1"/>
    </row>
    <row r="4287" spans="19:19" ht="26.25">
      <c r="S4287" s="61" ph="1"/>
    </row>
    <row r="4288" spans="19:19" ht="26.25">
      <c r="S4288" s="61" ph="1"/>
    </row>
    <row r="4289" spans="19:19" ht="26.25">
      <c r="S4289" s="61" ph="1"/>
    </row>
    <row r="4290" spans="19:19" ht="26.25">
      <c r="S4290" s="61" ph="1"/>
    </row>
    <row r="4291" spans="19:19" ht="26.25">
      <c r="S4291" s="61" ph="1"/>
    </row>
    <row r="4292" spans="19:19" ht="26.25">
      <c r="S4292" s="61" ph="1"/>
    </row>
    <row r="4293" spans="19:19" ht="26.25">
      <c r="S4293" s="61" ph="1"/>
    </row>
    <row r="4294" spans="19:19" ht="26.25">
      <c r="S4294" s="61" ph="1"/>
    </row>
    <row r="4295" spans="19:19" ht="26.25">
      <c r="S4295" s="61" ph="1"/>
    </row>
    <row r="4296" spans="19:19" ht="26.25">
      <c r="S4296" s="61" ph="1"/>
    </row>
    <row r="4297" spans="19:19" ht="26.25">
      <c r="S4297" s="61" ph="1"/>
    </row>
    <row r="4298" spans="19:19" ht="26.25">
      <c r="S4298" s="61" ph="1"/>
    </row>
    <row r="4299" spans="19:19" ht="26.25">
      <c r="S4299" s="61" ph="1"/>
    </row>
    <row r="4300" spans="19:19" ht="26.25">
      <c r="S4300" s="61" ph="1"/>
    </row>
    <row r="4301" spans="19:19" ht="26.25">
      <c r="S4301" s="61" ph="1"/>
    </row>
    <row r="4302" spans="19:19" ht="26.25">
      <c r="S4302" s="61" ph="1"/>
    </row>
    <row r="4303" spans="19:19" ht="26.25">
      <c r="S4303" s="61" ph="1"/>
    </row>
    <row r="4304" spans="19:19" ht="26.25">
      <c r="S4304" s="61" ph="1"/>
    </row>
    <row r="4305" spans="19:19" ht="26.25">
      <c r="S4305" s="61" ph="1"/>
    </row>
    <row r="4306" spans="19:19" ht="26.25">
      <c r="S4306" s="61" ph="1"/>
    </row>
    <row r="4307" spans="19:19" ht="26.25">
      <c r="S4307" s="61" ph="1"/>
    </row>
    <row r="4308" spans="19:19" ht="26.25">
      <c r="S4308" s="61" ph="1"/>
    </row>
    <row r="4309" spans="19:19" ht="26.25">
      <c r="S4309" s="61" ph="1"/>
    </row>
    <row r="4310" spans="19:19" ht="26.25">
      <c r="S4310" s="61" ph="1"/>
    </row>
    <row r="4311" spans="19:19" ht="26.25">
      <c r="S4311" s="61" ph="1"/>
    </row>
    <row r="4312" spans="19:19" ht="26.25">
      <c r="S4312" s="61" ph="1"/>
    </row>
    <row r="4313" spans="19:19" ht="26.25">
      <c r="S4313" s="61" ph="1"/>
    </row>
    <row r="4314" spans="19:19" ht="26.25">
      <c r="S4314" s="61" ph="1"/>
    </row>
    <row r="4315" spans="19:19" ht="26.25">
      <c r="S4315" s="61" ph="1"/>
    </row>
    <row r="4316" spans="19:19" ht="26.25">
      <c r="S4316" s="61" ph="1"/>
    </row>
    <row r="4317" spans="19:19" ht="26.25">
      <c r="S4317" s="61" ph="1"/>
    </row>
    <row r="4318" spans="19:19" ht="26.25">
      <c r="S4318" s="61" ph="1"/>
    </row>
    <row r="4319" spans="19:19" ht="26.25">
      <c r="S4319" s="61" ph="1"/>
    </row>
    <row r="4320" spans="19:19" ht="26.25">
      <c r="S4320" s="61" ph="1"/>
    </row>
    <row r="4321" spans="19:19" ht="26.25">
      <c r="S4321" s="61" ph="1"/>
    </row>
    <row r="4322" spans="19:19" ht="26.25">
      <c r="S4322" s="61" ph="1"/>
    </row>
    <row r="4323" spans="19:19" ht="26.25">
      <c r="S4323" s="61" ph="1"/>
    </row>
    <row r="4324" spans="19:19" ht="26.25">
      <c r="S4324" s="61" ph="1"/>
    </row>
    <row r="4325" spans="19:19" ht="26.25">
      <c r="S4325" s="61" ph="1"/>
    </row>
    <row r="4326" spans="19:19" ht="26.25">
      <c r="S4326" s="61" ph="1"/>
    </row>
    <row r="4327" spans="19:19" ht="26.25">
      <c r="S4327" s="61" ph="1"/>
    </row>
    <row r="4328" spans="19:19" ht="26.25">
      <c r="S4328" s="61" ph="1"/>
    </row>
    <row r="4329" spans="19:19" ht="26.25">
      <c r="S4329" s="61" ph="1"/>
    </row>
    <row r="4330" spans="19:19" ht="26.25">
      <c r="S4330" s="61" ph="1"/>
    </row>
    <row r="4331" spans="19:19" ht="26.25">
      <c r="S4331" s="61" ph="1"/>
    </row>
    <row r="4332" spans="19:19" ht="26.25">
      <c r="S4332" s="61" ph="1"/>
    </row>
    <row r="4333" spans="19:19" ht="26.25">
      <c r="S4333" s="61" ph="1"/>
    </row>
    <row r="4334" spans="19:19" ht="26.25">
      <c r="S4334" s="61" ph="1"/>
    </row>
    <row r="4335" spans="19:19" ht="26.25">
      <c r="S4335" s="61" ph="1"/>
    </row>
    <row r="4336" spans="19:19" ht="26.25">
      <c r="S4336" s="61" ph="1"/>
    </row>
    <row r="4337" spans="19:19" ht="26.25">
      <c r="S4337" s="61" ph="1"/>
    </row>
    <row r="4338" spans="19:19" ht="26.25">
      <c r="S4338" s="61" ph="1"/>
    </row>
    <row r="4339" spans="19:19" ht="26.25">
      <c r="S4339" s="61" ph="1"/>
    </row>
    <row r="4340" spans="19:19" ht="26.25">
      <c r="S4340" s="61" ph="1"/>
    </row>
    <row r="4341" spans="19:19" ht="26.25">
      <c r="S4341" s="61" ph="1"/>
    </row>
    <row r="4342" spans="19:19" ht="26.25">
      <c r="S4342" s="61" ph="1"/>
    </row>
    <row r="4343" spans="19:19" ht="26.25">
      <c r="S4343" s="61" ph="1"/>
    </row>
    <row r="4344" spans="19:19" ht="26.25">
      <c r="S4344" s="61" ph="1"/>
    </row>
    <row r="4345" spans="19:19" ht="26.25">
      <c r="S4345" s="61" ph="1"/>
    </row>
    <row r="4346" spans="19:19" ht="26.25">
      <c r="S4346" s="61" ph="1"/>
    </row>
    <row r="4347" spans="19:19" ht="26.25">
      <c r="S4347" s="61" ph="1"/>
    </row>
    <row r="4348" spans="19:19" ht="26.25">
      <c r="S4348" s="61" ph="1"/>
    </row>
    <row r="4349" spans="19:19" ht="26.25">
      <c r="S4349" s="61" ph="1"/>
    </row>
    <row r="4350" spans="19:19" ht="26.25">
      <c r="S4350" s="61" ph="1"/>
    </row>
    <row r="4351" spans="19:19" ht="26.25">
      <c r="S4351" s="61" ph="1"/>
    </row>
    <row r="4352" spans="19:19" ht="26.25">
      <c r="S4352" s="61" ph="1"/>
    </row>
    <row r="4353" spans="19:19" ht="26.25">
      <c r="S4353" s="61" ph="1"/>
    </row>
    <row r="4354" spans="19:19" ht="26.25">
      <c r="S4354" s="61" ph="1"/>
    </row>
    <row r="4355" spans="19:19" ht="26.25">
      <c r="S4355" s="61" ph="1"/>
    </row>
    <row r="4356" spans="19:19" ht="26.25">
      <c r="S4356" s="61" ph="1"/>
    </row>
    <row r="4357" spans="19:19" ht="26.25">
      <c r="S4357" s="61" ph="1"/>
    </row>
    <row r="4358" spans="19:19" ht="26.25">
      <c r="S4358" s="61" ph="1"/>
    </row>
    <row r="4359" spans="19:19" ht="26.25">
      <c r="S4359" s="61" ph="1"/>
    </row>
    <row r="4360" spans="19:19" ht="26.25">
      <c r="S4360" s="61" ph="1"/>
    </row>
    <row r="4361" spans="19:19" ht="26.25">
      <c r="S4361" s="61" ph="1"/>
    </row>
    <row r="4362" spans="19:19" ht="26.25">
      <c r="S4362" s="61" ph="1"/>
    </row>
    <row r="4363" spans="19:19" ht="26.25">
      <c r="S4363" s="61" ph="1"/>
    </row>
    <row r="4364" spans="19:19" ht="26.25">
      <c r="S4364" s="61" ph="1"/>
    </row>
    <row r="4365" spans="19:19" ht="26.25">
      <c r="S4365" s="61" ph="1"/>
    </row>
    <row r="4366" spans="19:19" ht="26.25">
      <c r="S4366" s="61" ph="1"/>
    </row>
    <row r="4367" spans="19:19" ht="26.25">
      <c r="S4367" s="61" ph="1"/>
    </row>
    <row r="4368" spans="19:19" ht="26.25">
      <c r="S4368" s="61" ph="1"/>
    </row>
    <row r="4369" spans="19:19" ht="26.25">
      <c r="S4369" s="61" ph="1"/>
    </row>
    <row r="4370" spans="19:19" ht="26.25">
      <c r="S4370" s="61" ph="1"/>
    </row>
    <row r="4371" spans="19:19" ht="26.25">
      <c r="S4371" s="61" ph="1"/>
    </row>
    <row r="4372" spans="19:19" ht="26.25">
      <c r="S4372" s="61" ph="1"/>
    </row>
    <row r="4373" spans="19:19" ht="26.25">
      <c r="S4373" s="61" ph="1"/>
    </row>
    <row r="4374" spans="19:19" ht="26.25">
      <c r="S4374" s="61" ph="1"/>
    </row>
    <row r="4375" spans="19:19" ht="26.25">
      <c r="S4375" s="61" ph="1"/>
    </row>
    <row r="4376" spans="19:19" ht="26.25">
      <c r="S4376" s="61" ph="1"/>
    </row>
    <row r="4377" spans="19:19" ht="26.25">
      <c r="S4377" s="61" ph="1"/>
    </row>
    <row r="4378" spans="19:19" ht="26.25">
      <c r="S4378" s="61" ph="1"/>
    </row>
    <row r="4379" spans="19:19" ht="26.25">
      <c r="S4379" s="61" ph="1"/>
    </row>
    <row r="4380" spans="19:19" ht="26.25">
      <c r="S4380" s="61" ph="1"/>
    </row>
    <row r="4381" spans="19:19" ht="26.25">
      <c r="S4381" s="61" ph="1"/>
    </row>
    <row r="4382" spans="19:19" ht="26.25">
      <c r="S4382" s="61" ph="1"/>
    </row>
    <row r="4383" spans="19:19" ht="26.25">
      <c r="S4383" s="61" ph="1"/>
    </row>
    <row r="4384" spans="19:19" ht="26.25">
      <c r="S4384" s="61" ph="1"/>
    </row>
    <row r="4385" spans="19:19" ht="26.25">
      <c r="S4385" s="61" ph="1"/>
    </row>
    <row r="4386" spans="19:19" ht="26.25">
      <c r="S4386" s="61" ph="1"/>
    </row>
    <row r="4387" spans="19:19" ht="26.25">
      <c r="S4387" s="61" ph="1"/>
    </row>
    <row r="4388" spans="19:19" ht="26.25">
      <c r="S4388" s="61" ph="1"/>
    </row>
    <row r="4389" spans="19:19" ht="26.25">
      <c r="S4389" s="61" ph="1"/>
    </row>
    <row r="4390" spans="19:19" ht="26.25">
      <c r="S4390" s="61" ph="1"/>
    </row>
    <row r="4391" spans="19:19" ht="26.25">
      <c r="S4391" s="61" ph="1"/>
    </row>
    <row r="4392" spans="19:19" ht="26.25">
      <c r="S4392" s="61" ph="1"/>
    </row>
    <row r="4393" spans="19:19" ht="26.25">
      <c r="S4393" s="61" ph="1"/>
    </row>
    <row r="4394" spans="19:19" ht="26.25">
      <c r="S4394" s="61" ph="1"/>
    </row>
    <row r="4395" spans="19:19" ht="26.25">
      <c r="S4395" s="61" ph="1"/>
    </row>
    <row r="4396" spans="19:19" ht="26.25">
      <c r="S4396" s="61" ph="1"/>
    </row>
    <row r="4397" spans="19:19" ht="26.25">
      <c r="S4397" s="61" ph="1"/>
    </row>
    <row r="4398" spans="19:19" ht="26.25">
      <c r="S4398" s="61" ph="1"/>
    </row>
    <row r="4399" spans="19:19" ht="26.25">
      <c r="S4399" s="61" ph="1"/>
    </row>
    <row r="4400" spans="19:19" ht="26.25">
      <c r="S4400" s="61" ph="1"/>
    </row>
    <row r="4401" spans="19:19" ht="26.25">
      <c r="S4401" s="61" ph="1"/>
    </row>
    <row r="4402" spans="19:19" ht="26.25">
      <c r="S4402" s="61" ph="1"/>
    </row>
    <row r="4403" spans="19:19" ht="26.25">
      <c r="S4403" s="61" ph="1"/>
    </row>
    <row r="4404" spans="19:19" ht="26.25">
      <c r="S4404" s="61" ph="1"/>
    </row>
    <row r="4405" spans="19:19" ht="26.25">
      <c r="S4405" s="61" ph="1"/>
    </row>
    <row r="4406" spans="19:19" ht="26.25">
      <c r="S4406" s="61" ph="1"/>
    </row>
    <row r="4407" spans="19:19" ht="26.25">
      <c r="S4407" s="61" ph="1"/>
    </row>
    <row r="4408" spans="19:19" ht="26.25">
      <c r="S4408" s="61" ph="1"/>
    </row>
    <row r="4409" spans="19:19" ht="26.25">
      <c r="S4409" s="61" ph="1"/>
    </row>
    <row r="4410" spans="19:19" ht="26.25">
      <c r="S4410" s="61" ph="1"/>
    </row>
    <row r="4411" spans="19:19" ht="26.25">
      <c r="S4411" s="61" ph="1"/>
    </row>
    <row r="4412" spans="19:19" ht="26.25">
      <c r="S4412" s="61" ph="1"/>
    </row>
    <row r="4413" spans="19:19" ht="26.25">
      <c r="S4413" s="61" ph="1"/>
    </row>
    <row r="4414" spans="19:19" ht="26.25">
      <c r="S4414" s="61" ph="1"/>
    </row>
    <row r="4415" spans="19:19" ht="26.25">
      <c r="S4415" s="61" ph="1"/>
    </row>
    <row r="4416" spans="19:19" ht="26.25">
      <c r="S4416" s="61" ph="1"/>
    </row>
    <row r="4417" spans="19:19" ht="26.25">
      <c r="S4417" s="61" ph="1"/>
    </row>
    <row r="4418" spans="19:19" ht="26.25">
      <c r="S4418" s="61" ph="1"/>
    </row>
    <row r="4419" spans="19:19" ht="26.25">
      <c r="S4419" s="61" ph="1"/>
    </row>
    <row r="4420" spans="19:19" ht="26.25">
      <c r="S4420" s="61" ph="1"/>
    </row>
    <row r="4421" spans="19:19" ht="26.25">
      <c r="S4421" s="61" ph="1"/>
    </row>
    <row r="4422" spans="19:19" ht="26.25">
      <c r="S4422" s="61" ph="1"/>
    </row>
    <row r="4423" spans="19:19" ht="26.25">
      <c r="S4423" s="61" ph="1"/>
    </row>
    <row r="4424" spans="19:19" ht="26.25">
      <c r="S4424" s="61" ph="1"/>
    </row>
    <row r="4425" spans="19:19" ht="26.25">
      <c r="S4425" s="61" ph="1"/>
    </row>
    <row r="4426" spans="19:19" ht="26.25">
      <c r="S4426" s="61" ph="1"/>
    </row>
    <row r="4427" spans="19:19" ht="26.25">
      <c r="S4427" s="61" ph="1"/>
    </row>
    <row r="4428" spans="19:19" ht="26.25">
      <c r="S4428" s="61" ph="1"/>
    </row>
    <row r="4429" spans="19:19" ht="26.25">
      <c r="S4429" s="61" ph="1"/>
    </row>
    <row r="4430" spans="19:19" ht="26.25">
      <c r="S4430" s="61" ph="1"/>
    </row>
    <row r="4431" spans="19:19" ht="26.25">
      <c r="S4431" s="61" ph="1"/>
    </row>
    <row r="4432" spans="19:19" ht="26.25">
      <c r="S4432" s="61" ph="1"/>
    </row>
    <row r="4433" spans="19:19" ht="26.25">
      <c r="S4433" s="61" ph="1"/>
    </row>
    <row r="4434" spans="19:19" ht="26.25">
      <c r="S4434" s="61" ph="1"/>
    </row>
    <row r="4435" spans="19:19" ht="26.25">
      <c r="S4435" s="61" ph="1"/>
    </row>
    <row r="4436" spans="19:19" ht="26.25">
      <c r="S4436" s="61" ph="1"/>
    </row>
    <row r="4437" spans="19:19" ht="26.25">
      <c r="S4437" s="61" ph="1"/>
    </row>
    <row r="4438" spans="19:19" ht="26.25">
      <c r="S4438" s="61" ph="1"/>
    </row>
    <row r="4439" spans="19:19" ht="26.25">
      <c r="S4439" s="61" ph="1"/>
    </row>
    <row r="4440" spans="19:19" ht="26.25">
      <c r="S4440" s="61" ph="1"/>
    </row>
    <row r="4441" spans="19:19" ht="26.25">
      <c r="S4441" s="61" ph="1"/>
    </row>
    <row r="4442" spans="19:19" ht="26.25">
      <c r="S4442" s="61" ph="1"/>
    </row>
    <row r="4443" spans="19:19" ht="26.25">
      <c r="S4443" s="61" ph="1"/>
    </row>
    <row r="4444" spans="19:19" ht="26.25">
      <c r="S4444" s="61" ph="1"/>
    </row>
    <row r="4445" spans="19:19" ht="26.25">
      <c r="S4445" s="61" ph="1"/>
    </row>
    <row r="4446" spans="19:19" ht="26.25">
      <c r="S4446" s="61" ph="1"/>
    </row>
    <row r="4447" spans="19:19" ht="26.25">
      <c r="S4447" s="61" ph="1"/>
    </row>
    <row r="4448" spans="19:19" ht="26.25">
      <c r="S4448" s="61" ph="1"/>
    </row>
    <row r="4449" spans="19:19" ht="26.25">
      <c r="S4449" s="61" ph="1"/>
    </row>
    <row r="4450" spans="19:19" ht="26.25">
      <c r="S4450" s="61" ph="1"/>
    </row>
    <row r="4451" spans="19:19" ht="26.25">
      <c r="S4451" s="61" ph="1"/>
    </row>
    <row r="4452" spans="19:19" ht="26.25">
      <c r="S4452" s="61" ph="1"/>
    </row>
    <row r="4453" spans="19:19" ht="26.25">
      <c r="S4453" s="61" ph="1"/>
    </row>
    <row r="4454" spans="19:19" ht="26.25">
      <c r="S4454" s="61" ph="1"/>
    </row>
    <row r="4455" spans="19:19" ht="26.25">
      <c r="S4455" s="61" ph="1"/>
    </row>
    <row r="4456" spans="19:19" ht="26.25">
      <c r="S4456" s="61" ph="1"/>
    </row>
    <row r="4457" spans="19:19" ht="26.25">
      <c r="S4457" s="61" ph="1"/>
    </row>
    <row r="4458" spans="19:19" ht="26.25">
      <c r="S4458" s="61" ph="1"/>
    </row>
    <row r="4459" spans="19:19" ht="26.25">
      <c r="S4459" s="61" ph="1"/>
    </row>
    <row r="4460" spans="19:19" ht="26.25">
      <c r="S4460" s="61" ph="1"/>
    </row>
    <row r="4461" spans="19:19" ht="26.25">
      <c r="S4461" s="61" ph="1"/>
    </row>
    <row r="4462" spans="19:19" ht="26.25">
      <c r="S4462" s="61" ph="1"/>
    </row>
    <row r="4463" spans="19:19" ht="26.25">
      <c r="S4463" s="61" ph="1"/>
    </row>
    <row r="4464" spans="19:19" ht="26.25">
      <c r="S4464" s="61" ph="1"/>
    </row>
    <row r="4465" spans="19:19" ht="26.25">
      <c r="S4465" s="61" ph="1"/>
    </row>
    <row r="4466" spans="19:19" ht="26.25">
      <c r="S4466" s="61" ph="1"/>
    </row>
    <row r="4467" spans="19:19" ht="26.25">
      <c r="S4467" s="61" ph="1"/>
    </row>
    <row r="4468" spans="19:19" ht="26.25">
      <c r="S4468" s="61" ph="1"/>
    </row>
    <row r="4469" spans="19:19" ht="26.25">
      <c r="S4469" s="61" ph="1"/>
    </row>
    <row r="4470" spans="19:19" ht="26.25">
      <c r="S4470" s="61" ph="1"/>
    </row>
    <row r="4471" spans="19:19" ht="26.25">
      <c r="S4471" s="61" ph="1"/>
    </row>
    <row r="4472" spans="19:19" ht="26.25">
      <c r="S4472" s="61" ph="1"/>
    </row>
    <row r="4473" spans="19:19" ht="26.25">
      <c r="S4473" s="61" ph="1"/>
    </row>
    <row r="4474" spans="19:19" ht="26.25">
      <c r="S4474" s="61" ph="1"/>
    </row>
    <row r="4475" spans="19:19" ht="26.25">
      <c r="S4475" s="61" ph="1"/>
    </row>
    <row r="4476" spans="19:19" ht="26.25">
      <c r="S4476" s="61" ph="1"/>
    </row>
    <row r="4477" spans="19:19" ht="26.25">
      <c r="S4477" s="61" ph="1"/>
    </row>
    <row r="4478" spans="19:19" ht="26.25">
      <c r="S4478" s="61" ph="1"/>
    </row>
    <row r="4479" spans="19:19" ht="26.25">
      <c r="S4479" s="61" ph="1"/>
    </row>
    <row r="4480" spans="19:19" ht="26.25">
      <c r="S4480" s="61" ph="1"/>
    </row>
    <row r="4481" spans="19:19" ht="26.25">
      <c r="S4481" s="61" ph="1"/>
    </row>
    <row r="4482" spans="19:19" ht="26.25">
      <c r="S4482" s="61" ph="1"/>
    </row>
    <row r="4483" spans="19:19" ht="26.25">
      <c r="S4483" s="61" ph="1"/>
    </row>
    <row r="4484" spans="19:19" ht="26.25">
      <c r="S4484" s="61" ph="1"/>
    </row>
    <row r="4485" spans="19:19" ht="26.25">
      <c r="S4485" s="61" ph="1"/>
    </row>
    <row r="4486" spans="19:19" ht="26.25">
      <c r="S4486" s="61" ph="1"/>
    </row>
    <row r="4487" spans="19:19" ht="26.25">
      <c r="S4487" s="61" ph="1"/>
    </row>
    <row r="4488" spans="19:19" ht="26.25">
      <c r="S4488" s="61" ph="1"/>
    </row>
    <row r="4489" spans="19:19" ht="26.25">
      <c r="S4489" s="61" ph="1"/>
    </row>
    <row r="4490" spans="19:19" ht="26.25">
      <c r="S4490" s="61" ph="1"/>
    </row>
    <row r="4491" spans="19:19" ht="26.25">
      <c r="S4491" s="61" ph="1"/>
    </row>
    <row r="4492" spans="19:19" ht="26.25">
      <c r="S4492" s="61" ph="1"/>
    </row>
    <row r="4493" spans="19:19" ht="26.25">
      <c r="S4493" s="61" ph="1"/>
    </row>
    <row r="4494" spans="19:19" ht="26.25">
      <c r="S4494" s="61" ph="1"/>
    </row>
    <row r="4495" spans="19:19" ht="26.25">
      <c r="S4495" s="61" ph="1"/>
    </row>
    <row r="4496" spans="19:19" ht="26.25">
      <c r="S4496" s="61" ph="1"/>
    </row>
    <row r="4497" spans="19:19" ht="26.25">
      <c r="S4497" s="61" ph="1"/>
    </row>
    <row r="4498" spans="19:19" ht="26.25">
      <c r="S4498" s="61" ph="1"/>
    </row>
    <row r="4499" spans="19:19" ht="26.25">
      <c r="S4499" s="61" ph="1"/>
    </row>
    <row r="4500" spans="19:19" ht="26.25">
      <c r="S4500" s="61" ph="1"/>
    </row>
    <row r="4501" spans="19:19" ht="26.25">
      <c r="S4501" s="61" ph="1"/>
    </row>
    <row r="4502" spans="19:19" ht="26.25">
      <c r="S4502" s="61" ph="1"/>
    </row>
    <row r="4503" spans="19:19" ht="26.25">
      <c r="S4503" s="61" ph="1"/>
    </row>
    <row r="4504" spans="19:19" ht="26.25">
      <c r="S4504" s="61" ph="1"/>
    </row>
    <row r="4505" spans="19:19" ht="26.25">
      <c r="S4505" s="61" ph="1"/>
    </row>
    <row r="4506" spans="19:19" ht="26.25">
      <c r="S4506" s="61" ph="1"/>
    </row>
    <row r="4507" spans="19:19" ht="26.25">
      <c r="S4507" s="61" ph="1"/>
    </row>
    <row r="4508" spans="19:19" ht="26.25">
      <c r="S4508" s="61" ph="1"/>
    </row>
    <row r="4509" spans="19:19" ht="26.25">
      <c r="S4509" s="61" ph="1"/>
    </row>
    <row r="4510" spans="19:19" ht="26.25">
      <c r="S4510" s="61" ph="1"/>
    </row>
    <row r="4511" spans="19:19" ht="26.25">
      <c r="S4511" s="61" ph="1"/>
    </row>
    <row r="4512" spans="19:19" ht="26.25">
      <c r="S4512" s="61" ph="1"/>
    </row>
    <row r="4513" spans="19:19" ht="26.25">
      <c r="S4513" s="61" ph="1"/>
    </row>
    <row r="4514" spans="19:19" ht="26.25">
      <c r="S4514" s="61" ph="1"/>
    </row>
    <row r="4515" spans="19:19" ht="26.25">
      <c r="S4515" s="61" ph="1"/>
    </row>
    <row r="4516" spans="19:19" ht="26.25">
      <c r="S4516" s="61" ph="1"/>
    </row>
    <row r="4517" spans="19:19" ht="26.25">
      <c r="S4517" s="61" ph="1"/>
    </row>
    <row r="4518" spans="19:19" ht="26.25">
      <c r="S4518" s="61" ph="1"/>
    </row>
    <row r="4519" spans="19:19" ht="26.25">
      <c r="S4519" s="61" ph="1"/>
    </row>
    <row r="4520" spans="19:19" ht="26.25">
      <c r="S4520" s="61" ph="1"/>
    </row>
    <row r="4521" spans="19:19" ht="26.25">
      <c r="S4521" s="61" ph="1"/>
    </row>
    <row r="4522" spans="19:19" ht="26.25">
      <c r="S4522" s="61" ph="1"/>
    </row>
    <row r="4523" spans="19:19" ht="26.25">
      <c r="S4523" s="61" ph="1"/>
    </row>
    <row r="4524" spans="19:19" ht="26.25">
      <c r="S4524" s="61" ph="1"/>
    </row>
    <row r="4525" spans="19:19" ht="26.25">
      <c r="S4525" s="61" ph="1"/>
    </row>
    <row r="4526" spans="19:19" ht="26.25">
      <c r="S4526" s="61" ph="1"/>
    </row>
    <row r="4527" spans="19:19" ht="26.25">
      <c r="S4527" s="61" ph="1"/>
    </row>
    <row r="4528" spans="19:19" ht="26.25">
      <c r="S4528" s="61" ph="1"/>
    </row>
    <row r="4529" spans="19:19" ht="26.25">
      <c r="S4529" s="61" ph="1"/>
    </row>
    <row r="4530" spans="19:19" ht="26.25">
      <c r="S4530" s="61" ph="1"/>
    </row>
    <row r="4531" spans="19:19" ht="26.25">
      <c r="S4531" s="61" ph="1"/>
    </row>
    <row r="4532" spans="19:19" ht="26.25">
      <c r="S4532" s="61" ph="1"/>
    </row>
    <row r="4533" spans="19:19" ht="26.25">
      <c r="S4533" s="61" ph="1"/>
    </row>
    <row r="4534" spans="19:19" ht="26.25">
      <c r="S4534" s="61" ph="1"/>
    </row>
    <row r="4535" spans="19:19" ht="26.25">
      <c r="S4535" s="61" ph="1"/>
    </row>
    <row r="4536" spans="19:19" ht="26.25">
      <c r="S4536" s="61" ph="1"/>
    </row>
    <row r="4537" spans="19:19" ht="26.25">
      <c r="S4537" s="61" ph="1"/>
    </row>
    <row r="4538" spans="19:19" ht="26.25">
      <c r="S4538" s="61" ph="1"/>
    </row>
    <row r="4539" spans="19:19" ht="26.25">
      <c r="S4539" s="61" ph="1"/>
    </row>
    <row r="4540" spans="19:19" ht="26.25">
      <c r="S4540" s="61" ph="1"/>
    </row>
    <row r="4541" spans="19:19" ht="26.25">
      <c r="S4541" s="61" ph="1"/>
    </row>
    <row r="4542" spans="19:19" ht="26.25">
      <c r="S4542" s="61" ph="1"/>
    </row>
    <row r="4543" spans="19:19" ht="26.25">
      <c r="S4543" s="61" ph="1"/>
    </row>
    <row r="4544" spans="19:19" ht="26.25">
      <c r="S4544" s="61" ph="1"/>
    </row>
    <row r="4545" spans="19:19" ht="26.25">
      <c r="S4545" s="61" ph="1"/>
    </row>
    <row r="4546" spans="19:19" ht="26.25">
      <c r="S4546" s="61" ph="1"/>
    </row>
    <row r="4547" spans="19:19" ht="26.25">
      <c r="S4547" s="61" ph="1"/>
    </row>
    <row r="4548" spans="19:19" ht="26.25">
      <c r="S4548" s="61" ph="1"/>
    </row>
    <row r="4549" spans="19:19" ht="26.25">
      <c r="S4549" s="61" ph="1"/>
    </row>
    <row r="4550" spans="19:19" ht="26.25">
      <c r="S4550" s="61" ph="1"/>
    </row>
    <row r="4551" spans="19:19" ht="26.25">
      <c r="S4551" s="61" ph="1"/>
    </row>
    <row r="4552" spans="19:19" ht="26.25">
      <c r="S4552" s="61" ph="1"/>
    </row>
    <row r="4553" spans="19:19" ht="26.25">
      <c r="S4553" s="61" ph="1"/>
    </row>
    <row r="4554" spans="19:19" ht="26.25">
      <c r="S4554" s="61" ph="1"/>
    </row>
    <row r="4555" spans="19:19" ht="26.25">
      <c r="S4555" s="61" ph="1"/>
    </row>
    <row r="4556" spans="19:19" ht="26.25">
      <c r="S4556" s="61" ph="1"/>
    </row>
    <row r="4557" spans="19:19" ht="26.25">
      <c r="S4557" s="61" ph="1"/>
    </row>
    <row r="4558" spans="19:19" ht="26.25">
      <c r="S4558" s="61" ph="1"/>
    </row>
    <row r="4559" spans="19:19" ht="26.25">
      <c r="S4559" s="61" ph="1"/>
    </row>
    <row r="4560" spans="19:19" ht="26.25">
      <c r="S4560" s="61" ph="1"/>
    </row>
    <row r="4561" spans="19:19" ht="26.25">
      <c r="S4561" s="61" ph="1"/>
    </row>
    <row r="4562" spans="19:19" ht="26.25">
      <c r="S4562" s="61" ph="1"/>
    </row>
    <row r="4563" spans="19:19" ht="26.25">
      <c r="S4563" s="61" ph="1"/>
    </row>
    <row r="4564" spans="19:19" ht="26.25">
      <c r="S4564" s="61" ph="1"/>
    </row>
    <row r="4565" spans="19:19" ht="26.25">
      <c r="S4565" s="61" ph="1"/>
    </row>
    <row r="4566" spans="19:19" ht="26.25">
      <c r="S4566" s="61" ph="1"/>
    </row>
    <row r="4567" spans="19:19" ht="26.25">
      <c r="S4567" s="61" ph="1"/>
    </row>
    <row r="4568" spans="19:19" ht="26.25">
      <c r="S4568" s="61" ph="1"/>
    </row>
    <row r="4569" spans="19:19" ht="26.25">
      <c r="S4569" s="61" ph="1"/>
    </row>
    <row r="4570" spans="19:19" ht="26.25">
      <c r="S4570" s="61" ph="1"/>
    </row>
    <row r="4571" spans="19:19" ht="26.25">
      <c r="S4571" s="61" ph="1"/>
    </row>
    <row r="4572" spans="19:19" ht="26.25">
      <c r="S4572" s="61" ph="1"/>
    </row>
    <row r="4573" spans="19:19" ht="26.25">
      <c r="S4573" s="61" ph="1"/>
    </row>
    <row r="4574" spans="19:19" ht="26.25">
      <c r="S4574" s="61" ph="1"/>
    </row>
    <row r="4575" spans="19:19" ht="26.25">
      <c r="S4575" s="61" ph="1"/>
    </row>
    <row r="4576" spans="19:19" ht="26.25">
      <c r="S4576" s="61" ph="1"/>
    </row>
    <row r="4577" spans="19:19" ht="26.25">
      <c r="S4577" s="61" ph="1"/>
    </row>
    <row r="4578" spans="19:19" ht="26.25">
      <c r="S4578" s="61" ph="1"/>
    </row>
    <row r="4579" spans="19:19" ht="26.25">
      <c r="S4579" s="61" ph="1"/>
    </row>
    <row r="4580" spans="19:19" ht="26.25">
      <c r="S4580" s="61" ph="1"/>
    </row>
    <row r="4581" spans="19:19" ht="26.25">
      <c r="S4581" s="61" ph="1"/>
    </row>
    <row r="4582" spans="19:19" ht="26.25">
      <c r="S4582" s="61" ph="1"/>
    </row>
    <row r="4583" spans="19:19" ht="26.25">
      <c r="S4583" s="61" ph="1"/>
    </row>
    <row r="4584" spans="19:19" ht="26.25">
      <c r="S4584" s="61" ph="1"/>
    </row>
    <row r="4585" spans="19:19" ht="26.25">
      <c r="S4585" s="61" ph="1"/>
    </row>
    <row r="4586" spans="19:19" ht="26.25">
      <c r="S4586" s="61" ph="1"/>
    </row>
    <row r="4587" spans="19:19" ht="26.25">
      <c r="S4587" s="61" ph="1"/>
    </row>
    <row r="4588" spans="19:19" ht="26.25">
      <c r="S4588" s="61" ph="1"/>
    </row>
    <row r="4589" spans="19:19" ht="26.25">
      <c r="S4589" s="61" ph="1"/>
    </row>
    <row r="4590" spans="19:19" ht="26.25">
      <c r="S4590" s="61" ph="1"/>
    </row>
    <row r="4591" spans="19:19" ht="26.25">
      <c r="S4591" s="61" ph="1"/>
    </row>
    <row r="4592" spans="19:19" ht="26.25">
      <c r="S4592" s="61" ph="1"/>
    </row>
    <row r="4593" spans="19:19" ht="26.25">
      <c r="S4593" s="61" ph="1"/>
    </row>
    <row r="4594" spans="19:19" ht="26.25">
      <c r="S4594" s="61" ph="1"/>
    </row>
    <row r="4595" spans="19:19" ht="26.25">
      <c r="S4595" s="61" ph="1"/>
    </row>
    <row r="4596" spans="19:19" ht="26.25">
      <c r="S4596" s="61" ph="1"/>
    </row>
    <row r="4597" spans="19:19" ht="26.25">
      <c r="S4597" s="61" ph="1"/>
    </row>
    <row r="4598" spans="19:19" ht="26.25">
      <c r="S4598" s="61" ph="1"/>
    </row>
    <row r="4599" spans="19:19" ht="26.25">
      <c r="S4599" s="61" ph="1"/>
    </row>
    <row r="4600" spans="19:19" ht="26.25">
      <c r="S4600" s="61" ph="1"/>
    </row>
    <row r="4601" spans="19:19" ht="26.25">
      <c r="S4601" s="61" ph="1"/>
    </row>
    <row r="4602" spans="19:19" ht="26.25">
      <c r="S4602" s="61" ph="1"/>
    </row>
    <row r="4603" spans="19:19" ht="26.25">
      <c r="S4603" s="61" ph="1"/>
    </row>
    <row r="4604" spans="19:19" ht="26.25">
      <c r="S4604" s="61" ph="1"/>
    </row>
    <row r="4605" spans="19:19" ht="26.25">
      <c r="S4605" s="61" ph="1"/>
    </row>
    <row r="4606" spans="19:19" ht="26.25">
      <c r="S4606" s="61" ph="1"/>
    </row>
    <row r="4607" spans="19:19" ht="26.25">
      <c r="S4607" s="61" ph="1"/>
    </row>
    <row r="4608" spans="19:19" ht="26.25">
      <c r="S4608" s="61" ph="1"/>
    </row>
    <row r="4609" spans="19:19" ht="26.25">
      <c r="S4609" s="61" ph="1"/>
    </row>
    <row r="4610" spans="19:19" ht="26.25">
      <c r="S4610" s="61" ph="1"/>
    </row>
    <row r="4611" spans="19:19" ht="26.25">
      <c r="S4611" s="61" ph="1"/>
    </row>
    <row r="4612" spans="19:19" ht="26.25">
      <c r="S4612" s="61" ph="1"/>
    </row>
    <row r="4613" spans="19:19" ht="26.25">
      <c r="S4613" s="61" ph="1"/>
    </row>
    <row r="4614" spans="19:19" ht="26.25">
      <c r="S4614" s="61" ph="1"/>
    </row>
    <row r="4615" spans="19:19" ht="26.25">
      <c r="S4615" s="61" ph="1"/>
    </row>
    <row r="4616" spans="19:19" ht="26.25">
      <c r="S4616" s="61" ph="1"/>
    </row>
    <row r="4617" spans="19:19" ht="26.25">
      <c r="S4617" s="61" ph="1"/>
    </row>
    <row r="4618" spans="19:19" ht="26.25">
      <c r="S4618" s="61" ph="1"/>
    </row>
    <row r="4619" spans="19:19" ht="26.25">
      <c r="S4619" s="61" ph="1"/>
    </row>
    <row r="4620" spans="19:19" ht="26.25">
      <c r="S4620" s="61" ph="1"/>
    </row>
    <row r="4621" spans="19:19" ht="26.25">
      <c r="S4621" s="61" ph="1"/>
    </row>
    <row r="4622" spans="19:19" ht="26.25">
      <c r="S4622" s="61" ph="1"/>
    </row>
    <row r="4623" spans="19:19" ht="26.25">
      <c r="S4623" s="61" ph="1"/>
    </row>
    <row r="4624" spans="19:19" ht="26.25">
      <c r="S4624" s="61" ph="1"/>
    </row>
    <row r="4625" spans="19:19" ht="26.25">
      <c r="S4625" s="61" ph="1"/>
    </row>
    <row r="4626" spans="19:19" ht="26.25">
      <c r="S4626" s="61" ph="1"/>
    </row>
    <row r="4627" spans="19:19" ht="26.25">
      <c r="S4627" s="61" ph="1"/>
    </row>
    <row r="4628" spans="19:19" ht="26.25">
      <c r="S4628" s="61" ph="1"/>
    </row>
    <row r="4629" spans="19:19" ht="26.25">
      <c r="S4629" s="61" ph="1"/>
    </row>
    <row r="4630" spans="19:19" ht="26.25">
      <c r="S4630" s="61" ph="1"/>
    </row>
    <row r="4631" spans="19:19" ht="26.25">
      <c r="S4631" s="61" ph="1"/>
    </row>
    <row r="4632" spans="19:19" ht="26.25">
      <c r="S4632" s="61" ph="1"/>
    </row>
    <row r="4633" spans="19:19" ht="26.25">
      <c r="S4633" s="61" ph="1"/>
    </row>
    <row r="4634" spans="19:19" ht="26.25">
      <c r="S4634" s="61" ph="1"/>
    </row>
    <row r="4635" spans="19:19" ht="26.25">
      <c r="S4635" s="61" ph="1"/>
    </row>
    <row r="4636" spans="19:19" ht="26.25">
      <c r="S4636" s="61" ph="1"/>
    </row>
    <row r="4637" spans="19:19" ht="26.25">
      <c r="S4637" s="61" ph="1"/>
    </row>
    <row r="4638" spans="19:19" ht="26.25">
      <c r="S4638" s="61" ph="1"/>
    </row>
    <row r="4639" spans="19:19" ht="26.25">
      <c r="S4639" s="61" ph="1"/>
    </row>
    <row r="4640" spans="19:19" ht="26.25">
      <c r="S4640" s="61" ph="1"/>
    </row>
    <row r="4641" spans="19:19" ht="26.25">
      <c r="S4641" s="61" ph="1"/>
    </row>
    <row r="4642" spans="19:19" ht="26.25">
      <c r="S4642" s="61" ph="1"/>
    </row>
    <row r="4643" spans="19:19" ht="26.25">
      <c r="S4643" s="61" ph="1"/>
    </row>
    <row r="4644" spans="19:19" ht="26.25">
      <c r="S4644" s="61" ph="1"/>
    </row>
    <row r="4645" spans="19:19" ht="26.25">
      <c r="S4645" s="61" ph="1"/>
    </row>
    <row r="4646" spans="19:19" ht="26.25">
      <c r="S4646" s="61" ph="1"/>
    </row>
    <row r="4647" spans="19:19" ht="26.25">
      <c r="S4647" s="61" ph="1"/>
    </row>
    <row r="4648" spans="19:19" ht="26.25">
      <c r="S4648" s="61" ph="1"/>
    </row>
    <row r="4649" spans="19:19" ht="26.25">
      <c r="S4649" s="61" ph="1"/>
    </row>
    <row r="4650" spans="19:19" ht="26.25">
      <c r="S4650" s="61" ph="1"/>
    </row>
    <row r="4651" spans="19:19" ht="26.25">
      <c r="S4651" s="61" ph="1"/>
    </row>
    <row r="4652" spans="19:19" ht="26.25">
      <c r="S4652" s="61" ph="1"/>
    </row>
    <row r="4653" spans="19:19" ht="26.25">
      <c r="S4653" s="61" ph="1"/>
    </row>
    <row r="4654" spans="19:19" ht="26.25">
      <c r="S4654" s="61" ph="1"/>
    </row>
    <row r="4655" spans="19:19" ht="26.25">
      <c r="S4655" s="61" ph="1"/>
    </row>
    <row r="4656" spans="19:19" ht="26.25">
      <c r="S4656" s="61" ph="1"/>
    </row>
    <row r="4657" spans="19:19" ht="26.25">
      <c r="S4657" s="61" ph="1"/>
    </row>
    <row r="4658" spans="19:19" ht="26.25">
      <c r="S4658" s="61" ph="1"/>
    </row>
    <row r="4659" spans="19:19" ht="26.25">
      <c r="S4659" s="61" ph="1"/>
    </row>
    <row r="4660" spans="19:19" ht="26.25">
      <c r="S4660" s="61" ph="1"/>
    </row>
    <row r="4661" spans="19:19" ht="26.25">
      <c r="S4661" s="61" ph="1"/>
    </row>
    <row r="4662" spans="19:19" ht="26.25">
      <c r="S4662" s="61" ph="1"/>
    </row>
    <row r="4663" spans="19:19" ht="26.25">
      <c r="S4663" s="61" ph="1"/>
    </row>
    <row r="4664" spans="19:19" ht="26.25">
      <c r="S4664" s="61" ph="1"/>
    </row>
    <row r="4665" spans="19:19" ht="26.25">
      <c r="S4665" s="61" ph="1"/>
    </row>
    <row r="4666" spans="19:19" ht="26.25">
      <c r="S4666" s="61" ph="1"/>
    </row>
    <row r="4667" spans="19:19" ht="26.25">
      <c r="S4667" s="61" ph="1"/>
    </row>
    <row r="4668" spans="19:19" ht="26.25">
      <c r="S4668" s="61" ph="1"/>
    </row>
    <row r="4669" spans="19:19" ht="26.25">
      <c r="S4669" s="61" ph="1"/>
    </row>
    <row r="4670" spans="19:19" ht="26.25">
      <c r="S4670" s="61" ph="1"/>
    </row>
    <row r="4671" spans="19:19" ht="26.25">
      <c r="S4671" s="61" ph="1"/>
    </row>
    <row r="4672" spans="19:19" ht="26.25">
      <c r="S4672" s="61" ph="1"/>
    </row>
    <row r="4673" spans="19:19" ht="26.25">
      <c r="S4673" s="61" ph="1"/>
    </row>
    <row r="4674" spans="19:19" ht="26.25">
      <c r="S4674" s="61" ph="1"/>
    </row>
    <row r="4675" spans="19:19" ht="26.25">
      <c r="S4675" s="61" ph="1"/>
    </row>
    <row r="4676" spans="19:19" ht="26.25">
      <c r="S4676" s="61" ph="1"/>
    </row>
    <row r="4677" spans="19:19" ht="26.25">
      <c r="S4677" s="61" ph="1"/>
    </row>
    <row r="4678" spans="19:19" ht="26.25">
      <c r="S4678" s="61" ph="1"/>
    </row>
    <row r="4679" spans="19:19" ht="26.25">
      <c r="S4679" s="61" ph="1"/>
    </row>
    <row r="4680" spans="19:19" ht="26.25">
      <c r="S4680" s="61" ph="1"/>
    </row>
    <row r="4681" spans="19:19" ht="26.25">
      <c r="S4681" s="61" ph="1"/>
    </row>
    <row r="4682" spans="19:19" ht="26.25">
      <c r="S4682" s="61" ph="1"/>
    </row>
    <row r="4683" spans="19:19" ht="26.25">
      <c r="S4683" s="61" ph="1"/>
    </row>
    <row r="4684" spans="19:19" ht="26.25">
      <c r="S4684" s="61" ph="1"/>
    </row>
    <row r="4685" spans="19:19" ht="26.25">
      <c r="S4685" s="61" ph="1"/>
    </row>
    <row r="4686" spans="19:19" ht="26.25">
      <c r="S4686" s="61" ph="1"/>
    </row>
    <row r="4687" spans="19:19" ht="26.25">
      <c r="S4687" s="61" ph="1"/>
    </row>
    <row r="4688" spans="19:19" ht="26.25">
      <c r="S4688" s="61" ph="1"/>
    </row>
    <row r="4689" spans="19:19" ht="26.25">
      <c r="S4689" s="61" ph="1"/>
    </row>
    <row r="4690" spans="19:19" ht="26.25">
      <c r="S4690" s="61" ph="1"/>
    </row>
    <row r="4691" spans="19:19" ht="26.25">
      <c r="S4691" s="61" ph="1"/>
    </row>
    <row r="4692" spans="19:19" ht="26.25">
      <c r="S4692" s="61" ph="1"/>
    </row>
    <row r="4693" spans="19:19" ht="26.25">
      <c r="S4693" s="61" ph="1"/>
    </row>
    <row r="4694" spans="19:19" ht="26.25">
      <c r="S4694" s="61" ph="1"/>
    </row>
    <row r="4695" spans="19:19" ht="26.25">
      <c r="S4695" s="61" ph="1"/>
    </row>
    <row r="4696" spans="19:19" ht="26.25">
      <c r="S4696" s="61" ph="1"/>
    </row>
    <row r="4697" spans="19:19" ht="26.25">
      <c r="S4697" s="61" ph="1"/>
    </row>
    <row r="4698" spans="19:19" ht="26.25">
      <c r="S4698" s="61" ph="1"/>
    </row>
    <row r="4699" spans="19:19" ht="26.25">
      <c r="S4699" s="61" ph="1"/>
    </row>
    <row r="4700" spans="19:19" ht="26.25">
      <c r="S4700" s="61" ph="1"/>
    </row>
    <row r="4701" spans="19:19" ht="26.25">
      <c r="S4701" s="61" ph="1"/>
    </row>
    <row r="4702" spans="19:19" ht="26.25">
      <c r="S4702" s="61" ph="1"/>
    </row>
    <row r="4703" spans="19:19" ht="26.25">
      <c r="S4703" s="61" ph="1"/>
    </row>
    <row r="4704" spans="19:19" ht="26.25">
      <c r="S4704" s="61" ph="1"/>
    </row>
    <row r="4705" spans="19:19" ht="26.25">
      <c r="S4705" s="61" ph="1"/>
    </row>
    <row r="4706" spans="19:19" ht="26.25">
      <c r="S4706" s="61" ph="1"/>
    </row>
    <row r="4707" spans="19:19" ht="26.25">
      <c r="S4707" s="61" ph="1"/>
    </row>
    <row r="4708" spans="19:19" ht="26.25">
      <c r="S4708" s="61" ph="1"/>
    </row>
    <row r="4709" spans="19:19" ht="26.25">
      <c r="S4709" s="61" ph="1"/>
    </row>
    <row r="4710" spans="19:19" ht="26.25">
      <c r="S4710" s="61" ph="1"/>
    </row>
    <row r="4711" spans="19:19" ht="26.25">
      <c r="S4711" s="61" ph="1"/>
    </row>
    <row r="4712" spans="19:19" ht="26.25">
      <c r="S4712" s="61" ph="1"/>
    </row>
    <row r="4713" spans="19:19" ht="26.25">
      <c r="S4713" s="61" ph="1"/>
    </row>
    <row r="4714" spans="19:19" ht="26.25">
      <c r="S4714" s="61" ph="1"/>
    </row>
    <row r="4715" spans="19:19" ht="26.25">
      <c r="S4715" s="61" ph="1"/>
    </row>
    <row r="4716" spans="19:19" ht="26.25">
      <c r="S4716" s="61" ph="1"/>
    </row>
    <row r="4717" spans="19:19" ht="26.25">
      <c r="S4717" s="61" ph="1"/>
    </row>
    <row r="4718" spans="19:19" ht="26.25">
      <c r="S4718" s="61" ph="1"/>
    </row>
    <row r="4719" spans="19:19" ht="26.25">
      <c r="S4719" s="61" ph="1"/>
    </row>
    <row r="4720" spans="19:19" ht="26.25">
      <c r="S4720" s="61" ph="1"/>
    </row>
    <row r="4721" spans="19:19" ht="26.25">
      <c r="S4721" s="61" ph="1"/>
    </row>
    <row r="4722" spans="19:19" ht="26.25">
      <c r="S4722" s="61" ph="1"/>
    </row>
    <row r="4723" spans="19:19" ht="26.25">
      <c r="S4723" s="61" ph="1"/>
    </row>
    <row r="4724" spans="19:19" ht="26.25">
      <c r="S4724" s="61" ph="1"/>
    </row>
    <row r="4725" spans="19:19" ht="26.25">
      <c r="S4725" s="61" ph="1"/>
    </row>
    <row r="4726" spans="19:19" ht="26.25">
      <c r="S4726" s="61" ph="1"/>
    </row>
    <row r="4727" spans="19:19" ht="26.25">
      <c r="S4727" s="61" ph="1"/>
    </row>
    <row r="4728" spans="19:19" ht="26.25">
      <c r="S4728" s="61" ph="1"/>
    </row>
    <row r="4729" spans="19:19" ht="26.25">
      <c r="S4729" s="61" ph="1"/>
    </row>
    <row r="4730" spans="19:19" ht="26.25">
      <c r="S4730" s="61" ph="1"/>
    </row>
    <row r="4731" spans="19:19" ht="26.25">
      <c r="S4731" s="61" ph="1"/>
    </row>
    <row r="4732" spans="19:19" ht="26.25">
      <c r="S4732" s="61" ph="1"/>
    </row>
    <row r="4733" spans="19:19" ht="26.25">
      <c r="S4733" s="61" ph="1"/>
    </row>
    <row r="4734" spans="19:19" ht="26.25">
      <c r="S4734" s="61" ph="1"/>
    </row>
    <row r="4735" spans="19:19" ht="26.25">
      <c r="S4735" s="61" ph="1"/>
    </row>
    <row r="4736" spans="19:19" ht="26.25">
      <c r="S4736" s="61" ph="1"/>
    </row>
    <row r="4737" spans="19:19" ht="26.25">
      <c r="S4737" s="61" ph="1"/>
    </row>
    <row r="4738" spans="19:19" ht="26.25">
      <c r="S4738" s="61" ph="1"/>
    </row>
    <row r="4739" spans="19:19" ht="26.25">
      <c r="S4739" s="61" ph="1"/>
    </row>
    <row r="4740" spans="19:19" ht="26.25">
      <c r="S4740" s="61" ph="1"/>
    </row>
    <row r="4741" spans="19:19" ht="26.25">
      <c r="S4741" s="61" ph="1"/>
    </row>
    <row r="4742" spans="19:19" ht="26.25">
      <c r="S4742" s="61" ph="1"/>
    </row>
    <row r="4743" spans="19:19" ht="26.25">
      <c r="S4743" s="61" ph="1"/>
    </row>
    <row r="4744" spans="19:19" ht="26.25">
      <c r="S4744" s="61" ph="1"/>
    </row>
    <row r="4745" spans="19:19" ht="26.25">
      <c r="S4745" s="61" ph="1"/>
    </row>
    <row r="4746" spans="19:19" ht="26.25">
      <c r="S4746" s="61" ph="1"/>
    </row>
    <row r="4747" spans="19:19" ht="26.25">
      <c r="S4747" s="61" ph="1"/>
    </row>
    <row r="4748" spans="19:19" ht="26.25">
      <c r="S4748" s="61" ph="1"/>
    </row>
    <row r="4749" spans="19:19" ht="26.25">
      <c r="S4749" s="61" ph="1"/>
    </row>
    <row r="4750" spans="19:19" ht="26.25">
      <c r="S4750" s="61" ph="1"/>
    </row>
    <row r="4751" spans="19:19" ht="26.25">
      <c r="S4751" s="61" ph="1"/>
    </row>
    <row r="4752" spans="19:19" ht="26.25">
      <c r="S4752" s="61" ph="1"/>
    </row>
    <row r="4753" spans="19:19" ht="26.25">
      <c r="S4753" s="61" ph="1"/>
    </row>
    <row r="4754" spans="19:19" ht="26.25">
      <c r="S4754" s="61" ph="1"/>
    </row>
    <row r="4755" spans="19:19" ht="26.25">
      <c r="S4755" s="61" ph="1"/>
    </row>
    <row r="4756" spans="19:19" ht="26.25">
      <c r="S4756" s="61" ph="1"/>
    </row>
    <row r="4757" spans="19:19" ht="26.25">
      <c r="S4757" s="61" ph="1"/>
    </row>
    <row r="4758" spans="19:19" ht="26.25">
      <c r="S4758" s="61" ph="1"/>
    </row>
    <row r="4759" spans="19:19" ht="26.25">
      <c r="S4759" s="61" ph="1"/>
    </row>
    <row r="4760" spans="19:19" ht="26.25">
      <c r="S4760" s="61" ph="1"/>
    </row>
    <row r="4761" spans="19:19" ht="26.25">
      <c r="S4761" s="61" ph="1"/>
    </row>
    <row r="4762" spans="19:19" ht="26.25">
      <c r="S4762" s="61" ph="1"/>
    </row>
    <row r="4763" spans="19:19" ht="26.25">
      <c r="S4763" s="61" ph="1"/>
    </row>
    <row r="4764" spans="19:19" ht="26.25">
      <c r="S4764" s="61" ph="1"/>
    </row>
    <row r="4765" spans="19:19" ht="26.25">
      <c r="S4765" s="61" ph="1"/>
    </row>
    <row r="4766" spans="19:19" ht="26.25">
      <c r="S4766" s="61" ph="1"/>
    </row>
    <row r="4767" spans="19:19" ht="26.25">
      <c r="S4767" s="61" ph="1"/>
    </row>
    <row r="4768" spans="19:19" ht="26.25">
      <c r="S4768" s="61" ph="1"/>
    </row>
    <row r="4769" spans="19:19" ht="26.25">
      <c r="S4769" s="61" ph="1"/>
    </row>
    <row r="4770" spans="19:19" ht="26.25">
      <c r="S4770" s="61" ph="1"/>
    </row>
    <row r="4771" spans="19:19" ht="26.25">
      <c r="S4771" s="61" ph="1"/>
    </row>
    <row r="4772" spans="19:19" ht="26.25">
      <c r="S4772" s="61" ph="1"/>
    </row>
    <row r="4773" spans="19:19" ht="26.25">
      <c r="S4773" s="61" ph="1"/>
    </row>
    <row r="4774" spans="19:19" ht="26.25">
      <c r="S4774" s="61" ph="1"/>
    </row>
    <row r="4775" spans="19:19" ht="26.25">
      <c r="S4775" s="61" ph="1"/>
    </row>
    <row r="4776" spans="19:19" ht="26.25">
      <c r="S4776" s="61" ph="1"/>
    </row>
    <row r="4777" spans="19:19" ht="26.25">
      <c r="S4777" s="61" ph="1"/>
    </row>
    <row r="4778" spans="19:19" ht="26.25">
      <c r="S4778" s="61" ph="1"/>
    </row>
    <row r="4779" spans="19:19" ht="26.25">
      <c r="S4779" s="61" ph="1"/>
    </row>
    <row r="4780" spans="19:19" ht="26.25">
      <c r="S4780" s="61" ph="1"/>
    </row>
    <row r="4781" spans="19:19" ht="26.25">
      <c r="S4781" s="61" ph="1"/>
    </row>
    <row r="4782" spans="19:19" ht="26.25">
      <c r="S4782" s="61" ph="1"/>
    </row>
    <row r="4783" spans="19:19" ht="26.25">
      <c r="S4783" s="61" ph="1"/>
    </row>
    <row r="4784" spans="19:19" ht="26.25">
      <c r="S4784" s="61" ph="1"/>
    </row>
    <row r="4785" spans="19:19" ht="26.25">
      <c r="S4785" s="61" ph="1"/>
    </row>
    <row r="4786" spans="19:19" ht="26.25">
      <c r="S4786" s="61" ph="1"/>
    </row>
    <row r="4787" spans="19:19" ht="26.25">
      <c r="S4787" s="61" ph="1"/>
    </row>
    <row r="4788" spans="19:19" ht="26.25">
      <c r="S4788" s="61" ph="1"/>
    </row>
    <row r="4789" spans="19:19" ht="26.25">
      <c r="S4789" s="61" ph="1"/>
    </row>
    <row r="4790" spans="19:19" ht="26.25">
      <c r="S4790" s="61" ph="1"/>
    </row>
    <row r="4791" spans="19:19" ht="26.25">
      <c r="S4791" s="61" ph="1"/>
    </row>
    <row r="4792" spans="19:19" ht="26.25">
      <c r="S4792" s="61" ph="1"/>
    </row>
    <row r="4793" spans="19:19" ht="26.25">
      <c r="S4793" s="61" ph="1"/>
    </row>
    <row r="4794" spans="19:19" ht="26.25">
      <c r="S4794" s="61" ph="1"/>
    </row>
    <row r="4795" spans="19:19" ht="26.25">
      <c r="S4795" s="61" ph="1"/>
    </row>
    <row r="4796" spans="19:19" ht="26.25">
      <c r="S4796" s="61" ph="1"/>
    </row>
    <row r="4797" spans="19:19" ht="26.25">
      <c r="S4797" s="61" ph="1"/>
    </row>
    <row r="4798" spans="19:19" ht="26.25">
      <c r="S4798" s="61" ph="1"/>
    </row>
    <row r="4799" spans="19:19" ht="26.25">
      <c r="S4799" s="61" ph="1"/>
    </row>
    <row r="4800" spans="19:19" ht="26.25">
      <c r="S4800" s="61" ph="1"/>
    </row>
    <row r="4801" spans="19:19" ht="26.25">
      <c r="S4801" s="61" ph="1"/>
    </row>
    <row r="4802" spans="19:19" ht="26.25">
      <c r="S4802" s="61" ph="1"/>
    </row>
    <row r="4803" spans="19:19" ht="26.25">
      <c r="S4803" s="61" ph="1"/>
    </row>
    <row r="4804" spans="19:19" ht="26.25">
      <c r="S4804" s="61" ph="1"/>
    </row>
    <row r="4805" spans="19:19" ht="26.25">
      <c r="S4805" s="61" ph="1"/>
    </row>
    <row r="4806" spans="19:19" ht="26.25">
      <c r="S4806" s="61" ph="1"/>
    </row>
    <row r="4807" spans="19:19" ht="26.25">
      <c r="S4807" s="61" ph="1"/>
    </row>
    <row r="4808" spans="19:19" ht="26.25">
      <c r="S4808" s="61" ph="1"/>
    </row>
    <row r="4809" spans="19:19" ht="26.25">
      <c r="S4809" s="61" ph="1"/>
    </row>
    <row r="4810" spans="19:19" ht="26.25">
      <c r="S4810" s="61" ph="1"/>
    </row>
    <row r="4811" spans="19:19" ht="26.25">
      <c r="S4811" s="61" ph="1"/>
    </row>
    <row r="4812" spans="19:19" ht="26.25">
      <c r="S4812" s="61" ph="1"/>
    </row>
    <row r="4813" spans="19:19" ht="26.25">
      <c r="S4813" s="61" ph="1"/>
    </row>
    <row r="4814" spans="19:19" ht="26.25">
      <c r="S4814" s="61" ph="1"/>
    </row>
    <row r="4815" spans="19:19" ht="26.25">
      <c r="S4815" s="61" ph="1"/>
    </row>
    <row r="4816" spans="19:19" ht="26.25">
      <c r="S4816" s="61" ph="1"/>
    </row>
    <row r="4817" spans="19:19" ht="26.25">
      <c r="S4817" s="61" ph="1"/>
    </row>
    <row r="4818" spans="19:19" ht="26.25">
      <c r="S4818" s="61" ph="1"/>
    </row>
    <row r="4819" spans="19:19" ht="26.25">
      <c r="S4819" s="61" ph="1"/>
    </row>
    <row r="4820" spans="19:19" ht="26.25">
      <c r="S4820" s="61" ph="1"/>
    </row>
    <row r="4821" spans="19:19" ht="26.25">
      <c r="S4821" s="61" ph="1"/>
    </row>
    <row r="4822" spans="19:19" ht="26.25">
      <c r="S4822" s="61" ph="1"/>
    </row>
    <row r="4823" spans="19:19" ht="26.25">
      <c r="S4823" s="61" ph="1"/>
    </row>
    <row r="4824" spans="19:19" ht="26.25">
      <c r="S4824" s="61" ph="1"/>
    </row>
    <row r="4825" spans="19:19" ht="26.25">
      <c r="S4825" s="61" ph="1"/>
    </row>
    <row r="4826" spans="19:19" ht="26.25">
      <c r="S4826" s="61" ph="1"/>
    </row>
    <row r="4827" spans="19:19" ht="26.25">
      <c r="S4827" s="61" ph="1"/>
    </row>
    <row r="4828" spans="19:19" ht="26.25">
      <c r="S4828" s="61" ph="1"/>
    </row>
    <row r="4829" spans="19:19" ht="26.25">
      <c r="S4829" s="61" ph="1"/>
    </row>
    <row r="4830" spans="19:19" ht="26.25">
      <c r="S4830" s="61" ph="1"/>
    </row>
    <row r="4831" spans="19:19" ht="26.25">
      <c r="S4831" s="61" ph="1"/>
    </row>
    <row r="4832" spans="19:19" ht="26.25">
      <c r="S4832" s="61" ph="1"/>
    </row>
    <row r="4833" spans="19:19" ht="26.25">
      <c r="S4833" s="61" ph="1"/>
    </row>
    <row r="4834" spans="19:19" ht="26.25">
      <c r="S4834" s="61" ph="1"/>
    </row>
    <row r="4835" spans="19:19" ht="26.25">
      <c r="S4835" s="61" ph="1"/>
    </row>
    <row r="4836" spans="19:19" ht="26.25">
      <c r="S4836" s="61" ph="1"/>
    </row>
    <row r="4837" spans="19:19" ht="26.25">
      <c r="S4837" s="61" ph="1"/>
    </row>
    <row r="4838" spans="19:19" ht="26.25">
      <c r="S4838" s="61" ph="1"/>
    </row>
    <row r="4839" spans="19:19" ht="26.25">
      <c r="S4839" s="61" ph="1"/>
    </row>
    <row r="4840" spans="19:19" ht="26.25">
      <c r="S4840" s="61" ph="1"/>
    </row>
    <row r="4841" spans="19:19" ht="26.25">
      <c r="S4841" s="61" ph="1"/>
    </row>
    <row r="4842" spans="19:19" ht="26.25">
      <c r="S4842" s="61" ph="1"/>
    </row>
    <row r="4843" spans="19:19" ht="26.25">
      <c r="S4843" s="61" ph="1"/>
    </row>
    <row r="4844" spans="19:19" ht="26.25">
      <c r="S4844" s="61" ph="1"/>
    </row>
    <row r="4845" spans="19:19" ht="26.25">
      <c r="S4845" s="61" ph="1"/>
    </row>
    <row r="4846" spans="19:19" ht="26.25">
      <c r="S4846" s="61" ph="1"/>
    </row>
    <row r="4847" spans="19:19" ht="26.25">
      <c r="S4847" s="61" ph="1"/>
    </row>
    <row r="4848" spans="19:19" ht="26.25">
      <c r="S4848" s="61" ph="1"/>
    </row>
    <row r="4849" spans="19:19" ht="26.25">
      <c r="S4849" s="61" ph="1"/>
    </row>
    <row r="4850" spans="19:19" ht="26.25">
      <c r="S4850" s="61" ph="1"/>
    </row>
    <row r="4851" spans="19:19" ht="26.25">
      <c r="S4851" s="61" ph="1"/>
    </row>
    <row r="4852" spans="19:19" ht="26.25">
      <c r="S4852" s="61" ph="1"/>
    </row>
    <row r="4853" spans="19:19" ht="26.25">
      <c r="S4853" s="61" ph="1"/>
    </row>
    <row r="4854" spans="19:19" ht="26.25">
      <c r="S4854" s="61" ph="1"/>
    </row>
    <row r="4855" spans="19:19" ht="26.25">
      <c r="S4855" s="61" ph="1"/>
    </row>
    <row r="4856" spans="19:19" ht="26.25">
      <c r="S4856" s="61" ph="1"/>
    </row>
    <row r="4857" spans="19:19" ht="26.25">
      <c r="S4857" s="61" ph="1"/>
    </row>
    <row r="4858" spans="19:19" ht="26.25">
      <c r="S4858" s="61" ph="1"/>
    </row>
    <row r="4859" spans="19:19" ht="26.25">
      <c r="S4859" s="61" ph="1"/>
    </row>
    <row r="4860" spans="19:19" ht="26.25">
      <c r="S4860" s="61" ph="1"/>
    </row>
    <row r="4861" spans="19:19" ht="26.25">
      <c r="S4861" s="61" ph="1"/>
    </row>
    <row r="4862" spans="19:19" ht="26.25">
      <c r="S4862" s="61" ph="1"/>
    </row>
    <row r="4863" spans="19:19" ht="26.25">
      <c r="S4863" s="61" ph="1"/>
    </row>
    <row r="4864" spans="19:19" ht="26.25">
      <c r="S4864" s="61" ph="1"/>
    </row>
    <row r="4865" spans="19:19" ht="26.25">
      <c r="S4865" s="61" ph="1"/>
    </row>
    <row r="4866" spans="19:19" ht="26.25">
      <c r="S4866" s="61" ph="1"/>
    </row>
    <row r="4867" spans="19:19" ht="26.25">
      <c r="S4867" s="61" ph="1"/>
    </row>
    <row r="4868" spans="19:19" ht="26.25">
      <c r="S4868" s="61" ph="1"/>
    </row>
    <row r="4869" spans="19:19" ht="26.25">
      <c r="S4869" s="61" ph="1"/>
    </row>
    <row r="4870" spans="19:19" ht="26.25">
      <c r="S4870" s="61" ph="1"/>
    </row>
    <row r="4871" spans="19:19" ht="26.25">
      <c r="S4871" s="61" ph="1"/>
    </row>
    <row r="4872" spans="19:19" ht="26.25">
      <c r="S4872" s="61" ph="1"/>
    </row>
    <row r="4873" spans="19:19" ht="26.25">
      <c r="S4873" s="61" ph="1"/>
    </row>
    <row r="4874" spans="19:19" ht="26.25">
      <c r="S4874" s="61" ph="1"/>
    </row>
    <row r="4875" spans="19:19" ht="26.25">
      <c r="S4875" s="61" ph="1"/>
    </row>
    <row r="4876" spans="19:19" ht="26.25">
      <c r="S4876" s="61" ph="1"/>
    </row>
    <row r="4877" spans="19:19" ht="26.25">
      <c r="S4877" s="61" ph="1"/>
    </row>
    <row r="4878" spans="19:19" ht="26.25">
      <c r="S4878" s="61" ph="1"/>
    </row>
    <row r="4879" spans="19:19" ht="26.25">
      <c r="S4879" s="61" ph="1"/>
    </row>
    <row r="4880" spans="19:19" ht="26.25">
      <c r="S4880" s="61" ph="1"/>
    </row>
    <row r="4881" spans="19:19" ht="26.25">
      <c r="S4881" s="61" ph="1"/>
    </row>
    <row r="4882" spans="19:19" ht="26.25">
      <c r="S4882" s="61" ph="1"/>
    </row>
    <row r="4883" spans="19:19" ht="26.25">
      <c r="S4883" s="61" ph="1"/>
    </row>
    <row r="4884" spans="19:19" ht="26.25">
      <c r="S4884" s="61" ph="1"/>
    </row>
    <row r="4885" spans="19:19" ht="26.25">
      <c r="S4885" s="61" ph="1"/>
    </row>
    <row r="4886" spans="19:19" ht="26.25">
      <c r="S4886" s="61" ph="1"/>
    </row>
    <row r="4887" spans="19:19" ht="26.25">
      <c r="S4887" s="61" ph="1"/>
    </row>
    <row r="4888" spans="19:19" ht="26.25">
      <c r="S4888" s="61" ph="1"/>
    </row>
    <row r="4889" spans="19:19" ht="26.25">
      <c r="S4889" s="61" ph="1"/>
    </row>
    <row r="4890" spans="19:19" ht="26.25">
      <c r="S4890" s="61" ph="1"/>
    </row>
    <row r="4891" spans="19:19" ht="26.25">
      <c r="S4891" s="61" ph="1"/>
    </row>
    <row r="4892" spans="19:19" ht="26.25">
      <c r="S4892" s="61" ph="1"/>
    </row>
    <row r="4893" spans="19:19" ht="26.25">
      <c r="S4893" s="61" ph="1"/>
    </row>
    <row r="4894" spans="19:19" ht="26.25">
      <c r="S4894" s="61" ph="1"/>
    </row>
    <row r="4895" spans="19:19" ht="26.25">
      <c r="S4895" s="61" ph="1"/>
    </row>
    <row r="4896" spans="19:19" ht="26.25">
      <c r="S4896" s="61" ph="1"/>
    </row>
    <row r="4897" spans="19:19" ht="26.25">
      <c r="S4897" s="61" ph="1"/>
    </row>
    <row r="4898" spans="19:19" ht="26.25">
      <c r="S4898" s="61" ph="1"/>
    </row>
    <row r="4899" spans="19:19" ht="26.25">
      <c r="S4899" s="61" ph="1"/>
    </row>
    <row r="4900" spans="19:19" ht="26.25">
      <c r="S4900" s="61" ph="1"/>
    </row>
    <row r="4901" spans="19:19" ht="26.25">
      <c r="S4901" s="61" ph="1"/>
    </row>
    <row r="4902" spans="19:19" ht="26.25">
      <c r="S4902" s="61" ph="1"/>
    </row>
    <row r="4903" spans="19:19" ht="26.25">
      <c r="S4903" s="61" ph="1"/>
    </row>
    <row r="4904" spans="19:19" ht="26.25">
      <c r="S4904" s="61" ph="1"/>
    </row>
    <row r="4905" spans="19:19" ht="26.25">
      <c r="S4905" s="61" ph="1"/>
    </row>
    <row r="4906" spans="19:19" ht="26.25">
      <c r="S4906" s="61" ph="1"/>
    </row>
    <row r="4907" spans="19:19" ht="26.25">
      <c r="S4907" s="61" ph="1"/>
    </row>
    <row r="4908" spans="19:19" ht="26.25">
      <c r="S4908" s="61" ph="1"/>
    </row>
    <row r="4909" spans="19:19" ht="26.25">
      <c r="S4909" s="61" ph="1"/>
    </row>
    <row r="4910" spans="19:19" ht="26.25">
      <c r="S4910" s="61" ph="1"/>
    </row>
    <row r="4911" spans="19:19" ht="26.25">
      <c r="S4911" s="61" ph="1"/>
    </row>
    <row r="4912" spans="19:19" ht="26.25">
      <c r="S4912" s="61" ph="1"/>
    </row>
    <row r="4913" spans="19:19" ht="26.25">
      <c r="S4913" s="61" ph="1"/>
    </row>
    <row r="4914" spans="19:19" ht="26.25">
      <c r="S4914" s="61" ph="1"/>
    </row>
    <row r="4915" spans="19:19" ht="26.25">
      <c r="S4915" s="61" ph="1"/>
    </row>
    <row r="4916" spans="19:19" ht="26.25">
      <c r="S4916" s="61" ph="1"/>
    </row>
    <row r="4917" spans="19:19" ht="26.25">
      <c r="S4917" s="61" ph="1"/>
    </row>
    <row r="4918" spans="19:19" ht="26.25">
      <c r="S4918" s="61" ph="1"/>
    </row>
    <row r="4919" spans="19:19" ht="26.25">
      <c r="S4919" s="61" ph="1"/>
    </row>
    <row r="4920" spans="19:19" ht="26.25">
      <c r="S4920" s="61" ph="1"/>
    </row>
    <row r="4921" spans="19:19" ht="26.25">
      <c r="S4921" s="61" ph="1"/>
    </row>
    <row r="4922" spans="19:19" ht="26.25">
      <c r="S4922" s="61" ph="1"/>
    </row>
    <row r="4923" spans="19:19" ht="26.25">
      <c r="S4923" s="61" ph="1"/>
    </row>
    <row r="4924" spans="19:19" ht="26.25">
      <c r="S4924" s="61" ph="1"/>
    </row>
    <row r="4925" spans="19:19" ht="26.25">
      <c r="S4925" s="61" ph="1"/>
    </row>
    <row r="4926" spans="19:19" ht="26.25">
      <c r="S4926" s="61" ph="1"/>
    </row>
    <row r="4927" spans="19:19" ht="26.25">
      <c r="S4927" s="61" ph="1"/>
    </row>
    <row r="4928" spans="19:19" ht="26.25">
      <c r="S4928" s="61" ph="1"/>
    </row>
    <row r="4929" spans="19:19" ht="26.25">
      <c r="S4929" s="61" ph="1"/>
    </row>
    <row r="4930" spans="19:19" ht="26.25">
      <c r="S4930" s="61" ph="1"/>
    </row>
    <row r="4931" spans="19:19" ht="26.25">
      <c r="S4931" s="61" ph="1"/>
    </row>
    <row r="4932" spans="19:19" ht="26.25">
      <c r="S4932" s="61" ph="1"/>
    </row>
    <row r="4933" spans="19:19" ht="26.25">
      <c r="S4933" s="61" ph="1"/>
    </row>
    <row r="4934" spans="19:19" ht="26.25">
      <c r="S4934" s="61" ph="1"/>
    </row>
    <row r="4935" spans="19:19" ht="26.25">
      <c r="S4935" s="61" ph="1"/>
    </row>
    <row r="4936" spans="19:19" ht="26.25">
      <c r="S4936" s="61" ph="1"/>
    </row>
    <row r="4937" spans="19:19" ht="26.25">
      <c r="S4937" s="61" ph="1"/>
    </row>
    <row r="4938" spans="19:19" ht="26.25">
      <c r="S4938" s="61" ph="1"/>
    </row>
    <row r="4939" spans="19:19" ht="26.25">
      <c r="S4939" s="61" ph="1"/>
    </row>
    <row r="4940" spans="19:19" ht="26.25">
      <c r="S4940" s="61" ph="1"/>
    </row>
    <row r="4941" spans="19:19" ht="26.25">
      <c r="S4941" s="61" ph="1"/>
    </row>
    <row r="4942" spans="19:19" ht="26.25">
      <c r="S4942" s="61" ph="1"/>
    </row>
    <row r="4943" spans="19:19" ht="26.25">
      <c r="S4943" s="61" ph="1"/>
    </row>
    <row r="4944" spans="19:19" ht="26.25">
      <c r="S4944" s="61" ph="1"/>
    </row>
    <row r="4945" spans="19:19" ht="26.25">
      <c r="S4945" s="61" ph="1"/>
    </row>
    <row r="4946" spans="19:19" ht="26.25">
      <c r="S4946" s="61" ph="1"/>
    </row>
    <row r="4947" spans="19:19" ht="26.25">
      <c r="S4947" s="61" ph="1"/>
    </row>
    <row r="4948" spans="19:19" ht="26.25">
      <c r="S4948" s="61" ph="1"/>
    </row>
    <row r="4949" spans="19:19" ht="26.25">
      <c r="S4949" s="61" ph="1"/>
    </row>
    <row r="4950" spans="19:19" ht="26.25">
      <c r="S4950" s="61" ph="1"/>
    </row>
    <row r="4951" spans="19:19" ht="26.25">
      <c r="S4951" s="61" ph="1"/>
    </row>
    <row r="4952" spans="19:19" ht="26.25">
      <c r="S4952" s="61" ph="1"/>
    </row>
    <row r="4953" spans="19:19" ht="26.25">
      <c r="S4953" s="61" ph="1"/>
    </row>
    <row r="4954" spans="19:19" ht="26.25">
      <c r="S4954" s="61" ph="1"/>
    </row>
    <row r="4955" spans="19:19" ht="26.25">
      <c r="S4955" s="61" ph="1"/>
    </row>
    <row r="4956" spans="19:19" ht="26.25">
      <c r="S4956" s="61" ph="1"/>
    </row>
    <row r="4957" spans="19:19" ht="26.25">
      <c r="S4957" s="61" ph="1"/>
    </row>
    <row r="4958" spans="19:19" ht="26.25">
      <c r="S4958" s="61" ph="1"/>
    </row>
    <row r="4959" spans="19:19" ht="26.25">
      <c r="S4959" s="61" ph="1"/>
    </row>
    <row r="4960" spans="19:19" ht="26.25">
      <c r="S4960" s="61" ph="1"/>
    </row>
    <row r="4961" spans="19:19" ht="26.25">
      <c r="S4961" s="61" ph="1"/>
    </row>
    <row r="4962" spans="19:19" ht="26.25">
      <c r="S4962" s="61" ph="1"/>
    </row>
    <row r="4963" spans="19:19" ht="26.25">
      <c r="S4963" s="61" ph="1"/>
    </row>
    <row r="4964" spans="19:19" ht="26.25">
      <c r="S4964" s="61" ph="1"/>
    </row>
    <row r="4965" spans="19:19" ht="26.25">
      <c r="S4965" s="61" ph="1"/>
    </row>
    <row r="4966" spans="19:19" ht="26.25">
      <c r="S4966" s="61" ph="1"/>
    </row>
    <row r="4967" spans="19:19" ht="26.25">
      <c r="S4967" s="61" ph="1"/>
    </row>
    <row r="4968" spans="19:19" ht="26.25">
      <c r="S4968" s="61" ph="1"/>
    </row>
    <row r="4969" spans="19:19" ht="26.25">
      <c r="S4969" s="61" ph="1"/>
    </row>
    <row r="4970" spans="19:19" ht="26.25">
      <c r="S4970" s="61" ph="1"/>
    </row>
    <row r="4971" spans="19:19" ht="26.25">
      <c r="S4971" s="61" ph="1"/>
    </row>
    <row r="4972" spans="19:19" ht="26.25">
      <c r="S4972" s="61" ph="1"/>
    </row>
    <row r="4973" spans="19:19" ht="26.25">
      <c r="S4973" s="61" ph="1"/>
    </row>
    <row r="4974" spans="19:19" ht="26.25">
      <c r="S4974" s="61" ph="1"/>
    </row>
    <row r="4975" spans="19:19" ht="26.25">
      <c r="S4975" s="61" ph="1"/>
    </row>
    <row r="4976" spans="19:19" ht="26.25">
      <c r="S4976" s="61" ph="1"/>
    </row>
    <row r="4977" spans="19:19" ht="26.25">
      <c r="S4977" s="61" ph="1"/>
    </row>
    <row r="4978" spans="19:19" ht="26.25">
      <c r="S4978" s="61" ph="1"/>
    </row>
    <row r="4979" spans="19:19" ht="26.25">
      <c r="S4979" s="61" ph="1"/>
    </row>
    <row r="4980" spans="19:19" ht="26.25">
      <c r="S4980" s="61" ph="1"/>
    </row>
    <row r="4981" spans="19:19" ht="26.25">
      <c r="S4981" s="61" ph="1"/>
    </row>
    <row r="4982" spans="19:19" ht="26.25">
      <c r="S4982" s="61" ph="1"/>
    </row>
    <row r="4983" spans="19:19" ht="26.25">
      <c r="S4983" s="61" ph="1"/>
    </row>
    <row r="4984" spans="19:19" ht="26.25">
      <c r="S4984" s="61" ph="1"/>
    </row>
    <row r="4985" spans="19:19" ht="26.25">
      <c r="S4985" s="61" ph="1"/>
    </row>
    <row r="4986" spans="19:19" ht="26.25">
      <c r="S4986" s="61" ph="1"/>
    </row>
    <row r="4987" spans="19:19" ht="26.25">
      <c r="S4987" s="61" ph="1"/>
    </row>
    <row r="4988" spans="19:19" ht="26.25">
      <c r="S4988" s="61" ph="1"/>
    </row>
    <row r="4989" spans="19:19" ht="26.25">
      <c r="S4989" s="61" ph="1"/>
    </row>
    <row r="4990" spans="19:19" ht="26.25">
      <c r="S4990" s="61" ph="1"/>
    </row>
    <row r="4991" spans="19:19" ht="26.25">
      <c r="S4991" s="61" ph="1"/>
    </row>
    <row r="4992" spans="19:19" ht="26.25">
      <c r="S4992" s="61" ph="1"/>
    </row>
    <row r="4993" spans="19:19" ht="26.25">
      <c r="S4993" s="61" ph="1"/>
    </row>
    <row r="4994" spans="19:19" ht="26.25">
      <c r="S4994" s="61" ph="1"/>
    </row>
    <row r="4995" spans="19:19" ht="26.25">
      <c r="S4995" s="61" ph="1"/>
    </row>
    <row r="4996" spans="19:19" ht="26.25">
      <c r="S4996" s="61" ph="1"/>
    </row>
    <row r="4997" spans="19:19" ht="26.25">
      <c r="S4997" s="61" ph="1"/>
    </row>
    <row r="4998" spans="19:19" ht="26.25">
      <c r="S4998" s="61" ph="1"/>
    </row>
    <row r="4999" spans="19:19" ht="26.25">
      <c r="S4999" s="61" ph="1"/>
    </row>
    <row r="5000" spans="19:19" ht="26.25">
      <c r="S5000" s="61" ph="1"/>
    </row>
    <row r="5001" spans="19:19" ht="26.25">
      <c r="S5001" s="61" ph="1"/>
    </row>
    <row r="5002" spans="19:19" ht="26.25">
      <c r="S5002" s="61" ph="1"/>
    </row>
    <row r="5003" spans="19:19" ht="26.25">
      <c r="S5003" s="61" ph="1"/>
    </row>
    <row r="5004" spans="19:19" ht="26.25">
      <c r="S5004" s="61" ph="1"/>
    </row>
    <row r="5005" spans="19:19" ht="26.25">
      <c r="S5005" s="61" ph="1"/>
    </row>
    <row r="5006" spans="19:19" ht="26.25">
      <c r="S5006" s="61" ph="1"/>
    </row>
    <row r="5007" spans="19:19" ht="26.25">
      <c r="S5007" s="61" ph="1"/>
    </row>
    <row r="5008" spans="19:19" ht="26.25">
      <c r="S5008" s="61" ph="1"/>
    </row>
    <row r="5009" spans="19:19" ht="26.25">
      <c r="S5009" s="61" ph="1"/>
    </row>
    <row r="5010" spans="19:19" ht="26.25">
      <c r="S5010" s="61" ph="1"/>
    </row>
    <row r="5011" spans="19:19" ht="26.25">
      <c r="S5011" s="61" ph="1"/>
    </row>
    <row r="5012" spans="19:19" ht="26.25">
      <c r="S5012" s="61" ph="1"/>
    </row>
    <row r="5013" spans="19:19" ht="26.25">
      <c r="S5013" s="61" ph="1"/>
    </row>
    <row r="5014" spans="19:19" ht="26.25">
      <c r="S5014" s="61" ph="1"/>
    </row>
    <row r="5015" spans="19:19" ht="26.25">
      <c r="S5015" s="61" ph="1"/>
    </row>
    <row r="5016" spans="19:19" ht="26.25">
      <c r="S5016" s="61" ph="1"/>
    </row>
    <row r="5017" spans="19:19" ht="26.25">
      <c r="S5017" s="61" ph="1"/>
    </row>
    <row r="5018" spans="19:19" ht="26.25">
      <c r="S5018" s="61" ph="1"/>
    </row>
    <row r="5019" spans="19:19" ht="26.25">
      <c r="S5019" s="61" ph="1"/>
    </row>
    <row r="5020" spans="19:19" ht="26.25">
      <c r="S5020" s="61" ph="1"/>
    </row>
    <row r="5021" spans="19:19" ht="26.25">
      <c r="S5021" s="61" ph="1"/>
    </row>
    <row r="5022" spans="19:19" ht="26.25">
      <c r="S5022" s="61" ph="1"/>
    </row>
    <row r="5023" spans="19:19" ht="26.25">
      <c r="S5023" s="61" ph="1"/>
    </row>
    <row r="5024" spans="19:19" ht="26.25">
      <c r="S5024" s="61" ph="1"/>
    </row>
    <row r="5025" spans="19:19" ht="26.25">
      <c r="S5025" s="61" ph="1"/>
    </row>
    <row r="5026" spans="19:19" ht="26.25">
      <c r="S5026" s="61" ph="1"/>
    </row>
    <row r="5027" spans="19:19" ht="26.25">
      <c r="S5027" s="61" ph="1"/>
    </row>
    <row r="5028" spans="19:19" ht="26.25">
      <c r="S5028" s="61" ph="1"/>
    </row>
    <row r="5029" spans="19:19" ht="26.25">
      <c r="S5029" s="61" ph="1"/>
    </row>
    <row r="5030" spans="19:19" ht="26.25">
      <c r="S5030" s="61" ph="1"/>
    </row>
    <row r="5031" spans="19:19" ht="26.25">
      <c r="S5031" s="61" ph="1"/>
    </row>
    <row r="5032" spans="19:19" ht="26.25">
      <c r="S5032" s="61" ph="1"/>
    </row>
    <row r="5033" spans="19:19" ht="26.25">
      <c r="S5033" s="61" ph="1"/>
    </row>
    <row r="5034" spans="19:19" ht="26.25">
      <c r="S5034" s="61" ph="1"/>
    </row>
    <row r="5035" spans="19:19" ht="26.25">
      <c r="S5035" s="61" ph="1"/>
    </row>
    <row r="5036" spans="19:19" ht="26.25">
      <c r="S5036" s="61" ph="1"/>
    </row>
    <row r="5037" spans="19:19" ht="26.25">
      <c r="S5037" s="61" ph="1"/>
    </row>
    <row r="5038" spans="19:19" ht="26.25">
      <c r="S5038" s="61" ph="1"/>
    </row>
    <row r="5039" spans="19:19" ht="26.25">
      <c r="S5039" s="61" ph="1"/>
    </row>
    <row r="5040" spans="19:19" ht="26.25">
      <c r="S5040" s="61" ph="1"/>
    </row>
    <row r="5041" spans="19:19" ht="26.25">
      <c r="S5041" s="61" ph="1"/>
    </row>
    <row r="5042" spans="19:19" ht="26.25">
      <c r="S5042" s="61" ph="1"/>
    </row>
    <row r="5043" spans="19:19" ht="26.25">
      <c r="S5043" s="61" ph="1"/>
    </row>
    <row r="5044" spans="19:19" ht="26.25">
      <c r="S5044" s="61" ph="1"/>
    </row>
    <row r="5045" spans="19:19" ht="26.25">
      <c r="S5045" s="61" ph="1"/>
    </row>
    <row r="5046" spans="19:19" ht="26.25">
      <c r="S5046" s="61" ph="1"/>
    </row>
    <row r="5047" spans="19:19" ht="26.25">
      <c r="S5047" s="61" ph="1"/>
    </row>
    <row r="5048" spans="19:19" ht="26.25">
      <c r="S5048" s="61" ph="1"/>
    </row>
    <row r="5049" spans="19:19" ht="26.25">
      <c r="S5049" s="61" ph="1"/>
    </row>
    <row r="5050" spans="19:19" ht="26.25">
      <c r="S5050" s="61" ph="1"/>
    </row>
    <row r="5051" spans="19:19" ht="26.25">
      <c r="S5051" s="61" ph="1"/>
    </row>
    <row r="5052" spans="19:19" ht="26.25">
      <c r="S5052" s="61" ph="1"/>
    </row>
    <row r="5053" spans="19:19" ht="26.25">
      <c r="S5053" s="61" ph="1"/>
    </row>
    <row r="5054" spans="19:19" ht="26.25">
      <c r="S5054" s="61" ph="1"/>
    </row>
    <row r="5055" spans="19:19" ht="26.25">
      <c r="S5055" s="61" ph="1"/>
    </row>
    <row r="5056" spans="19:19" ht="26.25">
      <c r="S5056" s="61" ph="1"/>
    </row>
    <row r="5057" spans="19:19" ht="26.25">
      <c r="S5057" s="61" ph="1"/>
    </row>
    <row r="5058" spans="19:19" ht="26.25">
      <c r="S5058" s="61" ph="1"/>
    </row>
    <row r="5059" spans="19:19" ht="26.25">
      <c r="S5059" s="61" ph="1"/>
    </row>
    <row r="5060" spans="19:19" ht="26.25">
      <c r="S5060" s="61" ph="1"/>
    </row>
    <row r="5061" spans="19:19" ht="26.25">
      <c r="S5061" s="61" ph="1"/>
    </row>
    <row r="5062" spans="19:19" ht="26.25">
      <c r="S5062" s="61" ph="1"/>
    </row>
    <row r="5063" spans="19:19" ht="26.25">
      <c r="S5063" s="61" ph="1"/>
    </row>
    <row r="5064" spans="19:19" ht="26.25">
      <c r="S5064" s="61" ph="1"/>
    </row>
    <row r="5065" spans="19:19" ht="26.25">
      <c r="S5065" s="61" ph="1"/>
    </row>
    <row r="5066" spans="19:19" ht="26.25">
      <c r="S5066" s="61" ph="1"/>
    </row>
    <row r="5067" spans="19:19" ht="26.25">
      <c r="S5067" s="61" ph="1"/>
    </row>
    <row r="5068" spans="19:19" ht="26.25">
      <c r="S5068" s="61" ph="1"/>
    </row>
    <row r="5069" spans="19:19" ht="26.25">
      <c r="S5069" s="61" ph="1"/>
    </row>
    <row r="5070" spans="19:19" ht="26.25">
      <c r="S5070" s="61" ph="1"/>
    </row>
    <row r="5071" spans="19:19" ht="26.25">
      <c r="S5071" s="61" ph="1"/>
    </row>
    <row r="5072" spans="19:19" ht="26.25">
      <c r="S5072" s="61" ph="1"/>
    </row>
    <row r="5073" spans="19:19" ht="26.25">
      <c r="S5073" s="61" ph="1"/>
    </row>
    <row r="5074" spans="19:19" ht="26.25">
      <c r="S5074" s="61" ph="1"/>
    </row>
    <row r="5075" spans="19:19" ht="26.25">
      <c r="S5075" s="61" ph="1"/>
    </row>
    <row r="5076" spans="19:19" ht="26.25">
      <c r="S5076" s="61" ph="1"/>
    </row>
    <row r="5077" spans="19:19" ht="26.25">
      <c r="S5077" s="61" ph="1"/>
    </row>
    <row r="5078" spans="19:19" ht="26.25">
      <c r="S5078" s="61" ph="1"/>
    </row>
    <row r="5079" spans="19:19" ht="26.25">
      <c r="S5079" s="61" ph="1"/>
    </row>
    <row r="5080" spans="19:19" ht="26.25">
      <c r="S5080" s="61" ph="1"/>
    </row>
    <row r="5081" spans="19:19" ht="26.25">
      <c r="S5081" s="61" ph="1"/>
    </row>
    <row r="5082" spans="19:19" ht="26.25">
      <c r="S5082" s="61" ph="1"/>
    </row>
    <row r="5083" spans="19:19" ht="26.25">
      <c r="S5083" s="61" ph="1"/>
    </row>
    <row r="5084" spans="19:19" ht="26.25">
      <c r="S5084" s="61" ph="1"/>
    </row>
    <row r="5085" spans="19:19" ht="26.25">
      <c r="S5085" s="61" ph="1"/>
    </row>
    <row r="5086" spans="19:19" ht="26.25">
      <c r="S5086" s="61" ph="1"/>
    </row>
    <row r="5087" spans="19:19" ht="26.25">
      <c r="S5087" s="61" ph="1"/>
    </row>
    <row r="5088" spans="19:19" ht="26.25">
      <c r="S5088" s="61" ph="1"/>
    </row>
    <row r="5089" spans="19:19" ht="26.25">
      <c r="S5089" s="61" ph="1"/>
    </row>
    <row r="5090" spans="19:19" ht="26.25">
      <c r="S5090" s="61" ph="1"/>
    </row>
    <row r="5091" spans="19:19" ht="26.25">
      <c r="S5091" s="61" ph="1"/>
    </row>
    <row r="5092" spans="19:19" ht="26.25">
      <c r="S5092" s="61" ph="1"/>
    </row>
    <row r="5093" spans="19:19" ht="26.25">
      <c r="S5093" s="61" ph="1"/>
    </row>
    <row r="5094" spans="19:19" ht="26.25">
      <c r="S5094" s="61" ph="1"/>
    </row>
    <row r="5095" spans="19:19" ht="26.25">
      <c r="S5095" s="61" ph="1"/>
    </row>
    <row r="5096" spans="19:19" ht="26.25">
      <c r="S5096" s="61" ph="1"/>
    </row>
    <row r="5097" spans="19:19" ht="26.25">
      <c r="S5097" s="61" ph="1"/>
    </row>
    <row r="5098" spans="19:19" ht="26.25">
      <c r="S5098" s="61" ph="1"/>
    </row>
    <row r="5099" spans="19:19" ht="26.25">
      <c r="S5099" s="61" ph="1"/>
    </row>
    <row r="5100" spans="19:19" ht="26.25">
      <c r="S5100" s="61" ph="1"/>
    </row>
    <row r="5101" spans="19:19" ht="26.25">
      <c r="S5101" s="61" ph="1"/>
    </row>
    <row r="5102" spans="19:19" ht="26.25">
      <c r="S5102" s="61" ph="1"/>
    </row>
    <row r="5103" spans="19:19" ht="26.25">
      <c r="S5103" s="61" ph="1"/>
    </row>
    <row r="5104" spans="19:19" ht="26.25">
      <c r="S5104" s="61" ph="1"/>
    </row>
    <row r="5105" spans="19:19" ht="26.25">
      <c r="S5105" s="61" ph="1"/>
    </row>
    <row r="5106" spans="19:19" ht="26.25">
      <c r="S5106" s="61" ph="1"/>
    </row>
    <row r="5107" spans="19:19" ht="26.25">
      <c r="S5107" s="61" ph="1"/>
    </row>
    <row r="5108" spans="19:19" ht="26.25">
      <c r="S5108" s="61" ph="1"/>
    </row>
    <row r="5109" spans="19:19" ht="26.25">
      <c r="S5109" s="61" ph="1"/>
    </row>
    <row r="5110" spans="19:19" ht="26.25">
      <c r="S5110" s="61" ph="1"/>
    </row>
    <row r="5111" spans="19:19" ht="26.25">
      <c r="S5111" s="61" ph="1"/>
    </row>
    <row r="5112" spans="19:19" ht="26.25">
      <c r="S5112" s="61" ph="1"/>
    </row>
    <row r="5113" spans="19:19" ht="26.25">
      <c r="S5113" s="61" ph="1"/>
    </row>
    <row r="5114" spans="19:19" ht="26.25">
      <c r="S5114" s="61" ph="1"/>
    </row>
    <row r="5115" spans="19:19" ht="26.25">
      <c r="S5115" s="61" ph="1"/>
    </row>
    <row r="5116" spans="19:19" ht="26.25">
      <c r="S5116" s="61" ph="1"/>
    </row>
    <row r="5117" spans="19:19" ht="26.25">
      <c r="S5117" s="61" ph="1"/>
    </row>
    <row r="5118" spans="19:19" ht="26.25">
      <c r="S5118" s="61" ph="1"/>
    </row>
    <row r="5119" spans="19:19" ht="26.25">
      <c r="S5119" s="61" ph="1"/>
    </row>
    <row r="5120" spans="19:19" ht="26.25">
      <c r="S5120" s="61" ph="1"/>
    </row>
    <row r="5121" spans="19:19" ht="26.25">
      <c r="S5121" s="61" ph="1"/>
    </row>
    <row r="5122" spans="19:19" ht="26.25">
      <c r="S5122" s="61" ph="1"/>
    </row>
    <row r="5123" spans="19:19" ht="26.25">
      <c r="S5123" s="61" ph="1"/>
    </row>
    <row r="5124" spans="19:19" ht="26.25">
      <c r="S5124" s="61" ph="1"/>
    </row>
    <row r="5125" spans="19:19" ht="26.25">
      <c r="S5125" s="61" ph="1"/>
    </row>
    <row r="5126" spans="19:19" ht="26.25">
      <c r="S5126" s="61" ph="1"/>
    </row>
    <row r="5127" spans="19:19" ht="26.25">
      <c r="S5127" s="61" ph="1"/>
    </row>
    <row r="5128" spans="19:19" ht="26.25">
      <c r="S5128" s="61" ph="1"/>
    </row>
    <row r="5129" spans="19:19" ht="26.25">
      <c r="S5129" s="61" ph="1"/>
    </row>
    <row r="5130" spans="19:19" ht="26.25">
      <c r="S5130" s="61" ph="1"/>
    </row>
    <row r="5131" spans="19:19" ht="26.25">
      <c r="S5131" s="61" ph="1"/>
    </row>
    <row r="5132" spans="19:19" ht="26.25">
      <c r="S5132" s="61" ph="1"/>
    </row>
    <row r="5133" spans="19:19" ht="26.25">
      <c r="S5133" s="61" ph="1"/>
    </row>
    <row r="5134" spans="19:19" ht="26.25">
      <c r="S5134" s="61" ph="1"/>
    </row>
    <row r="5135" spans="19:19" ht="26.25">
      <c r="S5135" s="61" ph="1"/>
    </row>
    <row r="5136" spans="19:19" ht="26.25">
      <c r="S5136" s="61" ph="1"/>
    </row>
    <row r="5137" spans="19:19" ht="26.25">
      <c r="S5137" s="61" ph="1"/>
    </row>
    <row r="5138" spans="19:19" ht="26.25">
      <c r="S5138" s="61" ph="1"/>
    </row>
    <row r="5139" spans="19:19" ht="26.25">
      <c r="S5139" s="61" ph="1"/>
    </row>
    <row r="5140" spans="19:19" ht="26.25">
      <c r="S5140" s="61" ph="1"/>
    </row>
    <row r="5141" spans="19:19" ht="26.25">
      <c r="S5141" s="61" ph="1"/>
    </row>
    <row r="5142" spans="19:19" ht="26.25">
      <c r="S5142" s="61" ph="1"/>
    </row>
    <row r="5143" spans="19:19" ht="26.25">
      <c r="S5143" s="61" ph="1"/>
    </row>
    <row r="5144" spans="19:19" ht="26.25">
      <c r="S5144" s="61" ph="1"/>
    </row>
    <row r="5145" spans="19:19" ht="26.25">
      <c r="S5145" s="61" ph="1"/>
    </row>
    <row r="5146" spans="19:19" ht="26.25">
      <c r="S5146" s="61" ph="1"/>
    </row>
    <row r="5147" spans="19:19" ht="26.25">
      <c r="S5147" s="61" ph="1"/>
    </row>
    <row r="5148" spans="19:19" ht="26.25">
      <c r="S5148" s="61" ph="1"/>
    </row>
    <row r="5149" spans="19:19" ht="26.25">
      <c r="S5149" s="61" ph="1"/>
    </row>
    <row r="5150" spans="19:19" ht="26.25">
      <c r="S5150" s="61" ph="1"/>
    </row>
    <row r="5151" spans="19:19" ht="26.25">
      <c r="S5151" s="61" ph="1"/>
    </row>
    <row r="5152" spans="19:19" ht="26.25">
      <c r="S5152" s="61" ph="1"/>
    </row>
    <row r="5153" spans="19:19" ht="26.25">
      <c r="S5153" s="61" ph="1"/>
    </row>
    <row r="5154" spans="19:19" ht="26.25">
      <c r="S5154" s="61" ph="1"/>
    </row>
    <row r="5155" spans="19:19" ht="26.25">
      <c r="S5155" s="61" ph="1"/>
    </row>
    <row r="5156" spans="19:19" ht="26.25">
      <c r="S5156" s="61" ph="1"/>
    </row>
    <row r="5157" spans="19:19" ht="26.25">
      <c r="S5157" s="61" ph="1"/>
    </row>
    <row r="5158" spans="19:19" ht="26.25">
      <c r="S5158" s="61" ph="1"/>
    </row>
    <row r="5159" spans="19:19" ht="26.25">
      <c r="S5159" s="61" ph="1"/>
    </row>
    <row r="5160" spans="19:19" ht="26.25">
      <c r="S5160" s="61" ph="1"/>
    </row>
    <row r="5161" spans="19:19" ht="26.25">
      <c r="S5161" s="61" ph="1"/>
    </row>
    <row r="5162" spans="19:19" ht="26.25">
      <c r="S5162" s="61" ph="1"/>
    </row>
    <row r="5163" spans="19:19" ht="26.25">
      <c r="S5163" s="61" ph="1"/>
    </row>
    <row r="5164" spans="19:19" ht="26.25">
      <c r="S5164" s="61" ph="1"/>
    </row>
    <row r="5165" spans="19:19" ht="26.25">
      <c r="S5165" s="61" ph="1"/>
    </row>
    <row r="5166" spans="19:19" ht="26.25">
      <c r="S5166" s="61" ph="1"/>
    </row>
    <row r="5167" spans="19:19" ht="26.25">
      <c r="S5167" s="61" ph="1"/>
    </row>
    <row r="5168" spans="19:19" ht="26.25">
      <c r="S5168" s="61" ph="1"/>
    </row>
    <row r="5169" spans="19:19" ht="26.25">
      <c r="S5169" s="61" ph="1"/>
    </row>
    <row r="5170" spans="19:19" ht="26.25">
      <c r="S5170" s="61" ph="1"/>
    </row>
    <row r="5171" spans="19:19" ht="26.25">
      <c r="S5171" s="61" ph="1"/>
    </row>
    <row r="5172" spans="19:19" ht="26.25">
      <c r="S5172" s="61" ph="1"/>
    </row>
    <row r="5173" spans="19:19" ht="26.25">
      <c r="S5173" s="61" ph="1"/>
    </row>
    <row r="5174" spans="19:19" ht="26.25">
      <c r="S5174" s="61" ph="1"/>
    </row>
    <row r="5175" spans="19:19" ht="26.25">
      <c r="S5175" s="61" ph="1"/>
    </row>
    <row r="5176" spans="19:19" ht="26.25">
      <c r="S5176" s="61" ph="1"/>
    </row>
    <row r="5177" spans="19:19" ht="26.25">
      <c r="S5177" s="61" ph="1"/>
    </row>
    <row r="5178" spans="19:19" ht="26.25">
      <c r="S5178" s="61" ph="1"/>
    </row>
    <row r="5179" spans="19:19" ht="26.25">
      <c r="S5179" s="61" ph="1"/>
    </row>
    <row r="5180" spans="19:19" ht="26.25">
      <c r="S5180" s="61" ph="1"/>
    </row>
    <row r="5181" spans="19:19" ht="26.25">
      <c r="S5181" s="61" ph="1"/>
    </row>
    <row r="5182" spans="19:19" ht="26.25">
      <c r="S5182" s="61" ph="1"/>
    </row>
    <row r="5183" spans="19:19" ht="26.25">
      <c r="S5183" s="61" ph="1"/>
    </row>
    <row r="5184" spans="19:19" ht="26.25">
      <c r="S5184" s="61" ph="1"/>
    </row>
    <row r="5185" spans="19:19" ht="26.25">
      <c r="S5185" s="61" ph="1"/>
    </row>
    <row r="5186" spans="19:19" ht="26.25">
      <c r="S5186" s="61" ph="1"/>
    </row>
    <row r="5187" spans="19:19" ht="26.25">
      <c r="S5187" s="61" ph="1"/>
    </row>
    <row r="5188" spans="19:19" ht="26.25">
      <c r="S5188" s="61" ph="1"/>
    </row>
    <row r="5189" spans="19:19" ht="26.25">
      <c r="S5189" s="61" ph="1"/>
    </row>
    <row r="5190" spans="19:19" ht="26.25">
      <c r="S5190" s="61" ph="1"/>
    </row>
    <row r="5191" spans="19:19" ht="26.25">
      <c r="S5191" s="61" ph="1"/>
    </row>
    <row r="5192" spans="19:19" ht="26.25">
      <c r="S5192" s="61" ph="1"/>
    </row>
    <row r="5193" spans="19:19" ht="26.25">
      <c r="S5193" s="61" ph="1"/>
    </row>
    <row r="5194" spans="19:19" ht="26.25">
      <c r="S5194" s="61" ph="1"/>
    </row>
    <row r="5195" spans="19:19" ht="26.25">
      <c r="S5195" s="61" ph="1"/>
    </row>
    <row r="5196" spans="19:19" ht="26.25">
      <c r="S5196" s="61" ph="1"/>
    </row>
    <row r="5197" spans="19:19" ht="26.25">
      <c r="S5197" s="61" ph="1"/>
    </row>
    <row r="5198" spans="19:19" ht="26.25">
      <c r="S5198" s="61" ph="1"/>
    </row>
    <row r="5199" spans="19:19" ht="26.25">
      <c r="S5199" s="61" ph="1"/>
    </row>
    <row r="5200" spans="19:19" ht="26.25">
      <c r="S5200" s="61" ph="1"/>
    </row>
    <row r="5201" spans="19:19" ht="26.25">
      <c r="S5201" s="61" ph="1"/>
    </row>
    <row r="5202" spans="19:19" ht="26.25">
      <c r="S5202" s="61" ph="1"/>
    </row>
    <row r="5203" spans="19:19" ht="26.25">
      <c r="S5203" s="61" ph="1"/>
    </row>
    <row r="5204" spans="19:19" ht="26.25">
      <c r="S5204" s="61" ph="1"/>
    </row>
    <row r="5205" spans="19:19" ht="26.25">
      <c r="S5205" s="61" ph="1"/>
    </row>
    <row r="5206" spans="19:19" ht="26.25">
      <c r="S5206" s="61" ph="1"/>
    </row>
    <row r="5207" spans="19:19" ht="26.25">
      <c r="S5207" s="61" ph="1"/>
    </row>
    <row r="5208" spans="19:19" ht="26.25">
      <c r="S5208" s="61" ph="1"/>
    </row>
    <row r="5209" spans="19:19" ht="26.25">
      <c r="S5209" s="61" ph="1"/>
    </row>
    <row r="5210" spans="19:19" ht="26.25">
      <c r="S5210" s="61" ph="1"/>
    </row>
    <row r="5211" spans="19:19" ht="26.25">
      <c r="S5211" s="61" ph="1"/>
    </row>
    <row r="5212" spans="19:19" ht="26.25">
      <c r="S5212" s="61" ph="1"/>
    </row>
    <row r="5213" spans="19:19" ht="26.25">
      <c r="S5213" s="61" ph="1"/>
    </row>
    <row r="5214" spans="19:19" ht="26.25">
      <c r="S5214" s="61" ph="1"/>
    </row>
    <row r="5215" spans="19:19" ht="26.25">
      <c r="S5215" s="61" ph="1"/>
    </row>
    <row r="5216" spans="19:19" ht="26.25">
      <c r="S5216" s="61" ph="1"/>
    </row>
    <row r="5217" spans="19:19" ht="26.25">
      <c r="S5217" s="61" ph="1"/>
    </row>
    <row r="5218" spans="19:19" ht="26.25">
      <c r="S5218" s="61" ph="1"/>
    </row>
    <row r="5219" spans="19:19" ht="26.25">
      <c r="S5219" s="61" ph="1"/>
    </row>
    <row r="5220" spans="19:19" ht="26.25">
      <c r="S5220" s="61" ph="1"/>
    </row>
    <row r="5221" spans="19:19" ht="26.25">
      <c r="S5221" s="61" ph="1"/>
    </row>
    <row r="5222" spans="19:19" ht="26.25">
      <c r="S5222" s="61" ph="1"/>
    </row>
    <row r="5223" spans="19:19" ht="26.25">
      <c r="S5223" s="61" ph="1"/>
    </row>
    <row r="5224" spans="19:19" ht="26.25">
      <c r="S5224" s="61" ph="1"/>
    </row>
    <row r="5225" spans="19:19" ht="26.25">
      <c r="S5225" s="61" ph="1"/>
    </row>
    <row r="5226" spans="19:19" ht="26.25">
      <c r="S5226" s="61" ph="1"/>
    </row>
    <row r="5227" spans="19:19" ht="26.25">
      <c r="S5227" s="61" ph="1"/>
    </row>
    <row r="5228" spans="19:19" ht="26.25">
      <c r="S5228" s="61" ph="1"/>
    </row>
    <row r="5229" spans="19:19" ht="26.25">
      <c r="S5229" s="61" ph="1"/>
    </row>
    <row r="5230" spans="19:19" ht="26.25">
      <c r="S5230" s="61" ph="1"/>
    </row>
    <row r="5231" spans="19:19" ht="26.25">
      <c r="S5231" s="61" ph="1"/>
    </row>
    <row r="5232" spans="19:19" ht="26.25">
      <c r="S5232" s="61" ph="1"/>
    </row>
    <row r="5233" spans="19:19" ht="26.25">
      <c r="S5233" s="61" ph="1"/>
    </row>
    <row r="5234" spans="19:19" ht="26.25">
      <c r="S5234" s="61" ph="1"/>
    </row>
    <row r="5235" spans="19:19" ht="26.25">
      <c r="S5235" s="61" ph="1"/>
    </row>
    <row r="5236" spans="19:19" ht="26.25">
      <c r="S5236" s="61" ph="1"/>
    </row>
    <row r="5237" spans="19:19" ht="26.25">
      <c r="S5237" s="61" ph="1"/>
    </row>
    <row r="5238" spans="19:19" ht="26.25">
      <c r="S5238" s="61" ph="1"/>
    </row>
    <row r="5239" spans="19:19" ht="26.25">
      <c r="S5239" s="61" ph="1"/>
    </row>
    <row r="5240" spans="19:19" ht="26.25">
      <c r="S5240" s="61" ph="1"/>
    </row>
    <row r="5241" spans="19:19" ht="26.25">
      <c r="S5241" s="61" ph="1"/>
    </row>
    <row r="5242" spans="19:19" ht="26.25">
      <c r="S5242" s="61" ph="1"/>
    </row>
    <row r="5243" spans="19:19" ht="26.25">
      <c r="S5243" s="61" ph="1"/>
    </row>
    <row r="5244" spans="19:19" ht="26.25">
      <c r="S5244" s="61" ph="1"/>
    </row>
    <row r="5245" spans="19:19" ht="26.25">
      <c r="S5245" s="61" ph="1"/>
    </row>
    <row r="5246" spans="19:19" ht="26.25">
      <c r="S5246" s="61" ph="1"/>
    </row>
    <row r="5247" spans="19:19" ht="26.25">
      <c r="S5247" s="61" ph="1"/>
    </row>
    <row r="5248" spans="19:19" ht="26.25">
      <c r="S5248" s="61" ph="1"/>
    </row>
    <row r="5249" spans="19:19" ht="26.25">
      <c r="S5249" s="61" ph="1"/>
    </row>
    <row r="5250" spans="19:19" ht="26.25">
      <c r="S5250" s="61" ph="1"/>
    </row>
    <row r="5251" spans="19:19" ht="26.25">
      <c r="S5251" s="61" ph="1"/>
    </row>
    <row r="5252" spans="19:19" ht="26.25">
      <c r="S5252" s="61" ph="1"/>
    </row>
    <row r="5253" spans="19:19" ht="26.25">
      <c r="S5253" s="61" ph="1"/>
    </row>
    <row r="5254" spans="19:19" ht="26.25">
      <c r="S5254" s="61" ph="1"/>
    </row>
    <row r="5255" spans="19:19" ht="26.25">
      <c r="S5255" s="61" ph="1"/>
    </row>
    <row r="5256" spans="19:19" ht="26.25">
      <c r="S5256" s="61" ph="1"/>
    </row>
    <row r="5257" spans="19:19" ht="26.25">
      <c r="S5257" s="61" ph="1"/>
    </row>
    <row r="5258" spans="19:19" ht="26.25">
      <c r="S5258" s="61" ph="1"/>
    </row>
    <row r="5259" spans="19:19" ht="26.25">
      <c r="S5259" s="61" ph="1"/>
    </row>
    <row r="5260" spans="19:19" ht="26.25">
      <c r="S5260" s="61" ph="1"/>
    </row>
    <row r="5261" spans="19:19" ht="26.25">
      <c r="S5261" s="61" ph="1"/>
    </row>
    <row r="5262" spans="19:19" ht="26.25">
      <c r="S5262" s="61" ph="1"/>
    </row>
    <row r="5263" spans="19:19" ht="26.25">
      <c r="S5263" s="61" ph="1"/>
    </row>
    <row r="5264" spans="19:19" ht="26.25">
      <c r="S5264" s="61" ph="1"/>
    </row>
    <row r="5265" spans="19:19" ht="26.25">
      <c r="S5265" s="61" ph="1"/>
    </row>
    <row r="5266" spans="19:19" ht="26.25">
      <c r="S5266" s="61" ph="1"/>
    </row>
    <row r="5267" spans="19:19" ht="26.25">
      <c r="S5267" s="61" ph="1"/>
    </row>
    <row r="5268" spans="19:19" ht="26.25">
      <c r="S5268" s="61" ph="1"/>
    </row>
    <row r="5269" spans="19:19" ht="26.25">
      <c r="S5269" s="61" ph="1"/>
    </row>
    <row r="5270" spans="19:19" ht="26.25">
      <c r="S5270" s="61" ph="1"/>
    </row>
    <row r="5271" spans="19:19" ht="26.25">
      <c r="S5271" s="61" ph="1"/>
    </row>
    <row r="5272" spans="19:19" ht="26.25">
      <c r="S5272" s="61" ph="1"/>
    </row>
    <row r="5273" spans="19:19" ht="26.25">
      <c r="S5273" s="61" ph="1"/>
    </row>
    <row r="5274" spans="19:19" ht="26.25">
      <c r="S5274" s="61" ph="1"/>
    </row>
    <row r="5275" spans="19:19" ht="26.25">
      <c r="S5275" s="61" ph="1"/>
    </row>
    <row r="5276" spans="19:19" ht="26.25">
      <c r="S5276" s="61" ph="1"/>
    </row>
    <row r="5277" spans="19:19" ht="26.25">
      <c r="S5277" s="61" ph="1"/>
    </row>
    <row r="5278" spans="19:19" ht="26.25">
      <c r="S5278" s="61" ph="1"/>
    </row>
    <row r="5279" spans="19:19" ht="26.25">
      <c r="S5279" s="61" ph="1"/>
    </row>
    <row r="5280" spans="19:19" ht="26.25">
      <c r="S5280" s="61" ph="1"/>
    </row>
    <row r="5281" spans="19:19" ht="26.25">
      <c r="S5281" s="61" ph="1"/>
    </row>
    <row r="5282" spans="19:19" ht="26.25">
      <c r="S5282" s="61" ph="1"/>
    </row>
    <row r="5283" spans="19:19" ht="26.25">
      <c r="S5283" s="61" ph="1"/>
    </row>
    <row r="5284" spans="19:19" ht="26.25">
      <c r="S5284" s="61" ph="1"/>
    </row>
    <row r="5285" spans="19:19" ht="26.25">
      <c r="S5285" s="61" ph="1"/>
    </row>
    <row r="5286" spans="19:19" ht="26.25">
      <c r="S5286" s="61" ph="1"/>
    </row>
    <row r="5287" spans="19:19" ht="26.25">
      <c r="S5287" s="61" ph="1"/>
    </row>
    <row r="5288" spans="19:19" ht="26.25">
      <c r="S5288" s="61" ph="1"/>
    </row>
    <row r="5289" spans="19:19" ht="26.25">
      <c r="S5289" s="61" ph="1"/>
    </row>
    <row r="5290" spans="19:19" ht="26.25">
      <c r="S5290" s="61" ph="1"/>
    </row>
    <row r="5291" spans="19:19" ht="26.25">
      <c r="S5291" s="61" ph="1"/>
    </row>
    <row r="5292" spans="19:19" ht="26.25">
      <c r="S5292" s="61" ph="1"/>
    </row>
    <row r="5293" spans="19:19" ht="26.25">
      <c r="S5293" s="61" ph="1"/>
    </row>
    <row r="5294" spans="19:19" ht="26.25">
      <c r="S5294" s="61" ph="1"/>
    </row>
    <row r="5295" spans="19:19" ht="26.25">
      <c r="S5295" s="61" ph="1"/>
    </row>
    <row r="5296" spans="19:19" ht="26.25">
      <c r="S5296" s="61" ph="1"/>
    </row>
    <row r="5297" spans="19:19" ht="26.25">
      <c r="S5297" s="61" ph="1"/>
    </row>
    <row r="5298" spans="19:19" ht="26.25">
      <c r="S5298" s="61" ph="1"/>
    </row>
    <row r="5299" spans="19:19" ht="26.25">
      <c r="S5299" s="61" ph="1"/>
    </row>
    <row r="5300" spans="19:19" ht="26.25">
      <c r="S5300" s="61" ph="1"/>
    </row>
    <row r="5301" spans="19:19" ht="26.25">
      <c r="S5301" s="61" ph="1"/>
    </row>
    <row r="5302" spans="19:19" ht="26.25">
      <c r="S5302" s="61" ph="1"/>
    </row>
    <row r="5303" spans="19:19" ht="26.25">
      <c r="S5303" s="61" ph="1"/>
    </row>
    <row r="5304" spans="19:19" ht="26.25">
      <c r="S5304" s="61" ph="1"/>
    </row>
    <row r="5305" spans="19:19" ht="26.25">
      <c r="S5305" s="61" ph="1"/>
    </row>
    <row r="5306" spans="19:19" ht="26.25">
      <c r="S5306" s="61" ph="1"/>
    </row>
    <row r="5307" spans="19:19" ht="26.25">
      <c r="S5307" s="61" ph="1"/>
    </row>
    <row r="5308" spans="19:19" ht="26.25">
      <c r="S5308" s="61" ph="1"/>
    </row>
    <row r="5309" spans="19:19" ht="26.25">
      <c r="S5309" s="61" ph="1"/>
    </row>
    <row r="5310" spans="19:19" ht="26.25">
      <c r="S5310" s="61" ph="1"/>
    </row>
    <row r="5311" spans="19:19" ht="26.25">
      <c r="S5311" s="61" ph="1"/>
    </row>
    <row r="5312" spans="19:19" ht="26.25">
      <c r="S5312" s="61" ph="1"/>
    </row>
    <row r="5313" spans="19:19" ht="26.25">
      <c r="S5313" s="61" ph="1"/>
    </row>
    <row r="5314" spans="19:19" ht="26.25">
      <c r="S5314" s="61" ph="1"/>
    </row>
    <row r="5315" spans="19:19" ht="26.25">
      <c r="S5315" s="61" ph="1"/>
    </row>
    <row r="5316" spans="19:19" ht="26.25">
      <c r="S5316" s="61" ph="1"/>
    </row>
    <row r="5317" spans="19:19" ht="26.25">
      <c r="S5317" s="61" ph="1"/>
    </row>
    <row r="5318" spans="19:19" ht="26.25">
      <c r="S5318" s="61" ph="1"/>
    </row>
    <row r="5319" spans="19:19" ht="26.25">
      <c r="S5319" s="61" ph="1"/>
    </row>
    <row r="5320" spans="19:19" ht="26.25">
      <c r="S5320" s="61" ph="1"/>
    </row>
    <row r="5321" spans="19:19" ht="26.25">
      <c r="S5321" s="61" ph="1"/>
    </row>
    <row r="5322" spans="19:19" ht="26.25">
      <c r="S5322" s="61" ph="1"/>
    </row>
    <row r="5323" spans="19:19" ht="26.25">
      <c r="S5323" s="61" ph="1"/>
    </row>
    <row r="5324" spans="19:19" ht="26.25">
      <c r="S5324" s="61" ph="1"/>
    </row>
    <row r="5325" spans="19:19" ht="26.25">
      <c r="S5325" s="61" ph="1"/>
    </row>
    <row r="5326" spans="19:19" ht="26.25">
      <c r="S5326" s="61" ph="1"/>
    </row>
    <row r="5327" spans="19:19" ht="26.25">
      <c r="S5327" s="61" ph="1"/>
    </row>
    <row r="5328" spans="19:19" ht="26.25">
      <c r="S5328" s="61" ph="1"/>
    </row>
    <row r="5329" spans="19:19" ht="26.25">
      <c r="S5329" s="61" ph="1"/>
    </row>
    <row r="5330" spans="19:19" ht="26.25">
      <c r="S5330" s="61" ph="1"/>
    </row>
    <row r="5331" spans="19:19" ht="26.25">
      <c r="S5331" s="61" ph="1"/>
    </row>
    <row r="5332" spans="19:19" ht="26.25">
      <c r="S5332" s="61" ph="1"/>
    </row>
    <row r="5333" spans="19:19" ht="26.25">
      <c r="S5333" s="61" ph="1"/>
    </row>
    <row r="5334" spans="19:19" ht="26.25">
      <c r="S5334" s="61" ph="1"/>
    </row>
    <row r="5335" spans="19:19" ht="26.25">
      <c r="S5335" s="61" ph="1"/>
    </row>
    <row r="5336" spans="19:19" ht="26.25">
      <c r="S5336" s="61" ph="1"/>
    </row>
    <row r="5337" spans="19:19" ht="26.25">
      <c r="S5337" s="61" ph="1"/>
    </row>
    <row r="5338" spans="19:19" ht="26.25">
      <c r="S5338" s="61" ph="1"/>
    </row>
    <row r="5339" spans="19:19" ht="26.25">
      <c r="S5339" s="61" ph="1"/>
    </row>
    <row r="5340" spans="19:19" ht="26.25">
      <c r="S5340" s="61" ph="1"/>
    </row>
    <row r="5341" spans="19:19" ht="26.25">
      <c r="S5341" s="61" ph="1"/>
    </row>
    <row r="5342" spans="19:19" ht="26.25">
      <c r="S5342" s="61" ph="1"/>
    </row>
    <row r="5343" spans="19:19" ht="26.25">
      <c r="S5343" s="61" ph="1"/>
    </row>
    <row r="5344" spans="19:19" ht="26.25">
      <c r="S5344" s="61" ph="1"/>
    </row>
    <row r="5345" spans="19:19" ht="26.25">
      <c r="S5345" s="61" ph="1"/>
    </row>
    <row r="5346" spans="19:19" ht="26.25">
      <c r="S5346" s="61" ph="1"/>
    </row>
    <row r="5347" spans="19:19" ht="26.25">
      <c r="S5347" s="61" ph="1"/>
    </row>
    <row r="5348" spans="19:19" ht="26.25">
      <c r="S5348" s="61" ph="1"/>
    </row>
    <row r="5349" spans="19:19" ht="26.25">
      <c r="S5349" s="61" ph="1"/>
    </row>
    <row r="5350" spans="19:19" ht="26.25">
      <c r="S5350" s="61" ph="1"/>
    </row>
    <row r="5351" spans="19:19" ht="26.25">
      <c r="S5351" s="61" ph="1"/>
    </row>
    <row r="5352" spans="19:19" ht="26.25">
      <c r="S5352" s="61" ph="1"/>
    </row>
    <row r="5353" spans="19:19" ht="26.25">
      <c r="S5353" s="61" ph="1"/>
    </row>
    <row r="5354" spans="19:19" ht="26.25">
      <c r="S5354" s="61" ph="1"/>
    </row>
    <row r="5355" spans="19:19" ht="26.25">
      <c r="S5355" s="61" ph="1"/>
    </row>
    <row r="5356" spans="19:19" ht="26.25">
      <c r="S5356" s="61" ph="1"/>
    </row>
    <row r="5357" spans="19:19" ht="26.25">
      <c r="S5357" s="61" ph="1"/>
    </row>
    <row r="5358" spans="19:19" ht="26.25">
      <c r="S5358" s="61" ph="1"/>
    </row>
    <row r="5359" spans="19:19" ht="26.25">
      <c r="S5359" s="61" ph="1"/>
    </row>
    <row r="5360" spans="19:19" ht="26.25">
      <c r="S5360" s="61" ph="1"/>
    </row>
    <row r="5361" spans="19:19" ht="26.25">
      <c r="S5361" s="61" ph="1"/>
    </row>
    <row r="5362" spans="19:19" ht="26.25">
      <c r="S5362" s="61" ph="1"/>
    </row>
    <row r="5363" spans="19:19" ht="26.25">
      <c r="S5363" s="61" ph="1"/>
    </row>
    <row r="5364" spans="19:19" ht="26.25">
      <c r="S5364" s="61" ph="1"/>
    </row>
    <row r="5365" spans="19:19" ht="26.25">
      <c r="S5365" s="61" ph="1"/>
    </row>
    <row r="5366" spans="19:19" ht="26.25">
      <c r="S5366" s="61" ph="1"/>
    </row>
    <row r="5367" spans="19:19" ht="26.25">
      <c r="S5367" s="61" ph="1"/>
    </row>
    <row r="5368" spans="19:19" ht="26.25">
      <c r="S5368" s="61" ph="1"/>
    </row>
    <row r="5369" spans="19:19" ht="26.25">
      <c r="S5369" s="61" ph="1"/>
    </row>
    <row r="5370" spans="19:19" ht="26.25">
      <c r="S5370" s="61" ph="1"/>
    </row>
    <row r="5371" spans="19:19" ht="26.25">
      <c r="S5371" s="61" ph="1"/>
    </row>
    <row r="5372" spans="19:19" ht="26.25">
      <c r="S5372" s="61" ph="1"/>
    </row>
    <row r="5373" spans="19:19" ht="26.25">
      <c r="S5373" s="61" ph="1"/>
    </row>
    <row r="5374" spans="19:19" ht="26.25">
      <c r="S5374" s="61" ph="1"/>
    </row>
    <row r="5375" spans="19:19" ht="26.25">
      <c r="S5375" s="61" ph="1"/>
    </row>
    <row r="5376" spans="19:19" ht="26.25">
      <c r="S5376" s="61" ph="1"/>
    </row>
    <row r="5377" spans="19:19" ht="26.25">
      <c r="S5377" s="61" ph="1"/>
    </row>
    <row r="5378" spans="19:19" ht="26.25">
      <c r="S5378" s="61" ph="1"/>
    </row>
    <row r="5379" spans="19:19" ht="26.25">
      <c r="S5379" s="61" ph="1"/>
    </row>
    <row r="5380" spans="19:19" ht="26.25">
      <c r="S5380" s="61" ph="1"/>
    </row>
    <row r="5381" spans="19:19" ht="26.25">
      <c r="S5381" s="61" ph="1"/>
    </row>
    <row r="5382" spans="19:19" ht="26.25">
      <c r="S5382" s="61" ph="1"/>
    </row>
    <row r="5383" spans="19:19" ht="26.25">
      <c r="S5383" s="61" ph="1"/>
    </row>
    <row r="5384" spans="19:19" ht="26.25">
      <c r="S5384" s="61" ph="1"/>
    </row>
    <row r="5385" spans="19:19" ht="26.25">
      <c r="S5385" s="61" ph="1"/>
    </row>
    <row r="5386" spans="19:19" ht="26.25">
      <c r="S5386" s="61" ph="1"/>
    </row>
    <row r="5387" spans="19:19" ht="26.25">
      <c r="S5387" s="61" ph="1"/>
    </row>
    <row r="5388" spans="19:19" ht="26.25">
      <c r="S5388" s="61" ph="1"/>
    </row>
    <row r="5389" spans="19:19" ht="26.25">
      <c r="S5389" s="61" ph="1"/>
    </row>
    <row r="5390" spans="19:19" ht="26.25">
      <c r="S5390" s="61" ph="1"/>
    </row>
    <row r="5391" spans="19:19" ht="26.25">
      <c r="S5391" s="61" ph="1"/>
    </row>
    <row r="5392" spans="19:19" ht="26.25">
      <c r="S5392" s="61" ph="1"/>
    </row>
    <row r="5393" spans="19:19" ht="26.25">
      <c r="S5393" s="61" ph="1"/>
    </row>
    <row r="5394" spans="19:19" ht="26.25">
      <c r="S5394" s="61" ph="1"/>
    </row>
    <row r="5395" spans="19:19" ht="26.25">
      <c r="S5395" s="61" ph="1"/>
    </row>
    <row r="5396" spans="19:19" ht="26.25">
      <c r="S5396" s="61" ph="1"/>
    </row>
    <row r="5397" spans="19:19" ht="26.25">
      <c r="S5397" s="61" ph="1"/>
    </row>
    <row r="5398" spans="19:19" ht="26.25">
      <c r="S5398" s="61" ph="1"/>
    </row>
    <row r="5399" spans="19:19" ht="26.25">
      <c r="S5399" s="61" ph="1"/>
    </row>
    <row r="5400" spans="19:19" ht="26.25">
      <c r="S5400" s="61" ph="1"/>
    </row>
    <row r="5401" spans="19:19" ht="26.25">
      <c r="S5401" s="61" ph="1"/>
    </row>
    <row r="5402" spans="19:19" ht="26.25">
      <c r="S5402" s="61" ph="1"/>
    </row>
    <row r="5403" spans="19:19" ht="26.25">
      <c r="S5403" s="61" ph="1"/>
    </row>
    <row r="5404" spans="19:19" ht="26.25">
      <c r="S5404" s="61" ph="1"/>
    </row>
    <row r="5405" spans="19:19" ht="26.25">
      <c r="S5405" s="61" ph="1"/>
    </row>
    <row r="5406" spans="19:19" ht="26.25">
      <c r="S5406" s="61" ph="1"/>
    </row>
    <row r="5407" spans="19:19" ht="26.25">
      <c r="S5407" s="61" ph="1"/>
    </row>
    <row r="5408" spans="19:19" ht="26.25">
      <c r="S5408" s="61" ph="1"/>
    </row>
    <row r="5409" spans="19:19" ht="26.25">
      <c r="S5409" s="61" ph="1"/>
    </row>
    <row r="5410" spans="19:19" ht="26.25">
      <c r="S5410" s="61" ph="1"/>
    </row>
    <row r="5411" spans="19:19" ht="26.25">
      <c r="S5411" s="61" ph="1"/>
    </row>
    <row r="5412" spans="19:19" ht="26.25">
      <c r="S5412" s="61" ph="1"/>
    </row>
    <row r="5413" spans="19:19" ht="26.25">
      <c r="S5413" s="61" ph="1"/>
    </row>
    <row r="5414" spans="19:19" ht="26.25">
      <c r="S5414" s="61" ph="1"/>
    </row>
    <row r="5415" spans="19:19" ht="26.25">
      <c r="S5415" s="61" ph="1"/>
    </row>
    <row r="5416" spans="19:19" ht="26.25">
      <c r="S5416" s="61" ph="1"/>
    </row>
    <row r="5417" spans="19:19" ht="26.25">
      <c r="S5417" s="61" ph="1"/>
    </row>
    <row r="5418" spans="19:19" ht="26.25">
      <c r="S5418" s="61" ph="1"/>
    </row>
    <row r="5419" spans="19:19" ht="26.25">
      <c r="S5419" s="61" ph="1"/>
    </row>
    <row r="5420" spans="19:19" ht="26.25">
      <c r="S5420" s="61" ph="1"/>
    </row>
    <row r="5421" spans="19:19" ht="26.25">
      <c r="S5421" s="61" ph="1"/>
    </row>
    <row r="5422" spans="19:19" ht="26.25">
      <c r="S5422" s="61" ph="1"/>
    </row>
    <row r="5423" spans="19:19" ht="26.25">
      <c r="S5423" s="61" ph="1"/>
    </row>
    <row r="5424" spans="19:19" ht="26.25">
      <c r="S5424" s="61" ph="1"/>
    </row>
    <row r="5425" spans="19:19" ht="26.25">
      <c r="S5425" s="61" ph="1"/>
    </row>
    <row r="5426" spans="19:19" ht="26.25">
      <c r="S5426" s="61" ph="1"/>
    </row>
    <row r="5427" spans="19:19" ht="26.25">
      <c r="S5427" s="61" ph="1"/>
    </row>
    <row r="5428" spans="19:19" ht="26.25">
      <c r="S5428" s="61" ph="1"/>
    </row>
    <row r="5429" spans="19:19" ht="26.25">
      <c r="S5429" s="61" ph="1"/>
    </row>
    <row r="5430" spans="19:19" ht="26.25">
      <c r="S5430" s="61" ph="1"/>
    </row>
    <row r="5431" spans="19:19" ht="26.25">
      <c r="S5431" s="61" ph="1"/>
    </row>
    <row r="5432" spans="19:19" ht="26.25">
      <c r="S5432" s="61" ph="1"/>
    </row>
    <row r="5433" spans="19:19" ht="26.25">
      <c r="S5433" s="61" ph="1"/>
    </row>
    <row r="5434" spans="19:19" ht="26.25">
      <c r="S5434" s="61" ph="1"/>
    </row>
    <row r="5435" spans="19:19" ht="26.25">
      <c r="S5435" s="61" ph="1"/>
    </row>
    <row r="5436" spans="19:19" ht="26.25">
      <c r="S5436" s="61" ph="1"/>
    </row>
    <row r="5437" spans="19:19" ht="26.25">
      <c r="S5437" s="61" ph="1"/>
    </row>
    <row r="5438" spans="19:19" ht="26.25">
      <c r="S5438" s="61" ph="1"/>
    </row>
    <row r="5439" spans="19:19" ht="26.25">
      <c r="S5439" s="61" ph="1"/>
    </row>
    <row r="5440" spans="19:19" ht="26.25">
      <c r="S5440" s="61" ph="1"/>
    </row>
    <row r="5441" spans="19:19" ht="26.25">
      <c r="S5441" s="61" ph="1"/>
    </row>
    <row r="5442" spans="19:19" ht="26.25">
      <c r="S5442" s="61" ph="1"/>
    </row>
    <row r="5443" spans="19:19" ht="26.25">
      <c r="S5443" s="61" ph="1"/>
    </row>
    <row r="5444" spans="19:19" ht="26.25">
      <c r="S5444" s="61" ph="1"/>
    </row>
    <row r="5445" spans="19:19" ht="26.25">
      <c r="S5445" s="61" ph="1"/>
    </row>
    <row r="5446" spans="19:19" ht="26.25">
      <c r="S5446" s="61" ph="1"/>
    </row>
    <row r="5447" spans="19:19" ht="26.25">
      <c r="S5447" s="61" ph="1"/>
    </row>
    <row r="5448" spans="19:19" ht="26.25">
      <c r="S5448" s="61" ph="1"/>
    </row>
    <row r="5449" spans="19:19" ht="26.25">
      <c r="S5449" s="61" ph="1"/>
    </row>
    <row r="5450" spans="19:19" ht="26.25">
      <c r="S5450" s="61" ph="1"/>
    </row>
    <row r="5451" spans="19:19" ht="26.25">
      <c r="S5451" s="61" ph="1"/>
    </row>
    <row r="5452" spans="19:19" ht="26.25">
      <c r="S5452" s="61" ph="1"/>
    </row>
    <row r="5453" spans="19:19" ht="26.25">
      <c r="S5453" s="61" ph="1"/>
    </row>
    <row r="5454" spans="19:19" ht="26.25">
      <c r="S5454" s="61" ph="1"/>
    </row>
    <row r="5455" spans="19:19" ht="26.25">
      <c r="S5455" s="61" ph="1"/>
    </row>
    <row r="5456" spans="19:19" ht="26.25">
      <c r="S5456" s="61" ph="1"/>
    </row>
    <row r="5457" spans="19:19" ht="26.25">
      <c r="S5457" s="61" ph="1"/>
    </row>
    <row r="5458" spans="19:19" ht="26.25">
      <c r="S5458" s="61" ph="1"/>
    </row>
    <row r="5459" spans="19:19" ht="26.25">
      <c r="S5459" s="61" ph="1"/>
    </row>
    <row r="5460" spans="19:19" ht="26.25">
      <c r="S5460" s="61" ph="1"/>
    </row>
    <row r="5461" spans="19:19" ht="26.25">
      <c r="S5461" s="61" ph="1"/>
    </row>
    <row r="5462" spans="19:19" ht="26.25">
      <c r="S5462" s="61" ph="1"/>
    </row>
    <row r="5463" spans="19:19" ht="26.25">
      <c r="S5463" s="61" ph="1"/>
    </row>
    <row r="5464" spans="19:19" ht="26.25">
      <c r="S5464" s="61" ph="1"/>
    </row>
    <row r="5465" spans="19:19" ht="26.25">
      <c r="S5465" s="61" ph="1"/>
    </row>
    <row r="5466" spans="19:19" ht="26.25">
      <c r="S5466" s="61" ph="1"/>
    </row>
    <row r="5467" spans="19:19" ht="26.25">
      <c r="S5467" s="61" ph="1"/>
    </row>
    <row r="5468" spans="19:19" ht="26.25">
      <c r="S5468" s="61" ph="1"/>
    </row>
    <row r="5469" spans="19:19" ht="26.25">
      <c r="S5469" s="61" ph="1"/>
    </row>
    <row r="5470" spans="19:19" ht="26.25">
      <c r="S5470" s="61" ph="1"/>
    </row>
    <row r="5471" spans="19:19" ht="26.25">
      <c r="S5471" s="61" ph="1"/>
    </row>
    <row r="5472" spans="19:19" ht="26.25">
      <c r="S5472" s="61" ph="1"/>
    </row>
    <row r="5473" spans="19:19" ht="26.25">
      <c r="S5473" s="61" ph="1"/>
    </row>
    <row r="5474" spans="19:19" ht="26.25">
      <c r="S5474" s="61" ph="1"/>
    </row>
    <row r="5475" spans="19:19" ht="26.25">
      <c r="S5475" s="61" ph="1"/>
    </row>
    <row r="5476" spans="19:19" ht="26.25">
      <c r="S5476" s="61" ph="1"/>
    </row>
    <row r="5477" spans="19:19" ht="26.25">
      <c r="S5477" s="61" ph="1"/>
    </row>
    <row r="5478" spans="19:19" ht="26.25">
      <c r="S5478" s="61" ph="1"/>
    </row>
    <row r="5479" spans="19:19" ht="26.25">
      <c r="S5479" s="61" ph="1"/>
    </row>
    <row r="5480" spans="19:19" ht="26.25">
      <c r="S5480" s="61" ph="1"/>
    </row>
    <row r="5481" spans="19:19" ht="26.25">
      <c r="S5481" s="61" ph="1"/>
    </row>
    <row r="5482" spans="19:19" ht="26.25">
      <c r="S5482" s="61" ph="1"/>
    </row>
    <row r="5483" spans="19:19" ht="26.25">
      <c r="S5483" s="61" ph="1"/>
    </row>
    <row r="5484" spans="19:19" ht="26.25">
      <c r="S5484" s="61" ph="1"/>
    </row>
    <row r="5485" spans="19:19" ht="26.25">
      <c r="S5485" s="61" ph="1"/>
    </row>
    <row r="5486" spans="19:19" ht="26.25">
      <c r="S5486" s="61" ph="1"/>
    </row>
    <row r="5487" spans="19:19" ht="26.25">
      <c r="S5487" s="61" ph="1"/>
    </row>
    <row r="5488" spans="19:19" ht="26.25">
      <c r="S5488" s="61" ph="1"/>
    </row>
    <row r="5489" spans="19:19" ht="26.25">
      <c r="S5489" s="61" ph="1"/>
    </row>
    <row r="5490" spans="19:19" ht="26.25">
      <c r="S5490" s="61" ph="1"/>
    </row>
    <row r="5491" spans="19:19" ht="26.25">
      <c r="S5491" s="61" ph="1"/>
    </row>
    <row r="5492" spans="19:19" ht="26.25">
      <c r="S5492" s="61" ph="1"/>
    </row>
    <row r="5493" spans="19:19" ht="26.25">
      <c r="S5493" s="61" ph="1"/>
    </row>
    <row r="5494" spans="19:19" ht="26.25">
      <c r="S5494" s="61" ph="1"/>
    </row>
    <row r="5495" spans="19:19" ht="26.25">
      <c r="S5495" s="61" ph="1"/>
    </row>
    <row r="5496" spans="19:19" ht="26.25">
      <c r="S5496" s="61" ph="1"/>
    </row>
    <row r="5497" spans="19:19" ht="26.25">
      <c r="S5497" s="61" ph="1"/>
    </row>
    <row r="5498" spans="19:19" ht="26.25">
      <c r="S5498" s="61" ph="1"/>
    </row>
    <row r="5499" spans="19:19" ht="26.25">
      <c r="S5499" s="61" ph="1"/>
    </row>
    <row r="5500" spans="19:19" ht="26.25">
      <c r="S5500" s="61" ph="1"/>
    </row>
    <row r="5501" spans="19:19" ht="26.25">
      <c r="S5501" s="61" ph="1"/>
    </row>
    <row r="5502" spans="19:19" ht="26.25">
      <c r="S5502" s="61" ph="1"/>
    </row>
    <row r="5503" spans="19:19" ht="26.25">
      <c r="S5503" s="61" ph="1"/>
    </row>
    <row r="5504" spans="19:19" ht="26.25">
      <c r="S5504" s="61" ph="1"/>
    </row>
    <row r="5505" spans="19:19" ht="26.25">
      <c r="S5505" s="61" ph="1"/>
    </row>
    <row r="5506" spans="19:19" ht="26.25">
      <c r="S5506" s="61" ph="1"/>
    </row>
    <row r="5507" spans="19:19" ht="26.25">
      <c r="S5507" s="61" ph="1"/>
    </row>
    <row r="5508" spans="19:19" ht="26.25">
      <c r="S5508" s="61" ph="1"/>
    </row>
    <row r="5509" spans="19:19" ht="26.25">
      <c r="S5509" s="61" ph="1"/>
    </row>
    <row r="5510" spans="19:19" ht="26.25">
      <c r="S5510" s="61" ph="1"/>
    </row>
    <row r="5511" spans="19:19" ht="26.25">
      <c r="S5511" s="61" ph="1"/>
    </row>
    <row r="5512" spans="19:19" ht="26.25">
      <c r="S5512" s="61" ph="1"/>
    </row>
    <row r="5513" spans="19:19" ht="26.25">
      <c r="S5513" s="61" ph="1"/>
    </row>
    <row r="5514" spans="19:19" ht="26.25">
      <c r="S5514" s="61" ph="1"/>
    </row>
    <row r="5515" spans="19:19" ht="26.25">
      <c r="S5515" s="61" ph="1"/>
    </row>
    <row r="5516" spans="19:19" ht="26.25">
      <c r="S5516" s="61" ph="1"/>
    </row>
    <row r="5517" spans="19:19" ht="26.25">
      <c r="S5517" s="61" ph="1"/>
    </row>
    <row r="5518" spans="19:19" ht="26.25">
      <c r="S5518" s="61" ph="1"/>
    </row>
    <row r="5519" spans="19:19" ht="26.25">
      <c r="S5519" s="61" ph="1"/>
    </row>
    <row r="5520" spans="19:19" ht="26.25">
      <c r="S5520" s="61" ph="1"/>
    </row>
    <row r="5521" spans="19:19" ht="26.25">
      <c r="S5521" s="61" ph="1"/>
    </row>
    <row r="5522" spans="19:19" ht="26.25">
      <c r="S5522" s="61" ph="1"/>
    </row>
    <row r="5523" spans="19:19" ht="26.25">
      <c r="S5523" s="61" ph="1"/>
    </row>
    <row r="5524" spans="19:19" ht="26.25">
      <c r="S5524" s="61" ph="1"/>
    </row>
    <row r="5525" spans="19:19" ht="26.25">
      <c r="S5525" s="61" ph="1"/>
    </row>
    <row r="5526" spans="19:19" ht="26.25">
      <c r="S5526" s="61" ph="1"/>
    </row>
    <row r="5527" spans="19:19" ht="26.25">
      <c r="S5527" s="61" ph="1"/>
    </row>
    <row r="5528" spans="19:19" ht="26.25">
      <c r="S5528" s="61" ph="1"/>
    </row>
    <row r="5529" spans="19:19" ht="26.25">
      <c r="S5529" s="61" ph="1"/>
    </row>
    <row r="5530" spans="19:19" ht="26.25">
      <c r="S5530" s="61" ph="1"/>
    </row>
    <row r="5531" spans="19:19" ht="26.25">
      <c r="S5531" s="61" ph="1"/>
    </row>
    <row r="5532" spans="19:19" ht="26.25">
      <c r="S5532" s="61" ph="1"/>
    </row>
    <row r="5533" spans="19:19" ht="26.25">
      <c r="S5533" s="61" ph="1"/>
    </row>
    <row r="5534" spans="19:19" ht="26.25">
      <c r="S5534" s="61" ph="1"/>
    </row>
    <row r="5535" spans="19:19" ht="26.25">
      <c r="S5535" s="61" ph="1"/>
    </row>
    <row r="5536" spans="19:19" ht="26.25">
      <c r="S5536" s="61" ph="1"/>
    </row>
    <row r="5537" spans="19:19" ht="26.25">
      <c r="S5537" s="61" ph="1"/>
    </row>
    <row r="5538" spans="19:19" ht="26.25">
      <c r="S5538" s="61" ph="1"/>
    </row>
    <row r="5539" spans="19:19" ht="26.25">
      <c r="S5539" s="61" ph="1"/>
    </row>
    <row r="5540" spans="19:19" ht="26.25">
      <c r="S5540" s="61" ph="1"/>
    </row>
    <row r="5541" spans="19:19" ht="26.25">
      <c r="S5541" s="61" ph="1"/>
    </row>
    <row r="5542" spans="19:19" ht="26.25">
      <c r="S5542" s="61" ph="1"/>
    </row>
    <row r="5543" spans="19:19" ht="26.25">
      <c r="S5543" s="61" ph="1"/>
    </row>
    <row r="5544" spans="19:19" ht="26.25">
      <c r="S5544" s="61" ph="1"/>
    </row>
    <row r="5545" spans="19:19" ht="26.25">
      <c r="S5545" s="61" ph="1"/>
    </row>
    <row r="5546" spans="19:19" ht="26.25">
      <c r="S5546" s="61" ph="1"/>
    </row>
    <row r="5547" spans="19:19" ht="26.25">
      <c r="S5547" s="61" ph="1"/>
    </row>
    <row r="5548" spans="19:19" ht="26.25">
      <c r="S5548" s="61" ph="1"/>
    </row>
    <row r="5549" spans="19:19" ht="26.25">
      <c r="S5549" s="61" ph="1"/>
    </row>
    <row r="5550" spans="19:19" ht="26.25">
      <c r="S5550" s="61" ph="1"/>
    </row>
    <row r="5551" spans="19:19" ht="26.25">
      <c r="S5551" s="61" ph="1"/>
    </row>
    <row r="5552" spans="19:19" ht="26.25">
      <c r="S5552" s="61" ph="1"/>
    </row>
    <row r="5553" spans="19:19" ht="26.25">
      <c r="S5553" s="61" ph="1"/>
    </row>
    <row r="5554" spans="19:19" ht="26.25">
      <c r="S5554" s="61" ph="1"/>
    </row>
    <row r="5555" spans="19:19" ht="26.25">
      <c r="S5555" s="61" ph="1"/>
    </row>
    <row r="5556" spans="19:19" ht="26.25">
      <c r="S5556" s="61" ph="1"/>
    </row>
    <row r="5557" spans="19:19" ht="26.25">
      <c r="S5557" s="61" ph="1"/>
    </row>
    <row r="5558" spans="19:19" ht="26.25">
      <c r="S5558" s="61" ph="1"/>
    </row>
    <row r="5559" spans="19:19" ht="26.25">
      <c r="S5559" s="61" ph="1"/>
    </row>
    <row r="5560" spans="19:19" ht="26.25">
      <c r="S5560" s="61" ph="1"/>
    </row>
    <row r="5561" spans="19:19" ht="26.25">
      <c r="S5561" s="61" ph="1"/>
    </row>
    <row r="5562" spans="19:19" ht="26.25">
      <c r="S5562" s="61" ph="1"/>
    </row>
    <row r="5563" spans="19:19" ht="26.25">
      <c r="S5563" s="61" ph="1"/>
    </row>
    <row r="5564" spans="19:19" ht="26.25">
      <c r="S5564" s="61" ph="1"/>
    </row>
    <row r="5565" spans="19:19" ht="26.25">
      <c r="S5565" s="61" ph="1"/>
    </row>
    <row r="5566" spans="19:19" ht="26.25">
      <c r="S5566" s="61" ph="1"/>
    </row>
    <row r="5567" spans="19:19" ht="26.25">
      <c r="S5567" s="61" ph="1"/>
    </row>
    <row r="5568" spans="19:19" ht="26.25">
      <c r="S5568" s="61" ph="1"/>
    </row>
    <row r="5569" spans="19:19" ht="26.25">
      <c r="S5569" s="61" ph="1"/>
    </row>
    <row r="5570" spans="19:19" ht="26.25">
      <c r="S5570" s="61" ph="1"/>
    </row>
    <row r="5571" spans="19:19" ht="26.25">
      <c r="S5571" s="61" ph="1"/>
    </row>
    <row r="5572" spans="19:19" ht="26.25">
      <c r="S5572" s="61" ph="1"/>
    </row>
    <row r="5573" spans="19:19" ht="26.25">
      <c r="S5573" s="61" ph="1"/>
    </row>
    <row r="5574" spans="19:19" ht="26.25">
      <c r="S5574" s="61" ph="1"/>
    </row>
    <row r="5575" spans="19:19" ht="26.25">
      <c r="S5575" s="61" ph="1"/>
    </row>
    <row r="5576" spans="19:19" ht="26.25">
      <c r="S5576" s="61" ph="1"/>
    </row>
    <row r="5577" spans="19:19" ht="26.25">
      <c r="S5577" s="61" ph="1"/>
    </row>
    <row r="5578" spans="19:19" ht="26.25">
      <c r="S5578" s="61" ph="1"/>
    </row>
    <row r="5579" spans="19:19" ht="26.25">
      <c r="S5579" s="61" ph="1"/>
    </row>
    <row r="5580" spans="19:19" ht="26.25">
      <c r="S5580" s="61" ph="1"/>
    </row>
    <row r="5581" spans="19:19" ht="26.25">
      <c r="S5581" s="61" ph="1"/>
    </row>
    <row r="5582" spans="19:19" ht="26.25">
      <c r="S5582" s="61" ph="1"/>
    </row>
    <row r="5583" spans="19:19" ht="26.25">
      <c r="S5583" s="61" ph="1"/>
    </row>
    <row r="5584" spans="19:19" ht="26.25">
      <c r="S5584" s="61" ph="1"/>
    </row>
    <row r="5585" spans="19:19" ht="26.25">
      <c r="S5585" s="61" ph="1"/>
    </row>
    <row r="5586" spans="19:19" ht="26.25">
      <c r="S5586" s="61" ph="1"/>
    </row>
    <row r="5587" spans="19:19" ht="26.25">
      <c r="S5587" s="61" ph="1"/>
    </row>
    <row r="5588" spans="19:19" ht="26.25">
      <c r="S5588" s="61" ph="1"/>
    </row>
    <row r="5589" spans="19:19" ht="26.25">
      <c r="S5589" s="61" ph="1"/>
    </row>
    <row r="5590" spans="19:19" ht="26.25">
      <c r="S5590" s="61" ph="1"/>
    </row>
    <row r="5591" spans="19:19" ht="26.25">
      <c r="S5591" s="61" ph="1"/>
    </row>
    <row r="5592" spans="19:19" ht="26.25">
      <c r="S5592" s="61" ph="1"/>
    </row>
    <row r="5593" spans="19:19" ht="26.25">
      <c r="S5593" s="61" ph="1"/>
    </row>
    <row r="5594" spans="19:19" ht="26.25">
      <c r="S5594" s="61" ph="1"/>
    </row>
    <row r="5595" spans="19:19" ht="26.25">
      <c r="S5595" s="61" ph="1"/>
    </row>
    <row r="5596" spans="19:19" ht="26.25">
      <c r="S5596" s="61" ph="1"/>
    </row>
    <row r="5597" spans="19:19" ht="26.25">
      <c r="S5597" s="61" ph="1"/>
    </row>
    <row r="5598" spans="19:19" ht="26.25">
      <c r="S5598" s="61" ph="1"/>
    </row>
    <row r="5599" spans="19:19" ht="26.25">
      <c r="S5599" s="61" ph="1"/>
    </row>
    <row r="5600" spans="19:19" ht="26.25">
      <c r="S5600" s="61" ph="1"/>
    </row>
    <row r="5601" spans="19:19" ht="26.25">
      <c r="S5601" s="61" ph="1"/>
    </row>
    <row r="5602" spans="19:19" ht="26.25">
      <c r="S5602" s="61" ph="1"/>
    </row>
    <row r="5603" spans="19:19" ht="26.25">
      <c r="S5603" s="61" ph="1"/>
    </row>
    <row r="5604" spans="19:19" ht="26.25">
      <c r="S5604" s="61" ph="1"/>
    </row>
    <row r="5605" spans="19:19" ht="26.25">
      <c r="S5605" s="61" ph="1"/>
    </row>
    <row r="5606" spans="19:19" ht="26.25">
      <c r="S5606" s="61" ph="1"/>
    </row>
    <row r="5607" spans="19:19" ht="26.25">
      <c r="S5607" s="61" ph="1"/>
    </row>
    <row r="5608" spans="19:19" ht="26.25">
      <c r="S5608" s="61" ph="1"/>
    </row>
    <row r="5609" spans="19:19" ht="26.25">
      <c r="S5609" s="61" ph="1"/>
    </row>
    <row r="5610" spans="19:19" ht="26.25">
      <c r="S5610" s="61" ph="1"/>
    </row>
    <row r="5611" spans="19:19" ht="26.25">
      <c r="S5611" s="61" ph="1"/>
    </row>
    <row r="5612" spans="19:19" ht="26.25">
      <c r="S5612" s="61" ph="1"/>
    </row>
    <row r="5613" spans="19:19" ht="26.25">
      <c r="S5613" s="61" ph="1"/>
    </row>
    <row r="5614" spans="19:19" ht="26.25">
      <c r="S5614" s="61" ph="1"/>
    </row>
    <row r="5615" spans="19:19" ht="26.25">
      <c r="S5615" s="61" ph="1"/>
    </row>
    <row r="5616" spans="19:19" ht="26.25">
      <c r="S5616" s="61" ph="1"/>
    </row>
    <row r="5617" spans="19:19" ht="26.25">
      <c r="S5617" s="61" ph="1"/>
    </row>
    <row r="5618" spans="19:19" ht="26.25">
      <c r="S5618" s="61" ph="1"/>
    </row>
    <row r="5619" spans="19:19" ht="26.25">
      <c r="S5619" s="61" ph="1"/>
    </row>
    <row r="5620" spans="19:19" ht="26.25">
      <c r="S5620" s="61" ph="1"/>
    </row>
    <row r="5621" spans="19:19" ht="26.25">
      <c r="S5621" s="61" ph="1"/>
    </row>
    <row r="5622" spans="19:19" ht="26.25">
      <c r="S5622" s="61" ph="1"/>
    </row>
    <row r="5623" spans="19:19" ht="26.25">
      <c r="S5623" s="61" ph="1"/>
    </row>
    <row r="5624" spans="19:19" ht="26.25">
      <c r="S5624" s="61" ph="1"/>
    </row>
    <row r="5625" spans="19:19" ht="26.25">
      <c r="S5625" s="61" ph="1"/>
    </row>
    <row r="5626" spans="19:19" ht="26.25">
      <c r="S5626" s="61" ph="1"/>
    </row>
    <row r="5627" spans="19:19" ht="26.25">
      <c r="S5627" s="61" ph="1"/>
    </row>
    <row r="5628" spans="19:19" ht="26.25">
      <c r="S5628" s="61" ph="1"/>
    </row>
    <row r="5629" spans="19:19" ht="26.25">
      <c r="S5629" s="61" ph="1"/>
    </row>
    <row r="5630" spans="19:19" ht="26.25">
      <c r="S5630" s="61" ph="1"/>
    </row>
    <row r="5631" spans="19:19" ht="26.25">
      <c r="S5631" s="61" ph="1"/>
    </row>
    <row r="5632" spans="19:19" ht="26.25">
      <c r="S5632" s="61" ph="1"/>
    </row>
    <row r="5633" spans="19:19" ht="26.25">
      <c r="S5633" s="61" ph="1"/>
    </row>
    <row r="5634" spans="19:19" ht="26.25">
      <c r="S5634" s="61" ph="1"/>
    </row>
    <row r="5635" spans="19:19" ht="26.25">
      <c r="S5635" s="61" ph="1"/>
    </row>
    <row r="5636" spans="19:19" ht="26.25">
      <c r="S5636" s="61" ph="1"/>
    </row>
    <row r="5637" spans="19:19" ht="26.25">
      <c r="S5637" s="61" ph="1"/>
    </row>
    <row r="5638" spans="19:19" ht="26.25">
      <c r="S5638" s="61" ph="1"/>
    </row>
    <row r="5639" spans="19:19" ht="26.25">
      <c r="S5639" s="61" ph="1"/>
    </row>
    <row r="5640" spans="19:19" ht="26.25">
      <c r="S5640" s="61" ph="1"/>
    </row>
    <row r="5641" spans="19:19" ht="26.25">
      <c r="S5641" s="61" ph="1"/>
    </row>
    <row r="5642" spans="19:19" ht="26.25">
      <c r="S5642" s="61" ph="1"/>
    </row>
    <row r="5643" spans="19:19" ht="26.25">
      <c r="S5643" s="61" ph="1"/>
    </row>
    <row r="5644" spans="19:19" ht="26.25">
      <c r="S5644" s="61" ph="1"/>
    </row>
    <row r="5645" spans="19:19" ht="26.25">
      <c r="S5645" s="61" ph="1"/>
    </row>
    <row r="5646" spans="19:19" ht="26.25">
      <c r="S5646" s="61" ph="1"/>
    </row>
    <row r="5647" spans="19:19" ht="26.25">
      <c r="S5647" s="61" ph="1"/>
    </row>
    <row r="5648" spans="19:19" ht="26.25">
      <c r="S5648" s="61" ph="1"/>
    </row>
    <row r="5649" spans="19:19" ht="26.25">
      <c r="S5649" s="61" ph="1"/>
    </row>
    <row r="5650" spans="19:19" ht="26.25">
      <c r="S5650" s="61" ph="1"/>
    </row>
    <row r="5651" spans="19:19" ht="26.25">
      <c r="S5651" s="61" ph="1"/>
    </row>
    <row r="5652" spans="19:19" ht="26.25">
      <c r="S5652" s="61" ph="1"/>
    </row>
    <row r="5653" spans="19:19" ht="26.25">
      <c r="S5653" s="61" ph="1"/>
    </row>
    <row r="5654" spans="19:19" ht="26.25">
      <c r="S5654" s="61" ph="1"/>
    </row>
    <row r="5655" spans="19:19" ht="26.25">
      <c r="S5655" s="61" ph="1"/>
    </row>
    <row r="5656" spans="19:19" ht="26.25">
      <c r="S5656" s="61" ph="1"/>
    </row>
    <row r="5657" spans="19:19" ht="26.25">
      <c r="S5657" s="61" ph="1"/>
    </row>
    <row r="5658" spans="19:19" ht="26.25">
      <c r="S5658" s="61" ph="1"/>
    </row>
    <row r="5659" spans="19:19" ht="26.25">
      <c r="S5659" s="61" ph="1"/>
    </row>
    <row r="5660" spans="19:19" ht="26.25">
      <c r="S5660" s="61" ph="1"/>
    </row>
    <row r="5661" spans="19:19" ht="26.25">
      <c r="S5661" s="61" ph="1"/>
    </row>
    <row r="5662" spans="19:19" ht="26.25">
      <c r="S5662" s="61" ph="1"/>
    </row>
    <row r="5663" spans="19:19" ht="26.25">
      <c r="S5663" s="61" ph="1"/>
    </row>
    <row r="5664" spans="19:19" ht="26.25">
      <c r="S5664" s="61" ph="1"/>
    </row>
    <row r="5665" spans="19:19" ht="26.25">
      <c r="S5665" s="61" ph="1"/>
    </row>
    <row r="5666" spans="19:19" ht="26.25">
      <c r="S5666" s="61" ph="1"/>
    </row>
    <row r="5667" spans="19:19" ht="26.25">
      <c r="S5667" s="61" ph="1"/>
    </row>
    <row r="5668" spans="19:19" ht="26.25">
      <c r="S5668" s="61" ph="1"/>
    </row>
    <row r="5669" spans="19:19" ht="26.25">
      <c r="S5669" s="61" ph="1"/>
    </row>
    <row r="5670" spans="19:19" ht="26.25">
      <c r="S5670" s="61" ph="1"/>
    </row>
    <row r="5671" spans="19:19" ht="26.25">
      <c r="S5671" s="61" ph="1"/>
    </row>
    <row r="5672" spans="19:19" ht="26.25">
      <c r="S5672" s="61" ph="1"/>
    </row>
    <row r="5673" spans="19:19" ht="26.25">
      <c r="S5673" s="61" ph="1"/>
    </row>
    <row r="5674" spans="19:19" ht="26.25">
      <c r="S5674" s="61" ph="1"/>
    </row>
    <row r="5675" spans="19:19" ht="26.25">
      <c r="S5675" s="61" ph="1"/>
    </row>
    <row r="5676" spans="19:19" ht="26.25">
      <c r="S5676" s="61" ph="1"/>
    </row>
    <row r="5677" spans="19:19" ht="26.25">
      <c r="S5677" s="61" ph="1"/>
    </row>
    <row r="5678" spans="19:19" ht="26.25">
      <c r="S5678" s="61" ph="1"/>
    </row>
    <row r="5679" spans="19:19" ht="26.25">
      <c r="S5679" s="61" ph="1"/>
    </row>
    <row r="5680" spans="19:19" ht="26.25">
      <c r="S5680" s="61" ph="1"/>
    </row>
    <row r="5681" spans="19:19" ht="26.25">
      <c r="S5681" s="61" ph="1"/>
    </row>
    <row r="5682" spans="19:19" ht="26.25">
      <c r="S5682" s="61" ph="1"/>
    </row>
    <row r="5683" spans="19:19" ht="26.25">
      <c r="S5683" s="61" ph="1"/>
    </row>
    <row r="5684" spans="19:19" ht="26.25">
      <c r="S5684" s="61" ph="1"/>
    </row>
    <row r="5685" spans="19:19" ht="26.25">
      <c r="S5685" s="61" ph="1"/>
    </row>
    <row r="5686" spans="19:19" ht="26.25">
      <c r="S5686" s="61" ph="1"/>
    </row>
    <row r="5687" spans="19:19" ht="26.25">
      <c r="S5687" s="61" ph="1"/>
    </row>
    <row r="5688" spans="19:19" ht="26.25">
      <c r="S5688" s="61" ph="1"/>
    </row>
    <row r="5689" spans="19:19" ht="26.25">
      <c r="S5689" s="61" ph="1"/>
    </row>
    <row r="5690" spans="19:19" ht="26.25">
      <c r="S5690" s="61" ph="1"/>
    </row>
    <row r="5691" spans="19:19" ht="26.25">
      <c r="S5691" s="61" ph="1"/>
    </row>
    <row r="5692" spans="19:19" ht="26.25">
      <c r="S5692" s="61" ph="1"/>
    </row>
    <row r="5693" spans="19:19" ht="26.25">
      <c r="S5693" s="61" ph="1"/>
    </row>
    <row r="5694" spans="19:19" ht="26.25">
      <c r="S5694" s="61" ph="1"/>
    </row>
    <row r="5695" spans="19:19" ht="26.25">
      <c r="S5695" s="61" ph="1"/>
    </row>
    <row r="5696" spans="19:19" ht="26.25">
      <c r="S5696" s="61" ph="1"/>
    </row>
    <row r="5697" spans="19:19" ht="26.25">
      <c r="S5697" s="61" ph="1"/>
    </row>
    <row r="5698" spans="19:19" ht="26.25">
      <c r="S5698" s="61" ph="1"/>
    </row>
    <row r="5699" spans="19:19" ht="26.25">
      <c r="S5699" s="61" ph="1"/>
    </row>
    <row r="5700" spans="19:19" ht="26.25">
      <c r="S5700" s="61" ph="1"/>
    </row>
    <row r="5701" spans="19:19" ht="26.25">
      <c r="S5701" s="61" ph="1"/>
    </row>
    <row r="5702" spans="19:19" ht="26.25">
      <c r="S5702" s="61" ph="1"/>
    </row>
    <row r="5703" spans="19:19" ht="26.25">
      <c r="S5703" s="61" ph="1"/>
    </row>
    <row r="5704" spans="19:19" ht="26.25">
      <c r="S5704" s="61" ph="1"/>
    </row>
    <row r="5705" spans="19:19" ht="26.25">
      <c r="S5705" s="61" ph="1"/>
    </row>
    <row r="5706" spans="19:19" ht="26.25">
      <c r="S5706" s="61" ph="1"/>
    </row>
    <row r="5707" spans="19:19" ht="26.25">
      <c r="S5707" s="61" ph="1"/>
    </row>
    <row r="5708" spans="19:19" ht="26.25">
      <c r="S5708" s="61" ph="1"/>
    </row>
    <row r="5709" spans="19:19" ht="26.25">
      <c r="S5709" s="61" ph="1"/>
    </row>
    <row r="5710" spans="19:19" ht="26.25">
      <c r="S5710" s="61" ph="1"/>
    </row>
    <row r="5711" spans="19:19" ht="26.25">
      <c r="S5711" s="61" ph="1"/>
    </row>
    <row r="5712" spans="19:19" ht="26.25">
      <c r="S5712" s="61" ph="1"/>
    </row>
    <row r="5713" spans="19:19" ht="26.25">
      <c r="S5713" s="61" ph="1"/>
    </row>
    <row r="5714" spans="19:19" ht="26.25">
      <c r="S5714" s="61" ph="1"/>
    </row>
    <row r="5715" spans="19:19" ht="26.25">
      <c r="S5715" s="61" ph="1"/>
    </row>
    <row r="5716" spans="19:19" ht="26.25">
      <c r="S5716" s="61" ph="1"/>
    </row>
    <row r="5717" spans="19:19" ht="26.25">
      <c r="S5717" s="61" ph="1"/>
    </row>
    <row r="5718" spans="19:19" ht="26.25">
      <c r="S5718" s="61" ph="1"/>
    </row>
    <row r="5719" spans="19:19" ht="26.25">
      <c r="S5719" s="61" ph="1"/>
    </row>
    <row r="5720" spans="19:19" ht="26.25">
      <c r="S5720" s="61" ph="1"/>
    </row>
    <row r="5721" spans="19:19" ht="26.25">
      <c r="S5721" s="61" ph="1"/>
    </row>
    <row r="5722" spans="19:19" ht="26.25">
      <c r="S5722" s="61" ph="1"/>
    </row>
    <row r="5723" spans="19:19" ht="26.25">
      <c r="S5723" s="61" ph="1"/>
    </row>
    <row r="5724" spans="19:19" ht="26.25">
      <c r="S5724" s="61" ph="1"/>
    </row>
    <row r="5725" spans="19:19" ht="26.25">
      <c r="S5725" s="61" ph="1"/>
    </row>
    <row r="5726" spans="19:19" ht="26.25">
      <c r="S5726" s="61" ph="1"/>
    </row>
    <row r="5727" spans="19:19" ht="26.25">
      <c r="S5727" s="61" ph="1"/>
    </row>
    <row r="5728" spans="19:19" ht="26.25">
      <c r="S5728" s="61" ph="1"/>
    </row>
    <row r="5729" spans="19:19" ht="26.25">
      <c r="S5729" s="61" ph="1"/>
    </row>
    <row r="5730" spans="19:19" ht="26.25">
      <c r="S5730" s="61" ph="1"/>
    </row>
    <row r="5731" spans="19:19" ht="26.25">
      <c r="S5731" s="61" ph="1"/>
    </row>
    <row r="5732" spans="19:19" ht="26.25">
      <c r="S5732" s="61" ph="1"/>
    </row>
    <row r="5733" spans="19:19" ht="26.25">
      <c r="S5733" s="61" ph="1"/>
    </row>
    <row r="5734" spans="19:19" ht="26.25">
      <c r="S5734" s="61" ph="1"/>
    </row>
    <row r="5735" spans="19:19" ht="26.25">
      <c r="S5735" s="61" ph="1"/>
    </row>
    <row r="5736" spans="19:19" ht="26.25">
      <c r="S5736" s="61" ph="1"/>
    </row>
    <row r="5737" spans="19:19" ht="26.25">
      <c r="S5737" s="61" ph="1"/>
    </row>
    <row r="5738" spans="19:19" ht="26.25">
      <c r="S5738" s="61" ph="1"/>
    </row>
    <row r="5739" spans="19:19" ht="26.25">
      <c r="S5739" s="61" ph="1"/>
    </row>
    <row r="5740" spans="19:19" ht="26.25">
      <c r="S5740" s="61" ph="1"/>
    </row>
    <row r="5741" spans="19:19" ht="26.25">
      <c r="S5741" s="61" ph="1"/>
    </row>
    <row r="5742" spans="19:19" ht="26.25">
      <c r="S5742" s="61" ph="1"/>
    </row>
    <row r="5743" spans="19:19" ht="26.25">
      <c r="S5743" s="61" ph="1"/>
    </row>
    <row r="5744" spans="19:19" ht="26.25">
      <c r="S5744" s="61" ph="1"/>
    </row>
    <row r="5745" spans="19:19" ht="26.25">
      <c r="S5745" s="61" ph="1"/>
    </row>
    <row r="5746" spans="19:19" ht="26.25">
      <c r="S5746" s="61" ph="1"/>
    </row>
    <row r="5747" spans="19:19" ht="26.25">
      <c r="S5747" s="61" ph="1"/>
    </row>
    <row r="5748" spans="19:19" ht="26.25">
      <c r="S5748" s="61" ph="1"/>
    </row>
    <row r="5749" spans="19:19" ht="26.25">
      <c r="S5749" s="61" ph="1"/>
    </row>
    <row r="5750" spans="19:19" ht="26.25">
      <c r="S5750" s="61" ph="1"/>
    </row>
    <row r="5751" spans="19:19" ht="26.25">
      <c r="S5751" s="61" ph="1"/>
    </row>
    <row r="5752" spans="19:19" ht="26.25">
      <c r="S5752" s="61" ph="1"/>
    </row>
    <row r="5753" spans="19:19" ht="26.25">
      <c r="S5753" s="61" ph="1"/>
    </row>
    <row r="5754" spans="19:19" ht="26.25">
      <c r="S5754" s="61" ph="1"/>
    </row>
    <row r="5755" spans="19:19" ht="26.25">
      <c r="S5755" s="61" ph="1"/>
    </row>
    <row r="5756" spans="19:19" ht="26.25">
      <c r="S5756" s="61" ph="1"/>
    </row>
    <row r="5757" spans="19:19" ht="26.25">
      <c r="S5757" s="61" ph="1"/>
    </row>
    <row r="5758" spans="19:19" ht="26.25">
      <c r="S5758" s="61" ph="1"/>
    </row>
    <row r="5759" spans="19:19" ht="26.25">
      <c r="S5759" s="61" ph="1"/>
    </row>
    <row r="5760" spans="19:19" ht="26.25">
      <c r="S5760" s="61" ph="1"/>
    </row>
    <row r="5761" spans="19:19" ht="26.25">
      <c r="S5761" s="61" ph="1"/>
    </row>
    <row r="5762" spans="19:19" ht="26.25">
      <c r="S5762" s="61" ph="1"/>
    </row>
    <row r="5763" spans="19:19" ht="26.25">
      <c r="S5763" s="61" ph="1"/>
    </row>
    <row r="5764" spans="19:19" ht="26.25">
      <c r="S5764" s="61" ph="1"/>
    </row>
    <row r="5765" spans="19:19" ht="26.25">
      <c r="S5765" s="61" ph="1"/>
    </row>
    <row r="5766" spans="19:19" ht="26.25">
      <c r="S5766" s="61" ph="1"/>
    </row>
    <row r="5767" spans="19:19" ht="26.25">
      <c r="S5767" s="61" ph="1"/>
    </row>
    <row r="5768" spans="19:19" ht="26.25">
      <c r="S5768" s="61" ph="1"/>
    </row>
    <row r="5769" spans="19:19" ht="26.25">
      <c r="S5769" s="61" ph="1"/>
    </row>
    <row r="5770" spans="19:19" ht="26.25">
      <c r="S5770" s="61" ph="1"/>
    </row>
    <row r="5771" spans="19:19" ht="26.25">
      <c r="S5771" s="61" ph="1"/>
    </row>
    <row r="5772" spans="19:19" ht="26.25">
      <c r="S5772" s="61" ph="1"/>
    </row>
    <row r="5773" spans="19:19" ht="26.25">
      <c r="S5773" s="61" ph="1"/>
    </row>
    <row r="5774" spans="19:19" ht="26.25">
      <c r="S5774" s="61" ph="1"/>
    </row>
    <row r="5775" spans="19:19" ht="26.25">
      <c r="S5775" s="61" ph="1"/>
    </row>
    <row r="5776" spans="19:19" ht="26.25">
      <c r="S5776" s="61" ph="1"/>
    </row>
    <row r="5777" spans="19:19" ht="26.25">
      <c r="S5777" s="61" ph="1"/>
    </row>
    <row r="5778" spans="19:19" ht="26.25">
      <c r="S5778" s="61" ph="1"/>
    </row>
    <row r="5779" spans="19:19" ht="26.25">
      <c r="S5779" s="61" ph="1"/>
    </row>
    <row r="5780" spans="19:19" ht="26.25">
      <c r="S5780" s="61" ph="1"/>
    </row>
    <row r="5781" spans="19:19" ht="26.25">
      <c r="S5781" s="61" ph="1"/>
    </row>
    <row r="5782" spans="19:19" ht="26.25">
      <c r="S5782" s="61" ph="1"/>
    </row>
    <row r="5783" spans="19:19" ht="26.25">
      <c r="S5783" s="61" ph="1"/>
    </row>
    <row r="5784" spans="19:19" ht="26.25">
      <c r="S5784" s="61" ph="1"/>
    </row>
    <row r="5785" spans="19:19" ht="26.25">
      <c r="S5785" s="61" ph="1"/>
    </row>
    <row r="5786" spans="19:19" ht="26.25">
      <c r="S5786" s="61" ph="1"/>
    </row>
    <row r="5787" spans="19:19" ht="26.25">
      <c r="S5787" s="61" ph="1"/>
    </row>
    <row r="5788" spans="19:19" ht="26.25">
      <c r="S5788" s="61" ph="1"/>
    </row>
    <row r="5789" spans="19:19" ht="26.25">
      <c r="S5789" s="61" ph="1"/>
    </row>
    <row r="5790" spans="19:19" ht="26.25">
      <c r="S5790" s="61" ph="1"/>
    </row>
    <row r="5791" spans="19:19" ht="26.25">
      <c r="S5791" s="61" ph="1"/>
    </row>
    <row r="5792" spans="19:19" ht="26.25">
      <c r="S5792" s="61" ph="1"/>
    </row>
    <row r="5793" spans="19:19" ht="26.25">
      <c r="S5793" s="61" ph="1"/>
    </row>
    <row r="5794" spans="19:19" ht="26.25">
      <c r="S5794" s="61" ph="1"/>
    </row>
    <row r="5795" spans="19:19" ht="26.25">
      <c r="S5795" s="61" ph="1"/>
    </row>
    <row r="5796" spans="19:19" ht="26.25">
      <c r="S5796" s="61" ph="1"/>
    </row>
    <row r="5797" spans="19:19" ht="26.25">
      <c r="S5797" s="61" ph="1"/>
    </row>
    <row r="5798" spans="19:19" ht="26.25">
      <c r="S5798" s="61" ph="1"/>
    </row>
    <row r="5799" spans="19:19" ht="26.25">
      <c r="S5799" s="61" ph="1"/>
    </row>
    <row r="5800" spans="19:19" ht="26.25">
      <c r="S5800" s="61" ph="1"/>
    </row>
    <row r="5801" spans="19:19" ht="26.25">
      <c r="S5801" s="61" ph="1"/>
    </row>
    <row r="5802" spans="19:19" ht="26.25">
      <c r="S5802" s="61" ph="1"/>
    </row>
    <row r="5803" spans="19:19" ht="26.25">
      <c r="S5803" s="61" ph="1"/>
    </row>
    <row r="5804" spans="19:19" ht="26.25">
      <c r="S5804" s="61" ph="1"/>
    </row>
    <row r="5805" spans="19:19" ht="26.25">
      <c r="S5805" s="61" ph="1"/>
    </row>
    <row r="5806" spans="19:19" ht="26.25">
      <c r="S5806" s="61" ph="1"/>
    </row>
    <row r="5807" spans="19:19" ht="26.25">
      <c r="S5807" s="61" ph="1"/>
    </row>
    <row r="5808" spans="19:19" ht="26.25">
      <c r="S5808" s="61" ph="1"/>
    </row>
    <row r="5809" spans="19:19" ht="26.25">
      <c r="S5809" s="61" ph="1"/>
    </row>
    <row r="5810" spans="19:19" ht="26.25">
      <c r="S5810" s="61" ph="1"/>
    </row>
    <row r="5811" spans="19:19" ht="26.25">
      <c r="S5811" s="61" ph="1"/>
    </row>
    <row r="5812" spans="19:19" ht="26.25">
      <c r="S5812" s="61" ph="1"/>
    </row>
    <row r="5813" spans="19:19" ht="26.25">
      <c r="S5813" s="61" ph="1"/>
    </row>
    <row r="5814" spans="19:19" ht="26.25">
      <c r="S5814" s="61" ph="1"/>
    </row>
    <row r="5815" spans="19:19" ht="26.25">
      <c r="S5815" s="61" ph="1"/>
    </row>
    <row r="5816" spans="19:19" ht="26.25">
      <c r="S5816" s="61" ph="1"/>
    </row>
    <row r="5817" spans="19:19" ht="26.25">
      <c r="S5817" s="61" ph="1"/>
    </row>
    <row r="5818" spans="19:19" ht="26.25">
      <c r="S5818" s="61" ph="1"/>
    </row>
    <row r="5819" spans="19:19" ht="26.25">
      <c r="S5819" s="61" ph="1"/>
    </row>
    <row r="5820" spans="19:19" ht="26.25">
      <c r="S5820" s="61" ph="1"/>
    </row>
    <row r="5821" spans="19:19" ht="26.25">
      <c r="S5821" s="61" ph="1"/>
    </row>
    <row r="5822" spans="19:19" ht="26.25">
      <c r="S5822" s="61" ph="1"/>
    </row>
    <row r="5823" spans="19:19" ht="26.25">
      <c r="S5823" s="61" ph="1"/>
    </row>
    <row r="5824" spans="19:19" ht="26.25">
      <c r="S5824" s="61" ph="1"/>
    </row>
    <row r="5825" spans="19:19" ht="26.25">
      <c r="S5825" s="61" ph="1"/>
    </row>
    <row r="5826" spans="19:19" ht="26.25">
      <c r="S5826" s="61" ph="1"/>
    </row>
    <row r="5827" spans="19:19" ht="26.25">
      <c r="S5827" s="61" ph="1"/>
    </row>
    <row r="5828" spans="19:19" ht="26.25">
      <c r="S5828" s="61" ph="1"/>
    </row>
    <row r="5829" spans="19:19" ht="26.25">
      <c r="S5829" s="61" ph="1"/>
    </row>
    <row r="5830" spans="19:19" ht="26.25">
      <c r="S5830" s="61" ph="1"/>
    </row>
    <row r="5831" spans="19:19" ht="26.25">
      <c r="S5831" s="61" ph="1"/>
    </row>
    <row r="5832" spans="19:19" ht="26.25">
      <c r="S5832" s="61" ph="1"/>
    </row>
    <row r="5833" spans="19:19" ht="26.25">
      <c r="S5833" s="61" ph="1"/>
    </row>
    <row r="5834" spans="19:19" ht="26.25">
      <c r="S5834" s="61" ph="1"/>
    </row>
    <row r="5835" spans="19:19" ht="26.25">
      <c r="S5835" s="61" ph="1"/>
    </row>
    <row r="5836" spans="19:19" ht="26.25">
      <c r="S5836" s="61" ph="1"/>
    </row>
    <row r="5837" spans="19:19" ht="26.25">
      <c r="S5837" s="61" ph="1"/>
    </row>
    <row r="5838" spans="19:19" ht="26.25">
      <c r="S5838" s="61" ph="1"/>
    </row>
    <row r="5839" spans="19:19" ht="26.25">
      <c r="S5839" s="61" ph="1"/>
    </row>
    <row r="5840" spans="19:19" ht="26.25">
      <c r="S5840" s="61" ph="1"/>
    </row>
    <row r="5841" spans="19:19" ht="26.25">
      <c r="S5841" s="61" ph="1"/>
    </row>
    <row r="5842" spans="19:19" ht="26.25">
      <c r="S5842" s="61" ph="1"/>
    </row>
    <row r="5843" spans="19:19" ht="26.25">
      <c r="S5843" s="61" ph="1"/>
    </row>
    <row r="5844" spans="19:19" ht="26.25">
      <c r="S5844" s="61" ph="1"/>
    </row>
    <row r="5845" spans="19:19" ht="26.25">
      <c r="S5845" s="61" ph="1"/>
    </row>
    <row r="5846" spans="19:19" ht="26.25">
      <c r="S5846" s="61" ph="1"/>
    </row>
    <row r="5847" spans="19:19" ht="26.25">
      <c r="S5847" s="61" ph="1"/>
    </row>
    <row r="5848" spans="19:19" ht="26.25">
      <c r="S5848" s="61" ph="1"/>
    </row>
    <row r="5849" spans="19:19" ht="26.25">
      <c r="S5849" s="61" ph="1"/>
    </row>
    <row r="5850" spans="19:19" ht="26.25">
      <c r="S5850" s="61" ph="1"/>
    </row>
    <row r="5851" spans="19:19" ht="26.25">
      <c r="S5851" s="61" ph="1"/>
    </row>
    <row r="5852" spans="19:19" ht="26.25">
      <c r="S5852" s="61" ph="1"/>
    </row>
    <row r="5853" spans="19:19" ht="26.25">
      <c r="S5853" s="61" ph="1"/>
    </row>
    <row r="5854" spans="19:19" ht="26.25">
      <c r="S5854" s="61" ph="1"/>
    </row>
    <row r="5855" spans="19:19" ht="26.25">
      <c r="S5855" s="61" ph="1"/>
    </row>
    <row r="5856" spans="19:19" ht="26.25">
      <c r="S5856" s="61" ph="1"/>
    </row>
    <row r="5857" spans="19:19" ht="26.25">
      <c r="S5857" s="61" ph="1"/>
    </row>
    <row r="5858" spans="19:19" ht="26.25">
      <c r="S5858" s="61" ph="1"/>
    </row>
    <row r="5859" spans="19:19" ht="26.25">
      <c r="S5859" s="61" ph="1"/>
    </row>
    <row r="5860" spans="19:19" ht="26.25">
      <c r="S5860" s="61" ph="1"/>
    </row>
    <row r="5861" spans="19:19" ht="26.25">
      <c r="S5861" s="61" ph="1"/>
    </row>
    <row r="5862" spans="19:19" ht="26.25">
      <c r="S5862" s="61" ph="1"/>
    </row>
    <row r="5863" spans="19:19" ht="26.25">
      <c r="S5863" s="61" ph="1"/>
    </row>
    <row r="5864" spans="19:19" ht="26.25">
      <c r="S5864" s="61" ph="1"/>
    </row>
    <row r="5865" spans="19:19" ht="26.25">
      <c r="S5865" s="61" ph="1"/>
    </row>
    <row r="5866" spans="19:19" ht="26.25">
      <c r="S5866" s="61" ph="1"/>
    </row>
    <row r="5867" spans="19:19" ht="26.25">
      <c r="S5867" s="61" ph="1"/>
    </row>
    <row r="5868" spans="19:19" ht="26.25">
      <c r="S5868" s="61" ph="1"/>
    </row>
    <row r="5869" spans="19:19" ht="26.25">
      <c r="S5869" s="61" ph="1"/>
    </row>
    <row r="5870" spans="19:19" ht="26.25">
      <c r="S5870" s="61" ph="1"/>
    </row>
    <row r="5871" spans="19:19" ht="26.25">
      <c r="S5871" s="61" ph="1"/>
    </row>
    <row r="5872" spans="19:19" ht="26.25">
      <c r="S5872" s="61" ph="1"/>
    </row>
    <row r="5873" spans="19:19" ht="26.25">
      <c r="S5873" s="61" ph="1"/>
    </row>
    <row r="5874" spans="19:19" ht="26.25">
      <c r="S5874" s="61" ph="1"/>
    </row>
    <row r="5875" spans="19:19" ht="26.25">
      <c r="S5875" s="61" ph="1"/>
    </row>
    <row r="5876" spans="19:19" ht="26.25">
      <c r="S5876" s="61" ph="1"/>
    </row>
    <row r="5877" spans="19:19" ht="26.25">
      <c r="S5877" s="61" ph="1"/>
    </row>
    <row r="5878" spans="19:19" ht="26.25">
      <c r="S5878" s="61" ph="1"/>
    </row>
    <row r="5879" spans="19:19" ht="26.25">
      <c r="S5879" s="61" ph="1"/>
    </row>
    <row r="5880" spans="19:19" ht="26.25">
      <c r="S5880" s="61" ph="1"/>
    </row>
    <row r="5881" spans="19:19" ht="26.25">
      <c r="S5881" s="61" ph="1"/>
    </row>
    <row r="5882" spans="19:19" ht="26.25">
      <c r="S5882" s="61" ph="1"/>
    </row>
    <row r="5883" spans="19:19" ht="26.25">
      <c r="S5883" s="61" ph="1"/>
    </row>
    <row r="5884" spans="19:19" ht="26.25">
      <c r="S5884" s="61" ph="1"/>
    </row>
    <row r="5885" spans="19:19" ht="26.25">
      <c r="S5885" s="61" ph="1"/>
    </row>
    <row r="5886" spans="19:19" ht="26.25">
      <c r="S5886" s="61" ph="1"/>
    </row>
    <row r="5887" spans="19:19" ht="26.25">
      <c r="S5887" s="61" ph="1"/>
    </row>
    <row r="5888" spans="19:19" ht="26.25">
      <c r="S5888" s="61" ph="1"/>
    </row>
    <row r="5889" spans="19:19" ht="26.25">
      <c r="S5889" s="61" ph="1"/>
    </row>
    <row r="5890" spans="19:19" ht="26.25">
      <c r="S5890" s="61" ph="1"/>
    </row>
    <row r="5891" spans="19:19" ht="26.25">
      <c r="S5891" s="61" ph="1"/>
    </row>
    <row r="5892" spans="19:19" ht="26.25">
      <c r="S5892" s="61" ph="1"/>
    </row>
    <row r="5893" spans="19:19" ht="26.25">
      <c r="S5893" s="61" ph="1"/>
    </row>
    <row r="5894" spans="19:19" ht="26.25">
      <c r="S5894" s="61" ph="1"/>
    </row>
    <row r="5895" spans="19:19" ht="26.25">
      <c r="S5895" s="61" ph="1"/>
    </row>
    <row r="5896" spans="19:19" ht="26.25">
      <c r="S5896" s="61" ph="1"/>
    </row>
    <row r="5897" spans="19:19" ht="26.25">
      <c r="S5897" s="61" ph="1"/>
    </row>
    <row r="5898" spans="19:19" ht="26.25">
      <c r="S5898" s="61" ph="1"/>
    </row>
    <row r="5899" spans="19:19" ht="26.25">
      <c r="S5899" s="61" ph="1"/>
    </row>
    <row r="5900" spans="19:19" ht="26.25">
      <c r="S5900" s="61" ph="1"/>
    </row>
    <row r="5901" spans="19:19" ht="26.25">
      <c r="S5901" s="61" ph="1"/>
    </row>
    <row r="5902" spans="19:19" ht="26.25">
      <c r="S5902" s="61" ph="1"/>
    </row>
    <row r="5903" spans="19:19" ht="26.25">
      <c r="S5903" s="61" ph="1"/>
    </row>
    <row r="5904" spans="19:19" ht="26.25">
      <c r="S5904" s="61" ph="1"/>
    </row>
    <row r="5905" spans="19:19" ht="26.25">
      <c r="S5905" s="61" ph="1"/>
    </row>
    <row r="5906" spans="19:19" ht="26.25">
      <c r="S5906" s="61" ph="1"/>
    </row>
    <row r="5907" spans="19:19" ht="26.25">
      <c r="S5907" s="61" ph="1"/>
    </row>
    <row r="5908" spans="19:19" ht="26.25">
      <c r="S5908" s="61" ph="1"/>
    </row>
    <row r="5909" spans="19:19" ht="26.25">
      <c r="S5909" s="61" ph="1"/>
    </row>
    <row r="5910" spans="19:19" ht="26.25">
      <c r="S5910" s="61" ph="1"/>
    </row>
    <row r="5911" spans="19:19" ht="26.25">
      <c r="S5911" s="61" ph="1"/>
    </row>
    <row r="5912" spans="19:19" ht="26.25">
      <c r="S5912" s="61" ph="1"/>
    </row>
    <row r="5913" spans="19:19" ht="26.25">
      <c r="S5913" s="61" ph="1"/>
    </row>
    <row r="5914" spans="19:19" ht="26.25">
      <c r="S5914" s="61" ph="1"/>
    </row>
    <row r="5915" spans="19:19" ht="26.25">
      <c r="S5915" s="61" ph="1"/>
    </row>
    <row r="5916" spans="19:19" ht="26.25">
      <c r="S5916" s="61" ph="1"/>
    </row>
    <row r="5917" spans="19:19" ht="26.25">
      <c r="S5917" s="61" ph="1"/>
    </row>
    <row r="5918" spans="19:19" ht="26.25">
      <c r="S5918" s="61" ph="1"/>
    </row>
    <row r="5919" spans="19:19" ht="26.25">
      <c r="S5919" s="61" ph="1"/>
    </row>
    <row r="5920" spans="19:19" ht="26.25">
      <c r="S5920" s="61" ph="1"/>
    </row>
    <row r="5921" spans="19:19" ht="26.25">
      <c r="S5921" s="61" ph="1"/>
    </row>
    <row r="5922" spans="19:19" ht="26.25">
      <c r="S5922" s="61" ph="1"/>
    </row>
    <row r="5923" spans="19:19" ht="26.25">
      <c r="S5923" s="61" ph="1"/>
    </row>
    <row r="5924" spans="19:19" ht="26.25">
      <c r="S5924" s="61" ph="1"/>
    </row>
    <row r="5925" spans="19:19" ht="26.25">
      <c r="S5925" s="61" ph="1"/>
    </row>
    <row r="5926" spans="19:19" ht="26.25">
      <c r="S5926" s="61" ph="1"/>
    </row>
    <row r="5927" spans="19:19" ht="26.25">
      <c r="S5927" s="61" ph="1"/>
    </row>
    <row r="5928" spans="19:19" ht="26.25">
      <c r="S5928" s="61" ph="1"/>
    </row>
    <row r="5929" spans="19:19" ht="26.25">
      <c r="S5929" s="61" ph="1"/>
    </row>
    <row r="5930" spans="19:19" ht="26.25">
      <c r="S5930" s="61" ph="1"/>
    </row>
    <row r="5931" spans="19:19" ht="26.25">
      <c r="S5931" s="61" ph="1"/>
    </row>
    <row r="5932" spans="19:19" ht="26.25">
      <c r="S5932" s="61" ph="1"/>
    </row>
    <row r="5933" spans="19:19" ht="26.25">
      <c r="S5933" s="61" ph="1"/>
    </row>
    <row r="5934" spans="19:19" ht="26.25">
      <c r="S5934" s="61" ph="1"/>
    </row>
    <row r="5935" spans="19:19" ht="26.25">
      <c r="S5935" s="61" ph="1"/>
    </row>
    <row r="5936" spans="19:19" ht="26.25">
      <c r="S5936" s="61" ph="1"/>
    </row>
    <row r="5937" spans="19:19" ht="26.25">
      <c r="S5937" s="61" ph="1"/>
    </row>
    <row r="5938" spans="19:19" ht="26.25">
      <c r="S5938" s="61" ph="1"/>
    </row>
    <row r="5939" spans="19:19" ht="26.25">
      <c r="S5939" s="61" ph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>
    <tabColor rgb="FFFFC000"/>
  </sheetPr>
  <dimension ref="A1:AU2179"/>
  <sheetViews>
    <sheetView topLeftCell="A10" workbookViewId="0">
      <selection activeCell="X7" sqref="X7"/>
    </sheetView>
  </sheetViews>
  <sheetFormatPr defaultColWidth="9.140625" defaultRowHeight="16.5"/>
  <cols>
    <col min="1" max="1" width="5.7109375" style="145" customWidth="1"/>
    <col min="2" max="5" width="5.7109375" style="92" customWidth="1"/>
    <col min="6" max="6" width="8.7109375" style="63" customWidth="1"/>
    <col min="7" max="7" width="7.7109375" style="19" customWidth="1"/>
    <col min="8" max="8" width="5.7109375" style="12" customWidth="1"/>
    <col min="9" max="9" width="8.7109375" style="9" customWidth="1"/>
    <col min="10" max="10" width="6.7109375" style="31" customWidth="1"/>
    <col min="11" max="11" width="6.7109375" style="320" customWidth="1"/>
    <col min="12" max="12" width="6.7109375" style="73" customWidth="1"/>
    <col min="13" max="13" width="6.7109375" style="318" customWidth="1"/>
    <col min="14" max="14" width="7.7109375" style="320" customWidth="1"/>
    <col min="15" max="15" width="4.7109375" style="350" customWidth="1"/>
    <col min="16" max="16" width="5.7109375" style="374" customWidth="1"/>
    <col min="17" max="17" width="2.7109375" style="302" customWidth="1"/>
    <col min="18" max="18" width="7" style="151" customWidth="1"/>
    <col min="19" max="19" width="7.7109375" style="85" customWidth="1"/>
    <col min="20" max="20" width="6.7109375" style="354" customWidth="1"/>
    <col min="21" max="21" width="7.7109375" style="228" customWidth="1"/>
    <col min="22" max="22" width="9.7109375" style="265" customWidth="1"/>
    <col min="23" max="23" width="9.7109375" style="69" customWidth="1"/>
    <col min="24" max="24" width="9.7109375" style="58" customWidth="1"/>
    <col min="25" max="25" width="8.7109375" style="11" customWidth="1"/>
    <col min="26" max="26" width="6.7109375" style="134" customWidth="1"/>
    <col min="27" max="27" width="3.7109375" style="124" customWidth="1"/>
    <col min="28" max="28" width="3.7109375" style="251" customWidth="1"/>
    <col min="29" max="29" width="4.7109375" style="410" customWidth="1"/>
    <col min="30" max="30" width="8.7109375" style="9" customWidth="1"/>
    <col min="31" max="31" width="11.7109375" style="84" customWidth="1"/>
    <col min="32" max="32" width="11.7109375" style="83" customWidth="1"/>
    <col min="33" max="33" width="4.7109375" style="78" customWidth="1"/>
    <col min="34" max="34" width="3.7109375" style="142" customWidth="1"/>
    <col min="35" max="35" width="3.7109375" style="126" customWidth="1"/>
    <col min="36" max="36" width="13.7109375" style="264" customWidth="1"/>
    <col min="37" max="16384" width="9.140625" style="264"/>
  </cols>
  <sheetData>
    <row r="1" spans="1:42" s="268" customFormat="1">
      <c r="A1" s="130" t="s">
        <v>1732</v>
      </c>
      <c r="B1" s="91" t="s">
        <v>1588</v>
      </c>
      <c r="C1" s="91" t="s">
        <v>1589</v>
      </c>
      <c r="D1" s="91" t="s">
        <v>1590</v>
      </c>
      <c r="E1" s="91" t="s">
        <v>1591</v>
      </c>
      <c r="F1" s="8" t="s">
        <v>1066</v>
      </c>
      <c r="G1" s="26" t="s">
        <v>3691</v>
      </c>
      <c r="H1" s="55" t="s">
        <v>322</v>
      </c>
      <c r="I1" s="1" t="s">
        <v>69</v>
      </c>
      <c r="J1" s="317" t="s">
        <v>1467</v>
      </c>
      <c r="K1" s="317" t="s">
        <v>1157</v>
      </c>
      <c r="L1" s="317" t="s">
        <v>284</v>
      </c>
      <c r="M1" s="317" t="s">
        <v>1059</v>
      </c>
      <c r="N1" s="317" t="s">
        <v>5048</v>
      </c>
      <c r="O1" s="26" t="s">
        <v>5107</v>
      </c>
      <c r="P1" s="373" t="s">
        <v>5059</v>
      </c>
      <c r="Q1" s="303" t="s">
        <v>5087</v>
      </c>
      <c r="R1" s="345" t="s">
        <v>5059</v>
      </c>
      <c r="S1" s="14" t="s">
        <v>66</v>
      </c>
      <c r="T1" s="351" t="s">
        <v>5076</v>
      </c>
      <c r="U1" s="68" t="s">
        <v>3844</v>
      </c>
      <c r="V1" s="28" t="s">
        <v>3860</v>
      </c>
      <c r="W1" s="17" t="s">
        <v>1405</v>
      </c>
      <c r="X1" s="14" t="s">
        <v>2430</v>
      </c>
      <c r="Y1" s="21" t="s">
        <v>1477</v>
      </c>
      <c r="Z1" s="51" t="s">
        <v>6627</v>
      </c>
      <c r="AA1" s="406" t="s">
        <v>8647</v>
      </c>
      <c r="AB1" s="407" t="s">
        <v>8648</v>
      </c>
      <c r="AC1" s="408" t="s">
        <v>8649</v>
      </c>
      <c r="AD1" s="1" t="s">
        <v>69</v>
      </c>
      <c r="AE1" s="71" t="s">
        <v>1406</v>
      </c>
      <c r="AF1" s="72" t="s">
        <v>1163</v>
      </c>
      <c r="AG1" s="32" t="s">
        <v>1164</v>
      </c>
      <c r="AH1" s="142"/>
      <c r="AI1" s="168"/>
    </row>
    <row r="2" spans="1:42">
      <c r="A2" s="146"/>
      <c r="B2" s="79"/>
      <c r="C2" s="79"/>
      <c r="D2" s="80"/>
      <c r="E2" s="79"/>
      <c r="F2" s="6"/>
      <c r="G2" s="56"/>
      <c r="H2" s="30"/>
      <c r="I2" s="22"/>
      <c r="J2" s="73"/>
      <c r="K2" s="73"/>
      <c r="N2" s="318"/>
      <c r="S2" s="34"/>
      <c r="T2" s="352"/>
      <c r="U2" s="57"/>
      <c r="V2" s="36"/>
      <c r="W2" s="66"/>
      <c r="X2" s="15"/>
      <c r="Y2" s="3"/>
      <c r="Z2" s="102"/>
      <c r="AA2" s="406"/>
      <c r="AB2" s="407"/>
      <c r="AC2" s="408"/>
      <c r="AD2" s="22"/>
      <c r="AG2" s="33"/>
      <c r="AH2" s="41"/>
      <c r="AJ2" s="251"/>
      <c r="AK2" s="56"/>
      <c r="AL2" s="22"/>
      <c r="AM2" s="219"/>
      <c r="AN2" s="258"/>
      <c r="AO2" s="269"/>
      <c r="AP2" s="272"/>
    </row>
    <row r="3" spans="1:42" s="268" customFormat="1">
      <c r="A3" s="145"/>
      <c r="B3" s="79"/>
      <c r="C3" s="79"/>
      <c r="D3" s="79"/>
      <c r="E3" s="79"/>
      <c r="F3" s="6"/>
      <c r="G3" s="41"/>
      <c r="H3" s="8"/>
      <c r="I3" s="158"/>
      <c r="J3" s="323"/>
      <c r="K3" s="323"/>
      <c r="L3" s="323"/>
      <c r="M3" s="318"/>
      <c r="N3" s="318"/>
      <c r="O3" s="350"/>
      <c r="P3" s="374"/>
      <c r="Q3" s="302"/>
      <c r="R3" s="151"/>
      <c r="S3" s="197"/>
      <c r="T3" s="352"/>
      <c r="U3" s="95"/>
      <c r="V3" s="170">
        <f>SUM(V2)</f>
        <v>0</v>
      </c>
      <c r="W3" s="160">
        <f>SUM(W2)</f>
        <v>0</v>
      </c>
      <c r="X3" s="167">
        <f>V3-W3</f>
        <v>0</v>
      </c>
      <c r="Y3" s="169" t="e">
        <f>X3/W3</f>
        <v>#DIV/0!</v>
      </c>
      <c r="Z3" s="116"/>
      <c r="AA3" s="161"/>
      <c r="AB3" s="409"/>
      <c r="AC3" s="259"/>
      <c r="AD3" s="158">
        <f>V3*(0.001425*0.5)+V3*0.003+W3*(0.001425*0.5)</f>
        <v>0</v>
      </c>
      <c r="AE3" s="6">
        <f>X3-AD3</f>
        <v>0</v>
      </c>
      <c r="AF3" s="83"/>
      <c r="AG3" s="33"/>
      <c r="AH3" s="41" t="s">
        <v>1128</v>
      </c>
      <c r="AI3" s="168"/>
    </row>
    <row r="4" spans="1:42" s="268" customFormat="1">
      <c r="A4" s="145"/>
      <c r="B4" s="79"/>
      <c r="C4" s="79"/>
      <c r="D4" s="79"/>
      <c r="E4" s="79"/>
      <c r="F4" s="6"/>
      <c r="G4" s="41"/>
      <c r="H4" s="8"/>
      <c r="I4" s="158"/>
      <c r="J4" s="323"/>
      <c r="K4" s="323"/>
      <c r="L4" s="323"/>
      <c r="M4" s="318"/>
      <c r="N4" s="318"/>
      <c r="O4" s="350"/>
      <c r="P4" s="374"/>
      <c r="Q4" s="302"/>
      <c r="R4" s="151"/>
      <c r="S4" s="197"/>
      <c r="T4" s="352"/>
      <c r="U4" s="95"/>
      <c r="V4" s="170"/>
      <c r="W4" s="160"/>
      <c r="X4" s="167"/>
      <c r="Y4" s="169"/>
      <c r="Z4" s="116"/>
      <c r="AA4" s="161"/>
      <c r="AB4" s="409"/>
      <c r="AC4" s="259"/>
      <c r="AD4" s="158"/>
      <c r="AE4" s="6"/>
      <c r="AF4" s="83"/>
      <c r="AG4" s="33"/>
      <c r="AH4" s="41"/>
      <c r="AI4" s="168"/>
    </row>
    <row r="5" spans="1:42" s="268" customFormat="1">
      <c r="A5" s="130" t="s">
        <v>1732</v>
      </c>
      <c r="B5" s="91" t="s">
        <v>1588</v>
      </c>
      <c r="C5" s="91" t="s">
        <v>1589</v>
      </c>
      <c r="D5" s="91" t="s">
        <v>1590</v>
      </c>
      <c r="E5" s="91" t="s">
        <v>1591</v>
      </c>
      <c r="F5" s="8" t="s">
        <v>1066</v>
      </c>
      <c r="G5" s="26" t="s">
        <v>3691</v>
      </c>
      <c r="H5" s="55" t="s">
        <v>322</v>
      </c>
      <c r="I5" s="1" t="s">
        <v>69</v>
      </c>
      <c r="J5" s="317" t="s">
        <v>1467</v>
      </c>
      <c r="K5" s="317" t="s">
        <v>1157</v>
      </c>
      <c r="L5" s="317" t="s">
        <v>284</v>
      </c>
      <c r="M5" s="317" t="s">
        <v>1059</v>
      </c>
      <c r="N5" s="317" t="s">
        <v>5048</v>
      </c>
      <c r="O5" s="26" t="s">
        <v>5107</v>
      </c>
      <c r="P5" s="373" t="s">
        <v>5059</v>
      </c>
      <c r="Q5" s="303" t="s">
        <v>5087</v>
      </c>
      <c r="R5" s="345" t="s">
        <v>5059</v>
      </c>
      <c r="S5" s="14" t="s">
        <v>66</v>
      </c>
      <c r="T5" s="351" t="s">
        <v>5076</v>
      </c>
      <c r="U5" s="68" t="s">
        <v>3844</v>
      </c>
      <c r="V5" s="28" t="s">
        <v>3860</v>
      </c>
      <c r="W5" s="17" t="s">
        <v>1405</v>
      </c>
      <c r="X5" s="14" t="s">
        <v>2430</v>
      </c>
      <c r="Y5" s="21" t="s">
        <v>1477</v>
      </c>
      <c r="Z5" s="51" t="s">
        <v>6627</v>
      </c>
      <c r="AA5" s="406" t="s">
        <v>8647</v>
      </c>
      <c r="AB5" s="407" t="s">
        <v>8648</v>
      </c>
      <c r="AC5" s="408" t="s">
        <v>8649</v>
      </c>
      <c r="AD5" s="1" t="s">
        <v>69</v>
      </c>
      <c r="AE5" s="71" t="s">
        <v>1406</v>
      </c>
      <c r="AF5" s="72" t="s">
        <v>1163</v>
      </c>
      <c r="AG5" s="32" t="s">
        <v>1164</v>
      </c>
      <c r="AH5" s="142"/>
      <c r="AI5" s="168"/>
    </row>
    <row r="6" spans="1:42" s="268" customFormat="1">
      <c r="A6" s="130"/>
      <c r="B6" s="79"/>
      <c r="C6" s="79"/>
      <c r="D6" s="79"/>
      <c r="E6" s="79"/>
      <c r="F6" s="57"/>
      <c r="G6" s="79"/>
      <c r="H6" s="30"/>
      <c r="I6" s="158"/>
      <c r="J6" s="73"/>
      <c r="K6" s="73"/>
      <c r="L6" s="323"/>
      <c r="M6" s="73"/>
      <c r="N6" s="73"/>
      <c r="O6" s="26"/>
      <c r="P6" s="378"/>
      <c r="Q6" s="302"/>
      <c r="R6" s="394"/>
      <c r="S6" s="65"/>
      <c r="T6" s="323"/>
      <c r="U6" s="57"/>
      <c r="V6" s="166"/>
      <c r="W6" s="65"/>
      <c r="X6" s="167"/>
      <c r="Y6" s="163"/>
      <c r="Z6" s="100"/>
      <c r="AA6" s="161"/>
      <c r="AB6" s="409"/>
      <c r="AC6" s="259"/>
      <c r="AD6" s="158"/>
      <c r="AE6" s="84"/>
      <c r="AF6" s="84"/>
      <c r="AG6" s="33"/>
      <c r="AH6" s="41"/>
      <c r="AI6" s="237"/>
      <c r="AJ6" s="158"/>
      <c r="AK6" s="63"/>
      <c r="AL6" s="307"/>
      <c r="AM6" s="22"/>
      <c r="AN6" s="41"/>
      <c r="AO6" s="302"/>
    </row>
    <row r="7" spans="1:42" s="268" customFormat="1">
      <c r="A7" s="145"/>
      <c r="B7" s="79"/>
      <c r="C7" s="79"/>
      <c r="D7" s="79"/>
      <c r="E7" s="79"/>
      <c r="F7" s="6"/>
      <c r="G7" s="41"/>
      <c r="H7" s="8"/>
      <c r="I7" s="158"/>
      <c r="J7" s="323"/>
      <c r="K7" s="323"/>
      <c r="L7" s="323"/>
      <c r="M7" s="318"/>
      <c r="N7" s="318"/>
      <c r="O7" s="350"/>
      <c r="P7" s="374"/>
      <c r="Q7" s="302"/>
      <c r="R7" s="151"/>
      <c r="S7" s="197"/>
      <c r="T7" s="352"/>
      <c r="U7" s="95"/>
      <c r="V7" s="170">
        <f>SUM(V6)</f>
        <v>0</v>
      </c>
      <c r="W7" s="160">
        <f>SUM(W6)</f>
        <v>0</v>
      </c>
      <c r="X7" s="167">
        <f>V7-W7</f>
        <v>0</v>
      </c>
      <c r="Y7" s="169" t="e">
        <f>X7/W7</f>
        <v>#DIV/0!</v>
      </c>
      <c r="Z7" s="116"/>
      <c r="AA7" s="161"/>
      <c r="AB7" s="409"/>
      <c r="AC7" s="259"/>
      <c r="AD7" s="158">
        <f>V7*(0.001425*0.5)+V7*0.003+W7*(0.001425*0.5)</f>
        <v>0</v>
      </c>
      <c r="AE7" s="6">
        <f>X7-AD7</f>
        <v>0</v>
      </c>
      <c r="AF7" s="83"/>
      <c r="AG7" s="33"/>
      <c r="AH7" s="41" t="s">
        <v>1128</v>
      </c>
      <c r="AI7" s="168"/>
    </row>
    <row r="8" spans="1:42" s="268" customFormat="1">
      <c r="A8" s="145"/>
      <c r="B8" s="79"/>
      <c r="C8" s="79"/>
      <c r="D8" s="79"/>
      <c r="E8" s="79"/>
      <c r="F8" s="6"/>
      <c r="G8" s="41"/>
      <c r="H8" s="8"/>
      <c r="I8" s="158"/>
      <c r="J8" s="323"/>
      <c r="K8" s="323"/>
      <c r="L8" s="323"/>
      <c r="M8" s="318"/>
      <c r="N8" s="318"/>
      <c r="O8" s="350"/>
      <c r="P8" s="374"/>
      <c r="Q8" s="302"/>
      <c r="R8" s="151"/>
      <c r="S8" s="197"/>
      <c r="T8" s="352"/>
      <c r="U8" s="95"/>
      <c r="V8" s="170"/>
      <c r="W8" s="160"/>
      <c r="X8" s="167"/>
      <c r="Y8" s="169"/>
      <c r="Z8" s="116"/>
      <c r="AA8" s="161"/>
      <c r="AB8" s="409"/>
      <c r="AC8" s="259"/>
      <c r="AD8" s="158"/>
      <c r="AE8" s="6"/>
      <c r="AF8" s="83"/>
      <c r="AG8" s="33"/>
      <c r="AH8" s="41"/>
      <c r="AI8" s="168"/>
    </row>
    <row r="9" spans="1:42" s="268" customFormat="1">
      <c r="A9" s="130" t="s">
        <v>1732</v>
      </c>
      <c r="B9" s="91" t="s">
        <v>1588</v>
      </c>
      <c r="C9" s="91" t="s">
        <v>1589</v>
      </c>
      <c r="D9" s="91" t="s">
        <v>1590</v>
      </c>
      <c r="E9" s="91" t="s">
        <v>1591</v>
      </c>
      <c r="F9" s="8" t="s">
        <v>1066</v>
      </c>
      <c r="G9" s="26" t="s">
        <v>3691</v>
      </c>
      <c r="H9" s="55" t="s">
        <v>322</v>
      </c>
      <c r="I9" s="1" t="s">
        <v>2425</v>
      </c>
      <c r="J9" s="317" t="s">
        <v>1467</v>
      </c>
      <c r="K9" s="317" t="s">
        <v>1157</v>
      </c>
      <c r="L9" s="317" t="s">
        <v>284</v>
      </c>
      <c r="M9" s="317" t="s">
        <v>1059</v>
      </c>
      <c r="N9" s="317" t="s">
        <v>5048</v>
      </c>
      <c r="O9" s="26" t="s">
        <v>5107</v>
      </c>
      <c r="P9" s="373" t="s">
        <v>5059</v>
      </c>
      <c r="Q9" s="303" t="s">
        <v>5087</v>
      </c>
      <c r="R9" s="345" t="s">
        <v>5059</v>
      </c>
      <c r="S9" s="14" t="s">
        <v>66</v>
      </c>
      <c r="T9" s="351" t="s">
        <v>5076</v>
      </c>
      <c r="U9" s="68" t="s">
        <v>3844</v>
      </c>
      <c r="V9" s="28" t="s">
        <v>3860</v>
      </c>
      <c r="W9" s="17" t="s">
        <v>1405</v>
      </c>
      <c r="X9" s="14" t="s">
        <v>2430</v>
      </c>
      <c r="Y9" s="21" t="s">
        <v>1477</v>
      </c>
      <c r="Z9" s="51" t="s">
        <v>6627</v>
      </c>
      <c r="AA9" s="406" t="s">
        <v>8647</v>
      </c>
      <c r="AB9" s="407" t="s">
        <v>8648</v>
      </c>
      <c r="AC9" s="408" t="s">
        <v>8649</v>
      </c>
      <c r="AD9" s="1" t="s">
        <v>2425</v>
      </c>
      <c r="AE9" s="71" t="s">
        <v>1406</v>
      </c>
      <c r="AF9" s="72" t="s">
        <v>1163</v>
      </c>
      <c r="AG9" s="32" t="s">
        <v>1164</v>
      </c>
      <c r="AH9" s="142"/>
      <c r="AI9" s="168"/>
    </row>
    <row r="10" spans="1:42">
      <c r="A10" s="130" t="s">
        <v>1998</v>
      </c>
      <c r="B10" s="79">
        <v>16</v>
      </c>
      <c r="C10" s="79">
        <v>22</v>
      </c>
      <c r="D10" s="79">
        <v>0</v>
      </c>
      <c r="E10" s="80">
        <v>-68</v>
      </c>
      <c r="F10" s="57">
        <v>41.9</v>
      </c>
      <c r="G10" s="80">
        <v>1325</v>
      </c>
      <c r="H10" s="50" t="s">
        <v>1410</v>
      </c>
      <c r="I10" s="22" t="s">
        <v>604</v>
      </c>
      <c r="J10" s="323">
        <v>39.71</v>
      </c>
      <c r="K10" s="323">
        <v>8.25</v>
      </c>
      <c r="L10" s="323">
        <v>19.47</v>
      </c>
      <c r="N10" s="318">
        <f t="shared" ref="N10:N15" si="0">K10+J10+L10</f>
        <v>67.430000000000007</v>
      </c>
      <c r="O10" s="81">
        <f>IFERROR(VLOOKUP($G10,'321買'!A:E,3,0),"'沒有資料'")</f>
        <v>16</v>
      </c>
      <c r="P10" s="380">
        <f>IFERROR(VLOOKUP($G10,'321買'!$A:$G,7,0),"'沒有資料'")</f>
        <v>273</v>
      </c>
      <c r="R10" s="297">
        <f>IFERROR(RANK(VLOOKUP($G10,連買!$A:$D,4,0),連買!$D:$D,0),"'沒有資料'")</f>
        <v>169</v>
      </c>
      <c r="S10" s="34">
        <v>2</v>
      </c>
      <c r="U10" s="95">
        <v>23.55</v>
      </c>
      <c r="V10" s="36">
        <f>RTD("money.excel",,"1325","Price")</f>
        <v>43</v>
      </c>
      <c r="W10" s="66">
        <f>105.5-12</f>
        <v>93.5</v>
      </c>
      <c r="X10" s="15">
        <f t="shared" ref="X10:X16" si="1">V10-W10</f>
        <v>-50.5</v>
      </c>
      <c r="Y10" s="76">
        <f t="shared" ref="Y10:Y16" si="2">X10/W10</f>
        <v>-0.5401069518716578</v>
      </c>
      <c r="Z10" s="102" t="s">
        <v>1780</v>
      </c>
      <c r="AA10" s="161"/>
      <c r="AB10" s="409"/>
      <c r="AC10" s="259"/>
      <c r="AD10" s="22" t="s">
        <v>604</v>
      </c>
      <c r="AE10" s="84">
        <v>44336</v>
      </c>
      <c r="AG10" s="33">
        <f t="shared" ref="AG10:AG15" si="3">AF10-AE10</f>
        <v>-44336</v>
      </c>
      <c r="AH10" s="130" t="s">
        <v>1128</v>
      </c>
      <c r="AI10" s="223"/>
      <c r="AJ10" s="194"/>
    </row>
    <row r="11" spans="1:42">
      <c r="A11" s="130" t="s">
        <v>1998</v>
      </c>
      <c r="B11" s="79">
        <v>16</v>
      </c>
      <c r="C11" s="79">
        <v>22</v>
      </c>
      <c r="D11" s="79">
        <v>0</v>
      </c>
      <c r="E11" s="80">
        <v>-68</v>
      </c>
      <c r="F11" s="57">
        <v>41.9</v>
      </c>
      <c r="G11" s="80">
        <v>1325</v>
      </c>
      <c r="H11" s="50" t="s">
        <v>1410</v>
      </c>
      <c r="I11" s="22" t="s">
        <v>604</v>
      </c>
      <c r="J11" s="323">
        <v>39.71</v>
      </c>
      <c r="K11" s="323">
        <v>8.25</v>
      </c>
      <c r="L11" s="323">
        <v>19.47</v>
      </c>
      <c r="N11" s="318">
        <f t="shared" si="0"/>
        <v>67.430000000000007</v>
      </c>
      <c r="O11" s="81">
        <f>IFERROR(VLOOKUP($G11,'321買'!A:E,3,0),"'沒有資料'")</f>
        <v>16</v>
      </c>
      <c r="P11" s="380">
        <f>IFERROR(VLOOKUP($G11,'321買'!$A:$G,7,0),"'沒有資料'")</f>
        <v>273</v>
      </c>
      <c r="R11" s="297">
        <f>IFERROR(RANK(VLOOKUP($G11,連買!$A:$D,4,0),連買!$D:$D,0),"'沒有資料'")</f>
        <v>169</v>
      </c>
      <c r="S11" s="34">
        <v>2</v>
      </c>
      <c r="U11" s="95">
        <v>23.55</v>
      </c>
      <c r="V11" s="36">
        <f>RTD("money.excel",,"1325","Price")</f>
        <v>43</v>
      </c>
      <c r="W11" s="66">
        <f>112.5-12</f>
        <v>100.5</v>
      </c>
      <c r="X11" s="15">
        <f t="shared" si="1"/>
        <v>-57.5</v>
      </c>
      <c r="Y11" s="76">
        <f t="shared" si="2"/>
        <v>-0.57213930348258701</v>
      </c>
      <c r="Z11" s="102" t="s">
        <v>1780</v>
      </c>
      <c r="AA11" s="79"/>
      <c r="AB11" s="80"/>
      <c r="AC11" s="64"/>
      <c r="AD11" s="22" t="s">
        <v>604</v>
      </c>
      <c r="AE11" s="84">
        <v>44334</v>
      </c>
      <c r="AG11" s="33">
        <f t="shared" si="3"/>
        <v>-44334</v>
      </c>
      <c r="AH11" s="130" t="s">
        <v>1128</v>
      </c>
      <c r="AI11" s="130"/>
      <c r="AJ11" s="194"/>
    </row>
    <row r="12" spans="1:42">
      <c r="A12" s="130" t="s">
        <v>1998</v>
      </c>
      <c r="B12" s="79">
        <v>16</v>
      </c>
      <c r="C12" s="79">
        <v>22</v>
      </c>
      <c r="D12" s="79">
        <v>0</v>
      </c>
      <c r="E12" s="80">
        <v>-68</v>
      </c>
      <c r="F12" s="57">
        <v>41.9</v>
      </c>
      <c r="G12" s="80">
        <v>1325</v>
      </c>
      <c r="H12" s="50" t="s">
        <v>1410</v>
      </c>
      <c r="I12" s="22" t="s">
        <v>604</v>
      </c>
      <c r="J12" s="323">
        <v>39.71</v>
      </c>
      <c r="K12" s="323">
        <v>8.25</v>
      </c>
      <c r="L12" s="323">
        <v>19.47</v>
      </c>
      <c r="N12" s="318">
        <f t="shared" si="0"/>
        <v>67.430000000000007</v>
      </c>
      <c r="O12" s="81">
        <f>IFERROR(VLOOKUP($G12,'321買'!A:E,3,0),"'沒有資料'")</f>
        <v>16</v>
      </c>
      <c r="P12" s="380">
        <f>IFERROR(VLOOKUP($G12,'321買'!$A:$G,7,0),"'沒有資料'")</f>
        <v>273</v>
      </c>
      <c r="R12" s="297">
        <f>IFERROR(RANK(VLOOKUP($G12,連買!$A:$D,4,0),連買!$D:$D,0),"'沒有資料'")</f>
        <v>169</v>
      </c>
      <c r="S12" s="34">
        <v>2</v>
      </c>
      <c r="U12" s="95">
        <v>23.55</v>
      </c>
      <c r="V12" s="36">
        <f>RTD("money.excel",,"1325","Price")</f>
        <v>43</v>
      </c>
      <c r="W12" s="66">
        <f>111-12</f>
        <v>99</v>
      </c>
      <c r="X12" s="15">
        <f t="shared" si="1"/>
        <v>-56</v>
      </c>
      <c r="Y12" s="76">
        <f t="shared" si="2"/>
        <v>-0.56565656565656564</v>
      </c>
      <c r="Z12" s="102" t="s">
        <v>1780</v>
      </c>
      <c r="AA12" s="79"/>
      <c r="AB12" s="80"/>
      <c r="AC12" s="64"/>
      <c r="AD12" s="22" t="s">
        <v>604</v>
      </c>
      <c r="AE12" s="84">
        <v>44334</v>
      </c>
      <c r="AG12" s="33">
        <f t="shared" si="3"/>
        <v>-44334</v>
      </c>
      <c r="AH12" s="130" t="s">
        <v>1128</v>
      </c>
      <c r="AI12" s="130"/>
      <c r="AJ12" s="194"/>
    </row>
    <row r="13" spans="1:42">
      <c r="A13" s="130" t="s">
        <v>1998</v>
      </c>
      <c r="B13" s="79">
        <v>16</v>
      </c>
      <c r="C13" s="79">
        <v>22</v>
      </c>
      <c r="D13" s="79">
        <v>0</v>
      </c>
      <c r="E13" s="80">
        <v>-68</v>
      </c>
      <c r="F13" s="57">
        <v>41.9</v>
      </c>
      <c r="G13" s="80">
        <v>1325</v>
      </c>
      <c r="H13" s="50" t="s">
        <v>1410</v>
      </c>
      <c r="I13" s="22" t="s">
        <v>604</v>
      </c>
      <c r="J13" s="323">
        <v>39.71</v>
      </c>
      <c r="K13" s="323">
        <v>8.25</v>
      </c>
      <c r="L13" s="323">
        <v>19.47</v>
      </c>
      <c r="N13" s="318">
        <f t="shared" si="0"/>
        <v>67.430000000000007</v>
      </c>
      <c r="O13" s="81">
        <f>IFERROR(VLOOKUP($G13,'321買'!A:E,3,0),"'沒有資料'")</f>
        <v>16</v>
      </c>
      <c r="P13" s="380">
        <f>IFERROR(VLOOKUP($G13,'321買'!$A:$G,7,0),"'沒有資料'")</f>
        <v>273</v>
      </c>
      <c r="R13" s="297">
        <f>IFERROR(RANK(VLOOKUP($G13,連買!$A:$D,4,0),連買!$D:$D,0),"'沒有資料'")</f>
        <v>169</v>
      </c>
      <c r="S13" s="34">
        <v>2</v>
      </c>
      <c r="U13" s="95">
        <v>23.55</v>
      </c>
      <c r="V13" s="36">
        <f>RTD("money.excel",,"1325","Price")</f>
        <v>43</v>
      </c>
      <c r="W13" s="66">
        <f>109-12</f>
        <v>97</v>
      </c>
      <c r="X13" s="15">
        <f t="shared" si="1"/>
        <v>-54</v>
      </c>
      <c r="Y13" s="76">
        <f t="shared" si="2"/>
        <v>-0.55670103092783507</v>
      </c>
      <c r="Z13" s="102" t="s">
        <v>1780</v>
      </c>
      <c r="AA13" s="79"/>
      <c r="AB13" s="80"/>
      <c r="AC13" s="64"/>
      <c r="AD13" s="22" t="s">
        <v>604</v>
      </c>
      <c r="AE13" s="84">
        <v>44334</v>
      </c>
      <c r="AG13" s="33">
        <f t="shared" si="3"/>
        <v>-44334</v>
      </c>
      <c r="AH13" s="130" t="s">
        <v>1128</v>
      </c>
      <c r="AI13" s="130" t="s">
        <v>1129</v>
      </c>
      <c r="AJ13" s="194"/>
    </row>
    <row r="14" spans="1:42">
      <c r="A14" s="130" t="s">
        <v>1998</v>
      </c>
      <c r="B14" s="79">
        <v>16</v>
      </c>
      <c r="C14" s="79">
        <v>22</v>
      </c>
      <c r="D14" s="79">
        <v>0</v>
      </c>
      <c r="E14" s="80">
        <v>-68</v>
      </c>
      <c r="F14" s="57">
        <v>41.9</v>
      </c>
      <c r="G14" s="80">
        <v>1325</v>
      </c>
      <c r="H14" s="30" t="s">
        <v>1469</v>
      </c>
      <c r="I14" s="22" t="s">
        <v>604</v>
      </c>
      <c r="J14" s="323">
        <v>39.71</v>
      </c>
      <c r="K14" s="323">
        <v>8.25</v>
      </c>
      <c r="L14" s="323">
        <v>19.47</v>
      </c>
      <c r="N14" s="318">
        <f t="shared" si="0"/>
        <v>67.430000000000007</v>
      </c>
      <c r="O14" s="81">
        <f>IFERROR(VLOOKUP($G14,'321買'!A:E,3,0),"'沒有資料'")</f>
        <v>16</v>
      </c>
      <c r="P14" s="380">
        <f>IFERROR(VLOOKUP($G14,'321買'!$A:$G,7,0),"'沒有資料'")</f>
        <v>273</v>
      </c>
      <c r="R14" s="297">
        <f>IFERROR(RANK(VLOOKUP($G14,連買!$A:$D,4,0),連買!$D:$D,0),"'沒有資料'")</f>
        <v>169</v>
      </c>
      <c r="S14" s="34">
        <v>2</v>
      </c>
      <c r="U14" s="95">
        <v>23.55</v>
      </c>
      <c r="V14" s="36">
        <f>RTD("money.excel",,"1325","Price")</f>
        <v>43</v>
      </c>
      <c r="W14" s="66">
        <f>104.5-12</f>
        <v>92.5</v>
      </c>
      <c r="X14" s="15">
        <f t="shared" si="1"/>
        <v>-49.5</v>
      </c>
      <c r="Y14" s="76">
        <f t="shared" si="2"/>
        <v>-0.53513513513513511</v>
      </c>
      <c r="Z14" s="102" t="s">
        <v>1780</v>
      </c>
      <c r="AA14" s="79"/>
      <c r="AB14" s="80"/>
      <c r="AC14" s="64"/>
      <c r="AD14" s="22" t="s">
        <v>604</v>
      </c>
      <c r="AE14" s="84">
        <v>44336</v>
      </c>
      <c r="AG14" s="33">
        <f t="shared" si="3"/>
        <v>-44336</v>
      </c>
      <c r="AH14" s="41" t="s">
        <v>1128</v>
      </c>
      <c r="AI14" s="223"/>
      <c r="AJ14" s="194"/>
    </row>
    <row r="15" spans="1:42">
      <c r="A15" s="130" t="s">
        <v>1998</v>
      </c>
      <c r="B15" s="79">
        <v>16</v>
      </c>
      <c r="C15" s="79">
        <v>22</v>
      </c>
      <c r="D15" s="79">
        <v>0</v>
      </c>
      <c r="E15" s="80">
        <v>-68</v>
      </c>
      <c r="F15" s="57">
        <v>41.9</v>
      </c>
      <c r="G15" s="80">
        <v>1325</v>
      </c>
      <c r="H15" s="30" t="s">
        <v>1469</v>
      </c>
      <c r="I15" s="22" t="s">
        <v>604</v>
      </c>
      <c r="J15" s="323">
        <v>39.71</v>
      </c>
      <c r="K15" s="323">
        <v>8.25</v>
      </c>
      <c r="L15" s="323">
        <v>19.47</v>
      </c>
      <c r="N15" s="318">
        <f t="shared" si="0"/>
        <v>67.430000000000007</v>
      </c>
      <c r="O15" s="81">
        <f>IFERROR(VLOOKUP($G15,'321買'!A:E,3,0),"'沒有資料'")</f>
        <v>16</v>
      </c>
      <c r="P15" s="380">
        <f>IFERROR(VLOOKUP($G15,'321買'!$A:$G,7,0),"'沒有資料'")</f>
        <v>273</v>
      </c>
      <c r="R15" s="297">
        <f>IFERROR(RANK(VLOOKUP($G15,連買!$A:$D,4,0),連買!$D:$D,0),"'沒有資料'")</f>
        <v>169</v>
      </c>
      <c r="S15" s="34">
        <v>2</v>
      </c>
      <c r="U15" s="95">
        <v>23.55</v>
      </c>
      <c r="V15" s="36">
        <f>RTD("money.excel",,"1325","Price")</f>
        <v>43</v>
      </c>
      <c r="W15" s="66">
        <f>110-12</f>
        <v>98</v>
      </c>
      <c r="X15" s="15">
        <f t="shared" si="1"/>
        <v>-55</v>
      </c>
      <c r="Y15" s="76">
        <f t="shared" si="2"/>
        <v>-0.56122448979591832</v>
      </c>
      <c r="Z15" s="102" t="s">
        <v>1780</v>
      </c>
      <c r="AA15" s="79"/>
      <c r="AB15" s="80"/>
      <c r="AC15" s="64"/>
      <c r="AD15" s="22" t="s">
        <v>604</v>
      </c>
      <c r="AE15" s="84">
        <v>44334</v>
      </c>
      <c r="AG15" s="33">
        <f t="shared" si="3"/>
        <v>-44334</v>
      </c>
      <c r="AH15" s="41" t="s">
        <v>1128</v>
      </c>
      <c r="AI15" s="41" t="s">
        <v>1514</v>
      </c>
      <c r="AJ15" s="194"/>
    </row>
    <row r="16" spans="1:42" s="268" customFormat="1">
      <c r="A16" s="145"/>
      <c r="B16" s="79"/>
      <c r="C16" s="79"/>
      <c r="D16" s="79"/>
      <c r="E16" s="79"/>
      <c r="F16" s="6"/>
      <c r="G16" s="41"/>
      <c r="H16" s="8"/>
      <c r="I16" s="158"/>
      <c r="J16" s="323"/>
      <c r="K16" s="323"/>
      <c r="L16" s="323"/>
      <c r="M16" s="318"/>
      <c r="N16" s="318"/>
      <c r="O16" s="350"/>
      <c r="P16" s="374"/>
      <c r="Q16" s="302"/>
      <c r="R16" s="151"/>
      <c r="S16" s="197"/>
      <c r="T16" s="354"/>
      <c r="U16" s="95"/>
      <c r="V16" s="170">
        <f>SUM(V10:V15)</f>
        <v>258</v>
      </c>
      <c r="W16" s="160">
        <f>SUM(W10:W15)</f>
        <v>580.5</v>
      </c>
      <c r="X16" s="243">
        <f t="shared" si="1"/>
        <v>-322.5</v>
      </c>
      <c r="Y16" s="246">
        <f t="shared" si="2"/>
        <v>-0.55555555555555558</v>
      </c>
      <c r="Z16" s="116"/>
      <c r="AA16" s="406"/>
      <c r="AB16" s="407"/>
      <c r="AC16" s="408"/>
      <c r="AD16" s="158">
        <f>V16*(0.001425*0.5)+V16*0.003+W16*(0.001425*0.5)</f>
        <v>1.3714312500000001</v>
      </c>
      <c r="AE16" s="6">
        <f>X16-AD16</f>
        <v>-323.87143125</v>
      </c>
      <c r="AF16" s="83"/>
      <c r="AG16" s="33"/>
      <c r="AH16" s="41" t="s">
        <v>3515</v>
      </c>
      <c r="AI16" s="168"/>
      <c r="AJ16" s="260"/>
    </row>
    <row r="17" spans="1:36">
      <c r="A17" s="130"/>
      <c r="B17" s="93"/>
      <c r="C17" s="93"/>
      <c r="D17" s="79"/>
      <c r="E17" s="80"/>
      <c r="F17" s="57"/>
      <c r="G17" s="56"/>
      <c r="H17" s="30"/>
      <c r="I17" s="22"/>
      <c r="J17" s="73"/>
      <c r="K17" s="323"/>
      <c r="N17" s="318"/>
      <c r="S17" s="66"/>
      <c r="U17" s="95"/>
      <c r="V17" s="36"/>
      <c r="W17" s="66"/>
      <c r="X17" s="15"/>
      <c r="Y17" s="63"/>
      <c r="Z17" s="102"/>
      <c r="AA17" s="79"/>
      <c r="AB17" s="80"/>
      <c r="AC17" s="64"/>
      <c r="AD17" s="22"/>
      <c r="AG17" s="33"/>
      <c r="AH17" s="41"/>
      <c r="AI17" s="223"/>
      <c r="AJ17" s="194"/>
    </row>
    <row r="18" spans="1:36" s="268" customFormat="1">
      <c r="A18" s="130" t="s">
        <v>1732</v>
      </c>
      <c r="B18" s="91" t="s">
        <v>1588</v>
      </c>
      <c r="C18" s="91" t="s">
        <v>1589</v>
      </c>
      <c r="D18" s="91" t="s">
        <v>1590</v>
      </c>
      <c r="E18" s="91" t="s">
        <v>1591</v>
      </c>
      <c r="F18" s="8" t="s">
        <v>1066</v>
      </c>
      <c r="G18" s="26" t="s">
        <v>3691</v>
      </c>
      <c r="H18" s="55" t="s">
        <v>322</v>
      </c>
      <c r="I18" s="1" t="s">
        <v>2425</v>
      </c>
      <c r="J18" s="317" t="s">
        <v>1467</v>
      </c>
      <c r="K18" s="317" t="s">
        <v>1157</v>
      </c>
      <c r="L18" s="317" t="s">
        <v>284</v>
      </c>
      <c r="M18" s="317" t="s">
        <v>1059</v>
      </c>
      <c r="N18" s="317" t="s">
        <v>5048</v>
      </c>
      <c r="O18" s="26" t="s">
        <v>5107</v>
      </c>
      <c r="P18" s="373" t="s">
        <v>5059</v>
      </c>
      <c r="Q18" s="303" t="s">
        <v>5087</v>
      </c>
      <c r="R18" s="345" t="s">
        <v>5059</v>
      </c>
      <c r="S18" s="14" t="s">
        <v>66</v>
      </c>
      <c r="T18" s="351" t="s">
        <v>5076</v>
      </c>
      <c r="U18" s="68" t="s">
        <v>3844</v>
      </c>
      <c r="V18" s="28" t="s">
        <v>3860</v>
      </c>
      <c r="W18" s="17" t="s">
        <v>1405</v>
      </c>
      <c r="X18" s="14" t="s">
        <v>2430</v>
      </c>
      <c r="Y18" s="21" t="s">
        <v>1477</v>
      </c>
      <c r="Z18" s="51" t="s">
        <v>6627</v>
      </c>
      <c r="AA18" s="406" t="s">
        <v>8647</v>
      </c>
      <c r="AB18" s="407" t="s">
        <v>8648</v>
      </c>
      <c r="AC18" s="408" t="s">
        <v>8649</v>
      </c>
      <c r="AD18" s="1" t="s">
        <v>2425</v>
      </c>
      <c r="AE18" s="71" t="s">
        <v>1406</v>
      </c>
      <c r="AF18" s="72" t="s">
        <v>1163</v>
      </c>
      <c r="AG18" s="32" t="s">
        <v>1164</v>
      </c>
      <c r="AH18" s="142"/>
      <c r="AI18" s="168"/>
    </row>
    <row r="19" spans="1:36">
      <c r="A19" s="130" t="s">
        <v>2290</v>
      </c>
      <c r="B19" s="79">
        <v>66</v>
      </c>
      <c r="C19" s="79">
        <v>44</v>
      </c>
      <c r="D19" s="80">
        <v>-10</v>
      </c>
      <c r="E19" s="79">
        <v>89</v>
      </c>
      <c r="F19" s="57">
        <v>38.4</v>
      </c>
      <c r="G19" s="79">
        <v>6523</v>
      </c>
      <c r="H19" s="50" t="s">
        <v>1410</v>
      </c>
      <c r="I19" s="16" t="s">
        <v>624</v>
      </c>
      <c r="J19" s="323">
        <v>63.59</v>
      </c>
      <c r="K19" s="323">
        <v>1.88</v>
      </c>
      <c r="L19" s="73">
        <v>7.09</v>
      </c>
      <c r="N19" s="318">
        <f>K19+J19+L19</f>
        <v>72.56</v>
      </c>
      <c r="O19" s="81">
        <f>IFERROR(VLOOKUP($G19,'321買'!A:E,3,0),"'沒有資料'")</f>
        <v>7</v>
      </c>
      <c r="P19" s="380">
        <f>IFERROR(VLOOKUP($G19,'321買'!$A:$G,7,0),"'沒有資料'")</f>
        <v>499</v>
      </c>
      <c r="R19" s="297">
        <f>IFERROR(RANK(VLOOKUP($G19,連買!$A:$D,4,0),連買!$D:$D,0),"'沒有資料'")</f>
        <v>1187</v>
      </c>
      <c r="S19" s="34">
        <v>2</v>
      </c>
      <c r="T19" s="353"/>
      <c r="U19" s="57">
        <v>15.43</v>
      </c>
      <c r="V19" s="36">
        <f>RTD("money.excel",,"6523","Price")</f>
        <v>89.5</v>
      </c>
      <c r="W19" s="230">
        <f>77-4-4-5.22-2</f>
        <v>61.78</v>
      </c>
      <c r="X19" s="15">
        <f>V19-W19</f>
        <v>27.72</v>
      </c>
      <c r="Y19" s="153">
        <f>X19/W19</f>
        <v>0.44868889608287471</v>
      </c>
      <c r="Z19" s="144" t="s">
        <v>1997</v>
      </c>
      <c r="AA19" s="79"/>
      <c r="AB19" s="80"/>
      <c r="AC19" s="64"/>
      <c r="AD19" s="16" t="s">
        <v>624</v>
      </c>
      <c r="AE19" s="84">
        <v>44329</v>
      </c>
      <c r="AG19" s="33">
        <f>AF19-AE19</f>
        <v>-44329</v>
      </c>
      <c r="AH19" s="130" t="s">
        <v>1128</v>
      </c>
      <c r="AI19" s="225"/>
      <c r="AJ19" s="226"/>
    </row>
    <row r="20" spans="1:36">
      <c r="A20" s="130" t="s">
        <v>2290</v>
      </c>
      <c r="B20" s="79">
        <v>66</v>
      </c>
      <c r="C20" s="79">
        <v>44</v>
      </c>
      <c r="D20" s="80">
        <v>-10</v>
      </c>
      <c r="E20" s="79">
        <v>89</v>
      </c>
      <c r="F20" s="57">
        <v>38.4</v>
      </c>
      <c r="G20" s="79">
        <v>6523</v>
      </c>
      <c r="H20" s="50" t="s">
        <v>1410</v>
      </c>
      <c r="I20" s="16" t="s">
        <v>624</v>
      </c>
      <c r="J20" s="323">
        <v>63.59</v>
      </c>
      <c r="K20" s="323">
        <v>1.88</v>
      </c>
      <c r="L20" s="73">
        <v>7.09</v>
      </c>
      <c r="N20" s="318">
        <f>K20+J20+L20</f>
        <v>72.56</v>
      </c>
      <c r="O20" s="81">
        <f>IFERROR(VLOOKUP($G20,'321買'!A:E,3,0),"'沒有資料'")</f>
        <v>7</v>
      </c>
      <c r="P20" s="380">
        <f>IFERROR(VLOOKUP($G20,'321買'!$A:$G,7,0),"'沒有資料'")</f>
        <v>499</v>
      </c>
      <c r="R20" s="297">
        <f>IFERROR(RANK(VLOOKUP($G20,連買!$A:$D,4,0),連買!$D:$D,0),"'沒有資料'")</f>
        <v>1187</v>
      </c>
      <c r="S20" s="34">
        <v>2</v>
      </c>
      <c r="T20" s="353"/>
      <c r="U20" s="57">
        <v>15.43</v>
      </c>
      <c r="V20" s="36">
        <f>RTD("money.excel",,"6523","Price")</f>
        <v>89.5</v>
      </c>
      <c r="W20" s="230">
        <f>76.5-4-4-5.22-2</f>
        <v>61.28</v>
      </c>
      <c r="X20" s="15">
        <f>V20-W20</f>
        <v>28.22</v>
      </c>
      <c r="Y20" s="153">
        <f>X20/W20</f>
        <v>0.460509138381201</v>
      </c>
      <c r="Z20" s="144" t="s">
        <v>1997</v>
      </c>
      <c r="AA20" s="79"/>
      <c r="AB20" s="80"/>
      <c r="AC20" s="64"/>
      <c r="AD20" s="16" t="s">
        <v>624</v>
      </c>
      <c r="AE20" s="84">
        <v>44314</v>
      </c>
      <c r="AG20" s="33">
        <f>AF20-AE20</f>
        <v>-44314</v>
      </c>
      <c r="AH20" s="130" t="s">
        <v>1128</v>
      </c>
      <c r="AI20" s="130" t="s">
        <v>1514</v>
      </c>
      <c r="AJ20" s="226"/>
    </row>
    <row r="21" spans="1:36">
      <c r="A21" s="130" t="s">
        <v>2290</v>
      </c>
      <c r="B21" s="79">
        <v>66</v>
      </c>
      <c r="C21" s="79">
        <v>44</v>
      </c>
      <c r="D21" s="80">
        <v>-10</v>
      </c>
      <c r="E21" s="79">
        <v>89</v>
      </c>
      <c r="F21" s="57">
        <v>38.4</v>
      </c>
      <c r="G21" s="79">
        <v>6523</v>
      </c>
      <c r="H21" s="30" t="s">
        <v>1469</v>
      </c>
      <c r="I21" s="16" t="s">
        <v>624</v>
      </c>
      <c r="J21" s="323">
        <v>63.59</v>
      </c>
      <c r="K21" s="323">
        <v>1.88</v>
      </c>
      <c r="L21" s="73">
        <v>7.09</v>
      </c>
      <c r="N21" s="318">
        <f>K21+J21+L21</f>
        <v>72.56</v>
      </c>
      <c r="O21" s="81">
        <f>IFERROR(VLOOKUP($G21,'321買'!A:E,3,0),"'沒有資料'")</f>
        <v>7</v>
      </c>
      <c r="P21" s="380">
        <f>IFERROR(VLOOKUP($G21,'321買'!$A:$G,7,0),"'沒有資料'")</f>
        <v>499</v>
      </c>
      <c r="R21" s="297">
        <f>IFERROR(RANK(VLOOKUP($G21,連買!$A:$D,4,0),連買!$D:$D,0),"'沒有資料'")</f>
        <v>1187</v>
      </c>
      <c r="S21" s="34">
        <v>2</v>
      </c>
      <c r="T21" s="353"/>
      <c r="U21" s="57">
        <v>15.43</v>
      </c>
      <c r="V21" s="36">
        <f>RTD("money.excel",,"6523","Price")</f>
        <v>89.5</v>
      </c>
      <c r="W21" s="230">
        <f>77-4-4-5.22-2</f>
        <v>61.78</v>
      </c>
      <c r="X21" s="15">
        <f>V21-W21</f>
        <v>27.72</v>
      </c>
      <c r="Y21" s="153">
        <f>X21/W21</f>
        <v>0.44868889608287471</v>
      </c>
      <c r="Z21" s="144" t="s">
        <v>1997</v>
      </c>
      <c r="AA21" s="79"/>
      <c r="AB21" s="80"/>
      <c r="AC21" s="64"/>
      <c r="AD21" s="16" t="s">
        <v>624</v>
      </c>
      <c r="AE21" s="84">
        <v>44329</v>
      </c>
      <c r="AG21" s="33">
        <f>AF21-AE21</f>
        <v>-44329</v>
      </c>
      <c r="AH21" s="41" t="s">
        <v>1128</v>
      </c>
      <c r="AI21" s="225"/>
      <c r="AJ21" s="226"/>
    </row>
    <row r="22" spans="1:36">
      <c r="A22" s="130" t="s">
        <v>2290</v>
      </c>
      <c r="B22" s="79">
        <v>66</v>
      </c>
      <c r="C22" s="79">
        <v>44</v>
      </c>
      <c r="D22" s="80">
        <v>-10</v>
      </c>
      <c r="E22" s="79">
        <v>89</v>
      </c>
      <c r="F22" s="57">
        <v>38.4</v>
      </c>
      <c r="G22" s="79">
        <v>6523</v>
      </c>
      <c r="H22" s="30" t="s">
        <v>1469</v>
      </c>
      <c r="I22" s="16" t="s">
        <v>624</v>
      </c>
      <c r="J22" s="323">
        <v>63.59</v>
      </c>
      <c r="K22" s="323">
        <v>1.88</v>
      </c>
      <c r="L22" s="73">
        <v>7.09</v>
      </c>
      <c r="N22" s="318">
        <f>K22+J22+L22</f>
        <v>72.56</v>
      </c>
      <c r="O22" s="81">
        <f>IFERROR(VLOOKUP($G22,'321買'!A:E,3,0),"'沒有資料'")</f>
        <v>7</v>
      </c>
      <c r="P22" s="380">
        <f>IFERROR(VLOOKUP($G22,'321買'!$A:$G,7,0),"'沒有資料'")</f>
        <v>499</v>
      </c>
      <c r="R22" s="297">
        <f>IFERROR(RANK(VLOOKUP($G22,連買!$A:$D,4,0),連買!$D:$D,0),"'沒有資料'")</f>
        <v>1187</v>
      </c>
      <c r="S22" s="34">
        <v>2</v>
      </c>
      <c r="T22" s="355"/>
      <c r="U22" s="57">
        <v>15.43</v>
      </c>
      <c r="V22" s="36">
        <f>RTD("money.excel",,"6523","Price")</f>
        <v>89.5</v>
      </c>
      <c r="W22" s="230">
        <f>76.5-4-4-5.22-2</f>
        <v>61.28</v>
      </c>
      <c r="X22" s="15">
        <f>V22-W22</f>
        <v>28.22</v>
      </c>
      <c r="Y22" s="153">
        <f>X22/W22</f>
        <v>0.460509138381201</v>
      </c>
      <c r="Z22" s="144" t="s">
        <v>1997</v>
      </c>
      <c r="AA22" s="79"/>
      <c r="AB22" s="80"/>
      <c r="AC22" s="64"/>
      <c r="AD22" s="16" t="s">
        <v>624</v>
      </c>
      <c r="AE22" s="84">
        <v>44314</v>
      </c>
      <c r="AG22" s="33">
        <f>AF22-AE22</f>
        <v>-44314</v>
      </c>
      <c r="AH22" s="41" t="s">
        <v>1128</v>
      </c>
      <c r="AI22" s="41" t="s">
        <v>1514</v>
      </c>
      <c r="AJ22" s="226"/>
    </row>
    <row r="23" spans="1:36" s="268" customFormat="1">
      <c r="A23" s="145"/>
      <c r="B23" s="79"/>
      <c r="C23" s="79"/>
      <c r="D23" s="79"/>
      <c r="E23" s="79"/>
      <c r="F23" s="6"/>
      <c r="G23" s="41"/>
      <c r="H23" s="8"/>
      <c r="I23" s="158"/>
      <c r="J23" s="323"/>
      <c r="K23" s="323"/>
      <c r="L23" s="323"/>
      <c r="M23" s="318"/>
      <c r="N23" s="318"/>
      <c r="O23" s="350"/>
      <c r="P23" s="374"/>
      <c r="Q23" s="302"/>
      <c r="R23" s="151"/>
      <c r="S23" s="197"/>
      <c r="T23" s="353"/>
      <c r="U23" s="95"/>
      <c r="V23" s="170">
        <f>SUM(V19:V22)</f>
        <v>358</v>
      </c>
      <c r="W23" s="160">
        <f>SUM(W19:W22)</f>
        <v>246.12</v>
      </c>
      <c r="X23" s="167">
        <f>V23-W23</f>
        <v>111.88</v>
      </c>
      <c r="Y23" s="298">
        <f>X23/W23</f>
        <v>0.45457500406305862</v>
      </c>
      <c r="Z23" s="116"/>
      <c r="AA23" s="79"/>
      <c r="AB23" s="80"/>
      <c r="AC23" s="64"/>
      <c r="AD23" s="158">
        <f>V23*(0.001425*0.5)+V23*0.003+W23*(0.001425*0.5)</f>
        <v>1.5044355</v>
      </c>
      <c r="AE23" s="6">
        <f>X23-AD23</f>
        <v>110.3755645</v>
      </c>
      <c r="AF23" s="83"/>
      <c r="AG23" s="33"/>
      <c r="AH23" s="41" t="s">
        <v>1129</v>
      </c>
      <c r="AI23" s="168"/>
    </row>
    <row r="24" spans="1:36" s="268" customFormat="1">
      <c r="A24" s="145"/>
      <c r="B24" s="79"/>
      <c r="C24" s="79"/>
      <c r="D24" s="79"/>
      <c r="E24" s="79"/>
      <c r="F24" s="6"/>
      <c r="G24" s="41"/>
      <c r="H24" s="8"/>
      <c r="I24" s="158"/>
      <c r="J24" s="323"/>
      <c r="K24" s="323"/>
      <c r="L24" s="323"/>
      <c r="M24" s="318"/>
      <c r="N24" s="318"/>
      <c r="O24" s="350"/>
      <c r="P24" s="374"/>
      <c r="Q24" s="302"/>
      <c r="R24" s="151"/>
      <c r="S24" s="197"/>
      <c r="T24" s="353"/>
      <c r="U24" s="95"/>
      <c r="V24" s="170"/>
      <c r="W24" s="160"/>
      <c r="X24" s="167"/>
      <c r="Y24" s="169"/>
      <c r="Z24" s="116"/>
      <c r="AA24" s="79"/>
      <c r="AB24" s="80"/>
      <c r="AC24" s="64"/>
      <c r="AD24" s="158"/>
      <c r="AE24" s="6"/>
      <c r="AF24" s="83"/>
      <c r="AG24" s="33"/>
      <c r="AH24" s="41"/>
      <c r="AI24" s="168"/>
    </row>
    <row r="25" spans="1:36" s="268" customFormat="1">
      <c r="A25" s="130" t="s">
        <v>1732</v>
      </c>
      <c r="B25" s="91" t="s">
        <v>1588</v>
      </c>
      <c r="C25" s="91" t="s">
        <v>1589</v>
      </c>
      <c r="D25" s="91" t="s">
        <v>1590</v>
      </c>
      <c r="E25" s="91" t="s">
        <v>1591</v>
      </c>
      <c r="F25" s="8" t="s">
        <v>1066</v>
      </c>
      <c r="G25" s="26" t="s">
        <v>3691</v>
      </c>
      <c r="H25" s="55" t="s">
        <v>322</v>
      </c>
      <c r="I25" s="1" t="s">
        <v>2425</v>
      </c>
      <c r="J25" s="317" t="s">
        <v>1467</v>
      </c>
      <c r="K25" s="317" t="s">
        <v>1157</v>
      </c>
      <c r="L25" s="317" t="s">
        <v>284</v>
      </c>
      <c r="M25" s="317" t="s">
        <v>1059</v>
      </c>
      <c r="N25" s="317" t="s">
        <v>5048</v>
      </c>
      <c r="O25" s="26" t="s">
        <v>5107</v>
      </c>
      <c r="P25" s="373" t="s">
        <v>5059</v>
      </c>
      <c r="Q25" s="303" t="s">
        <v>5087</v>
      </c>
      <c r="R25" s="345" t="s">
        <v>5059</v>
      </c>
      <c r="S25" s="14" t="s">
        <v>66</v>
      </c>
      <c r="T25" s="351" t="s">
        <v>5076</v>
      </c>
      <c r="U25" s="68" t="s">
        <v>3844</v>
      </c>
      <c r="V25" s="28" t="s">
        <v>3860</v>
      </c>
      <c r="W25" s="17" t="s">
        <v>1405</v>
      </c>
      <c r="X25" s="14" t="s">
        <v>2430</v>
      </c>
      <c r="Y25" s="21" t="s">
        <v>1477</v>
      </c>
      <c r="Z25" s="51" t="s">
        <v>6627</v>
      </c>
      <c r="AA25" s="406" t="s">
        <v>8647</v>
      </c>
      <c r="AB25" s="407" t="s">
        <v>8648</v>
      </c>
      <c r="AC25" s="408" t="s">
        <v>8649</v>
      </c>
      <c r="AD25" s="1" t="s">
        <v>2425</v>
      </c>
      <c r="AE25" s="71" t="s">
        <v>1406</v>
      </c>
      <c r="AF25" s="72" t="s">
        <v>1163</v>
      </c>
      <c r="AG25" s="32" t="s">
        <v>1164</v>
      </c>
      <c r="AH25" s="142"/>
      <c r="AI25" s="168"/>
    </row>
    <row r="26" spans="1:36" s="268" customFormat="1">
      <c r="A26" s="146" t="s">
        <v>1686</v>
      </c>
      <c r="B26" s="93">
        <v>2431</v>
      </c>
      <c r="C26" s="79">
        <v>636</v>
      </c>
      <c r="D26" s="80">
        <v>-5</v>
      </c>
      <c r="E26" s="79">
        <v>33</v>
      </c>
      <c r="F26" s="6">
        <v>8.8699999999999992</v>
      </c>
      <c r="G26" s="79">
        <v>3265</v>
      </c>
      <c r="H26" s="30" t="s">
        <v>1469</v>
      </c>
      <c r="I26" s="171" t="s">
        <v>2415</v>
      </c>
      <c r="J26" s="73">
        <v>58.7</v>
      </c>
      <c r="K26" s="73">
        <v>7.3</v>
      </c>
      <c r="L26" s="323">
        <v>2.06</v>
      </c>
      <c r="M26" s="318"/>
      <c r="N26" s="318">
        <f>K26+J26+L26</f>
        <v>68.06</v>
      </c>
      <c r="O26" s="81">
        <f>IFERROR(VLOOKUP($G26,'321買'!A:E,3,0),"'沒有資料'")</f>
        <v>1</v>
      </c>
      <c r="P26" s="380">
        <f>IFERROR(VLOOKUP($G26,'321買'!$A:$G,7,0),"'沒有資料'")</f>
        <v>783</v>
      </c>
      <c r="Q26" s="302"/>
      <c r="R26" s="297">
        <f>IFERROR(RANK(VLOOKUP($G26,連買!$A:$D,4,0),連買!$D:$D,0),"'沒有資料'")</f>
        <v>590</v>
      </c>
      <c r="S26" s="197">
        <v>2.2999999999999998</v>
      </c>
      <c r="T26" s="353"/>
      <c r="U26" s="57">
        <v>1.9</v>
      </c>
      <c r="V26" s="170">
        <f>RTD("money.excel",,"3265","Price")</f>
        <v>36</v>
      </c>
      <c r="W26" s="65">
        <f>33.4-1.23</f>
        <v>32.17</v>
      </c>
      <c r="X26" s="167">
        <f>V26-W26</f>
        <v>3.8299999999999983</v>
      </c>
      <c r="Y26" s="163">
        <f>X26/W26</f>
        <v>0.11905502020516003</v>
      </c>
      <c r="Z26" s="172" t="s">
        <v>1512</v>
      </c>
      <c r="AA26" s="79"/>
      <c r="AB26" s="80"/>
      <c r="AC26" s="64"/>
      <c r="AD26" s="171" t="s">
        <v>2415</v>
      </c>
      <c r="AE26" s="84">
        <v>44313</v>
      </c>
      <c r="AF26" s="83"/>
      <c r="AG26" s="33">
        <f>AF26-AE26</f>
        <v>-44313</v>
      </c>
      <c r="AH26" s="41" t="s">
        <v>1128</v>
      </c>
      <c r="AI26" s="192"/>
      <c r="AJ26" s="191"/>
    </row>
    <row r="27" spans="1:36" s="268" customFormat="1">
      <c r="A27" s="146" t="s">
        <v>1686</v>
      </c>
      <c r="B27" s="93">
        <v>2431</v>
      </c>
      <c r="C27" s="79">
        <v>636</v>
      </c>
      <c r="D27" s="80">
        <v>-5</v>
      </c>
      <c r="E27" s="79">
        <v>33</v>
      </c>
      <c r="F27" s="6">
        <v>8.8699999999999992</v>
      </c>
      <c r="G27" s="79">
        <v>3265</v>
      </c>
      <c r="H27" s="30" t="s">
        <v>1469</v>
      </c>
      <c r="I27" s="171" t="s">
        <v>2415</v>
      </c>
      <c r="J27" s="73">
        <v>58.7</v>
      </c>
      <c r="K27" s="73">
        <v>7.3</v>
      </c>
      <c r="L27" s="323">
        <v>2.06</v>
      </c>
      <c r="M27" s="318"/>
      <c r="N27" s="318">
        <f>K27+J27+L27</f>
        <v>68.06</v>
      </c>
      <c r="O27" s="81">
        <f>IFERROR(VLOOKUP($G27,'321買'!A:E,3,0),"'沒有資料'")</f>
        <v>1</v>
      </c>
      <c r="P27" s="380">
        <f>IFERROR(VLOOKUP($G27,'321買'!$A:$G,7,0),"'沒有資料'")</f>
        <v>783</v>
      </c>
      <c r="Q27" s="302"/>
      <c r="R27" s="297">
        <f>IFERROR(RANK(VLOOKUP($G27,連買!$A:$D,4,0),連買!$D:$D,0),"'沒有資料'")</f>
        <v>590</v>
      </c>
      <c r="S27" s="197">
        <v>2.2999999999999998</v>
      </c>
      <c r="T27" s="353"/>
      <c r="U27" s="57">
        <v>1.9</v>
      </c>
      <c r="V27" s="170">
        <f>RTD("money.excel",,"3265","Price")</f>
        <v>36</v>
      </c>
      <c r="W27" s="65">
        <f>33.8-1.23</f>
        <v>32.57</v>
      </c>
      <c r="X27" s="167">
        <f>V27-W27</f>
        <v>3.4299999999999997</v>
      </c>
      <c r="Y27" s="163">
        <f>X27/W27</f>
        <v>0.10531163647528399</v>
      </c>
      <c r="Z27" s="172" t="s">
        <v>1512</v>
      </c>
      <c r="AA27" s="79"/>
      <c r="AB27" s="80"/>
      <c r="AC27" s="64"/>
      <c r="AD27" s="171" t="s">
        <v>2415</v>
      </c>
      <c r="AE27" s="84">
        <v>44299</v>
      </c>
      <c r="AF27" s="83"/>
      <c r="AG27" s="33">
        <f>AF27-AE27</f>
        <v>-44299</v>
      </c>
      <c r="AH27" s="41" t="s">
        <v>1128</v>
      </c>
      <c r="AI27" s="192"/>
      <c r="AJ27" s="191"/>
    </row>
    <row r="28" spans="1:36" s="268" customFormat="1">
      <c r="A28" s="146" t="s">
        <v>1686</v>
      </c>
      <c r="B28" s="93">
        <v>2431</v>
      </c>
      <c r="C28" s="79">
        <v>636</v>
      </c>
      <c r="D28" s="80">
        <v>-5</v>
      </c>
      <c r="E28" s="79">
        <v>33</v>
      </c>
      <c r="F28" s="6">
        <v>8.8699999999999992</v>
      </c>
      <c r="G28" s="79">
        <v>3265</v>
      </c>
      <c r="H28" s="30" t="s">
        <v>1469</v>
      </c>
      <c r="I28" s="171" t="s">
        <v>2415</v>
      </c>
      <c r="J28" s="73">
        <v>58.7</v>
      </c>
      <c r="K28" s="73">
        <v>7.3</v>
      </c>
      <c r="L28" s="323">
        <v>2.06</v>
      </c>
      <c r="M28" s="318"/>
      <c r="N28" s="318">
        <f>K28+J28+L28</f>
        <v>68.06</v>
      </c>
      <c r="O28" s="81">
        <f>IFERROR(VLOOKUP($G28,'321買'!A:E,3,0),"'沒有資料'")</f>
        <v>1</v>
      </c>
      <c r="P28" s="380">
        <f>IFERROR(VLOOKUP($G28,'321買'!$A:$G,7,0),"'沒有資料'")</f>
        <v>783</v>
      </c>
      <c r="Q28" s="302"/>
      <c r="R28" s="297">
        <f>IFERROR(RANK(VLOOKUP($G28,連買!$A:$D,4,0),連買!$D:$D,0),"'沒有資料'")</f>
        <v>590</v>
      </c>
      <c r="S28" s="197">
        <v>2.2999999999999998</v>
      </c>
      <c r="T28" s="354"/>
      <c r="U28" s="57">
        <v>1.9</v>
      </c>
      <c r="V28" s="170">
        <f>RTD("money.excel",,"3265","Price")</f>
        <v>36</v>
      </c>
      <c r="W28" s="65">
        <f>35.15-1.23</f>
        <v>33.92</v>
      </c>
      <c r="X28" s="167">
        <f>V28-W28</f>
        <v>2.0799999999999983</v>
      </c>
      <c r="Y28" s="163">
        <f>X28/W28</f>
        <v>6.1320754716981077E-2</v>
      </c>
      <c r="Z28" s="172" t="s">
        <v>1512</v>
      </c>
      <c r="AA28" s="79"/>
      <c r="AB28" s="80"/>
      <c r="AC28" s="64"/>
      <c r="AD28" s="171" t="s">
        <v>2415</v>
      </c>
      <c r="AE28" s="84">
        <v>44293</v>
      </c>
      <c r="AF28" s="83"/>
      <c r="AG28" s="33">
        <f>AF28-AE28</f>
        <v>-44293</v>
      </c>
      <c r="AH28" s="41" t="s">
        <v>1128</v>
      </c>
      <c r="AI28" s="192"/>
      <c r="AJ28" s="191"/>
    </row>
    <row r="29" spans="1:36" s="268" customFormat="1">
      <c r="A29" s="146" t="s">
        <v>1686</v>
      </c>
      <c r="B29" s="93">
        <v>2431</v>
      </c>
      <c r="C29" s="79">
        <v>636</v>
      </c>
      <c r="D29" s="80">
        <v>-5</v>
      </c>
      <c r="E29" s="79">
        <v>33</v>
      </c>
      <c r="F29" s="6">
        <v>8.8699999999999992</v>
      </c>
      <c r="G29" s="79">
        <v>3265</v>
      </c>
      <c r="H29" s="30" t="s">
        <v>1469</v>
      </c>
      <c r="I29" s="171" t="s">
        <v>2415</v>
      </c>
      <c r="J29" s="73">
        <v>58.7</v>
      </c>
      <c r="K29" s="73">
        <v>7.3</v>
      </c>
      <c r="L29" s="323">
        <v>2.06</v>
      </c>
      <c r="M29" s="318"/>
      <c r="N29" s="318">
        <f>K29+J29+L29</f>
        <v>68.06</v>
      </c>
      <c r="O29" s="81">
        <f>IFERROR(VLOOKUP($G29,'321買'!A:E,3,0),"'沒有資料'")</f>
        <v>1</v>
      </c>
      <c r="P29" s="380">
        <f>IFERROR(VLOOKUP($G29,'321買'!$A:$G,7,0),"'沒有資料'")</f>
        <v>783</v>
      </c>
      <c r="Q29" s="302"/>
      <c r="R29" s="297">
        <f>IFERROR(RANK(VLOOKUP($G29,連買!$A:$D,4,0),連買!$D:$D,0),"'沒有資料'")</f>
        <v>590</v>
      </c>
      <c r="S29" s="197">
        <v>2.2999999999999998</v>
      </c>
      <c r="T29" s="354"/>
      <c r="U29" s="57">
        <v>1.9</v>
      </c>
      <c r="V29" s="170">
        <f>RTD("money.excel",,"3265","Price")</f>
        <v>36</v>
      </c>
      <c r="W29" s="65">
        <f>36.5-1.23</f>
        <v>35.270000000000003</v>
      </c>
      <c r="X29" s="167">
        <f>V29-W29</f>
        <v>0.72999999999999687</v>
      </c>
      <c r="Y29" s="163">
        <f>X29/W29</f>
        <v>2.069747660901607E-2</v>
      </c>
      <c r="Z29" s="172" t="s">
        <v>1512</v>
      </c>
      <c r="AA29" s="79"/>
      <c r="AB29" s="80"/>
      <c r="AC29" s="64"/>
      <c r="AD29" s="171" t="s">
        <v>2415</v>
      </c>
      <c r="AE29" s="84">
        <v>44292</v>
      </c>
      <c r="AF29" s="83"/>
      <c r="AG29" s="33">
        <f>AF29-AE29</f>
        <v>-44292</v>
      </c>
      <c r="AH29" s="41" t="s">
        <v>1128</v>
      </c>
      <c r="AI29" s="192"/>
      <c r="AJ29" s="191"/>
    </row>
    <row r="30" spans="1:36" s="268" customFormat="1">
      <c r="A30" s="145"/>
      <c r="B30" s="79"/>
      <c r="C30" s="79"/>
      <c r="D30" s="79"/>
      <c r="E30" s="79"/>
      <c r="F30" s="6"/>
      <c r="G30" s="41"/>
      <c r="H30" s="8"/>
      <c r="I30" s="158"/>
      <c r="J30" s="323"/>
      <c r="K30" s="323"/>
      <c r="L30" s="323"/>
      <c r="M30" s="318"/>
      <c r="N30" s="318"/>
      <c r="O30" s="350"/>
      <c r="P30" s="374"/>
      <c r="Q30" s="302"/>
      <c r="R30" s="151"/>
      <c r="S30" s="197"/>
      <c r="T30" s="351"/>
      <c r="U30" s="95"/>
      <c r="V30" s="170">
        <f>SUM(V26:V29)</f>
        <v>144</v>
      </c>
      <c r="W30" s="160">
        <f>SUM(W26:W29)</f>
        <v>133.93</v>
      </c>
      <c r="X30" s="167">
        <f>V30-W30</f>
        <v>10.069999999999993</v>
      </c>
      <c r="Y30" s="163">
        <f>X30/W30</f>
        <v>7.5188531322332511E-2</v>
      </c>
      <c r="Z30" s="116"/>
      <c r="AA30" s="79"/>
      <c r="AB30" s="80"/>
      <c r="AC30" s="64"/>
      <c r="AD30" s="158">
        <f>V30*(0.001425*0.5)+V30*0.003+W30*(0.001425*0.5)</f>
        <v>0.63002512499999996</v>
      </c>
      <c r="AE30" s="6">
        <f>X30-AD30</f>
        <v>9.4399748749999937</v>
      </c>
      <c r="AF30" s="83"/>
      <c r="AG30" s="33"/>
      <c r="AH30" s="41" t="s">
        <v>1129</v>
      </c>
      <c r="AI30" s="168"/>
    </row>
    <row r="31" spans="1:36" s="268" customFormat="1">
      <c r="A31" s="145"/>
      <c r="B31" s="79"/>
      <c r="C31" s="79"/>
      <c r="D31" s="79"/>
      <c r="E31" s="79"/>
      <c r="F31" s="6"/>
      <c r="G31" s="41"/>
      <c r="H31" s="8"/>
      <c r="I31" s="158"/>
      <c r="J31" s="323"/>
      <c r="K31" s="323"/>
      <c r="L31" s="323"/>
      <c r="M31" s="318"/>
      <c r="N31" s="318"/>
      <c r="O31" s="350"/>
      <c r="P31" s="374"/>
      <c r="Q31" s="302"/>
      <c r="R31" s="151"/>
      <c r="S31" s="197"/>
      <c r="T31" s="353"/>
      <c r="U31" s="95"/>
      <c r="V31" s="170"/>
      <c r="W31" s="160"/>
      <c r="X31" s="167"/>
      <c r="Y31" s="169"/>
      <c r="Z31" s="116"/>
      <c r="AA31" s="79"/>
      <c r="AB31" s="80"/>
      <c r="AC31" s="64"/>
      <c r="AD31" s="158"/>
      <c r="AE31" s="6"/>
      <c r="AF31" s="83"/>
      <c r="AG31" s="33"/>
      <c r="AH31" s="41"/>
      <c r="AI31" s="168"/>
    </row>
    <row r="32" spans="1:36" s="268" customFormat="1">
      <c r="A32" s="130" t="s">
        <v>1732</v>
      </c>
      <c r="B32" s="91" t="s">
        <v>1588</v>
      </c>
      <c r="C32" s="91" t="s">
        <v>1589</v>
      </c>
      <c r="D32" s="91" t="s">
        <v>1590</v>
      </c>
      <c r="E32" s="91" t="s">
        <v>1591</v>
      </c>
      <c r="F32" s="8" t="s">
        <v>1066</v>
      </c>
      <c r="G32" s="26" t="s">
        <v>3691</v>
      </c>
      <c r="H32" s="55" t="s">
        <v>322</v>
      </c>
      <c r="I32" s="1" t="s">
        <v>2425</v>
      </c>
      <c r="J32" s="317" t="s">
        <v>1467</v>
      </c>
      <c r="K32" s="317" t="s">
        <v>1157</v>
      </c>
      <c r="L32" s="317" t="s">
        <v>284</v>
      </c>
      <c r="M32" s="317" t="s">
        <v>1059</v>
      </c>
      <c r="N32" s="317" t="s">
        <v>5048</v>
      </c>
      <c r="O32" s="26" t="s">
        <v>5107</v>
      </c>
      <c r="P32" s="373" t="s">
        <v>5059</v>
      </c>
      <c r="Q32" s="303" t="s">
        <v>5087</v>
      </c>
      <c r="R32" s="345" t="s">
        <v>5059</v>
      </c>
      <c r="S32" s="14" t="s">
        <v>66</v>
      </c>
      <c r="T32" s="351" t="s">
        <v>5076</v>
      </c>
      <c r="U32" s="68" t="s">
        <v>3844</v>
      </c>
      <c r="V32" s="28" t="s">
        <v>3860</v>
      </c>
      <c r="W32" s="17" t="s">
        <v>1405</v>
      </c>
      <c r="X32" s="14" t="s">
        <v>2430</v>
      </c>
      <c r="Y32" s="21" t="s">
        <v>1477</v>
      </c>
      <c r="Z32" s="51" t="s">
        <v>6627</v>
      </c>
      <c r="AA32" s="406" t="s">
        <v>8647</v>
      </c>
      <c r="AB32" s="407" t="s">
        <v>8648</v>
      </c>
      <c r="AC32" s="408" t="s">
        <v>8649</v>
      </c>
      <c r="AD32" s="1" t="s">
        <v>2425</v>
      </c>
      <c r="AE32" s="71" t="s">
        <v>1406</v>
      </c>
      <c r="AF32" s="72" t="s">
        <v>1163</v>
      </c>
      <c r="AG32" s="32" t="s">
        <v>1164</v>
      </c>
      <c r="AH32" s="46" t="s">
        <v>1580</v>
      </c>
      <c r="AI32" s="168"/>
    </row>
    <row r="33" spans="1:36">
      <c r="A33" s="146" t="s">
        <v>2259</v>
      </c>
      <c r="B33" s="79">
        <v>10</v>
      </c>
      <c r="C33" s="79">
        <v>9</v>
      </c>
      <c r="D33" s="79">
        <v>4</v>
      </c>
      <c r="E33" s="79">
        <v>22</v>
      </c>
      <c r="F33" s="6">
        <v>4.8899999999999997</v>
      </c>
      <c r="G33" s="80">
        <v>4958</v>
      </c>
      <c r="H33" s="30" t="s">
        <v>1469</v>
      </c>
      <c r="I33" s="22" t="s">
        <v>27</v>
      </c>
      <c r="J33" s="73">
        <v>68.62</v>
      </c>
      <c r="K33" s="323">
        <v>58.92</v>
      </c>
      <c r="L33" s="323">
        <v>6.27</v>
      </c>
      <c r="N33" s="73">
        <f>K33+J33+L33</f>
        <v>133.81</v>
      </c>
      <c r="O33" s="81">
        <f>IFERROR(VLOOKUP($G33,'321買'!A:E,3,0),"'沒有資料'")</f>
        <v>3</v>
      </c>
      <c r="P33" s="380">
        <f>IFERROR(VLOOKUP($G33,'321買'!$A:$G,7,0),"'沒有資料'")</f>
        <v>636</v>
      </c>
      <c r="R33" s="297">
        <f>IFERROR(RANK(VLOOKUP($G33,連買!$A:$D,4,0),連買!$D:$D,0),"'沒有資料'")</f>
        <v>212</v>
      </c>
      <c r="S33" s="45">
        <v>5</v>
      </c>
      <c r="U33" s="57">
        <v>8.93</v>
      </c>
      <c r="V33" s="13">
        <f>RTD("money.excel",,"4958","Price")</f>
        <v>107.5</v>
      </c>
      <c r="W33" s="66">
        <f>106-4.5</f>
        <v>101.5</v>
      </c>
      <c r="X33" s="15">
        <f>V33-W33</f>
        <v>6</v>
      </c>
      <c r="Y33" s="63">
        <f>X33/W33</f>
        <v>5.9113300492610835E-2</v>
      </c>
      <c r="Z33" s="100" t="s">
        <v>1997</v>
      </c>
      <c r="AA33" s="79"/>
      <c r="AB33" s="80"/>
      <c r="AC33" s="64"/>
      <c r="AD33" s="22" t="s">
        <v>27</v>
      </c>
      <c r="AE33" s="84">
        <v>44308</v>
      </c>
      <c r="AG33" s="33">
        <f>AF33-AE33</f>
        <v>-44308</v>
      </c>
      <c r="AH33" s="41" t="s">
        <v>1128</v>
      </c>
      <c r="AI33" s="264"/>
      <c r="AJ33" s="8"/>
    </row>
    <row r="34" spans="1:36">
      <c r="A34" s="146" t="s">
        <v>2259</v>
      </c>
      <c r="B34" s="79">
        <v>10</v>
      </c>
      <c r="C34" s="79">
        <v>9</v>
      </c>
      <c r="D34" s="79">
        <v>4</v>
      </c>
      <c r="E34" s="79">
        <v>22</v>
      </c>
      <c r="F34" s="6">
        <v>4.8899999999999997</v>
      </c>
      <c r="G34" s="80">
        <v>4958</v>
      </c>
      <c r="H34" s="30" t="s">
        <v>1469</v>
      </c>
      <c r="I34" s="22" t="s">
        <v>27</v>
      </c>
      <c r="J34" s="73">
        <v>68.62</v>
      </c>
      <c r="K34" s="323">
        <v>58.92</v>
      </c>
      <c r="L34" s="323">
        <v>6.27</v>
      </c>
      <c r="N34" s="73">
        <f>K34+J34+L34</f>
        <v>133.81</v>
      </c>
      <c r="O34" s="81">
        <f>IFERROR(VLOOKUP($G34,'321買'!A:E,3,0),"'沒有資料'")</f>
        <v>3</v>
      </c>
      <c r="P34" s="380">
        <f>IFERROR(VLOOKUP($G34,'321買'!$A:$G,7,0),"'沒有資料'")</f>
        <v>636</v>
      </c>
      <c r="R34" s="297">
        <f>IFERROR(RANK(VLOOKUP($G34,連買!$A:$D,4,0),連買!$D:$D,0),"'沒有資料'")</f>
        <v>212</v>
      </c>
      <c r="S34" s="45">
        <v>5</v>
      </c>
      <c r="U34" s="57">
        <v>8.93</v>
      </c>
      <c r="V34" s="13">
        <f>RTD("money.excel",,"4958","Price")</f>
        <v>107.5</v>
      </c>
      <c r="W34" s="66">
        <f>110.5-4.5</f>
        <v>106</v>
      </c>
      <c r="X34" s="15">
        <f>V34-W34</f>
        <v>1.5</v>
      </c>
      <c r="Y34" s="63">
        <f>X34/W34</f>
        <v>1.4150943396226415E-2</v>
      </c>
      <c r="Z34" s="100" t="s">
        <v>1997</v>
      </c>
      <c r="AA34" s="79"/>
      <c r="AB34" s="80"/>
      <c r="AC34" s="64"/>
      <c r="AD34" s="22" t="s">
        <v>27</v>
      </c>
      <c r="AE34" s="84">
        <v>44298</v>
      </c>
      <c r="AG34" s="33">
        <f>AF34-AE34</f>
        <v>-44298</v>
      </c>
      <c r="AH34" s="41" t="s">
        <v>1128</v>
      </c>
      <c r="AI34" s="264"/>
      <c r="AJ34" s="8"/>
    </row>
    <row r="35" spans="1:36">
      <c r="A35" s="146" t="s">
        <v>2259</v>
      </c>
      <c r="B35" s="79">
        <v>10</v>
      </c>
      <c r="C35" s="79">
        <v>9</v>
      </c>
      <c r="D35" s="79">
        <v>4</v>
      </c>
      <c r="E35" s="79">
        <v>22</v>
      </c>
      <c r="F35" s="6">
        <v>4.8899999999999997</v>
      </c>
      <c r="G35" s="80">
        <v>4958</v>
      </c>
      <c r="H35" s="30" t="s">
        <v>1469</v>
      </c>
      <c r="I35" s="22" t="s">
        <v>27</v>
      </c>
      <c r="J35" s="73">
        <v>68.62</v>
      </c>
      <c r="K35" s="323">
        <v>58.92</v>
      </c>
      <c r="L35" s="323">
        <v>6.27</v>
      </c>
      <c r="N35" s="73">
        <f>K35+J35+L35</f>
        <v>133.81</v>
      </c>
      <c r="O35" s="81">
        <f>IFERROR(VLOOKUP($G35,'321買'!A:E,3,0),"'沒有資料'")</f>
        <v>3</v>
      </c>
      <c r="P35" s="380">
        <f>IFERROR(VLOOKUP($G35,'321買'!$A:$G,7,0),"'沒有資料'")</f>
        <v>636</v>
      </c>
      <c r="R35" s="297">
        <f>IFERROR(RANK(VLOOKUP($G35,連買!$A:$D,4,0),連買!$D:$D,0),"'沒有資料'")</f>
        <v>212</v>
      </c>
      <c r="S35" s="45">
        <v>5</v>
      </c>
      <c r="U35" s="57">
        <v>8.93</v>
      </c>
      <c r="V35" s="13">
        <f>RTD("money.excel",,"4958","Price")</f>
        <v>107.5</v>
      </c>
      <c r="W35" s="66">
        <f>114-4.5</f>
        <v>109.5</v>
      </c>
      <c r="X35" s="15">
        <f>V35-W35</f>
        <v>-2</v>
      </c>
      <c r="Y35" s="3">
        <f>X35/W35</f>
        <v>-1.8264840182648401E-2</v>
      </c>
      <c r="Z35" s="100" t="s">
        <v>1997</v>
      </c>
      <c r="AA35" s="79"/>
      <c r="AB35" s="80"/>
      <c r="AC35" s="64"/>
      <c r="AD35" s="22" t="s">
        <v>27</v>
      </c>
      <c r="AE35" s="84">
        <v>44298</v>
      </c>
      <c r="AG35" s="33">
        <f>AF35-AE35</f>
        <v>-44298</v>
      </c>
      <c r="AH35" s="41" t="s">
        <v>1128</v>
      </c>
      <c r="AI35" s="264"/>
      <c r="AJ35" s="8"/>
    </row>
    <row r="36" spans="1:36" s="268" customFormat="1">
      <c r="A36" s="145"/>
      <c r="B36" s="79"/>
      <c r="C36" s="79"/>
      <c r="D36" s="79"/>
      <c r="E36" s="79"/>
      <c r="F36" s="6"/>
      <c r="G36" s="41"/>
      <c r="H36" s="8"/>
      <c r="I36" s="158"/>
      <c r="J36" s="323"/>
      <c r="K36" s="323"/>
      <c r="L36" s="323"/>
      <c r="M36" s="318"/>
      <c r="N36" s="318"/>
      <c r="O36" s="350"/>
      <c r="P36" s="374"/>
      <c r="Q36" s="302"/>
      <c r="R36" s="151"/>
      <c r="S36" s="197"/>
      <c r="T36" s="354"/>
      <c r="U36" s="95"/>
      <c r="V36" s="170">
        <f>SUM(V33:V35)</f>
        <v>322.5</v>
      </c>
      <c r="W36" s="160">
        <f>SUM(W33:W35)</f>
        <v>317</v>
      </c>
      <c r="X36" s="167">
        <f>V36-W36</f>
        <v>5.5</v>
      </c>
      <c r="Y36" s="163">
        <f>X36/W36</f>
        <v>1.7350157728706624E-2</v>
      </c>
      <c r="Z36" s="116"/>
      <c r="AA36" s="79"/>
      <c r="AB36" s="80"/>
      <c r="AC36" s="64"/>
      <c r="AD36" s="158">
        <f>V36*(0.001425*0.5)+V36*0.003+W36*(0.001425*0.5)</f>
        <v>1.4231437500000002</v>
      </c>
      <c r="AE36" s="6">
        <f>X36-AD36</f>
        <v>4.0768562499999996</v>
      </c>
      <c r="AF36" s="83"/>
      <c r="AG36" s="33"/>
      <c r="AH36" s="41" t="s">
        <v>1563</v>
      </c>
      <c r="AI36" s="168"/>
    </row>
    <row r="37" spans="1:36">
      <c r="A37" s="130"/>
      <c r="B37" s="79"/>
      <c r="C37" s="79"/>
      <c r="D37" s="79"/>
      <c r="E37" s="79"/>
      <c r="F37" s="57"/>
      <c r="G37" s="56"/>
      <c r="H37" s="5"/>
      <c r="I37" s="22"/>
      <c r="J37" s="323"/>
      <c r="K37" s="73"/>
      <c r="N37" s="73"/>
      <c r="S37" s="66"/>
      <c r="U37" s="57"/>
      <c r="V37" s="36"/>
      <c r="W37" s="66"/>
      <c r="X37" s="15"/>
      <c r="Y37" s="3"/>
      <c r="Z37" s="100"/>
      <c r="AA37" s="79"/>
      <c r="AB37" s="80"/>
      <c r="AC37" s="64"/>
      <c r="AD37" s="22"/>
      <c r="AG37" s="119"/>
      <c r="AH37" s="41"/>
      <c r="AI37" s="225"/>
      <c r="AJ37" s="226"/>
    </row>
    <row r="38" spans="1:36" s="268" customFormat="1">
      <c r="A38" s="130" t="s">
        <v>1732</v>
      </c>
      <c r="B38" s="91" t="s">
        <v>1588</v>
      </c>
      <c r="C38" s="91" t="s">
        <v>1589</v>
      </c>
      <c r="D38" s="91" t="s">
        <v>1590</v>
      </c>
      <c r="E38" s="91" t="s">
        <v>1591</v>
      </c>
      <c r="F38" s="8" t="s">
        <v>1066</v>
      </c>
      <c r="G38" s="26" t="s">
        <v>3691</v>
      </c>
      <c r="H38" s="55" t="s">
        <v>322</v>
      </c>
      <c r="I38" s="1" t="s">
        <v>2425</v>
      </c>
      <c r="J38" s="317" t="s">
        <v>1467</v>
      </c>
      <c r="K38" s="317" t="s">
        <v>1157</v>
      </c>
      <c r="L38" s="317" t="s">
        <v>284</v>
      </c>
      <c r="M38" s="317" t="s">
        <v>1059</v>
      </c>
      <c r="N38" s="317" t="s">
        <v>5048</v>
      </c>
      <c r="O38" s="26" t="s">
        <v>5107</v>
      </c>
      <c r="P38" s="373" t="s">
        <v>5059</v>
      </c>
      <c r="Q38" s="303" t="s">
        <v>5087</v>
      </c>
      <c r="R38" s="345" t="s">
        <v>5059</v>
      </c>
      <c r="S38" s="14" t="s">
        <v>66</v>
      </c>
      <c r="T38" s="351" t="s">
        <v>5076</v>
      </c>
      <c r="U38" s="68" t="s">
        <v>3844</v>
      </c>
      <c r="V38" s="28" t="s">
        <v>3860</v>
      </c>
      <c r="W38" s="17" t="s">
        <v>1405</v>
      </c>
      <c r="X38" s="14" t="s">
        <v>2430</v>
      </c>
      <c r="Y38" s="21" t="s">
        <v>1477</v>
      </c>
      <c r="Z38" s="51" t="s">
        <v>6627</v>
      </c>
      <c r="AA38" s="406" t="s">
        <v>8647</v>
      </c>
      <c r="AB38" s="407" t="s">
        <v>8648</v>
      </c>
      <c r="AC38" s="408" t="s">
        <v>8649</v>
      </c>
      <c r="AD38" s="1" t="s">
        <v>2425</v>
      </c>
      <c r="AE38" s="71" t="s">
        <v>1406</v>
      </c>
      <c r="AF38" s="72" t="s">
        <v>1163</v>
      </c>
      <c r="AG38" s="32" t="s">
        <v>1164</v>
      </c>
      <c r="AH38" s="142"/>
      <c r="AI38" s="168"/>
    </row>
    <row r="39" spans="1:36" s="268" customFormat="1">
      <c r="A39" s="146" t="s">
        <v>1820</v>
      </c>
      <c r="B39" s="79">
        <v>349</v>
      </c>
      <c r="C39" s="79">
        <v>884</v>
      </c>
      <c r="D39" s="80">
        <v>-2</v>
      </c>
      <c r="E39" s="80">
        <v>-20</v>
      </c>
      <c r="F39" s="6">
        <v>1.02</v>
      </c>
      <c r="G39" s="41" t="s">
        <v>3144</v>
      </c>
      <c r="H39" s="30" t="s">
        <v>1469</v>
      </c>
      <c r="I39" s="158" t="s">
        <v>3408</v>
      </c>
      <c r="J39" s="73">
        <v>68.64</v>
      </c>
      <c r="K39" s="323">
        <v>32.369999999999997</v>
      </c>
      <c r="L39" s="73">
        <v>2.09</v>
      </c>
      <c r="M39" s="318"/>
      <c r="N39" s="73">
        <f>K39+J39+L39</f>
        <v>103.1</v>
      </c>
      <c r="O39" s="81" t="str">
        <f>IFERROR(VLOOKUP($G39,'321買'!A:E,3,0),"'沒有資料'")</f>
        <v>'沒有資料'</v>
      </c>
      <c r="P39" s="380" t="str">
        <f>IFERROR(VLOOKUP($G39,'321買'!$A:$G,7,0),"'沒有資料'")</f>
        <v>'沒有資料'</v>
      </c>
      <c r="Q39" s="302"/>
      <c r="R39" s="297" t="str">
        <f>IFERROR(RANK(VLOOKUP($G39,連買!$A:$D,4,0),連買!$D:$D,0),"'沒有資料'")</f>
        <v>'沒有資料'</v>
      </c>
      <c r="S39" s="160">
        <v>5</v>
      </c>
      <c r="T39" s="353"/>
      <c r="U39" s="57">
        <v>8.89</v>
      </c>
      <c r="V39" s="166">
        <f>RTD("money.excel",,"4938","Price")</f>
        <v>71.5</v>
      </c>
      <c r="W39" s="65">
        <f>73.1-4.49</f>
        <v>68.61</v>
      </c>
      <c r="X39" s="167">
        <f>V39-W39</f>
        <v>2.8900000000000006</v>
      </c>
      <c r="Y39" s="163">
        <f>X39/W39</f>
        <v>4.2122139629791583E-2</v>
      </c>
      <c r="Z39" s="101" t="s">
        <v>3480</v>
      </c>
      <c r="AA39" s="79"/>
      <c r="AB39" s="80"/>
      <c r="AC39" s="64"/>
      <c r="AD39" s="158" t="s">
        <v>3408</v>
      </c>
      <c r="AE39" s="84">
        <v>44313</v>
      </c>
      <c r="AF39" s="83"/>
      <c r="AG39" s="33">
        <f>AF39-AE39</f>
        <v>-44313</v>
      </c>
      <c r="AH39" s="41" t="s">
        <v>1128</v>
      </c>
      <c r="AI39" s="225"/>
      <c r="AJ39" s="226"/>
    </row>
    <row r="40" spans="1:36" s="268" customFormat="1">
      <c r="A40" s="145"/>
      <c r="B40" s="79"/>
      <c r="C40" s="79"/>
      <c r="D40" s="79"/>
      <c r="E40" s="79"/>
      <c r="F40" s="6"/>
      <c r="G40" s="41"/>
      <c r="H40" s="8"/>
      <c r="I40" s="158"/>
      <c r="J40" s="323"/>
      <c r="K40" s="323"/>
      <c r="L40" s="323"/>
      <c r="M40" s="318"/>
      <c r="N40" s="318"/>
      <c r="O40" s="350"/>
      <c r="P40" s="374"/>
      <c r="Q40" s="302"/>
      <c r="R40" s="151"/>
      <c r="S40" s="197"/>
      <c r="T40" s="353"/>
      <c r="U40" s="95"/>
      <c r="V40" s="170">
        <f>SUM(V39)</f>
        <v>71.5</v>
      </c>
      <c r="W40" s="160">
        <f>SUM(W39)</f>
        <v>68.61</v>
      </c>
      <c r="X40" s="167">
        <f>V40-W40</f>
        <v>2.8900000000000006</v>
      </c>
      <c r="Y40" s="163">
        <f>X40/W40</f>
        <v>4.2122139629791583E-2</v>
      </c>
      <c r="Z40" s="116"/>
      <c r="AA40" s="79"/>
      <c r="AB40" s="80"/>
      <c r="AC40" s="64"/>
      <c r="AD40" s="158">
        <f>V40*(0.001425*0.5)+V40*0.003+W40*(0.001425*0.5)</f>
        <v>0.31432837499999999</v>
      </c>
      <c r="AE40" s="6">
        <f>X40-AD40</f>
        <v>2.5756716250000005</v>
      </c>
      <c r="AF40" s="83"/>
      <c r="AG40" s="33"/>
      <c r="AH40" s="41" t="s">
        <v>1128</v>
      </c>
      <c r="AI40" s="168"/>
    </row>
    <row r="41" spans="1:36">
      <c r="A41" s="146"/>
      <c r="B41" s="80"/>
      <c r="C41" s="80"/>
      <c r="D41" s="79"/>
      <c r="E41" s="79"/>
      <c r="F41" s="6"/>
      <c r="G41" s="56"/>
      <c r="H41" s="53"/>
      <c r="I41" s="22"/>
      <c r="J41" s="323"/>
      <c r="K41" s="323"/>
      <c r="N41" s="73"/>
      <c r="S41" s="66"/>
      <c r="T41" s="353"/>
      <c r="U41" s="57"/>
      <c r="V41" s="13"/>
      <c r="W41" s="66"/>
      <c r="X41" s="15"/>
      <c r="Y41" s="3"/>
      <c r="Z41" s="100"/>
      <c r="AA41" s="79"/>
      <c r="AB41" s="80"/>
      <c r="AC41" s="64"/>
      <c r="AD41" s="22"/>
      <c r="AG41" s="119"/>
      <c r="AH41" s="120"/>
      <c r="AI41" s="264"/>
      <c r="AJ41" s="8"/>
    </row>
    <row r="42" spans="1:36" s="268" customFormat="1">
      <c r="A42" s="130" t="s">
        <v>1732</v>
      </c>
      <c r="B42" s="91" t="s">
        <v>1588</v>
      </c>
      <c r="C42" s="91" t="s">
        <v>1589</v>
      </c>
      <c r="D42" s="91" t="s">
        <v>1590</v>
      </c>
      <c r="E42" s="91" t="s">
        <v>1591</v>
      </c>
      <c r="F42" s="8" t="s">
        <v>1066</v>
      </c>
      <c r="G42" s="26" t="s">
        <v>3691</v>
      </c>
      <c r="H42" s="55" t="s">
        <v>322</v>
      </c>
      <c r="I42" s="1" t="s">
        <v>69</v>
      </c>
      <c r="J42" s="317" t="s">
        <v>1467</v>
      </c>
      <c r="K42" s="317" t="s">
        <v>1157</v>
      </c>
      <c r="L42" s="317" t="s">
        <v>284</v>
      </c>
      <c r="M42" s="317" t="s">
        <v>1059</v>
      </c>
      <c r="N42" s="317" t="s">
        <v>5048</v>
      </c>
      <c r="O42" s="26" t="s">
        <v>5107</v>
      </c>
      <c r="P42" s="373" t="s">
        <v>5059</v>
      </c>
      <c r="Q42" s="303" t="s">
        <v>5087</v>
      </c>
      <c r="R42" s="345" t="s">
        <v>5059</v>
      </c>
      <c r="S42" s="14" t="s">
        <v>66</v>
      </c>
      <c r="T42" s="351" t="s">
        <v>5076</v>
      </c>
      <c r="U42" s="68" t="s">
        <v>3844</v>
      </c>
      <c r="V42" s="28" t="s">
        <v>3860</v>
      </c>
      <c r="W42" s="17" t="s">
        <v>1405</v>
      </c>
      <c r="X42" s="14" t="s">
        <v>2430</v>
      </c>
      <c r="Y42" s="21" t="s">
        <v>1477</v>
      </c>
      <c r="Z42" s="51" t="s">
        <v>6627</v>
      </c>
      <c r="AA42" s="406" t="s">
        <v>8647</v>
      </c>
      <c r="AB42" s="407" t="s">
        <v>8648</v>
      </c>
      <c r="AC42" s="408" t="s">
        <v>8649</v>
      </c>
      <c r="AD42" s="1" t="s">
        <v>69</v>
      </c>
      <c r="AE42" s="71" t="s">
        <v>1406</v>
      </c>
      <c r="AF42" s="72" t="s">
        <v>1163</v>
      </c>
      <c r="AG42" s="32" t="s">
        <v>1164</v>
      </c>
      <c r="AH42" s="142"/>
      <c r="AI42" s="168"/>
    </row>
    <row r="43" spans="1:36">
      <c r="A43" s="146" t="s">
        <v>2115</v>
      </c>
      <c r="B43" s="79">
        <v>352</v>
      </c>
      <c r="C43" s="80">
        <v>-330</v>
      </c>
      <c r="D43" s="79">
        <v>49</v>
      </c>
      <c r="E43" s="79">
        <v>50</v>
      </c>
      <c r="F43" s="6">
        <v>-20.73</v>
      </c>
      <c r="G43" s="80">
        <v>4128</v>
      </c>
      <c r="H43" s="50" t="s">
        <v>1410</v>
      </c>
      <c r="I43" s="16" t="s">
        <v>613</v>
      </c>
      <c r="J43" s="73">
        <v>47.87</v>
      </c>
      <c r="K43" s="73">
        <v>5.18</v>
      </c>
      <c r="N43" s="318">
        <f t="shared" ref="N43:N48" si="4">K43+J43+L43</f>
        <v>53.05</v>
      </c>
      <c r="O43" s="81">
        <f>IFERROR(VLOOKUP($G43,'321買'!A:E,3,0),"'沒有資料'")</f>
        <v>2</v>
      </c>
      <c r="P43" s="380">
        <f>IFERROR(VLOOKUP($G43,'321買'!$A:$G,7,0),"'沒有資料'")</f>
        <v>706</v>
      </c>
      <c r="R43" s="297">
        <f>IFERROR(RANK(VLOOKUP($G43,連買!$A:$D,4,0),連買!$D:$D,0),"'沒有資料'")</f>
        <v>343</v>
      </c>
      <c r="S43" s="34">
        <v>1</v>
      </c>
      <c r="T43" s="353"/>
      <c r="U43" s="95">
        <v>3.29</v>
      </c>
      <c r="V43" s="36">
        <f>RTD("money.excel",,"4128","Price")</f>
        <v>59.4</v>
      </c>
      <c r="W43" s="66">
        <f>66.5</f>
        <v>66.5</v>
      </c>
      <c r="X43" s="15">
        <f t="shared" ref="X43:X49" si="5">V43-W43</f>
        <v>-7.1000000000000014</v>
      </c>
      <c r="Y43" s="3">
        <f t="shared" ref="Y43:Y48" si="6">X43/W43</f>
        <v>-0.10676691729323311</v>
      </c>
      <c r="Z43" s="102" t="s">
        <v>1801</v>
      </c>
      <c r="AA43" s="406"/>
      <c r="AB43" s="407"/>
      <c r="AC43" s="408"/>
      <c r="AD43" s="16" t="s">
        <v>613</v>
      </c>
      <c r="AE43" s="84">
        <v>44315</v>
      </c>
      <c r="AG43" s="33">
        <f t="shared" ref="AG43:AG48" si="7">AF43-AE43</f>
        <v>-44315</v>
      </c>
      <c r="AH43" s="130" t="s">
        <v>1128</v>
      </c>
      <c r="AI43" s="264"/>
      <c r="AJ43" s="8"/>
    </row>
    <row r="44" spans="1:36">
      <c r="A44" s="146" t="s">
        <v>2115</v>
      </c>
      <c r="B44" s="79">
        <v>352</v>
      </c>
      <c r="C44" s="80">
        <v>-330</v>
      </c>
      <c r="D44" s="79">
        <v>49</v>
      </c>
      <c r="E44" s="79">
        <v>50</v>
      </c>
      <c r="F44" s="6">
        <v>-20.73</v>
      </c>
      <c r="G44" s="80">
        <v>4128</v>
      </c>
      <c r="H44" s="30" t="s">
        <v>1469</v>
      </c>
      <c r="I44" s="16" t="s">
        <v>613</v>
      </c>
      <c r="J44" s="73">
        <v>47.87</v>
      </c>
      <c r="K44" s="73">
        <v>5.18</v>
      </c>
      <c r="N44" s="318">
        <f t="shared" si="4"/>
        <v>53.05</v>
      </c>
      <c r="O44" s="81">
        <f>IFERROR(VLOOKUP($G44,'321買'!A:E,3,0),"'沒有資料'")</f>
        <v>2</v>
      </c>
      <c r="P44" s="380">
        <f>IFERROR(VLOOKUP($G44,'321買'!$A:$G,7,0),"'沒有資料'")</f>
        <v>706</v>
      </c>
      <c r="R44" s="297">
        <f>IFERROR(RANK(VLOOKUP($G44,連買!$A:$D,4,0),連買!$D:$D,0),"'沒有資料'")</f>
        <v>343</v>
      </c>
      <c r="S44" s="34">
        <v>1</v>
      </c>
      <c r="T44" s="353"/>
      <c r="U44" s="95">
        <v>3.29</v>
      </c>
      <c r="V44" s="36">
        <f>RTD("money.excel",,"4128","Price")</f>
        <v>59.4</v>
      </c>
      <c r="W44" s="66">
        <f>57.1</f>
        <v>57.1</v>
      </c>
      <c r="X44" s="15">
        <f t="shared" si="5"/>
        <v>2.2999999999999972</v>
      </c>
      <c r="Y44" s="3">
        <f t="shared" si="6"/>
        <v>4.0280210157618165E-2</v>
      </c>
      <c r="Z44" s="102" t="s">
        <v>1801</v>
      </c>
      <c r="AA44" s="126"/>
      <c r="AD44" s="16" t="s">
        <v>613</v>
      </c>
      <c r="AE44" s="84">
        <v>44334</v>
      </c>
      <c r="AG44" s="33">
        <f t="shared" si="7"/>
        <v>-44334</v>
      </c>
      <c r="AH44" s="41" t="s">
        <v>1128</v>
      </c>
      <c r="AI44" s="264"/>
      <c r="AJ44" s="8"/>
    </row>
    <row r="45" spans="1:36">
      <c r="A45" s="146" t="s">
        <v>2115</v>
      </c>
      <c r="B45" s="79">
        <v>352</v>
      </c>
      <c r="C45" s="80">
        <v>-330</v>
      </c>
      <c r="D45" s="79">
        <v>49</v>
      </c>
      <c r="E45" s="79">
        <v>50</v>
      </c>
      <c r="F45" s="6">
        <v>-20.73</v>
      </c>
      <c r="G45" s="80">
        <v>4128</v>
      </c>
      <c r="H45" s="30" t="s">
        <v>1469</v>
      </c>
      <c r="I45" s="16" t="s">
        <v>613</v>
      </c>
      <c r="J45" s="73">
        <v>47.87</v>
      </c>
      <c r="K45" s="73">
        <v>5.18</v>
      </c>
      <c r="N45" s="318">
        <f t="shared" si="4"/>
        <v>53.05</v>
      </c>
      <c r="O45" s="81">
        <f>IFERROR(VLOOKUP($G45,'321買'!A:E,3,0),"'沒有資料'")</f>
        <v>2</v>
      </c>
      <c r="P45" s="380">
        <f>IFERROR(VLOOKUP($G45,'321買'!$A:$G,7,0),"'沒有資料'")</f>
        <v>706</v>
      </c>
      <c r="R45" s="297">
        <f>IFERROR(RANK(VLOOKUP($G45,連買!$A:$D,4,0),連買!$D:$D,0),"'沒有資料'")</f>
        <v>343</v>
      </c>
      <c r="S45" s="34">
        <v>1</v>
      </c>
      <c r="T45" s="353"/>
      <c r="U45" s="95">
        <v>3.29</v>
      </c>
      <c r="V45" s="36">
        <f>RTD("money.excel",,"4128","Price")</f>
        <v>59.4</v>
      </c>
      <c r="W45" s="66">
        <f>60.3</f>
        <v>60.3</v>
      </c>
      <c r="X45" s="15">
        <f t="shared" si="5"/>
        <v>-0.89999999999999858</v>
      </c>
      <c r="Y45" s="3">
        <f t="shared" si="6"/>
        <v>-1.4925373134328335E-2</v>
      </c>
      <c r="Z45" s="102" t="s">
        <v>1801</v>
      </c>
      <c r="AA45" s="406"/>
      <c r="AB45" s="407"/>
      <c r="AC45" s="408"/>
      <c r="AD45" s="16" t="s">
        <v>613</v>
      </c>
      <c r="AE45" s="84">
        <v>44313</v>
      </c>
      <c r="AG45" s="33">
        <f t="shared" si="7"/>
        <v>-44313</v>
      </c>
      <c r="AH45" s="41" t="s">
        <v>1128</v>
      </c>
      <c r="AI45" s="264"/>
      <c r="AJ45" s="8"/>
    </row>
    <row r="46" spans="1:36">
      <c r="A46" s="146" t="s">
        <v>2115</v>
      </c>
      <c r="B46" s="79">
        <v>352</v>
      </c>
      <c r="C46" s="80">
        <v>-330</v>
      </c>
      <c r="D46" s="79">
        <v>49</v>
      </c>
      <c r="E46" s="79">
        <v>50</v>
      </c>
      <c r="F46" s="6">
        <v>-20.73</v>
      </c>
      <c r="G46" s="80">
        <v>4128</v>
      </c>
      <c r="H46" s="30" t="s">
        <v>1469</v>
      </c>
      <c r="I46" s="16" t="s">
        <v>613</v>
      </c>
      <c r="J46" s="73">
        <v>47.87</v>
      </c>
      <c r="K46" s="73">
        <v>5.18</v>
      </c>
      <c r="N46" s="318">
        <f t="shared" si="4"/>
        <v>53.05</v>
      </c>
      <c r="O46" s="81">
        <f>IFERROR(VLOOKUP($G46,'321買'!A:E,3,0),"'沒有資料'")</f>
        <v>2</v>
      </c>
      <c r="P46" s="380">
        <f>IFERROR(VLOOKUP($G46,'321買'!$A:$G,7,0),"'沒有資料'")</f>
        <v>706</v>
      </c>
      <c r="R46" s="297">
        <f>IFERROR(RANK(VLOOKUP($G46,連買!$A:$D,4,0),連買!$D:$D,0),"'沒有資料'")</f>
        <v>343</v>
      </c>
      <c r="S46" s="34">
        <v>1</v>
      </c>
      <c r="T46" s="353"/>
      <c r="U46" s="95">
        <v>3.29</v>
      </c>
      <c r="V46" s="36">
        <f>RTD("money.excel",,"4128","Price")</f>
        <v>59.4</v>
      </c>
      <c r="W46" s="66">
        <f>64</f>
        <v>64</v>
      </c>
      <c r="X46" s="15">
        <f t="shared" si="5"/>
        <v>-4.6000000000000014</v>
      </c>
      <c r="Y46" s="3">
        <f t="shared" si="6"/>
        <v>-7.1875000000000022E-2</v>
      </c>
      <c r="Z46" s="102" t="s">
        <v>1801</v>
      </c>
      <c r="AA46" s="406"/>
      <c r="AB46" s="407"/>
      <c r="AC46" s="408"/>
      <c r="AD46" s="16" t="s">
        <v>613</v>
      </c>
      <c r="AE46" s="84">
        <v>44307</v>
      </c>
      <c r="AG46" s="33">
        <f t="shared" si="7"/>
        <v>-44307</v>
      </c>
      <c r="AH46" s="41" t="s">
        <v>1128</v>
      </c>
      <c r="AI46" s="264"/>
      <c r="AJ46" s="8"/>
    </row>
    <row r="47" spans="1:36">
      <c r="A47" s="146" t="s">
        <v>2115</v>
      </c>
      <c r="B47" s="79">
        <v>352</v>
      </c>
      <c r="C47" s="80">
        <v>-330</v>
      </c>
      <c r="D47" s="79">
        <v>49</v>
      </c>
      <c r="E47" s="79">
        <v>50</v>
      </c>
      <c r="F47" s="6">
        <v>-20.73</v>
      </c>
      <c r="G47" s="80">
        <v>4128</v>
      </c>
      <c r="H47" s="30" t="s">
        <v>1469</v>
      </c>
      <c r="I47" s="16" t="s">
        <v>613</v>
      </c>
      <c r="J47" s="73">
        <v>47.87</v>
      </c>
      <c r="K47" s="73">
        <v>5.18</v>
      </c>
      <c r="N47" s="318">
        <f t="shared" si="4"/>
        <v>53.05</v>
      </c>
      <c r="O47" s="81">
        <f>IFERROR(VLOOKUP($G47,'321買'!A:E,3,0),"'沒有資料'")</f>
        <v>2</v>
      </c>
      <c r="P47" s="380">
        <f>IFERROR(VLOOKUP($G47,'321買'!$A:$G,7,0),"'沒有資料'")</f>
        <v>706</v>
      </c>
      <c r="R47" s="297">
        <f>IFERROR(RANK(VLOOKUP($G47,連買!$A:$D,4,0),連買!$D:$D,0),"'沒有資料'")</f>
        <v>343</v>
      </c>
      <c r="S47" s="34">
        <v>1</v>
      </c>
      <c r="T47" s="353"/>
      <c r="U47" s="95">
        <v>3.29</v>
      </c>
      <c r="V47" s="36">
        <f>RTD("money.excel",,"4128","Price")</f>
        <v>59.4</v>
      </c>
      <c r="W47" s="66">
        <f>63.5</f>
        <v>63.5</v>
      </c>
      <c r="X47" s="15">
        <f t="shared" si="5"/>
        <v>-4.1000000000000014</v>
      </c>
      <c r="Y47" s="3">
        <f t="shared" si="6"/>
        <v>-6.4566929133858295E-2</v>
      </c>
      <c r="Z47" s="102" t="s">
        <v>1801</v>
      </c>
      <c r="AA47" s="126"/>
      <c r="AD47" s="16" t="s">
        <v>613</v>
      </c>
      <c r="AE47" s="84">
        <v>44307</v>
      </c>
      <c r="AG47" s="33">
        <f t="shared" si="7"/>
        <v>-44307</v>
      </c>
      <c r="AH47" s="41" t="s">
        <v>1128</v>
      </c>
      <c r="AI47" s="264"/>
      <c r="AJ47" s="8"/>
    </row>
    <row r="48" spans="1:36">
      <c r="A48" s="146" t="s">
        <v>2115</v>
      </c>
      <c r="B48" s="79">
        <v>352</v>
      </c>
      <c r="C48" s="80">
        <v>-330</v>
      </c>
      <c r="D48" s="79">
        <v>49</v>
      </c>
      <c r="E48" s="79">
        <v>50</v>
      </c>
      <c r="F48" s="6">
        <v>-20.73</v>
      </c>
      <c r="G48" s="80">
        <v>4128</v>
      </c>
      <c r="H48" s="30" t="s">
        <v>1469</v>
      </c>
      <c r="I48" s="16" t="s">
        <v>613</v>
      </c>
      <c r="J48" s="73">
        <v>47.87</v>
      </c>
      <c r="K48" s="73">
        <v>5.18</v>
      </c>
      <c r="N48" s="318">
        <f t="shared" si="4"/>
        <v>53.05</v>
      </c>
      <c r="O48" s="81">
        <f>IFERROR(VLOOKUP($G48,'321買'!A:E,3,0),"'沒有資料'")</f>
        <v>2</v>
      </c>
      <c r="P48" s="380">
        <f>IFERROR(VLOOKUP($G48,'321買'!$A:$G,7,0),"'沒有資料'")</f>
        <v>706</v>
      </c>
      <c r="R48" s="297">
        <f>IFERROR(RANK(VLOOKUP($G48,連買!$A:$D,4,0),連買!$D:$D,0),"'沒有資料'")</f>
        <v>343</v>
      </c>
      <c r="S48" s="34">
        <v>1</v>
      </c>
      <c r="T48" s="353"/>
      <c r="U48" s="95">
        <v>3.29</v>
      </c>
      <c r="V48" s="36">
        <f>RTD("money.excel",,"4128","Price")</f>
        <v>59.4</v>
      </c>
      <c r="W48" s="66">
        <f>63.7</f>
        <v>63.7</v>
      </c>
      <c r="X48" s="15">
        <f t="shared" si="5"/>
        <v>-4.3000000000000043</v>
      </c>
      <c r="Y48" s="3">
        <f t="shared" si="6"/>
        <v>-6.7503924646781857E-2</v>
      </c>
      <c r="Z48" s="102" t="s">
        <v>1801</v>
      </c>
      <c r="AA48" s="126"/>
      <c r="AD48" s="16" t="s">
        <v>613</v>
      </c>
      <c r="AE48" s="84">
        <v>44305</v>
      </c>
      <c r="AG48" s="33">
        <f t="shared" si="7"/>
        <v>-44305</v>
      </c>
      <c r="AH48" s="41" t="s">
        <v>1128</v>
      </c>
      <c r="AI48" s="41" t="s">
        <v>3361</v>
      </c>
      <c r="AJ48" s="8"/>
    </row>
    <row r="49" spans="1:40" s="268" customFormat="1">
      <c r="A49" s="145"/>
      <c r="B49" s="79"/>
      <c r="C49" s="79"/>
      <c r="D49" s="79"/>
      <c r="E49" s="79"/>
      <c r="F49" s="6"/>
      <c r="G49" s="41"/>
      <c r="H49" s="8"/>
      <c r="I49" s="158"/>
      <c r="J49" s="323"/>
      <c r="K49" s="323"/>
      <c r="L49" s="323"/>
      <c r="M49" s="318"/>
      <c r="N49" s="318"/>
      <c r="O49" s="350"/>
      <c r="P49" s="374"/>
      <c r="Q49" s="302"/>
      <c r="R49" s="151"/>
      <c r="S49" s="197"/>
      <c r="T49" s="353"/>
      <c r="U49" s="95"/>
      <c r="V49" s="170">
        <f>SUM(V43:V48)</f>
        <v>356.4</v>
      </c>
      <c r="W49" s="160">
        <f>SUM(W43:W48)</f>
        <v>375.09999999999997</v>
      </c>
      <c r="X49" s="167">
        <f t="shared" si="5"/>
        <v>-18.699999999999989</v>
      </c>
      <c r="Y49" s="163">
        <f>X49/W49</f>
        <v>-4.9853372434017572E-2</v>
      </c>
      <c r="Z49" s="116"/>
      <c r="AA49" s="126"/>
      <c r="AB49" s="251"/>
      <c r="AC49" s="410"/>
      <c r="AD49" s="158">
        <f>V49*(0.001425*0.5)+V49*0.003+W49*(0.001425*0.5)</f>
        <v>1.5903937500000001</v>
      </c>
      <c r="AE49" s="6">
        <f>X49-AD49</f>
        <v>-20.290393749999989</v>
      </c>
      <c r="AF49" s="83"/>
      <c r="AG49" s="33"/>
      <c r="AH49" s="41" t="s">
        <v>3515</v>
      </c>
      <c r="AI49" s="168"/>
    </row>
    <row r="50" spans="1:40" s="268" customFormat="1">
      <c r="A50" s="145"/>
      <c r="B50" s="79"/>
      <c r="C50" s="79"/>
      <c r="D50" s="79"/>
      <c r="E50" s="79"/>
      <c r="F50" s="6"/>
      <c r="G50" s="41"/>
      <c r="H50" s="8"/>
      <c r="I50" s="158"/>
      <c r="J50" s="323"/>
      <c r="K50" s="323"/>
      <c r="L50" s="323"/>
      <c r="M50" s="318"/>
      <c r="N50" s="318"/>
      <c r="O50" s="350"/>
      <c r="P50" s="374"/>
      <c r="Q50" s="302"/>
      <c r="R50" s="151"/>
      <c r="S50" s="197"/>
      <c r="T50" s="353"/>
      <c r="U50" s="95"/>
      <c r="V50" s="170"/>
      <c r="W50" s="160"/>
      <c r="X50" s="167"/>
      <c r="Y50" s="169"/>
      <c r="Z50" s="116"/>
      <c r="AA50" s="168"/>
      <c r="AC50" s="411"/>
      <c r="AD50" s="158"/>
      <c r="AE50" s="6"/>
      <c r="AF50" s="83"/>
      <c r="AG50" s="33"/>
      <c r="AH50" s="41"/>
      <c r="AI50" s="168"/>
    </row>
    <row r="51" spans="1:40" s="268" customFormat="1">
      <c r="A51" s="130" t="s">
        <v>1732</v>
      </c>
      <c r="B51" s="91" t="s">
        <v>1588</v>
      </c>
      <c r="C51" s="91" t="s">
        <v>1589</v>
      </c>
      <c r="D51" s="91" t="s">
        <v>1590</v>
      </c>
      <c r="E51" s="91" t="s">
        <v>1591</v>
      </c>
      <c r="F51" s="8" t="s">
        <v>1066</v>
      </c>
      <c r="G51" s="26" t="s">
        <v>3691</v>
      </c>
      <c r="H51" s="55" t="s">
        <v>322</v>
      </c>
      <c r="I51" s="1" t="s">
        <v>2425</v>
      </c>
      <c r="J51" s="317" t="s">
        <v>1467</v>
      </c>
      <c r="K51" s="317" t="s">
        <v>1157</v>
      </c>
      <c r="L51" s="317" t="s">
        <v>284</v>
      </c>
      <c r="M51" s="317" t="s">
        <v>1059</v>
      </c>
      <c r="N51" s="317" t="s">
        <v>5048</v>
      </c>
      <c r="O51" s="26" t="s">
        <v>5107</v>
      </c>
      <c r="P51" s="373" t="s">
        <v>5059</v>
      </c>
      <c r="Q51" s="303" t="s">
        <v>5087</v>
      </c>
      <c r="R51" s="345" t="s">
        <v>5059</v>
      </c>
      <c r="S51" s="14" t="s">
        <v>66</v>
      </c>
      <c r="T51" s="351" t="s">
        <v>5076</v>
      </c>
      <c r="U51" s="68" t="s">
        <v>3844</v>
      </c>
      <c r="V51" s="28" t="s">
        <v>3860</v>
      </c>
      <c r="W51" s="17" t="s">
        <v>1405</v>
      </c>
      <c r="X51" s="14" t="s">
        <v>2430</v>
      </c>
      <c r="Y51" s="21" t="s">
        <v>1477</v>
      </c>
      <c r="Z51" s="51" t="s">
        <v>6627</v>
      </c>
      <c r="AA51" s="406" t="s">
        <v>8647</v>
      </c>
      <c r="AB51" s="407" t="s">
        <v>8648</v>
      </c>
      <c r="AC51" s="408" t="s">
        <v>8649</v>
      </c>
      <c r="AD51" s="1" t="s">
        <v>2425</v>
      </c>
      <c r="AE51" s="71" t="s">
        <v>1406</v>
      </c>
      <c r="AF51" s="72" t="s">
        <v>1163</v>
      </c>
      <c r="AG51" s="32" t="s">
        <v>1164</v>
      </c>
      <c r="AH51" s="142"/>
      <c r="AI51" s="168"/>
    </row>
    <row r="52" spans="1:40">
      <c r="A52" s="130" t="s">
        <v>3176</v>
      </c>
      <c r="B52" s="79">
        <v>763</v>
      </c>
      <c r="C52" s="79">
        <v>854</v>
      </c>
      <c r="D52" s="80">
        <v>-11</v>
      </c>
      <c r="E52" s="80">
        <v>-17</v>
      </c>
      <c r="F52" s="57">
        <v>16.18</v>
      </c>
      <c r="G52" s="80">
        <v>5223</v>
      </c>
      <c r="H52" s="30" t="s">
        <v>1469</v>
      </c>
      <c r="I52" s="16" t="s">
        <v>2396</v>
      </c>
      <c r="J52" s="323">
        <v>53.32</v>
      </c>
      <c r="K52" s="323">
        <v>43.8</v>
      </c>
      <c r="L52" s="323">
        <v>18.989999999999998</v>
      </c>
      <c r="N52" s="73">
        <f>K52+J52+L52</f>
        <v>116.11</v>
      </c>
      <c r="O52" s="81">
        <f>IFERROR(VLOOKUP($G52,'321買'!A:E,3,0),"'沒有資料'")</f>
        <v>3</v>
      </c>
      <c r="P52" s="380">
        <f>IFERROR(VLOOKUP($G52,'321買'!$A:$G,7,0),"'沒有資料'")</f>
        <v>636</v>
      </c>
      <c r="R52" s="297">
        <f>IFERROR(RANK(VLOOKUP($G52,連買!$A:$D,4,0),連買!$D:$D,0),"'沒有資料'")</f>
        <v>246</v>
      </c>
      <c r="S52" s="34">
        <v>2.7</v>
      </c>
      <c r="T52" s="353"/>
      <c r="U52" s="57">
        <v>8.0500000000000007</v>
      </c>
      <c r="V52" s="13">
        <f>RTD("money.excel",,"5223","Price")</f>
        <v>51.9</v>
      </c>
      <c r="W52" s="66">
        <v>53.3</v>
      </c>
      <c r="X52" s="15">
        <f>V52-W52</f>
        <v>-1.3999999999999986</v>
      </c>
      <c r="Y52" s="3">
        <f>X52/W52</f>
        <v>-2.6266416510318923E-2</v>
      </c>
      <c r="Z52" s="144" t="s">
        <v>1997</v>
      </c>
      <c r="AA52" s="126"/>
      <c r="AD52" s="16" t="s">
        <v>2396</v>
      </c>
      <c r="AE52" s="84">
        <v>44452</v>
      </c>
      <c r="AG52" s="33">
        <f>AF52-AE52</f>
        <v>-44452</v>
      </c>
      <c r="AH52" s="41" t="s">
        <v>1128</v>
      </c>
      <c r="AJ52" s="8"/>
    </row>
    <row r="53" spans="1:40">
      <c r="A53" s="130" t="s">
        <v>3176</v>
      </c>
      <c r="B53" s="79">
        <v>763</v>
      </c>
      <c r="C53" s="79">
        <v>854</v>
      </c>
      <c r="D53" s="80">
        <v>-11</v>
      </c>
      <c r="E53" s="80">
        <v>-17</v>
      </c>
      <c r="F53" s="57">
        <v>16.18</v>
      </c>
      <c r="G53" s="80">
        <v>5223</v>
      </c>
      <c r="H53" s="30" t="s">
        <v>1469</v>
      </c>
      <c r="I53" s="16" t="s">
        <v>2396</v>
      </c>
      <c r="J53" s="323">
        <v>53.32</v>
      </c>
      <c r="K53" s="323">
        <v>43.8</v>
      </c>
      <c r="L53" s="323">
        <v>18.989999999999998</v>
      </c>
      <c r="N53" s="73">
        <f>K53+J53+L53</f>
        <v>116.11</v>
      </c>
      <c r="O53" s="81">
        <f>IFERROR(VLOOKUP($G53,'321買'!A:E,3,0),"'沒有資料'")</f>
        <v>3</v>
      </c>
      <c r="P53" s="380">
        <f>IFERROR(VLOOKUP($G53,'321買'!$A:$G,7,0),"'沒有資料'")</f>
        <v>636</v>
      </c>
      <c r="R53" s="297">
        <f>IFERROR(RANK(VLOOKUP($G53,連買!$A:$D,4,0),連買!$D:$D,0),"'沒有資料'")</f>
        <v>246</v>
      </c>
      <c r="S53" s="34">
        <v>2.7</v>
      </c>
      <c r="T53" s="353"/>
      <c r="U53" s="57">
        <v>8.0500000000000007</v>
      </c>
      <c r="V53" s="13">
        <f>RTD("money.excel",,"5223","Price")</f>
        <v>51.9</v>
      </c>
      <c r="W53" s="66">
        <f>68.1-3.41</f>
        <v>64.69</v>
      </c>
      <c r="X53" s="15">
        <f>V53-W53</f>
        <v>-12.79</v>
      </c>
      <c r="Y53" s="3">
        <f>X53/W53</f>
        <v>-0.19771216571340239</v>
      </c>
      <c r="Z53" s="144" t="s">
        <v>1997</v>
      </c>
      <c r="AA53" s="126"/>
      <c r="AD53" s="16" t="s">
        <v>2396</v>
      </c>
      <c r="AE53" s="84">
        <v>44344</v>
      </c>
      <c r="AG53" s="33">
        <f>AF53-AE53</f>
        <v>-44344</v>
      </c>
      <c r="AH53" s="41" t="s">
        <v>1128</v>
      </c>
      <c r="AJ53" s="8"/>
    </row>
    <row r="54" spans="1:40">
      <c r="A54" s="130" t="s">
        <v>3176</v>
      </c>
      <c r="B54" s="79">
        <v>763</v>
      </c>
      <c r="C54" s="79">
        <v>854</v>
      </c>
      <c r="D54" s="80">
        <v>-11</v>
      </c>
      <c r="E54" s="80">
        <v>-17</v>
      </c>
      <c r="F54" s="57">
        <v>16.18</v>
      </c>
      <c r="G54" s="80">
        <v>5223</v>
      </c>
      <c r="H54" s="30" t="s">
        <v>1469</v>
      </c>
      <c r="I54" s="16" t="s">
        <v>2396</v>
      </c>
      <c r="J54" s="323">
        <v>53.32</v>
      </c>
      <c r="K54" s="323">
        <v>43.8</v>
      </c>
      <c r="L54" s="323">
        <v>18.989999999999998</v>
      </c>
      <c r="N54" s="73">
        <f>K54+J54+L54</f>
        <v>116.11</v>
      </c>
      <c r="O54" s="81">
        <f>IFERROR(VLOOKUP($G54,'321買'!A:E,3,0),"'沒有資料'")</f>
        <v>3</v>
      </c>
      <c r="P54" s="380">
        <f>IFERROR(VLOOKUP($G54,'321買'!$A:$G,7,0),"'沒有資料'")</f>
        <v>636</v>
      </c>
      <c r="R54" s="297">
        <f>IFERROR(RANK(VLOOKUP($G54,連買!$A:$D,4,0),連買!$D:$D,0),"'沒有資料'")</f>
        <v>246</v>
      </c>
      <c r="S54" s="34">
        <v>2.7</v>
      </c>
      <c r="T54" s="353"/>
      <c r="U54" s="57">
        <v>8.0500000000000007</v>
      </c>
      <c r="V54" s="13">
        <f>RTD("money.excel",,"5223","Price")</f>
        <v>51.9</v>
      </c>
      <c r="W54" s="66">
        <f>64.5-3.41</f>
        <v>61.09</v>
      </c>
      <c r="X54" s="15">
        <f>V54-W54</f>
        <v>-9.1900000000000048</v>
      </c>
      <c r="Y54" s="3">
        <f>X54/W54</f>
        <v>-0.15043378621705686</v>
      </c>
      <c r="Z54" s="144" t="s">
        <v>1997</v>
      </c>
      <c r="AA54" s="406"/>
      <c r="AB54" s="407"/>
      <c r="AC54" s="408"/>
      <c r="AD54" s="16" t="s">
        <v>2396</v>
      </c>
      <c r="AE54" s="84">
        <v>44329</v>
      </c>
      <c r="AG54" s="33">
        <f>AF54-AE54</f>
        <v>-44329</v>
      </c>
      <c r="AH54" s="41" t="s">
        <v>1128</v>
      </c>
      <c r="AJ54" s="8"/>
    </row>
    <row r="55" spans="1:40">
      <c r="A55" s="130" t="s">
        <v>3176</v>
      </c>
      <c r="B55" s="79">
        <v>763</v>
      </c>
      <c r="C55" s="79">
        <v>854</v>
      </c>
      <c r="D55" s="80">
        <v>-11</v>
      </c>
      <c r="E55" s="80">
        <v>-17</v>
      </c>
      <c r="F55" s="57">
        <v>16.18</v>
      </c>
      <c r="G55" s="80">
        <v>5223</v>
      </c>
      <c r="H55" s="30" t="s">
        <v>1469</v>
      </c>
      <c r="I55" s="16" t="s">
        <v>2396</v>
      </c>
      <c r="J55" s="323">
        <v>53.32</v>
      </c>
      <c r="K55" s="323">
        <v>43.8</v>
      </c>
      <c r="L55" s="323">
        <v>18.989999999999998</v>
      </c>
      <c r="N55" s="73">
        <f>K55+J55+L55</f>
        <v>116.11</v>
      </c>
      <c r="O55" s="81">
        <f>IFERROR(VLOOKUP($G55,'321買'!A:E,3,0),"'沒有資料'")</f>
        <v>3</v>
      </c>
      <c r="P55" s="380">
        <f>IFERROR(VLOOKUP($G55,'321買'!$A:$G,7,0),"'沒有資料'")</f>
        <v>636</v>
      </c>
      <c r="R55" s="297">
        <f>IFERROR(RANK(VLOOKUP($G55,連買!$A:$D,4,0),連買!$D:$D,0),"'沒有資料'")</f>
        <v>246</v>
      </c>
      <c r="S55" s="34">
        <v>2.7</v>
      </c>
      <c r="T55" s="353"/>
      <c r="U55" s="57">
        <v>8.0500000000000007</v>
      </c>
      <c r="V55" s="13">
        <f>RTD("money.excel",,"5223","Price")</f>
        <v>51.9</v>
      </c>
      <c r="W55" s="66">
        <f>83.1-3.41</f>
        <v>79.69</v>
      </c>
      <c r="X55" s="15">
        <f>V55-W55</f>
        <v>-27.79</v>
      </c>
      <c r="Y55" s="3">
        <f>X55/W55</f>
        <v>-0.34872631446856567</v>
      </c>
      <c r="Z55" s="144" t="s">
        <v>1997</v>
      </c>
      <c r="AA55" s="126"/>
      <c r="AD55" s="16" t="s">
        <v>2396</v>
      </c>
      <c r="AE55" s="84">
        <v>44313</v>
      </c>
      <c r="AG55" s="33">
        <f>AF55-AE55</f>
        <v>-44313</v>
      </c>
      <c r="AH55" s="41" t="s">
        <v>1128</v>
      </c>
      <c r="AJ55" s="8"/>
    </row>
    <row r="56" spans="1:40" s="268" customFormat="1">
      <c r="A56" s="145"/>
      <c r="B56" s="79"/>
      <c r="C56" s="79"/>
      <c r="D56" s="79"/>
      <c r="E56" s="79"/>
      <c r="F56" s="6"/>
      <c r="G56" s="41"/>
      <c r="H56" s="8"/>
      <c r="I56" s="158"/>
      <c r="J56" s="323"/>
      <c r="K56" s="323"/>
      <c r="L56" s="323"/>
      <c r="M56" s="318"/>
      <c r="N56" s="318"/>
      <c r="O56" s="350"/>
      <c r="P56" s="374"/>
      <c r="Q56" s="302"/>
      <c r="R56" s="297"/>
      <c r="S56" s="197"/>
      <c r="T56" s="353"/>
      <c r="U56" s="95"/>
      <c r="V56" s="170">
        <f>SUM(V52:V55)</f>
        <v>207.6</v>
      </c>
      <c r="W56" s="160">
        <f>SUM(W52:W55)</f>
        <v>258.77</v>
      </c>
      <c r="X56" s="167">
        <f>V56-W56</f>
        <v>-51.169999999999987</v>
      </c>
      <c r="Y56" s="169">
        <f>X56/W56</f>
        <v>-0.1977431696100784</v>
      </c>
      <c r="Z56" s="116"/>
      <c r="AA56" s="126"/>
      <c r="AB56" s="251"/>
      <c r="AC56" s="410"/>
      <c r="AD56" s="158">
        <f>V56*(0.001425*0.5)+V56*0.003+W56*(0.001425*0.5)</f>
        <v>0.95508862500000002</v>
      </c>
      <c r="AE56" s="6">
        <f>X56-AD56</f>
        <v>-52.125088624999989</v>
      </c>
      <c r="AF56" s="83"/>
      <c r="AG56" s="33"/>
      <c r="AH56" s="41" t="s">
        <v>1129</v>
      </c>
      <c r="AI56" s="168"/>
    </row>
    <row r="57" spans="1:40" s="268" customFormat="1">
      <c r="A57" s="130"/>
      <c r="B57" s="91"/>
      <c r="C57" s="91"/>
      <c r="D57" s="91"/>
      <c r="E57" s="91"/>
      <c r="F57" s="8"/>
      <c r="G57" s="25"/>
      <c r="H57" s="55"/>
      <c r="I57" s="1"/>
      <c r="J57" s="317"/>
      <c r="K57" s="317"/>
      <c r="L57" s="317"/>
      <c r="M57" s="317"/>
      <c r="N57" s="317"/>
      <c r="O57" s="350"/>
      <c r="P57" s="373"/>
      <c r="Q57" s="302"/>
      <c r="R57" s="345"/>
      <c r="S57" s="14"/>
      <c r="T57" s="355"/>
      <c r="U57" s="68"/>
      <c r="V57" s="28"/>
      <c r="W57" s="17"/>
      <c r="X57" s="14"/>
      <c r="Y57" s="21"/>
      <c r="Z57" s="25"/>
      <c r="AA57" s="126"/>
      <c r="AB57" s="251"/>
      <c r="AC57" s="410"/>
      <c r="AD57" s="1"/>
      <c r="AE57" s="71"/>
      <c r="AF57" s="72"/>
      <c r="AG57" s="32"/>
      <c r="AH57" s="142"/>
      <c r="AI57" s="168"/>
    </row>
    <row r="58" spans="1:40" s="268" customFormat="1">
      <c r="A58" s="130" t="s">
        <v>1732</v>
      </c>
      <c r="B58" s="91" t="s">
        <v>1588</v>
      </c>
      <c r="C58" s="91" t="s">
        <v>1589</v>
      </c>
      <c r="D58" s="91" t="s">
        <v>1590</v>
      </c>
      <c r="E58" s="91" t="s">
        <v>1591</v>
      </c>
      <c r="F58" s="8" t="s">
        <v>1066</v>
      </c>
      <c r="G58" s="26" t="s">
        <v>3691</v>
      </c>
      <c r="H58" s="55" t="s">
        <v>322</v>
      </c>
      <c r="I58" s="1" t="s">
        <v>69</v>
      </c>
      <c r="J58" s="317" t="s">
        <v>1467</v>
      </c>
      <c r="K58" s="317" t="s">
        <v>1157</v>
      </c>
      <c r="L58" s="317" t="s">
        <v>284</v>
      </c>
      <c r="M58" s="317" t="s">
        <v>1059</v>
      </c>
      <c r="N58" s="317" t="s">
        <v>5048</v>
      </c>
      <c r="O58" s="26" t="s">
        <v>5107</v>
      </c>
      <c r="P58" s="373" t="s">
        <v>5059</v>
      </c>
      <c r="Q58" s="303" t="s">
        <v>5087</v>
      </c>
      <c r="R58" s="345" t="s">
        <v>5059</v>
      </c>
      <c r="S58" s="14" t="s">
        <v>66</v>
      </c>
      <c r="T58" s="351" t="s">
        <v>5076</v>
      </c>
      <c r="U58" s="68" t="s">
        <v>3844</v>
      </c>
      <c r="V58" s="28" t="s">
        <v>3860</v>
      </c>
      <c r="W58" s="17" t="s">
        <v>1405</v>
      </c>
      <c r="X58" s="14" t="s">
        <v>2430</v>
      </c>
      <c r="Y58" s="21" t="s">
        <v>1477</v>
      </c>
      <c r="Z58" s="51" t="s">
        <v>6627</v>
      </c>
      <c r="AA58" s="406" t="s">
        <v>8647</v>
      </c>
      <c r="AB58" s="407" t="s">
        <v>8648</v>
      </c>
      <c r="AC58" s="408" t="s">
        <v>8649</v>
      </c>
      <c r="AD58" s="1" t="s">
        <v>69</v>
      </c>
      <c r="AE58" s="71" t="s">
        <v>1406</v>
      </c>
      <c r="AF58" s="72" t="s">
        <v>1163</v>
      </c>
      <c r="AG58" s="32" t="s">
        <v>1164</v>
      </c>
      <c r="AH58" s="142"/>
      <c r="AI58" s="168"/>
    </row>
    <row r="59" spans="1:40">
      <c r="A59" s="146" t="s">
        <v>3214</v>
      </c>
      <c r="B59" s="79">
        <v>24</v>
      </c>
      <c r="C59" s="80">
        <v>-19</v>
      </c>
      <c r="D59" s="79">
        <v>0</v>
      </c>
      <c r="E59" s="80">
        <v>-8</v>
      </c>
      <c r="F59" s="6">
        <v>5.91</v>
      </c>
      <c r="G59" s="79">
        <v>6179</v>
      </c>
      <c r="H59" s="8" t="s">
        <v>235</v>
      </c>
      <c r="I59" s="16" t="s">
        <v>647</v>
      </c>
      <c r="J59" s="323">
        <v>45.15</v>
      </c>
      <c r="K59" s="323">
        <v>0.88</v>
      </c>
      <c r="L59" s="73">
        <v>23.13</v>
      </c>
      <c r="N59" s="318">
        <f>K59+J59+L59</f>
        <v>69.16</v>
      </c>
      <c r="O59" s="81">
        <f>IFERROR(VLOOKUP($G59,'321買'!A:E,3,0),"'沒有資料'")</f>
        <v>1</v>
      </c>
      <c r="P59" s="380">
        <f>IFERROR(VLOOKUP($G59,'321買'!$A:$G,7,0),"'沒有資料'")</f>
        <v>783</v>
      </c>
      <c r="R59" s="297">
        <f>IFERROR(RANK(VLOOKUP($G59,連買!$A:$D,4,0),連買!$D:$D,0),"'沒有資料'")</f>
        <v>810</v>
      </c>
      <c r="S59" s="34">
        <v>1.5</v>
      </c>
      <c r="T59" s="353"/>
      <c r="U59" s="95">
        <v>2.72</v>
      </c>
      <c r="V59" s="36">
        <f>RTD("money.excel",,"6179","Price")</f>
        <v>31.6</v>
      </c>
      <c r="W59" s="66">
        <v>30.75</v>
      </c>
      <c r="X59" s="15">
        <f>V59-W59</f>
        <v>0.85000000000000142</v>
      </c>
      <c r="Y59" s="3">
        <f>X59/W59</f>
        <v>2.7642276422764275E-2</v>
      </c>
      <c r="Z59" s="102" t="s">
        <v>1801</v>
      </c>
      <c r="AA59" s="126"/>
      <c r="AD59" s="16" t="s">
        <v>647</v>
      </c>
      <c r="AE59" s="84">
        <v>44526</v>
      </c>
      <c r="AG59" s="33">
        <f>AF59-AE59</f>
        <v>-44526</v>
      </c>
      <c r="AH59" s="41" t="s">
        <v>1128</v>
      </c>
      <c r="AJ59" s="16"/>
      <c r="AK59" s="219"/>
      <c r="AL59" s="258"/>
      <c r="AM59" s="269"/>
      <c r="AN59" s="271"/>
    </row>
    <row r="60" spans="1:40" s="268" customFormat="1">
      <c r="A60" s="145"/>
      <c r="B60" s="79"/>
      <c r="C60" s="79"/>
      <c r="D60" s="79"/>
      <c r="E60" s="79"/>
      <c r="F60" s="6"/>
      <c r="G60" s="41"/>
      <c r="H60" s="8"/>
      <c r="I60" s="158"/>
      <c r="J60" s="323"/>
      <c r="K60" s="323"/>
      <c r="L60" s="323"/>
      <c r="M60" s="318"/>
      <c r="N60" s="318"/>
      <c r="O60" s="350"/>
      <c r="P60" s="374"/>
      <c r="Q60" s="302"/>
      <c r="R60" s="151"/>
      <c r="S60" s="197"/>
      <c r="T60" s="353"/>
      <c r="U60" s="95"/>
      <c r="V60" s="170">
        <f>SUM(V59)</f>
        <v>31.6</v>
      </c>
      <c r="W60" s="160">
        <f>SUM(W59)</f>
        <v>30.75</v>
      </c>
      <c r="X60" s="167">
        <f>V60-W60</f>
        <v>0.85000000000000142</v>
      </c>
      <c r="Y60" s="169">
        <f>X60/W60</f>
        <v>2.7642276422764275E-2</v>
      </c>
      <c r="Z60" s="116"/>
      <c r="AA60" s="126"/>
      <c r="AB60" s="251"/>
      <c r="AC60" s="410"/>
      <c r="AD60" s="158">
        <f>V60*(0.001425*0.5)+V60*0.003+W60*(0.001425*0.5)</f>
        <v>0.13922437500000001</v>
      </c>
      <c r="AE60" s="6">
        <f>X60-AD60</f>
        <v>0.71077562500000147</v>
      </c>
      <c r="AF60" s="83"/>
      <c r="AG60" s="33"/>
      <c r="AH60" s="41" t="s">
        <v>1128</v>
      </c>
      <c r="AI60" s="168"/>
    </row>
    <row r="61" spans="1:40" s="268" customFormat="1">
      <c r="A61" s="145"/>
      <c r="B61" s="79"/>
      <c r="C61" s="79"/>
      <c r="D61" s="79"/>
      <c r="E61" s="79"/>
      <c r="F61" s="6"/>
      <c r="G61" s="41"/>
      <c r="H61" s="8"/>
      <c r="I61" s="158"/>
      <c r="J61" s="323"/>
      <c r="K61" s="323"/>
      <c r="L61" s="323"/>
      <c r="M61" s="318"/>
      <c r="N61" s="318"/>
      <c r="O61" s="350"/>
      <c r="P61" s="374"/>
      <c r="Q61" s="302"/>
      <c r="R61" s="151"/>
      <c r="S61" s="197"/>
      <c r="T61" s="353"/>
      <c r="U61" s="95"/>
      <c r="V61" s="170"/>
      <c r="W61" s="160"/>
      <c r="X61" s="167"/>
      <c r="Y61" s="169"/>
      <c r="Z61" s="116"/>
      <c r="AA61" s="126"/>
      <c r="AB61" s="251"/>
      <c r="AC61" s="410"/>
      <c r="AD61" s="158"/>
      <c r="AE61" s="6"/>
      <c r="AF61" s="83"/>
      <c r="AG61" s="33"/>
      <c r="AH61" s="41"/>
      <c r="AI61" s="168"/>
    </row>
    <row r="62" spans="1:40" s="268" customFormat="1">
      <c r="A62" s="130" t="s">
        <v>1732</v>
      </c>
      <c r="B62" s="91" t="s">
        <v>1588</v>
      </c>
      <c r="C62" s="91" t="s">
        <v>1589</v>
      </c>
      <c r="D62" s="91" t="s">
        <v>1590</v>
      </c>
      <c r="E62" s="91" t="s">
        <v>1591</v>
      </c>
      <c r="F62" s="8" t="s">
        <v>1066</v>
      </c>
      <c r="G62" s="26" t="s">
        <v>3691</v>
      </c>
      <c r="H62" s="55" t="s">
        <v>322</v>
      </c>
      <c r="I62" s="1" t="s">
        <v>69</v>
      </c>
      <c r="J62" s="317" t="s">
        <v>1467</v>
      </c>
      <c r="K62" s="317" t="s">
        <v>1157</v>
      </c>
      <c r="L62" s="317" t="s">
        <v>284</v>
      </c>
      <c r="M62" s="317" t="s">
        <v>1059</v>
      </c>
      <c r="N62" s="317" t="s">
        <v>5048</v>
      </c>
      <c r="O62" s="26" t="s">
        <v>5107</v>
      </c>
      <c r="P62" s="373" t="s">
        <v>5059</v>
      </c>
      <c r="Q62" s="303" t="s">
        <v>5087</v>
      </c>
      <c r="R62" s="345" t="s">
        <v>5059</v>
      </c>
      <c r="S62" s="14" t="s">
        <v>66</v>
      </c>
      <c r="T62" s="351" t="s">
        <v>5076</v>
      </c>
      <c r="U62" s="68" t="s">
        <v>3844</v>
      </c>
      <c r="V62" s="28" t="s">
        <v>3860</v>
      </c>
      <c r="W62" s="17" t="s">
        <v>1405</v>
      </c>
      <c r="X62" s="14" t="s">
        <v>2430</v>
      </c>
      <c r="Y62" s="21" t="s">
        <v>1477</v>
      </c>
      <c r="Z62" s="51" t="s">
        <v>6627</v>
      </c>
      <c r="AA62" s="406" t="s">
        <v>8647</v>
      </c>
      <c r="AB62" s="407" t="s">
        <v>8648</v>
      </c>
      <c r="AC62" s="408" t="s">
        <v>8649</v>
      </c>
      <c r="AD62" s="1" t="s">
        <v>69</v>
      </c>
      <c r="AE62" s="71" t="s">
        <v>1406</v>
      </c>
      <c r="AF62" s="72" t="s">
        <v>1163</v>
      </c>
      <c r="AG62" s="32" t="s">
        <v>1164</v>
      </c>
      <c r="AH62" s="142"/>
      <c r="AI62" s="168"/>
    </row>
    <row r="63" spans="1:40">
      <c r="A63" s="146" t="s">
        <v>2062</v>
      </c>
      <c r="B63" s="79">
        <v>5</v>
      </c>
      <c r="C63" s="79">
        <v>70</v>
      </c>
      <c r="D63" s="79">
        <v>1</v>
      </c>
      <c r="E63" s="79">
        <v>5</v>
      </c>
      <c r="F63" s="6">
        <v>4.54</v>
      </c>
      <c r="G63" s="79">
        <v>3015</v>
      </c>
      <c r="H63" s="30" t="s">
        <v>1469</v>
      </c>
      <c r="I63" s="22" t="s">
        <v>390</v>
      </c>
      <c r="J63" s="73">
        <v>54.32</v>
      </c>
      <c r="K63" s="323">
        <v>12.24</v>
      </c>
      <c r="L63" s="73">
        <v>5.84</v>
      </c>
      <c r="N63" s="318">
        <f>K63+J63+L63</f>
        <v>72.400000000000006</v>
      </c>
      <c r="O63" s="81">
        <f>IFERROR(VLOOKUP($G63,'321買'!A:E,3,0),"'沒有資料'")</f>
        <v>0</v>
      </c>
      <c r="P63" s="380">
        <f>IFERROR(VLOOKUP($G63,'321買'!$A:$G,7,0),"'沒有資料'")</f>
        <v>911</v>
      </c>
      <c r="Q63" s="302" t="s">
        <v>3816</v>
      </c>
      <c r="R63" s="297">
        <f>IFERROR(RANK(VLOOKUP($G63,連買!$A:$D,4,0),連買!$D:$D,0),"'沒有資料'")</f>
        <v>530</v>
      </c>
      <c r="S63" s="45">
        <v>3.3</v>
      </c>
      <c r="T63" s="351"/>
      <c r="U63" s="57">
        <v>3.68</v>
      </c>
      <c r="V63" s="36">
        <f>RTD("money.excel",,"3015","Price")</f>
        <v>42.3</v>
      </c>
      <c r="W63" s="66">
        <v>44.4</v>
      </c>
      <c r="X63" s="15">
        <f>V63-W63</f>
        <v>-2.1000000000000014</v>
      </c>
      <c r="Y63" s="63">
        <f>X63/W63</f>
        <v>-4.7297297297297328E-2</v>
      </c>
      <c r="Z63" s="100" t="s">
        <v>1512</v>
      </c>
      <c r="AA63" s="126"/>
      <c r="AD63" s="22" t="s">
        <v>390</v>
      </c>
      <c r="AE63" s="84">
        <v>44539</v>
      </c>
      <c r="AG63" s="33">
        <f>AF63-AE63</f>
        <v>-44539</v>
      </c>
      <c r="AH63" s="41" t="s">
        <v>1128</v>
      </c>
      <c r="AI63" s="237"/>
      <c r="AJ63" s="22"/>
      <c r="AK63" s="219"/>
      <c r="AL63" s="258"/>
      <c r="AM63" s="269"/>
      <c r="AN63" s="272"/>
    </row>
    <row r="64" spans="1:40" s="268" customFormat="1">
      <c r="A64" s="145"/>
      <c r="B64" s="79"/>
      <c r="C64" s="79"/>
      <c r="D64" s="79"/>
      <c r="E64" s="79"/>
      <c r="F64" s="6"/>
      <c r="G64" s="41"/>
      <c r="H64" s="8"/>
      <c r="I64" s="158"/>
      <c r="J64" s="323"/>
      <c r="K64" s="323"/>
      <c r="L64" s="323"/>
      <c r="M64" s="318"/>
      <c r="N64" s="318"/>
      <c r="O64" s="350"/>
      <c r="P64" s="374"/>
      <c r="Q64" s="302"/>
      <c r="R64" s="151"/>
      <c r="S64" s="197"/>
      <c r="T64" s="351"/>
      <c r="U64" s="95"/>
      <c r="V64" s="170">
        <f>SUM(V63)</f>
        <v>42.3</v>
      </c>
      <c r="W64" s="160">
        <f>SUM(W63)</f>
        <v>44.4</v>
      </c>
      <c r="X64" s="167">
        <f>V64-W64</f>
        <v>-2.1000000000000014</v>
      </c>
      <c r="Y64" s="169">
        <f>X64/W64</f>
        <v>-4.7297297297297328E-2</v>
      </c>
      <c r="Z64" s="116"/>
      <c r="AA64" s="126"/>
      <c r="AB64" s="251"/>
      <c r="AC64" s="410"/>
      <c r="AD64" s="158">
        <f>V64*(0.001425*0.5)+V64*0.003+W64*(0.001425*0.5)</f>
        <v>0.18867374999999997</v>
      </c>
      <c r="AE64" s="6">
        <f>X64-AD64</f>
        <v>-2.2886737500000014</v>
      </c>
      <c r="AF64" s="83"/>
      <c r="AG64" s="33"/>
      <c r="AH64" s="41" t="s">
        <v>1128</v>
      </c>
      <c r="AI64" s="168"/>
    </row>
    <row r="65" spans="1:40" s="268" customFormat="1">
      <c r="A65" s="145"/>
      <c r="B65" s="79"/>
      <c r="C65" s="79"/>
      <c r="D65" s="79"/>
      <c r="E65" s="79"/>
      <c r="F65" s="6"/>
      <c r="G65" s="41"/>
      <c r="H65" s="8"/>
      <c r="I65" s="158"/>
      <c r="J65" s="323"/>
      <c r="K65" s="323"/>
      <c r="L65" s="323"/>
      <c r="M65" s="318"/>
      <c r="N65" s="318"/>
      <c r="O65" s="350"/>
      <c r="P65" s="374"/>
      <c r="Q65" s="302"/>
      <c r="R65" s="151"/>
      <c r="S65" s="197"/>
      <c r="T65" s="351"/>
      <c r="U65" s="95"/>
      <c r="V65" s="170"/>
      <c r="W65" s="160"/>
      <c r="X65" s="167"/>
      <c r="Y65" s="169"/>
      <c r="Z65" s="116"/>
      <c r="AA65" s="126"/>
      <c r="AB65" s="251"/>
      <c r="AC65" s="410"/>
      <c r="AD65" s="158"/>
      <c r="AE65" s="6"/>
      <c r="AF65" s="83"/>
      <c r="AG65" s="33"/>
      <c r="AH65" s="41"/>
      <c r="AI65" s="168"/>
    </row>
    <row r="66" spans="1:40" s="268" customFormat="1">
      <c r="A66" s="130" t="s">
        <v>1732</v>
      </c>
      <c r="B66" s="91" t="s">
        <v>1588</v>
      </c>
      <c r="C66" s="91" t="s">
        <v>1589</v>
      </c>
      <c r="D66" s="91" t="s">
        <v>1590</v>
      </c>
      <c r="E66" s="91" t="s">
        <v>1591</v>
      </c>
      <c r="F66" s="8" t="s">
        <v>1066</v>
      </c>
      <c r="G66" s="26" t="s">
        <v>3691</v>
      </c>
      <c r="H66" s="55" t="s">
        <v>322</v>
      </c>
      <c r="I66" s="1" t="s">
        <v>69</v>
      </c>
      <c r="J66" s="317" t="s">
        <v>1467</v>
      </c>
      <c r="K66" s="317" t="s">
        <v>1157</v>
      </c>
      <c r="L66" s="317" t="s">
        <v>284</v>
      </c>
      <c r="M66" s="317" t="s">
        <v>1059</v>
      </c>
      <c r="N66" s="317" t="s">
        <v>5048</v>
      </c>
      <c r="O66" s="26" t="s">
        <v>5107</v>
      </c>
      <c r="P66" s="373" t="s">
        <v>5059</v>
      </c>
      <c r="Q66" s="303" t="s">
        <v>5087</v>
      </c>
      <c r="R66" s="345" t="s">
        <v>5059</v>
      </c>
      <c r="S66" s="14" t="s">
        <v>66</v>
      </c>
      <c r="T66" s="351" t="s">
        <v>5076</v>
      </c>
      <c r="U66" s="68" t="s">
        <v>3844</v>
      </c>
      <c r="V66" s="28" t="s">
        <v>3860</v>
      </c>
      <c r="W66" s="17" t="s">
        <v>1405</v>
      </c>
      <c r="X66" s="14" t="s">
        <v>2430</v>
      </c>
      <c r="Y66" s="21" t="s">
        <v>1477</v>
      </c>
      <c r="Z66" s="51" t="s">
        <v>6627</v>
      </c>
      <c r="AA66" s="406" t="s">
        <v>8647</v>
      </c>
      <c r="AB66" s="407" t="s">
        <v>8648</v>
      </c>
      <c r="AC66" s="408" t="s">
        <v>8649</v>
      </c>
      <c r="AD66" s="1" t="s">
        <v>69</v>
      </c>
      <c r="AE66" s="71" t="s">
        <v>1406</v>
      </c>
      <c r="AF66" s="72" t="s">
        <v>1163</v>
      </c>
      <c r="AG66" s="32" t="s">
        <v>1164</v>
      </c>
      <c r="AH66" s="142"/>
      <c r="AI66" s="168"/>
    </row>
    <row r="67" spans="1:40">
      <c r="A67" s="130" t="s">
        <v>1807</v>
      </c>
      <c r="B67" s="79">
        <v>23</v>
      </c>
      <c r="C67" s="79">
        <v>22</v>
      </c>
      <c r="D67" s="79">
        <v>2</v>
      </c>
      <c r="E67" s="79">
        <v>30</v>
      </c>
      <c r="F67" s="57">
        <v>11.17</v>
      </c>
      <c r="G67" s="80">
        <v>1309</v>
      </c>
      <c r="H67" s="30" t="s">
        <v>1469</v>
      </c>
      <c r="I67" s="22" t="s">
        <v>317</v>
      </c>
      <c r="J67" s="323">
        <v>41.97</v>
      </c>
      <c r="K67" s="73">
        <v>9.1</v>
      </c>
      <c r="L67" s="323">
        <v>9.67</v>
      </c>
      <c r="N67" s="318">
        <f>K67+J67+L67</f>
        <v>60.74</v>
      </c>
      <c r="O67" s="81">
        <f>IFERROR(VLOOKUP($G67,'321買'!A:E,3,0),"'沒有資料'")</f>
        <v>9</v>
      </c>
      <c r="P67" s="380">
        <f>IFERROR(VLOOKUP($G67,'321買'!$A:$G,7,0),"'沒有資料'")</f>
        <v>433</v>
      </c>
      <c r="R67" s="297">
        <f>IFERROR(RANK(VLOOKUP($G67,連買!$A:$D,4,0),連買!$D:$D,0),"'沒有資料'")</f>
        <v>713</v>
      </c>
      <c r="S67" s="34">
        <v>2.5</v>
      </c>
      <c r="U67" s="95">
        <v>6.21</v>
      </c>
      <c r="V67" s="36">
        <f>RTD("money.excel",,"1309","Price")</f>
        <v>32.549999999999997</v>
      </c>
      <c r="W67" s="66">
        <v>35.549999999999997</v>
      </c>
      <c r="X67" s="15">
        <f>V67-W67</f>
        <v>-3</v>
      </c>
      <c r="Y67" s="3">
        <f>X67/W67</f>
        <v>-8.4388185654008449E-2</v>
      </c>
      <c r="Z67" s="100" t="s">
        <v>3795</v>
      </c>
      <c r="AA67" s="406"/>
      <c r="AB67" s="407"/>
      <c r="AC67" s="408"/>
      <c r="AD67" s="22" t="s">
        <v>317</v>
      </c>
      <c r="AE67" s="84">
        <v>44525</v>
      </c>
      <c r="AG67" s="33">
        <f>AF67-AE67</f>
        <v>-44525</v>
      </c>
      <c r="AH67" s="41" t="s">
        <v>1128</v>
      </c>
      <c r="AJ67" s="22"/>
      <c r="AK67" s="219"/>
      <c r="AL67" s="258"/>
      <c r="AM67" s="269"/>
      <c r="AN67" s="271"/>
    </row>
    <row r="68" spans="1:40" s="268" customFormat="1">
      <c r="A68" s="145"/>
      <c r="B68" s="79"/>
      <c r="C68" s="79"/>
      <c r="D68" s="79"/>
      <c r="E68" s="79"/>
      <c r="F68" s="6"/>
      <c r="G68" s="41"/>
      <c r="H68" s="8"/>
      <c r="I68" s="158"/>
      <c r="J68" s="323"/>
      <c r="K68" s="323"/>
      <c r="L68" s="323"/>
      <c r="M68" s="318"/>
      <c r="N68" s="318"/>
      <c r="O68" s="350"/>
      <c r="P68" s="374"/>
      <c r="Q68" s="302"/>
      <c r="R68" s="151"/>
      <c r="S68" s="197"/>
      <c r="T68" s="354"/>
      <c r="U68" s="95"/>
      <c r="V68" s="170">
        <f>SUM(V67)</f>
        <v>32.549999999999997</v>
      </c>
      <c r="W68" s="160">
        <f>SUM(W67)</f>
        <v>35.549999999999997</v>
      </c>
      <c r="X68" s="167">
        <f>V68-W68</f>
        <v>-3</v>
      </c>
      <c r="Y68" s="169">
        <f>X68/W68</f>
        <v>-8.4388185654008449E-2</v>
      </c>
      <c r="Z68" s="116"/>
      <c r="AA68" s="126"/>
      <c r="AB68" s="251"/>
      <c r="AC68" s="410"/>
      <c r="AD68" s="158">
        <f>V68*(0.001425*0.5)+V68*0.003+W68*(0.001425*0.5)</f>
        <v>0.14617124999999997</v>
      </c>
      <c r="AE68" s="6">
        <f>X68-AD68</f>
        <v>-3.1461712500000001</v>
      </c>
      <c r="AF68" s="83"/>
      <c r="AG68" s="33"/>
      <c r="AH68" s="41" t="s">
        <v>1128</v>
      </c>
      <c r="AI68" s="168"/>
    </row>
    <row r="69" spans="1:40" s="268" customFormat="1">
      <c r="A69" s="145"/>
      <c r="B69" s="79"/>
      <c r="C69" s="79"/>
      <c r="D69" s="79"/>
      <c r="E69" s="79"/>
      <c r="F69" s="6"/>
      <c r="G69" s="41"/>
      <c r="H69" s="8"/>
      <c r="I69" s="158"/>
      <c r="J69" s="323"/>
      <c r="K69" s="323"/>
      <c r="L69" s="323"/>
      <c r="M69" s="318"/>
      <c r="N69" s="318"/>
      <c r="O69" s="350"/>
      <c r="P69" s="374"/>
      <c r="Q69" s="302"/>
      <c r="R69" s="151"/>
      <c r="S69" s="197"/>
      <c r="T69" s="354"/>
      <c r="U69" s="95"/>
      <c r="V69" s="170"/>
      <c r="W69" s="160"/>
      <c r="X69" s="167"/>
      <c r="Y69" s="169"/>
      <c r="Z69" s="116"/>
      <c r="AA69" s="126"/>
      <c r="AB69" s="251"/>
      <c r="AC69" s="410"/>
      <c r="AD69" s="158"/>
      <c r="AE69" s="6"/>
      <c r="AF69" s="83"/>
      <c r="AG69" s="33"/>
      <c r="AH69" s="41"/>
      <c r="AI69" s="168"/>
    </row>
    <row r="70" spans="1:40" s="268" customFormat="1">
      <c r="A70" s="130" t="s">
        <v>1732</v>
      </c>
      <c r="B70" s="91" t="s">
        <v>1588</v>
      </c>
      <c r="C70" s="91" t="s">
        <v>1589</v>
      </c>
      <c r="D70" s="91" t="s">
        <v>1590</v>
      </c>
      <c r="E70" s="91" t="s">
        <v>1591</v>
      </c>
      <c r="F70" s="8" t="s">
        <v>1066</v>
      </c>
      <c r="G70" s="26" t="s">
        <v>3691</v>
      </c>
      <c r="H70" s="55" t="s">
        <v>322</v>
      </c>
      <c r="I70" s="1" t="s">
        <v>2425</v>
      </c>
      <c r="J70" s="317" t="s">
        <v>1467</v>
      </c>
      <c r="K70" s="317" t="s">
        <v>1157</v>
      </c>
      <c r="L70" s="317" t="s">
        <v>284</v>
      </c>
      <c r="M70" s="317" t="s">
        <v>1059</v>
      </c>
      <c r="N70" s="317" t="s">
        <v>5048</v>
      </c>
      <c r="O70" s="26" t="s">
        <v>5107</v>
      </c>
      <c r="P70" s="373" t="s">
        <v>5059</v>
      </c>
      <c r="Q70" s="303" t="s">
        <v>5087</v>
      </c>
      <c r="R70" s="345" t="s">
        <v>5059</v>
      </c>
      <c r="S70" s="14" t="s">
        <v>66</v>
      </c>
      <c r="T70" s="351" t="s">
        <v>5076</v>
      </c>
      <c r="U70" s="68" t="s">
        <v>3844</v>
      </c>
      <c r="V70" s="28" t="s">
        <v>3860</v>
      </c>
      <c r="W70" s="17" t="s">
        <v>1405</v>
      </c>
      <c r="X70" s="14" t="s">
        <v>5</v>
      </c>
      <c r="Y70" s="21" t="s">
        <v>3</v>
      </c>
      <c r="Z70" s="51" t="s">
        <v>6627</v>
      </c>
      <c r="AA70" s="406" t="s">
        <v>8647</v>
      </c>
      <c r="AB70" s="407" t="s">
        <v>8648</v>
      </c>
      <c r="AC70" s="408" t="s">
        <v>8649</v>
      </c>
      <c r="AD70" s="1" t="s">
        <v>2425</v>
      </c>
      <c r="AE70" s="71" t="s">
        <v>1406</v>
      </c>
      <c r="AF70" s="72" t="s">
        <v>1163</v>
      </c>
      <c r="AG70" s="32" t="s">
        <v>1164</v>
      </c>
      <c r="AH70" s="142"/>
      <c r="AI70" s="168"/>
    </row>
    <row r="71" spans="1:40">
      <c r="A71" s="130" t="s">
        <v>1736</v>
      </c>
      <c r="B71" s="79">
        <v>86</v>
      </c>
      <c r="C71" s="79">
        <v>124</v>
      </c>
      <c r="D71" s="80">
        <v>-5</v>
      </c>
      <c r="E71" s="79">
        <v>7</v>
      </c>
      <c r="F71" s="57">
        <v>25.67</v>
      </c>
      <c r="G71" s="79">
        <v>5471</v>
      </c>
      <c r="H71" s="30" t="s">
        <v>1469</v>
      </c>
      <c r="I71" s="22" t="s">
        <v>354</v>
      </c>
      <c r="J71" s="323">
        <v>27.11</v>
      </c>
      <c r="K71" s="323">
        <v>16.82</v>
      </c>
      <c r="L71" s="73">
        <v>17.420000000000002</v>
      </c>
      <c r="N71" s="318">
        <f>K71+J71+L71</f>
        <v>61.35</v>
      </c>
      <c r="O71" s="81">
        <f>IFERROR(VLOOKUP($G71,'321買'!A:E,3,0),"'沒有資料'")</f>
        <v>21</v>
      </c>
      <c r="P71" s="380">
        <f>IFERROR(VLOOKUP($G71,'321買'!$A:$G,7,0),"'沒有資料'")</f>
        <v>222</v>
      </c>
      <c r="R71" s="297">
        <f>IFERROR(RANK(VLOOKUP($G71,連買!$A:$D,4,0),連買!$D:$D,0),"'沒有資料'")</f>
        <v>197</v>
      </c>
      <c r="S71" s="45">
        <v>7</v>
      </c>
      <c r="U71" s="95">
        <v>6.85</v>
      </c>
      <c r="V71" s="36">
        <f>RTD("money.excel",,"5471","Price")</f>
        <v>82.9</v>
      </c>
      <c r="W71" s="66">
        <v>91.8</v>
      </c>
      <c r="X71" s="15">
        <f>V71-W71</f>
        <v>-8.8999999999999915</v>
      </c>
      <c r="Y71" s="76">
        <f>X71/W71</f>
        <v>-9.6949891067538041E-2</v>
      </c>
      <c r="Z71" s="101" t="s">
        <v>3580</v>
      </c>
      <c r="AA71" s="264"/>
      <c r="AD71" s="22" t="s">
        <v>354</v>
      </c>
      <c r="AE71" s="84">
        <v>44525</v>
      </c>
      <c r="AG71" s="33">
        <f>AF71-AE71</f>
        <v>-44525</v>
      </c>
      <c r="AH71" s="41" t="s">
        <v>1128</v>
      </c>
      <c r="AI71" s="237"/>
      <c r="AJ71" s="262"/>
    </row>
    <row r="72" spans="1:40">
      <c r="A72" s="130" t="s">
        <v>1736</v>
      </c>
      <c r="B72" s="79">
        <v>86</v>
      </c>
      <c r="C72" s="79">
        <v>124</v>
      </c>
      <c r="D72" s="80">
        <v>-5</v>
      </c>
      <c r="E72" s="79">
        <v>7</v>
      </c>
      <c r="F72" s="57">
        <v>25.67</v>
      </c>
      <c r="G72" s="79">
        <v>5471</v>
      </c>
      <c r="H72" s="30" t="s">
        <v>1469</v>
      </c>
      <c r="I72" s="22" t="s">
        <v>354</v>
      </c>
      <c r="J72" s="323">
        <v>27.11</v>
      </c>
      <c r="K72" s="323">
        <v>16.82</v>
      </c>
      <c r="L72" s="73">
        <v>17.420000000000002</v>
      </c>
      <c r="N72" s="318">
        <f>K72+J72+L72</f>
        <v>61.35</v>
      </c>
      <c r="O72" s="81">
        <f>IFERROR(VLOOKUP($G72,'321買'!A:E,3,0),"'沒有資料'")</f>
        <v>21</v>
      </c>
      <c r="P72" s="380">
        <f>IFERROR(VLOOKUP($G72,'321買'!$A:$G,7,0),"'沒有資料'")</f>
        <v>222</v>
      </c>
      <c r="R72" s="297">
        <f>IFERROR(RANK(VLOOKUP($G72,連買!$A:$D,4,0),連買!$D:$D,0),"'沒有資料'")</f>
        <v>197</v>
      </c>
      <c r="S72" s="45">
        <v>7</v>
      </c>
      <c r="T72" s="351"/>
      <c r="U72" s="95">
        <v>6.85</v>
      </c>
      <c r="V72" s="36">
        <f>RTD("money.excel",,"5471","Price")</f>
        <v>82.9</v>
      </c>
      <c r="W72" s="66">
        <f>115.5-5.7</f>
        <v>109.8</v>
      </c>
      <c r="X72" s="15">
        <f>V72-W72</f>
        <v>-26.899999999999991</v>
      </c>
      <c r="Y72" s="76">
        <f>X72/W72</f>
        <v>-0.24499089253187606</v>
      </c>
      <c r="Z72" s="101" t="s">
        <v>3580</v>
      </c>
      <c r="AA72" s="126"/>
      <c r="AD72" s="22" t="s">
        <v>354</v>
      </c>
      <c r="AE72" s="84">
        <v>44364</v>
      </c>
      <c r="AG72" s="33">
        <f>AF72-AE72</f>
        <v>-44364</v>
      </c>
      <c r="AH72" s="41" t="s">
        <v>1128</v>
      </c>
      <c r="AI72" s="237"/>
      <c r="AJ72" s="262"/>
    </row>
    <row r="73" spans="1:40" s="268" customFormat="1">
      <c r="A73" s="145"/>
      <c r="B73" s="79"/>
      <c r="C73" s="79"/>
      <c r="D73" s="79"/>
      <c r="E73" s="79"/>
      <c r="F73" s="6"/>
      <c r="G73" s="41"/>
      <c r="H73" s="8"/>
      <c r="I73" s="158"/>
      <c r="J73" s="323"/>
      <c r="K73" s="323"/>
      <c r="L73" s="323"/>
      <c r="M73" s="318"/>
      <c r="N73" s="318"/>
      <c r="O73" s="350"/>
      <c r="P73" s="380"/>
      <c r="Q73" s="302"/>
      <c r="R73" s="297"/>
      <c r="S73" s="197"/>
      <c r="T73" s="353"/>
      <c r="U73" s="95"/>
      <c r="V73" s="170">
        <f>SUM(V71:V72)</f>
        <v>165.8</v>
      </c>
      <c r="W73" s="160">
        <f>SUM(W71:W72)</f>
        <v>201.6</v>
      </c>
      <c r="X73" s="167">
        <f>V73-W73</f>
        <v>-35.799999999999983</v>
      </c>
      <c r="Y73" s="169">
        <f>X73/W73</f>
        <v>-0.177579365079365</v>
      </c>
      <c r="Z73" s="116"/>
      <c r="AA73" s="264"/>
      <c r="AB73" s="251"/>
      <c r="AC73" s="410"/>
      <c r="AD73" s="158">
        <f>V73*(0.001425*0.5)+V73*0.003+W73*(0.001425*0.5)</f>
        <v>0.75917250000000003</v>
      </c>
      <c r="AE73" s="6">
        <f>X73-AD73</f>
        <v>-36.559172499999981</v>
      </c>
      <c r="AF73" s="83"/>
      <c r="AG73" s="33"/>
      <c r="AH73" s="41" t="s">
        <v>1514</v>
      </c>
      <c r="AI73" s="168"/>
    </row>
    <row r="74" spans="1:40" s="268" customFormat="1">
      <c r="A74" s="145"/>
      <c r="B74" s="79"/>
      <c r="C74" s="79"/>
      <c r="D74" s="79"/>
      <c r="E74" s="79"/>
      <c r="F74" s="6"/>
      <c r="G74" s="41"/>
      <c r="H74" s="8"/>
      <c r="I74" s="158"/>
      <c r="J74" s="323"/>
      <c r="K74" s="323"/>
      <c r="L74" s="323"/>
      <c r="M74" s="318"/>
      <c r="N74" s="318"/>
      <c r="O74" s="350"/>
      <c r="P74" s="374"/>
      <c r="Q74" s="302"/>
      <c r="R74" s="151"/>
      <c r="S74" s="197"/>
      <c r="T74" s="353"/>
      <c r="U74" s="95"/>
      <c r="V74" s="170"/>
      <c r="W74" s="160"/>
      <c r="X74" s="167"/>
      <c r="Y74" s="169"/>
      <c r="Z74" s="116"/>
      <c r="AA74" s="126"/>
      <c r="AB74" s="251"/>
      <c r="AC74" s="410"/>
      <c r="AD74" s="158"/>
      <c r="AE74" s="6"/>
      <c r="AF74" s="83"/>
      <c r="AG74" s="33"/>
      <c r="AH74" s="41"/>
      <c r="AI74" s="168"/>
    </row>
    <row r="75" spans="1:40" s="268" customFormat="1">
      <c r="A75" s="130" t="s">
        <v>1732</v>
      </c>
      <c r="B75" s="91" t="s">
        <v>1588</v>
      </c>
      <c r="C75" s="91" t="s">
        <v>1589</v>
      </c>
      <c r="D75" s="91" t="s">
        <v>1590</v>
      </c>
      <c r="E75" s="91" t="s">
        <v>1591</v>
      </c>
      <c r="F75" s="8" t="s">
        <v>1066</v>
      </c>
      <c r="G75" s="26" t="s">
        <v>3691</v>
      </c>
      <c r="H75" s="55" t="s">
        <v>322</v>
      </c>
      <c r="I75" s="1" t="s">
        <v>2425</v>
      </c>
      <c r="J75" s="317" t="s">
        <v>1467</v>
      </c>
      <c r="K75" s="317" t="s">
        <v>1157</v>
      </c>
      <c r="L75" s="317" t="s">
        <v>284</v>
      </c>
      <c r="M75" s="317" t="s">
        <v>1059</v>
      </c>
      <c r="N75" s="317" t="s">
        <v>5048</v>
      </c>
      <c r="O75" s="26" t="s">
        <v>5107</v>
      </c>
      <c r="P75" s="373" t="s">
        <v>5059</v>
      </c>
      <c r="Q75" s="303" t="s">
        <v>5087</v>
      </c>
      <c r="R75" s="345" t="s">
        <v>5059</v>
      </c>
      <c r="S75" s="14" t="s">
        <v>66</v>
      </c>
      <c r="T75" s="351" t="s">
        <v>5076</v>
      </c>
      <c r="U75" s="68" t="s">
        <v>3844</v>
      </c>
      <c r="V75" s="28" t="s">
        <v>3860</v>
      </c>
      <c r="W75" s="17" t="s">
        <v>1405</v>
      </c>
      <c r="X75" s="14" t="s">
        <v>2430</v>
      </c>
      <c r="Y75" s="21" t="s">
        <v>1477</v>
      </c>
      <c r="Z75" s="51" t="s">
        <v>6627</v>
      </c>
      <c r="AA75" s="406" t="s">
        <v>8647</v>
      </c>
      <c r="AB75" s="407" t="s">
        <v>8648</v>
      </c>
      <c r="AC75" s="408" t="s">
        <v>8649</v>
      </c>
      <c r="AD75" s="1" t="s">
        <v>2425</v>
      </c>
      <c r="AE75" s="71" t="s">
        <v>1406</v>
      </c>
      <c r="AF75" s="72" t="s">
        <v>1163</v>
      </c>
      <c r="AG75" s="32" t="s">
        <v>1164</v>
      </c>
      <c r="AH75" s="142"/>
      <c r="AI75" s="168"/>
    </row>
    <row r="76" spans="1:40">
      <c r="A76" s="130" t="s">
        <v>3185</v>
      </c>
      <c r="B76" s="80">
        <v>-48</v>
      </c>
      <c r="C76" s="80">
        <v>-50</v>
      </c>
      <c r="D76" s="80">
        <v>-7</v>
      </c>
      <c r="E76" s="79">
        <v>22</v>
      </c>
      <c r="F76" s="57">
        <v>11.26</v>
      </c>
      <c r="G76" s="80">
        <v>4163</v>
      </c>
      <c r="H76" s="50" t="s">
        <v>1410</v>
      </c>
      <c r="I76" s="16" t="s">
        <v>142</v>
      </c>
      <c r="J76" s="323">
        <v>33.08</v>
      </c>
      <c r="K76" s="73">
        <v>2.92</v>
      </c>
      <c r="L76" s="323">
        <v>3.81</v>
      </c>
      <c r="N76" s="318">
        <f>K76+J76+L76</f>
        <v>39.81</v>
      </c>
      <c r="O76" s="81">
        <f>IFERROR(VLOOKUP($G76,'321買'!A:E,3,0),"'沒有資料'")</f>
        <v>0</v>
      </c>
      <c r="P76" s="380">
        <f>IFERROR(VLOOKUP($G76,'321買'!$A:$G,7,0),"'沒有資料'")</f>
        <v>911</v>
      </c>
      <c r="R76" s="297">
        <f>IFERROR(RANK(VLOOKUP($G76,連買!$A:$D,4,0),連買!$D:$D,0),"'沒有資料'")</f>
        <v>1541</v>
      </c>
      <c r="S76" s="34">
        <v>2.5</v>
      </c>
      <c r="T76" s="353"/>
      <c r="U76" s="95">
        <v>4.5</v>
      </c>
      <c r="V76" s="36">
        <f>RTD("money.excel",,"4163","Price")</f>
        <v>82.4</v>
      </c>
      <c r="W76" s="66">
        <f>91.7-3.5</f>
        <v>88.2</v>
      </c>
      <c r="X76" s="15">
        <f>V76-W76</f>
        <v>-5.7999999999999972</v>
      </c>
      <c r="Y76" s="3">
        <f>X76/W76</f>
        <v>-6.5759637188208583E-2</v>
      </c>
      <c r="Z76" s="144" t="s">
        <v>1831</v>
      </c>
      <c r="AA76" s="126"/>
      <c r="AD76" s="16" t="s">
        <v>142</v>
      </c>
      <c r="AE76" s="84">
        <v>44299</v>
      </c>
      <c r="AG76" s="33">
        <f>AF76-AE76</f>
        <v>-44299</v>
      </c>
      <c r="AH76" s="130" t="s">
        <v>1128</v>
      </c>
      <c r="AJ76" s="8"/>
    </row>
    <row r="77" spans="1:40">
      <c r="A77" s="130" t="s">
        <v>3185</v>
      </c>
      <c r="B77" s="80">
        <v>-48</v>
      </c>
      <c r="C77" s="80">
        <v>-50</v>
      </c>
      <c r="D77" s="80">
        <v>-7</v>
      </c>
      <c r="E77" s="79">
        <v>22</v>
      </c>
      <c r="F77" s="57">
        <v>11.26</v>
      </c>
      <c r="G77" s="80">
        <v>4163</v>
      </c>
      <c r="H77" s="30" t="s">
        <v>1469</v>
      </c>
      <c r="I77" s="16" t="s">
        <v>142</v>
      </c>
      <c r="J77" s="323">
        <v>33.08</v>
      </c>
      <c r="K77" s="73">
        <v>2.92</v>
      </c>
      <c r="L77" s="323">
        <v>3.81</v>
      </c>
      <c r="N77" s="318">
        <f>K77+J77+L77</f>
        <v>39.81</v>
      </c>
      <c r="O77" s="81">
        <f>IFERROR(VLOOKUP($G77,'321買'!A:E,3,0),"'沒有資料'")</f>
        <v>0</v>
      </c>
      <c r="P77" s="380">
        <f>IFERROR(VLOOKUP($G77,'321買'!$A:$G,7,0),"'沒有資料'")</f>
        <v>911</v>
      </c>
      <c r="R77" s="297">
        <f>IFERROR(RANK(VLOOKUP($G77,連買!$A:$D,4,0),連買!$D:$D,0),"'沒有資料'")</f>
        <v>1541</v>
      </c>
      <c r="S77" s="34">
        <v>2.5</v>
      </c>
      <c r="T77" s="353"/>
      <c r="U77" s="95">
        <v>4.5</v>
      </c>
      <c r="V77" s="36">
        <f>RTD("money.excel",,"4163","Price")</f>
        <v>82.4</v>
      </c>
      <c r="W77" s="66">
        <f>91.7-3.5</f>
        <v>88.2</v>
      </c>
      <c r="X77" s="15">
        <f>V77-W77</f>
        <v>-5.7999999999999972</v>
      </c>
      <c r="Y77" s="3">
        <f>X77/W77</f>
        <v>-6.5759637188208583E-2</v>
      </c>
      <c r="Z77" s="144" t="s">
        <v>1831</v>
      </c>
      <c r="AA77" s="126"/>
      <c r="AD77" s="16" t="s">
        <v>142</v>
      </c>
      <c r="AE77" s="84">
        <v>44299</v>
      </c>
      <c r="AG77" s="33">
        <f>AF77-AE77</f>
        <v>-44299</v>
      </c>
      <c r="AH77" s="41" t="s">
        <v>1128</v>
      </c>
      <c r="AJ77" s="8"/>
    </row>
    <row r="78" spans="1:40" s="268" customFormat="1">
      <c r="A78" s="145"/>
      <c r="B78" s="79"/>
      <c r="C78" s="79"/>
      <c r="D78" s="79"/>
      <c r="E78" s="79"/>
      <c r="F78" s="6"/>
      <c r="G78" s="41"/>
      <c r="H78" s="8"/>
      <c r="I78" s="158"/>
      <c r="J78" s="323"/>
      <c r="K78" s="323"/>
      <c r="L78" s="323"/>
      <c r="M78" s="318"/>
      <c r="N78" s="318"/>
      <c r="O78" s="350"/>
      <c r="P78" s="374"/>
      <c r="Q78" s="302"/>
      <c r="R78" s="151"/>
      <c r="S78" s="197"/>
      <c r="T78" s="353"/>
      <c r="U78" s="95"/>
      <c r="V78" s="170">
        <f>SUM(V76:V77)</f>
        <v>164.8</v>
      </c>
      <c r="W78" s="160">
        <f>SUM(W76:W77)</f>
        <v>176.4</v>
      </c>
      <c r="X78" s="167">
        <f>V78-W78</f>
        <v>-11.599999999999994</v>
      </c>
      <c r="Y78" s="169">
        <f>X78/W78</f>
        <v>-6.5759637188208583E-2</v>
      </c>
      <c r="Z78" s="116"/>
      <c r="AA78" s="126"/>
      <c r="AB78" s="251"/>
      <c r="AC78" s="410"/>
      <c r="AD78" s="158">
        <f>V78*(0.001425*0.5)+V78*0.003+W78*(0.001425*0.5)</f>
        <v>0.73750500000000008</v>
      </c>
      <c r="AE78" s="6">
        <f>X78-AD78</f>
        <v>-12.337504999999995</v>
      </c>
      <c r="AF78" s="83"/>
      <c r="AG78" s="33"/>
      <c r="AH78" s="41" t="s">
        <v>1514</v>
      </c>
      <c r="AI78" s="168"/>
    </row>
    <row r="79" spans="1:40">
      <c r="A79" s="130"/>
      <c r="B79" s="80"/>
      <c r="C79" s="80"/>
      <c r="D79" s="79"/>
      <c r="E79" s="80"/>
      <c r="F79" s="57"/>
      <c r="G79" s="56"/>
      <c r="H79" s="5"/>
      <c r="I79" s="16"/>
      <c r="J79" s="73"/>
      <c r="K79" s="73"/>
      <c r="N79" s="333"/>
      <c r="S79" s="66"/>
      <c r="T79" s="353"/>
      <c r="U79" s="95"/>
      <c r="V79" s="36"/>
      <c r="W79" s="66"/>
      <c r="X79" s="15"/>
      <c r="Y79" s="3"/>
      <c r="Z79" s="144"/>
      <c r="AA79" s="126"/>
      <c r="AD79" s="16"/>
      <c r="AE79" s="118"/>
      <c r="AG79" s="119"/>
      <c r="AH79" s="24"/>
      <c r="AJ79" s="8"/>
    </row>
    <row r="80" spans="1:40" s="268" customFormat="1">
      <c r="A80" s="130" t="s">
        <v>3119</v>
      </c>
      <c r="B80" s="91" t="s">
        <v>3120</v>
      </c>
      <c r="C80" s="91" t="s">
        <v>3121</v>
      </c>
      <c r="D80" s="91" t="s">
        <v>3410</v>
      </c>
      <c r="E80" s="91" t="s">
        <v>3122</v>
      </c>
      <c r="F80" s="8" t="s">
        <v>3123</v>
      </c>
      <c r="G80" s="26" t="s">
        <v>3691</v>
      </c>
      <c r="H80" s="55" t="s">
        <v>322</v>
      </c>
      <c r="I80" s="1" t="s">
        <v>3411</v>
      </c>
      <c r="J80" s="317" t="s">
        <v>3412</v>
      </c>
      <c r="K80" s="317" t="s">
        <v>3118</v>
      </c>
      <c r="L80" s="317" t="s">
        <v>284</v>
      </c>
      <c r="M80" s="317" t="s">
        <v>1059</v>
      </c>
      <c r="N80" s="317" t="s">
        <v>5048</v>
      </c>
      <c r="O80" s="26" t="s">
        <v>5107</v>
      </c>
      <c r="P80" s="373" t="s">
        <v>5059</v>
      </c>
      <c r="Q80" s="303" t="s">
        <v>5087</v>
      </c>
      <c r="R80" s="345" t="s">
        <v>5059</v>
      </c>
      <c r="S80" s="14" t="s">
        <v>66</v>
      </c>
      <c r="T80" s="351" t="s">
        <v>5076</v>
      </c>
      <c r="U80" s="68" t="s">
        <v>3844</v>
      </c>
      <c r="V80" s="28" t="s">
        <v>3860</v>
      </c>
      <c r="W80" s="17" t="s">
        <v>1405</v>
      </c>
      <c r="X80" s="14" t="s">
        <v>3080</v>
      </c>
      <c r="Y80" s="21" t="s">
        <v>3081</v>
      </c>
      <c r="Z80" s="51" t="s">
        <v>6627</v>
      </c>
      <c r="AA80" s="406" t="s">
        <v>8647</v>
      </c>
      <c r="AB80" s="407" t="s">
        <v>8648</v>
      </c>
      <c r="AC80" s="408" t="s">
        <v>8649</v>
      </c>
      <c r="AD80" s="1" t="s">
        <v>3411</v>
      </c>
      <c r="AE80" s="71" t="s">
        <v>1406</v>
      </c>
      <c r="AF80" s="72" t="s">
        <v>3086</v>
      </c>
      <c r="AG80" s="32" t="s">
        <v>3413</v>
      </c>
      <c r="AH80" s="142"/>
      <c r="AI80" s="168"/>
    </row>
    <row r="81" spans="1:40" s="268" customFormat="1">
      <c r="A81" s="130" t="s">
        <v>1724</v>
      </c>
      <c r="B81" s="79">
        <v>267</v>
      </c>
      <c r="C81" s="79">
        <v>304</v>
      </c>
      <c r="D81" s="79">
        <v>7</v>
      </c>
      <c r="E81" s="79">
        <v>15</v>
      </c>
      <c r="F81" s="57">
        <v>33.020000000000003</v>
      </c>
      <c r="G81" s="79">
        <v>3374</v>
      </c>
      <c r="H81" s="30" t="s">
        <v>1469</v>
      </c>
      <c r="I81" s="16" t="s">
        <v>167</v>
      </c>
      <c r="J81" s="73">
        <v>50.89</v>
      </c>
      <c r="K81" s="73">
        <v>9.8000000000000007</v>
      </c>
      <c r="L81" s="73">
        <v>23.82</v>
      </c>
      <c r="M81" s="318"/>
      <c r="N81" s="318">
        <f>K81+J81+L81</f>
        <v>84.509999999999991</v>
      </c>
      <c r="O81" s="81">
        <f>IFERROR(VLOOKUP($G81,'321買'!A:E,3,0),"'沒有資料'")</f>
        <v>20</v>
      </c>
      <c r="P81" s="380">
        <f>IFERROR(VLOOKUP($G81,'321買'!$A:$G,7,0),"'沒有資料'")</f>
        <v>222</v>
      </c>
      <c r="Q81" s="302"/>
      <c r="R81" s="297">
        <f>IFERROR(RANK(VLOOKUP($G81,連買!$A:$D,4,0),連買!$D:$D,0),"'沒有資料'")</f>
        <v>174</v>
      </c>
      <c r="S81" s="45">
        <v>3</v>
      </c>
      <c r="T81" s="353"/>
      <c r="U81" s="57">
        <v>7.95</v>
      </c>
      <c r="V81" s="166">
        <f>RTD("money.excel",,"3374","Price")</f>
        <v>122</v>
      </c>
      <c r="W81" s="160">
        <v>137</v>
      </c>
      <c r="X81" s="107">
        <f t="shared" ref="X81:X86" si="8">V81-W81</f>
        <v>-15</v>
      </c>
      <c r="Y81" s="169">
        <f t="shared" ref="Y81:Y86" si="9">X81/W81</f>
        <v>-0.10948905109489052</v>
      </c>
      <c r="Z81" s="173" t="s">
        <v>3414</v>
      </c>
      <c r="AA81" s="126"/>
      <c r="AB81" s="251"/>
      <c r="AC81" s="410"/>
      <c r="AD81" s="171" t="s">
        <v>167</v>
      </c>
      <c r="AE81" s="84">
        <v>44463</v>
      </c>
      <c r="AF81" s="83"/>
      <c r="AG81" s="33">
        <f>AF81-AE81</f>
        <v>-44463</v>
      </c>
      <c r="AH81" s="41" t="s">
        <v>1128</v>
      </c>
    </row>
    <row r="82" spans="1:40" s="268" customFormat="1">
      <c r="A82" s="130" t="s">
        <v>1724</v>
      </c>
      <c r="B82" s="79">
        <v>267</v>
      </c>
      <c r="C82" s="79">
        <v>304</v>
      </c>
      <c r="D82" s="79">
        <v>7</v>
      </c>
      <c r="E82" s="79">
        <v>15</v>
      </c>
      <c r="F82" s="57">
        <v>33.020000000000003</v>
      </c>
      <c r="G82" s="79">
        <v>3374</v>
      </c>
      <c r="H82" s="30" t="s">
        <v>1469</v>
      </c>
      <c r="I82" s="16" t="s">
        <v>167</v>
      </c>
      <c r="J82" s="73">
        <v>50.89</v>
      </c>
      <c r="K82" s="73">
        <v>9.8000000000000007</v>
      </c>
      <c r="L82" s="73">
        <v>23.82</v>
      </c>
      <c r="M82" s="318"/>
      <c r="N82" s="318">
        <f>K82+J82+L82</f>
        <v>84.509999999999991</v>
      </c>
      <c r="O82" s="81">
        <f>IFERROR(VLOOKUP($G82,'321買'!A:E,3,0),"'沒有資料'")</f>
        <v>20</v>
      </c>
      <c r="P82" s="380">
        <f>IFERROR(VLOOKUP($G82,'321買'!$A:$G,7,0),"'沒有資料'")</f>
        <v>222</v>
      </c>
      <c r="Q82" s="302"/>
      <c r="R82" s="297">
        <f>IFERROR(RANK(VLOOKUP($G82,連買!$A:$D,4,0),連買!$D:$D,0),"'沒有資料'")</f>
        <v>174</v>
      </c>
      <c r="S82" s="45">
        <v>3</v>
      </c>
      <c r="T82" s="353"/>
      <c r="U82" s="57">
        <v>7.95</v>
      </c>
      <c r="V82" s="166">
        <f>RTD("money.excel",,"3374","Price")</f>
        <v>122</v>
      </c>
      <c r="W82" s="160">
        <f>162.5-2.5</f>
        <v>160</v>
      </c>
      <c r="X82" s="107">
        <f t="shared" si="8"/>
        <v>-38</v>
      </c>
      <c r="Y82" s="169">
        <f t="shared" si="9"/>
        <v>-0.23749999999999999</v>
      </c>
      <c r="Z82" s="173" t="s">
        <v>3414</v>
      </c>
      <c r="AA82" s="126"/>
      <c r="AB82" s="251"/>
      <c r="AC82" s="410"/>
      <c r="AD82" s="171" t="s">
        <v>167</v>
      </c>
      <c r="AE82" s="84">
        <v>44299</v>
      </c>
      <c r="AF82" s="83"/>
      <c r="AG82" s="33">
        <f>AF82-AE82</f>
        <v>-44299</v>
      </c>
      <c r="AH82" s="41" t="s">
        <v>1128</v>
      </c>
    </row>
    <row r="83" spans="1:40" s="268" customFormat="1">
      <c r="A83" s="130" t="s">
        <v>1724</v>
      </c>
      <c r="B83" s="79">
        <v>267</v>
      </c>
      <c r="C83" s="79">
        <v>304</v>
      </c>
      <c r="D83" s="79">
        <v>7</v>
      </c>
      <c r="E83" s="79">
        <v>15</v>
      </c>
      <c r="F83" s="57">
        <v>33.020000000000003</v>
      </c>
      <c r="G83" s="79">
        <v>3374</v>
      </c>
      <c r="H83" s="30" t="s">
        <v>1469</v>
      </c>
      <c r="I83" s="16" t="s">
        <v>167</v>
      </c>
      <c r="J83" s="73">
        <v>50.89</v>
      </c>
      <c r="K83" s="73">
        <v>9.8000000000000007</v>
      </c>
      <c r="L83" s="73">
        <v>23.82</v>
      </c>
      <c r="M83" s="318"/>
      <c r="N83" s="318">
        <f>K83+J83+L83</f>
        <v>84.509999999999991</v>
      </c>
      <c r="O83" s="81">
        <f>IFERROR(VLOOKUP($G83,'321買'!A:E,3,0),"'沒有資料'")</f>
        <v>20</v>
      </c>
      <c r="P83" s="380">
        <f>IFERROR(VLOOKUP($G83,'321買'!$A:$G,7,0),"'沒有資料'")</f>
        <v>222</v>
      </c>
      <c r="Q83" s="302"/>
      <c r="R83" s="297">
        <f>IFERROR(RANK(VLOOKUP($G83,連買!$A:$D,4,0),連買!$D:$D,0),"'沒有資料'")</f>
        <v>174</v>
      </c>
      <c r="S83" s="45">
        <v>3</v>
      </c>
      <c r="T83" s="353"/>
      <c r="U83" s="57">
        <v>7.95</v>
      </c>
      <c r="V83" s="166">
        <f>RTD("money.excel",,"3374","Price")</f>
        <v>122</v>
      </c>
      <c r="W83" s="160">
        <f>167.5-2.5</f>
        <v>165</v>
      </c>
      <c r="X83" s="107">
        <f t="shared" si="8"/>
        <v>-43</v>
      </c>
      <c r="Y83" s="169">
        <f t="shared" si="9"/>
        <v>-0.26060606060606062</v>
      </c>
      <c r="Z83" s="173" t="s">
        <v>3414</v>
      </c>
      <c r="AA83" s="264"/>
      <c r="AB83" s="251"/>
      <c r="AC83" s="410"/>
      <c r="AD83" s="171" t="s">
        <v>167</v>
      </c>
      <c r="AE83" s="84">
        <v>44299</v>
      </c>
      <c r="AF83" s="83"/>
      <c r="AG83" s="33">
        <f>AF83-AE83</f>
        <v>-44299</v>
      </c>
      <c r="AH83" s="41" t="s">
        <v>1128</v>
      </c>
    </row>
    <row r="84" spans="1:40" s="268" customFormat="1">
      <c r="A84" s="130" t="s">
        <v>1724</v>
      </c>
      <c r="B84" s="79">
        <v>267</v>
      </c>
      <c r="C84" s="79">
        <v>304</v>
      </c>
      <c r="D84" s="79">
        <v>7</v>
      </c>
      <c r="E84" s="79">
        <v>15</v>
      </c>
      <c r="F84" s="57">
        <v>33.020000000000003</v>
      </c>
      <c r="G84" s="79">
        <v>3374</v>
      </c>
      <c r="H84" s="30" t="s">
        <v>1469</v>
      </c>
      <c r="I84" s="16" t="s">
        <v>167</v>
      </c>
      <c r="J84" s="73">
        <v>50.89</v>
      </c>
      <c r="K84" s="73">
        <v>9.8000000000000007</v>
      </c>
      <c r="L84" s="73">
        <v>23.82</v>
      </c>
      <c r="M84" s="318"/>
      <c r="N84" s="318">
        <f>K84+J84+L84</f>
        <v>84.509999999999991</v>
      </c>
      <c r="O84" s="81">
        <f>IFERROR(VLOOKUP($G84,'321買'!A:E,3,0),"'沒有資料'")</f>
        <v>20</v>
      </c>
      <c r="P84" s="380">
        <f>IFERROR(VLOOKUP($G84,'321買'!$A:$G,7,0),"'沒有資料'")</f>
        <v>222</v>
      </c>
      <c r="Q84" s="302"/>
      <c r="R84" s="297">
        <f>IFERROR(RANK(VLOOKUP($G84,連買!$A:$D,4,0),連買!$D:$D,0),"'沒有資料'")</f>
        <v>174</v>
      </c>
      <c r="S84" s="45">
        <v>3</v>
      </c>
      <c r="T84" s="353"/>
      <c r="U84" s="57">
        <v>7.95</v>
      </c>
      <c r="V84" s="166">
        <f>RTD("money.excel",,"3374","Price")</f>
        <v>122</v>
      </c>
      <c r="W84" s="160">
        <f>175.5-2.5</f>
        <v>173</v>
      </c>
      <c r="X84" s="107">
        <f t="shared" si="8"/>
        <v>-51</v>
      </c>
      <c r="Y84" s="169">
        <f t="shared" si="9"/>
        <v>-0.2947976878612717</v>
      </c>
      <c r="Z84" s="173" t="s">
        <v>3414</v>
      </c>
      <c r="AA84" s="126"/>
      <c r="AB84" s="251"/>
      <c r="AC84" s="410"/>
      <c r="AD84" s="171" t="s">
        <v>167</v>
      </c>
      <c r="AE84" s="84">
        <v>44295</v>
      </c>
      <c r="AF84" s="83"/>
      <c r="AG84" s="33">
        <f>AF84-AE84</f>
        <v>-44295</v>
      </c>
      <c r="AH84" s="41" t="s">
        <v>1128</v>
      </c>
    </row>
    <row r="85" spans="1:40" s="268" customFormat="1">
      <c r="A85" s="130" t="s">
        <v>1724</v>
      </c>
      <c r="B85" s="79">
        <v>267</v>
      </c>
      <c r="C85" s="79">
        <v>304</v>
      </c>
      <c r="D85" s="79">
        <v>7</v>
      </c>
      <c r="E85" s="79">
        <v>15</v>
      </c>
      <c r="F85" s="57">
        <v>33.020000000000003</v>
      </c>
      <c r="G85" s="79">
        <v>3374</v>
      </c>
      <c r="H85" s="30" t="s">
        <v>3371</v>
      </c>
      <c r="I85" s="16" t="s">
        <v>167</v>
      </c>
      <c r="J85" s="73">
        <v>50.89</v>
      </c>
      <c r="K85" s="73">
        <v>9.8000000000000007</v>
      </c>
      <c r="L85" s="73">
        <v>23.82</v>
      </c>
      <c r="M85" s="318"/>
      <c r="N85" s="318">
        <f>K85+J85+L85</f>
        <v>84.509999999999991</v>
      </c>
      <c r="O85" s="81">
        <f>IFERROR(VLOOKUP($G85,'321買'!A:E,3,0),"'沒有資料'")</f>
        <v>20</v>
      </c>
      <c r="P85" s="380">
        <f>IFERROR(VLOOKUP($G85,'321買'!$A:$G,7,0),"'沒有資料'")</f>
        <v>222</v>
      </c>
      <c r="Q85" s="302"/>
      <c r="R85" s="297">
        <f>IFERROR(RANK(VLOOKUP($G85,連買!$A:$D,4,0),連買!$D:$D,0),"'沒有資料'")</f>
        <v>174</v>
      </c>
      <c r="S85" s="45">
        <v>3</v>
      </c>
      <c r="T85" s="353"/>
      <c r="U85" s="57">
        <v>7.95</v>
      </c>
      <c r="V85" s="166">
        <f>RTD("money.excel",,"3374","Price")</f>
        <v>122</v>
      </c>
      <c r="W85" s="160">
        <f>180.5-2.5</f>
        <v>178</v>
      </c>
      <c r="X85" s="107">
        <f t="shared" si="8"/>
        <v>-56</v>
      </c>
      <c r="Y85" s="169">
        <f t="shared" si="9"/>
        <v>-0.3146067415730337</v>
      </c>
      <c r="Z85" s="173" t="s">
        <v>3414</v>
      </c>
      <c r="AA85" s="126"/>
      <c r="AB85" s="251"/>
      <c r="AC85" s="410"/>
      <c r="AD85" s="171" t="s">
        <v>167</v>
      </c>
      <c r="AE85" s="84">
        <v>44292</v>
      </c>
      <c r="AF85" s="83"/>
      <c r="AG85" s="33">
        <f>AF85-AE85</f>
        <v>-44292</v>
      </c>
      <c r="AH85" s="41" t="s">
        <v>3107</v>
      </c>
    </row>
    <row r="86" spans="1:40" s="268" customFormat="1">
      <c r="A86" s="145"/>
      <c r="B86" s="79"/>
      <c r="C86" s="79"/>
      <c r="D86" s="79"/>
      <c r="E86" s="79"/>
      <c r="F86" s="6"/>
      <c r="G86" s="41"/>
      <c r="H86" s="8"/>
      <c r="I86" s="158"/>
      <c r="J86" s="323"/>
      <c r="K86" s="323"/>
      <c r="L86" s="323"/>
      <c r="M86" s="318"/>
      <c r="N86" s="318"/>
      <c r="O86" s="350"/>
      <c r="P86" s="374"/>
      <c r="Q86" s="302"/>
      <c r="R86" s="151"/>
      <c r="S86" s="197"/>
      <c r="T86" s="353"/>
      <c r="U86" s="95"/>
      <c r="V86" s="170">
        <f>SUM(V82:V85)</f>
        <v>488</v>
      </c>
      <c r="W86" s="160">
        <f>SUM(W82:W85)</f>
        <v>676</v>
      </c>
      <c r="X86" s="243">
        <f t="shared" si="8"/>
        <v>-188</v>
      </c>
      <c r="Y86" s="169">
        <f t="shared" si="9"/>
        <v>-0.27810650887573962</v>
      </c>
      <c r="Z86" s="116"/>
      <c r="AA86" s="126"/>
      <c r="AB86" s="251"/>
      <c r="AC86" s="410"/>
      <c r="AD86" s="158">
        <f>V86*(0.001425*0.5)+V86*0.003+W86*(0.001425*0.5)</f>
        <v>2.2933500000000002</v>
      </c>
      <c r="AE86" s="6">
        <f>X86-AD86</f>
        <v>-190.29335</v>
      </c>
      <c r="AF86" s="83"/>
      <c r="AG86" s="33"/>
      <c r="AH86" s="41" t="s">
        <v>3361</v>
      </c>
      <c r="AI86" s="168"/>
    </row>
    <row r="87" spans="1:40" s="268" customFormat="1">
      <c r="A87" s="130"/>
      <c r="B87" s="79"/>
      <c r="C87" s="79"/>
      <c r="D87" s="80"/>
      <c r="E87" s="79"/>
      <c r="F87" s="57"/>
      <c r="G87" s="56"/>
      <c r="H87" s="149"/>
      <c r="I87" s="171"/>
      <c r="J87" s="73"/>
      <c r="K87" s="323"/>
      <c r="L87" s="73"/>
      <c r="M87" s="318"/>
      <c r="N87" s="318"/>
      <c r="O87" s="350"/>
      <c r="P87" s="374"/>
      <c r="Q87" s="302"/>
      <c r="R87" s="151"/>
      <c r="S87" s="197"/>
      <c r="T87" s="353"/>
      <c r="U87" s="95"/>
      <c r="V87" s="166"/>
      <c r="W87" s="160"/>
      <c r="X87" s="190"/>
      <c r="Y87" s="169"/>
      <c r="Z87" s="173"/>
      <c r="AA87" s="126"/>
      <c r="AB87" s="251"/>
      <c r="AC87" s="410"/>
      <c r="AD87" s="171"/>
      <c r="AE87" s="84"/>
      <c r="AF87" s="83"/>
      <c r="AG87" s="119"/>
      <c r="AH87" s="121"/>
    </row>
    <row r="88" spans="1:40" s="268" customFormat="1">
      <c r="A88" s="130" t="s">
        <v>1732</v>
      </c>
      <c r="B88" s="91" t="s">
        <v>1588</v>
      </c>
      <c r="C88" s="91" t="s">
        <v>1589</v>
      </c>
      <c r="D88" s="91" t="s">
        <v>1590</v>
      </c>
      <c r="E88" s="91" t="s">
        <v>1591</v>
      </c>
      <c r="F88" s="8" t="s">
        <v>1066</v>
      </c>
      <c r="G88" s="26" t="s">
        <v>3691</v>
      </c>
      <c r="H88" s="55" t="s">
        <v>322</v>
      </c>
      <c r="I88" s="1" t="s">
        <v>2425</v>
      </c>
      <c r="J88" s="317" t="s">
        <v>1467</v>
      </c>
      <c r="K88" s="317" t="s">
        <v>1157</v>
      </c>
      <c r="L88" s="317" t="s">
        <v>284</v>
      </c>
      <c r="M88" s="317" t="s">
        <v>1059</v>
      </c>
      <c r="N88" s="317" t="s">
        <v>5048</v>
      </c>
      <c r="O88" s="26" t="s">
        <v>5107</v>
      </c>
      <c r="P88" s="373" t="s">
        <v>5059</v>
      </c>
      <c r="Q88" s="303" t="s">
        <v>5087</v>
      </c>
      <c r="R88" s="345" t="s">
        <v>5059</v>
      </c>
      <c r="S88" s="14" t="s">
        <v>66</v>
      </c>
      <c r="T88" s="351" t="s">
        <v>5076</v>
      </c>
      <c r="U88" s="68" t="s">
        <v>3844</v>
      </c>
      <c r="V88" s="28" t="s">
        <v>3860</v>
      </c>
      <c r="W88" s="17" t="s">
        <v>1405</v>
      </c>
      <c r="X88" s="14" t="s">
        <v>2430</v>
      </c>
      <c r="Y88" s="21" t="s">
        <v>1477</v>
      </c>
      <c r="Z88" s="51" t="s">
        <v>6627</v>
      </c>
      <c r="AA88" s="406" t="s">
        <v>8647</v>
      </c>
      <c r="AB88" s="407" t="s">
        <v>8648</v>
      </c>
      <c r="AC88" s="408" t="s">
        <v>8649</v>
      </c>
      <c r="AD88" s="1" t="s">
        <v>2425</v>
      </c>
      <c r="AE88" s="71" t="s">
        <v>1406</v>
      </c>
      <c r="AF88" s="72" t="s">
        <v>1163</v>
      </c>
      <c r="AG88" s="32" t="s">
        <v>1164</v>
      </c>
      <c r="AH88" s="142"/>
      <c r="AI88" s="168"/>
    </row>
    <row r="89" spans="1:40">
      <c r="A89" s="130" t="s">
        <v>1700</v>
      </c>
      <c r="B89" s="93">
        <v>4675</v>
      </c>
      <c r="C89" s="79">
        <v>279</v>
      </c>
      <c r="D89" s="79">
        <v>30</v>
      </c>
      <c r="E89" s="79">
        <v>31</v>
      </c>
      <c r="F89" s="57">
        <v>14.09</v>
      </c>
      <c r="G89" s="79">
        <v>8936</v>
      </c>
      <c r="H89" s="30" t="s">
        <v>1469</v>
      </c>
      <c r="I89" s="16" t="s">
        <v>670</v>
      </c>
      <c r="J89" s="73">
        <v>36.26</v>
      </c>
      <c r="K89" s="323">
        <v>6.39</v>
      </c>
      <c r="L89" s="73">
        <v>34.229999999999997</v>
      </c>
      <c r="N89" s="318">
        <f>K89+J89+L89</f>
        <v>76.88</v>
      </c>
      <c r="O89" s="81">
        <f>IFERROR(VLOOKUP($G89,'321買'!A:E,3,0),"'沒有資料'")</f>
        <v>6</v>
      </c>
      <c r="P89" s="380">
        <f>IFERROR(VLOOKUP($G89,'321買'!$A:$G,7,0),"'沒有資料'")</f>
        <v>521</v>
      </c>
      <c r="R89" s="297">
        <f>IFERROR(RANK(VLOOKUP($G89,連買!$A:$D,4,0),連買!$D:$D,0),"'沒有資料'")</f>
        <v>1663</v>
      </c>
      <c r="S89" s="34">
        <v>0.5</v>
      </c>
      <c r="U89" s="95">
        <v>0.84</v>
      </c>
      <c r="V89" s="36">
        <f>RTD("money.excel",,"8936","Price")</f>
        <v>22.15</v>
      </c>
      <c r="W89" s="66">
        <f>25.1-0.25</f>
        <v>24.85</v>
      </c>
      <c r="X89" s="15">
        <f>V89-W89</f>
        <v>-2.7000000000000028</v>
      </c>
      <c r="Y89" s="3">
        <f>X89/W89</f>
        <v>-0.10865191146881299</v>
      </c>
      <c r="Z89" s="102" t="s">
        <v>1801</v>
      </c>
      <c r="AA89" s="126"/>
      <c r="AD89" s="16" t="s">
        <v>670</v>
      </c>
      <c r="AE89" s="84">
        <v>44383</v>
      </c>
      <c r="AG89" s="33">
        <f>AF89-AE89</f>
        <v>-44383</v>
      </c>
      <c r="AH89" s="41" t="s">
        <v>1128</v>
      </c>
      <c r="AJ89" s="8"/>
    </row>
    <row r="90" spans="1:40">
      <c r="A90" s="130" t="s">
        <v>1700</v>
      </c>
      <c r="B90" s="93">
        <v>4675</v>
      </c>
      <c r="C90" s="79">
        <v>279</v>
      </c>
      <c r="D90" s="79">
        <v>30</v>
      </c>
      <c r="E90" s="79">
        <v>31</v>
      </c>
      <c r="F90" s="57">
        <v>14.09</v>
      </c>
      <c r="G90" s="79">
        <v>8936</v>
      </c>
      <c r="H90" s="30" t="s">
        <v>1469</v>
      </c>
      <c r="I90" s="16" t="s">
        <v>670</v>
      </c>
      <c r="J90" s="73">
        <v>36.26</v>
      </c>
      <c r="K90" s="323">
        <v>6.39</v>
      </c>
      <c r="L90" s="73">
        <v>34.229999999999997</v>
      </c>
      <c r="N90" s="318">
        <f>K90+J90+L90</f>
        <v>76.88</v>
      </c>
      <c r="O90" s="81">
        <f>IFERROR(VLOOKUP($G90,'321買'!A:E,3,0),"'沒有資料'")</f>
        <v>6</v>
      </c>
      <c r="P90" s="380">
        <f>IFERROR(VLOOKUP($G90,'321買'!$A:$G,7,0),"'沒有資料'")</f>
        <v>521</v>
      </c>
      <c r="R90" s="297">
        <f>IFERROR(RANK(VLOOKUP($G90,連買!$A:$D,4,0),連買!$D:$D,0),"'沒有資料'")</f>
        <v>1663</v>
      </c>
      <c r="S90" s="34">
        <v>0.5</v>
      </c>
      <c r="U90" s="95">
        <v>0.84</v>
      </c>
      <c r="V90" s="36">
        <f>RTD("money.excel",,"8936","Price")</f>
        <v>22.15</v>
      </c>
      <c r="W90" s="66">
        <f>27.85-0.25</f>
        <v>27.6</v>
      </c>
      <c r="X90" s="15">
        <f>V90-W90</f>
        <v>-5.4500000000000028</v>
      </c>
      <c r="Y90" s="3">
        <f>X90/W90</f>
        <v>-0.19746376811594213</v>
      </c>
      <c r="Z90" s="102" t="s">
        <v>1801</v>
      </c>
      <c r="AA90" s="126"/>
      <c r="AD90" s="16" t="s">
        <v>670</v>
      </c>
      <c r="AE90" s="84">
        <v>44343</v>
      </c>
      <c r="AG90" s="33">
        <f>AF90-AE90</f>
        <v>-44343</v>
      </c>
      <c r="AH90" s="41" t="s">
        <v>1128</v>
      </c>
      <c r="AJ90" s="8"/>
    </row>
    <row r="91" spans="1:40">
      <c r="A91" s="130" t="s">
        <v>1700</v>
      </c>
      <c r="B91" s="93">
        <v>4675</v>
      </c>
      <c r="C91" s="79">
        <v>279</v>
      </c>
      <c r="D91" s="79">
        <v>30</v>
      </c>
      <c r="E91" s="79">
        <v>31</v>
      </c>
      <c r="F91" s="57">
        <v>14.09</v>
      </c>
      <c r="G91" s="79">
        <v>8936</v>
      </c>
      <c r="H91" s="30" t="s">
        <v>1469</v>
      </c>
      <c r="I91" s="16" t="s">
        <v>670</v>
      </c>
      <c r="J91" s="73">
        <v>36.26</v>
      </c>
      <c r="K91" s="323">
        <v>6.39</v>
      </c>
      <c r="L91" s="73">
        <v>34.229999999999997</v>
      </c>
      <c r="N91" s="318">
        <f>K91+J91+L91</f>
        <v>76.88</v>
      </c>
      <c r="O91" s="81">
        <f>IFERROR(VLOOKUP($G91,'321買'!A:E,3,0),"'沒有資料'")</f>
        <v>6</v>
      </c>
      <c r="P91" s="380">
        <f>IFERROR(VLOOKUP($G91,'321買'!$A:$G,7,0),"'沒有資料'")</f>
        <v>521</v>
      </c>
      <c r="R91" s="297">
        <f>IFERROR(RANK(VLOOKUP($G91,連買!$A:$D,4,0),連買!$D:$D,0),"'沒有資料'")</f>
        <v>1663</v>
      </c>
      <c r="S91" s="34">
        <v>0.5</v>
      </c>
      <c r="U91" s="95">
        <v>0.84</v>
      </c>
      <c r="V91" s="36">
        <f>RTD("money.excel",,"8936","Price")</f>
        <v>22.15</v>
      </c>
      <c r="W91" s="66">
        <f>30.3-0.25</f>
        <v>30.05</v>
      </c>
      <c r="X91" s="15">
        <f>V91-W91</f>
        <v>-7.9000000000000021</v>
      </c>
      <c r="Y91" s="3">
        <f>X91/W91</f>
        <v>-0.26289517470881868</v>
      </c>
      <c r="Z91" s="102" t="s">
        <v>1801</v>
      </c>
      <c r="AA91" s="126"/>
      <c r="AD91" s="16" t="s">
        <v>670</v>
      </c>
      <c r="AE91" s="84">
        <v>44336</v>
      </c>
      <c r="AG91" s="33">
        <f>AF91-AE91</f>
        <v>-44336</v>
      </c>
      <c r="AH91" s="41" t="s">
        <v>1128</v>
      </c>
      <c r="AJ91" s="8"/>
    </row>
    <row r="92" spans="1:40" s="268" customFormat="1">
      <c r="A92" s="145"/>
      <c r="B92" s="79"/>
      <c r="C92" s="79"/>
      <c r="D92" s="79"/>
      <c r="E92" s="79"/>
      <c r="F92" s="6"/>
      <c r="G92" s="41"/>
      <c r="H92" s="8"/>
      <c r="I92" s="158"/>
      <c r="J92" s="323"/>
      <c r="K92" s="323"/>
      <c r="L92" s="323"/>
      <c r="M92" s="318"/>
      <c r="N92" s="318"/>
      <c r="O92" s="350"/>
      <c r="P92" s="374"/>
      <c r="Q92" s="302"/>
      <c r="R92" s="151"/>
      <c r="S92" s="197"/>
      <c r="T92" s="354"/>
      <c r="U92" s="95"/>
      <c r="V92" s="170">
        <f>SUM(V89:V91)</f>
        <v>66.449999999999989</v>
      </c>
      <c r="W92" s="160">
        <f>SUM(W89:W91)</f>
        <v>82.5</v>
      </c>
      <c r="X92" s="167">
        <f>V92-W92</f>
        <v>-16.050000000000011</v>
      </c>
      <c r="Y92" s="169">
        <f>X92/W92</f>
        <v>-0.19454545454545469</v>
      </c>
      <c r="Z92" s="116"/>
      <c r="AA92" s="264"/>
      <c r="AB92" s="251"/>
      <c r="AC92" s="410"/>
      <c r="AD92" s="158">
        <f>V92*(0.001425*0.5)+V92*0.003+W92*(0.001425*0.5)</f>
        <v>0.30547687499999998</v>
      </c>
      <c r="AE92" s="6">
        <f>X92-AD92</f>
        <v>-16.355476875000011</v>
      </c>
      <c r="AF92" s="83"/>
      <c r="AG92" s="33"/>
      <c r="AH92" s="41" t="s">
        <v>1563</v>
      </c>
      <c r="AI92" s="168"/>
    </row>
    <row r="93" spans="1:40" s="268" customFormat="1">
      <c r="A93" s="145"/>
      <c r="B93" s="79"/>
      <c r="C93" s="79"/>
      <c r="D93" s="79"/>
      <c r="E93" s="79"/>
      <c r="F93" s="6"/>
      <c r="G93" s="41"/>
      <c r="H93" s="8"/>
      <c r="I93" s="158"/>
      <c r="J93" s="323"/>
      <c r="K93" s="323"/>
      <c r="L93" s="323"/>
      <c r="M93" s="318"/>
      <c r="N93" s="318"/>
      <c r="O93" s="350"/>
      <c r="P93" s="374"/>
      <c r="Q93" s="302"/>
      <c r="R93" s="151"/>
      <c r="S93" s="197"/>
      <c r="T93" s="354"/>
      <c r="U93" s="95"/>
      <c r="V93" s="170"/>
      <c r="W93" s="160"/>
      <c r="X93" s="167"/>
      <c r="Y93" s="169"/>
      <c r="Z93" s="116"/>
      <c r="AA93" s="126"/>
      <c r="AB93" s="251"/>
      <c r="AC93" s="410"/>
      <c r="AD93" s="158"/>
      <c r="AE93" s="6"/>
      <c r="AF93" s="83"/>
      <c r="AG93" s="33"/>
      <c r="AH93" s="41"/>
      <c r="AI93" s="168"/>
    </row>
    <row r="94" spans="1:40" s="268" customFormat="1">
      <c r="A94" s="130" t="s">
        <v>1732</v>
      </c>
      <c r="B94" s="91" t="s">
        <v>1588</v>
      </c>
      <c r="C94" s="91" t="s">
        <v>1589</v>
      </c>
      <c r="D94" s="91" t="s">
        <v>1590</v>
      </c>
      <c r="E94" s="91" t="s">
        <v>1591</v>
      </c>
      <c r="F94" s="8" t="s">
        <v>1066</v>
      </c>
      <c r="G94" s="26" t="s">
        <v>3691</v>
      </c>
      <c r="H94" s="55" t="s">
        <v>322</v>
      </c>
      <c r="I94" s="1" t="s">
        <v>2425</v>
      </c>
      <c r="J94" s="317" t="s">
        <v>1467</v>
      </c>
      <c r="K94" s="317" t="s">
        <v>1157</v>
      </c>
      <c r="L94" s="317" t="s">
        <v>284</v>
      </c>
      <c r="M94" s="317" t="s">
        <v>1059</v>
      </c>
      <c r="N94" s="317" t="s">
        <v>5048</v>
      </c>
      <c r="O94" s="26" t="s">
        <v>5107</v>
      </c>
      <c r="P94" s="373" t="s">
        <v>5059</v>
      </c>
      <c r="Q94" s="303" t="s">
        <v>5087</v>
      </c>
      <c r="R94" s="345" t="s">
        <v>5059</v>
      </c>
      <c r="S94" s="14" t="s">
        <v>66</v>
      </c>
      <c r="T94" s="351" t="s">
        <v>5076</v>
      </c>
      <c r="U94" s="68" t="s">
        <v>3844</v>
      </c>
      <c r="V94" s="28" t="s">
        <v>3860</v>
      </c>
      <c r="W94" s="17" t="s">
        <v>1405</v>
      </c>
      <c r="X94" s="14" t="s">
        <v>2430</v>
      </c>
      <c r="Y94" s="21" t="s">
        <v>1477</v>
      </c>
      <c r="Z94" s="51" t="s">
        <v>6627</v>
      </c>
      <c r="AA94" s="406" t="s">
        <v>8647</v>
      </c>
      <c r="AB94" s="407" t="s">
        <v>8648</v>
      </c>
      <c r="AC94" s="408" t="s">
        <v>8649</v>
      </c>
      <c r="AD94" s="1" t="s">
        <v>2425</v>
      </c>
      <c r="AE94" s="71" t="s">
        <v>1406</v>
      </c>
      <c r="AF94" s="72" t="s">
        <v>1163</v>
      </c>
      <c r="AG94" s="32" t="s">
        <v>1164</v>
      </c>
      <c r="AH94" s="142"/>
      <c r="AI94" s="168"/>
    </row>
    <row r="95" spans="1:40">
      <c r="A95" s="146" t="s">
        <v>3166</v>
      </c>
      <c r="B95" s="79">
        <v>256</v>
      </c>
      <c r="C95" s="79">
        <v>355</v>
      </c>
      <c r="D95" s="80">
        <v>-3</v>
      </c>
      <c r="E95" s="80">
        <v>-18</v>
      </c>
      <c r="F95" s="6">
        <v>7.57</v>
      </c>
      <c r="G95" s="80">
        <v>3162</v>
      </c>
      <c r="H95" s="30" t="s">
        <v>1469</v>
      </c>
      <c r="I95" s="16" t="s">
        <v>533</v>
      </c>
      <c r="J95" s="323">
        <v>53.88</v>
      </c>
      <c r="K95" s="73">
        <v>51.78</v>
      </c>
      <c r="L95" s="323"/>
      <c r="N95" s="73">
        <f>K95+J95+L95</f>
        <v>105.66</v>
      </c>
      <c r="O95" s="81">
        <f>IFERROR(VLOOKUP($G95,'321買'!A:E,3,0),"'沒有資料'")</f>
        <v>0</v>
      </c>
      <c r="P95" s="380">
        <f>IFERROR(VLOOKUP($G95,'321買'!$A:$G,7,0),"'沒有資料'")</f>
        <v>911</v>
      </c>
      <c r="R95" s="297">
        <f>IFERROR(RANK(VLOOKUP($G95,連買!$A:$D,4,0),連買!$D:$D,0),"'沒有資料'")</f>
        <v>978</v>
      </c>
      <c r="S95" s="34">
        <v>0</v>
      </c>
      <c r="T95" s="353"/>
      <c r="U95" s="57">
        <v>7.0000000000000007E-2</v>
      </c>
      <c r="V95" s="13">
        <f>RTD("money.excel",,"3162","Price")</f>
        <v>41.45</v>
      </c>
      <c r="W95" s="66">
        <v>46.2</v>
      </c>
      <c r="X95" s="15">
        <f>V95-W95</f>
        <v>-4.75</v>
      </c>
      <c r="Y95" s="76">
        <f>X95/W95</f>
        <v>-0.1028138528138528</v>
      </c>
      <c r="Z95" s="139" t="s">
        <v>3784</v>
      </c>
      <c r="AA95" s="126"/>
      <c r="AD95" s="16" t="s">
        <v>533</v>
      </c>
      <c r="AE95" s="84">
        <v>44518</v>
      </c>
      <c r="AG95" s="33">
        <f>AF95-AE95</f>
        <v>-44518</v>
      </c>
      <c r="AH95" s="41" t="s">
        <v>1128</v>
      </c>
      <c r="AI95" s="237"/>
      <c r="AJ95" s="16"/>
      <c r="AK95" s="219"/>
      <c r="AL95" s="258"/>
      <c r="AM95" s="269"/>
      <c r="AN95" s="271"/>
    </row>
    <row r="96" spans="1:40" s="268" customFormat="1">
      <c r="A96" s="145"/>
      <c r="B96" s="79"/>
      <c r="C96" s="79"/>
      <c r="D96" s="79"/>
      <c r="E96" s="79"/>
      <c r="F96" s="6"/>
      <c r="G96" s="41"/>
      <c r="H96" s="8"/>
      <c r="I96" s="158"/>
      <c r="J96" s="323"/>
      <c r="K96" s="323"/>
      <c r="L96" s="323"/>
      <c r="M96" s="318"/>
      <c r="N96" s="318"/>
      <c r="O96" s="350"/>
      <c r="P96" s="380"/>
      <c r="Q96" s="302"/>
      <c r="R96" s="151"/>
      <c r="S96" s="197"/>
      <c r="T96" s="353"/>
      <c r="U96" s="95"/>
      <c r="V96" s="170">
        <f>SUM(V95)</f>
        <v>41.45</v>
      </c>
      <c r="W96" s="160">
        <f>SUM(W95)</f>
        <v>46.2</v>
      </c>
      <c r="X96" s="167">
        <f>V96-W96</f>
        <v>-4.75</v>
      </c>
      <c r="Y96" s="169">
        <f>X96/W96</f>
        <v>-0.1028138528138528</v>
      </c>
      <c r="Z96" s="116"/>
      <c r="AA96" s="126"/>
      <c r="AB96" s="251"/>
      <c r="AC96" s="410"/>
      <c r="AD96" s="158">
        <f>V96*(0.001425*0.5)+V96*0.003+W96*(0.001425*0.5)</f>
        <v>0.186800625</v>
      </c>
      <c r="AE96" s="6">
        <f>X96-AD96</f>
        <v>-4.9368006250000001</v>
      </c>
      <c r="AF96" s="83"/>
      <c r="AG96" s="33"/>
      <c r="AH96" s="41" t="s">
        <v>1128</v>
      </c>
      <c r="AI96" s="168"/>
    </row>
    <row r="97" spans="1:46" s="268" customFormat="1">
      <c r="A97" s="145"/>
      <c r="B97" s="79"/>
      <c r="C97" s="79"/>
      <c r="D97" s="79"/>
      <c r="E97" s="79"/>
      <c r="F97" s="6"/>
      <c r="G97" s="41"/>
      <c r="H97" s="8"/>
      <c r="I97" s="158"/>
      <c r="J97" s="323"/>
      <c r="K97" s="323"/>
      <c r="L97" s="323"/>
      <c r="M97" s="318"/>
      <c r="N97" s="318"/>
      <c r="O97" s="350"/>
      <c r="P97" s="374"/>
      <c r="Q97" s="302"/>
      <c r="R97" s="151"/>
      <c r="S97" s="197"/>
      <c r="T97" s="353"/>
      <c r="U97" s="95"/>
      <c r="V97" s="170"/>
      <c r="W97" s="160"/>
      <c r="X97" s="167"/>
      <c r="Y97" s="169"/>
      <c r="Z97" s="116"/>
      <c r="AA97" s="126"/>
      <c r="AB97" s="251"/>
      <c r="AC97" s="410"/>
      <c r="AD97" s="158"/>
      <c r="AE97" s="6"/>
      <c r="AF97" s="83"/>
      <c r="AG97" s="33"/>
      <c r="AH97" s="41"/>
      <c r="AI97" s="168"/>
    </row>
    <row r="98" spans="1:46" s="268" customFormat="1">
      <c r="A98" s="130" t="s">
        <v>1732</v>
      </c>
      <c r="B98" s="91" t="s">
        <v>1588</v>
      </c>
      <c r="C98" s="91" t="s">
        <v>1589</v>
      </c>
      <c r="D98" s="91" t="s">
        <v>1590</v>
      </c>
      <c r="E98" s="91" t="s">
        <v>1591</v>
      </c>
      <c r="F98" s="8" t="s">
        <v>1066</v>
      </c>
      <c r="G98" s="26" t="s">
        <v>3691</v>
      </c>
      <c r="H98" s="55" t="s">
        <v>322</v>
      </c>
      <c r="I98" s="1" t="s">
        <v>2425</v>
      </c>
      <c r="J98" s="317" t="s">
        <v>1467</v>
      </c>
      <c r="K98" s="317" t="s">
        <v>1157</v>
      </c>
      <c r="L98" s="317" t="s">
        <v>284</v>
      </c>
      <c r="M98" s="317" t="s">
        <v>1059</v>
      </c>
      <c r="N98" s="317" t="s">
        <v>5048</v>
      </c>
      <c r="O98" s="26" t="s">
        <v>5107</v>
      </c>
      <c r="P98" s="373" t="s">
        <v>5059</v>
      </c>
      <c r="Q98" s="303" t="s">
        <v>5087</v>
      </c>
      <c r="R98" s="345" t="s">
        <v>5059</v>
      </c>
      <c r="S98" s="14" t="s">
        <v>66</v>
      </c>
      <c r="T98" s="351" t="s">
        <v>5076</v>
      </c>
      <c r="U98" s="68" t="s">
        <v>3844</v>
      </c>
      <c r="V98" s="28" t="s">
        <v>3860</v>
      </c>
      <c r="W98" s="17" t="s">
        <v>1405</v>
      </c>
      <c r="X98" s="14" t="s">
        <v>2430</v>
      </c>
      <c r="Y98" s="21" t="s">
        <v>1477</v>
      </c>
      <c r="Z98" s="51" t="s">
        <v>6627</v>
      </c>
      <c r="AA98" s="406" t="s">
        <v>8647</v>
      </c>
      <c r="AB98" s="407" t="s">
        <v>8648</v>
      </c>
      <c r="AC98" s="408" t="s">
        <v>8649</v>
      </c>
      <c r="AD98" s="1" t="s">
        <v>2425</v>
      </c>
      <c r="AE98" s="71" t="s">
        <v>1406</v>
      </c>
      <c r="AF98" s="72" t="s">
        <v>1163</v>
      </c>
      <c r="AG98" s="32" t="s">
        <v>1164</v>
      </c>
      <c r="AH98" s="142"/>
      <c r="AI98" s="168"/>
    </row>
    <row r="99" spans="1:46">
      <c r="A99" s="146" t="s">
        <v>1982</v>
      </c>
      <c r="B99" s="93">
        <v>2639</v>
      </c>
      <c r="C99" s="93">
        <v>2126</v>
      </c>
      <c r="D99" s="79">
        <v>42</v>
      </c>
      <c r="E99" s="93">
        <v>1154</v>
      </c>
      <c r="F99" s="6">
        <v>9.25</v>
      </c>
      <c r="G99" s="80">
        <v>3713</v>
      </c>
      <c r="H99" s="30" t="s">
        <v>1469</v>
      </c>
      <c r="I99" s="16" t="s">
        <v>2204</v>
      </c>
      <c r="J99" s="73">
        <v>51.08</v>
      </c>
      <c r="K99" s="73">
        <v>0.28000000000000003</v>
      </c>
      <c r="N99" s="318">
        <f>K99+J99+L99</f>
        <v>51.36</v>
      </c>
      <c r="O99" s="81" t="str">
        <f>IFERROR(VLOOKUP($G99,'321買'!A:E,3,0),"'沒有資料'")</f>
        <v>'沒有資料'</v>
      </c>
      <c r="P99" s="380" t="str">
        <f>IFERROR(VLOOKUP($G99,'321買'!$A:$G,7,0),"'沒有資料'")</f>
        <v>'沒有資料'</v>
      </c>
      <c r="R99" s="297">
        <f>IFERROR(RANK(VLOOKUP($G99,連買!$A:$D,4,0),連買!$D:$D,0),"'沒有資料'")</f>
        <v>1655</v>
      </c>
      <c r="S99" s="34">
        <v>0</v>
      </c>
      <c r="U99" s="57">
        <v>0.32</v>
      </c>
      <c r="V99" s="36">
        <f>RTD("money.excel",,"3713","Price")</f>
        <v>34.6</v>
      </c>
      <c r="W99" s="66">
        <v>40.75</v>
      </c>
      <c r="X99" s="15">
        <f>V99-W99</f>
        <v>-6.1499999999999986</v>
      </c>
      <c r="Y99" s="3">
        <f>X99/W99</f>
        <v>-0.15092024539877297</v>
      </c>
      <c r="Z99" s="100" t="s">
        <v>3577</v>
      </c>
      <c r="AA99" s="126"/>
      <c r="AD99" s="16" t="s">
        <v>2204</v>
      </c>
      <c r="AE99" s="84">
        <v>44363</v>
      </c>
      <c r="AG99" s="33"/>
      <c r="AH99" s="41" t="s">
        <v>1128</v>
      </c>
      <c r="AJ99" s="251"/>
    </row>
    <row r="100" spans="1:46">
      <c r="A100" s="146" t="s">
        <v>1982</v>
      </c>
      <c r="B100" s="93">
        <v>2639</v>
      </c>
      <c r="C100" s="93">
        <v>2126</v>
      </c>
      <c r="D100" s="79">
        <v>42</v>
      </c>
      <c r="E100" s="93">
        <v>1154</v>
      </c>
      <c r="F100" s="6">
        <v>9.25</v>
      </c>
      <c r="G100" s="80">
        <v>3713</v>
      </c>
      <c r="H100" s="30" t="s">
        <v>1469</v>
      </c>
      <c r="I100" s="16" t="s">
        <v>2204</v>
      </c>
      <c r="J100" s="73">
        <v>51.08</v>
      </c>
      <c r="K100" s="73">
        <v>0.28000000000000003</v>
      </c>
      <c r="N100" s="318">
        <f>K100+J100+L100</f>
        <v>51.36</v>
      </c>
      <c r="O100" s="81" t="str">
        <f>IFERROR(VLOOKUP($G100,'321買'!A:E,3,0),"'沒有資料'")</f>
        <v>'沒有資料'</v>
      </c>
      <c r="P100" s="380" t="str">
        <f>IFERROR(VLOOKUP($G100,'321買'!$A:$G,7,0),"'沒有資料'")</f>
        <v>'沒有資料'</v>
      </c>
      <c r="R100" s="297">
        <f>IFERROR(RANK(VLOOKUP($G100,連買!$A:$D,4,0),連買!$D:$D,0),"'沒有資料'")</f>
        <v>1655</v>
      </c>
      <c r="S100" s="34">
        <v>0</v>
      </c>
      <c r="U100" s="57">
        <v>0.32</v>
      </c>
      <c r="V100" s="36">
        <f>RTD("money.excel",,"3713","Price")</f>
        <v>34.6</v>
      </c>
      <c r="W100" s="66">
        <v>46.2</v>
      </c>
      <c r="X100" s="15">
        <f>V100-W100</f>
        <v>-11.600000000000001</v>
      </c>
      <c r="Y100" s="3">
        <f>X100/W100</f>
        <v>-0.25108225108225107</v>
      </c>
      <c r="Z100" s="100" t="s">
        <v>3577</v>
      </c>
      <c r="AA100" s="168"/>
      <c r="AB100" s="268"/>
      <c r="AC100" s="411"/>
      <c r="AD100" s="16" t="s">
        <v>2204</v>
      </c>
      <c r="AE100" s="84">
        <v>44363</v>
      </c>
      <c r="AG100" s="33"/>
      <c r="AH100" s="41" t="s">
        <v>1128</v>
      </c>
      <c r="AJ100" s="251"/>
    </row>
    <row r="101" spans="1:46" s="268" customFormat="1">
      <c r="A101" s="145"/>
      <c r="B101" s="79"/>
      <c r="C101" s="79"/>
      <c r="D101" s="79"/>
      <c r="E101" s="79"/>
      <c r="F101" s="6"/>
      <c r="G101" s="41"/>
      <c r="H101" s="8"/>
      <c r="I101" s="158"/>
      <c r="J101" s="323"/>
      <c r="K101" s="323"/>
      <c r="L101" s="323"/>
      <c r="M101" s="318"/>
      <c r="N101" s="318"/>
      <c r="O101" s="350"/>
      <c r="P101" s="374"/>
      <c r="Q101" s="302"/>
      <c r="S101" s="197"/>
      <c r="T101" s="354"/>
      <c r="U101" s="95"/>
      <c r="V101" s="170">
        <f>SUM(V99:V100)</f>
        <v>69.2</v>
      </c>
      <c r="W101" s="160">
        <f>SUM(W99:W100)</f>
        <v>86.95</v>
      </c>
      <c r="X101" s="167">
        <f>V101-W101</f>
        <v>-17.75</v>
      </c>
      <c r="Y101" s="169">
        <f>X101/W101</f>
        <v>-0.20414031052328924</v>
      </c>
      <c r="Z101" s="116"/>
      <c r="AA101" s="126"/>
      <c r="AB101" s="251"/>
      <c r="AC101" s="410"/>
      <c r="AD101" s="158">
        <f>V101*(0.001425*0.5)+V101*0.003+W101*(0.001425*0.5)</f>
        <v>0.31885687499999998</v>
      </c>
      <c r="AE101" s="6">
        <f>X101-AD101</f>
        <v>-18.068856875000002</v>
      </c>
      <c r="AF101" s="83"/>
      <c r="AG101" s="33"/>
      <c r="AH101" s="41" t="s">
        <v>1514</v>
      </c>
      <c r="AI101" s="168"/>
    </row>
    <row r="102" spans="1:46">
      <c r="A102" s="146"/>
      <c r="B102" s="93"/>
      <c r="C102" s="93"/>
      <c r="D102" s="79"/>
      <c r="E102" s="93"/>
      <c r="F102" s="6"/>
      <c r="G102" s="56"/>
      <c r="H102" s="30"/>
      <c r="I102" s="16"/>
      <c r="J102" s="323"/>
      <c r="K102" s="73"/>
      <c r="N102" s="318"/>
      <c r="S102" s="34"/>
      <c r="U102" s="57"/>
      <c r="V102" s="36"/>
      <c r="W102" s="66"/>
      <c r="X102" s="15"/>
      <c r="Y102" s="3"/>
      <c r="Z102" s="100"/>
      <c r="AA102" s="126"/>
      <c r="AD102" s="16"/>
      <c r="AG102" s="33"/>
      <c r="AH102" s="41"/>
      <c r="AJ102" s="251"/>
    </row>
    <row r="103" spans="1:46" s="268" customFormat="1">
      <c r="A103" s="130" t="s">
        <v>1732</v>
      </c>
      <c r="B103" s="91" t="s">
        <v>1588</v>
      </c>
      <c r="C103" s="91" t="s">
        <v>1589</v>
      </c>
      <c r="D103" s="91" t="s">
        <v>1590</v>
      </c>
      <c r="E103" s="91" t="s">
        <v>1591</v>
      </c>
      <c r="F103" s="8" t="s">
        <v>1066</v>
      </c>
      <c r="G103" s="26" t="s">
        <v>3691</v>
      </c>
      <c r="H103" s="55" t="s">
        <v>322</v>
      </c>
      <c r="I103" s="1" t="s">
        <v>2425</v>
      </c>
      <c r="J103" s="317" t="s">
        <v>1467</v>
      </c>
      <c r="K103" s="317" t="s">
        <v>1157</v>
      </c>
      <c r="L103" s="317" t="s">
        <v>284</v>
      </c>
      <c r="M103" s="317" t="s">
        <v>1059</v>
      </c>
      <c r="N103" s="317" t="s">
        <v>5048</v>
      </c>
      <c r="O103" s="26" t="s">
        <v>5107</v>
      </c>
      <c r="P103" s="373" t="s">
        <v>5059</v>
      </c>
      <c r="Q103" s="303" t="s">
        <v>5087</v>
      </c>
      <c r="R103" s="345" t="s">
        <v>5059</v>
      </c>
      <c r="S103" s="14" t="s">
        <v>66</v>
      </c>
      <c r="T103" s="351" t="s">
        <v>5076</v>
      </c>
      <c r="U103" s="68" t="s">
        <v>3844</v>
      </c>
      <c r="V103" s="28" t="s">
        <v>3860</v>
      </c>
      <c r="W103" s="17" t="s">
        <v>1405</v>
      </c>
      <c r="X103" s="14" t="s">
        <v>2430</v>
      </c>
      <c r="Y103" s="21" t="s">
        <v>1477</v>
      </c>
      <c r="Z103" s="51" t="s">
        <v>6627</v>
      </c>
      <c r="AA103" s="406" t="s">
        <v>8647</v>
      </c>
      <c r="AB103" s="407" t="s">
        <v>8648</v>
      </c>
      <c r="AC103" s="408" t="s">
        <v>8649</v>
      </c>
      <c r="AD103" s="1" t="s">
        <v>2425</v>
      </c>
      <c r="AE103" s="71" t="s">
        <v>1406</v>
      </c>
      <c r="AF103" s="72" t="s">
        <v>1163</v>
      </c>
      <c r="AG103" s="32" t="s">
        <v>1164</v>
      </c>
      <c r="AH103" s="142"/>
      <c r="AI103" s="168"/>
    </row>
    <row r="104" spans="1:46">
      <c r="A104" s="146" t="s">
        <v>1810</v>
      </c>
      <c r="B104" s="80">
        <v>-53</v>
      </c>
      <c r="C104" s="80">
        <v>-65</v>
      </c>
      <c r="D104" s="79">
        <v>18</v>
      </c>
      <c r="E104" s="80">
        <v>-5</v>
      </c>
      <c r="F104" s="6">
        <v>6.45</v>
      </c>
      <c r="G104" s="80">
        <v>4130</v>
      </c>
      <c r="H104" s="50" t="s">
        <v>1410</v>
      </c>
      <c r="I104" s="16" t="s">
        <v>614</v>
      </c>
      <c r="J104" s="73">
        <v>31.99</v>
      </c>
      <c r="K104" s="73">
        <v>0.87</v>
      </c>
      <c r="L104" s="323">
        <v>11.8</v>
      </c>
      <c r="N104" s="318">
        <f>K104+J104+L104</f>
        <v>44.66</v>
      </c>
      <c r="O104" s="81">
        <f>IFERROR(VLOOKUP($G104,'321買'!A:E,3,0),"'沒有資料'")</f>
        <v>0</v>
      </c>
      <c r="P104" s="380">
        <f>IFERROR(VLOOKUP($G104,'321買'!$A:$G,7,0),"'沒有資料'")</f>
        <v>911</v>
      </c>
      <c r="R104" s="297">
        <f>IFERROR(RANK(VLOOKUP($G104,連買!$A:$D,4,0),連買!$D:$D,0),"'沒有資料'")</f>
        <v>506</v>
      </c>
      <c r="S104" s="34">
        <v>0.35</v>
      </c>
      <c r="U104" s="95">
        <v>0.27</v>
      </c>
      <c r="V104" s="36">
        <f>RTD("money.excel",,"4130","Price")</f>
        <v>25.15</v>
      </c>
      <c r="W104" s="66">
        <f>28.7</f>
        <v>28.7</v>
      </c>
      <c r="X104" s="15">
        <f>V104-W104</f>
        <v>-3.5500000000000007</v>
      </c>
      <c r="Y104" s="3">
        <f>X104/W104</f>
        <v>-0.12369337979094079</v>
      </c>
      <c r="Z104" s="102" t="s">
        <v>1801</v>
      </c>
      <c r="AA104" s="126"/>
      <c r="AD104" s="16" t="s">
        <v>614</v>
      </c>
      <c r="AE104" s="84">
        <v>44298</v>
      </c>
      <c r="AG104" s="33">
        <f>AF104-AE104</f>
        <v>-44298</v>
      </c>
      <c r="AH104" s="130" t="s">
        <v>1128</v>
      </c>
      <c r="AJ104" s="8"/>
    </row>
    <row r="105" spans="1:46">
      <c r="A105" s="146" t="s">
        <v>1810</v>
      </c>
      <c r="B105" s="80">
        <v>-53</v>
      </c>
      <c r="C105" s="80">
        <v>-65</v>
      </c>
      <c r="D105" s="79">
        <v>18</v>
      </c>
      <c r="E105" s="80">
        <v>-5</v>
      </c>
      <c r="F105" s="6">
        <v>6.45</v>
      </c>
      <c r="G105" s="80">
        <v>4130</v>
      </c>
      <c r="H105" s="30" t="s">
        <v>1469</v>
      </c>
      <c r="I105" s="16" t="s">
        <v>614</v>
      </c>
      <c r="J105" s="73">
        <v>31.99</v>
      </c>
      <c r="K105" s="73">
        <v>0.87</v>
      </c>
      <c r="L105" s="323">
        <v>11.8</v>
      </c>
      <c r="N105" s="318">
        <f>K105+J105+L105</f>
        <v>44.66</v>
      </c>
      <c r="O105" s="81">
        <f>IFERROR(VLOOKUP($G105,'321買'!A:E,3,0),"'沒有資料'")</f>
        <v>0</v>
      </c>
      <c r="P105" s="380">
        <f>IFERROR(VLOOKUP($G105,'321買'!$A:$G,7,0),"'沒有資料'")</f>
        <v>911</v>
      </c>
      <c r="R105" s="297">
        <f>IFERROR(RANK(VLOOKUP($G105,連買!$A:$D,4,0),連買!$D:$D,0),"'沒有資料'")</f>
        <v>506</v>
      </c>
      <c r="S105" s="34">
        <v>0.35</v>
      </c>
      <c r="U105" s="95">
        <v>0.27</v>
      </c>
      <c r="V105" s="36">
        <f>RTD("money.excel",,"4130","Price")</f>
        <v>25.15</v>
      </c>
      <c r="W105" s="66">
        <f>29.05</f>
        <v>29.05</v>
      </c>
      <c r="X105" s="15">
        <f>V105-W105</f>
        <v>-3.9000000000000021</v>
      </c>
      <c r="Y105" s="3">
        <f>X105/W105</f>
        <v>-0.13425129087779697</v>
      </c>
      <c r="Z105" s="102" t="s">
        <v>1801</v>
      </c>
      <c r="AA105" s="126"/>
      <c r="AD105" s="16" t="s">
        <v>614</v>
      </c>
      <c r="AE105" s="84">
        <v>44298</v>
      </c>
      <c r="AG105" s="33">
        <f>AF105-AE105</f>
        <v>-44298</v>
      </c>
      <c r="AH105" s="41" t="s">
        <v>1128</v>
      </c>
      <c r="AJ105" s="8"/>
    </row>
    <row r="106" spans="1:46">
      <c r="A106" s="146" t="s">
        <v>1810</v>
      </c>
      <c r="B106" s="80">
        <v>-53</v>
      </c>
      <c r="C106" s="80">
        <v>-65</v>
      </c>
      <c r="D106" s="79">
        <v>18</v>
      </c>
      <c r="E106" s="80">
        <v>-5</v>
      </c>
      <c r="F106" s="6">
        <v>6.45</v>
      </c>
      <c r="G106" s="80">
        <v>4130</v>
      </c>
      <c r="H106" s="30" t="s">
        <v>1469</v>
      </c>
      <c r="I106" s="16" t="s">
        <v>614</v>
      </c>
      <c r="J106" s="73">
        <v>31.99</v>
      </c>
      <c r="K106" s="73">
        <v>0.87</v>
      </c>
      <c r="L106" s="323">
        <v>11.8</v>
      </c>
      <c r="N106" s="318">
        <f>K106+J106+L106</f>
        <v>44.66</v>
      </c>
      <c r="O106" s="81">
        <f>IFERROR(VLOOKUP($G106,'321買'!A:E,3,0),"'沒有資料'")</f>
        <v>0</v>
      </c>
      <c r="P106" s="380">
        <f>IFERROR(VLOOKUP($G106,'321買'!$A:$G,7,0),"'沒有資料'")</f>
        <v>911</v>
      </c>
      <c r="R106" s="297">
        <f>IFERROR(RANK(VLOOKUP($G106,連買!$A:$D,4,0),連買!$D:$D,0),"'沒有資料'")</f>
        <v>506</v>
      </c>
      <c r="S106" s="34">
        <v>0.35</v>
      </c>
      <c r="U106" s="95">
        <v>0.27</v>
      </c>
      <c r="V106" s="36">
        <f>RTD("money.excel",,"4130","Price")</f>
        <v>25.15</v>
      </c>
      <c r="W106" s="66">
        <f>28.65</f>
        <v>28.65</v>
      </c>
      <c r="X106" s="15">
        <f>V106-W106</f>
        <v>-3.5</v>
      </c>
      <c r="Y106" s="3">
        <f>X106/W106</f>
        <v>-0.12216404886561955</v>
      </c>
      <c r="Z106" s="102" t="s">
        <v>1801</v>
      </c>
      <c r="AA106" s="126"/>
      <c r="AD106" s="16" t="s">
        <v>614</v>
      </c>
      <c r="AE106" s="84">
        <v>44298</v>
      </c>
      <c r="AG106" s="33">
        <f>AF106-AE106</f>
        <v>-44298</v>
      </c>
      <c r="AH106" s="41" t="s">
        <v>1128</v>
      </c>
      <c r="AI106" s="41" t="s">
        <v>1514</v>
      </c>
      <c r="AJ106" s="8"/>
    </row>
    <row r="107" spans="1:46" s="268" customFormat="1">
      <c r="A107" s="145"/>
      <c r="B107" s="79"/>
      <c r="C107" s="79"/>
      <c r="D107" s="79"/>
      <c r="E107" s="79"/>
      <c r="F107" s="6"/>
      <c r="G107" s="41"/>
      <c r="H107" s="8"/>
      <c r="I107" s="158"/>
      <c r="J107" s="323"/>
      <c r="K107" s="323"/>
      <c r="L107" s="323"/>
      <c r="M107" s="318"/>
      <c r="N107" s="318"/>
      <c r="O107" s="350"/>
      <c r="P107" s="374"/>
      <c r="Q107" s="302"/>
      <c r="R107" s="151"/>
      <c r="S107" s="197"/>
      <c r="T107" s="354"/>
      <c r="U107" s="95"/>
      <c r="V107" s="170">
        <f>SUM(V104:V106)</f>
        <v>75.449999999999989</v>
      </c>
      <c r="W107" s="160">
        <f>SUM(W104:W106)</f>
        <v>86.4</v>
      </c>
      <c r="X107" s="167">
        <f>V107-W107</f>
        <v>-10.950000000000017</v>
      </c>
      <c r="Y107" s="169">
        <f>X107/W107</f>
        <v>-0.1267361111111113</v>
      </c>
      <c r="Z107" s="116"/>
      <c r="AA107" s="126"/>
      <c r="AB107" s="251"/>
      <c r="AC107" s="410"/>
      <c r="AD107" s="158">
        <f>V107*(0.001425*0.5)+V107*0.003+W107*(0.001425*0.5)</f>
        <v>0.34166812499999999</v>
      </c>
      <c r="AE107" s="6">
        <f>X107-AD107</f>
        <v>-11.291668125000017</v>
      </c>
      <c r="AF107" s="83"/>
      <c r="AG107" s="33"/>
      <c r="AH107" s="41" t="s">
        <v>1563</v>
      </c>
      <c r="AI107" s="168"/>
    </row>
    <row r="108" spans="1:46">
      <c r="A108" s="146"/>
      <c r="B108" s="79"/>
      <c r="C108" s="79"/>
      <c r="D108" s="79"/>
      <c r="E108" s="80"/>
      <c r="F108" s="6"/>
      <c r="G108" s="41"/>
      <c r="H108" s="5"/>
      <c r="I108" s="16"/>
      <c r="J108" s="73"/>
      <c r="K108" s="73"/>
      <c r="L108" s="323"/>
      <c r="N108" s="318"/>
      <c r="S108" s="34"/>
      <c r="U108" s="95"/>
      <c r="V108" s="36"/>
      <c r="W108" s="66"/>
      <c r="X108" s="15"/>
      <c r="Y108" s="3"/>
      <c r="Z108" s="102"/>
      <c r="AA108" s="126"/>
      <c r="AD108" s="16"/>
      <c r="AE108" s="118"/>
      <c r="AG108" s="119"/>
      <c r="AH108" s="24"/>
      <c r="AJ108" s="8"/>
    </row>
    <row r="109" spans="1:46" s="268" customFormat="1">
      <c r="A109" s="130" t="s">
        <v>1732</v>
      </c>
      <c r="B109" s="91" t="s">
        <v>1588</v>
      </c>
      <c r="C109" s="91" t="s">
        <v>1589</v>
      </c>
      <c r="D109" s="91" t="s">
        <v>1590</v>
      </c>
      <c r="E109" s="91" t="s">
        <v>1591</v>
      </c>
      <c r="F109" s="8" t="s">
        <v>1066</v>
      </c>
      <c r="G109" s="26" t="s">
        <v>3691</v>
      </c>
      <c r="H109" s="55" t="s">
        <v>322</v>
      </c>
      <c r="I109" s="1" t="s">
        <v>69</v>
      </c>
      <c r="J109" s="317" t="s">
        <v>1467</v>
      </c>
      <c r="K109" s="317" t="s">
        <v>1157</v>
      </c>
      <c r="L109" s="317" t="s">
        <v>284</v>
      </c>
      <c r="M109" s="317" t="s">
        <v>1059</v>
      </c>
      <c r="N109" s="317" t="s">
        <v>5048</v>
      </c>
      <c r="O109" s="26" t="s">
        <v>5107</v>
      </c>
      <c r="P109" s="373" t="s">
        <v>5059</v>
      </c>
      <c r="Q109" s="303" t="s">
        <v>5087</v>
      </c>
      <c r="R109" s="345" t="s">
        <v>5059</v>
      </c>
      <c r="S109" s="14" t="s">
        <v>66</v>
      </c>
      <c r="T109" s="351" t="s">
        <v>5076</v>
      </c>
      <c r="U109" s="68" t="s">
        <v>3844</v>
      </c>
      <c r="V109" s="28" t="s">
        <v>3860</v>
      </c>
      <c r="W109" s="17" t="s">
        <v>1405</v>
      </c>
      <c r="X109" s="14" t="s">
        <v>2430</v>
      </c>
      <c r="Y109" s="21" t="s">
        <v>1477</v>
      </c>
      <c r="Z109" s="51" t="s">
        <v>6627</v>
      </c>
      <c r="AA109" s="406" t="s">
        <v>8647</v>
      </c>
      <c r="AB109" s="407" t="s">
        <v>8648</v>
      </c>
      <c r="AC109" s="408" t="s">
        <v>8649</v>
      </c>
      <c r="AD109" s="1" t="s">
        <v>69</v>
      </c>
      <c r="AE109" s="71" t="s">
        <v>1406</v>
      </c>
      <c r="AF109" s="72" t="s">
        <v>1163</v>
      </c>
      <c r="AG109" s="32" t="s">
        <v>1164</v>
      </c>
      <c r="AH109" s="142"/>
      <c r="AI109" s="168"/>
    </row>
    <row r="110" spans="1:46" s="176" customFormat="1" ht="17.100000000000001" customHeight="1">
      <c r="A110" s="146">
        <v>5.0599999999999996</v>
      </c>
      <c r="B110" s="79">
        <v>11</v>
      </c>
      <c r="C110" s="79">
        <v>23</v>
      </c>
      <c r="D110" s="80">
        <v>-20</v>
      </c>
      <c r="E110" s="80">
        <v>-15</v>
      </c>
      <c r="F110" s="6">
        <v>-10.76</v>
      </c>
      <c r="G110" s="80">
        <v>4432</v>
      </c>
      <c r="H110" s="50" t="s">
        <v>1410</v>
      </c>
      <c r="I110" s="171" t="s">
        <v>206</v>
      </c>
      <c r="J110" s="323">
        <v>46.39</v>
      </c>
      <c r="K110" s="323">
        <v>0.97</v>
      </c>
      <c r="L110" s="73">
        <v>6.44</v>
      </c>
      <c r="M110" s="318"/>
      <c r="N110" s="318">
        <f t="shared" ref="N110:N117" si="10">K110+J110+L110</f>
        <v>53.8</v>
      </c>
      <c r="O110" s="81">
        <f>IFERROR(VLOOKUP($G110,'321買'!A:E,3,0),"'沒有資料'")</f>
        <v>0</v>
      </c>
      <c r="P110" s="380">
        <f>IFERROR(VLOOKUP($G110,'321買'!$A:$G,7,0),"'沒有資料'")</f>
        <v>911</v>
      </c>
      <c r="Q110" s="302"/>
      <c r="R110" s="297">
        <f>IFERROR(RANK(VLOOKUP($G110,連買!$A:$D,4,0),連買!$D:$D,0),"'沒有資料'")</f>
        <v>1159</v>
      </c>
      <c r="S110" s="197">
        <v>0</v>
      </c>
      <c r="T110" s="354"/>
      <c r="U110" s="95">
        <v>-0.1</v>
      </c>
      <c r="V110" s="170">
        <f>RTD("money.excel",,"4432","Price")</f>
        <v>15.55</v>
      </c>
      <c r="W110" s="65">
        <v>17.95</v>
      </c>
      <c r="X110" s="167">
        <f t="shared" ref="X110:X117" si="11">V110-W110</f>
        <v>-2.3999999999999986</v>
      </c>
      <c r="Y110" s="169">
        <f t="shared" ref="Y110:Y118" si="12">X110/W110</f>
        <v>-0.13370473537604449</v>
      </c>
      <c r="Z110" s="116" t="s">
        <v>3416</v>
      </c>
      <c r="AA110" s="126"/>
      <c r="AB110" s="251"/>
      <c r="AC110" s="410"/>
      <c r="AD110" s="171" t="s">
        <v>206</v>
      </c>
      <c r="AE110" s="84">
        <v>44314</v>
      </c>
      <c r="AF110" s="83"/>
      <c r="AG110" s="33">
        <f t="shared" ref="AG110:AG117" si="13">AF110-AE110</f>
        <v>-44314</v>
      </c>
      <c r="AH110" s="130" t="s">
        <v>1128</v>
      </c>
      <c r="AI110" s="27"/>
      <c r="AJ110" s="17"/>
      <c r="AK110" s="11"/>
      <c r="AL110" s="11"/>
      <c r="AM110" s="11"/>
      <c r="AN110" s="11"/>
      <c r="AO110" s="268"/>
      <c r="AP110" s="268"/>
      <c r="AR110" s="4"/>
      <c r="AS110" s="268"/>
      <c r="AT110" s="268"/>
    </row>
    <row r="111" spans="1:46" s="176" customFormat="1" ht="17.100000000000001" customHeight="1">
      <c r="A111" s="146">
        <v>5.0599999999999996</v>
      </c>
      <c r="B111" s="79">
        <v>11</v>
      </c>
      <c r="C111" s="79">
        <v>23</v>
      </c>
      <c r="D111" s="80">
        <v>-20</v>
      </c>
      <c r="E111" s="80">
        <v>-15</v>
      </c>
      <c r="F111" s="6">
        <v>-10.76</v>
      </c>
      <c r="G111" s="80">
        <v>4432</v>
      </c>
      <c r="H111" s="50" t="s">
        <v>1410</v>
      </c>
      <c r="I111" s="171" t="s">
        <v>206</v>
      </c>
      <c r="J111" s="323">
        <v>46.39</v>
      </c>
      <c r="K111" s="323">
        <v>0.97</v>
      </c>
      <c r="L111" s="73">
        <v>6.44</v>
      </c>
      <c r="M111" s="318"/>
      <c r="N111" s="318">
        <f t="shared" si="10"/>
        <v>53.8</v>
      </c>
      <c r="O111" s="81">
        <f>IFERROR(VLOOKUP($G111,'321買'!A:E,3,0),"'沒有資料'")</f>
        <v>0</v>
      </c>
      <c r="P111" s="380">
        <f>IFERROR(VLOOKUP($G111,'321買'!$A:$G,7,0),"'沒有資料'")</f>
        <v>911</v>
      </c>
      <c r="Q111" s="302"/>
      <c r="R111" s="297">
        <f>IFERROR(RANK(VLOOKUP($G111,連買!$A:$D,4,0),連買!$D:$D,0),"'沒有資料'")</f>
        <v>1159</v>
      </c>
      <c r="S111" s="197">
        <v>0</v>
      </c>
      <c r="T111" s="354"/>
      <c r="U111" s="95">
        <v>-0.1</v>
      </c>
      <c r="V111" s="170">
        <f>RTD("money.excel",,"4432","Price")</f>
        <v>15.55</v>
      </c>
      <c r="W111" s="65">
        <v>17.899999999999999</v>
      </c>
      <c r="X111" s="167">
        <f t="shared" si="11"/>
        <v>-2.3499999999999979</v>
      </c>
      <c r="Y111" s="169">
        <f t="shared" si="12"/>
        <v>-0.13128491620111721</v>
      </c>
      <c r="Z111" s="116" t="s">
        <v>3416</v>
      </c>
      <c r="AA111" s="126"/>
      <c r="AB111" s="251"/>
      <c r="AC111" s="410"/>
      <c r="AD111" s="171" t="s">
        <v>206</v>
      </c>
      <c r="AE111" s="84">
        <v>44313</v>
      </c>
      <c r="AF111" s="83"/>
      <c r="AG111" s="33">
        <f t="shared" si="13"/>
        <v>-44313</v>
      </c>
      <c r="AH111" s="130" t="s">
        <v>1128</v>
      </c>
      <c r="AI111" s="27"/>
      <c r="AJ111" s="17"/>
      <c r="AK111" s="11"/>
      <c r="AL111" s="11"/>
      <c r="AM111" s="11"/>
      <c r="AN111" s="11"/>
      <c r="AO111" s="268"/>
      <c r="AP111" s="268"/>
      <c r="AR111" s="4"/>
      <c r="AS111" s="268"/>
      <c r="AT111" s="268"/>
    </row>
    <row r="112" spans="1:46" s="176" customFormat="1" ht="17.100000000000001" customHeight="1">
      <c r="A112" s="146">
        <v>5.0599999999999996</v>
      </c>
      <c r="B112" s="79">
        <v>11</v>
      </c>
      <c r="C112" s="79">
        <v>23</v>
      </c>
      <c r="D112" s="80">
        <v>-20</v>
      </c>
      <c r="E112" s="80">
        <v>-15</v>
      </c>
      <c r="F112" s="6">
        <v>-10.76</v>
      </c>
      <c r="G112" s="80">
        <v>4432</v>
      </c>
      <c r="H112" s="50" t="s">
        <v>1410</v>
      </c>
      <c r="I112" s="171" t="s">
        <v>206</v>
      </c>
      <c r="J112" s="323">
        <v>46.39</v>
      </c>
      <c r="K112" s="323">
        <v>0.97</v>
      </c>
      <c r="L112" s="73">
        <v>6.44</v>
      </c>
      <c r="M112" s="318"/>
      <c r="N112" s="318">
        <f t="shared" si="10"/>
        <v>53.8</v>
      </c>
      <c r="O112" s="81">
        <f>IFERROR(VLOOKUP($G112,'321買'!A:E,3,0),"'沒有資料'")</f>
        <v>0</v>
      </c>
      <c r="P112" s="380">
        <f>IFERROR(VLOOKUP($G112,'321買'!$A:$G,7,0),"'沒有資料'")</f>
        <v>911</v>
      </c>
      <c r="Q112" s="302"/>
      <c r="R112" s="297">
        <f>IFERROR(RANK(VLOOKUP($G112,連買!$A:$D,4,0),連買!$D:$D,0),"'沒有資料'")</f>
        <v>1159</v>
      </c>
      <c r="S112" s="197">
        <v>0</v>
      </c>
      <c r="T112" s="354"/>
      <c r="U112" s="95">
        <v>-0.1</v>
      </c>
      <c r="V112" s="170">
        <f>RTD("money.excel",,"4432","Price")</f>
        <v>15.55</v>
      </c>
      <c r="W112" s="65">
        <v>18.05</v>
      </c>
      <c r="X112" s="167">
        <f t="shared" si="11"/>
        <v>-2.5</v>
      </c>
      <c r="Y112" s="169">
        <f t="shared" si="12"/>
        <v>-0.13850415512465372</v>
      </c>
      <c r="Z112" s="116" t="s">
        <v>3416</v>
      </c>
      <c r="AA112" s="126"/>
      <c r="AB112" s="251"/>
      <c r="AC112" s="410"/>
      <c r="AD112" s="171" t="s">
        <v>206</v>
      </c>
      <c r="AE112" s="84">
        <v>44312</v>
      </c>
      <c r="AF112" s="83"/>
      <c r="AG112" s="33">
        <f t="shared" si="13"/>
        <v>-44312</v>
      </c>
      <c r="AH112" s="130" t="s">
        <v>1128</v>
      </c>
      <c r="AI112" s="27"/>
      <c r="AJ112" s="17"/>
      <c r="AK112" s="11"/>
      <c r="AL112" s="11"/>
      <c r="AM112" s="11"/>
      <c r="AN112" s="11"/>
      <c r="AO112" s="268"/>
      <c r="AP112" s="268"/>
      <c r="AR112" s="4"/>
      <c r="AS112" s="268"/>
      <c r="AT112" s="268"/>
    </row>
    <row r="113" spans="1:46" s="176" customFormat="1" ht="17.100000000000001" customHeight="1">
      <c r="A113" s="146">
        <v>5.0599999999999996</v>
      </c>
      <c r="B113" s="79">
        <v>11</v>
      </c>
      <c r="C113" s="79">
        <v>23</v>
      </c>
      <c r="D113" s="80">
        <v>-20</v>
      </c>
      <c r="E113" s="80">
        <v>-15</v>
      </c>
      <c r="F113" s="6">
        <v>-10.76</v>
      </c>
      <c r="G113" s="80">
        <v>4432</v>
      </c>
      <c r="H113" s="50" t="s">
        <v>1410</v>
      </c>
      <c r="I113" s="171" t="s">
        <v>206</v>
      </c>
      <c r="J113" s="323">
        <v>46.39</v>
      </c>
      <c r="K113" s="323">
        <v>0.97</v>
      </c>
      <c r="L113" s="73">
        <v>6.44</v>
      </c>
      <c r="M113" s="318"/>
      <c r="N113" s="318">
        <f t="shared" si="10"/>
        <v>53.8</v>
      </c>
      <c r="O113" s="81">
        <f>IFERROR(VLOOKUP($G113,'321買'!A:E,3,0),"'沒有資料'")</f>
        <v>0</v>
      </c>
      <c r="P113" s="380">
        <f>IFERROR(VLOOKUP($G113,'321買'!$A:$G,7,0),"'沒有資料'")</f>
        <v>911</v>
      </c>
      <c r="Q113" s="302"/>
      <c r="R113" s="297">
        <f>IFERROR(RANK(VLOOKUP($G113,連買!$A:$D,4,0),連買!$D:$D,0),"'沒有資料'")</f>
        <v>1159</v>
      </c>
      <c r="S113" s="197">
        <v>0</v>
      </c>
      <c r="T113" s="354"/>
      <c r="U113" s="95">
        <v>-0.1</v>
      </c>
      <c r="V113" s="170">
        <f>RTD("money.excel",,"4432","Price")</f>
        <v>15.55</v>
      </c>
      <c r="W113" s="65">
        <v>18.149999999999999</v>
      </c>
      <c r="X113" s="167">
        <f t="shared" si="11"/>
        <v>-2.5999999999999979</v>
      </c>
      <c r="Y113" s="169">
        <f t="shared" si="12"/>
        <v>-0.14325068870523405</v>
      </c>
      <c r="Z113" s="116" t="s">
        <v>3416</v>
      </c>
      <c r="AA113" s="126"/>
      <c r="AB113" s="251"/>
      <c r="AC113" s="410"/>
      <c r="AD113" s="171" t="s">
        <v>206</v>
      </c>
      <c r="AE113" s="84">
        <v>44312</v>
      </c>
      <c r="AF113" s="83"/>
      <c r="AG113" s="33">
        <f t="shared" si="13"/>
        <v>-44312</v>
      </c>
      <c r="AH113" s="130" t="s">
        <v>1128</v>
      </c>
      <c r="AI113" s="27"/>
      <c r="AJ113" s="17"/>
      <c r="AK113" s="11"/>
      <c r="AL113" s="11"/>
      <c r="AM113" s="11"/>
      <c r="AN113" s="11"/>
      <c r="AO113" s="268"/>
      <c r="AP113" s="268"/>
      <c r="AR113" s="4"/>
      <c r="AS113" s="268"/>
      <c r="AT113" s="268"/>
    </row>
    <row r="114" spans="1:46" s="176" customFormat="1" ht="17.100000000000001" customHeight="1">
      <c r="A114" s="146">
        <v>5.0599999999999996</v>
      </c>
      <c r="B114" s="79">
        <v>11</v>
      </c>
      <c r="C114" s="79">
        <v>23</v>
      </c>
      <c r="D114" s="80">
        <v>-20</v>
      </c>
      <c r="E114" s="80">
        <v>-15</v>
      </c>
      <c r="F114" s="6">
        <v>-10.76</v>
      </c>
      <c r="G114" s="80">
        <v>4432</v>
      </c>
      <c r="H114" s="50" t="s">
        <v>1410</v>
      </c>
      <c r="I114" s="171" t="s">
        <v>206</v>
      </c>
      <c r="J114" s="323">
        <v>46.39</v>
      </c>
      <c r="K114" s="323">
        <v>0.97</v>
      </c>
      <c r="L114" s="73">
        <v>6.44</v>
      </c>
      <c r="M114" s="318"/>
      <c r="N114" s="318">
        <f t="shared" si="10"/>
        <v>53.8</v>
      </c>
      <c r="O114" s="81">
        <f>IFERROR(VLOOKUP($G114,'321買'!A:E,3,0),"'沒有資料'")</f>
        <v>0</v>
      </c>
      <c r="P114" s="380">
        <f>IFERROR(VLOOKUP($G114,'321買'!$A:$G,7,0),"'沒有資料'")</f>
        <v>911</v>
      </c>
      <c r="Q114" s="302"/>
      <c r="R114" s="297">
        <f>IFERROR(RANK(VLOOKUP($G114,連買!$A:$D,4,0),連買!$D:$D,0),"'沒有資料'")</f>
        <v>1159</v>
      </c>
      <c r="S114" s="197">
        <v>0</v>
      </c>
      <c r="T114" s="354"/>
      <c r="U114" s="95">
        <v>-0.1</v>
      </c>
      <c r="V114" s="170">
        <f>RTD("money.excel",,"4432","Price")</f>
        <v>15.55</v>
      </c>
      <c r="W114" s="65">
        <f>46.16-2.4-0.93-1.16</f>
        <v>41.67</v>
      </c>
      <c r="X114" s="167">
        <f t="shared" si="11"/>
        <v>-26.12</v>
      </c>
      <c r="Y114" s="169">
        <f t="shared" si="12"/>
        <v>-0.62682985361171106</v>
      </c>
      <c r="Z114" s="116" t="s">
        <v>3416</v>
      </c>
      <c r="AA114" s="126"/>
      <c r="AB114" s="251"/>
      <c r="AC114" s="410"/>
      <c r="AD114" s="171" t="s">
        <v>206</v>
      </c>
      <c r="AE114" s="84">
        <v>42780</v>
      </c>
      <c r="AF114" s="83"/>
      <c r="AG114" s="33">
        <f t="shared" si="13"/>
        <v>-42780</v>
      </c>
      <c r="AH114" s="130" t="s">
        <v>1128</v>
      </c>
      <c r="AI114" s="27"/>
      <c r="AJ114" s="17"/>
      <c r="AK114" s="11"/>
      <c r="AL114" s="11"/>
      <c r="AM114" s="11"/>
      <c r="AN114" s="11"/>
      <c r="AO114" s="268"/>
      <c r="AP114" s="268"/>
      <c r="AR114" s="4"/>
      <c r="AS114" s="268"/>
      <c r="AT114" s="268"/>
    </row>
    <row r="115" spans="1:46" s="176" customFormat="1" ht="17.100000000000001" customHeight="1">
      <c r="A115" s="146">
        <v>5.0599999999999996</v>
      </c>
      <c r="B115" s="79">
        <v>11</v>
      </c>
      <c r="C115" s="79">
        <v>23</v>
      </c>
      <c r="D115" s="80">
        <v>-20</v>
      </c>
      <c r="E115" s="80">
        <v>-15</v>
      </c>
      <c r="F115" s="6">
        <v>-10.76</v>
      </c>
      <c r="G115" s="80">
        <v>4432</v>
      </c>
      <c r="H115" s="50" t="s">
        <v>1410</v>
      </c>
      <c r="I115" s="171" t="s">
        <v>206</v>
      </c>
      <c r="J115" s="323">
        <v>46.39</v>
      </c>
      <c r="K115" s="323">
        <v>0.97</v>
      </c>
      <c r="L115" s="73">
        <v>6.44</v>
      </c>
      <c r="M115" s="318"/>
      <c r="N115" s="318">
        <f t="shared" si="10"/>
        <v>53.8</v>
      </c>
      <c r="O115" s="81">
        <f>IFERROR(VLOOKUP($G115,'321買'!A:E,3,0),"'沒有資料'")</f>
        <v>0</v>
      </c>
      <c r="P115" s="380">
        <f>IFERROR(VLOOKUP($G115,'321買'!$A:$G,7,0),"'沒有資料'")</f>
        <v>911</v>
      </c>
      <c r="Q115" s="302"/>
      <c r="R115" s="297">
        <f>IFERROR(RANK(VLOOKUP($G115,連買!$A:$D,4,0),連買!$D:$D,0),"'沒有資料'")</f>
        <v>1159</v>
      </c>
      <c r="S115" s="197">
        <v>0</v>
      </c>
      <c r="T115" s="354"/>
      <c r="U115" s="95">
        <v>-0.1</v>
      </c>
      <c r="V115" s="170">
        <f>RTD("money.excel",,"4432","Price")</f>
        <v>15.55</v>
      </c>
      <c r="W115" s="65">
        <f>32.69-0.93-1.16</f>
        <v>30.599999999999998</v>
      </c>
      <c r="X115" s="167">
        <f t="shared" si="11"/>
        <v>-15.049999999999997</v>
      </c>
      <c r="Y115" s="169">
        <f t="shared" si="12"/>
        <v>-0.49183006535947704</v>
      </c>
      <c r="Z115" s="116" t="s">
        <v>3417</v>
      </c>
      <c r="AA115" s="126"/>
      <c r="AB115" s="251"/>
      <c r="AC115" s="410"/>
      <c r="AD115" s="171" t="s">
        <v>206</v>
      </c>
      <c r="AE115" s="84">
        <v>43206</v>
      </c>
      <c r="AF115" s="83"/>
      <c r="AG115" s="33">
        <f t="shared" si="13"/>
        <v>-43206</v>
      </c>
      <c r="AH115" s="130" t="s">
        <v>1128</v>
      </c>
      <c r="AI115" s="27"/>
      <c r="AJ115" s="17"/>
      <c r="AK115" s="11"/>
      <c r="AL115" s="11"/>
      <c r="AM115" s="11"/>
      <c r="AN115" s="11"/>
      <c r="AO115" s="268"/>
      <c r="AP115" s="268"/>
      <c r="AR115" s="4"/>
      <c r="AS115" s="268"/>
      <c r="AT115" s="268"/>
    </row>
    <row r="116" spans="1:46" s="268" customFormat="1" ht="16.5" customHeight="1">
      <c r="A116" s="146">
        <v>5.0599999999999996</v>
      </c>
      <c r="B116" s="79">
        <v>11</v>
      </c>
      <c r="C116" s="79">
        <v>23</v>
      </c>
      <c r="D116" s="80">
        <v>-20</v>
      </c>
      <c r="E116" s="80">
        <v>-15</v>
      </c>
      <c r="F116" s="6">
        <v>-10.76</v>
      </c>
      <c r="G116" s="80">
        <v>4432</v>
      </c>
      <c r="H116" s="50" t="s">
        <v>1410</v>
      </c>
      <c r="I116" s="171" t="s">
        <v>206</v>
      </c>
      <c r="J116" s="323">
        <v>46.39</v>
      </c>
      <c r="K116" s="323">
        <v>0.97</v>
      </c>
      <c r="L116" s="73">
        <v>6.44</v>
      </c>
      <c r="M116" s="318"/>
      <c r="N116" s="318">
        <f t="shared" si="10"/>
        <v>53.8</v>
      </c>
      <c r="O116" s="81">
        <f>IFERROR(VLOOKUP($G116,'321買'!A:E,3,0),"'沒有資料'")</f>
        <v>0</v>
      </c>
      <c r="P116" s="380">
        <f>IFERROR(VLOOKUP($G116,'321買'!$A:$G,7,0),"'沒有資料'")</f>
        <v>911</v>
      </c>
      <c r="Q116" s="302"/>
      <c r="R116" s="297">
        <f>IFERROR(RANK(VLOOKUP($G116,連買!$A:$D,4,0),連買!$D:$D,0),"'沒有資料'")</f>
        <v>1159</v>
      </c>
      <c r="S116" s="197">
        <v>0</v>
      </c>
      <c r="T116" s="354"/>
      <c r="U116" s="95">
        <v>-0.1</v>
      </c>
      <c r="V116" s="166">
        <f>RTD("money.excel",,"4432","Price")</f>
        <v>15.55</v>
      </c>
      <c r="W116" s="65">
        <v>23.55</v>
      </c>
      <c r="X116" s="167">
        <f t="shared" si="11"/>
        <v>-8</v>
      </c>
      <c r="Y116" s="169">
        <f t="shared" si="12"/>
        <v>-0.33970276008492567</v>
      </c>
      <c r="Z116" s="115" t="s">
        <v>3418</v>
      </c>
      <c r="AA116" s="126"/>
      <c r="AB116" s="251"/>
      <c r="AC116" s="410"/>
      <c r="AD116" s="171" t="s">
        <v>206</v>
      </c>
      <c r="AE116" s="84">
        <v>43741</v>
      </c>
      <c r="AF116" s="83"/>
      <c r="AG116" s="33">
        <f t="shared" si="13"/>
        <v>-43741</v>
      </c>
      <c r="AH116" s="130" t="s">
        <v>1128</v>
      </c>
    </row>
    <row r="117" spans="1:46" s="268" customFormat="1" ht="16.5" customHeight="1">
      <c r="A117" s="146">
        <v>5.0599999999999996</v>
      </c>
      <c r="B117" s="79">
        <v>11</v>
      </c>
      <c r="C117" s="79">
        <v>23</v>
      </c>
      <c r="D117" s="80">
        <v>-20</v>
      </c>
      <c r="E117" s="80">
        <v>-15</v>
      </c>
      <c r="F117" s="6">
        <v>-10.76</v>
      </c>
      <c r="G117" s="80">
        <v>4432</v>
      </c>
      <c r="H117" s="50" t="s">
        <v>1410</v>
      </c>
      <c r="I117" s="171" t="s">
        <v>206</v>
      </c>
      <c r="J117" s="323">
        <v>46.39</v>
      </c>
      <c r="K117" s="323">
        <v>0.97</v>
      </c>
      <c r="L117" s="73">
        <v>6.44</v>
      </c>
      <c r="M117" s="318"/>
      <c r="N117" s="318">
        <f t="shared" si="10"/>
        <v>53.8</v>
      </c>
      <c r="O117" s="81">
        <f>IFERROR(VLOOKUP($G117,'321買'!A:E,3,0),"'沒有資料'")</f>
        <v>0</v>
      </c>
      <c r="P117" s="380">
        <f>IFERROR(VLOOKUP($G117,'321買'!$A:$G,7,0),"'沒有資料'")</f>
        <v>911</v>
      </c>
      <c r="Q117" s="302"/>
      <c r="R117" s="297">
        <f>IFERROR(RANK(VLOOKUP($G117,連買!$A:$D,4,0),連買!$D:$D,0),"'沒有資料'")</f>
        <v>1159</v>
      </c>
      <c r="S117" s="197">
        <v>0</v>
      </c>
      <c r="T117" s="354"/>
      <c r="U117" s="95">
        <v>-0.1</v>
      </c>
      <c r="V117" s="166">
        <f>RTD("money.excel",,"4432","Price")</f>
        <v>15.55</v>
      </c>
      <c r="W117" s="65">
        <v>22.35</v>
      </c>
      <c r="X117" s="167">
        <f t="shared" si="11"/>
        <v>-6.8000000000000007</v>
      </c>
      <c r="Y117" s="169">
        <f t="shared" si="12"/>
        <v>-0.30425055928411632</v>
      </c>
      <c r="Z117" s="115" t="s">
        <v>3419</v>
      </c>
      <c r="AA117" s="126"/>
      <c r="AB117" s="251"/>
      <c r="AC117" s="410"/>
      <c r="AD117" s="171" t="s">
        <v>206</v>
      </c>
      <c r="AE117" s="84">
        <v>43712</v>
      </c>
      <c r="AF117" s="83"/>
      <c r="AG117" s="33">
        <f t="shared" si="13"/>
        <v>-43712</v>
      </c>
      <c r="AH117" s="130" t="s">
        <v>1128</v>
      </c>
    </row>
    <row r="118" spans="1:46" s="268" customFormat="1">
      <c r="A118" s="145"/>
      <c r="B118" s="79"/>
      <c r="C118" s="80"/>
      <c r="D118" s="79"/>
      <c r="E118" s="80"/>
      <c r="F118" s="6"/>
      <c r="G118" s="41"/>
      <c r="H118" s="50"/>
      <c r="I118" s="171"/>
      <c r="J118" s="323"/>
      <c r="K118" s="323"/>
      <c r="L118" s="73"/>
      <c r="M118" s="318"/>
      <c r="N118" s="318"/>
      <c r="O118" s="350"/>
      <c r="P118" s="374"/>
      <c r="Q118" s="302"/>
      <c r="R118" s="151"/>
      <c r="S118" s="197"/>
      <c r="T118" s="354"/>
      <c r="U118" s="95"/>
      <c r="V118" s="170">
        <f>SUM(V110:V117)</f>
        <v>124.39999999999999</v>
      </c>
      <c r="W118" s="160">
        <f>SUM(W110:W117)</f>
        <v>190.22</v>
      </c>
      <c r="X118" s="167">
        <f>V118-W118</f>
        <v>-65.820000000000007</v>
      </c>
      <c r="Y118" s="169">
        <f t="shared" si="12"/>
        <v>-0.34602039743454949</v>
      </c>
      <c r="Z118" s="116"/>
      <c r="AA118" s="126"/>
      <c r="AB118" s="251"/>
      <c r="AC118" s="410"/>
      <c r="AD118" s="158">
        <f>V118*(0.001425*0.5)+V118*0.003+W118*(0.001425*0.5)</f>
        <v>0.59736674999999995</v>
      </c>
      <c r="AE118" s="6">
        <f>X118-AD118</f>
        <v>-66.417366750000014</v>
      </c>
      <c r="AF118" s="83"/>
      <c r="AG118" s="33"/>
      <c r="AH118" s="130" t="s">
        <v>1746</v>
      </c>
      <c r="AI118" s="168"/>
    </row>
    <row r="119" spans="1:46" s="268" customFormat="1">
      <c r="A119" s="145"/>
      <c r="B119" s="79"/>
      <c r="C119" s="79"/>
      <c r="D119" s="79"/>
      <c r="E119" s="79"/>
      <c r="F119" s="6"/>
      <c r="G119" s="41"/>
      <c r="H119" s="8"/>
      <c r="I119" s="158"/>
      <c r="J119" s="323"/>
      <c r="K119" s="323"/>
      <c r="L119" s="323"/>
      <c r="M119" s="318"/>
      <c r="N119" s="318"/>
      <c r="O119" s="350"/>
      <c r="P119" s="374"/>
      <c r="Q119" s="302"/>
      <c r="R119" s="151"/>
      <c r="S119" s="197"/>
      <c r="T119" s="354"/>
      <c r="U119" s="95"/>
      <c r="V119" s="170"/>
      <c r="W119" s="160"/>
      <c r="X119" s="167"/>
      <c r="Y119" s="169"/>
      <c r="Z119" s="116"/>
      <c r="AA119" s="126"/>
      <c r="AB119" s="251"/>
      <c r="AC119" s="410"/>
      <c r="AD119" s="158"/>
      <c r="AE119" s="6"/>
      <c r="AF119" s="83"/>
      <c r="AG119" s="33"/>
      <c r="AH119" s="41"/>
      <c r="AI119" s="168"/>
    </row>
    <row r="120" spans="1:46" s="268" customFormat="1" ht="17.25" customHeight="1">
      <c r="A120" s="130" t="s">
        <v>1732</v>
      </c>
      <c r="B120" s="91" t="s">
        <v>1588</v>
      </c>
      <c r="C120" s="91" t="s">
        <v>1589</v>
      </c>
      <c r="D120" s="91" t="s">
        <v>1590</v>
      </c>
      <c r="E120" s="91" t="s">
        <v>1591</v>
      </c>
      <c r="F120" s="8" t="s">
        <v>1066</v>
      </c>
      <c r="G120" s="26" t="s">
        <v>3691</v>
      </c>
      <c r="H120" s="55" t="s">
        <v>322</v>
      </c>
      <c r="I120" s="1" t="s">
        <v>2425</v>
      </c>
      <c r="J120" s="317" t="s">
        <v>1467</v>
      </c>
      <c r="K120" s="317" t="s">
        <v>1157</v>
      </c>
      <c r="L120" s="317" t="s">
        <v>284</v>
      </c>
      <c r="M120" s="317" t="s">
        <v>1059</v>
      </c>
      <c r="N120" s="317" t="s">
        <v>5048</v>
      </c>
      <c r="O120" s="26" t="s">
        <v>5107</v>
      </c>
      <c r="P120" s="373" t="s">
        <v>5059</v>
      </c>
      <c r="Q120" s="303" t="s">
        <v>5087</v>
      </c>
      <c r="R120" s="345" t="s">
        <v>5059</v>
      </c>
      <c r="S120" s="14" t="s">
        <v>66</v>
      </c>
      <c r="T120" s="351" t="s">
        <v>5076</v>
      </c>
      <c r="U120" s="68" t="s">
        <v>3844</v>
      </c>
      <c r="V120" s="28" t="s">
        <v>3860</v>
      </c>
      <c r="W120" s="17" t="s">
        <v>1405</v>
      </c>
      <c r="X120" s="14" t="s">
        <v>2430</v>
      </c>
      <c r="Y120" s="21" t="s">
        <v>1477</v>
      </c>
      <c r="Z120" s="51" t="s">
        <v>6627</v>
      </c>
      <c r="AA120" s="406" t="s">
        <v>8647</v>
      </c>
      <c r="AB120" s="407" t="s">
        <v>8648</v>
      </c>
      <c r="AC120" s="408" t="s">
        <v>8649</v>
      </c>
      <c r="AD120" s="1" t="s">
        <v>2425</v>
      </c>
      <c r="AE120" s="71" t="s">
        <v>1406</v>
      </c>
      <c r="AF120" s="72" t="s">
        <v>1163</v>
      </c>
      <c r="AG120" s="32" t="s">
        <v>1164</v>
      </c>
      <c r="AH120" s="142"/>
      <c r="AI120" s="168"/>
    </row>
    <row r="121" spans="1:46">
      <c r="A121" s="146" t="s">
        <v>2093</v>
      </c>
      <c r="B121" s="79">
        <v>348</v>
      </c>
      <c r="C121" s="79">
        <v>679</v>
      </c>
      <c r="D121" s="80">
        <v>-3</v>
      </c>
      <c r="E121" s="79">
        <v>4</v>
      </c>
      <c r="F121" s="6">
        <v>5.76</v>
      </c>
      <c r="G121" s="80">
        <v>2387</v>
      </c>
      <c r="H121" s="30" t="s">
        <v>1469</v>
      </c>
      <c r="I121" s="22" t="s">
        <v>234</v>
      </c>
      <c r="J121" s="73">
        <v>69.84</v>
      </c>
      <c r="K121" s="73">
        <v>7.44</v>
      </c>
      <c r="L121" s="73">
        <v>11.9</v>
      </c>
      <c r="N121" s="318">
        <f>K121+J121+L121</f>
        <v>89.18</v>
      </c>
      <c r="O121" s="81">
        <f>IFERROR(VLOOKUP($G121,'321買'!A:E,3,0),"'沒有資料'")</f>
        <v>3</v>
      </c>
      <c r="P121" s="380">
        <f>IFERROR(VLOOKUP($G121,'321買'!$A:$G,7,0),"'沒有資料'")</f>
        <v>636</v>
      </c>
      <c r="R121" s="297">
        <f>IFERROR(RANK(VLOOKUP($G121,連買!$A:$D,4,0),連買!$D:$D,0),"'沒有資料'")</f>
        <v>286</v>
      </c>
      <c r="S121" s="45">
        <v>3</v>
      </c>
      <c r="U121" s="57">
        <v>7.81</v>
      </c>
      <c r="V121" s="36">
        <f>RTD("money.excel",,"2387","Price")</f>
        <v>41.2</v>
      </c>
      <c r="W121" s="66">
        <f>51.9-2</f>
        <v>49.9</v>
      </c>
      <c r="X121" s="15">
        <f>V121-W121</f>
        <v>-8.6999999999999957</v>
      </c>
      <c r="Y121" s="3">
        <f>X121/W121</f>
        <v>-0.1743486973947895</v>
      </c>
      <c r="Z121" s="102" t="s">
        <v>3601</v>
      </c>
      <c r="AD121" s="22" t="s">
        <v>234</v>
      </c>
      <c r="AE121" s="84">
        <v>44390</v>
      </c>
      <c r="AG121" s="33">
        <f>AF121-AE121</f>
        <v>-44390</v>
      </c>
      <c r="AH121" s="41" t="s">
        <v>1128</v>
      </c>
      <c r="AJ121" s="251"/>
      <c r="AK121" s="56"/>
      <c r="AL121" s="22"/>
      <c r="AM121" s="219"/>
      <c r="AN121" s="258"/>
      <c r="AO121" s="269"/>
      <c r="AP121" s="272"/>
    </row>
    <row r="122" spans="1:46" s="268" customFormat="1">
      <c r="A122" s="145"/>
      <c r="B122" s="79"/>
      <c r="C122" s="79"/>
      <c r="D122" s="79"/>
      <c r="E122" s="79"/>
      <c r="F122" s="6"/>
      <c r="G122" s="41"/>
      <c r="H122" s="8"/>
      <c r="I122" s="158"/>
      <c r="J122" s="323"/>
      <c r="K122" s="323"/>
      <c r="L122" s="323"/>
      <c r="M122" s="318"/>
      <c r="N122" s="318"/>
      <c r="O122" s="350"/>
      <c r="P122" s="374"/>
      <c r="Q122" s="302"/>
      <c r="R122" s="297"/>
      <c r="S122" s="197"/>
      <c r="T122" s="354"/>
      <c r="U122" s="95"/>
      <c r="V122" s="170">
        <f>SUM(V121)</f>
        <v>41.2</v>
      </c>
      <c r="W122" s="160">
        <f>SUM(W121)</f>
        <v>49.9</v>
      </c>
      <c r="X122" s="167">
        <f>V122-W122</f>
        <v>-8.6999999999999957</v>
      </c>
      <c r="Y122" s="169">
        <f>X122/W122</f>
        <v>-0.1743486973947895</v>
      </c>
      <c r="Z122" s="116"/>
      <c r="AA122" s="126"/>
      <c r="AB122" s="251"/>
      <c r="AC122" s="410"/>
      <c r="AD122" s="158">
        <f>V122*(0.001425*0.5)+V122*0.003+W122*(0.001425*0.5)</f>
        <v>0.18850875</v>
      </c>
      <c r="AE122" s="6">
        <f>X122-AD122</f>
        <v>-8.8885087499999962</v>
      </c>
      <c r="AF122" s="83"/>
      <c r="AG122" s="33"/>
      <c r="AH122" s="41" t="s">
        <v>1128</v>
      </c>
      <c r="AI122" s="168"/>
    </row>
    <row r="123" spans="1:46" s="268" customFormat="1">
      <c r="A123" s="145"/>
      <c r="B123" s="79"/>
      <c r="C123" s="79"/>
      <c r="D123" s="79"/>
      <c r="E123" s="79"/>
      <c r="F123" s="6"/>
      <c r="G123" s="41"/>
      <c r="H123" s="8"/>
      <c r="I123" s="158"/>
      <c r="J123" s="323"/>
      <c r="K123" s="323"/>
      <c r="L123" s="323"/>
      <c r="M123" s="318"/>
      <c r="N123" s="318"/>
      <c r="O123" s="350"/>
      <c r="P123" s="374"/>
      <c r="Q123" s="302"/>
      <c r="R123" s="151"/>
      <c r="S123" s="197"/>
      <c r="T123" s="354"/>
      <c r="U123" s="95"/>
      <c r="V123" s="170"/>
      <c r="W123" s="160"/>
      <c r="X123" s="167"/>
      <c r="Y123" s="169"/>
      <c r="Z123" s="116"/>
      <c r="AA123" s="126"/>
      <c r="AB123" s="251"/>
      <c r="AC123" s="410"/>
      <c r="AD123" s="158"/>
      <c r="AE123" s="6"/>
      <c r="AF123" s="83"/>
      <c r="AG123" s="33"/>
      <c r="AH123" s="41"/>
      <c r="AI123" s="168"/>
    </row>
    <row r="124" spans="1:46" s="268" customFormat="1">
      <c r="A124" s="130" t="s">
        <v>1732</v>
      </c>
      <c r="B124" s="91" t="s">
        <v>1588</v>
      </c>
      <c r="C124" s="91" t="s">
        <v>1589</v>
      </c>
      <c r="D124" s="91" t="s">
        <v>1590</v>
      </c>
      <c r="E124" s="91" t="s">
        <v>1591</v>
      </c>
      <c r="F124" s="8" t="s">
        <v>1066</v>
      </c>
      <c r="G124" s="26" t="s">
        <v>3691</v>
      </c>
      <c r="H124" s="55" t="s">
        <v>322</v>
      </c>
      <c r="I124" s="1" t="s">
        <v>2425</v>
      </c>
      <c r="J124" s="317" t="s">
        <v>1467</v>
      </c>
      <c r="K124" s="317" t="s">
        <v>1157</v>
      </c>
      <c r="L124" s="317" t="s">
        <v>284</v>
      </c>
      <c r="M124" s="317" t="s">
        <v>1059</v>
      </c>
      <c r="N124" s="317" t="s">
        <v>5048</v>
      </c>
      <c r="O124" s="26" t="s">
        <v>5107</v>
      </c>
      <c r="P124" s="373" t="s">
        <v>5059</v>
      </c>
      <c r="Q124" s="303" t="s">
        <v>5087</v>
      </c>
      <c r="R124" s="345" t="s">
        <v>5059</v>
      </c>
      <c r="S124" s="14" t="s">
        <v>66</v>
      </c>
      <c r="T124" s="351" t="s">
        <v>5076</v>
      </c>
      <c r="U124" s="68" t="s">
        <v>3844</v>
      </c>
      <c r="V124" s="28" t="s">
        <v>3860</v>
      </c>
      <c r="W124" s="17" t="s">
        <v>1405</v>
      </c>
      <c r="X124" s="14" t="s">
        <v>2430</v>
      </c>
      <c r="Y124" s="21" t="s">
        <v>1477</v>
      </c>
      <c r="Z124" s="51" t="s">
        <v>6627</v>
      </c>
      <c r="AA124" s="406" t="s">
        <v>8647</v>
      </c>
      <c r="AB124" s="407" t="s">
        <v>8648</v>
      </c>
      <c r="AC124" s="408" t="s">
        <v>8649</v>
      </c>
      <c r="AD124" s="1" t="s">
        <v>2425</v>
      </c>
      <c r="AE124" s="71" t="s">
        <v>1406</v>
      </c>
      <c r="AF124" s="72" t="s">
        <v>1163</v>
      </c>
      <c r="AG124" s="32" t="s">
        <v>1164</v>
      </c>
      <c r="AH124" s="142"/>
      <c r="AI124" s="168"/>
    </row>
    <row r="125" spans="1:46">
      <c r="A125" s="130" t="s">
        <v>1771</v>
      </c>
      <c r="B125" s="79">
        <v>493</v>
      </c>
      <c r="C125" s="79">
        <v>373</v>
      </c>
      <c r="D125" s="80">
        <v>-51</v>
      </c>
      <c r="E125" s="79">
        <v>80</v>
      </c>
      <c r="F125" s="57">
        <v>21.21</v>
      </c>
      <c r="G125" s="80">
        <v>4735</v>
      </c>
      <c r="H125" s="50" t="s">
        <v>1410</v>
      </c>
      <c r="I125" s="16" t="s">
        <v>619</v>
      </c>
      <c r="J125" s="323">
        <v>28.27</v>
      </c>
      <c r="K125" s="323">
        <v>1.08</v>
      </c>
      <c r="L125" s="73">
        <v>19.5</v>
      </c>
      <c r="N125" s="318">
        <f>K125+J125+L125</f>
        <v>48.85</v>
      </c>
      <c r="O125" s="81">
        <f>IFERROR(VLOOKUP($G125,'321買'!A:E,3,0),"'沒有資料'")</f>
        <v>4</v>
      </c>
      <c r="P125" s="380">
        <f>IFERROR(VLOOKUP($G125,'321買'!$A:$G,7,0),"'沒有資料'")</f>
        <v>592</v>
      </c>
      <c r="R125" s="297">
        <f>IFERROR(RANK(VLOOKUP($G125,連買!$A:$D,4,0),連買!$D:$D,0),"'沒有資料'")</f>
        <v>1717</v>
      </c>
      <c r="S125" s="34">
        <v>1</v>
      </c>
      <c r="U125" s="95">
        <v>19.010000000000002</v>
      </c>
      <c r="V125" s="36">
        <f>RTD("money.excel",,"4735","Price")</f>
        <v>49.5</v>
      </c>
      <c r="W125" s="66">
        <f>91.8-1.5-2.5-1.2-1</f>
        <v>85.6</v>
      </c>
      <c r="X125" s="15">
        <f>V125-W125</f>
        <v>-36.099999999999994</v>
      </c>
      <c r="Y125" s="76">
        <f>X125/W125</f>
        <v>-0.42172897196261677</v>
      </c>
      <c r="Z125" s="139" t="s">
        <v>3522</v>
      </c>
      <c r="AA125" s="126"/>
      <c r="AD125" s="16" t="s">
        <v>619</v>
      </c>
      <c r="AE125" s="84">
        <v>44333</v>
      </c>
      <c r="AG125" s="33">
        <f>AF125-AE125</f>
        <v>-44333</v>
      </c>
      <c r="AH125" s="130" t="s">
        <v>1128</v>
      </c>
      <c r="AI125" s="237"/>
      <c r="AJ125" s="226"/>
    </row>
    <row r="126" spans="1:46">
      <c r="A126" s="130" t="s">
        <v>1771</v>
      </c>
      <c r="B126" s="79">
        <v>493</v>
      </c>
      <c r="C126" s="79">
        <v>373</v>
      </c>
      <c r="D126" s="80">
        <v>-51</v>
      </c>
      <c r="E126" s="79">
        <v>80</v>
      </c>
      <c r="F126" s="57">
        <v>21.21</v>
      </c>
      <c r="G126" s="80">
        <v>4735</v>
      </c>
      <c r="H126" s="30" t="s">
        <v>1469</v>
      </c>
      <c r="I126" s="16" t="s">
        <v>619</v>
      </c>
      <c r="J126" s="323">
        <v>28.27</v>
      </c>
      <c r="K126" s="323">
        <v>1.08</v>
      </c>
      <c r="L126" s="73">
        <v>19.5</v>
      </c>
      <c r="N126" s="318">
        <f>K126+J126+L126</f>
        <v>48.85</v>
      </c>
      <c r="O126" s="81">
        <f>IFERROR(VLOOKUP($G126,'321買'!A:E,3,0),"'沒有資料'")</f>
        <v>4</v>
      </c>
      <c r="P126" s="380">
        <f>IFERROR(VLOOKUP($G126,'321買'!$A:$G,7,0),"'沒有資料'")</f>
        <v>592</v>
      </c>
      <c r="R126" s="297">
        <f>IFERROR(RANK(VLOOKUP($G126,連買!$A:$D,4,0),連買!$D:$D,0),"'沒有資料'")</f>
        <v>1717</v>
      </c>
      <c r="S126" s="34">
        <v>1</v>
      </c>
      <c r="U126" s="95">
        <v>19.010000000000002</v>
      </c>
      <c r="V126" s="36">
        <f>RTD("money.excel",,"4735","Price")</f>
        <v>49.5</v>
      </c>
      <c r="W126" s="66">
        <f>71.1-2.5-1.2-1</f>
        <v>66.399999999999991</v>
      </c>
      <c r="X126" s="15">
        <f>V126-W126</f>
        <v>-16.899999999999991</v>
      </c>
      <c r="Y126" s="76">
        <f>X126/W126</f>
        <v>-0.25451807228915652</v>
      </c>
      <c r="Z126" s="139" t="s">
        <v>3522</v>
      </c>
      <c r="AD126" s="16" t="s">
        <v>619</v>
      </c>
      <c r="AE126" s="84">
        <v>44453</v>
      </c>
      <c r="AG126" s="33">
        <f>AF126-AE126</f>
        <v>-44453</v>
      </c>
      <c r="AH126" s="41" t="s">
        <v>1128</v>
      </c>
      <c r="AI126" s="237"/>
      <c r="AJ126" s="226"/>
    </row>
    <row r="127" spans="1:46">
      <c r="A127" s="130" t="s">
        <v>1771</v>
      </c>
      <c r="B127" s="79">
        <v>493</v>
      </c>
      <c r="C127" s="79">
        <v>373</v>
      </c>
      <c r="D127" s="80">
        <v>-51</v>
      </c>
      <c r="E127" s="79">
        <v>80</v>
      </c>
      <c r="F127" s="57">
        <v>21.21</v>
      </c>
      <c r="G127" s="80">
        <v>4735</v>
      </c>
      <c r="H127" s="30" t="s">
        <v>1469</v>
      </c>
      <c r="I127" s="16" t="s">
        <v>619</v>
      </c>
      <c r="J127" s="323">
        <v>28.27</v>
      </c>
      <c r="K127" s="323">
        <v>1.08</v>
      </c>
      <c r="L127" s="73">
        <v>19.5</v>
      </c>
      <c r="N127" s="318">
        <f>K127+J127+L127</f>
        <v>48.85</v>
      </c>
      <c r="O127" s="81">
        <f>IFERROR(VLOOKUP($G127,'321買'!A:E,3,0),"'沒有資料'")</f>
        <v>4</v>
      </c>
      <c r="P127" s="380">
        <f>IFERROR(VLOOKUP($G127,'321買'!$A:$G,7,0),"'沒有資料'")</f>
        <v>592</v>
      </c>
      <c r="R127" s="297">
        <f>IFERROR(RANK(VLOOKUP($G127,連買!$A:$D,4,0),連買!$D:$D,0),"'沒有資料'")</f>
        <v>1717</v>
      </c>
      <c r="S127" s="34">
        <v>1</v>
      </c>
      <c r="U127" s="95">
        <v>19.010000000000002</v>
      </c>
      <c r="V127" s="36">
        <f>RTD("money.excel",,"4735","Price")</f>
        <v>49.5</v>
      </c>
      <c r="W127" s="66">
        <f>91.8-1.5-2.5-1.2-1</f>
        <v>85.6</v>
      </c>
      <c r="X127" s="15">
        <f>V127-W127</f>
        <v>-36.099999999999994</v>
      </c>
      <c r="Y127" s="76">
        <f>X127/W127</f>
        <v>-0.42172897196261677</v>
      </c>
      <c r="Z127" s="139" t="s">
        <v>3522</v>
      </c>
      <c r="AA127" s="126"/>
      <c r="AD127" s="16" t="s">
        <v>619</v>
      </c>
      <c r="AE127" s="84">
        <v>44333</v>
      </c>
      <c r="AG127" s="33">
        <f>AF127-AE127</f>
        <v>-44333</v>
      </c>
      <c r="AH127" s="41" t="s">
        <v>1128</v>
      </c>
      <c r="AI127" s="237"/>
      <c r="AJ127" s="226"/>
    </row>
    <row r="128" spans="1:46" s="268" customFormat="1">
      <c r="A128" s="145"/>
      <c r="B128" s="79"/>
      <c r="C128" s="79"/>
      <c r="D128" s="79"/>
      <c r="E128" s="79"/>
      <c r="F128" s="6"/>
      <c r="G128" s="41"/>
      <c r="H128" s="8"/>
      <c r="I128" s="158"/>
      <c r="J128" s="323"/>
      <c r="K128" s="323"/>
      <c r="L128" s="323"/>
      <c r="M128" s="318"/>
      <c r="N128" s="318"/>
      <c r="O128" s="350"/>
      <c r="P128" s="374"/>
      <c r="Q128" s="302"/>
      <c r="R128" s="151"/>
      <c r="S128" s="197"/>
      <c r="T128" s="354"/>
      <c r="U128" s="95"/>
      <c r="V128" s="170">
        <f>SUM(V125:V127)</f>
        <v>148.5</v>
      </c>
      <c r="W128" s="160">
        <f>SUM(W125:W127)</f>
        <v>237.6</v>
      </c>
      <c r="X128" s="167">
        <f>V128-W128</f>
        <v>-89.1</v>
      </c>
      <c r="Y128" s="169">
        <f>X128/W128</f>
        <v>-0.375</v>
      </c>
      <c r="Z128" s="116"/>
      <c r="AA128" s="126"/>
      <c r="AB128" s="251"/>
      <c r="AC128" s="410"/>
      <c r="AD128" s="158">
        <f>V128*(0.001425*0.5)+V128*0.003+W128*(0.001425*0.5)</f>
        <v>0.72059625000000005</v>
      </c>
      <c r="AE128" s="6">
        <f>X128-AD128</f>
        <v>-89.820596249999994</v>
      </c>
      <c r="AF128" s="83"/>
      <c r="AG128" s="33"/>
      <c r="AH128" s="41" t="s">
        <v>1514</v>
      </c>
      <c r="AI128" s="168"/>
      <c r="AJ128" s="260" t="s">
        <v>3592</v>
      </c>
    </row>
    <row r="129" spans="1:40" s="268" customFormat="1">
      <c r="A129" s="145"/>
      <c r="B129" s="79"/>
      <c r="C129" s="79"/>
      <c r="D129" s="79"/>
      <c r="E129" s="79"/>
      <c r="F129" s="6"/>
      <c r="G129" s="41"/>
      <c r="H129" s="8"/>
      <c r="I129" s="158"/>
      <c r="J129" s="323"/>
      <c r="K129" s="323"/>
      <c r="L129" s="323"/>
      <c r="M129" s="318"/>
      <c r="N129" s="318"/>
      <c r="O129" s="350"/>
      <c r="P129" s="374"/>
      <c r="Q129" s="302"/>
      <c r="R129" s="151"/>
      <c r="S129" s="197"/>
      <c r="T129" s="354"/>
      <c r="U129" s="95"/>
      <c r="V129" s="170"/>
      <c r="W129" s="160"/>
      <c r="X129" s="167"/>
      <c r="Y129" s="169"/>
      <c r="Z129" s="116"/>
      <c r="AA129" s="126"/>
      <c r="AB129" s="251"/>
      <c r="AC129" s="410"/>
      <c r="AD129" s="158"/>
      <c r="AE129" s="6"/>
      <c r="AF129" s="83"/>
      <c r="AG129" s="33"/>
      <c r="AH129" s="41"/>
      <c r="AI129" s="168"/>
    </row>
    <row r="130" spans="1:40" s="268" customFormat="1">
      <c r="A130" s="130" t="s">
        <v>1732</v>
      </c>
      <c r="B130" s="91" t="s">
        <v>1588</v>
      </c>
      <c r="C130" s="91" t="s">
        <v>1589</v>
      </c>
      <c r="D130" s="91" t="s">
        <v>1590</v>
      </c>
      <c r="E130" s="91" t="s">
        <v>1591</v>
      </c>
      <c r="F130" s="8" t="s">
        <v>1066</v>
      </c>
      <c r="G130" s="26" t="s">
        <v>3691</v>
      </c>
      <c r="H130" s="55" t="s">
        <v>322</v>
      </c>
      <c r="I130" s="1" t="s">
        <v>2425</v>
      </c>
      <c r="J130" s="317" t="s">
        <v>1467</v>
      </c>
      <c r="K130" s="317" t="s">
        <v>1157</v>
      </c>
      <c r="L130" s="317" t="s">
        <v>284</v>
      </c>
      <c r="M130" s="317" t="s">
        <v>1059</v>
      </c>
      <c r="N130" s="317" t="s">
        <v>5048</v>
      </c>
      <c r="O130" s="26" t="s">
        <v>5107</v>
      </c>
      <c r="P130" s="373" t="s">
        <v>5059</v>
      </c>
      <c r="Q130" s="303" t="s">
        <v>5087</v>
      </c>
      <c r="R130" s="345" t="s">
        <v>5059</v>
      </c>
      <c r="S130" s="14" t="s">
        <v>66</v>
      </c>
      <c r="T130" s="351" t="s">
        <v>5076</v>
      </c>
      <c r="U130" s="68" t="s">
        <v>3844</v>
      </c>
      <c r="V130" s="28" t="s">
        <v>3860</v>
      </c>
      <c r="W130" s="17" t="s">
        <v>1405</v>
      </c>
      <c r="X130" s="14" t="s">
        <v>2430</v>
      </c>
      <c r="Y130" s="21" t="s">
        <v>1477</v>
      </c>
      <c r="Z130" s="51" t="s">
        <v>6627</v>
      </c>
      <c r="AA130" s="406" t="s">
        <v>8647</v>
      </c>
      <c r="AB130" s="407" t="s">
        <v>8648</v>
      </c>
      <c r="AC130" s="408" t="s">
        <v>8649</v>
      </c>
      <c r="AD130" s="1" t="s">
        <v>2425</v>
      </c>
      <c r="AE130" s="71" t="s">
        <v>1406</v>
      </c>
      <c r="AF130" s="72" t="s">
        <v>1163</v>
      </c>
      <c r="AG130" s="32" t="s">
        <v>1164</v>
      </c>
      <c r="AH130" s="142"/>
      <c r="AI130" s="168"/>
    </row>
    <row r="131" spans="1:40">
      <c r="A131" s="146" t="s">
        <v>2097</v>
      </c>
      <c r="B131" s="79">
        <v>171</v>
      </c>
      <c r="C131" s="79">
        <v>194</v>
      </c>
      <c r="D131" s="80">
        <v>-11</v>
      </c>
      <c r="E131" s="79">
        <v>3</v>
      </c>
      <c r="F131" s="6">
        <v>6.68</v>
      </c>
      <c r="G131" s="80">
        <v>6558</v>
      </c>
      <c r="H131" s="30" t="s">
        <v>1469</v>
      </c>
      <c r="I131" s="22" t="s">
        <v>1071</v>
      </c>
      <c r="J131" s="323">
        <v>40.75</v>
      </c>
      <c r="K131" s="323">
        <v>2.3199999999999998</v>
      </c>
      <c r="L131" s="323">
        <v>15.65</v>
      </c>
      <c r="N131" s="318">
        <f>K131+J131+L131</f>
        <v>58.72</v>
      </c>
      <c r="O131" s="81">
        <f>IFERROR(VLOOKUP($G131,'321買'!A:E,3,0),"'沒有資料'")</f>
        <v>0</v>
      </c>
      <c r="P131" s="380">
        <f>IFERROR(VLOOKUP($G131,'321買'!$A:$G,7,0),"'沒有資料'")</f>
        <v>911</v>
      </c>
      <c r="R131" s="297">
        <f>IFERROR(RANK(VLOOKUP($G131,連買!$A:$D,4,0),連買!$D:$D,0),"'沒有資料'")</f>
        <v>917</v>
      </c>
      <c r="S131" s="34">
        <v>0</v>
      </c>
      <c r="U131" s="95">
        <v>1.42</v>
      </c>
      <c r="V131" s="36">
        <f>RTD("money.excel",,"6558","Price")</f>
        <v>28.2</v>
      </c>
      <c r="W131" s="66">
        <f>39.1-0.3</f>
        <v>38.800000000000004</v>
      </c>
      <c r="X131" s="15">
        <f>V131-W131</f>
        <v>-10.600000000000005</v>
      </c>
      <c r="Y131" s="3">
        <f>X131/W131</f>
        <v>-0.27319587628865988</v>
      </c>
      <c r="Z131" s="102" t="s">
        <v>3578</v>
      </c>
      <c r="AA131" s="126"/>
      <c r="AD131" s="22" t="s">
        <v>1071</v>
      </c>
      <c r="AE131" s="84">
        <v>44370</v>
      </c>
      <c r="AG131" s="33"/>
      <c r="AH131" s="41" t="s">
        <v>1128</v>
      </c>
      <c r="AJ131" s="251"/>
    </row>
    <row r="132" spans="1:40">
      <c r="A132" s="146" t="s">
        <v>2097</v>
      </c>
      <c r="B132" s="79">
        <v>171</v>
      </c>
      <c r="C132" s="79">
        <v>194</v>
      </c>
      <c r="D132" s="80">
        <v>-11</v>
      </c>
      <c r="E132" s="79">
        <v>3</v>
      </c>
      <c r="F132" s="6">
        <v>6.68</v>
      </c>
      <c r="G132" s="80">
        <v>6558</v>
      </c>
      <c r="H132" s="30" t="s">
        <v>1469</v>
      </c>
      <c r="I132" s="22" t="s">
        <v>1071</v>
      </c>
      <c r="J132" s="323">
        <v>40.75</v>
      </c>
      <c r="K132" s="323">
        <v>2.3199999999999998</v>
      </c>
      <c r="L132" s="323">
        <v>15.65</v>
      </c>
      <c r="N132" s="318">
        <f>K132+J132+L132</f>
        <v>58.72</v>
      </c>
      <c r="O132" s="81">
        <f>IFERROR(VLOOKUP($G132,'321買'!A:E,3,0),"'沒有資料'")</f>
        <v>0</v>
      </c>
      <c r="P132" s="380">
        <f>IFERROR(VLOOKUP($G132,'321買'!$A:$G,7,0),"'沒有資料'")</f>
        <v>911</v>
      </c>
      <c r="R132" s="297">
        <f>IFERROR(RANK(VLOOKUP($G132,連買!$A:$D,4,0),連買!$D:$D,0),"'沒有資料'")</f>
        <v>917</v>
      </c>
      <c r="S132" s="34">
        <v>0</v>
      </c>
      <c r="U132" s="95">
        <v>1.42</v>
      </c>
      <c r="V132" s="36">
        <f>RTD("money.excel",,"6558","Price")</f>
        <v>28.2</v>
      </c>
      <c r="W132" s="66">
        <f>43.05-0.3</f>
        <v>42.75</v>
      </c>
      <c r="X132" s="15">
        <f>V132-W132</f>
        <v>-14.55</v>
      </c>
      <c r="Y132" s="3">
        <f>X132/W132</f>
        <v>-0.34035087719298246</v>
      </c>
      <c r="Z132" s="102" t="s">
        <v>3578</v>
      </c>
      <c r="AA132" s="126"/>
      <c r="AD132" s="22" t="s">
        <v>1071</v>
      </c>
      <c r="AE132" s="84">
        <v>44363</v>
      </c>
      <c r="AG132" s="33"/>
      <c r="AH132" s="41" t="s">
        <v>1128</v>
      </c>
      <c r="AJ132" s="251"/>
    </row>
    <row r="133" spans="1:40" s="268" customFormat="1">
      <c r="A133" s="145"/>
      <c r="B133" s="79"/>
      <c r="C133" s="79"/>
      <c r="D133" s="79"/>
      <c r="E133" s="79"/>
      <c r="F133" s="6"/>
      <c r="G133" s="41"/>
      <c r="H133" s="8"/>
      <c r="I133" s="158"/>
      <c r="J133" s="323"/>
      <c r="K133" s="323"/>
      <c r="L133" s="323"/>
      <c r="M133" s="318"/>
      <c r="N133" s="318"/>
      <c r="O133" s="350"/>
      <c r="P133" s="374"/>
      <c r="Q133" s="302"/>
      <c r="R133" s="151"/>
      <c r="S133" s="197"/>
      <c r="T133" s="354"/>
      <c r="U133" s="95"/>
      <c r="V133" s="170">
        <f>SUM(V131:V132)</f>
        <v>56.4</v>
      </c>
      <c r="W133" s="160">
        <f>SUM(W131:W132)</f>
        <v>81.550000000000011</v>
      </c>
      <c r="X133" s="167">
        <f>V133-W133</f>
        <v>-25.150000000000013</v>
      </c>
      <c r="Y133" s="169">
        <f>X133/W133</f>
        <v>-0.30839975475168618</v>
      </c>
      <c r="Z133" s="116"/>
      <c r="AA133" s="264"/>
      <c r="AB133" s="251"/>
      <c r="AC133" s="410"/>
      <c r="AD133" s="158">
        <f>V133*(0.001425*0.5)+V133*0.003+W133*(0.001425*0.5)</f>
        <v>0.26748937500000003</v>
      </c>
      <c r="AE133" s="6">
        <f>X133-AD133</f>
        <v>-25.417489375000013</v>
      </c>
      <c r="AF133" s="83"/>
      <c r="AG133" s="33"/>
      <c r="AH133" s="41" t="s">
        <v>1514</v>
      </c>
      <c r="AI133" s="168"/>
      <c r="AJ133" s="260" t="s">
        <v>3591</v>
      </c>
    </row>
    <row r="134" spans="1:40" s="268" customFormat="1">
      <c r="A134" s="145"/>
      <c r="B134" s="79"/>
      <c r="C134" s="80"/>
      <c r="D134" s="79"/>
      <c r="E134" s="80"/>
      <c r="F134" s="6"/>
      <c r="G134" s="41"/>
      <c r="H134" s="50"/>
      <c r="I134" s="171"/>
      <c r="J134" s="323"/>
      <c r="K134" s="323"/>
      <c r="L134" s="73"/>
      <c r="M134" s="318"/>
      <c r="N134" s="318"/>
      <c r="O134" s="350"/>
      <c r="P134" s="374"/>
      <c r="Q134" s="302"/>
      <c r="R134" s="151"/>
      <c r="S134" s="197"/>
      <c r="T134" s="354"/>
      <c r="U134" s="95"/>
      <c r="V134" s="170"/>
      <c r="W134" s="160"/>
      <c r="X134" s="167"/>
      <c r="Y134" s="169"/>
      <c r="Z134" s="116"/>
      <c r="AA134" s="168"/>
      <c r="AC134" s="411"/>
      <c r="AD134" s="158"/>
      <c r="AE134" s="6"/>
      <c r="AF134" s="83"/>
      <c r="AG134" s="33"/>
      <c r="AH134" s="130"/>
      <c r="AI134" s="168"/>
    </row>
    <row r="135" spans="1:40" s="268" customFormat="1" ht="17.25" customHeight="1">
      <c r="A135" s="130" t="s">
        <v>1732</v>
      </c>
      <c r="B135" s="91" t="s">
        <v>1588</v>
      </c>
      <c r="C135" s="91" t="s">
        <v>1589</v>
      </c>
      <c r="D135" s="91" t="s">
        <v>1590</v>
      </c>
      <c r="E135" s="91" t="s">
        <v>1591</v>
      </c>
      <c r="F135" s="8" t="s">
        <v>1066</v>
      </c>
      <c r="G135" s="26" t="s">
        <v>3691</v>
      </c>
      <c r="H135" s="55" t="s">
        <v>322</v>
      </c>
      <c r="I135" s="1" t="s">
        <v>2425</v>
      </c>
      <c r="J135" s="317" t="s">
        <v>1467</v>
      </c>
      <c r="K135" s="317" t="s">
        <v>1157</v>
      </c>
      <c r="L135" s="317" t="s">
        <v>284</v>
      </c>
      <c r="M135" s="317" t="s">
        <v>1059</v>
      </c>
      <c r="N135" s="317" t="s">
        <v>5048</v>
      </c>
      <c r="O135" s="26" t="s">
        <v>5107</v>
      </c>
      <c r="P135" s="373" t="s">
        <v>5059</v>
      </c>
      <c r="Q135" s="303" t="s">
        <v>5087</v>
      </c>
      <c r="R135" s="345" t="s">
        <v>5059</v>
      </c>
      <c r="S135" s="14" t="s">
        <v>66</v>
      </c>
      <c r="T135" s="351" t="s">
        <v>5076</v>
      </c>
      <c r="U135" s="68" t="s">
        <v>3844</v>
      </c>
      <c r="V135" s="28" t="s">
        <v>3860</v>
      </c>
      <c r="W135" s="17" t="s">
        <v>1405</v>
      </c>
      <c r="X135" s="14" t="s">
        <v>2430</v>
      </c>
      <c r="Y135" s="21" t="s">
        <v>1477</v>
      </c>
      <c r="Z135" s="51" t="s">
        <v>6627</v>
      </c>
      <c r="AA135" s="406" t="s">
        <v>8647</v>
      </c>
      <c r="AB135" s="407" t="s">
        <v>8648</v>
      </c>
      <c r="AC135" s="408" t="s">
        <v>8649</v>
      </c>
      <c r="AD135" s="1" t="s">
        <v>2425</v>
      </c>
      <c r="AE135" s="71" t="s">
        <v>1406</v>
      </c>
      <c r="AF135" s="72" t="s">
        <v>1163</v>
      </c>
      <c r="AG135" s="32" t="s">
        <v>1164</v>
      </c>
      <c r="AH135" s="142"/>
      <c r="AI135" s="168"/>
    </row>
    <row r="136" spans="1:40">
      <c r="A136" s="146" t="s">
        <v>1698</v>
      </c>
      <c r="B136" s="93">
        <v>8051</v>
      </c>
      <c r="C136" s="93">
        <v>8406</v>
      </c>
      <c r="D136" s="80">
        <v>-4</v>
      </c>
      <c r="E136" s="79">
        <v>17</v>
      </c>
      <c r="F136" s="6">
        <v>8.76</v>
      </c>
      <c r="G136" s="80">
        <v>1598</v>
      </c>
      <c r="H136" s="50" t="s">
        <v>1410</v>
      </c>
      <c r="I136" s="22" t="s">
        <v>629</v>
      </c>
      <c r="J136" s="73">
        <v>51.45</v>
      </c>
      <c r="K136" s="323">
        <v>7.02</v>
      </c>
      <c r="L136" s="73">
        <v>28.84</v>
      </c>
      <c r="N136" s="318">
        <f>K136+J136+L136</f>
        <v>87.31</v>
      </c>
      <c r="O136" s="81">
        <f>IFERROR(VLOOKUP($G136,'321買'!A:E,3,0),"'沒有資料'")</f>
        <v>4</v>
      </c>
      <c r="P136" s="380">
        <f>IFERROR(VLOOKUP($G136,'321買'!$A:$G,7,0),"'沒有資料'")</f>
        <v>592</v>
      </c>
      <c r="R136" s="297">
        <f>IFERROR(RANK(VLOOKUP($G136,連買!$A:$D,4,0),連買!$D:$D,0),"'沒有資料'")</f>
        <v>1736</v>
      </c>
      <c r="S136" s="34">
        <v>2.5</v>
      </c>
      <c r="U136" s="57">
        <v>13.82</v>
      </c>
      <c r="V136" s="36">
        <f>RTD("money.excel",,"1598","Price")</f>
        <v>44.75</v>
      </c>
      <c r="W136" s="66">
        <f>89.5-7.47</f>
        <v>82.03</v>
      </c>
      <c r="X136" s="15">
        <f>V136-W136</f>
        <v>-37.28</v>
      </c>
      <c r="Y136" s="3">
        <f>X136/W136</f>
        <v>-0.45446787760575402</v>
      </c>
      <c r="Z136" s="100" t="s">
        <v>1997</v>
      </c>
      <c r="AA136" s="126"/>
      <c r="AD136" s="22" t="s">
        <v>629</v>
      </c>
      <c r="AE136" s="84">
        <v>44329</v>
      </c>
      <c r="AG136" s="33">
        <f>AF136-AE136</f>
        <v>-44329</v>
      </c>
      <c r="AH136" s="130" t="s">
        <v>1128</v>
      </c>
      <c r="AI136" s="130"/>
      <c r="AJ136" s="226"/>
    </row>
    <row r="137" spans="1:40">
      <c r="A137" s="146" t="s">
        <v>1698</v>
      </c>
      <c r="B137" s="93">
        <v>8051</v>
      </c>
      <c r="C137" s="93">
        <v>8406</v>
      </c>
      <c r="D137" s="80">
        <v>-4</v>
      </c>
      <c r="E137" s="79">
        <v>17</v>
      </c>
      <c r="F137" s="6">
        <v>8.76</v>
      </c>
      <c r="G137" s="80">
        <v>1598</v>
      </c>
      <c r="H137" s="50" t="s">
        <v>1410</v>
      </c>
      <c r="I137" s="22" t="s">
        <v>629</v>
      </c>
      <c r="J137" s="73">
        <v>51.45</v>
      </c>
      <c r="K137" s="323">
        <v>7.02</v>
      </c>
      <c r="L137" s="73">
        <v>28.84</v>
      </c>
      <c r="N137" s="318">
        <f>K137+J137+L137</f>
        <v>87.31</v>
      </c>
      <c r="O137" s="81">
        <f>IFERROR(VLOOKUP($G137,'321買'!A:E,3,0),"'沒有資料'")</f>
        <v>4</v>
      </c>
      <c r="P137" s="380">
        <f>IFERROR(VLOOKUP($G137,'321買'!$A:$G,7,0),"'沒有資料'")</f>
        <v>592</v>
      </c>
      <c r="R137" s="297">
        <f>IFERROR(RANK(VLOOKUP($G137,連買!$A:$D,4,0),連買!$D:$D,0),"'沒有資料'")</f>
        <v>1736</v>
      </c>
      <c r="S137" s="34">
        <v>2.5</v>
      </c>
      <c r="U137" s="57">
        <v>13.82</v>
      </c>
      <c r="V137" s="36">
        <f>RTD("money.excel",,"1598","Price")</f>
        <v>44.75</v>
      </c>
      <c r="W137" s="66">
        <f>107-7.47</f>
        <v>99.53</v>
      </c>
      <c r="X137" s="15">
        <f>V137-W137</f>
        <v>-54.78</v>
      </c>
      <c r="Y137" s="3">
        <f>X137/W137</f>
        <v>-0.5503868180448106</v>
      </c>
      <c r="Z137" s="100" t="s">
        <v>1997</v>
      </c>
      <c r="AA137" s="264"/>
      <c r="AD137" s="22" t="s">
        <v>629</v>
      </c>
      <c r="AE137" s="84">
        <v>44313</v>
      </c>
      <c r="AG137" s="33">
        <f>AF137-AE137</f>
        <v>-44313</v>
      </c>
      <c r="AH137" s="130" t="s">
        <v>1128</v>
      </c>
      <c r="AI137" s="130" t="s">
        <v>1514</v>
      </c>
      <c r="AJ137" s="226"/>
    </row>
    <row r="138" spans="1:40">
      <c r="A138" s="146" t="s">
        <v>1698</v>
      </c>
      <c r="B138" s="93">
        <v>8051</v>
      </c>
      <c r="C138" s="93">
        <v>8406</v>
      </c>
      <c r="D138" s="80">
        <v>-4</v>
      </c>
      <c r="E138" s="79">
        <v>17</v>
      </c>
      <c r="F138" s="6">
        <v>8.76</v>
      </c>
      <c r="G138" s="80">
        <v>1598</v>
      </c>
      <c r="H138" s="30" t="s">
        <v>1469</v>
      </c>
      <c r="I138" s="22" t="s">
        <v>629</v>
      </c>
      <c r="J138" s="73">
        <v>51.45</v>
      </c>
      <c r="K138" s="323">
        <v>7.02</v>
      </c>
      <c r="L138" s="73">
        <v>28.84</v>
      </c>
      <c r="N138" s="318">
        <f>K138+J138+L138</f>
        <v>87.31</v>
      </c>
      <c r="O138" s="81">
        <f>IFERROR(VLOOKUP($G138,'321買'!A:E,3,0),"'沒有資料'")</f>
        <v>4</v>
      </c>
      <c r="P138" s="380">
        <f>IFERROR(VLOOKUP($G138,'321買'!$A:$G,7,0),"'沒有資料'")</f>
        <v>592</v>
      </c>
      <c r="R138" s="297">
        <f>IFERROR(RANK(VLOOKUP($G138,連買!$A:$D,4,0),連買!$D:$D,0),"'沒有資料'")</f>
        <v>1736</v>
      </c>
      <c r="S138" s="34">
        <v>2.5</v>
      </c>
      <c r="U138" s="57">
        <v>13.82</v>
      </c>
      <c r="V138" s="36">
        <f>RTD("money.excel",,"1598","Price")</f>
        <v>44.75</v>
      </c>
      <c r="W138" s="66">
        <f>89.4-7.47</f>
        <v>81.93</v>
      </c>
      <c r="X138" s="15">
        <f>V138-W138</f>
        <v>-37.180000000000007</v>
      </c>
      <c r="Y138" s="3">
        <f>X138/W138</f>
        <v>-0.45380202611985848</v>
      </c>
      <c r="Z138" s="100" t="s">
        <v>1997</v>
      </c>
      <c r="AA138" s="126"/>
      <c r="AD138" s="22" t="s">
        <v>629</v>
      </c>
      <c r="AE138" s="84">
        <v>44329</v>
      </c>
      <c r="AG138" s="33">
        <f>AF138-AE138</f>
        <v>-44329</v>
      </c>
      <c r="AH138" s="41" t="s">
        <v>1128</v>
      </c>
      <c r="AI138" s="225"/>
      <c r="AJ138" s="226"/>
    </row>
    <row r="139" spans="1:40">
      <c r="A139" s="146" t="s">
        <v>1698</v>
      </c>
      <c r="B139" s="93">
        <v>8051</v>
      </c>
      <c r="C139" s="93">
        <v>8406</v>
      </c>
      <c r="D139" s="80">
        <v>-4</v>
      </c>
      <c r="E139" s="79">
        <v>17</v>
      </c>
      <c r="F139" s="6">
        <v>8.76</v>
      </c>
      <c r="G139" s="80">
        <v>1598</v>
      </c>
      <c r="H139" s="30" t="s">
        <v>1469</v>
      </c>
      <c r="I139" s="22" t="s">
        <v>629</v>
      </c>
      <c r="J139" s="73">
        <v>51.45</v>
      </c>
      <c r="K139" s="323">
        <v>7.02</v>
      </c>
      <c r="L139" s="73">
        <v>28.84</v>
      </c>
      <c r="N139" s="318">
        <f>K139+J139+L139</f>
        <v>87.31</v>
      </c>
      <c r="O139" s="81">
        <f>IFERROR(VLOOKUP($G139,'321買'!A:E,3,0),"'沒有資料'")</f>
        <v>4</v>
      </c>
      <c r="P139" s="380">
        <f>IFERROR(VLOOKUP($G139,'321買'!$A:$G,7,0),"'沒有資料'")</f>
        <v>592</v>
      </c>
      <c r="R139" s="297">
        <f>IFERROR(RANK(VLOOKUP($G139,連買!$A:$D,4,0),連買!$D:$D,0),"'沒有資料'")</f>
        <v>1736</v>
      </c>
      <c r="S139" s="34">
        <v>2.5</v>
      </c>
      <c r="U139" s="57">
        <v>13.82</v>
      </c>
      <c r="V139" s="36">
        <f>RTD("money.excel",,"1598","Price")</f>
        <v>44.75</v>
      </c>
      <c r="W139" s="66">
        <f>107-7.47</f>
        <v>99.53</v>
      </c>
      <c r="X139" s="15">
        <f>V139-W139</f>
        <v>-54.78</v>
      </c>
      <c r="Y139" s="3">
        <f>X139/W139</f>
        <v>-0.5503868180448106</v>
      </c>
      <c r="Z139" s="100" t="s">
        <v>1997</v>
      </c>
      <c r="AA139" s="126"/>
      <c r="AD139" s="22" t="s">
        <v>629</v>
      </c>
      <c r="AE139" s="84">
        <v>44313</v>
      </c>
      <c r="AG139" s="33">
        <f>AF139-AE139</f>
        <v>-44313</v>
      </c>
      <c r="AH139" s="41" t="s">
        <v>1128</v>
      </c>
      <c r="AI139" s="41" t="s">
        <v>1514</v>
      </c>
      <c r="AJ139" s="226"/>
    </row>
    <row r="140" spans="1:40" s="268" customFormat="1">
      <c r="A140" s="145"/>
      <c r="B140" s="79"/>
      <c r="C140" s="79"/>
      <c r="D140" s="79"/>
      <c r="E140" s="79"/>
      <c r="F140" s="6"/>
      <c r="G140" s="41"/>
      <c r="H140" s="8"/>
      <c r="I140" s="158"/>
      <c r="J140" s="323"/>
      <c r="K140" s="323"/>
      <c r="L140" s="323"/>
      <c r="M140" s="318"/>
      <c r="N140" s="318"/>
      <c r="O140" s="350"/>
      <c r="P140" s="374"/>
      <c r="Q140" s="302"/>
      <c r="R140" s="297"/>
      <c r="S140" s="197"/>
      <c r="T140" s="354"/>
      <c r="U140" s="95"/>
      <c r="V140" s="170">
        <f>SUM(V136:V139)</f>
        <v>179</v>
      </c>
      <c r="W140" s="160">
        <f>SUM(W136:W139)</f>
        <v>363.02</v>
      </c>
      <c r="X140" s="243">
        <f>V140-W140</f>
        <v>-184.01999999999998</v>
      </c>
      <c r="Y140" s="169">
        <f>X140/W140</f>
        <v>-0.50691421960222571</v>
      </c>
      <c r="Z140" s="116"/>
      <c r="AA140" s="126"/>
      <c r="AB140" s="251"/>
      <c r="AC140" s="410"/>
      <c r="AD140" s="158">
        <f>V140*(0.001425*0.5)+V140*0.003+W140*(0.001425*0.5)</f>
        <v>0.92318925000000007</v>
      </c>
      <c r="AE140" s="6">
        <f>X140-AD140</f>
        <v>-184.94318924999999</v>
      </c>
      <c r="AF140" s="83"/>
      <c r="AG140" s="33"/>
      <c r="AH140" s="41" t="s">
        <v>1129</v>
      </c>
      <c r="AI140" s="168"/>
    </row>
    <row r="141" spans="1:40" s="268" customFormat="1">
      <c r="A141" s="145"/>
      <c r="B141" s="79"/>
      <c r="C141" s="79"/>
      <c r="D141" s="79"/>
      <c r="E141" s="79"/>
      <c r="F141" s="6"/>
      <c r="G141" s="41"/>
      <c r="H141" s="8"/>
      <c r="I141" s="158"/>
      <c r="J141" s="323"/>
      <c r="K141" s="323"/>
      <c r="L141" s="323"/>
      <c r="M141" s="318"/>
      <c r="N141" s="318"/>
      <c r="O141" s="350"/>
      <c r="P141" s="374"/>
      <c r="Q141" s="302"/>
      <c r="R141" s="297"/>
      <c r="S141" s="197"/>
      <c r="T141" s="354"/>
      <c r="U141" s="95"/>
      <c r="V141" s="170"/>
      <c r="W141" s="160"/>
      <c r="X141" s="243"/>
      <c r="Y141" s="169"/>
      <c r="Z141" s="116"/>
      <c r="AA141" s="126"/>
      <c r="AB141" s="251"/>
      <c r="AC141" s="410"/>
      <c r="AD141" s="158"/>
      <c r="AE141" s="6"/>
      <c r="AF141" s="83"/>
      <c r="AG141" s="33"/>
      <c r="AH141" s="41"/>
      <c r="AI141" s="168"/>
    </row>
    <row r="142" spans="1:40" s="268" customFormat="1">
      <c r="A142" s="145"/>
      <c r="B142" s="79"/>
      <c r="C142" s="79"/>
      <c r="D142" s="79"/>
      <c r="E142" s="79"/>
      <c r="F142" s="6"/>
      <c r="G142" s="41"/>
      <c r="H142" s="8"/>
      <c r="I142" s="158"/>
      <c r="J142" s="323"/>
      <c r="K142" s="323"/>
      <c r="L142" s="323"/>
      <c r="M142" s="318"/>
      <c r="N142" s="318"/>
      <c r="O142" s="350"/>
      <c r="P142" s="374"/>
      <c r="Q142" s="302"/>
      <c r="R142" s="297"/>
      <c r="S142" s="197"/>
      <c r="T142" s="354"/>
      <c r="U142" s="95"/>
      <c r="V142" s="170"/>
      <c r="W142" s="160"/>
      <c r="X142" s="167"/>
      <c r="Y142" s="169"/>
      <c r="Z142" s="116"/>
      <c r="AA142" s="264"/>
      <c r="AB142" s="251"/>
      <c r="AC142" s="410"/>
      <c r="AD142" s="158"/>
      <c r="AE142" s="6"/>
      <c r="AF142" s="83"/>
      <c r="AG142" s="33"/>
      <c r="AH142" s="41"/>
      <c r="AI142" s="168"/>
    </row>
    <row r="143" spans="1:40" s="268" customFormat="1">
      <c r="A143" s="130" t="s">
        <v>1732</v>
      </c>
      <c r="B143" s="91" t="s">
        <v>1588</v>
      </c>
      <c r="C143" s="91" t="s">
        <v>1589</v>
      </c>
      <c r="D143" s="91" t="s">
        <v>1590</v>
      </c>
      <c r="E143" s="91" t="s">
        <v>1591</v>
      </c>
      <c r="F143" s="8" t="s">
        <v>1066</v>
      </c>
      <c r="G143" s="26" t="s">
        <v>3691</v>
      </c>
      <c r="H143" s="55" t="s">
        <v>322</v>
      </c>
      <c r="I143" s="1" t="s">
        <v>69</v>
      </c>
      <c r="J143" s="317" t="s">
        <v>1467</v>
      </c>
      <c r="K143" s="317" t="s">
        <v>1157</v>
      </c>
      <c r="L143" s="317" t="s">
        <v>284</v>
      </c>
      <c r="M143" s="317" t="s">
        <v>1059</v>
      </c>
      <c r="N143" s="317" t="s">
        <v>5048</v>
      </c>
      <c r="O143" s="26" t="s">
        <v>5107</v>
      </c>
      <c r="P143" s="373" t="s">
        <v>5059</v>
      </c>
      <c r="Q143" s="303" t="s">
        <v>5087</v>
      </c>
      <c r="R143" s="345" t="s">
        <v>5059</v>
      </c>
      <c r="S143" s="14" t="s">
        <v>66</v>
      </c>
      <c r="T143" s="351" t="s">
        <v>5076</v>
      </c>
      <c r="U143" s="68" t="s">
        <v>3844</v>
      </c>
      <c r="V143" s="28" t="s">
        <v>3860</v>
      </c>
      <c r="W143" s="17" t="s">
        <v>1405</v>
      </c>
      <c r="X143" s="14" t="s">
        <v>2430</v>
      </c>
      <c r="Y143" s="21" t="s">
        <v>3</v>
      </c>
      <c r="Z143" s="51" t="s">
        <v>6627</v>
      </c>
      <c r="AA143" s="406" t="s">
        <v>8647</v>
      </c>
      <c r="AB143" s="407" t="s">
        <v>8648</v>
      </c>
      <c r="AC143" s="408" t="s">
        <v>8649</v>
      </c>
      <c r="AD143" s="1" t="s">
        <v>69</v>
      </c>
      <c r="AE143" s="71" t="s">
        <v>1406</v>
      </c>
      <c r="AF143" s="72" t="s">
        <v>1163</v>
      </c>
      <c r="AG143" s="32" t="s">
        <v>1164</v>
      </c>
      <c r="AH143" s="46" t="s">
        <v>5143</v>
      </c>
      <c r="AI143" s="168"/>
    </row>
    <row r="144" spans="1:40">
      <c r="A144" s="130" t="s">
        <v>1706</v>
      </c>
      <c r="B144" s="79">
        <v>285</v>
      </c>
      <c r="C144" s="79">
        <v>110</v>
      </c>
      <c r="D144" s="79">
        <v>18</v>
      </c>
      <c r="E144" s="80">
        <v>-74</v>
      </c>
      <c r="F144" s="57">
        <v>50.43</v>
      </c>
      <c r="G144" s="79">
        <v>4162</v>
      </c>
      <c r="H144" s="50" t="s">
        <v>1410</v>
      </c>
      <c r="I144" s="16" t="s">
        <v>37</v>
      </c>
      <c r="J144" s="73">
        <v>38.11</v>
      </c>
      <c r="K144" s="73">
        <v>4.74</v>
      </c>
      <c r="L144" s="323">
        <v>13.09</v>
      </c>
      <c r="N144" s="318">
        <f>K144+J144+L144</f>
        <v>55.94</v>
      </c>
      <c r="O144" s="81">
        <f>IFERROR(VLOOKUP($G144,'321買'!A:E,3,0),"'沒有資料'")</f>
        <v>15</v>
      </c>
      <c r="P144" s="380">
        <f>IFERROR(VLOOKUP($G144,'321買'!$A:$G,7,0),"'沒有資料'")</f>
        <v>290</v>
      </c>
      <c r="Q144" s="302" t="s">
        <v>3817</v>
      </c>
      <c r="R144" s="297">
        <f>IFERROR(RANK(VLOOKUP($G144,連買!$A:$D,4,0),連買!$D:$D,0),"'沒有資料'")</f>
        <v>224</v>
      </c>
      <c r="S144" s="34">
        <v>2.5299999999999998</v>
      </c>
      <c r="T144" s="353"/>
      <c r="U144" s="95">
        <v>5.77</v>
      </c>
      <c r="V144" s="36">
        <v>79.2</v>
      </c>
      <c r="W144" s="66">
        <f>68.5-2.53</f>
        <v>65.97</v>
      </c>
      <c r="X144" s="15">
        <f>V144-W144</f>
        <v>13.230000000000004</v>
      </c>
      <c r="Y144" s="76">
        <f>X144/W144</f>
        <v>0.20054570259208737</v>
      </c>
      <c r="Z144" s="139" t="s">
        <v>3825</v>
      </c>
      <c r="AA144" s="126"/>
      <c r="AD144" s="16" t="s">
        <v>37</v>
      </c>
      <c r="AE144" s="84">
        <v>44348</v>
      </c>
      <c r="AF144" s="83">
        <v>44621</v>
      </c>
      <c r="AG144" s="77">
        <f>AF144-AE144</f>
        <v>273</v>
      </c>
      <c r="AH144" s="130" t="s">
        <v>1128</v>
      </c>
      <c r="AI144" s="237"/>
      <c r="AJ144" s="16"/>
      <c r="AK144" s="219"/>
      <c r="AL144" s="258"/>
      <c r="AM144" s="269"/>
      <c r="AN144" s="271"/>
    </row>
    <row r="145" spans="1:42" s="268" customFormat="1">
      <c r="A145" s="145"/>
      <c r="B145" s="79"/>
      <c r="C145" s="79"/>
      <c r="D145" s="79"/>
      <c r="E145" s="79"/>
      <c r="F145" s="6"/>
      <c r="G145" s="41"/>
      <c r="H145" s="8"/>
      <c r="I145" s="158"/>
      <c r="J145" s="323"/>
      <c r="K145" s="323"/>
      <c r="L145" s="323"/>
      <c r="M145" s="318"/>
      <c r="N145" s="318"/>
      <c r="O145" s="350"/>
      <c r="P145" s="374"/>
      <c r="Q145" s="302"/>
      <c r="R145" s="151"/>
      <c r="S145" s="197"/>
      <c r="T145" s="353"/>
      <c r="U145" s="95"/>
      <c r="V145" s="170">
        <f>SUM(V144)</f>
        <v>79.2</v>
      </c>
      <c r="W145" s="160">
        <f>SUM(W144)</f>
        <v>65.97</v>
      </c>
      <c r="X145" s="167">
        <f>V145-W145</f>
        <v>13.230000000000004</v>
      </c>
      <c r="Y145" s="169">
        <f>X145/W145</f>
        <v>0.20054570259208737</v>
      </c>
      <c r="Z145" s="116"/>
      <c r="AA145" s="126"/>
      <c r="AB145" s="251"/>
      <c r="AC145" s="410"/>
      <c r="AD145" s="158">
        <f>V145*(0.001425*0.5)+V145*0.003+W145*(0.001425*0.5)</f>
        <v>0.34103362500000001</v>
      </c>
      <c r="AE145" s="6">
        <f>X145-AD145</f>
        <v>12.888966375000004</v>
      </c>
      <c r="AF145" s="83"/>
      <c r="AG145" s="33"/>
      <c r="AH145" s="41" t="s">
        <v>1128</v>
      </c>
      <c r="AI145" s="168"/>
    </row>
    <row r="146" spans="1:42" s="268" customFormat="1">
      <c r="A146" s="145"/>
      <c r="B146" s="79"/>
      <c r="C146" s="79"/>
      <c r="D146" s="79"/>
      <c r="E146" s="79"/>
      <c r="F146" s="6"/>
      <c r="G146" s="41"/>
      <c r="H146" s="8"/>
      <c r="I146" s="158"/>
      <c r="J146" s="323"/>
      <c r="K146" s="323"/>
      <c r="L146" s="323"/>
      <c r="M146" s="318"/>
      <c r="N146" s="318"/>
      <c r="O146" s="350"/>
      <c r="P146" s="374"/>
      <c r="Q146" s="302"/>
      <c r="R146" s="151"/>
      <c r="S146" s="197"/>
      <c r="T146" s="354"/>
      <c r="U146" s="95"/>
      <c r="V146" s="170"/>
      <c r="W146" s="160"/>
      <c r="X146" s="167"/>
      <c r="Y146" s="169"/>
      <c r="Z146" s="116"/>
      <c r="AA146" s="264"/>
      <c r="AB146" s="251"/>
      <c r="AC146" s="410"/>
      <c r="AD146" s="158"/>
      <c r="AE146" s="6"/>
      <c r="AF146" s="83"/>
      <c r="AG146" s="33"/>
      <c r="AH146" s="41"/>
      <c r="AI146" s="168"/>
    </row>
    <row r="147" spans="1:42" s="268" customFormat="1">
      <c r="A147" s="130" t="s">
        <v>1732</v>
      </c>
      <c r="B147" s="91" t="s">
        <v>1588</v>
      </c>
      <c r="C147" s="91" t="s">
        <v>1589</v>
      </c>
      <c r="D147" s="91" t="s">
        <v>1590</v>
      </c>
      <c r="E147" s="91" t="s">
        <v>1591</v>
      </c>
      <c r="F147" s="8" t="s">
        <v>1066</v>
      </c>
      <c r="G147" s="26" t="s">
        <v>3691</v>
      </c>
      <c r="H147" s="55" t="s">
        <v>322</v>
      </c>
      <c r="I147" s="1" t="s">
        <v>69</v>
      </c>
      <c r="J147" s="317" t="s">
        <v>1467</v>
      </c>
      <c r="K147" s="317" t="s">
        <v>1157</v>
      </c>
      <c r="L147" s="317" t="s">
        <v>284</v>
      </c>
      <c r="M147" s="317" t="s">
        <v>1059</v>
      </c>
      <c r="N147" s="317" t="s">
        <v>5048</v>
      </c>
      <c r="O147" s="26" t="s">
        <v>5107</v>
      </c>
      <c r="P147" s="373" t="s">
        <v>5059</v>
      </c>
      <c r="Q147" s="303" t="s">
        <v>5087</v>
      </c>
      <c r="R147" s="345" t="s">
        <v>5059</v>
      </c>
      <c r="S147" s="14" t="s">
        <v>66</v>
      </c>
      <c r="T147" s="351" t="s">
        <v>5076</v>
      </c>
      <c r="U147" s="68" t="s">
        <v>3844</v>
      </c>
      <c r="V147" s="28" t="s">
        <v>3860</v>
      </c>
      <c r="W147" s="17" t="s">
        <v>1405</v>
      </c>
      <c r="X147" s="14" t="s">
        <v>2430</v>
      </c>
      <c r="Y147" s="21" t="s">
        <v>3</v>
      </c>
      <c r="Z147" s="51" t="s">
        <v>6627</v>
      </c>
      <c r="AA147" s="406" t="s">
        <v>8647</v>
      </c>
      <c r="AB147" s="407" t="s">
        <v>8648</v>
      </c>
      <c r="AC147" s="408" t="s">
        <v>8649</v>
      </c>
      <c r="AD147" s="1" t="s">
        <v>69</v>
      </c>
      <c r="AE147" s="71" t="s">
        <v>1406</v>
      </c>
      <c r="AF147" s="72" t="s">
        <v>1163</v>
      </c>
      <c r="AG147" s="32" t="s">
        <v>1164</v>
      </c>
      <c r="AH147" s="46" t="s">
        <v>5122</v>
      </c>
      <c r="AI147" s="168"/>
    </row>
    <row r="148" spans="1:42" s="268" customFormat="1">
      <c r="A148" s="130" t="s">
        <v>1827</v>
      </c>
      <c r="B148" s="79">
        <v>23</v>
      </c>
      <c r="C148" s="79">
        <v>35</v>
      </c>
      <c r="D148" s="79">
        <v>2</v>
      </c>
      <c r="E148" s="79">
        <v>28</v>
      </c>
      <c r="F148" s="57">
        <v>24.05</v>
      </c>
      <c r="G148" s="79">
        <v>6592</v>
      </c>
      <c r="H148" s="30" t="s">
        <v>1469</v>
      </c>
      <c r="I148" s="158" t="s">
        <v>1819</v>
      </c>
      <c r="J148" s="73">
        <v>79.08</v>
      </c>
      <c r="K148" s="73">
        <v>28.37</v>
      </c>
      <c r="L148" s="323">
        <v>1.49</v>
      </c>
      <c r="M148" s="73">
        <v>68.400000000000006</v>
      </c>
      <c r="N148" s="73">
        <f>K148+J148+L148+M148</f>
        <v>177.34</v>
      </c>
      <c r="O148" s="81">
        <f>IFERROR(VLOOKUP($G148,'321買'!A:E,3,0),"'沒有資料'")</f>
        <v>0</v>
      </c>
      <c r="P148" s="380">
        <f>IFERROR(VLOOKUP($G148,'321買'!$A:$G,7,0),"'沒有資料'")</f>
        <v>911</v>
      </c>
      <c r="Q148" s="302" t="s">
        <v>3816</v>
      </c>
      <c r="R148" s="297">
        <f>IFERROR(RANK(VLOOKUP($G148,連買!$A:$D,4,0),連買!$D:$D,0),"'沒有資料'")</f>
        <v>183</v>
      </c>
      <c r="S148" s="65">
        <v>3.5</v>
      </c>
      <c r="T148" s="323">
        <v>0.37</v>
      </c>
      <c r="U148" s="57">
        <v>5.73</v>
      </c>
      <c r="V148" s="166">
        <v>125</v>
      </c>
      <c r="W148" s="65">
        <v>115</v>
      </c>
      <c r="X148" s="167">
        <f>V148-W148</f>
        <v>10</v>
      </c>
      <c r="Y148" s="163">
        <f>X148/W148</f>
        <v>8.6956521739130432E-2</v>
      </c>
      <c r="Z148" s="100" t="s">
        <v>5137</v>
      </c>
      <c r="AA148" s="126"/>
      <c r="AB148" s="251"/>
      <c r="AC148" s="410"/>
      <c r="AD148" s="158" t="s">
        <v>1819</v>
      </c>
      <c r="AE148" s="84">
        <v>44607</v>
      </c>
      <c r="AF148" s="84">
        <v>44616</v>
      </c>
      <c r="AG148" s="33">
        <f>AF148-AE148</f>
        <v>9</v>
      </c>
      <c r="AH148" s="41" t="s">
        <v>1128</v>
      </c>
      <c r="AI148" s="237"/>
      <c r="AJ148" s="158"/>
      <c r="AK148" s="63"/>
      <c r="AL148" s="307"/>
      <c r="AM148" s="22"/>
      <c r="AN148" s="41"/>
      <c r="AO148" s="302"/>
    </row>
    <row r="149" spans="1:42" s="268" customFormat="1">
      <c r="A149" s="145"/>
      <c r="B149" s="79"/>
      <c r="C149" s="79"/>
      <c r="D149" s="79"/>
      <c r="E149" s="79"/>
      <c r="F149" s="6"/>
      <c r="G149" s="41"/>
      <c r="H149" s="8"/>
      <c r="I149" s="158"/>
      <c r="J149" s="323"/>
      <c r="K149" s="323"/>
      <c r="L149" s="323"/>
      <c r="M149" s="318"/>
      <c r="N149" s="318"/>
      <c r="O149" s="350"/>
      <c r="P149" s="374"/>
      <c r="Q149" s="302"/>
      <c r="R149" s="151"/>
      <c r="S149" s="197"/>
      <c r="T149" s="352"/>
      <c r="U149" s="95"/>
      <c r="V149" s="170">
        <f>SUM(V148)</f>
        <v>125</v>
      </c>
      <c r="W149" s="160">
        <f>SUM(W148)</f>
        <v>115</v>
      </c>
      <c r="X149" s="167">
        <f>V149-W149</f>
        <v>10</v>
      </c>
      <c r="Y149" s="163">
        <f>X149/W149</f>
        <v>8.6956521739130432E-2</v>
      </c>
      <c r="Z149" s="116"/>
      <c r="AA149" s="126"/>
      <c r="AB149" s="251"/>
      <c r="AC149" s="410"/>
      <c r="AD149" s="158">
        <f>V149*(0.001425*0.5)+V149*0.003+W149*(0.001425*0.5)</f>
        <v>0.54600000000000004</v>
      </c>
      <c r="AE149" s="6">
        <f>X149-AD149</f>
        <v>9.4540000000000006</v>
      </c>
      <c r="AF149" s="83"/>
      <c r="AG149" s="33"/>
      <c r="AH149" s="41" t="s">
        <v>1128</v>
      </c>
      <c r="AI149" s="168"/>
    </row>
    <row r="150" spans="1:42" s="268" customFormat="1">
      <c r="A150" s="145"/>
      <c r="B150" s="79"/>
      <c r="C150" s="79"/>
      <c r="D150" s="79"/>
      <c r="E150" s="79"/>
      <c r="F150" s="6"/>
      <c r="G150" s="41"/>
      <c r="H150" s="8"/>
      <c r="I150" s="158"/>
      <c r="J150" s="323"/>
      <c r="K150" s="323"/>
      <c r="L150" s="323"/>
      <c r="M150" s="318"/>
      <c r="N150" s="318"/>
      <c r="O150" s="350"/>
      <c r="P150" s="374"/>
      <c r="Q150" s="302"/>
      <c r="R150" s="151"/>
      <c r="S150" s="197"/>
      <c r="T150" s="354"/>
      <c r="U150" s="95"/>
      <c r="V150" s="170"/>
      <c r="W150" s="160"/>
      <c r="X150" s="167"/>
      <c r="Y150" s="169"/>
      <c r="Z150" s="116"/>
      <c r="AA150" s="126"/>
      <c r="AB150" s="251"/>
      <c r="AC150" s="410"/>
      <c r="AD150" s="158"/>
      <c r="AE150" s="6"/>
      <c r="AF150" s="83"/>
      <c r="AG150" s="33"/>
      <c r="AH150" s="41"/>
      <c r="AI150" s="168"/>
    </row>
    <row r="151" spans="1:42" s="268" customFormat="1">
      <c r="A151" s="130" t="s">
        <v>1732</v>
      </c>
      <c r="B151" s="91" t="s">
        <v>1588</v>
      </c>
      <c r="C151" s="91" t="s">
        <v>1589</v>
      </c>
      <c r="D151" s="91" t="s">
        <v>1590</v>
      </c>
      <c r="E151" s="91" t="s">
        <v>1591</v>
      </c>
      <c r="F151" s="8" t="s">
        <v>1066</v>
      </c>
      <c r="G151" s="26" t="s">
        <v>3691</v>
      </c>
      <c r="H151" s="55" t="s">
        <v>322</v>
      </c>
      <c r="I151" s="1" t="s">
        <v>2425</v>
      </c>
      <c r="J151" s="317" t="s">
        <v>1467</v>
      </c>
      <c r="K151" s="317" t="s">
        <v>1157</v>
      </c>
      <c r="L151" s="317" t="s">
        <v>284</v>
      </c>
      <c r="M151" s="317" t="s">
        <v>1059</v>
      </c>
      <c r="N151" s="317" t="s">
        <v>5048</v>
      </c>
      <c r="O151" s="26" t="s">
        <v>5107</v>
      </c>
      <c r="P151" s="373" t="s">
        <v>5059</v>
      </c>
      <c r="Q151" s="303" t="s">
        <v>5087</v>
      </c>
      <c r="R151" s="345" t="s">
        <v>5059</v>
      </c>
      <c r="S151" s="14" t="s">
        <v>66</v>
      </c>
      <c r="T151" s="351" t="s">
        <v>5076</v>
      </c>
      <c r="U151" s="68" t="s">
        <v>3844</v>
      </c>
      <c r="V151" s="28" t="s">
        <v>3860</v>
      </c>
      <c r="W151" s="17" t="s">
        <v>1405</v>
      </c>
      <c r="X151" s="14" t="s">
        <v>2430</v>
      </c>
      <c r="Y151" s="21" t="s">
        <v>1477</v>
      </c>
      <c r="Z151" s="51" t="s">
        <v>6627</v>
      </c>
      <c r="AA151" s="406" t="s">
        <v>8647</v>
      </c>
      <c r="AB151" s="407" t="s">
        <v>8648</v>
      </c>
      <c r="AC151" s="408" t="s">
        <v>8649</v>
      </c>
      <c r="AD151" s="1" t="s">
        <v>2425</v>
      </c>
      <c r="AE151" s="71" t="s">
        <v>1406</v>
      </c>
      <c r="AF151" s="72" t="s">
        <v>1163</v>
      </c>
      <c r="AG151" s="32" t="s">
        <v>1164</v>
      </c>
      <c r="AH151" s="46" t="s">
        <v>5039</v>
      </c>
      <c r="AI151" s="168"/>
    </row>
    <row r="152" spans="1:42" s="268" customFormat="1">
      <c r="A152" s="130" t="s">
        <v>1827</v>
      </c>
      <c r="B152" s="79">
        <v>39</v>
      </c>
      <c r="C152" s="79">
        <v>43</v>
      </c>
      <c r="D152" s="79">
        <v>4</v>
      </c>
      <c r="E152" s="79">
        <v>31</v>
      </c>
      <c r="F152" s="57">
        <v>27.4</v>
      </c>
      <c r="G152" s="79">
        <v>6592</v>
      </c>
      <c r="H152" s="30" t="s">
        <v>1469</v>
      </c>
      <c r="I152" s="158" t="s">
        <v>1819</v>
      </c>
      <c r="J152" s="73">
        <v>78.739999999999995</v>
      </c>
      <c r="K152" s="73">
        <v>28.34</v>
      </c>
      <c r="L152" s="73">
        <v>0.71</v>
      </c>
      <c r="M152" s="318"/>
      <c r="N152" s="73">
        <f t="shared" ref="N152:N157" si="14">K152+J152+L152</f>
        <v>107.78999999999999</v>
      </c>
      <c r="O152" s="81">
        <f>IFERROR(VLOOKUP($G152,'321買'!A:E,3,0),"'沒有資料'")</f>
        <v>0</v>
      </c>
      <c r="P152" s="380">
        <f>IFERROR(VLOOKUP($G152,'321買'!$A:$G,7,0),"'沒有資料'")</f>
        <v>911</v>
      </c>
      <c r="Q152" s="302"/>
      <c r="R152" s="297">
        <f>IFERROR(RANK(VLOOKUP($G152,連買!$A:$D,4,0),連買!$D:$D,0),"'沒有資料'")</f>
        <v>183</v>
      </c>
      <c r="S152" s="65">
        <v>3.5</v>
      </c>
      <c r="T152" s="354"/>
      <c r="U152" s="57">
        <v>5.35</v>
      </c>
      <c r="V152" s="166">
        <v>107.5</v>
      </c>
      <c r="W152" s="65">
        <f>85.5-3.5</f>
        <v>82</v>
      </c>
      <c r="X152" s="167">
        <f t="shared" ref="X152:X158" si="15">V152-W152</f>
        <v>25.5</v>
      </c>
      <c r="Y152" s="163">
        <f t="shared" ref="Y152:Y158" si="16">X152/W152</f>
        <v>0.31097560975609756</v>
      </c>
      <c r="Z152" s="196" t="s">
        <v>2047</v>
      </c>
      <c r="AA152" s="264"/>
      <c r="AB152" s="251"/>
      <c r="AC152" s="410"/>
      <c r="AD152" s="158" t="s">
        <v>1819</v>
      </c>
      <c r="AE152" s="84">
        <v>44312</v>
      </c>
      <c r="AF152" s="83"/>
      <c r="AG152" s="77">
        <f t="shared" ref="AG152:AG157" si="17">AF152-AE152</f>
        <v>-44312</v>
      </c>
      <c r="AH152" s="41" t="s">
        <v>1128</v>
      </c>
      <c r="AI152" s="223"/>
      <c r="AJ152" s="194"/>
    </row>
    <row r="153" spans="1:42">
      <c r="A153" s="146" t="s">
        <v>2099</v>
      </c>
      <c r="B153" s="79">
        <v>171</v>
      </c>
      <c r="C153" s="79">
        <v>391</v>
      </c>
      <c r="D153" s="79">
        <v>0</v>
      </c>
      <c r="E153" s="79">
        <v>41</v>
      </c>
      <c r="F153" s="6">
        <v>9.7100000000000009</v>
      </c>
      <c r="G153" s="79">
        <v>6284</v>
      </c>
      <c r="H153" s="30" t="s">
        <v>1469</v>
      </c>
      <c r="I153" s="16" t="s">
        <v>289</v>
      </c>
      <c r="J153" s="323">
        <v>49.96</v>
      </c>
      <c r="K153" s="323">
        <v>6.67</v>
      </c>
      <c r="L153" s="323">
        <v>16.91</v>
      </c>
      <c r="N153" s="333">
        <f t="shared" si="14"/>
        <v>73.540000000000006</v>
      </c>
      <c r="O153" s="81">
        <f>IFERROR(VLOOKUP($G153,'321買'!A:E,3,0),"'沒有資料'")</f>
        <v>14</v>
      </c>
      <c r="P153" s="380">
        <f>IFERROR(VLOOKUP($G153,'321買'!$A:$G,7,0),"'沒有資料'")</f>
        <v>307</v>
      </c>
      <c r="R153" s="297">
        <f>IFERROR(RANK(VLOOKUP($G153,連買!$A:$D,4,0),連買!$D:$D,0),"'沒有資料'")</f>
        <v>663</v>
      </c>
      <c r="S153" s="34">
        <v>1</v>
      </c>
      <c r="U153" s="95">
        <v>3.17</v>
      </c>
      <c r="V153" s="36">
        <v>74</v>
      </c>
      <c r="W153" s="66">
        <v>56.7</v>
      </c>
      <c r="X153" s="15">
        <f t="shared" si="15"/>
        <v>17.299999999999997</v>
      </c>
      <c r="Y153" s="63">
        <f t="shared" si="16"/>
        <v>0.30511463844797171</v>
      </c>
      <c r="Z153" s="102" t="s">
        <v>5040</v>
      </c>
      <c r="AA153" s="264"/>
      <c r="AD153" s="16" t="s">
        <v>289</v>
      </c>
      <c r="AE153" s="84">
        <v>44454</v>
      </c>
      <c r="AF153" s="83">
        <v>44566</v>
      </c>
      <c r="AG153" s="77">
        <f t="shared" si="17"/>
        <v>112</v>
      </c>
      <c r="AH153" s="41" t="s">
        <v>1128</v>
      </c>
      <c r="AI153" s="237"/>
      <c r="AJ153" s="262"/>
      <c r="AK153" s="41"/>
      <c r="AL153" s="16"/>
      <c r="AM153" s="219"/>
      <c r="AN153" s="258"/>
      <c r="AO153" s="269"/>
      <c r="AP153" s="271"/>
    </row>
    <row r="154" spans="1:42">
      <c r="A154" s="146" t="s">
        <v>2099</v>
      </c>
      <c r="B154" s="79">
        <v>171</v>
      </c>
      <c r="C154" s="79">
        <v>391</v>
      </c>
      <c r="D154" s="79">
        <v>0</v>
      </c>
      <c r="E154" s="79">
        <v>41</v>
      </c>
      <c r="F154" s="6">
        <v>9.7100000000000009</v>
      </c>
      <c r="G154" s="79">
        <v>6284</v>
      </c>
      <c r="H154" s="30" t="s">
        <v>1469</v>
      </c>
      <c r="I154" s="16" t="s">
        <v>289</v>
      </c>
      <c r="J154" s="323">
        <v>49.96</v>
      </c>
      <c r="K154" s="323">
        <v>6.67</v>
      </c>
      <c r="L154" s="323">
        <v>16.91</v>
      </c>
      <c r="N154" s="333">
        <f t="shared" si="14"/>
        <v>73.540000000000006</v>
      </c>
      <c r="O154" s="81">
        <f>IFERROR(VLOOKUP($G154,'321買'!A:E,3,0),"'沒有資料'")</f>
        <v>14</v>
      </c>
      <c r="P154" s="380">
        <f>IFERROR(VLOOKUP($G154,'321買'!$A:$G,7,0),"'沒有資料'")</f>
        <v>307</v>
      </c>
      <c r="R154" s="297">
        <f>IFERROR(RANK(VLOOKUP($G154,連買!$A:$D,4,0),連買!$D:$D,0),"'沒有資料'")</f>
        <v>663</v>
      </c>
      <c r="S154" s="34">
        <v>1</v>
      </c>
      <c r="U154" s="95">
        <v>3.17</v>
      </c>
      <c r="V154" s="36">
        <v>74</v>
      </c>
      <c r="W154" s="66">
        <f>76.9-1</f>
        <v>75.900000000000006</v>
      </c>
      <c r="X154" s="15">
        <f t="shared" si="15"/>
        <v>-1.9000000000000057</v>
      </c>
      <c r="Y154" s="76">
        <f t="shared" si="16"/>
        <v>-2.5032938076416409E-2</v>
      </c>
      <c r="Z154" s="139" t="s">
        <v>3733</v>
      </c>
      <c r="AA154" s="126"/>
      <c r="AD154" s="16" t="s">
        <v>289</v>
      </c>
      <c r="AE154" s="84">
        <v>44393</v>
      </c>
      <c r="AF154" s="83">
        <v>44566</v>
      </c>
      <c r="AG154" s="77">
        <f t="shared" si="17"/>
        <v>173</v>
      </c>
      <c r="AH154" s="41" t="s">
        <v>1128</v>
      </c>
      <c r="AI154" s="237"/>
      <c r="AJ154" s="262"/>
      <c r="AK154" s="41"/>
      <c r="AL154" s="16"/>
      <c r="AM154" s="219"/>
      <c r="AN154" s="258"/>
      <c r="AO154" s="269"/>
      <c r="AP154" s="271"/>
    </row>
    <row r="155" spans="1:42">
      <c r="A155" s="146" t="s">
        <v>2068</v>
      </c>
      <c r="B155" s="80">
        <v>-34</v>
      </c>
      <c r="C155" s="80">
        <v>-42</v>
      </c>
      <c r="D155" s="80">
        <v>-4</v>
      </c>
      <c r="E155" s="80">
        <v>-46</v>
      </c>
      <c r="F155" s="6">
        <v>9.8000000000000007</v>
      </c>
      <c r="G155" s="80">
        <v>6477</v>
      </c>
      <c r="H155" s="30" t="s">
        <v>1469</v>
      </c>
      <c r="I155" s="22" t="s">
        <v>453</v>
      </c>
      <c r="J155" s="323">
        <v>44.47</v>
      </c>
      <c r="K155" s="323">
        <v>8.66</v>
      </c>
      <c r="L155" s="73">
        <v>20.92</v>
      </c>
      <c r="N155" s="318">
        <f t="shared" si="14"/>
        <v>74.05</v>
      </c>
      <c r="O155" s="81">
        <f>IFERROR(VLOOKUP($G155,'321買'!A:E,3,0),"'沒有資料'")</f>
        <v>44</v>
      </c>
      <c r="P155" s="380">
        <f>IFERROR(VLOOKUP($G155,'321買'!$A:$G,7,0),"'沒有資料'")</f>
        <v>71</v>
      </c>
      <c r="R155" s="297">
        <f>IFERROR(RANK(VLOOKUP($G155,連買!$A:$D,4,0),連買!$D:$D,0),"'沒有資料'")</f>
        <v>310</v>
      </c>
      <c r="S155" s="34">
        <v>1.1399999999999999</v>
      </c>
      <c r="U155" s="95">
        <v>2.54</v>
      </c>
      <c r="V155" s="36">
        <v>55</v>
      </c>
      <c r="W155" s="45">
        <f>50.2-1.14</f>
        <v>49.06</v>
      </c>
      <c r="X155" s="15">
        <f t="shared" si="15"/>
        <v>5.9399999999999977</v>
      </c>
      <c r="Y155" s="63">
        <f t="shared" si="16"/>
        <v>0.12107623318385645</v>
      </c>
      <c r="Z155" s="102" t="s">
        <v>5041</v>
      </c>
      <c r="AA155" s="126"/>
      <c r="AD155" s="22" t="s">
        <v>453</v>
      </c>
      <c r="AE155" s="84">
        <v>44364</v>
      </c>
      <c r="AF155" s="83">
        <v>44566</v>
      </c>
      <c r="AG155" s="77">
        <f t="shared" si="17"/>
        <v>202</v>
      </c>
      <c r="AH155" s="41" t="s">
        <v>1128</v>
      </c>
      <c r="AI155" s="237"/>
      <c r="AJ155" s="262"/>
    </row>
    <row r="156" spans="1:42">
      <c r="A156" s="146" t="s">
        <v>1786</v>
      </c>
      <c r="B156" s="80">
        <v>-47</v>
      </c>
      <c r="C156" s="80">
        <v>-47</v>
      </c>
      <c r="D156" s="79">
        <v>69</v>
      </c>
      <c r="E156" s="79">
        <v>4</v>
      </c>
      <c r="F156" s="6">
        <v>4.82</v>
      </c>
      <c r="G156" s="80">
        <v>9919</v>
      </c>
      <c r="H156" s="30" t="s">
        <v>1469</v>
      </c>
      <c r="I156" s="22" t="s">
        <v>700</v>
      </c>
      <c r="J156" s="73">
        <v>43.09</v>
      </c>
      <c r="K156" s="323">
        <v>3.36</v>
      </c>
      <c r="L156" s="323">
        <v>16.559999999999999</v>
      </c>
      <c r="N156" s="318">
        <f t="shared" si="14"/>
        <v>63.010000000000005</v>
      </c>
      <c r="O156" s="81">
        <f>IFERROR(VLOOKUP($G156,'321買'!A:E,3,0),"'沒有資料'")</f>
        <v>8</v>
      </c>
      <c r="P156" s="380">
        <f>IFERROR(VLOOKUP($G156,'321買'!$A:$G,7,0),"'沒有資料'")</f>
        <v>448</v>
      </c>
      <c r="R156" s="297">
        <f>IFERROR(RANK(VLOOKUP($G156,連買!$A:$D,4,0),連買!$D:$D,0),"'沒有資料'")</f>
        <v>558</v>
      </c>
      <c r="S156" s="45">
        <v>3</v>
      </c>
      <c r="U156" s="95">
        <v>4.32</v>
      </c>
      <c r="V156" s="36">
        <v>32.1</v>
      </c>
      <c r="W156" s="66">
        <f>41.9-3</f>
        <v>38.9</v>
      </c>
      <c r="X156" s="15">
        <f t="shared" si="15"/>
        <v>-6.7999999999999972</v>
      </c>
      <c r="Y156" s="76">
        <f t="shared" si="16"/>
        <v>-0.17480719794344465</v>
      </c>
      <c r="Z156" s="101" t="s">
        <v>5066</v>
      </c>
      <c r="AA156" s="126"/>
      <c r="AD156" s="22" t="s">
        <v>700</v>
      </c>
      <c r="AE156" s="84">
        <v>44336</v>
      </c>
      <c r="AG156" s="77">
        <f t="shared" si="17"/>
        <v>-44336</v>
      </c>
      <c r="AH156" s="41" t="s">
        <v>1128</v>
      </c>
      <c r="AI156" s="237"/>
      <c r="AJ156" s="8"/>
    </row>
    <row r="157" spans="1:42">
      <c r="A157" s="146" t="s">
        <v>1786</v>
      </c>
      <c r="B157" s="80">
        <v>-47</v>
      </c>
      <c r="C157" s="80">
        <v>-47</v>
      </c>
      <c r="D157" s="79">
        <v>69</v>
      </c>
      <c r="E157" s="79">
        <v>4</v>
      </c>
      <c r="F157" s="6">
        <v>4.82</v>
      </c>
      <c r="G157" s="80">
        <v>9919</v>
      </c>
      <c r="H157" s="30" t="s">
        <v>1469</v>
      </c>
      <c r="I157" s="22" t="s">
        <v>700</v>
      </c>
      <c r="J157" s="73">
        <v>43.09</v>
      </c>
      <c r="K157" s="323">
        <v>3.36</v>
      </c>
      <c r="L157" s="323">
        <v>16.559999999999999</v>
      </c>
      <c r="N157" s="318">
        <f t="shared" si="14"/>
        <v>63.010000000000005</v>
      </c>
      <c r="O157" s="81">
        <f>IFERROR(VLOOKUP($G157,'321買'!A:E,3,0),"'沒有資料'")</f>
        <v>8</v>
      </c>
      <c r="P157" s="380">
        <f>IFERROR(VLOOKUP($G157,'321買'!$A:$G,7,0),"'沒有資料'")</f>
        <v>448</v>
      </c>
      <c r="R157" s="297">
        <f>IFERROR(RANK(VLOOKUP($G157,連買!$A:$D,4,0),連買!$D:$D,0),"'沒有資料'")</f>
        <v>558</v>
      </c>
      <c r="S157" s="45">
        <v>3</v>
      </c>
      <c r="U157" s="95">
        <v>4.32</v>
      </c>
      <c r="V157" s="36">
        <v>32.15</v>
      </c>
      <c r="W157" s="66">
        <f>44.5-3</f>
        <v>41.5</v>
      </c>
      <c r="X157" s="15">
        <f t="shared" si="15"/>
        <v>-9.3500000000000014</v>
      </c>
      <c r="Y157" s="76">
        <f t="shared" si="16"/>
        <v>-0.22530120481927715</v>
      </c>
      <c r="Z157" s="101" t="s">
        <v>5067</v>
      </c>
      <c r="AA157" s="126"/>
      <c r="AD157" s="22" t="s">
        <v>700</v>
      </c>
      <c r="AE157" s="84">
        <v>44334</v>
      </c>
      <c r="AG157" s="77">
        <f t="shared" si="17"/>
        <v>-44334</v>
      </c>
      <c r="AH157" s="41" t="s">
        <v>1128</v>
      </c>
      <c r="AI157" s="237"/>
      <c r="AJ157" s="8"/>
    </row>
    <row r="158" spans="1:42" s="268" customFormat="1">
      <c r="A158" s="145"/>
      <c r="B158" s="79"/>
      <c r="C158" s="79"/>
      <c r="D158" s="79"/>
      <c r="E158" s="79"/>
      <c r="F158" s="6"/>
      <c r="G158" s="41"/>
      <c r="H158" s="8"/>
      <c r="I158" s="158"/>
      <c r="J158" s="323"/>
      <c r="K158" s="323"/>
      <c r="L158" s="323"/>
      <c r="M158" s="318"/>
      <c r="N158" s="318"/>
      <c r="O158" s="350"/>
      <c r="P158" s="374"/>
      <c r="Q158" s="302"/>
      <c r="R158" s="151"/>
      <c r="S158" s="197"/>
      <c r="T158" s="354"/>
      <c r="U158" s="95"/>
      <c r="V158" s="170">
        <f>SUM(V152:V157)</f>
        <v>374.75</v>
      </c>
      <c r="W158" s="160">
        <f>SUM(W152:W157)</f>
        <v>344.05999999999995</v>
      </c>
      <c r="X158" s="167">
        <f t="shared" si="15"/>
        <v>30.690000000000055</v>
      </c>
      <c r="Y158" s="163">
        <f t="shared" si="16"/>
        <v>8.9199558216590299E-2</v>
      </c>
      <c r="Z158" s="116"/>
      <c r="AA158" s="126"/>
      <c r="AB158" s="251"/>
      <c r="AC158" s="410"/>
      <c r="AD158" s="158">
        <f>V158*(0.001425*0.5)+V158*0.003+W158*(0.001425*0.5)</f>
        <v>1.636402125</v>
      </c>
      <c r="AE158" s="6">
        <f>X158-AD158</f>
        <v>29.053597875000055</v>
      </c>
      <c r="AF158" s="83"/>
      <c r="AG158" s="33"/>
      <c r="AH158" s="41"/>
      <c r="AI158" s="168"/>
      <c r="AJ158" s="260"/>
    </row>
    <row r="159" spans="1:42" s="268" customFormat="1">
      <c r="A159" s="145"/>
      <c r="B159" s="79"/>
      <c r="C159" s="79"/>
      <c r="D159" s="79"/>
      <c r="E159" s="79"/>
      <c r="F159" s="6"/>
      <c r="G159" s="41"/>
      <c r="H159" s="8"/>
      <c r="I159" s="158"/>
      <c r="J159" s="323"/>
      <c r="K159" s="323"/>
      <c r="L159" s="323"/>
      <c r="M159" s="318"/>
      <c r="N159" s="318"/>
      <c r="O159" s="350"/>
      <c r="P159" s="374"/>
      <c r="Q159" s="302"/>
      <c r="R159" s="151"/>
      <c r="S159" s="197"/>
      <c r="T159" s="354"/>
      <c r="U159" s="95"/>
      <c r="V159" s="170"/>
      <c r="W159" s="160"/>
      <c r="X159" s="167"/>
      <c r="Y159" s="169"/>
      <c r="Z159" s="116"/>
      <c r="AA159" s="126"/>
      <c r="AB159" s="251"/>
      <c r="AC159" s="410"/>
      <c r="AD159" s="158"/>
      <c r="AE159" s="6"/>
      <c r="AF159" s="83"/>
      <c r="AG159" s="33"/>
      <c r="AH159" s="41"/>
      <c r="AI159" s="168"/>
    </row>
    <row r="160" spans="1:42" s="268" customFormat="1">
      <c r="A160" s="130" t="s">
        <v>1732</v>
      </c>
      <c r="B160" s="91" t="s">
        <v>1588</v>
      </c>
      <c r="C160" s="91" t="s">
        <v>1589</v>
      </c>
      <c r="D160" s="91" t="s">
        <v>1590</v>
      </c>
      <c r="E160" s="91" t="s">
        <v>1591</v>
      </c>
      <c r="F160" s="8" t="s">
        <v>1066</v>
      </c>
      <c r="G160" s="26" t="s">
        <v>3691</v>
      </c>
      <c r="H160" s="55" t="s">
        <v>322</v>
      </c>
      <c r="I160" s="1" t="s">
        <v>69</v>
      </c>
      <c r="J160" s="317" t="s">
        <v>1467</v>
      </c>
      <c r="K160" s="317" t="s">
        <v>1157</v>
      </c>
      <c r="L160" s="317" t="s">
        <v>284</v>
      </c>
      <c r="M160" s="317" t="s">
        <v>1059</v>
      </c>
      <c r="N160" s="317" t="s">
        <v>5048</v>
      </c>
      <c r="O160" s="26" t="s">
        <v>5107</v>
      </c>
      <c r="P160" s="373" t="s">
        <v>5059</v>
      </c>
      <c r="Q160" s="303" t="s">
        <v>5087</v>
      </c>
      <c r="R160" s="345" t="s">
        <v>5059</v>
      </c>
      <c r="S160" s="14" t="s">
        <v>66</v>
      </c>
      <c r="T160" s="351" t="s">
        <v>5076</v>
      </c>
      <c r="U160" s="68" t="s">
        <v>3844</v>
      </c>
      <c r="V160" s="28" t="s">
        <v>3860</v>
      </c>
      <c r="W160" s="17" t="s">
        <v>1405</v>
      </c>
      <c r="X160" s="14" t="s">
        <v>2430</v>
      </c>
      <c r="Y160" s="21" t="s">
        <v>1477</v>
      </c>
      <c r="Z160" s="51" t="s">
        <v>6627</v>
      </c>
      <c r="AA160" s="406" t="s">
        <v>8647</v>
      </c>
      <c r="AB160" s="407" t="s">
        <v>8648</v>
      </c>
      <c r="AC160" s="408" t="s">
        <v>8649</v>
      </c>
      <c r="AD160" s="1" t="s">
        <v>69</v>
      </c>
      <c r="AE160" s="71" t="s">
        <v>1406</v>
      </c>
      <c r="AF160" s="72" t="s">
        <v>1163</v>
      </c>
      <c r="AG160" s="32" t="s">
        <v>1164</v>
      </c>
      <c r="AH160" s="46" t="s">
        <v>3745</v>
      </c>
      <c r="AI160" s="168"/>
    </row>
    <row r="161" spans="1:40">
      <c r="A161" s="146" t="s">
        <v>3166</v>
      </c>
      <c r="B161" s="79">
        <v>294</v>
      </c>
      <c r="C161" s="79">
        <v>351</v>
      </c>
      <c r="D161" s="79">
        <v>57</v>
      </c>
      <c r="E161" s="79">
        <v>91</v>
      </c>
      <c r="F161" s="6">
        <v>7.57</v>
      </c>
      <c r="G161" s="80">
        <v>3162</v>
      </c>
      <c r="H161" s="30" t="s">
        <v>1469</v>
      </c>
      <c r="I161" s="16" t="s">
        <v>533</v>
      </c>
      <c r="J161" s="323">
        <v>57.54</v>
      </c>
      <c r="K161" s="73">
        <v>59.11</v>
      </c>
      <c r="L161" s="323"/>
      <c r="N161" s="73">
        <f>K161+J161+L161</f>
        <v>116.65</v>
      </c>
      <c r="O161" s="81">
        <f>IFERROR(VLOOKUP($G161,'321買'!A:E,3,0),"'沒有資料'")</f>
        <v>0</v>
      </c>
      <c r="P161" s="380">
        <f>IFERROR(VLOOKUP($G161,'321買'!$A:$G,7,0),"'沒有資料'")</f>
        <v>911</v>
      </c>
      <c r="R161" s="297">
        <f>IFERROR(RANK(VLOOKUP($G161,連買!$A:$D,4,0),連買!$D:$D,0),"'沒有資料'")</f>
        <v>978</v>
      </c>
      <c r="S161" s="34">
        <v>0</v>
      </c>
      <c r="U161" s="57">
        <v>7.0000000000000007E-2</v>
      </c>
      <c r="V161" s="13">
        <v>49.3</v>
      </c>
      <c r="W161" s="66">
        <v>40</v>
      </c>
      <c r="X161" s="15">
        <f>V161-W161</f>
        <v>9.2999999999999972</v>
      </c>
      <c r="Y161" s="63">
        <f>X161/W161</f>
        <v>0.23249999999999993</v>
      </c>
      <c r="Z161" s="102" t="s">
        <v>5042</v>
      </c>
      <c r="AA161" s="126"/>
      <c r="AD161" s="16" t="s">
        <v>533</v>
      </c>
      <c r="AE161" s="84">
        <v>44470</v>
      </c>
      <c r="AF161" s="83">
        <v>44477</v>
      </c>
      <c r="AG161" s="33">
        <f>AF161-AE161</f>
        <v>7</v>
      </c>
      <c r="AH161" s="41" t="s">
        <v>1128</v>
      </c>
      <c r="AI161" s="237"/>
      <c r="AJ161" s="16"/>
      <c r="AK161" s="219"/>
      <c r="AL161" s="258"/>
      <c r="AM161" s="269"/>
      <c r="AN161" s="271"/>
    </row>
    <row r="162" spans="1:40" s="268" customFormat="1">
      <c r="A162" s="145"/>
      <c r="B162" s="79"/>
      <c r="C162" s="79"/>
      <c r="D162" s="79"/>
      <c r="E162" s="79"/>
      <c r="F162" s="6"/>
      <c r="G162" s="41"/>
      <c r="H162" s="8"/>
      <c r="I162" s="158"/>
      <c r="J162" s="323"/>
      <c r="K162" s="323"/>
      <c r="L162" s="323"/>
      <c r="M162" s="318"/>
      <c r="N162" s="318"/>
      <c r="O162" s="350"/>
      <c r="P162" s="374"/>
      <c r="Q162" s="302"/>
      <c r="R162" s="151"/>
      <c r="S162" s="197"/>
      <c r="T162" s="354"/>
      <c r="U162" s="95"/>
      <c r="V162" s="170">
        <f>SUM(V161)</f>
        <v>49.3</v>
      </c>
      <c r="W162" s="160">
        <f>SUM(W161)</f>
        <v>40</v>
      </c>
      <c r="X162" s="167">
        <f>V162-W162</f>
        <v>9.2999999999999972</v>
      </c>
      <c r="Y162" s="163">
        <f>X162/W162</f>
        <v>0.23249999999999993</v>
      </c>
      <c r="Z162" s="116"/>
      <c r="AA162" s="126"/>
      <c r="AB162" s="251"/>
      <c r="AC162" s="410"/>
      <c r="AD162" s="158">
        <f>V162*(0.001425*0.5)+V162*0.003+W162*(0.001425*0.5)</f>
        <v>0.21152625</v>
      </c>
      <c r="AE162" s="6">
        <f>X162-AD162</f>
        <v>9.0884737499999968</v>
      </c>
      <c r="AF162" s="83"/>
      <c r="AG162" s="33"/>
      <c r="AH162" s="41"/>
      <c r="AI162" s="168"/>
    </row>
    <row r="163" spans="1:40" s="268" customFormat="1">
      <c r="A163" s="145"/>
      <c r="B163" s="79"/>
      <c r="C163" s="79"/>
      <c r="D163" s="79"/>
      <c r="E163" s="79"/>
      <c r="F163" s="6"/>
      <c r="G163" s="41"/>
      <c r="H163" s="8"/>
      <c r="I163" s="158"/>
      <c r="J163" s="323"/>
      <c r="K163" s="323"/>
      <c r="L163" s="323"/>
      <c r="M163" s="318"/>
      <c r="N163" s="318"/>
      <c r="O163" s="350"/>
      <c r="P163" s="374"/>
      <c r="Q163" s="302"/>
      <c r="R163" s="151"/>
      <c r="S163" s="197"/>
      <c r="T163" s="354"/>
      <c r="U163" s="95"/>
      <c r="V163" s="170"/>
      <c r="W163" s="160"/>
      <c r="X163" s="167"/>
      <c r="Y163" s="169"/>
      <c r="Z163" s="116"/>
      <c r="AA163" s="124"/>
      <c r="AB163" s="251"/>
      <c r="AC163" s="410"/>
      <c r="AD163" s="158"/>
      <c r="AE163" s="6"/>
      <c r="AF163" s="83"/>
      <c r="AG163" s="33"/>
      <c r="AH163" s="41"/>
      <c r="AI163" s="168"/>
    </row>
    <row r="164" spans="1:40" s="276" customFormat="1">
      <c r="A164" s="130" t="s">
        <v>1732</v>
      </c>
      <c r="B164" s="91" t="s">
        <v>1588</v>
      </c>
      <c r="C164" s="91" t="s">
        <v>1589</v>
      </c>
      <c r="D164" s="91" t="s">
        <v>1590</v>
      </c>
      <c r="E164" s="91" t="s">
        <v>1591</v>
      </c>
      <c r="F164" s="8" t="s">
        <v>1066</v>
      </c>
      <c r="G164" s="26" t="s">
        <v>3691</v>
      </c>
      <c r="H164" s="55" t="s">
        <v>322</v>
      </c>
      <c r="I164" s="1" t="s">
        <v>2425</v>
      </c>
      <c r="J164" s="317" t="s">
        <v>1467</v>
      </c>
      <c r="K164" s="317" t="s">
        <v>1157</v>
      </c>
      <c r="L164" s="317" t="s">
        <v>284</v>
      </c>
      <c r="M164" s="317" t="s">
        <v>1059</v>
      </c>
      <c r="N164" s="317" t="s">
        <v>5048</v>
      </c>
      <c r="O164" s="26" t="s">
        <v>5107</v>
      </c>
      <c r="P164" s="373" t="s">
        <v>5059</v>
      </c>
      <c r="Q164" s="303" t="s">
        <v>5087</v>
      </c>
      <c r="R164" s="345" t="s">
        <v>5059</v>
      </c>
      <c r="S164" s="14" t="s">
        <v>66</v>
      </c>
      <c r="T164" s="351" t="s">
        <v>5076</v>
      </c>
      <c r="U164" s="68" t="s">
        <v>3844</v>
      </c>
      <c r="V164" s="28" t="s">
        <v>3860</v>
      </c>
      <c r="W164" s="17" t="s">
        <v>1405</v>
      </c>
      <c r="X164" s="14" t="s">
        <v>2430</v>
      </c>
      <c r="Y164" s="21" t="s">
        <v>1477</v>
      </c>
      <c r="Z164" s="51" t="s">
        <v>6627</v>
      </c>
      <c r="AA164" s="406" t="s">
        <v>8647</v>
      </c>
      <c r="AB164" s="407" t="s">
        <v>8648</v>
      </c>
      <c r="AC164" s="408" t="s">
        <v>8649</v>
      </c>
      <c r="AD164" s="1" t="s">
        <v>2425</v>
      </c>
      <c r="AE164" s="71" t="s">
        <v>1406</v>
      </c>
      <c r="AF164" s="72" t="s">
        <v>1163</v>
      </c>
      <c r="AG164" s="32" t="s">
        <v>1164</v>
      </c>
      <c r="AH164" s="46" t="s">
        <v>3666</v>
      </c>
      <c r="AI164" s="168"/>
    </row>
    <row r="165" spans="1:40" s="268" customFormat="1">
      <c r="A165" s="130" t="s">
        <v>1711</v>
      </c>
      <c r="B165" s="79">
        <v>6</v>
      </c>
      <c r="C165" s="79">
        <v>3</v>
      </c>
      <c r="D165" s="79">
        <v>2</v>
      </c>
      <c r="E165" s="79">
        <v>15</v>
      </c>
      <c r="F165" s="57">
        <v>10.6</v>
      </c>
      <c r="G165" s="80">
        <v>5457</v>
      </c>
      <c r="H165" s="30" t="s">
        <v>1469</v>
      </c>
      <c r="I165" s="171" t="s">
        <v>178</v>
      </c>
      <c r="J165" s="73">
        <v>60.36</v>
      </c>
      <c r="K165" s="323">
        <v>41.93</v>
      </c>
      <c r="L165" s="73">
        <v>18.29</v>
      </c>
      <c r="M165" s="318"/>
      <c r="N165" s="73">
        <f t="shared" ref="N165:N171" si="18">K165+J165+L165</f>
        <v>120.57999999999998</v>
      </c>
      <c r="O165" s="81">
        <f>IFERROR(VLOOKUP($G165,'321買'!A:E,3,0),"'沒有資料'")</f>
        <v>19</v>
      </c>
      <c r="P165" s="380">
        <f>IFERROR(VLOOKUP($G165,'321買'!$A:$G,7,0),"'沒有資料'")</f>
        <v>241</v>
      </c>
      <c r="Q165" s="302"/>
      <c r="R165" s="297">
        <f>IFERROR(RANK(VLOOKUP($G165,連買!$A:$D,4,0),連買!$D:$D,0),"'沒有資料'")</f>
        <v>1537</v>
      </c>
      <c r="S165" s="197">
        <v>2.1</v>
      </c>
      <c r="T165" s="354"/>
      <c r="U165" s="57">
        <v>4.29</v>
      </c>
      <c r="V165" s="170">
        <v>87.5</v>
      </c>
      <c r="W165" s="65">
        <f>81-2.1</f>
        <v>78.900000000000006</v>
      </c>
      <c r="X165" s="107">
        <f t="shared" ref="X165:X172" si="19">V165-W165</f>
        <v>8.5999999999999943</v>
      </c>
      <c r="Y165" s="163">
        <f t="shared" ref="Y165:Y172" si="20">X165/W165</f>
        <v>0.10899873257287698</v>
      </c>
      <c r="Z165" s="172" t="s">
        <v>3166</v>
      </c>
      <c r="AA165" s="126"/>
      <c r="AB165" s="251"/>
      <c r="AC165" s="410"/>
      <c r="AD165" s="171" t="s">
        <v>178</v>
      </c>
      <c r="AE165" s="84">
        <v>44399</v>
      </c>
      <c r="AF165" s="83"/>
      <c r="AG165" s="33">
        <f t="shared" ref="AG165:AG171" si="21">AF165-AE165</f>
        <v>-44399</v>
      </c>
      <c r="AH165" s="41" t="s">
        <v>1128</v>
      </c>
      <c r="AI165" s="225"/>
      <c r="AJ165" s="24"/>
    </row>
    <row r="166" spans="1:40" s="268" customFormat="1">
      <c r="A166" s="130" t="s">
        <v>1711</v>
      </c>
      <c r="B166" s="79">
        <v>6</v>
      </c>
      <c r="C166" s="79">
        <v>3</v>
      </c>
      <c r="D166" s="79">
        <v>2</v>
      </c>
      <c r="E166" s="79">
        <v>15</v>
      </c>
      <c r="F166" s="57">
        <v>10.6</v>
      </c>
      <c r="G166" s="80">
        <v>5457</v>
      </c>
      <c r="H166" s="30" t="s">
        <v>1469</v>
      </c>
      <c r="I166" s="171" t="s">
        <v>178</v>
      </c>
      <c r="J166" s="73">
        <v>60.36</v>
      </c>
      <c r="K166" s="323">
        <v>41.93</v>
      </c>
      <c r="L166" s="73">
        <v>18.29</v>
      </c>
      <c r="M166" s="318"/>
      <c r="N166" s="73">
        <f t="shared" si="18"/>
        <v>120.57999999999998</v>
      </c>
      <c r="O166" s="81">
        <f>IFERROR(VLOOKUP($G166,'321買'!A:E,3,0),"'沒有資料'")</f>
        <v>19</v>
      </c>
      <c r="P166" s="380">
        <f>IFERROR(VLOOKUP($G166,'321買'!$A:$G,7,0),"'沒有資料'")</f>
        <v>241</v>
      </c>
      <c r="Q166" s="302"/>
      <c r="R166" s="297">
        <f>IFERROR(RANK(VLOOKUP($G166,連買!$A:$D,4,0),連買!$D:$D,0),"'沒有資料'")</f>
        <v>1537</v>
      </c>
      <c r="S166" s="197">
        <v>2.1</v>
      </c>
      <c r="T166" s="354"/>
      <c r="U166" s="57">
        <v>4.29</v>
      </c>
      <c r="V166" s="170">
        <v>87.5</v>
      </c>
      <c r="W166" s="65">
        <f>69.6-2.1</f>
        <v>67.5</v>
      </c>
      <c r="X166" s="107">
        <f t="shared" si="19"/>
        <v>20</v>
      </c>
      <c r="Y166" s="163">
        <f t="shared" si="20"/>
        <v>0.29629629629629628</v>
      </c>
      <c r="Z166" s="172" t="s">
        <v>3674</v>
      </c>
      <c r="AA166" s="126"/>
      <c r="AB166" s="251"/>
      <c r="AC166" s="410"/>
      <c r="AD166" s="171" t="s">
        <v>178</v>
      </c>
      <c r="AE166" s="84">
        <v>44364</v>
      </c>
      <c r="AF166" s="83"/>
      <c r="AG166" s="33">
        <f t="shared" si="21"/>
        <v>-44364</v>
      </c>
      <c r="AH166" s="41" t="s">
        <v>1128</v>
      </c>
      <c r="AI166" s="225"/>
      <c r="AJ166" s="24"/>
    </row>
    <row r="167" spans="1:40" s="268" customFormat="1">
      <c r="A167" s="130" t="s">
        <v>1711</v>
      </c>
      <c r="B167" s="79">
        <v>6</v>
      </c>
      <c r="C167" s="79">
        <v>3</v>
      </c>
      <c r="D167" s="79">
        <v>2</v>
      </c>
      <c r="E167" s="79">
        <v>15</v>
      </c>
      <c r="F167" s="57">
        <v>10.6</v>
      </c>
      <c r="G167" s="80">
        <v>5457</v>
      </c>
      <c r="H167" s="30" t="s">
        <v>1469</v>
      </c>
      <c r="I167" s="171" t="s">
        <v>178</v>
      </c>
      <c r="J167" s="73">
        <v>60.36</v>
      </c>
      <c r="K167" s="323">
        <v>41.93</v>
      </c>
      <c r="L167" s="73">
        <v>18.29</v>
      </c>
      <c r="M167" s="318"/>
      <c r="N167" s="73">
        <f t="shared" si="18"/>
        <v>120.57999999999998</v>
      </c>
      <c r="O167" s="81">
        <f>IFERROR(VLOOKUP($G167,'321買'!A:E,3,0),"'沒有資料'")</f>
        <v>19</v>
      </c>
      <c r="P167" s="380">
        <f>IFERROR(VLOOKUP($G167,'321買'!$A:$G,7,0),"'沒有資料'")</f>
        <v>241</v>
      </c>
      <c r="Q167" s="302"/>
      <c r="R167" s="297">
        <f>IFERROR(RANK(VLOOKUP($G167,連買!$A:$D,4,0),連買!$D:$D,0),"'沒有資料'")</f>
        <v>1537</v>
      </c>
      <c r="S167" s="197">
        <v>2.1</v>
      </c>
      <c r="T167" s="354"/>
      <c r="U167" s="57">
        <v>4.29</v>
      </c>
      <c r="V167" s="170">
        <v>87.5</v>
      </c>
      <c r="W167" s="65">
        <f>81.9-2.1</f>
        <v>79.800000000000011</v>
      </c>
      <c r="X167" s="107">
        <f t="shared" si="19"/>
        <v>7.6999999999999886</v>
      </c>
      <c r="Y167" s="163">
        <f t="shared" si="20"/>
        <v>9.6491228070175281E-2</v>
      </c>
      <c r="Z167" s="172" t="s">
        <v>3675</v>
      </c>
      <c r="AA167" s="264"/>
      <c r="AB167" s="251"/>
      <c r="AC167" s="410"/>
      <c r="AD167" s="171" t="s">
        <v>178</v>
      </c>
      <c r="AE167" s="84">
        <v>44309</v>
      </c>
      <c r="AF167" s="83"/>
      <c r="AG167" s="33">
        <f t="shared" si="21"/>
        <v>-44309</v>
      </c>
      <c r="AH167" s="41" t="s">
        <v>1128</v>
      </c>
      <c r="AI167" s="225"/>
      <c r="AJ167" s="24"/>
    </row>
    <row r="168" spans="1:40" s="268" customFormat="1">
      <c r="A168" s="130" t="s">
        <v>1711</v>
      </c>
      <c r="B168" s="79">
        <v>6</v>
      </c>
      <c r="C168" s="79">
        <v>3</v>
      </c>
      <c r="D168" s="79">
        <v>2</v>
      </c>
      <c r="E168" s="79">
        <v>15</v>
      </c>
      <c r="F168" s="57">
        <v>10.6</v>
      </c>
      <c r="G168" s="80">
        <v>5457</v>
      </c>
      <c r="H168" s="30" t="s">
        <v>1469</v>
      </c>
      <c r="I168" s="171" t="s">
        <v>178</v>
      </c>
      <c r="J168" s="73">
        <v>60.36</v>
      </c>
      <c r="K168" s="323">
        <v>41.93</v>
      </c>
      <c r="L168" s="73">
        <v>18.29</v>
      </c>
      <c r="M168" s="318"/>
      <c r="N168" s="73">
        <f t="shared" si="18"/>
        <v>120.57999999999998</v>
      </c>
      <c r="O168" s="81">
        <f>IFERROR(VLOOKUP($G168,'321買'!A:E,3,0),"'沒有資料'")</f>
        <v>19</v>
      </c>
      <c r="P168" s="380">
        <f>IFERROR(VLOOKUP($G168,'321買'!$A:$G,7,0),"'沒有資料'")</f>
        <v>241</v>
      </c>
      <c r="Q168" s="302"/>
      <c r="R168" s="297">
        <f>IFERROR(RANK(VLOOKUP($G168,連買!$A:$D,4,0),連買!$D:$D,0),"'沒有資料'")</f>
        <v>1537</v>
      </c>
      <c r="S168" s="197">
        <v>2.1</v>
      </c>
      <c r="T168" s="354"/>
      <c r="U168" s="57">
        <v>4.29</v>
      </c>
      <c r="V168" s="170">
        <v>87.5</v>
      </c>
      <c r="W168" s="65">
        <f>85.9-2.1</f>
        <v>83.800000000000011</v>
      </c>
      <c r="X168" s="107">
        <f t="shared" si="19"/>
        <v>3.6999999999999886</v>
      </c>
      <c r="Y168" s="163">
        <f t="shared" si="20"/>
        <v>4.4152744630071454E-2</v>
      </c>
      <c r="Z168" s="172" t="s">
        <v>2028</v>
      </c>
      <c r="AA168" s="126"/>
      <c r="AB168" s="251"/>
      <c r="AC168" s="410"/>
      <c r="AD168" s="171" t="s">
        <v>178</v>
      </c>
      <c r="AE168" s="84">
        <v>44302</v>
      </c>
      <c r="AF168" s="83"/>
      <c r="AG168" s="33">
        <f t="shared" si="21"/>
        <v>-44302</v>
      </c>
      <c r="AH168" s="41" t="s">
        <v>1128</v>
      </c>
      <c r="AI168" s="225"/>
      <c r="AJ168" s="24"/>
    </row>
    <row r="169" spans="1:40" s="268" customFormat="1">
      <c r="A169" s="130" t="s">
        <v>2418</v>
      </c>
      <c r="B169" s="79">
        <v>30</v>
      </c>
      <c r="C169" s="79">
        <v>29</v>
      </c>
      <c r="D169" s="79">
        <v>3</v>
      </c>
      <c r="E169" s="79">
        <v>45</v>
      </c>
      <c r="F169" s="57">
        <v>22.5</v>
      </c>
      <c r="G169" s="79">
        <v>6147</v>
      </c>
      <c r="H169" s="30" t="s">
        <v>1469</v>
      </c>
      <c r="I169" s="171" t="s">
        <v>40</v>
      </c>
      <c r="J169" s="323">
        <v>65.13</v>
      </c>
      <c r="K169" s="73">
        <v>48.45</v>
      </c>
      <c r="L169" s="73">
        <v>5.16</v>
      </c>
      <c r="M169" s="318"/>
      <c r="N169" s="73">
        <f t="shared" si="18"/>
        <v>118.74</v>
      </c>
      <c r="O169" s="81">
        <f>IFERROR(VLOOKUP($G169,'321買'!A:E,3,0),"'沒有資料'")</f>
        <v>12</v>
      </c>
      <c r="P169" s="380">
        <f>IFERROR(VLOOKUP($G169,'321買'!$A:$G,7,0),"'沒有資料'")</f>
        <v>368</v>
      </c>
      <c r="Q169" s="302"/>
      <c r="R169" s="297">
        <f>IFERROR(RANK(VLOOKUP($G169,連買!$A:$D,4,0),連買!$D:$D,0),"'沒有資料'")</f>
        <v>229</v>
      </c>
      <c r="S169" s="65">
        <v>3.8</v>
      </c>
      <c r="T169" s="354"/>
      <c r="U169" s="57">
        <v>6.01</v>
      </c>
      <c r="V169" s="170">
        <v>85.5</v>
      </c>
      <c r="W169" s="65">
        <f>75.7-3.8</f>
        <v>71.900000000000006</v>
      </c>
      <c r="X169" s="107">
        <f t="shared" si="19"/>
        <v>13.599999999999994</v>
      </c>
      <c r="Y169" s="163">
        <f t="shared" si="20"/>
        <v>0.18915159944367166</v>
      </c>
      <c r="Z169" s="172" t="s">
        <v>3676</v>
      </c>
      <c r="AA169" s="264"/>
      <c r="AB169" s="251"/>
      <c r="AC169" s="410"/>
      <c r="AD169" s="171" t="s">
        <v>40</v>
      </c>
      <c r="AE169" s="84">
        <v>44309</v>
      </c>
      <c r="AF169" s="83"/>
      <c r="AG169" s="33">
        <f t="shared" si="21"/>
        <v>-44309</v>
      </c>
      <c r="AH169" s="41" t="s">
        <v>1128</v>
      </c>
      <c r="AI169" s="192"/>
      <c r="AJ169" s="191"/>
    </row>
    <row r="170" spans="1:40" s="268" customFormat="1">
      <c r="A170" s="130" t="s">
        <v>2418</v>
      </c>
      <c r="B170" s="79">
        <v>30</v>
      </c>
      <c r="C170" s="79">
        <v>29</v>
      </c>
      <c r="D170" s="79">
        <v>3</v>
      </c>
      <c r="E170" s="79">
        <v>45</v>
      </c>
      <c r="F170" s="57">
        <v>22.5</v>
      </c>
      <c r="G170" s="79">
        <v>6147</v>
      </c>
      <c r="H170" s="30" t="s">
        <v>1469</v>
      </c>
      <c r="I170" s="171" t="s">
        <v>40</v>
      </c>
      <c r="J170" s="323">
        <v>65.13</v>
      </c>
      <c r="K170" s="73">
        <v>48.45</v>
      </c>
      <c r="L170" s="73">
        <v>5.16</v>
      </c>
      <c r="M170" s="318"/>
      <c r="N170" s="73">
        <f t="shared" si="18"/>
        <v>118.74</v>
      </c>
      <c r="O170" s="81">
        <f>IFERROR(VLOOKUP($G170,'321買'!A:E,3,0),"'沒有資料'")</f>
        <v>12</v>
      </c>
      <c r="P170" s="380">
        <f>IFERROR(VLOOKUP($G170,'321買'!$A:$G,7,0),"'沒有資料'")</f>
        <v>368</v>
      </c>
      <c r="Q170" s="302"/>
      <c r="R170" s="297">
        <f>IFERROR(RANK(VLOOKUP($G170,連買!$A:$D,4,0),連買!$D:$D,0),"'沒有資料'")</f>
        <v>229</v>
      </c>
      <c r="S170" s="65">
        <v>3.8</v>
      </c>
      <c r="T170" s="354"/>
      <c r="U170" s="57">
        <v>6.01</v>
      </c>
      <c r="V170" s="170">
        <v>85.5</v>
      </c>
      <c r="W170" s="65">
        <f>75.3-3.8</f>
        <v>71.5</v>
      </c>
      <c r="X170" s="107">
        <f t="shared" si="19"/>
        <v>14</v>
      </c>
      <c r="Y170" s="163">
        <f t="shared" si="20"/>
        <v>0.19580419580419581</v>
      </c>
      <c r="Z170" s="172" t="s">
        <v>3677</v>
      </c>
      <c r="AA170" s="126"/>
      <c r="AB170" s="251"/>
      <c r="AC170" s="410"/>
      <c r="AD170" s="171" t="s">
        <v>40</v>
      </c>
      <c r="AE170" s="84">
        <v>44299</v>
      </c>
      <c r="AF170" s="83"/>
      <c r="AG170" s="33">
        <f t="shared" si="21"/>
        <v>-44299</v>
      </c>
      <c r="AH170" s="41" t="s">
        <v>1128</v>
      </c>
      <c r="AI170" s="192"/>
      <c r="AJ170" s="191"/>
    </row>
    <row r="171" spans="1:40" s="268" customFormat="1">
      <c r="A171" s="130" t="s">
        <v>2418</v>
      </c>
      <c r="B171" s="79">
        <v>30</v>
      </c>
      <c r="C171" s="79">
        <v>29</v>
      </c>
      <c r="D171" s="79">
        <v>3</v>
      </c>
      <c r="E171" s="79">
        <v>45</v>
      </c>
      <c r="F171" s="57">
        <v>22.5</v>
      </c>
      <c r="G171" s="79">
        <v>6147</v>
      </c>
      <c r="H171" s="30" t="s">
        <v>1469</v>
      </c>
      <c r="I171" s="171" t="s">
        <v>40</v>
      </c>
      <c r="J171" s="323">
        <v>65.13</v>
      </c>
      <c r="K171" s="73">
        <v>48.45</v>
      </c>
      <c r="L171" s="73">
        <v>5.16</v>
      </c>
      <c r="M171" s="318"/>
      <c r="N171" s="73">
        <f t="shared" si="18"/>
        <v>118.74</v>
      </c>
      <c r="O171" s="81">
        <f>IFERROR(VLOOKUP($G171,'321買'!A:E,3,0),"'沒有資料'")</f>
        <v>12</v>
      </c>
      <c r="P171" s="380">
        <f>IFERROR(VLOOKUP($G171,'321買'!$A:$G,7,0),"'沒有資料'")</f>
        <v>368</v>
      </c>
      <c r="Q171" s="302"/>
      <c r="R171" s="297">
        <f>IFERROR(RANK(VLOOKUP($G171,連買!$A:$D,4,0),連買!$D:$D,0),"'沒有資料'")</f>
        <v>229</v>
      </c>
      <c r="S171" s="65">
        <v>3.8</v>
      </c>
      <c r="T171" s="354"/>
      <c r="U171" s="57">
        <v>6.01</v>
      </c>
      <c r="V171" s="170">
        <v>85.5</v>
      </c>
      <c r="W171" s="65">
        <f>78-3.8</f>
        <v>74.2</v>
      </c>
      <c r="X171" s="107">
        <f t="shared" si="19"/>
        <v>11.299999999999997</v>
      </c>
      <c r="Y171" s="163">
        <f t="shared" si="20"/>
        <v>0.15229110512129376</v>
      </c>
      <c r="Z171" s="172" t="s">
        <v>3678</v>
      </c>
      <c r="AA171" s="264"/>
      <c r="AB171" s="251"/>
      <c r="AC171" s="410"/>
      <c r="AD171" s="171" t="s">
        <v>40</v>
      </c>
      <c r="AE171" s="84">
        <v>44294</v>
      </c>
      <c r="AF171" s="83"/>
      <c r="AG171" s="33">
        <f t="shared" si="21"/>
        <v>-44294</v>
      </c>
      <c r="AH171" s="41" t="s">
        <v>1128</v>
      </c>
      <c r="AI171" s="192"/>
      <c r="AJ171" s="191"/>
    </row>
    <row r="172" spans="1:40" s="268" customFormat="1">
      <c r="A172" s="145"/>
      <c r="B172" s="79"/>
      <c r="C172" s="79"/>
      <c r="D172" s="79"/>
      <c r="E172" s="79"/>
      <c r="F172" s="6"/>
      <c r="G172" s="41"/>
      <c r="H172" s="8"/>
      <c r="I172" s="158"/>
      <c r="J172" s="323"/>
      <c r="K172" s="323"/>
      <c r="L172" s="323"/>
      <c r="M172" s="318"/>
      <c r="N172" s="318"/>
      <c r="O172" s="350"/>
      <c r="P172" s="374"/>
      <c r="Q172" s="302"/>
      <c r="R172" s="151"/>
      <c r="S172" s="197"/>
      <c r="T172" s="354"/>
      <c r="U172" s="95"/>
      <c r="V172" s="170">
        <f>SUM(V165:V171)</f>
        <v>606.5</v>
      </c>
      <c r="W172" s="160">
        <f>SUM(W165:W171)</f>
        <v>527.6</v>
      </c>
      <c r="X172" s="167">
        <f t="shared" si="19"/>
        <v>78.899999999999977</v>
      </c>
      <c r="Y172" s="163">
        <f t="shared" si="20"/>
        <v>0.14954510993176645</v>
      </c>
      <c r="Z172" s="116"/>
      <c r="AA172" s="126"/>
      <c r="AB172" s="251"/>
      <c r="AC172" s="410"/>
      <c r="AD172" s="158">
        <f>V172*(0.001425*0.5)+V172*0.003+W172*(0.001425*0.5)</f>
        <v>2.62754625</v>
      </c>
      <c r="AE172" s="6">
        <f>X172-AD172</f>
        <v>76.272453749999983</v>
      </c>
      <c r="AF172" s="83"/>
      <c r="AG172" s="33"/>
      <c r="AH172" s="41"/>
      <c r="AI172" s="168"/>
      <c r="AJ172" s="260"/>
    </row>
    <row r="173" spans="1:40" s="268" customFormat="1">
      <c r="A173" s="145"/>
      <c r="B173" s="79"/>
      <c r="C173" s="80"/>
      <c r="D173" s="79"/>
      <c r="E173" s="80"/>
      <c r="F173" s="6"/>
      <c r="G173" s="41"/>
      <c r="H173" s="50"/>
      <c r="I173" s="171"/>
      <c r="J173" s="323"/>
      <c r="K173" s="323"/>
      <c r="L173" s="73"/>
      <c r="M173" s="318"/>
      <c r="N173" s="318"/>
      <c r="O173" s="350"/>
      <c r="P173" s="374"/>
      <c r="Q173" s="302"/>
      <c r="R173" s="151"/>
      <c r="S173" s="197"/>
      <c r="T173" s="354"/>
      <c r="U173" s="95"/>
      <c r="V173" s="170"/>
      <c r="W173" s="160"/>
      <c r="X173" s="167"/>
      <c r="Y173" s="169"/>
      <c r="Z173" s="116"/>
      <c r="AA173" s="126"/>
      <c r="AB173" s="251"/>
      <c r="AC173" s="410"/>
      <c r="AD173" s="158"/>
      <c r="AE173" s="6"/>
      <c r="AF173" s="83"/>
      <c r="AG173" s="33"/>
      <c r="AH173" s="130"/>
      <c r="AI173" s="168"/>
    </row>
    <row r="174" spans="1:40" s="276" customFormat="1">
      <c r="A174" s="130" t="s">
        <v>1732</v>
      </c>
      <c r="B174" s="91" t="s">
        <v>1588</v>
      </c>
      <c r="C174" s="91" t="s">
        <v>1589</v>
      </c>
      <c r="D174" s="91" t="s">
        <v>1590</v>
      </c>
      <c r="E174" s="91" t="s">
        <v>1591</v>
      </c>
      <c r="F174" s="8" t="s">
        <v>1066</v>
      </c>
      <c r="G174" s="26" t="s">
        <v>3691</v>
      </c>
      <c r="H174" s="55" t="s">
        <v>322</v>
      </c>
      <c r="I174" s="1" t="s">
        <v>2425</v>
      </c>
      <c r="J174" s="317" t="s">
        <v>1467</v>
      </c>
      <c r="K174" s="317" t="s">
        <v>1157</v>
      </c>
      <c r="L174" s="317" t="s">
        <v>284</v>
      </c>
      <c r="M174" s="317" t="s">
        <v>1059</v>
      </c>
      <c r="N174" s="317" t="s">
        <v>5048</v>
      </c>
      <c r="O174" s="301" t="s">
        <v>3836</v>
      </c>
      <c r="P174" s="373" t="s">
        <v>5059</v>
      </c>
      <c r="Q174" s="303" t="s">
        <v>5087</v>
      </c>
      <c r="R174" s="345" t="s">
        <v>5059</v>
      </c>
      <c r="S174" s="14" t="s">
        <v>66</v>
      </c>
      <c r="T174" s="351" t="s">
        <v>5076</v>
      </c>
      <c r="U174" s="68" t="s">
        <v>3844</v>
      </c>
      <c r="V174" s="28" t="s">
        <v>3255</v>
      </c>
      <c r="W174" s="17" t="s">
        <v>1405</v>
      </c>
      <c r="X174" s="14" t="s">
        <v>2430</v>
      </c>
      <c r="Y174" s="21" t="s">
        <v>1477</v>
      </c>
      <c r="Z174" s="51" t="s">
        <v>6627</v>
      </c>
      <c r="AA174" s="406" t="s">
        <v>8647</v>
      </c>
      <c r="AB174" s="407" t="s">
        <v>8648</v>
      </c>
      <c r="AC174" s="408" t="s">
        <v>8649</v>
      </c>
      <c r="AD174" s="1" t="s">
        <v>2425</v>
      </c>
      <c r="AE174" s="71" t="s">
        <v>1406</v>
      </c>
      <c r="AF174" s="72" t="s">
        <v>1163</v>
      </c>
      <c r="AG174" s="32" t="s">
        <v>1164</v>
      </c>
      <c r="AH174" s="46" t="s">
        <v>3588</v>
      </c>
      <c r="AI174" s="168"/>
    </row>
    <row r="175" spans="1:40">
      <c r="A175" s="130" t="s">
        <v>1736</v>
      </c>
      <c r="B175" s="79">
        <v>86</v>
      </c>
      <c r="C175" s="79">
        <v>124</v>
      </c>
      <c r="D175" s="80">
        <v>-5</v>
      </c>
      <c r="E175" s="79">
        <v>7</v>
      </c>
      <c r="F175" s="57">
        <v>25.67</v>
      </c>
      <c r="G175" s="79">
        <v>5471</v>
      </c>
      <c r="H175" s="30" t="s">
        <v>1469</v>
      </c>
      <c r="I175" s="22" t="s">
        <v>354</v>
      </c>
      <c r="J175" s="323">
        <v>27.11</v>
      </c>
      <c r="K175" s="323">
        <v>16.82</v>
      </c>
      <c r="L175" s="73">
        <v>17.420000000000002</v>
      </c>
      <c r="N175" s="318">
        <f t="shared" ref="N175:N180" si="22">K175+J175+L175</f>
        <v>61.35</v>
      </c>
      <c r="O175" s="81">
        <f>IFERROR(VLOOKUP($G175,'321買'!A:E,3,0),"'沒有資料'")</f>
        <v>21</v>
      </c>
      <c r="P175" s="380">
        <f>IFERROR(VLOOKUP($G175,'321買'!$A:$G,7,0),"'沒有資料'")</f>
        <v>222</v>
      </c>
      <c r="R175" s="297">
        <f>IFERROR(RANK(VLOOKUP($G175,連買!$A:$D,4,0),連買!$D:$D,0),"'沒有資料'")</f>
        <v>197</v>
      </c>
      <c r="S175" s="66">
        <v>5.7</v>
      </c>
      <c r="U175" s="95">
        <v>6.85</v>
      </c>
      <c r="V175" s="36">
        <v>117</v>
      </c>
      <c r="W175" s="66">
        <v>95.3</v>
      </c>
      <c r="X175" s="15">
        <f t="shared" ref="X175:X181" si="23">V175-W175</f>
        <v>21.700000000000003</v>
      </c>
      <c r="Y175" s="63">
        <f t="shared" ref="Y175:Y181" si="24">X175/W175</f>
        <v>0.22770199370409239</v>
      </c>
      <c r="Z175" s="100" t="s">
        <v>3617</v>
      </c>
      <c r="AA175" s="126"/>
      <c r="AD175" s="22" t="s">
        <v>354</v>
      </c>
      <c r="AE175" s="84">
        <v>44364</v>
      </c>
      <c r="AF175" s="83">
        <v>44398</v>
      </c>
      <c r="AG175" s="33">
        <f t="shared" ref="AG175:AG180" si="25">AF175-AE175</f>
        <v>34</v>
      </c>
      <c r="AH175" s="41" t="s">
        <v>1128</v>
      </c>
      <c r="AI175" s="237"/>
      <c r="AJ175" s="262"/>
    </row>
    <row r="176" spans="1:40" s="268" customFormat="1" ht="15.75" customHeight="1">
      <c r="A176" s="146" t="s">
        <v>2215</v>
      </c>
      <c r="B176" s="80">
        <v>-19</v>
      </c>
      <c r="C176" s="80">
        <v>-15</v>
      </c>
      <c r="D176" s="79">
        <v>1</v>
      </c>
      <c r="E176" s="79">
        <v>2</v>
      </c>
      <c r="F176" s="6">
        <v>9.98</v>
      </c>
      <c r="G176" s="80">
        <v>6274</v>
      </c>
      <c r="H176" s="30" t="s">
        <v>1469</v>
      </c>
      <c r="I176" s="171" t="s">
        <v>3326</v>
      </c>
      <c r="J176" s="323">
        <v>63.54</v>
      </c>
      <c r="K176" s="73">
        <v>52.55</v>
      </c>
      <c r="L176" s="73">
        <v>5.22</v>
      </c>
      <c r="M176" s="318"/>
      <c r="N176" s="73">
        <f t="shared" si="22"/>
        <v>121.31</v>
      </c>
      <c r="O176" s="81">
        <f>IFERROR(VLOOKUP($G176,'321買'!A:E,3,0),"'沒有資料'")</f>
        <v>10</v>
      </c>
      <c r="P176" s="380">
        <f>IFERROR(VLOOKUP($G176,'321買'!$A:$G,7,0),"'沒有資料'")</f>
        <v>433</v>
      </c>
      <c r="Q176" s="302"/>
      <c r="R176" s="297">
        <f>IFERROR(RANK(VLOOKUP($G176,連買!$A:$D,4,0),連買!$D:$D,0),"'沒有資料'")</f>
        <v>1195</v>
      </c>
      <c r="S176" s="65">
        <v>4.8</v>
      </c>
      <c r="T176" s="354"/>
      <c r="U176" s="57">
        <v>6.36</v>
      </c>
      <c r="V176" s="170">
        <v>118.5</v>
      </c>
      <c r="W176" s="65">
        <v>102.5</v>
      </c>
      <c r="X176" s="167">
        <f t="shared" si="23"/>
        <v>16</v>
      </c>
      <c r="Y176" s="163">
        <f t="shared" si="24"/>
        <v>0.15609756097560976</v>
      </c>
      <c r="Z176" s="172" t="s">
        <v>3598</v>
      </c>
      <c r="AA176" s="126"/>
      <c r="AB176" s="251"/>
      <c r="AC176" s="410"/>
      <c r="AD176" s="171" t="s">
        <v>3326</v>
      </c>
      <c r="AE176" s="84">
        <v>44348</v>
      </c>
      <c r="AF176" s="83">
        <v>44386</v>
      </c>
      <c r="AG176" s="33">
        <f t="shared" si="25"/>
        <v>38</v>
      </c>
      <c r="AH176" s="41" t="s">
        <v>1128</v>
      </c>
      <c r="AI176" s="225"/>
      <c r="AJ176" s="226"/>
    </row>
    <row r="177" spans="1:42" s="268" customFormat="1" ht="15.75" customHeight="1">
      <c r="A177" s="146" t="s">
        <v>2215</v>
      </c>
      <c r="B177" s="80">
        <v>-19</v>
      </c>
      <c r="C177" s="80">
        <v>-15</v>
      </c>
      <c r="D177" s="79">
        <v>1</v>
      </c>
      <c r="E177" s="79">
        <v>2</v>
      </c>
      <c r="F177" s="6">
        <v>9.98</v>
      </c>
      <c r="G177" s="80">
        <v>6274</v>
      </c>
      <c r="H177" s="30" t="s">
        <v>1469</v>
      </c>
      <c r="I177" s="171" t="s">
        <v>3326</v>
      </c>
      <c r="J177" s="323">
        <v>63.54</v>
      </c>
      <c r="K177" s="73">
        <v>52.55</v>
      </c>
      <c r="L177" s="73">
        <v>5.22</v>
      </c>
      <c r="M177" s="318"/>
      <c r="N177" s="73">
        <f t="shared" si="22"/>
        <v>121.31</v>
      </c>
      <c r="O177" s="81">
        <f>IFERROR(VLOOKUP($G177,'321買'!A:E,3,0),"'沒有資料'")</f>
        <v>10</v>
      </c>
      <c r="P177" s="380">
        <f>IFERROR(VLOOKUP($G177,'321買'!$A:$G,7,0),"'沒有資料'")</f>
        <v>433</v>
      </c>
      <c r="Q177" s="302"/>
      <c r="R177" s="297">
        <f>IFERROR(RANK(VLOOKUP($G177,連買!$A:$D,4,0),連買!$D:$D,0),"'沒有資料'")</f>
        <v>1195</v>
      </c>
      <c r="S177" s="65">
        <v>4.8</v>
      </c>
      <c r="T177" s="354"/>
      <c r="U177" s="57">
        <v>6.36</v>
      </c>
      <c r="V177" s="170">
        <v>118.5</v>
      </c>
      <c r="W177" s="65">
        <v>120.5</v>
      </c>
      <c r="X177" s="167">
        <f t="shared" si="23"/>
        <v>-2</v>
      </c>
      <c r="Y177" s="169">
        <f t="shared" si="24"/>
        <v>-1.6597510373443983E-2</v>
      </c>
      <c r="Z177" s="173" t="s">
        <v>3542</v>
      </c>
      <c r="AA177" s="126"/>
      <c r="AB177" s="251"/>
      <c r="AC177" s="410"/>
      <c r="AD177" s="171" t="s">
        <v>3326</v>
      </c>
      <c r="AE177" s="84">
        <v>44309</v>
      </c>
      <c r="AF177" s="83">
        <v>44386</v>
      </c>
      <c r="AG177" s="33">
        <f t="shared" si="25"/>
        <v>77</v>
      </c>
      <c r="AH177" s="41" t="s">
        <v>1128</v>
      </c>
      <c r="AI177" s="225"/>
      <c r="AJ177" s="226"/>
    </row>
    <row r="178" spans="1:42">
      <c r="A178" s="146" t="s">
        <v>2099</v>
      </c>
      <c r="B178" s="79">
        <v>171</v>
      </c>
      <c r="C178" s="79">
        <v>391</v>
      </c>
      <c r="D178" s="79">
        <v>0</v>
      </c>
      <c r="E178" s="79">
        <v>41</v>
      </c>
      <c r="F178" s="6">
        <v>9.7100000000000009</v>
      </c>
      <c r="G178" s="79">
        <v>6284</v>
      </c>
      <c r="H178" s="30" t="s">
        <v>1469</v>
      </c>
      <c r="I178" s="16" t="s">
        <v>289</v>
      </c>
      <c r="J178" s="323">
        <v>49.96</v>
      </c>
      <c r="K178" s="323">
        <v>6.67</v>
      </c>
      <c r="L178" s="323">
        <v>16.91</v>
      </c>
      <c r="N178" s="333">
        <f t="shared" si="22"/>
        <v>73.540000000000006</v>
      </c>
      <c r="O178" s="81">
        <f>IFERROR(VLOOKUP($G178,'321買'!A:E,3,0),"'沒有資料'")</f>
        <v>14</v>
      </c>
      <c r="P178" s="380">
        <f>IFERROR(VLOOKUP($G178,'321買'!$A:$G,7,0),"'沒有資料'")</f>
        <v>307</v>
      </c>
      <c r="R178" s="297">
        <f>IFERROR(RANK(VLOOKUP($G178,連買!$A:$D,4,0),連買!$D:$D,0),"'沒有資料'")</f>
        <v>663</v>
      </c>
      <c r="S178" s="34">
        <v>1</v>
      </c>
      <c r="U178" s="95">
        <v>3.17</v>
      </c>
      <c r="V178" s="36">
        <v>72</v>
      </c>
      <c r="W178" s="66">
        <v>61.7</v>
      </c>
      <c r="X178" s="15">
        <f t="shared" si="23"/>
        <v>10.299999999999997</v>
      </c>
      <c r="Y178" s="63">
        <f t="shared" si="24"/>
        <v>0.16693679092382491</v>
      </c>
      <c r="Z178" s="102" t="s">
        <v>3595</v>
      </c>
      <c r="AA178" s="126"/>
      <c r="AD178" s="16" t="s">
        <v>289</v>
      </c>
      <c r="AE178" s="84">
        <v>44357</v>
      </c>
      <c r="AF178" s="83">
        <v>44384</v>
      </c>
      <c r="AG178" s="33">
        <f t="shared" si="25"/>
        <v>27</v>
      </c>
      <c r="AH178" s="41" t="s">
        <v>1128</v>
      </c>
      <c r="AI178" s="237"/>
      <c r="AJ178" s="262"/>
      <c r="AK178" s="41"/>
      <c r="AL178" s="16"/>
      <c r="AM178" s="219"/>
      <c r="AN178" s="258"/>
      <c r="AO178" s="269"/>
      <c r="AP178" s="271"/>
    </row>
    <row r="179" spans="1:42">
      <c r="A179" s="130" t="s">
        <v>2088</v>
      </c>
      <c r="B179" s="79">
        <v>237</v>
      </c>
      <c r="C179" s="79">
        <v>275</v>
      </c>
      <c r="D179" s="80">
        <v>-2</v>
      </c>
      <c r="E179" s="79">
        <v>60</v>
      </c>
      <c r="F179" s="57">
        <v>13</v>
      </c>
      <c r="G179" s="79">
        <v>1309</v>
      </c>
      <c r="H179" s="30" t="s">
        <v>1469</v>
      </c>
      <c r="I179" s="22" t="s">
        <v>317</v>
      </c>
      <c r="J179" s="323">
        <v>47.42</v>
      </c>
      <c r="K179" s="323">
        <v>6.37</v>
      </c>
      <c r="L179" s="323">
        <v>11.66</v>
      </c>
      <c r="N179" s="318">
        <f t="shared" si="22"/>
        <v>65.45</v>
      </c>
      <c r="O179" s="81">
        <f>IFERROR(VLOOKUP($G179,'321買'!A:E,3,0),"'沒有資料'")</f>
        <v>9</v>
      </c>
      <c r="P179" s="380">
        <f>IFERROR(VLOOKUP($G179,'321買'!$A:$G,7,0),"'沒有資料'")</f>
        <v>433</v>
      </c>
      <c r="R179" s="297">
        <f>IFERROR(RANK(VLOOKUP($G179,連買!$A:$D,4,0),連買!$D:$D,0),"'沒有資料'")</f>
        <v>713</v>
      </c>
      <c r="S179" s="66">
        <v>3</v>
      </c>
      <c r="U179" s="95">
        <v>6.58</v>
      </c>
      <c r="V179" s="36">
        <v>51.3</v>
      </c>
      <c r="W179" s="66">
        <v>44.05</v>
      </c>
      <c r="X179" s="15">
        <f t="shared" si="23"/>
        <v>7.25</v>
      </c>
      <c r="Y179" s="63">
        <f t="shared" si="24"/>
        <v>0.1645856980703746</v>
      </c>
      <c r="Z179" s="100" t="s">
        <v>3596</v>
      </c>
      <c r="AA179" s="126"/>
      <c r="AD179" s="22" t="s">
        <v>317</v>
      </c>
      <c r="AE179" s="84">
        <v>44351</v>
      </c>
      <c r="AF179" s="83">
        <v>44379</v>
      </c>
      <c r="AG179" s="33">
        <f t="shared" si="25"/>
        <v>28</v>
      </c>
      <c r="AH179" s="41" t="s">
        <v>1128</v>
      </c>
      <c r="AI179" s="237"/>
      <c r="AJ179" s="226"/>
    </row>
    <row r="180" spans="1:42">
      <c r="A180" s="130" t="s">
        <v>2088</v>
      </c>
      <c r="B180" s="79">
        <v>237</v>
      </c>
      <c r="C180" s="79">
        <v>275</v>
      </c>
      <c r="D180" s="80">
        <v>-2</v>
      </c>
      <c r="E180" s="79">
        <v>60</v>
      </c>
      <c r="F180" s="57">
        <v>13</v>
      </c>
      <c r="G180" s="79">
        <v>1309</v>
      </c>
      <c r="H180" s="30" t="s">
        <v>1469</v>
      </c>
      <c r="I180" s="22" t="s">
        <v>317</v>
      </c>
      <c r="J180" s="323">
        <v>47.42</v>
      </c>
      <c r="K180" s="323">
        <v>6.37</v>
      </c>
      <c r="L180" s="323">
        <v>11.66</v>
      </c>
      <c r="N180" s="318">
        <f t="shared" si="22"/>
        <v>65.45</v>
      </c>
      <c r="O180" s="81">
        <f>IFERROR(VLOOKUP($G180,'321買'!A:E,3,0),"'沒有資料'")</f>
        <v>9</v>
      </c>
      <c r="P180" s="380">
        <f>IFERROR(VLOOKUP($G180,'321買'!$A:$G,7,0),"'沒有資料'")</f>
        <v>433</v>
      </c>
      <c r="R180" s="297">
        <f>IFERROR(RANK(VLOOKUP($G180,連買!$A:$D,4,0),連買!$D:$D,0),"'沒有資料'")</f>
        <v>713</v>
      </c>
      <c r="S180" s="66">
        <v>3</v>
      </c>
      <c r="U180" s="95">
        <v>6.58</v>
      </c>
      <c r="V180" s="36">
        <v>51.3</v>
      </c>
      <c r="W180" s="66">
        <v>40.1</v>
      </c>
      <c r="X180" s="15">
        <f t="shared" si="23"/>
        <v>11.199999999999996</v>
      </c>
      <c r="Y180" s="63">
        <f t="shared" si="24"/>
        <v>0.27930174563591009</v>
      </c>
      <c r="Z180" s="100" t="s">
        <v>3597</v>
      </c>
      <c r="AA180" s="126"/>
      <c r="AD180" s="22" t="s">
        <v>317</v>
      </c>
      <c r="AE180" s="84">
        <v>44343</v>
      </c>
      <c r="AF180" s="83">
        <v>44379</v>
      </c>
      <c r="AG180" s="33">
        <f t="shared" si="25"/>
        <v>36</v>
      </c>
      <c r="AH180" s="41" t="s">
        <v>1128</v>
      </c>
      <c r="AI180" s="237"/>
      <c r="AJ180" s="226"/>
    </row>
    <row r="181" spans="1:42" s="268" customFormat="1">
      <c r="A181" s="145"/>
      <c r="B181" s="79"/>
      <c r="C181" s="79"/>
      <c r="D181" s="79"/>
      <c r="E181" s="79"/>
      <c r="F181" s="6"/>
      <c r="G181" s="41"/>
      <c r="H181" s="8"/>
      <c r="I181" s="158"/>
      <c r="J181" s="323"/>
      <c r="K181" s="323"/>
      <c r="L181" s="323"/>
      <c r="M181" s="318"/>
      <c r="N181" s="318"/>
      <c r="O181" s="81"/>
      <c r="P181" s="380"/>
      <c r="Q181" s="302"/>
      <c r="R181" s="297"/>
      <c r="S181" s="197"/>
      <c r="T181" s="354"/>
      <c r="U181" s="95"/>
      <c r="V181" s="170">
        <f>SUM(V175:V180)</f>
        <v>528.6</v>
      </c>
      <c r="W181" s="160">
        <f>SUM(W175:W180)</f>
        <v>464.15000000000003</v>
      </c>
      <c r="X181" s="167">
        <f t="shared" si="23"/>
        <v>64.449999999999989</v>
      </c>
      <c r="Y181" s="163">
        <f t="shared" si="24"/>
        <v>0.1388559732844985</v>
      </c>
      <c r="Z181" s="116"/>
      <c r="AA181" s="264"/>
      <c r="AB181" s="251"/>
      <c r="AC181" s="410"/>
      <c r="AD181" s="158">
        <f>V181*(0.001425*0.5)+V181*0.003+W181*(0.001425*0.5)</f>
        <v>2.2931343750000002</v>
      </c>
      <c r="AE181" s="6">
        <f>X181-AD181</f>
        <v>62.156865624999988</v>
      </c>
      <c r="AF181" s="83"/>
      <c r="AG181" s="33"/>
      <c r="AH181" s="41" t="s">
        <v>1514</v>
      </c>
      <c r="AI181" s="168"/>
    </row>
    <row r="182" spans="1:42" s="276" customFormat="1">
      <c r="A182" s="130"/>
      <c r="B182" s="91"/>
      <c r="C182" s="91"/>
      <c r="D182" s="91"/>
      <c r="E182" s="91"/>
      <c r="F182" s="8"/>
      <c r="G182" s="25"/>
      <c r="H182" s="55"/>
      <c r="I182" s="1"/>
      <c r="J182" s="317"/>
      <c r="K182" s="317"/>
      <c r="L182" s="317"/>
      <c r="M182" s="317"/>
      <c r="N182" s="317"/>
      <c r="O182" s="350"/>
      <c r="P182" s="373"/>
      <c r="Q182" s="302"/>
      <c r="R182" s="345"/>
      <c r="S182" s="14"/>
      <c r="T182" s="354"/>
      <c r="U182" s="68"/>
      <c r="V182" s="28"/>
      <c r="W182" s="17"/>
      <c r="X182" s="14"/>
      <c r="Y182" s="21"/>
      <c r="Z182" s="25"/>
      <c r="AA182" s="126"/>
      <c r="AB182" s="251"/>
      <c r="AC182" s="410"/>
      <c r="AD182" s="244">
        <f>V181*(0.001425*0.28)+V181*0.003+W181*(0.001425*0.28)</f>
        <v>1.9819072500000001</v>
      </c>
      <c r="AE182" s="71"/>
      <c r="AF182" s="72"/>
      <c r="AG182" s="32"/>
      <c r="AH182" s="46"/>
      <c r="AI182" s="168"/>
    </row>
    <row r="183" spans="1:42" s="268" customFormat="1">
      <c r="A183" s="145"/>
      <c r="B183" s="79"/>
      <c r="C183" s="80"/>
      <c r="D183" s="79"/>
      <c r="E183" s="80"/>
      <c r="F183" s="6"/>
      <c r="G183" s="41"/>
      <c r="H183" s="50"/>
      <c r="I183" s="171"/>
      <c r="J183" s="323"/>
      <c r="K183" s="323"/>
      <c r="L183" s="73"/>
      <c r="M183" s="318"/>
      <c r="N183" s="318"/>
      <c r="O183" s="350"/>
      <c r="P183" s="374"/>
      <c r="Q183" s="302"/>
      <c r="R183" s="151"/>
      <c r="S183" s="197"/>
      <c r="T183" s="354"/>
      <c r="U183" s="95"/>
      <c r="V183" s="170"/>
      <c r="W183" s="160"/>
      <c r="X183" s="167"/>
      <c r="Y183" s="169"/>
      <c r="Z183" s="116"/>
      <c r="AA183" s="126"/>
      <c r="AB183" s="251"/>
      <c r="AC183" s="410"/>
      <c r="AD183" s="158"/>
      <c r="AE183" s="6"/>
      <c r="AF183" s="83"/>
      <c r="AG183" s="33"/>
      <c r="AH183" s="130"/>
      <c r="AI183" s="168"/>
    </row>
    <row r="184" spans="1:42" s="276" customFormat="1">
      <c r="A184" s="130" t="s">
        <v>1732</v>
      </c>
      <c r="B184" s="91" t="s">
        <v>1588</v>
      </c>
      <c r="C184" s="91" t="s">
        <v>1589</v>
      </c>
      <c r="D184" s="91" t="s">
        <v>1590</v>
      </c>
      <c r="E184" s="91" t="s">
        <v>1591</v>
      </c>
      <c r="F184" s="8" t="s">
        <v>1066</v>
      </c>
      <c r="G184" s="26" t="s">
        <v>3691</v>
      </c>
      <c r="H184" s="55" t="s">
        <v>322</v>
      </c>
      <c r="I184" s="1" t="s">
        <v>2425</v>
      </c>
      <c r="J184" s="317" t="s">
        <v>1467</v>
      </c>
      <c r="K184" s="317" t="s">
        <v>1157</v>
      </c>
      <c r="L184" s="317" t="s">
        <v>284</v>
      </c>
      <c r="M184" s="317" t="s">
        <v>1059</v>
      </c>
      <c r="N184" s="317" t="s">
        <v>3834</v>
      </c>
      <c r="O184" s="301" t="s">
        <v>3692</v>
      </c>
      <c r="P184" s="373" t="s">
        <v>5059</v>
      </c>
      <c r="Q184" s="303" t="s">
        <v>5087</v>
      </c>
      <c r="R184" s="345" t="s">
        <v>5059</v>
      </c>
      <c r="S184" s="14" t="s">
        <v>66</v>
      </c>
      <c r="T184" s="351" t="s">
        <v>5076</v>
      </c>
      <c r="U184" s="68" t="s">
        <v>3844</v>
      </c>
      <c r="V184" s="28" t="s">
        <v>3255</v>
      </c>
      <c r="W184" s="17" t="s">
        <v>1405</v>
      </c>
      <c r="X184" s="14" t="s">
        <v>2430</v>
      </c>
      <c r="Y184" s="21" t="s">
        <v>1477</v>
      </c>
      <c r="Z184" s="51" t="s">
        <v>6627</v>
      </c>
      <c r="AA184" s="406" t="s">
        <v>8647</v>
      </c>
      <c r="AB184" s="407" t="s">
        <v>8648</v>
      </c>
      <c r="AC184" s="408" t="s">
        <v>8649</v>
      </c>
      <c r="AD184" s="1" t="s">
        <v>2425</v>
      </c>
      <c r="AE184" s="71" t="s">
        <v>1406</v>
      </c>
      <c r="AF184" s="72" t="s">
        <v>1163</v>
      </c>
      <c r="AG184" s="32" t="s">
        <v>1164</v>
      </c>
      <c r="AH184" s="46" t="s">
        <v>3568</v>
      </c>
      <c r="AI184" s="168"/>
    </row>
    <row r="185" spans="1:42">
      <c r="A185" s="146" t="s">
        <v>2068</v>
      </c>
      <c r="B185" s="80">
        <v>-34</v>
      </c>
      <c r="C185" s="80">
        <v>-42</v>
      </c>
      <c r="D185" s="80">
        <v>-3</v>
      </c>
      <c r="E185" s="80">
        <v>-34</v>
      </c>
      <c r="F185" s="6">
        <v>9.8000000000000007</v>
      </c>
      <c r="G185" s="80">
        <v>6477</v>
      </c>
      <c r="H185" s="30" t="s">
        <v>1469</v>
      </c>
      <c r="I185" s="22" t="s">
        <v>453</v>
      </c>
      <c r="J185" s="73">
        <v>43.17</v>
      </c>
      <c r="K185" s="73">
        <v>14.15</v>
      </c>
      <c r="L185" s="73">
        <v>19.73</v>
      </c>
      <c r="N185" s="318">
        <f>K185+J185+L185</f>
        <v>77.05</v>
      </c>
      <c r="O185" s="81">
        <f>IFERROR(VLOOKUP($G185,'321買'!A:E,3,0),"'沒有資料'")</f>
        <v>44</v>
      </c>
      <c r="P185" s="380">
        <f>IFERROR(VLOOKUP($G185,'321買'!$A:$G,7,0),"'沒有資料'")</f>
        <v>71</v>
      </c>
      <c r="R185" s="297">
        <f>IFERROR(RANK(VLOOKUP($G185,連買!$A:$D,4,0),連買!$D:$D,0),"'沒有資料'")</f>
        <v>310</v>
      </c>
      <c r="S185" s="34">
        <v>1.1399999999999999</v>
      </c>
      <c r="U185" s="95">
        <v>2.56</v>
      </c>
      <c r="V185" s="36">
        <v>50.4</v>
      </c>
      <c r="W185" s="66">
        <v>45.7</v>
      </c>
      <c r="X185" s="15">
        <f>V185-W185</f>
        <v>4.6999999999999957</v>
      </c>
      <c r="Y185" s="63">
        <f>X185/W185</f>
        <v>0.10284463894967168</v>
      </c>
      <c r="Z185" s="102" t="s">
        <v>3583</v>
      </c>
      <c r="AA185" s="126"/>
      <c r="AD185" s="22" t="s">
        <v>453</v>
      </c>
      <c r="AE185" s="84">
        <v>44336</v>
      </c>
      <c r="AF185" s="83">
        <v>44364</v>
      </c>
      <c r="AG185" s="33">
        <f>AF185-AE185</f>
        <v>28</v>
      </c>
      <c r="AH185" s="41" t="s">
        <v>1128</v>
      </c>
      <c r="AJ185" s="8"/>
    </row>
    <row r="186" spans="1:42">
      <c r="A186" s="130" t="s">
        <v>1736</v>
      </c>
      <c r="B186" s="79">
        <v>86</v>
      </c>
      <c r="C186" s="79">
        <v>124</v>
      </c>
      <c r="D186" s="79">
        <v>9</v>
      </c>
      <c r="E186" s="80">
        <v>-1</v>
      </c>
      <c r="F186" s="57">
        <v>25.67</v>
      </c>
      <c r="G186" s="79">
        <v>5471</v>
      </c>
      <c r="H186" s="30" t="s">
        <v>1469</v>
      </c>
      <c r="I186" s="22" t="s">
        <v>354</v>
      </c>
      <c r="J186" s="73">
        <v>29.01</v>
      </c>
      <c r="K186" s="73">
        <v>19.100000000000001</v>
      </c>
      <c r="L186" s="73">
        <v>15.78</v>
      </c>
      <c r="N186" s="318">
        <f>K186+J186+L186</f>
        <v>63.89</v>
      </c>
      <c r="O186" s="81">
        <f>IFERROR(VLOOKUP($G186,'321買'!A:E,3,0),"'沒有資料'")</f>
        <v>21</v>
      </c>
      <c r="P186" s="380">
        <f>IFERROR(VLOOKUP($G186,'321買'!$A:$G,7,0),"'沒有資料'")</f>
        <v>222</v>
      </c>
      <c r="R186" s="297">
        <f>IFERROR(RANK(VLOOKUP($G186,連買!$A:$D,4,0),連買!$D:$D,0),"'沒有資料'")</f>
        <v>197</v>
      </c>
      <c r="S186" s="66">
        <v>5.7</v>
      </c>
      <c r="U186" s="95">
        <v>6.85</v>
      </c>
      <c r="V186" s="36">
        <v>97.6</v>
      </c>
      <c r="W186" s="66">
        <v>91.7</v>
      </c>
      <c r="X186" s="15">
        <f>V186-W186</f>
        <v>5.8999999999999915</v>
      </c>
      <c r="Y186" s="63">
        <f>X186/W186</f>
        <v>6.4340239912758904E-2</v>
      </c>
      <c r="Z186" s="100" t="s">
        <v>3178</v>
      </c>
      <c r="AA186" s="126"/>
      <c r="AD186" s="22" t="s">
        <v>354</v>
      </c>
      <c r="AE186" s="84">
        <v>44342</v>
      </c>
      <c r="AF186" s="83">
        <v>44357</v>
      </c>
      <c r="AG186" s="33">
        <f>AF186-AE186</f>
        <v>15</v>
      </c>
      <c r="AH186" s="41" t="s">
        <v>1128</v>
      </c>
      <c r="AI186" s="237"/>
      <c r="AJ186" s="226"/>
    </row>
    <row r="187" spans="1:42">
      <c r="A187" s="146" t="s">
        <v>1999</v>
      </c>
      <c r="B187" s="80">
        <v>-22</v>
      </c>
      <c r="C187" s="80">
        <v>-26</v>
      </c>
      <c r="D187" s="79">
        <v>4</v>
      </c>
      <c r="E187" s="80">
        <v>-35</v>
      </c>
      <c r="F187" s="6">
        <v>3.86</v>
      </c>
      <c r="G187" s="80">
        <v>4173</v>
      </c>
      <c r="H187" s="50" t="s">
        <v>1410</v>
      </c>
      <c r="I187" s="16" t="s">
        <v>617</v>
      </c>
      <c r="J187" s="323">
        <v>44.55</v>
      </c>
      <c r="K187" s="73">
        <v>1.26</v>
      </c>
      <c r="L187" s="73">
        <v>12.87</v>
      </c>
      <c r="N187" s="318">
        <f>K187+J187+L187</f>
        <v>58.679999999999993</v>
      </c>
      <c r="O187" s="81">
        <f>IFERROR(VLOOKUP($G187,'321買'!A:E,3,0),"'沒有資料'")</f>
        <v>3</v>
      </c>
      <c r="P187" s="380">
        <f>IFERROR(VLOOKUP($G187,'321買'!$A:$G,7,0),"'沒有資料'")</f>
        <v>636</v>
      </c>
      <c r="R187" s="297">
        <f>IFERROR(RANK(VLOOKUP($G187,連買!$A:$D,4,0),連買!$D:$D,0),"'沒有資料'")</f>
        <v>1613</v>
      </c>
      <c r="S187" s="34">
        <v>0.56000000000000005</v>
      </c>
      <c r="U187" s="95">
        <f>S187/V187</f>
        <v>2.0664206642066422E-2</v>
      </c>
      <c r="V187" s="36">
        <v>27.1</v>
      </c>
      <c r="W187" s="66">
        <v>22.9</v>
      </c>
      <c r="X187" s="15">
        <f>V187-W187</f>
        <v>4.2000000000000028</v>
      </c>
      <c r="Y187" s="63">
        <f>X187/W187</f>
        <v>0.18340611353711803</v>
      </c>
      <c r="Z187" s="100" t="s">
        <v>3575</v>
      </c>
      <c r="AA187" s="264"/>
      <c r="AD187" s="16" t="s">
        <v>617</v>
      </c>
      <c r="AE187" s="84">
        <v>44299</v>
      </c>
      <c r="AF187" s="83">
        <v>44356</v>
      </c>
      <c r="AG187" s="33">
        <f>AF187-AE187</f>
        <v>57</v>
      </c>
      <c r="AH187" s="130" t="s">
        <v>1128</v>
      </c>
      <c r="AJ187" s="8"/>
    </row>
    <row r="188" spans="1:42" s="268" customFormat="1">
      <c r="A188" s="145"/>
      <c r="B188" s="79"/>
      <c r="C188" s="79"/>
      <c r="D188" s="79"/>
      <c r="E188" s="79"/>
      <c r="F188" s="6"/>
      <c r="G188" s="41"/>
      <c r="H188" s="8"/>
      <c r="I188" s="158"/>
      <c r="J188" s="323"/>
      <c r="K188" s="323"/>
      <c r="L188" s="323"/>
      <c r="M188" s="318"/>
      <c r="N188" s="318"/>
      <c r="O188" s="350"/>
      <c r="P188" s="374"/>
      <c r="Q188" s="302"/>
      <c r="R188" s="151"/>
      <c r="S188" s="197"/>
      <c r="T188" s="354"/>
      <c r="U188" s="95"/>
      <c r="V188" s="170">
        <f>SUM(V185:V187)</f>
        <v>175.1</v>
      </c>
      <c r="W188" s="160">
        <f>SUM(W185:W187)</f>
        <v>160.30000000000001</v>
      </c>
      <c r="X188" s="167">
        <f>V188-W188</f>
        <v>14.799999999999983</v>
      </c>
      <c r="Y188" s="163">
        <f>X188/W188</f>
        <v>9.23268870867123E-2</v>
      </c>
      <c r="Z188" s="116"/>
      <c r="AA188" s="126"/>
      <c r="AB188" s="251"/>
      <c r="AC188" s="410"/>
      <c r="AD188" s="158">
        <f>V188*(0.001425*0.5)+V188*0.003+W188*(0.001425*0.5)</f>
        <v>0.76427250000000002</v>
      </c>
      <c r="AE188" s="6">
        <f>X188-AD188</f>
        <v>14.035727499999982</v>
      </c>
      <c r="AF188" s="83"/>
      <c r="AG188" s="33"/>
      <c r="AH188" s="41" t="s">
        <v>1128</v>
      </c>
      <c r="AI188" s="168"/>
    </row>
    <row r="189" spans="1:42" s="276" customFormat="1">
      <c r="A189" s="130"/>
      <c r="B189" s="91"/>
      <c r="C189" s="91"/>
      <c r="D189" s="91"/>
      <c r="E189" s="91"/>
      <c r="F189" s="8"/>
      <c r="G189" s="25"/>
      <c r="H189" s="55"/>
      <c r="I189" s="1"/>
      <c r="J189" s="317"/>
      <c r="K189" s="317"/>
      <c r="L189" s="317"/>
      <c r="M189" s="317"/>
      <c r="N189" s="317"/>
      <c r="O189" s="350"/>
      <c r="P189" s="373"/>
      <c r="Q189" s="302"/>
      <c r="R189" s="345"/>
      <c r="S189" s="14"/>
      <c r="T189" s="354"/>
      <c r="U189" s="68"/>
      <c r="V189" s="28"/>
      <c r="W189" s="17"/>
      <c r="X189" s="14"/>
      <c r="Y189" s="21"/>
      <c r="Z189" s="25"/>
      <c r="AA189" s="126"/>
      <c r="AB189" s="251"/>
      <c r="AC189" s="410"/>
      <c r="AD189" s="244">
        <f>V188*(0.001425*0.28)+V188*0.003+W188*(0.001425*0.28)</f>
        <v>0.65912459999999995</v>
      </c>
      <c r="AE189" s="71"/>
      <c r="AF189" s="72"/>
      <c r="AG189" s="32"/>
      <c r="AH189" s="46"/>
      <c r="AI189" s="168"/>
    </row>
    <row r="190" spans="1:42" s="268" customFormat="1">
      <c r="A190" s="145"/>
      <c r="B190" s="79"/>
      <c r="C190" s="79"/>
      <c r="D190" s="79"/>
      <c r="E190" s="79"/>
      <c r="F190" s="6"/>
      <c r="G190" s="41"/>
      <c r="H190" s="8"/>
      <c r="I190" s="158"/>
      <c r="J190" s="323"/>
      <c r="K190" s="323"/>
      <c r="L190" s="323"/>
      <c r="M190" s="318"/>
      <c r="N190" s="318"/>
      <c r="O190" s="350"/>
      <c r="P190" s="374"/>
      <c r="Q190" s="302"/>
      <c r="R190" s="151"/>
      <c r="S190" s="197"/>
      <c r="T190" s="354"/>
      <c r="U190" s="95"/>
      <c r="V190" s="170"/>
      <c r="W190" s="160"/>
      <c r="X190" s="167"/>
      <c r="Y190" s="169"/>
      <c r="Z190" s="116"/>
      <c r="AA190" s="264"/>
      <c r="AB190" s="251"/>
      <c r="AC190" s="410"/>
      <c r="AD190" s="158"/>
      <c r="AE190" s="6"/>
      <c r="AF190" s="83"/>
      <c r="AG190" s="33"/>
      <c r="AH190" s="41"/>
      <c r="AI190" s="168"/>
    </row>
    <row r="191" spans="1:42" s="276" customFormat="1">
      <c r="A191" s="130" t="s">
        <v>1732</v>
      </c>
      <c r="B191" s="91" t="s">
        <v>1588</v>
      </c>
      <c r="C191" s="91" t="s">
        <v>1589</v>
      </c>
      <c r="D191" s="91" t="s">
        <v>1590</v>
      </c>
      <c r="E191" s="91" t="s">
        <v>1591</v>
      </c>
      <c r="F191" s="8" t="s">
        <v>1066</v>
      </c>
      <c r="G191" s="26" t="s">
        <v>3691</v>
      </c>
      <c r="H191" s="55" t="s">
        <v>322</v>
      </c>
      <c r="I191" s="1" t="s">
        <v>2425</v>
      </c>
      <c r="J191" s="317" t="s">
        <v>1467</v>
      </c>
      <c r="K191" s="317" t="s">
        <v>1157</v>
      </c>
      <c r="L191" s="317" t="s">
        <v>284</v>
      </c>
      <c r="M191" s="317" t="s">
        <v>1059</v>
      </c>
      <c r="N191" s="317" t="s">
        <v>3834</v>
      </c>
      <c r="O191" s="301" t="s">
        <v>3692</v>
      </c>
      <c r="P191" s="373" t="s">
        <v>5059</v>
      </c>
      <c r="Q191" s="303" t="s">
        <v>5087</v>
      </c>
      <c r="R191" s="345" t="s">
        <v>5059</v>
      </c>
      <c r="S191" s="14" t="s">
        <v>66</v>
      </c>
      <c r="T191" s="351" t="s">
        <v>5076</v>
      </c>
      <c r="U191" s="68" t="s">
        <v>3844</v>
      </c>
      <c r="V191" s="28" t="s">
        <v>3255</v>
      </c>
      <c r="W191" s="17" t="s">
        <v>1405</v>
      </c>
      <c r="X191" s="14" t="s">
        <v>2430</v>
      </c>
      <c r="Y191" s="21" t="s">
        <v>1477</v>
      </c>
      <c r="Z191" s="51" t="s">
        <v>6627</v>
      </c>
      <c r="AA191" s="406" t="s">
        <v>8647</v>
      </c>
      <c r="AB191" s="407" t="s">
        <v>8648</v>
      </c>
      <c r="AC191" s="408" t="s">
        <v>8649</v>
      </c>
      <c r="AD191" s="1" t="s">
        <v>2425</v>
      </c>
      <c r="AE191" s="71" t="s">
        <v>1406</v>
      </c>
      <c r="AF191" s="72" t="s">
        <v>1163</v>
      </c>
      <c r="AG191" s="32" t="s">
        <v>1164</v>
      </c>
      <c r="AH191" s="46" t="s">
        <v>3497</v>
      </c>
      <c r="AI191" s="168"/>
    </row>
    <row r="192" spans="1:42">
      <c r="A192" s="146" t="s">
        <v>3549</v>
      </c>
      <c r="B192" s="93">
        <v>2312</v>
      </c>
      <c r="C192" s="93">
        <v>3731</v>
      </c>
      <c r="D192" s="80">
        <v>-10</v>
      </c>
      <c r="E192" s="79">
        <v>269</v>
      </c>
      <c r="F192" s="6">
        <v>3.78</v>
      </c>
      <c r="G192" s="79">
        <v>4919</v>
      </c>
      <c r="H192" s="50" t="s">
        <v>1410</v>
      </c>
      <c r="I192" s="22" t="s">
        <v>118</v>
      </c>
      <c r="J192" s="323">
        <v>59.67</v>
      </c>
      <c r="K192" s="323">
        <v>4.63</v>
      </c>
      <c r="L192" s="323">
        <v>26.14</v>
      </c>
      <c r="N192" s="318">
        <f t="shared" ref="N192:N230" si="26">K192+J192+L192</f>
        <v>90.44</v>
      </c>
      <c r="O192" s="81">
        <f>IFERROR(VLOOKUP($G192,'321買'!A:E,3,0),"'沒有資料'")</f>
        <v>76</v>
      </c>
      <c r="P192" s="380">
        <f>IFERROR(VLOOKUP($G192,'321買'!$A:$G,7,0),"'沒有資料'")</f>
        <v>25</v>
      </c>
      <c r="R192" s="297">
        <f>IFERROR(RANK(VLOOKUP($G192,連買!$A:$D,4,0),連買!$D:$D,0),"'沒有資料'")</f>
        <v>132</v>
      </c>
      <c r="S192" s="70">
        <v>0.8</v>
      </c>
      <c r="U192" s="57">
        <v>2.52</v>
      </c>
      <c r="V192" s="36">
        <v>81.2</v>
      </c>
      <c r="W192" s="66">
        <v>81.2</v>
      </c>
      <c r="X192" s="45">
        <f t="shared" ref="X192:X212" si="27">V192-W192</f>
        <v>0</v>
      </c>
      <c r="Y192" s="63">
        <f t="shared" ref="Y192:Y230" si="28">X192/W192</f>
        <v>0</v>
      </c>
      <c r="Z192" s="102" t="s">
        <v>1512</v>
      </c>
      <c r="AA192" s="126"/>
      <c r="AD192" s="22" t="s">
        <v>118</v>
      </c>
      <c r="AE192" s="84">
        <v>44335</v>
      </c>
      <c r="AF192" s="83">
        <v>44347</v>
      </c>
      <c r="AG192" s="33">
        <f t="shared" ref="AG192:AG204" si="29">AF192-AE192</f>
        <v>12</v>
      </c>
      <c r="AH192" s="130" t="s">
        <v>1128</v>
      </c>
      <c r="AI192" s="237"/>
      <c r="AJ192" s="226"/>
    </row>
    <row r="193" spans="1:36">
      <c r="A193" s="146" t="s">
        <v>3549</v>
      </c>
      <c r="B193" s="93">
        <v>2312</v>
      </c>
      <c r="C193" s="93">
        <v>3731</v>
      </c>
      <c r="D193" s="80">
        <v>-10</v>
      </c>
      <c r="E193" s="79">
        <v>269</v>
      </c>
      <c r="F193" s="6">
        <v>3.78</v>
      </c>
      <c r="G193" s="79">
        <v>4919</v>
      </c>
      <c r="H193" s="50" t="s">
        <v>1410</v>
      </c>
      <c r="I193" s="22" t="s">
        <v>118</v>
      </c>
      <c r="J193" s="323">
        <v>59.67</v>
      </c>
      <c r="K193" s="323">
        <v>4.63</v>
      </c>
      <c r="L193" s="323">
        <v>26.14</v>
      </c>
      <c r="N193" s="318">
        <f t="shared" si="26"/>
        <v>90.44</v>
      </c>
      <c r="O193" s="81">
        <f>IFERROR(VLOOKUP($G193,'321買'!A:E,3,0),"'沒有資料'")</f>
        <v>76</v>
      </c>
      <c r="P193" s="380">
        <f>IFERROR(VLOOKUP($G193,'321買'!$A:$G,7,0),"'沒有資料'")</f>
        <v>25</v>
      </c>
      <c r="R193" s="297">
        <f>IFERROR(RANK(VLOOKUP($G193,連買!$A:$D,4,0),連買!$D:$D,0),"'沒有資料'")</f>
        <v>132</v>
      </c>
      <c r="S193" s="70">
        <v>0.8</v>
      </c>
      <c r="U193" s="57">
        <v>2.52</v>
      </c>
      <c r="V193" s="36">
        <v>81.2</v>
      </c>
      <c r="W193" s="66">
        <v>66.599999999999994</v>
      </c>
      <c r="X193" s="45">
        <f t="shared" si="27"/>
        <v>14.600000000000009</v>
      </c>
      <c r="Y193" s="63">
        <f t="shared" si="28"/>
        <v>0.21921921921921936</v>
      </c>
      <c r="Z193" s="102" t="s">
        <v>3572</v>
      </c>
      <c r="AA193" s="126"/>
      <c r="AD193" s="22" t="s">
        <v>118</v>
      </c>
      <c r="AE193" s="84">
        <v>44335</v>
      </c>
      <c r="AF193" s="83">
        <v>44347</v>
      </c>
      <c r="AG193" s="33">
        <f t="shared" si="29"/>
        <v>12</v>
      </c>
      <c r="AH193" s="130" t="s">
        <v>1128</v>
      </c>
      <c r="AI193" s="237"/>
      <c r="AJ193" s="226"/>
    </row>
    <row r="194" spans="1:36">
      <c r="A194" s="146" t="s">
        <v>2230</v>
      </c>
      <c r="B194" s="79">
        <v>179</v>
      </c>
      <c r="C194" s="79">
        <v>251</v>
      </c>
      <c r="D194" s="80">
        <v>-11</v>
      </c>
      <c r="E194" s="79">
        <v>61</v>
      </c>
      <c r="F194" s="6">
        <v>8.2799999999999994</v>
      </c>
      <c r="G194" s="79">
        <v>1608</v>
      </c>
      <c r="H194" s="30" t="s">
        <v>1469</v>
      </c>
      <c r="I194" s="22" t="s">
        <v>952</v>
      </c>
      <c r="J194" s="73">
        <v>64.349999999999994</v>
      </c>
      <c r="K194" s="73">
        <v>3.65</v>
      </c>
      <c r="L194" s="73">
        <v>11.49</v>
      </c>
      <c r="N194" s="318">
        <f t="shared" si="26"/>
        <v>79.489999999999995</v>
      </c>
      <c r="O194" s="81">
        <f>IFERROR(VLOOKUP($G194,'321買'!A:E,3,0),"'沒有資料'")</f>
        <v>10</v>
      </c>
      <c r="P194" s="380">
        <f>IFERROR(VLOOKUP($G194,'321買'!$A:$G,7,0),"'沒有資料'")</f>
        <v>408</v>
      </c>
      <c r="R194" s="297">
        <f>IFERROR(RANK(VLOOKUP($G194,連買!$A:$D,4,0),連買!$D:$D,0),"'沒有資料'")</f>
        <v>729</v>
      </c>
      <c r="S194" s="34">
        <v>0.7</v>
      </c>
      <c r="U194" s="57">
        <v>5.32</v>
      </c>
      <c r="V194" s="36">
        <v>27.5</v>
      </c>
      <c r="W194" s="66">
        <v>28.75</v>
      </c>
      <c r="X194" s="15">
        <f t="shared" si="27"/>
        <v>-1.25</v>
      </c>
      <c r="Y194" s="76">
        <f t="shared" si="28"/>
        <v>-4.3478260869565216E-2</v>
      </c>
      <c r="Z194" s="139" t="s">
        <v>3567</v>
      </c>
      <c r="AA194" s="126"/>
      <c r="AD194" s="22" t="s">
        <v>952</v>
      </c>
      <c r="AE194" s="84">
        <v>44347</v>
      </c>
      <c r="AF194" s="83">
        <v>44347</v>
      </c>
      <c r="AG194" s="33">
        <f t="shared" si="29"/>
        <v>0</v>
      </c>
      <c r="AH194" s="41" t="s">
        <v>1128</v>
      </c>
      <c r="AI194" s="237"/>
      <c r="AJ194" s="226"/>
    </row>
    <row r="195" spans="1:36">
      <c r="A195" s="146" t="s">
        <v>1999</v>
      </c>
      <c r="B195" s="80">
        <v>-22</v>
      </c>
      <c r="C195" s="80">
        <v>-26</v>
      </c>
      <c r="D195" s="79">
        <v>4</v>
      </c>
      <c r="E195" s="80">
        <v>-35</v>
      </c>
      <c r="F195" s="6">
        <v>3.86</v>
      </c>
      <c r="G195" s="80">
        <v>4173</v>
      </c>
      <c r="H195" s="30" t="s">
        <v>1469</v>
      </c>
      <c r="I195" s="16" t="s">
        <v>617</v>
      </c>
      <c r="J195" s="323">
        <v>44.55</v>
      </c>
      <c r="K195" s="73">
        <v>1.26</v>
      </c>
      <c r="L195" s="73">
        <v>12.87</v>
      </c>
      <c r="N195" s="318">
        <f t="shared" si="26"/>
        <v>58.679999999999993</v>
      </c>
      <c r="O195" s="81">
        <f>IFERROR(VLOOKUP($G195,'321買'!A:E,3,0),"'沒有資料'")</f>
        <v>3</v>
      </c>
      <c r="P195" s="380">
        <f>IFERROR(VLOOKUP($G195,'321買'!$A:$G,7,0),"'沒有資料'")</f>
        <v>636</v>
      </c>
      <c r="R195" s="297">
        <f>IFERROR(RANK(VLOOKUP($G195,連買!$A:$D,4,0),連買!$D:$D,0),"'沒有資料'")</f>
        <v>1613</v>
      </c>
      <c r="S195" s="34">
        <v>0.56000000000000005</v>
      </c>
      <c r="U195" s="95">
        <f>S195/V195</f>
        <v>2.3578947368421053E-2</v>
      </c>
      <c r="V195" s="36">
        <v>23.75</v>
      </c>
      <c r="W195" s="66">
        <v>21.9</v>
      </c>
      <c r="X195" s="15">
        <f t="shared" si="27"/>
        <v>1.8500000000000014</v>
      </c>
      <c r="Y195" s="63">
        <f t="shared" si="28"/>
        <v>8.4474885844748923E-2</v>
      </c>
      <c r="Z195" s="100" t="s">
        <v>3564</v>
      </c>
      <c r="AA195" s="126"/>
      <c r="AD195" s="16" t="s">
        <v>617</v>
      </c>
      <c r="AE195" s="84">
        <v>44301</v>
      </c>
      <c r="AF195" s="83">
        <v>44347</v>
      </c>
      <c r="AG195" s="33">
        <f t="shared" si="29"/>
        <v>46</v>
      </c>
      <c r="AH195" s="41" t="s">
        <v>1128</v>
      </c>
      <c r="AJ195" s="8"/>
    </row>
    <row r="196" spans="1:36">
      <c r="A196" s="146" t="s">
        <v>1999</v>
      </c>
      <c r="B196" s="80">
        <v>-22</v>
      </c>
      <c r="C196" s="80">
        <v>-26</v>
      </c>
      <c r="D196" s="79">
        <v>4</v>
      </c>
      <c r="E196" s="80">
        <v>-35</v>
      </c>
      <c r="F196" s="6">
        <v>3.86</v>
      </c>
      <c r="G196" s="80">
        <v>4173</v>
      </c>
      <c r="H196" s="30" t="s">
        <v>1469</v>
      </c>
      <c r="I196" s="16" t="s">
        <v>617</v>
      </c>
      <c r="J196" s="323">
        <v>44.55</v>
      </c>
      <c r="K196" s="73">
        <v>1.26</v>
      </c>
      <c r="L196" s="73">
        <v>12.87</v>
      </c>
      <c r="N196" s="318">
        <f t="shared" si="26"/>
        <v>58.679999999999993</v>
      </c>
      <c r="O196" s="81">
        <f>IFERROR(VLOOKUP($G196,'321買'!A:E,3,0),"'沒有資料'")</f>
        <v>3</v>
      </c>
      <c r="P196" s="380">
        <f>IFERROR(VLOOKUP($G196,'321買'!$A:$G,7,0),"'沒有資料'")</f>
        <v>636</v>
      </c>
      <c r="R196" s="297">
        <f>IFERROR(RANK(VLOOKUP($G196,連買!$A:$D,4,0),連買!$D:$D,0),"'沒有資料'")</f>
        <v>1613</v>
      </c>
      <c r="S196" s="34">
        <v>0.56000000000000005</v>
      </c>
      <c r="U196" s="95">
        <f>S196/V196</f>
        <v>2.3578947368421053E-2</v>
      </c>
      <c r="V196" s="36">
        <v>23.75</v>
      </c>
      <c r="W196" s="66">
        <v>22.95</v>
      </c>
      <c r="X196" s="15">
        <f t="shared" si="27"/>
        <v>0.80000000000000071</v>
      </c>
      <c r="Y196" s="63">
        <f t="shared" si="28"/>
        <v>3.4858387799564301E-2</v>
      </c>
      <c r="Z196" s="100" t="s">
        <v>3565</v>
      </c>
      <c r="AA196" s="126"/>
      <c r="AD196" s="16" t="s">
        <v>617</v>
      </c>
      <c r="AE196" s="84">
        <v>44299</v>
      </c>
      <c r="AF196" s="83">
        <v>44347</v>
      </c>
      <c r="AG196" s="33">
        <f t="shared" si="29"/>
        <v>48</v>
      </c>
      <c r="AH196" s="41" t="s">
        <v>1128</v>
      </c>
      <c r="AI196" s="41" t="s">
        <v>1514</v>
      </c>
      <c r="AJ196" s="8"/>
    </row>
    <row r="197" spans="1:36">
      <c r="A197" s="130" t="s">
        <v>3560</v>
      </c>
      <c r="B197" s="93">
        <v>5673</v>
      </c>
      <c r="C197" s="93">
        <v>8760</v>
      </c>
      <c r="D197" s="80">
        <v>-13</v>
      </c>
      <c r="E197" s="79">
        <v>95</v>
      </c>
      <c r="F197" s="57">
        <v>48.9</v>
      </c>
      <c r="G197" s="79">
        <v>2603</v>
      </c>
      <c r="H197" s="50" t="s">
        <v>1410</v>
      </c>
      <c r="I197" s="22" t="s">
        <v>266</v>
      </c>
      <c r="J197" s="323">
        <v>64.83</v>
      </c>
      <c r="K197" s="73">
        <v>34.36</v>
      </c>
      <c r="L197" s="73">
        <v>20.86</v>
      </c>
      <c r="N197" s="73">
        <f t="shared" si="26"/>
        <v>120.05</v>
      </c>
      <c r="O197" s="81">
        <f>IFERROR(VLOOKUP($G197,'321買'!A:E,3,0),"'沒有資料'")</f>
        <v>20</v>
      </c>
      <c r="P197" s="380">
        <f>IFERROR(VLOOKUP($G197,'321買'!$A:$G,7,0),"'沒有資料'")</f>
        <v>250</v>
      </c>
      <c r="R197" s="297">
        <f>IFERROR(RANK(VLOOKUP($G197,連買!$A:$D,4,0),連買!$D:$D,0),"'沒有資料'")</f>
        <v>105</v>
      </c>
      <c r="S197" s="34">
        <v>2.5</v>
      </c>
      <c r="U197" s="57">
        <v>12.45</v>
      </c>
      <c r="V197" s="36">
        <v>95.3</v>
      </c>
      <c r="W197" s="45">
        <v>88.4</v>
      </c>
      <c r="X197" s="15">
        <f t="shared" si="27"/>
        <v>6.8999999999999915</v>
      </c>
      <c r="Y197" s="63">
        <f t="shared" si="28"/>
        <v>7.805429864253384E-2</v>
      </c>
      <c r="Z197" s="102" t="s">
        <v>3566</v>
      </c>
      <c r="AA197" s="126"/>
      <c r="AD197" s="22" t="s">
        <v>266</v>
      </c>
      <c r="AE197" s="84">
        <v>44335</v>
      </c>
      <c r="AF197" s="83">
        <v>44335</v>
      </c>
      <c r="AG197" s="33">
        <f t="shared" si="29"/>
        <v>0</v>
      </c>
      <c r="AH197" s="130" t="s">
        <v>1128</v>
      </c>
      <c r="AI197" s="264"/>
      <c r="AJ197" s="8"/>
    </row>
    <row r="198" spans="1:36">
      <c r="A198" s="130" t="s">
        <v>1639</v>
      </c>
      <c r="B198" s="93">
        <v>1185</v>
      </c>
      <c r="C198" s="93">
        <v>1672</v>
      </c>
      <c r="D198" s="79">
        <v>13</v>
      </c>
      <c r="E198" s="79">
        <v>108</v>
      </c>
      <c r="F198" s="57">
        <v>18.190000000000001</v>
      </c>
      <c r="G198" s="79">
        <v>6494</v>
      </c>
      <c r="H198" s="30" t="s">
        <v>1469</v>
      </c>
      <c r="I198" s="16" t="s">
        <v>382</v>
      </c>
      <c r="J198" s="73">
        <v>5.23</v>
      </c>
      <c r="K198" s="73">
        <v>12.1</v>
      </c>
      <c r="L198" s="73">
        <v>22.41</v>
      </c>
      <c r="N198" s="318">
        <f t="shared" si="26"/>
        <v>39.739999999999995</v>
      </c>
      <c r="O198" s="81">
        <f>IFERROR(VLOOKUP($G198,'321買'!A:E,3,0),"'沒有資料'")</f>
        <v>73</v>
      </c>
      <c r="P198" s="380">
        <f>IFERROR(VLOOKUP($G198,'321買'!$A:$G,7,0),"'沒有資料'")</f>
        <v>28</v>
      </c>
      <c r="R198" s="297">
        <f>IFERROR(RANK(VLOOKUP($G198,連買!$A:$D,4,0),連買!$D:$D,0),"'沒有資料'")</f>
        <v>108</v>
      </c>
      <c r="S198" s="45">
        <v>3.5</v>
      </c>
      <c r="U198" s="95">
        <v>5.68</v>
      </c>
      <c r="V198" s="36">
        <v>100</v>
      </c>
      <c r="W198" s="66">
        <v>94.7</v>
      </c>
      <c r="X198" s="15">
        <f t="shared" si="27"/>
        <v>5.2999999999999972</v>
      </c>
      <c r="Y198" s="63">
        <f t="shared" si="28"/>
        <v>5.5966209081309365E-2</v>
      </c>
      <c r="Z198" s="102" t="s">
        <v>3558</v>
      </c>
      <c r="AA198" s="126"/>
      <c r="AD198" s="16" t="s">
        <v>382</v>
      </c>
      <c r="AE198" s="84">
        <v>44336</v>
      </c>
      <c r="AF198" s="83">
        <v>44341</v>
      </c>
      <c r="AG198" s="33">
        <f t="shared" si="29"/>
        <v>5</v>
      </c>
      <c r="AH198" s="41" t="s">
        <v>1128</v>
      </c>
      <c r="AJ198" s="8"/>
    </row>
    <row r="199" spans="1:36">
      <c r="A199" s="146" t="s">
        <v>2191</v>
      </c>
      <c r="B199" s="93">
        <v>1721</v>
      </c>
      <c r="C199" s="79">
        <v>109</v>
      </c>
      <c r="D199" s="79">
        <v>101</v>
      </c>
      <c r="E199" s="79">
        <v>51</v>
      </c>
      <c r="F199" s="6">
        <v>4.4800000000000004</v>
      </c>
      <c r="G199" s="80">
        <v>4433</v>
      </c>
      <c r="H199" s="30" t="s">
        <v>1469</v>
      </c>
      <c r="I199" s="16" t="s">
        <v>719</v>
      </c>
      <c r="J199" s="323">
        <v>47.97</v>
      </c>
      <c r="K199" s="73">
        <v>0.52</v>
      </c>
      <c r="L199" s="73">
        <v>8.0500000000000007</v>
      </c>
      <c r="N199" s="318">
        <f t="shared" si="26"/>
        <v>56.540000000000006</v>
      </c>
      <c r="O199" s="81">
        <f>IFERROR(VLOOKUP($G199,'321買'!A:E,3,0),"'沒有資料'")</f>
        <v>0</v>
      </c>
      <c r="P199" s="380">
        <f>IFERROR(VLOOKUP($G199,'321買'!$A:$G,7,0),"'沒有資料'")</f>
        <v>911</v>
      </c>
      <c r="R199" s="297">
        <f>IFERROR(RANK(VLOOKUP($G199,連買!$A:$D,4,0),連買!$D:$D,0),"'沒有資料'")</f>
        <v>707</v>
      </c>
      <c r="S199" s="34">
        <v>2</v>
      </c>
      <c r="U199" s="95">
        <f>S199/V199</f>
        <v>4.77326968973747E-2</v>
      </c>
      <c r="V199" s="36">
        <v>41.9</v>
      </c>
      <c r="W199" s="66">
        <v>40.950000000000003</v>
      </c>
      <c r="X199" s="15">
        <f t="shared" si="27"/>
        <v>0.94999999999999574</v>
      </c>
      <c r="Y199" s="63">
        <f t="shared" si="28"/>
        <v>2.3199023199023092E-2</v>
      </c>
      <c r="Z199" s="102" t="s">
        <v>3556</v>
      </c>
      <c r="AA199" s="126"/>
      <c r="AD199" s="16" t="s">
        <v>719</v>
      </c>
      <c r="AE199" s="84">
        <v>44299</v>
      </c>
      <c r="AF199" s="83">
        <v>44340</v>
      </c>
      <c r="AG199" s="33">
        <f t="shared" si="29"/>
        <v>41</v>
      </c>
      <c r="AH199" s="41" t="s">
        <v>1128</v>
      </c>
      <c r="AJ199" s="8"/>
    </row>
    <row r="200" spans="1:36" s="268" customFormat="1" ht="15.75" customHeight="1">
      <c r="A200" s="130" t="s">
        <v>3188</v>
      </c>
      <c r="B200" s="79">
        <v>33</v>
      </c>
      <c r="C200" s="80">
        <v>-11</v>
      </c>
      <c r="D200" s="80">
        <v>-23</v>
      </c>
      <c r="E200" s="80">
        <v>-48</v>
      </c>
      <c r="F200" s="57">
        <v>26.29</v>
      </c>
      <c r="G200" s="80">
        <v>4736</v>
      </c>
      <c r="H200" s="30" t="s">
        <v>1469</v>
      </c>
      <c r="I200" s="171" t="s">
        <v>38</v>
      </c>
      <c r="J200" s="323">
        <v>41.12</v>
      </c>
      <c r="K200" s="73">
        <v>7.2</v>
      </c>
      <c r="L200" s="73">
        <v>16.53</v>
      </c>
      <c r="M200" s="318"/>
      <c r="N200" s="318">
        <f t="shared" si="26"/>
        <v>64.849999999999994</v>
      </c>
      <c r="O200" s="81">
        <f>IFERROR(VLOOKUP($G200,'321買'!A:E,3,0),"'沒有資料'")</f>
        <v>17</v>
      </c>
      <c r="P200" s="380">
        <f>IFERROR(VLOOKUP($G200,'321買'!$A:$G,7,0),"'沒有資料'")</f>
        <v>241</v>
      </c>
      <c r="Q200" s="302"/>
      <c r="R200" s="297">
        <f>IFERROR(RANK(VLOOKUP($G200,連買!$A:$D,4,0),連買!$D:$D,0),"'沒有資料'")</f>
        <v>34</v>
      </c>
      <c r="S200" s="65">
        <v>11.5</v>
      </c>
      <c r="T200" s="354"/>
      <c r="U200" s="95">
        <v>18.309999999999999</v>
      </c>
      <c r="V200" s="166">
        <v>191</v>
      </c>
      <c r="W200" s="65">
        <v>190</v>
      </c>
      <c r="X200" s="167">
        <f t="shared" si="27"/>
        <v>1</v>
      </c>
      <c r="Y200" s="163">
        <f t="shared" si="28"/>
        <v>5.263157894736842E-3</v>
      </c>
      <c r="Z200" s="172" t="s">
        <v>3550</v>
      </c>
      <c r="AA200" s="126"/>
      <c r="AB200" s="251"/>
      <c r="AC200" s="410"/>
      <c r="AD200" s="171" t="s">
        <v>38</v>
      </c>
      <c r="AE200" s="84">
        <v>44334</v>
      </c>
      <c r="AF200" s="83">
        <v>44337</v>
      </c>
      <c r="AG200" s="33">
        <f t="shared" si="29"/>
        <v>3</v>
      </c>
      <c r="AH200" s="41" t="s">
        <v>1128</v>
      </c>
      <c r="AI200" s="225"/>
      <c r="AJ200" s="226"/>
    </row>
    <row r="201" spans="1:36">
      <c r="A201" s="130" t="s">
        <v>1737</v>
      </c>
      <c r="B201" s="79">
        <v>71</v>
      </c>
      <c r="C201" s="79">
        <v>66</v>
      </c>
      <c r="D201" s="80">
        <v>-9</v>
      </c>
      <c r="E201" s="79">
        <v>38</v>
      </c>
      <c r="F201" s="57">
        <v>23.43</v>
      </c>
      <c r="G201" s="79">
        <v>3014</v>
      </c>
      <c r="H201" s="50" t="s">
        <v>1410</v>
      </c>
      <c r="I201" s="22" t="s">
        <v>97</v>
      </c>
      <c r="J201" s="323">
        <v>28.52</v>
      </c>
      <c r="K201" s="323">
        <v>22.9</v>
      </c>
      <c r="L201" s="323">
        <v>12.17</v>
      </c>
      <c r="N201" s="318">
        <f t="shared" si="26"/>
        <v>63.59</v>
      </c>
      <c r="O201" s="81">
        <f>IFERROR(VLOOKUP($G201,'321買'!A:E,3,0),"'沒有資料'")</f>
        <v>32</v>
      </c>
      <c r="P201" s="380">
        <f>IFERROR(VLOOKUP($G201,'321買'!$A:$G,7,0),"'沒有資料'")</f>
        <v>110</v>
      </c>
      <c r="R201" s="297">
        <f>IFERROR(RANK(VLOOKUP($G201,連買!$A:$D,4,0),連買!$D:$D,0),"'沒有資料'")</f>
        <v>136</v>
      </c>
      <c r="S201" s="66">
        <v>6</v>
      </c>
      <c r="U201" s="95">
        <v>5.83</v>
      </c>
      <c r="V201" s="36">
        <v>112.5</v>
      </c>
      <c r="W201" s="66">
        <v>111</v>
      </c>
      <c r="X201" s="15">
        <f t="shared" si="27"/>
        <v>1.5</v>
      </c>
      <c r="Y201" s="63">
        <f t="shared" si="28"/>
        <v>1.3513513513513514E-2</v>
      </c>
      <c r="Z201" s="100" t="s">
        <v>3543</v>
      </c>
      <c r="AA201" s="126"/>
      <c r="AD201" s="22" t="s">
        <v>97</v>
      </c>
      <c r="AE201" s="84">
        <v>44335</v>
      </c>
      <c r="AF201" s="83">
        <v>44335</v>
      </c>
      <c r="AG201" s="33">
        <f t="shared" si="29"/>
        <v>0</v>
      </c>
      <c r="AH201" s="130" t="s">
        <v>1128</v>
      </c>
      <c r="AJ201" s="8"/>
    </row>
    <row r="202" spans="1:36">
      <c r="A202" s="146" t="s">
        <v>1691</v>
      </c>
      <c r="B202" s="79">
        <v>480</v>
      </c>
      <c r="C202" s="79">
        <v>91</v>
      </c>
      <c r="D202" s="79">
        <v>329</v>
      </c>
      <c r="E202" s="80">
        <v>-4</v>
      </c>
      <c r="F202" s="6">
        <v>-1.38</v>
      </c>
      <c r="G202" s="80">
        <v>4142</v>
      </c>
      <c r="H202" s="50" t="s">
        <v>1410</v>
      </c>
      <c r="I202" s="22" t="s">
        <v>634</v>
      </c>
      <c r="J202" s="323">
        <v>37.119999999999997</v>
      </c>
      <c r="K202" s="73">
        <v>10.54</v>
      </c>
      <c r="L202" s="73">
        <v>23.08</v>
      </c>
      <c r="N202" s="318">
        <f t="shared" si="26"/>
        <v>70.739999999999995</v>
      </c>
      <c r="O202" s="81">
        <f>IFERROR(VLOOKUP($G202,'321買'!A:E,3,0),"'沒有資料'")</f>
        <v>8</v>
      </c>
      <c r="P202" s="380">
        <f>IFERROR(VLOOKUP($G202,'321買'!$A:$G,7,0),"'沒有資料'")</f>
        <v>475</v>
      </c>
      <c r="R202" s="297">
        <f>IFERROR(RANK(VLOOKUP($G202,連買!$A:$D,4,0),連買!$D:$D,0),"'沒有資料'")</f>
        <v>355</v>
      </c>
      <c r="S202" s="34">
        <v>0.5</v>
      </c>
      <c r="U202" s="95">
        <v>3.08</v>
      </c>
      <c r="V202" s="36">
        <v>59.1</v>
      </c>
      <c r="W202" s="66">
        <v>60.1</v>
      </c>
      <c r="X202" s="15">
        <f t="shared" si="27"/>
        <v>-1</v>
      </c>
      <c r="Y202" s="76">
        <f t="shared" si="28"/>
        <v>-1.6638935108153077E-2</v>
      </c>
      <c r="Z202" s="139" t="s">
        <v>3542</v>
      </c>
      <c r="AA202" s="126"/>
      <c r="AD202" s="22" t="s">
        <v>634</v>
      </c>
      <c r="AE202" s="84">
        <v>44335</v>
      </c>
      <c r="AF202" s="83">
        <v>44335</v>
      </c>
      <c r="AG202" s="33">
        <f t="shared" si="29"/>
        <v>0</v>
      </c>
      <c r="AH202" s="130" t="s">
        <v>1128</v>
      </c>
      <c r="AI202" s="130"/>
      <c r="AJ202" s="226"/>
    </row>
    <row r="203" spans="1:36">
      <c r="A203" s="130" t="s">
        <v>2061</v>
      </c>
      <c r="B203" s="93">
        <v>1180</v>
      </c>
      <c r="C203" s="79">
        <v>471</v>
      </c>
      <c r="D203" s="79">
        <v>0</v>
      </c>
      <c r="E203" s="79">
        <v>38</v>
      </c>
      <c r="F203" s="57">
        <v>13.34</v>
      </c>
      <c r="G203" s="80">
        <v>3540</v>
      </c>
      <c r="H203" s="30" t="s">
        <v>1469</v>
      </c>
      <c r="I203" s="16" t="s">
        <v>175</v>
      </c>
      <c r="J203" s="323">
        <v>26.78</v>
      </c>
      <c r="K203" s="73">
        <v>4.28</v>
      </c>
      <c r="L203" s="323">
        <v>24.52</v>
      </c>
      <c r="N203" s="318">
        <f t="shared" si="26"/>
        <v>55.58</v>
      </c>
      <c r="O203" s="81">
        <f>IFERROR(VLOOKUP($G203,'321買'!A:E,3,0),"'沒有資料'")</f>
        <v>1</v>
      </c>
      <c r="P203" s="380">
        <f>IFERROR(VLOOKUP($G203,'321買'!$A:$G,7,0),"'沒有資料'")</f>
        <v>783</v>
      </c>
      <c r="R203" s="297">
        <f>IFERROR(RANK(VLOOKUP($G203,連買!$A:$D,4,0),連買!$D:$D,0),"'沒有資料'")</f>
        <v>1728</v>
      </c>
      <c r="S203" s="66">
        <v>4.5</v>
      </c>
      <c r="U203" s="95">
        <v>9.01</v>
      </c>
      <c r="V203" s="36">
        <v>67.5</v>
      </c>
      <c r="W203" s="66">
        <v>65.7</v>
      </c>
      <c r="X203" s="15">
        <f t="shared" si="27"/>
        <v>1.7999999999999972</v>
      </c>
      <c r="Y203" s="63">
        <f t="shared" si="28"/>
        <v>2.739726027397256E-2</v>
      </c>
      <c r="Z203" s="102" t="s">
        <v>3538</v>
      </c>
      <c r="AA203" s="126"/>
      <c r="AD203" s="16" t="s">
        <v>175</v>
      </c>
      <c r="AE203" s="84">
        <v>44335</v>
      </c>
      <c r="AF203" s="83">
        <v>44335</v>
      </c>
      <c r="AG203" s="33">
        <f t="shared" si="29"/>
        <v>0</v>
      </c>
      <c r="AH203" s="41" t="s">
        <v>1128</v>
      </c>
      <c r="AI203" s="237"/>
      <c r="AJ203" s="226"/>
    </row>
    <row r="204" spans="1:36">
      <c r="A204" s="130" t="s">
        <v>1968</v>
      </c>
      <c r="B204" s="79">
        <v>340</v>
      </c>
      <c r="C204" s="79">
        <v>392</v>
      </c>
      <c r="D204" s="80">
        <v>-32</v>
      </c>
      <c r="E204" s="80">
        <v>-22</v>
      </c>
      <c r="F204" s="57">
        <v>50.71</v>
      </c>
      <c r="G204" s="80">
        <v>4171</v>
      </c>
      <c r="H204" s="30" t="s">
        <v>1469</v>
      </c>
      <c r="I204" s="16" t="s">
        <v>1044</v>
      </c>
      <c r="J204" s="323">
        <v>33.57</v>
      </c>
      <c r="K204" s="73">
        <v>19.8</v>
      </c>
      <c r="L204" s="73">
        <v>11.88</v>
      </c>
      <c r="N204" s="318">
        <f t="shared" si="26"/>
        <v>65.25</v>
      </c>
      <c r="O204" s="81">
        <f>IFERROR(VLOOKUP($G204,'321買'!A:E,3,0),"'沒有資料'")</f>
        <v>10</v>
      </c>
      <c r="P204" s="380">
        <f>IFERROR(VLOOKUP($G204,'321買'!$A:$G,7,0),"'沒有資料'")</f>
        <v>336</v>
      </c>
      <c r="R204" s="297">
        <f>IFERROR(RANK(VLOOKUP($G204,連買!$A:$D,4,0),連買!$D:$D,0),"'沒有資料'")</f>
        <v>41</v>
      </c>
      <c r="S204" s="66">
        <v>3.83</v>
      </c>
      <c r="U204" s="95">
        <v>8.31</v>
      </c>
      <c r="V204" s="36">
        <v>175.5</v>
      </c>
      <c r="W204" s="66">
        <v>173</v>
      </c>
      <c r="X204" s="15">
        <f t="shared" si="27"/>
        <v>2.5</v>
      </c>
      <c r="Y204" s="63">
        <f t="shared" si="28"/>
        <v>1.4450867052023121E-2</v>
      </c>
      <c r="Z204" s="102" t="s">
        <v>3539</v>
      </c>
      <c r="AA204" s="126"/>
      <c r="AD204" s="16" t="s">
        <v>1044</v>
      </c>
      <c r="AE204" s="84">
        <v>44335</v>
      </c>
      <c r="AF204" s="83">
        <v>44335</v>
      </c>
      <c r="AG204" s="33">
        <f t="shared" si="29"/>
        <v>0</v>
      </c>
      <c r="AH204" s="41" t="s">
        <v>1128</v>
      </c>
      <c r="AI204" s="237"/>
      <c r="AJ204" s="226"/>
    </row>
    <row r="205" spans="1:36">
      <c r="A205" s="130" t="s">
        <v>1712</v>
      </c>
      <c r="B205" s="80">
        <v>-1</v>
      </c>
      <c r="C205" s="79">
        <v>6</v>
      </c>
      <c r="D205" s="80">
        <v>-10</v>
      </c>
      <c r="E205" s="79">
        <v>14</v>
      </c>
      <c r="F205" s="57">
        <v>24.68</v>
      </c>
      <c r="G205" s="79">
        <v>5483</v>
      </c>
      <c r="H205" s="50" t="s">
        <v>1410</v>
      </c>
      <c r="I205" s="16" t="s">
        <v>145</v>
      </c>
      <c r="J205" s="323">
        <v>57.43</v>
      </c>
      <c r="K205" s="323">
        <v>28.97</v>
      </c>
      <c r="L205" s="323">
        <v>8.64</v>
      </c>
      <c r="N205" s="333">
        <f t="shared" si="26"/>
        <v>95.04</v>
      </c>
      <c r="O205" s="81">
        <f>IFERROR(VLOOKUP($G205,'321買'!A:E,3,0),"'沒有資料'")</f>
        <v>19</v>
      </c>
      <c r="P205" s="380">
        <f>IFERROR(VLOOKUP($G205,'321買'!$A:$G,7,0),"'沒有資料'")</f>
        <v>258</v>
      </c>
      <c r="R205" s="297">
        <f>IFERROR(RANK(VLOOKUP($G205,連買!$A:$D,4,0),連買!$D:$D,0),"'沒有資料'")</f>
        <v>1532</v>
      </c>
      <c r="S205" s="66">
        <v>5.5</v>
      </c>
      <c r="U205" s="57">
        <v>10.94</v>
      </c>
      <c r="V205" s="36">
        <v>153.5</v>
      </c>
      <c r="W205" s="66">
        <v>152</v>
      </c>
      <c r="X205" s="15">
        <f t="shared" si="27"/>
        <v>1.5</v>
      </c>
      <c r="Y205" s="63">
        <f t="shared" si="28"/>
        <v>9.8684210526315784E-3</v>
      </c>
      <c r="Z205" s="172" t="s">
        <v>3540</v>
      </c>
      <c r="AA205" s="126"/>
      <c r="AD205" s="16" t="s">
        <v>145</v>
      </c>
      <c r="AE205" s="84">
        <v>44334</v>
      </c>
      <c r="AF205" s="83">
        <v>44334</v>
      </c>
      <c r="AG205" s="33">
        <f t="shared" ref="AG205:AG215" si="30">AF205-AE205</f>
        <v>0</v>
      </c>
      <c r="AH205" s="130" t="s">
        <v>1128</v>
      </c>
      <c r="AI205" s="237"/>
      <c r="AJ205" s="227"/>
    </row>
    <row r="206" spans="1:36">
      <c r="A206" s="130" t="s">
        <v>1968</v>
      </c>
      <c r="B206" s="79">
        <v>340</v>
      </c>
      <c r="C206" s="79">
        <v>392</v>
      </c>
      <c r="D206" s="80">
        <v>-32</v>
      </c>
      <c r="E206" s="80">
        <v>-22</v>
      </c>
      <c r="F206" s="57">
        <v>50.71</v>
      </c>
      <c r="G206" s="80">
        <v>4171</v>
      </c>
      <c r="H206" s="30" t="s">
        <v>1469</v>
      </c>
      <c r="I206" s="16" t="s">
        <v>1044</v>
      </c>
      <c r="J206" s="323">
        <v>33.57</v>
      </c>
      <c r="K206" s="73">
        <v>19.8</v>
      </c>
      <c r="L206" s="73">
        <v>11.88</v>
      </c>
      <c r="N206" s="318">
        <f t="shared" si="26"/>
        <v>65.25</v>
      </c>
      <c r="O206" s="81">
        <f>IFERROR(VLOOKUP($G206,'321買'!A:E,3,0),"'沒有資料'")</f>
        <v>10</v>
      </c>
      <c r="P206" s="380">
        <f>IFERROR(VLOOKUP($G206,'321買'!$A:$G,7,0),"'沒有資料'")</f>
        <v>336</v>
      </c>
      <c r="R206" s="297">
        <f>IFERROR(RANK(VLOOKUP($G206,連買!$A:$D,4,0),連買!$D:$D,0),"'沒有資料'")</f>
        <v>41</v>
      </c>
      <c r="S206" s="66">
        <v>3.83</v>
      </c>
      <c r="U206" s="95">
        <v>8.31</v>
      </c>
      <c r="V206" s="36">
        <v>167.5</v>
      </c>
      <c r="W206" s="66">
        <v>165.5</v>
      </c>
      <c r="X206" s="15">
        <f t="shared" si="27"/>
        <v>2</v>
      </c>
      <c r="Y206" s="63">
        <f t="shared" si="28"/>
        <v>1.2084592145015106E-2</v>
      </c>
      <c r="Z206" s="102" t="s">
        <v>3541</v>
      </c>
      <c r="AA206" s="126"/>
      <c r="AD206" s="16" t="s">
        <v>1044</v>
      </c>
      <c r="AE206" s="84">
        <v>44334</v>
      </c>
      <c r="AF206" s="83">
        <v>44334</v>
      </c>
      <c r="AG206" s="33">
        <f t="shared" si="30"/>
        <v>0</v>
      </c>
      <c r="AH206" s="41" t="s">
        <v>1128</v>
      </c>
      <c r="AI206" s="237"/>
      <c r="AJ206" s="226"/>
    </row>
    <row r="207" spans="1:36">
      <c r="A207" s="146" t="s">
        <v>1786</v>
      </c>
      <c r="B207" s="80">
        <v>-47</v>
      </c>
      <c r="C207" s="80">
        <v>-47</v>
      </c>
      <c r="D207" s="80">
        <v>-17</v>
      </c>
      <c r="E207" s="80">
        <v>-38</v>
      </c>
      <c r="F207" s="220">
        <v>4.82</v>
      </c>
      <c r="G207" s="80">
        <v>9919</v>
      </c>
      <c r="H207" s="50" t="s">
        <v>1410</v>
      </c>
      <c r="I207" s="22" t="s">
        <v>700</v>
      </c>
      <c r="J207" s="73">
        <v>47.39</v>
      </c>
      <c r="K207" s="73">
        <v>5.49</v>
      </c>
      <c r="L207" s="73">
        <v>22.08</v>
      </c>
      <c r="N207" s="318">
        <f t="shared" si="26"/>
        <v>74.960000000000008</v>
      </c>
      <c r="O207" s="81">
        <f>IFERROR(VLOOKUP($G207,'321買'!A:E,3,0),"'沒有資料'")</f>
        <v>8</v>
      </c>
      <c r="P207" s="380">
        <f>IFERROR(VLOOKUP($G207,'321買'!$A:$G,7,0),"'沒有資料'")</f>
        <v>448</v>
      </c>
      <c r="R207" s="297">
        <f>IFERROR(RANK(VLOOKUP($G207,連買!$A:$D,4,0),連買!$D:$D,0),"'沒有資料'")</f>
        <v>558</v>
      </c>
      <c r="S207" s="66">
        <v>3</v>
      </c>
      <c r="U207" s="95">
        <v>4.32</v>
      </c>
      <c r="V207" s="36">
        <v>43.9</v>
      </c>
      <c r="W207" s="66">
        <v>44.85</v>
      </c>
      <c r="X207" s="15">
        <f t="shared" si="27"/>
        <v>-0.95000000000000284</v>
      </c>
      <c r="Y207" s="76">
        <f t="shared" si="28"/>
        <v>-2.118171683389081E-2</v>
      </c>
      <c r="Z207" s="101" t="s">
        <v>3535</v>
      </c>
      <c r="AA207" s="126"/>
      <c r="AD207" s="22" t="s">
        <v>700</v>
      </c>
      <c r="AE207" s="84">
        <v>44334</v>
      </c>
      <c r="AF207" s="83">
        <v>44334</v>
      </c>
      <c r="AG207" s="33">
        <f t="shared" si="30"/>
        <v>0</v>
      </c>
      <c r="AH207" s="130" t="s">
        <v>1128</v>
      </c>
      <c r="AI207" s="237"/>
      <c r="AJ207" s="8"/>
    </row>
    <row r="208" spans="1:36">
      <c r="A208" s="130" t="s">
        <v>1998</v>
      </c>
      <c r="B208" s="93">
        <v>5707</v>
      </c>
      <c r="C208" s="93">
        <v>7419</v>
      </c>
      <c r="D208" s="79">
        <v>24</v>
      </c>
      <c r="E208" s="80">
        <v>-46</v>
      </c>
      <c r="F208" s="57">
        <v>62.23</v>
      </c>
      <c r="G208" s="80">
        <v>1325</v>
      </c>
      <c r="H208" s="30" t="s">
        <v>1469</v>
      </c>
      <c r="I208" s="22" t="s">
        <v>604</v>
      </c>
      <c r="J208" s="73">
        <v>42.85</v>
      </c>
      <c r="K208" s="323">
        <v>7.48</v>
      </c>
      <c r="L208" s="73">
        <v>21.94</v>
      </c>
      <c r="N208" s="318">
        <f t="shared" si="26"/>
        <v>72.27</v>
      </c>
      <c r="O208" s="81">
        <f>IFERROR(VLOOKUP($G208,'321買'!A:E,3,0),"'沒有資料'")</f>
        <v>16</v>
      </c>
      <c r="P208" s="380">
        <f>IFERROR(VLOOKUP($G208,'321買'!$A:$G,7,0),"'沒有資料'")</f>
        <v>273</v>
      </c>
      <c r="R208" s="297">
        <f>IFERROR(RANK(VLOOKUP($G208,連買!$A:$D,4,0),連買!$D:$D,0),"'沒有資料'")</f>
        <v>169</v>
      </c>
      <c r="S208" s="66">
        <v>12</v>
      </c>
      <c r="U208" s="95">
        <v>23.16</v>
      </c>
      <c r="V208" s="230">
        <v>112.5</v>
      </c>
      <c r="W208" s="66">
        <v>110</v>
      </c>
      <c r="X208" s="15">
        <f t="shared" si="27"/>
        <v>2.5</v>
      </c>
      <c r="Y208" s="63">
        <f t="shared" si="28"/>
        <v>2.2727272727272728E-2</v>
      </c>
      <c r="Z208" s="102" t="s">
        <v>1780</v>
      </c>
      <c r="AA208" s="126"/>
      <c r="AD208" s="22" t="s">
        <v>604</v>
      </c>
      <c r="AE208" s="84">
        <v>44334</v>
      </c>
      <c r="AF208" s="83">
        <v>44334</v>
      </c>
      <c r="AG208" s="33">
        <f t="shared" si="30"/>
        <v>0</v>
      </c>
      <c r="AH208" s="41" t="s">
        <v>1128</v>
      </c>
      <c r="AI208" s="223"/>
      <c r="AJ208" s="194"/>
    </row>
    <row r="209" spans="1:36">
      <c r="A209" s="130" t="s">
        <v>1968</v>
      </c>
      <c r="B209" s="79">
        <v>340</v>
      </c>
      <c r="C209" s="79">
        <v>392</v>
      </c>
      <c r="D209" s="80">
        <v>-32</v>
      </c>
      <c r="E209" s="80">
        <v>-22</v>
      </c>
      <c r="F209" s="57">
        <v>50.71</v>
      </c>
      <c r="G209" s="80">
        <v>4171</v>
      </c>
      <c r="H209" s="30" t="s">
        <v>1469</v>
      </c>
      <c r="I209" s="16" t="s">
        <v>1044</v>
      </c>
      <c r="J209" s="323">
        <v>33.57</v>
      </c>
      <c r="K209" s="73">
        <v>19.8</v>
      </c>
      <c r="L209" s="73">
        <v>11.88</v>
      </c>
      <c r="N209" s="318">
        <f t="shared" si="26"/>
        <v>65.25</v>
      </c>
      <c r="O209" s="81">
        <f>IFERROR(VLOOKUP($G209,'321買'!A:E,3,0),"'沒有資料'")</f>
        <v>10</v>
      </c>
      <c r="P209" s="380">
        <f>IFERROR(VLOOKUP($G209,'321買'!$A:$G,7,0),"'沒有資料'")</f>
        <v>336</v>
      </c>
      <c r="R209" s="297">
        <f>IFERROR(RANK(VLOOKUP($G209,連買!$A:$D,4,0),連買!$D:$D,0),"'沒有資料'")</f>
        <v>41</v>
      </c>
      <c r="S209" s="66">
        <v>3.83</v>
      </c>
      <c r="U209" s="95">
        <v>8.31</v>
      </c>
      <c r="V209" s="36">
        <v>168.5</v>
      </c>
      <c r="W209" s="66">
        <v>166</v>
      </c>
      <c r="X209" s="15">
        <f t="shared" si="27"/>
        <v>2.5</v>
      </c>
      <c r="Y209" s="63">
        <f t="shared" si="28"/>
        <v>1.5060240963855422E-2</v>
      </c>
      <c r="Z209" s="102" t="s">
        <v>3534</v>
      </c>
      <c r="AA209" s="126"/>
      <c r="AD209" s="16" t="s">
        <v>1044</v>
      </c>
      <c r="AE209" s="84">
        <v>44330</v>
      </c>
      <c r="AF209" s="83">
        <v>44334</v>
      </c>
      <c r="AG209" s="33">
        <f t="shared" si="30"/>
        <v>4</v>
      </c>
      <c r="AH209" s="41" t="s">
        <v>1128</v>
      </c>
      <c r="AI209" s="237"/>
      <c r="AJ209" s="226"/>
    </row>
    <row r="210" spans="1:36">
      <c r="A210" s="130" t="s">
        <v>1712</v>
      </c>
      <c r="B210" s="80">
        <v>-1</v>
      </c>
      <c r="C210" s="79">
        <v>6</v>
      </c>
      <c r="D210" s="80">
        <v>-10</v>
      </c>
      <c r="E210" s="79">
        <v>14</v>
      </c>
      <c r="F210" s="57">
        <v>24.68</v>
      </c>
      <c r="G210" s="79">
        <v>5483</v>
      </c>
      <c r="H210" s="50" t="s">
        <v>1410</v>
      </c>
      <c r="I210" s="16" t="s">
        <v>145</v>
      </c>
      <c r="J210" s="323">
        <v>57.43</v>
      </c>
      <c r="K210" s="323">
        <v>28.97</v>
      </c>
      <c r="L210" s="323">
        <v>8.64</v>
      </c>
      <c r="N210" s="333">
        <f t="shared" si="26"/>
        <v>95.04</v>
      </c>
      <c r="O210" s="81">
        <f>IFERROR(VLOOKUP($G210,'321買'!A:E,3,0),"'沒有資料'")</f>
        <v>19</v>
      </c>
      <c r="P210" s="380">
        <f>IFERROR(VLOOKUP($G210,'321買'!$A:$G,7,0),"'沒有資料'")</f>
        <v>258</v>
      </c>
      <c r="R210" s="297">
        <f>IFERROR(RANK(VLOOKUP($G210,連買!$A:$D,4,0),連買!$D:$D,0),"'沒有資料'")</f>
        <v>1532</v>
      </c>
      <c r="S210" s="66">
        <v>5.5</v>
      </c>
      <c r="U210" s="57">
        <v>10.94</v>
      </c>
      <c r="V210" s="36">
        <v>150.5</v>
      </c>
      <c r="W210" s="66">
        <v>150</v>
      </c>
      <c r="X210" s="15">
        <f t="shared" si="27"/>
        <v>0.5</v>
      </c>
      <c r="Y210" s="63">
        <f t="shared" si="28"/>
        <v>3.3333333333333335E-3</v>
      </c>
      <c r="Z210" s="172" t="s">
        <v>3533</v>
      </c>
      <c r="AA210" s="126"/>
      <c r="AD210" s="16" t="s">
        <v>145</v>
      </c>
      <c r="AE210" s="84">
        <v>44333</v>
      </c>
      <c r="AF210" s="83">
        <v>44334</v>
      </c>
      <c r="AG210" s="33">
        <f t="shared" si="30"/>
        <v>1</v>
      </c>
      <c r="AH210" s="130" t="s">
        <v>1128</v>
      </c>
      <c r="AI210" s="237"/>
      <c r="AJ210" s="227"/>
    </row>
    <row r="211" spans="1:36">
      <c r="A211" s="130" t="s">
        <v>1712</v>
      </c>
      <c r="B211" s="80">
        <v>-1</v>
      </c>
      <c r="C211" s="79">
        <v>6</v>
      </c>
      <c r="D211" s="80">
        <v>-10</v>
      </c>
      <c r="E211" s="79">
        <v>14</v>
      </c>
      <c r="F211" s="57">
        <v>24.68</v>
      </c>
      <c r="G211" s="79">
        <v>5483</v>
      </c>
      <c r="H211" s="30" t="s">
        <v>1469</v>
      </c>
      <c r="I211" s="16" t="s">
        <v>145</v>
      </c>
      <c r="J211" s="323">
        <v>57.43</v>
      </c>
      <c r="K211" s="323">
        <v>28.97</v>
      </c>
      <c r="L211" s="323">
        <v>8.64</v>
      </c>
      <c r="N211" s="333">
        <f t="shared" si="26"/>
        <v>95.04</v>
      </c>
      <c r="O211" s="81">
        <f>IFERROR(VLOOKUP($G211,'321買'!A:E,3,0),"'沒有資料'")</f>
        <v>19</v>
      </c>
      <c r="P211" s="380">
        <f>IFERROR(VLOOKUP($G211,'321買'!$A:$G,7,0),"'沒有資料'")</f>
        <v>258</v>
      </c>
      <c r="R211" s="297">
        <f>IFERROR(RANK(VLOOKUP($G211,連買!$A:$D,4,0),連買!$D:$D,0),"'沒有資料'")</f>
        <v>1532</v>
      </c>
      <c r="S211" s="66">
        <v>5.5</v>
      </c>
      <c r="U211" s="57">
        <v>10.94</v>
      </c>
      <c r="V211" s="36">
        <v>150</v>
      </c>
      <c r="W211" s="66">
        <v>150</v>
      </c>
      <c r="X211" s="15">
        <f t="shared" si="27"/>
        <v>0</v>
      </c>
      <c r="Y211" s="63">
        <f t="shared" si="28"/>
        <v>0</v>
      </c>
      <c r="Z211" s="172" t="s">
        <v>1512</v>
      </c>
      <c r="AA211" s="126"/>
      <c r="AD211" s="16" t="s">
        <v>145</v>
      </c>
      <c r="AE211" s="84">
        <v>44333</v>
      </c>
      <c r="AF211" s="83">
        <v>44334</v>
      </c>
      <c r="AG211" s="33">
        <f t="shared" si="30"/>
        <v>1</v>
      </c>
      <c r="AH211" s="41" t="s">
        <v>1128</v>
      </c>
      <c r="AI211" s="237"/>
      <c r="AJ211" s="227"/>
    </row>
    <row r="212" spans="1:36">
      <c r="A212" s="130" t="s">
        <v>1968</v>
      </c>
      <c r="B212" s="79">
        <v>340</v>
      </c>
      <c r="C212" s="79">
        <v>392</v>
      </c>
      <c r="D212" s="80">
        <v>-32</v>
      </c>
      <c r="E212" s="80">
        <v>-22</v>
      </c>
      <c r="F212" s="57">
        <v>50.71</v>
      </c>
      <c r="G212" s="80">
        <v>4171</v>
      </c>
      <c r="H212" s="30" t="s">
        <v>1469</v>
      </c>
      <c r="I212" s="16" t="s">
        <v>1044</v>
      </c>
      <c r="J212" s="323">
        <v>33.57</v>
      </c>
      <c r="K212" s="73">
        <v>19.8</v>
      </c>
      <c r="L212" s="73">
        <v>11.88</v>
      </c>
      <c r="N212" s="318">
        <f t="shared" si="26"/>
        <v>65.25</v>
      </c>
      <c r="O212" s="81">
        <f>IFERROR(VLOOKUP($G212,'321買'!A:E,3,0),"'沒有資料'")</f>
        <v>10</v>
      </c>
      <c r="P212" s="380">
        <f>IFERROR(VLOOKUP($G212,'321買'!$A:$G,7,0),"'沒有資料'")</f>
        <v>336</v>
      </c>
      <c r="R212" s="297">
        <f>IFERROR(RANK(VLOOKUP($G212,連買!$A:$D,4,0),連買!$D:$D,0),"'沒有資料'")</f>
        <v>41</v>
      </c>
      <c r="S212" s="66">
        <v>3.83</v>
      </c>
      <c r="U212" s="95">
        <v>8.31</v>
      </c>
      <c r="V212" s="36">
        <v>161</v>
      </c>
      <c r="W212" s="66">
        <v>134.5</v>
      </c>
      <c r="X212" s="15">
        <f t="shared" si="27"/>
        <v>26.5</v>
      </c>
      <c r="Y212" s="63">
        <f t="shared" si="28"/>
        <v>0.19702602230483271</v>
      </c>
      <c r="Z212" s="102" t="s">
        <v>1725</v>
      </c>
      <c r="AA212" s="126"/>
      <c r="AD212" s="16" t="s">
        <v>1044</v>
      </c>
      <c r="AE212" s="84">
        <v>44330</v>
      </c>
      <c r="AF212" s="83">
        <v>44334</v>
      </c>
      <c r="AG212" s="33">
        <f t="shared" si="30"/>
        <v>4</v>
      </c>
      <c r="AH212" s="41" t="s">
        <v>1128</v>
      </c>
      <c r="AI212" s="237"/>
      <c r="AJ212" s="226"/>
    </row>
    <row r="213" spans="1:36">
      <c r="A213" s="146" t="s">
        <v>1691</v>
      </c>
      <c r="B213" s="79">
        <v>480</v>
      </c>
      <c r="C213" s="79">
        <v>91</v>
      </c>
      <c r="D213" s="79">
        <v>329</v>
      </c>
      <c r="E213" s="80">
        <v>-4</v>
      </c>
      <c r="F213" s="6">
        <v>-1.38</v>
      </c>
      <c r="G213" s="80">
        <v>4142</v>
      </c>
      <c r="H213" s="50" t="s">
        <v>1410</v>
      </c>
      <c r="I213" s="22" t="s">
        <v>634</v>
      </c>
      <c r="J213" s="323">
        <v>37.119999999999997</v>
      </c>
      <c r="K213" s="73">
        <v>10.54</v>
      </c>
      <c r="L213" s="73">
        <v>23.08</v>
      </c>
      <c r="N213" s="318">
        <f t="shared" si="26"/>
        <v>70.739999999999995</v>
      </c>
      <c r="O213" s="81">
        <f>IFERROR(VLOOKUP($G213,'321買'!A:E,3,0),"'沒有資料'")</f>
        <v>8</v>
      </c>
      <c r="P213" s="380">
        <f>IFERROR(VLOOKUP($G213,'321買'!$A:$G,7,0),"'沒有資料'")</f>
        <v>475</v>
      </c>
      <c r="R213" s="297">
        <f>IFERROR(RANK(VLOOKUP($G213,連買!$A:$D,4,0),連買!$D:$D,0),"'沒有資料'")</f>
        <v>355</v>
      </c>
      <c r="S213" s="34">
        <v>0.5</v>
      </c>
      <c r="U213" s="95">
        <v>3.08</v>
      </c>
      <c r="V213" s="36">
        <v>61.2</v>
      </c>
      <c r="W213" s="66">
        <v>62.3</v>
      </c>
      <c r="X213" s="15">
        <f t="shared" ref="X213:X219" si="31">V213-W213</f>
        <v>-1.0999999999999943</v>
      </c>
      <c r="Y213" s="76">
        <f t="shared" si="28"/>
        <v>-1.7656500802568129E-2</v>
      </c>
      <c r="Z213" s="139" t="s">
        <v>3243</v>
      </c>
      <c r="AA213" s="126"/>
      <c r="AD213" s="22" t="s">
        <v>634</v>
      </c>
      <c r="AE213" s="84">
        <v>44333</v>
      </c>
      <c r="AF213" s="83">
        <v>44334</v>
      </c>
      <c r="AG213" s="33">
        <f t="shared" si="30"/>
        <v>1</v>
      </c>
      <c r="AH213" s="130" t="s">
        <v>1128</v>
      </c>
      <c r="AI213" s="225"/>
      <c r="AJ213" s="226"/>
    </row>
    <row r="214" spans="1:36">
      <c r="A214" s="146" t="s">
        <v>1691</v>
      </c>
      <c r="B214" s="79">
        <v>480</v>
      </c>
      <c r="C214" s="79">
        <v>91</v>
      </c>
      <c r="D214" s="79">
        <v>329</v>
      </c>
      <c r="E214" s="80">
        <v>-4</v>
      </c>
      <c r="F214" s="6">
        <v>-1.38</v>
      </c>
      <c r="G214" s="80">
        <v>4142</v>
      </c>
      <c r="H214" s="50" t="s">
        <v>1410</v>
      </c>
      <c r="I214" s="22" t="s">
        <v>634</v>
      </c>
      <c r="J214" s="323">
        <v>37.119999999999997</v>
      </c>
      <c r="K214" s="73">
        <v>10.54</v>
      </c>
      <c r="L214" s="73">
        <v>23.08</v>
      </c>
      <c r="N214" s="318">
        <f t="shared" si="26"/>
        <v>70.739999999999995</v>
      </c>
      <c r="O214" s="81">
        <f>IFERROR(VLOOKUP($G214,'321買'!A:E,3,0),"'沒有資料'")</f>
        <v>8</v>
      </c>
      <c r="P214" s="380">
        <f>IFERROR(VLOOKUP($G214,'321買'!$A:$G,7,0),"'沒有資料'")</f>
        <v>475</v>
      </c>
      <c r="R214" s="297">
        <f>IFERROR(RANK(VLOOKUP($G214,連買!$A:$D,4,0),連買!$D:$D,0),"'沒有資料'")</f>
        <v>355</v>
      </c>
      <c r="S214" s="34">
        <v>0.5</v>
      </c>
      <c r="U214" s="95">
        <v>3.08</v>
      </c>
      <c r="V214" s="36">
        <v>61.2</v>
      </c>
      <c r="W214" s="66">
        <v>62.4</v>
      </c>
      <c r="X214" s="15">
        <f t="shared" si="31"/>
        <v>-1.1999999999999957</v>
      </c>
      <c r="Y214" s="76">
        <f t="shared" si="28"/>
        <v>-1.9230769230769162E-2</v>
      </c>
      <c r="Z214" s="139" t="s">
        <v>3529</v>
      </c>
      <c r="AA214" s="126"/>
      <c r="AD214" s="22" t="s">
        <v>634</v>
      </c>
      <c r="AE214" s="84">
        <v>44333</v>
      </c>
      <c r="AF214" s="83">
        <v>44334</v>
      </c>
      <c r="AG214" s="33">
        <f t="shared" si="30"/>
        <v>1</v>
      </c>
      <c r="AH214" s="130" t="s">
        <v>1128</v>
      </c>
      <c r="AI214" s="130" t="s">
        <v>1514</v>
      </c>
      <c r="AJ214" s="226"/>
    </row>
    <row r="215" spans="1:36">
      <c r="A215" s="146" t="s">
        <v>1691</v>
      </c>
      <c r="B215" s="79">
        <v>480</v>
      </c>
      <c r="C215" s="79">
        <v>91</v>
      </c>
      <c r="D215" s="79">
        <v>329</v>
      </c>
      <c r="E215" s="80">
        <v>-4</v>
      </c>
      <c r="F215" s="6">
        <v>-1.38</v>
      </c>
      <c r="G215" s="80">
        <v>4142</v>
      </c>
      <c r="H215" s="30" t="s">
        <v>1469</v>
      </c>
      <c r="I215" s="22" t="s">
        <v>634</v>
      </c>
      <c r="J215" s="323">
        <v>37.119999999999997</v>
      </c>
      <c r="K215" s="73">
        <v>10.54</v>
      </c>
      <c r="L215" s="73">
        <v>23.08</v>
      </c>
      <c r="N215" s="318">
        <f t="shared" si="26"/>
        <v>70.739999999999995</v>
      </c>
      <c r="O215" s="81">
        <f>IFERROR(VLOOKUP($G215,'321買'!A:E,3,0),"'沒有資料'")</f>
        <v>8</v>
      </c>
      <c r="P215" s="380">
        <f>IFERROR(VLOOKUP($G215,'321買'!$A:$G,7,0),"'沒有資料'")</f>
        <v>475</v>
      </c>
      <c r="R215" s="297">
        <f>IFERROR(RANK(VLOOKUP($G215,連買!$A:$D,4,0),連買!$D:$D,0),"'沒有資料'")</f>
        <v>355</v>
      </c>
      <c r="S215" s="34">
        <v>0.5</v>
      </c>
      <c r="U215" s="95">
        <v>3.08</v>
      </c>
      <c r="V215" s="36">
        <v>61.1</v>
      </c>
      <c r="W215" s="66">
        <v>62.3</v>
      </c>
      <c r="X215" s="15">
        <f t="shared" si="31"/>
        <v>-1.1999999999999957</v>
      </c>
      <c r="Y215" s="76">
        <f t="shared" si="28"/>
        <v>-1.9261637239165262E-2</v>
      </c>
      <c r="Z215" s="139" t="s">
        <v>3530</v>
      </c>
      <c r="AA215" s="126"/>
      <c r="AD215" s="22" t="s">
        <v>634</v>
      </c>
      <c r="AE215" s="84">
        <v>44333</v>
      </c>
      <c r="AF215" s="83">
        <v>44334</v>
      </c>
      <c r="AG215" s="33">
        <f t="shared" si="30"/>
        <v>1</v>
      </c>
      <c r="AH215" s="41" t="s">
        <v>1128</v>
      </c>
      <c r="AI215" s="225"/>
      <c r="AJ215" s="226"/>
    </row>
    <row r="216" spans="1:36">
      <c r="A216" s="146" t="s">
        <v>1755</v>
      </c>
      <c r="B216" s="79">
        <v>369</v>
      </c>
      <c r="C216" s="79">
        <v>78</v>
      </c>
      <c r="D216" s="80">
        <v>-10</v>
      </c>
      <c r="E216" s="79">
        <v>27</v>
      </c>
      <c r="F216" s="6">
        <v>-2.17</v>
      </c>
      <c r="G216" s="80">
        <v>1781</v>
      </c>
      <c r="H216" s="50" t="s">
        <v>1410</v>
      </c>
      <c r="I216" s="16" t="s">
        <v>609</v>
      </c>
      <c r="J216" s="73">
        <v>27.85</v>
      </c>
      <c r="K216" s="73">
        <v>0.28999999999999998</v>
      </c>
      <c r="N216" s="318">
        <f t="shared" si="26"/>
        <v>28.14</v>
      </c>
      <c r="O216" s="81">
        <f>IFERROR(VLOOKUP($G216,'321買'!A:E,3,0),"'沒有資料'")</f>
        <v>0</v>
      </c>
      <c r="P216" s="380">
        <f>IFERROR(VLOOKUP($G216,'321買'!$A:$G,7,0),"'沒有資料'")</f>
        <v>911</v>
      </c>
      <c r="R216" s="297">
        <f>IFERROR(RANK(VLOOKUP($G216,連買!$A:$D,4,0),連買!$D:$D,0),"'沒有資料'")</f>
        <v>1155</v>
      </c>
      <c r="S216" s="34">
        <v>0</v>
      </c>
      <c r="U216" s="95">
        <v>4.3499999999999996</v>
      </c>
      <c r="V216" s="36">
        <v>29.5</v>
      </c>
      <c r="W216" s="66">
        <v>24.55</v>
      </c>
      <c r="X216" s="15">
        <f t="shared" si="31"/>
        <v>4.9499999999999993</v>
      </c>
      <c r="Y216" s="63">
        <f t="shared" si="28"/>
        <v>0.20162932790224028</v>
      </c>
      <c r="Z216" s="102" t="s">
        <v>3531</v>
      </c>
      <c r="AA216" s="126"/>
      <c r="AD216" s="16" t="s">
        <v>609</v>
      </c>
      <c r="AE216" s="84">
        <v>44330</v>
      </c>
      <c r="AF216" s="83">
        <v>44334</v>
      </c>
      <c r="AG216" s="33">
        <f t="shared" ref="AG216:AG222" si="32">AF216-AE216</f>
        <v>4</v>
      </c>
      <c r="AH216" s="130" t="s">
        <v>1128</v>
      </c>
      <c r="AI216" s="237"/>
      <c r="AJ216" s="226"/>
    </row>
    <row r="217" spans="1:36">
      <c r="A217" s="130" t="s">
        <v>1998</v>
      </c>
      <c r="B217" s="93">
        <v>5707</v>
      </c>
      <c r="C217" s="93">
        <v>7419</v>
      </c>
      <c r="D217" s="79">
        <v>24</v>
      </c>
      <c r="E217" s="80">
        <v>-46</v>
      </c>
      <c r="F217" s="57">
        <v>62.23</v>
      </c>
      <c r="G217" s="80">
        <v>1325</v>
      </c>
      <c r="H217" s="50" t="s">
        <v>1410</v>
      </c>
      <c r="I217" s="22" t="s">
        <v>604</v>
      </c>
      <c r="J217" s="73">
        <v>42.85</v>
      </c>
      <c r="K217" s="323">
        <v>7.48</v>
      </c>
      <c r="L217" s="73">
        <v>21.94</v>
      </c>
      <c r="N217" s="318">
        <f t="shared" si="26"/>
        <v>72.27</v>
      </c>
      <c r="O217" s="81">
        <f>IFERROR(VLOOKUP($G217,'321買'!A:E,3,0),"'沒有資料'")</f>
        <v>16</v>
      </c>
      <c r="P217" s="380">
        <f>IFERROR(VLOOKUP($G217,'321買'!$A:$G,7,0),"'沒有資料'")</f>
        <v>273</v>
      </c>
      <c r="R217" s="297">
        <f>IFERROR(RANK(VLOOKUP($G217,連買!$A:$D,4,0),連買!$D:$D,0),"'沒有資料'")</f>
        <v>169</v>
      </c>
      <c r="S217" s="66">
        <v>12</v>
      </c>
      <c r="U217" s="95">
        <v>23.16</v>
      </c>
      <c r="V217" s="230">
        <v>115.5</v>
      </c>
      <c r="W217" s="66">
        <v>107.5</v>
      </c>
      <c r="X217" s="15">
        <f t="shared" si="31"/>
        <v>8</v>
      </c>
      <c r="Y217" s="63">
        <f t="shared" si="28"/>
        <v>7.441860465116279E-2</v>
      </c>
      <c r="Z217" s="102" t="s">
        <v>1784</v>
      </c>
      <c r="AA217" s="126"/>
      <c r="AD217" s="22" t="s">
        <v>604</v>
      </c>
      <c r="AE217" s="84">
        <v>44330</v>
      </c>
      <c r="AF217" s="83">
        <v>44334</v>
      </c>
      <c r="AG217" s="33">
        <f t="shared" si="32"/>
        <v>4</v>
      </c>
      <c r="AH217" s="130" t="s">
        <v>1128</v>
      </c>
      <c r="AI217" s="223"/>
      <c r="AJ217" s="194"/>
    </row>
    <row r="218" spans="1:36">
      <c r="A218" s="130" t="s">
        <v>1998</v>
      </c>
      <c r="B218" s="93">
        <v>5707</v>
      </c>
      <c r="C218" s="93">
        <v>7419</v>
      </c>
      <c r="D218" s="79">
        <v>24</v>
      </c>
      <c r="E218" s="80">
        <v>-46</v>
      </c>
      <c r="F218" s="57">
        <v>62.23</v>
      </c>
      <c r="G218" s="80">
        <v>1325</v>
      </c>
      <c r="H218" s="30" t="s">
        <v>1469</v>
      </c>
      <c r="I218" s="22" t="s">
        <v>604</v>
      </c>
      <c r="J218" s="73">
        <v>42.85</v>
      </c>
      <c r="K218" s="323">
        <v>7.48</v>
      </c>
      <c r="L218" s="73">
        <v>21.94</v>
      </c>
      <c r="N218" s="318">
        <f t="shared" si="26"/>
        <v>72.27</v>
      </c>
      <c r="O218" s="81">
        <f>IFERROR(VLOOKUP($G218,'321買'!A:E,3,0),"'沒有資料'")</f>
        <v>16</v>
      </c>
      <c r="P218" s="380">
        <f>IFERROR(VLOOKUP($G218,'321買'!$A:$G,7,0),"'沒有資料'")</f>
        <v>273</v>
      </c>
      <c r="R218" s="297">
        <f>IFERROR(RANK(VLOOKUP($G218,連買!$A:$D,4,0),連買!$D:$D,0),"'沒有資料'")</f>
        <v>169</v>
      </c>
      <c r="S218" s="66">
        <v>12</v>
      </c>
      <c r="U218" s="95">
        <v>23.16</v>
      </c>
      <c r="V218" s="230">
        <v>115.5</v>
      </c>
      <c r="W218" s="66">
        <v>107.5</v>
      </c>
      <c r="X218" s="15">
        <f t="shared" si="31"/>
        <v>8</v>
      </c>
      <c r="Y218" s="63">
        <f t="shared" si="28"/>
        <v>7.441860465116279E-2</v>
      </c>
      <c r="Z218" s="102" t="s">
        <v>1784</v>
      </c>
      <c r="AA218" s="126"/>
      <c r="AD218" s="22" t="s">
        <v>604</v>
      </c>
      <c r="AE218" s="84">
        <v>44330</v>
      </c>
      <c r="AF218" s="83">
        <v>44334</v>
      </c>
      <c r="AG218" s="33">
        <f t="shared" si="32"/>
        <v>4</v>
      </c>
      <c r="AH218" s="41" t="s">
        <v>1128</v>
      </c>
      <c r="AI218" s="223"/>
      <c r="AJ218" s="194"/>
    </row>
    <row r="219" spans="1:36" s="268" customFormat="1" ht="15.75" customHeight="1">
      <c r="A219" s="130" t="s">
        <v>3188</v>
      </c>
      <c r="B219" s="79">
        <v>33</v>
      </c>
      <c r="C219" s="80">
        <v>-11</v>
      </c>
      <c r="D219" s="80">
        <v>-23</v>
      </c>
      <c r="E219" s="80">
        <v>-48</v>
      </c>
      <c r="F219" s="57">
        <v>26.29</v>
      </c>
      <c r="G219" s="80">
        <v>4736</v>
      </c>
      <c r="H219" s="30" t="s">
        <v>1469</v>
      </c>
      <c r="I219" s="171" t="s">
        <v>38</v>
      </c>
      <c r="J219" s="323">
        <v>41.12</v>
      </c>
      <c r="K219" s="73">
        <v>7.2</v>
      </c>
      <c r="L219" s="73">
        <v>16.53</v>
      </c>
      <c r="M219" s="318"/>
      <c r="N219" s="318">
        <f t="shared" si="26"/>
        <v>64.849999999999994</v>
      </c>
      <c r="O219" s="81">
        <f>IFERROR(VLOOKUP($G219,'321買'!A:E,3,0),"'沒有資料'")</f>
        <v>17</v>
      </c>
      <c r="P219" s="380">
        <f>IFERROR(VLOOKUP($G219,'321買'!$A:$G,7,0),"'沒有資料'")</f>
        <v>241</v>
      </c>
      <c r="Q219" s="302"/>
      <c r="R219" s="297">
        <f>IFERROR(RANK(VLOOKUP($G219,連買!$A:$D,4,0),連買!$D:$D,0),"'沒有資料'")</f>
        <v>34</v>
      </c>
      <c r="S219" s="65">
        <v>11.5</v>
      </c>
      <c r="T219" s="354"/>
      <c r="U219" s="95">
        <v>18.309999999999999</v>
      </c>
      <c r="V219" s="166">
        <v>195.5</v>
      </c>
      <c r="W219" s="65">
        <v>190.5</v>
      </c>
      <c r="X219" s="167">
        <f t="shared" si="31"/>
        <v>5</v>
      </c>
      <c r="Y219" s="163">
        <f t="shared" si="28"/>
        <v>2.6246719160104987E-2</v>
      </c>
      <c r="Z219" s="172" t="s">
        <v>3532</v>
      </c>
      <c r="AA219" s="126"/>
      <c r="AB219" s="251"/>
      <c r="AC219" s="410"/>
      <c r="AD219" s="171" t="s">
        <v>38</v>
      </c>
      <c r="AE219" s="84">
        <v>44333</v>
      </c>
      <c r="AF219" s="83">
        <v>44334</v>
      </c>
      <c r="AG219" s="33">
        <f t="shared" si="32"/>
        <v>1</v>
      </c>
      <c r="AH219" s="41" t="s">
        <v>1128</v>
      </c>
      <c r="AI219" s="225"/>
      <c r="AJ219" s="226"/>
    </row>
    <row r="220" spans="1:36">
      <c r="A220" s="130" t="s">
        <v>2181</v>
      </c>
      <c r="B220" s="93">
        <v>2459</v>
      </c>
      <c r="C220" s="93">
        <v>3043</v>
      </c>
      <c r="D220" s="80">
        <v>-2</v>
      </c>
      <c r="E220" s="80">
        <v>-52</v>
      </c>
      <c r="F220" s="57">
        <v>36.35</v>
      </c>
      <c r="G220" s="80">
        <v>3373</v>
      </c>
      <c r="H220" s="30" t="s">
        <v>1469</v>
      </c>
      <c r="I220" s="16" t="s">
        <v>478</v>
      </c>
      <c r="J220" s="323">
        <v>27</v>
      </c>
      <c r="K220" s="73">
        <v>4.71</v>
      </c>
      <c r="L220" s="73">
        <v>29.37</v>
      </c>
      <c r="N220" s="318">
        <f t="shared" si="26"/>
        <v>61.08</v>
      </c>
      <c r="O220" s="81">
        <f>IFERROR(VLOOKUP($G220,'321買'!A:E,3,0),"'沒有資料'")</f>
        <v>12</v>
      </c>
      <c r="P220" s="380">
        <f>IFERROR(VLOOKUP($G220,'321買'!$A:$G,7,0),"'沒有資料'")</f>
        <v>387</v>
      </c>
      <c r="R220" s="297">
        <f>IFERROR(RANK(VLOOKUP($G220,連買!$A:$D,4,0),連買!$D:$D,0),"'沒有資料'")</f>
        <v>1724</v>
      </c>
      <c r="S220" s="45">
        <v>10</v>
      </c>
      <c r="U220" s="95">
        <v>17.010000000000002</v>
      </c>
      <c r="V220" s="36">
        <v>85</v>
      </c>
      <c r="W220" s="66">
        <v>84.1</v>
      </c>
      <c r="X220" s="15">
        <f t="shared" ref="X220:X229" si="33">V220-W220</f>
        <v>0.90000000000000568</v>
      </c>
      <c r="Y220" s="63">
        <f t="shared" si="28"/>
        <v>1.0701545778834788E-2</v>
      </c>
      <c r="Z220" s="102" t="s">
        <v>3528</v>
      </c>
      <c r="AA220" s="126"/>
      <c r="AD220" s="16" t="s">
        <v>478</v>
      </c>
      <c r="AE220" s="84">
        <v>44330</v>
      </c>
      <c r="AF220" s="83">
        <v>44333</v>
      </c>
      <c r="AG220" s="33">
        <f t="shared" si="32"/>
        <v>3</v>
      </c>
      <c r="AH220" s="41" t="s">
        <v>1128</v>
      </c>
      <c r="AI220" s="237"/>
      <c r="AJ220" s="226"/>
    </row>
    <row r="221" spans="1:36">
      <c r="A221" s="130" t="s">
        <v>1771</v>
      </c>
      <c r="B221" s="79">
        <v>493</v>
      </c>
      <c r="C221" s="79">
        <v>373</v>
      </c>
      <c r="D221" s="80">
        <v>-6</v>
      </c>
      <c r="E221" s="79">
        <v>340</v>
      </c>
      <c r="F221" s="57">
        <v>21.21</v>
      </c>
      <c r="G221" s="80">
        <v>4735</v>
      </c>
      <c r="H221" s="50" t="s">
        <v>1410</v>
      </c>
      <c r="I221" s="16" t="s">
        <v>619</v>
      </c>
      <c r="J221" s="323">
        <v>28.27</v>
      </c>
      <c r="K221" s="323">
        <v>1.33</v>
      </c>
      <c r="L221" s="323">
        <v>19.37</v>
      </c>
      <c r="N221" s="318">
        <f t="shared" si="26"/>
        <v>48.97</v>
      </c>
      <c r="O221" s="81">
        <f>IFERROR(VLOOKUP($G221,'321買'!A:E,3,0),"'沒有資料'")</f>
        <v>4</v>
      </c>
      <c r="P221" s="380">
        <f>IFERROR(VLOOKUP($G221,'321買'!$A:$G,7,0),"'沒有資料'")</f>
        <v>592</v>
      </c>
      <c r="R221" s="297">
        <f>IFERROR(RANK(VLOOKUP($G221,連買!$A:$D,4,0),連買!$D:$D,0),"'沒有資料'")</f>
        <v>1717</v>
      </c>
      <c r="S221" s="66">
        <v>1.5</v>
      </c>
      <c r="U221" s="95">
        <v>19.010000000000002</v>
      </c>
      <c r="V221" s="36">
        <v>90.4</v>
      </c>
      <c r="W221" s="66">
        <v>88.2</v>
      </c>
      <c r="X221" s="15">
        <f t="shared" si="33"/>
        <v>2.2000000000000028</v>
      </c>
      <c r="Y221" s="63">
        <f t="shared" si="28"/>
        <v>2.4943310657596404E-2</v>
      </c>
      <c r="Z221" s="102" t="s">
        <v>3527</v>
      </c>
      <c r="AA221" s="126"/>
      <c r="AD221" s="16" t="s">
        <v>619</v>
      </c>
      <c r="AE221" s="84">
        <v>44333</v>
      </c>
      <c r="AF221" s="83">
        <v>44333</v>
      </c>
      <c r="AG221" s="33">
        <f t="shared" si="32"/>
        <v>0</v>
      </c>
      <c r="AH221" s="130" t="s">
        <v>1128</v>
      </c>
      <c r="AI221" s="237"/>
      <c r="AJ221" s="226"/>
    </row>
    <row r="222" spans="1:36">
      <c r="A222" s="130" t="s">
        <v>1771</v>
      </c>
      <c r="B222" s="79">
        <v>493</v>
      </c>
      <c r="C222" s="79">
        <v>373</v>
      </c>
      <c r="D222" s="80">
        <v>-6</v>
      </c>
      <c r="E222" s="79">
        <v>340</v>
      </c>
      <c r="F222" s="57">
        <v>21.21</v>
      </c>
      <c r="G222" s="80">
        <v>4735</v>
      </c>
      <c r="H222" s="30" t="s">
        <v>1469</v>
      </c>
      <c r="I222" s="16" t="s">
        <v>619</v>
      </c>
      <c r="J222" s="323">
        <v>28.27</v>
      </c>
      <c r="K222" s="323">
        <v>1.33</v>
      </c>
      <c r="L222" s="323">
        <v>19.37</v>
      </c>
      <c r="N222" s="318">
        <f t="shared" si="26"/>
        <v>48.97</v>
      </c>
      <c r="O222" s="81">
        <f>IFERROR(VLOOKUP($G222,'321買'!A:E,3,0),"'沒有資料'")</f>
        <v>4</v>
      </c>
      <c r="P222" s="380">
        <f>IFERROR(VLOOKUP($G222,'321買'!$A:$G,7,0),"'沒有資料'")</f>
        <v>592</v>
      </c>
      <c r="R222" s="297">
        <f>IFERROR(RANK(VLOOKUP($G222,連買!$A:$D,4,0),連買!$D:$D,0),"'沒有資料'")</f>
        <v>1717</v>
      </c>
      <c r="S222" s="66">
        <v>1.5</v>
      </c>
      <c r="U222" s="95">
        <v>19.010000000000002</v>
      </c>
      <c r="V222" s="36">
        <v>90.4</v>
      </c>
      <c r="W222" s="66">
        <v>88.3</v>
      </c>
      <c r="X222" s="15">
        <f t="shared" si="33"/>
        <v>2.1000000000000085</v>
      </c>
      <c r="Y222" s="63">
        <f t="shared" si="28"/>
        <v>2.378255945639874E-2</v>
      </c>
      <c r="Z222" s="102" t="s">
        <v>3149</v>
      </c>
      <c r="AA222" s="126"/>
      <c r="AD222" s="16" t="s">
        <v>619</v>
      </c>
      <c r="AE222" s="84">
        <v>44333</v>
      </c>
      <c r="AF222" s="83">
        <v>44333</v>
      </c>
      <c r="AG222" s="33">
        <f t="shared" si="32"/>
        <v>0</v>
      </c>
      <c r="AH222" s="41" t="s">
        <v>1128</v>
      </c>
      <c r="AI222" s="237"/>
      <c r="AJ222" s="226"/>
    </row>
    <row r="223" spans="1:36" s="268" customFormat="1">
      <c r="A223" s="130" t="s">
        <v>3188</v>
      </c>
      <c r="B223" s="79">
        <v>131</v>
      </c>
      <c r="C223" s="79">
        <v>146</v>
      </c>
      <c r="D223" s="79">
        <v>12</v>
      </c>
      <c r="E223" s="80">
        <v>-17</v>
      </c>
      <c r="F223" s="57">
        <v>33.57</v>
      </c>
      <c r="G223" s="79">
        <v>4736</v>
      </c>
      <c r="H223" s="50" t="s">
        <v>1410</v>
      </c>
      <c r="I223" s="171" t="s">
        <v>38</v>
      </c>
      <c r="J223" s="323">
        <v>41.12</v>
      </c>
      <c r="K223" s="73">
        <v>8.0399999999999991</v>
      </c>
      <c r="L223" s="73">
        <v>17.82</v>
      </c>
      <c r="M223" s="318"/>
      <c r="N223" s="318">
        <f t="shared" si="26"/>
        <v>66.97999999999999</v>
      </c>
      <c r="O223" s="81">
        <f>IFERROR(VLOOKUP($G223,'321買'!A:E,3,0),"'沒有資料'")</f>
        <v>17</v>
      </c>
      <c r="P223" s="380">
        <f>IFERROR(VLOOKUP($G223,'321買'!$A:$G,7,0),"'沒有資料'")</f>
        <v>241</v>
      </c>
      <c r="Q223" s="302"/>
      <c r="R223" s="297">
        <f>IFERROR(RANK(VLOOKUP($G223,連買!$A:$D,4,0),連買!$D:$D,0),"'沒有資料'")</f>
        <v>34</v>
      </c>
      <c r="S223" s="65">
        <v>11.5</v>
      </c>
      <c r="T223" s="354"/>
      <c r="U223" s="95">
        <f>S223/V223</f>
        <v>6.0846560846560843E-2</v>
      </c>
      <c r="V223" s="166">
        <v>189</v>
      </c>
      <c r="W223" s="65">
        <v>186</v>
      </c>
      <c r="X223" s="167">
        <f t="shared" si="33"/>
        <v>3</v>
      </c>
      <c r="Y223" s="163">
        <f t="shared" si="28"/>
        <v>1.6129032258064516E-2</v>
      </c>
      <c r="Z223" s="172" t="s">
        <v>3526</v>
      </c>
      <c r="AA223" s="126"/>
      <c r="AB223" s="251"/>
      <c r="AC223" s="410"/>
      <c r="AD223" s="171" t="s">
        <v>38</v>
      </c>
      <c r="AE223" s="84">
        <v>44294</v>
      </c>
      <c r="AF223" s="83">
        <v>44333</v>
      </c>
      <c r="AG223" s="33">
        <f t="shared" ref="AG223:AG229" si="34">AF223-AE223</f>
        <v>39</v>
      </c>
      <c r="AH223" s="130" t="s">
        <v>1128</v>
      </c>
      <c r="AI223" s="168"/>
    </row>
    <row r="224" spans="1:36" s="268" customFormat="1">
      <c r="A224" s="130" t="s">
        <v>3188</v>
      </c>
      <c r="B224" s="79">
        <v>131</v>
      </c>
      <c r="C224" s="79">
        <v>146</v>
      </c>
      <c r="D224" s="79">
        <v>12</v>
      </c>
      <c r="E224" s="80">
        <v>-17</v>
      </c>
      <c r="F224" s="57">
        <v>33.57</v>
      </c>
      <c r="G224" s="79">
        <v>4736</v>
      </c>
      <c r="H224" s="30" t="s">
        <v>1469</v>
      </c>
      <c r="I224" s="171" t="s">
        <v>38</v>
      </c>
      <c r="J224" s="323">
        <v>41.12</v>
      </c>
      <c r="K224" s="73">
        <v>8.0399999999999991</v>
      </c>
      <c r="L224" s="73">
        <v>17.82</v>
      </c>
      <c r="M224" s="318"/>
      <c r="N224" s="318">
        <f t="shared" si="26"/>
        <v>66.97999999999999</v>
      </c>
      <c r="O224" s="81">
        <f>IFERROR(VLOOKUP($G224,'321買'!A:E,3,0),"'沒有資料'")</f>
        <v>17</v>
      </c>
      <c r="P224" s="380">
        <f>IFERROR(VLOOKUP($G224,'321買'!$A:$G,7,0),"'沒有資料'")</f>
        <v>241</v>
      </c>
      <c r="Q224" s="302"/>
      <c r="R224" s="297">
        <f>IFERROR(RANK(VLOOKUP($G224,連買!$A:$D,4,0),連買!$D:$D,0),"'沒有資料'")</f>
        <v>34</v>
      </c>
      <c r="S224" s="65">
        <v>11.5</v>
      </c>
      <c r="T224" s="354"/>
      <c r="U224" s="95">
        <f>S224/V224</f>
        <v>6.0846560846560843E-2</v>
      </c>
      <c r="V224" s="166">
        <v>189</v>
      </c>
      <c r="W224" s="65">
        <v>177.5</v>
      </c>
      <c r="X224" s="167">
        <f t="shared" si="33"/>
        <v>11.5</v>
      </c>
      <c r="Y224" s="163">
        <f t="shared" si="28"/>
        <v>6.4788732394366194E-2</v>
      </c>
      <c r="Z224" s="172" t="s">
        <v>3198</v>
      </c>
      <c r="AA224" s="126"/>
      <c r="AB224" s="251"/>
      <c r="AC224" s="410"/>
      <c r="AD224" s="171" t="s">
        <v>38</v>
      </c>
      <c r="AE224" s="84">
        <v>44309</v>
      </c>
      <c r="AF224" s="83">
        <v>44333</v>
      </c>
      <c r="AG224" s="33">
        <f t="shared" si="34"/>
        <v>24</v>
      </c>
      <c r="AH224" s="41" t="s">
        <v>1128</v>
      </c>
      <c r="AI224" s="168"/>
    </row>
    <row r="225" spans="1:36" s="268" customFormat="1">
      <c r="A225" s="130" t="s">
        <v>3188</v>
      </c>
      <c r="B225" s="79">
        <v>131</v>
      </c>
      <c r="C225" s="79">
        <v>146</v>
      </c>
      <c r="D225" s="79">
        <v>12</v>
      </c>
      <c r="E225" s="80">
        <v>-17</v>
      </c>
      <c r="F225" s="57">
        <v>33.57</v>
      </c>
      <c r="G225" s="79">
        <v>4736</v>
      </c>
      <c r="H225" s="30" t="s">
        <v>1469</v>
      </c>
      <c r="I225" s="171" t="s">
        <v>38</v>
      </c>
      <c r="J225" s="323">
        <v>41.12</v>
      </c>
      <c r="K225" s="73">
        <v>8.0399999999999991</v>
      </c>
      <c r="L225" s="73">
        <v>17.82</v>
      </c>
      <c r="M225" s="318"/>
      <c r="N225" s="318">
        <f t="shared" si="26"/>
        <v>66.97999999999999</v>
      </c>
      <c r="O225" s="81">
        <f>IFERROR(VLOOKUP($G225,'321買'!A:E,3,0),"'沒有資料'")</f>
        <v>17</v>
      </c>
      <c r="P225" s="380">
        <f>IFERROR(VLOOKUP($G225,'321買'!$A:$G,7,0),"'沒有資料'")</f>
        <v>241</v>
      </c>
      <c r="Q225" s="302"/>
      <c r="R225" s="297">
        <f>IFERROR(RANK(VLOOKUP($G225,連買!$A:$D,4,0),連買!$D:$D,0),"'沒有資料'")</f>
        <v>34</v>
      </c>
      <c r="S225" s="65">
        <v>11.5</v>
      </c>
      <c r="T225" s="354"/>
      <c r="U225" s="95">
        <f>S225/V225</f>
        <v>6.0846560846560843E-2</v>
      </c>
      <c r="V225" s="166">
        <v>189</v>
      </c>
      <c r="W225" s="65">
        <v>186</v>
      </c>
      <c r="X225" s="167">
        <f t="shared" si="33"/>
        <v>3</v>
      </c>
      <c r="Y225" s="163">
        <f t="shared" si="28"/>
        <v>1.6129032258064516E-2</v>
      </c>
      <c r="Z225" s="172" t="s">
        <v>3526</v>
      </c>
      <c r="AA225" s="126"/>
      <c r="AB225" s="251"/>
      <c r="AC225" s="410"/>
      <c r="AD225" s="171" t="s">
        <v>38</v>
      </c>
      <c r="AE225" s="84">
        <v>44294</v>
      </c>
      <c r="AF225" s="83">
        <v>44333</v>
      </c>
      <c r="AG225" s="33">
        <f t="shared" si="34"/>
        <v>39</v>
      </c>
      <c r="AH225" s="41" t="s">
        <v>1128</v>
      </c>
      <c r="AI225" s="41" t="s">
        <v>1514</v>
      </c>
    </row>
    <row r="226" spans="1:36">
      <c r="A226" s="146" t="s">
        <v>1691</v>
      </c>
      <c r="B226" s="79">
        <v>480</v>
      </c>
      <c r="C226" s="79">
        <v>91</v>
      </c>
      <c r="D226" s="79">
        <v>329</v>
      </c>
      <c r="E226" s="80">
        <v>-4</v>
      </c>
      <c r="F226" s="6">
        <v>-1.38</v>
      </c>
      <c r="G226" s="80">
        <v>4142</v>
      </c>
      <c r="H226" s="50" t="s">
        <v>1410</v>
      </c>
      <c r="I226" s="22" t="s">
        <v>634</v>
      </c>
      <c r="J226" s="323">
        <v>37.119999999999997</v>
      </c>
      <c r="K226" s="73">
        <v>10.54</v>
      </c>
      <c r="L226" s="73">
        <v>23.08</v>
      </c>
      <c r="N226" s="318">
        <f t="shared" si="26"/>
        <v>70.739999999999995</v>
      </c>
      <c r="O226" s="81">
        <f>IFERROR(VLOOKUP($G226,'321買'!A:E,3,0),"'沒有資料'")</f>
        <v>8</v>
      </c>
      <c r="P226" s="380">
        <f>IFERROR(VLOOKUP($G226,'321買'!$A:$G,7,0),"'沒有資料'")</f>
        <v>475</v>
      </c>
      <c r="R226" s="297">
        <f>IFERROR(RANK(VLOOKUP($G226,連買!$A:$D,4,0),連買!$D:$D,0),"'沒有資料'")</f>
        <v>355</v>
      </c>
      <c r="S226" s="34">
        <v>0.5</v>
      </c>
      <c r="U226" s="95">
        <v>3.08</v>
      </c>
      <c r="V226" s="36">
        <v>61.8</v>
      </c>
      <c r="W226" s="66">
        <v>59</v>
      </c>
      <c r="X226" s="15">
        <f t="shared" si="33"/>
        <v>2.7999999999999972</v>
      </c>
      <c r="Y226" s="63">
        <f t="shared" si="28"/>
        <v>4.745762711864402E-2</v>
      </c>
      <c r="Z226" s="102" t="s">
        <v>3155</v>
      </c>
      <c r="AA226" s="126"/>
      <c r="AD226" s="22" t="s">
        <v>634</v>
      </c>
      <c r="AE226" s="84">
        <v>44330</v>
      </c>
      <c r="AF226" s="83">
        <v>44333</v>
      </c>
      <c r="AG226" s="33">
        <f t="shared" si="34"/>
        <v>3</v>
      </c>
      <c r="AH226" s="130" t="s">
        <v>1128</v>
      </c>
      <c r="AI226" s="225"/>
      <c r="AJ226" s="226"/>
    </row>
    <row r="227" spans="1:36">
      <c r="A227" s="146" t="s">
        <v>1691</v>
      </c>
      <c r="B227" s="79">
        <v>480</v>
      </c>
      <c r="C227" s="79">
        <v>91</v>
      </c>
      <c r="D227" s="79">
        <v>329</v>
      </c>
      <c r="E227" s="80">
        <v>-4</v>
      </c>
      <c r="F227" s="6">
        <v>-1.38</v>
      </c>
      <c r="G227" s="80">
        <v>4142</v>
      </c>
      <c r="H227" s="50" t="s">
        <v>1410</v>
      </c>
      <c r="I227" s="22" t="s">
        <v>634</v>
      </c>
      <c r="J227" s="323">
        <v>37.119999999999997</v>
      </c>
      <c r="K227" s="73">
        <v>10.54</v>
      </c>
      <c r="L227" s="73">
        <v>23.08</v>
      </c>
      <c r="N227" s="318">
        <f t="shared" si="26"/>
        <v>70.739999999999995</v>
      </c>
      <c r="O227" s="81">
        <f>IFERROR(VLOOKUP($G227,'321買'!A:E,3,0),"'沒有資料'")</f>
        <v>8</v>
      </c>
      <c r="P227" s="380">
        <f>IFERROR(VLOOKUP($G227,'321買'!$A:$G,7,0),"'沒有資料'")</f>
        <v>475</v>
      </c>
      <c r="R227" s="297">
        <f>IFERROR(RANK(VLOOKUP($G227,連買!$A:$D,4,0),連買!$D:$D,0),"'沒有資料'")</f>
        <v>355</v>
      </c>
      <c r="S227" s="34">
        <v>0.5</v>
      </c>
      <c r="U227" s="95">
        <v>3.08</v>
      </c>
      <c r="V227" s="36">
        <v>61.8</v>
      </c>
      <c r="W227" s="66">
        <v>61.5</v>
      </c>
      <c r="X227" s="15">
        <f t="shared" si="33"/>
        <v>0.29999999999999716</v>
      </c>
      <c r="Y227" s="63">
        <f t="shared" si="28"/>
        <v>4.8780487804877589E-3</v>
      </c>
      <c r="Z227" s="102" t="s">
        <v>3524</v>
      </c>
      <c r="AA227" s="264"/>
      <c r="AD227" s="22" t="s">
        <v>634</v>
      </c>
      <c r="AE227" s="84">
        <v>44329</v>
      </c>
      <c r="AF227" s="83">
        <v>44333</v>
      </c>
      <c r="AG227" s="33">
        <f t="shared" si="34"/>
        <v>4</v>
      </c>
      <c r="AH227" s="130" t="s">
        <v>1128</v>
      </c>
      <c r="AI227" s="225"/>
      <c r="AJ227" s="226"/>
    </row>
    <row r="228" spans="1:36">
      <c r="A228" s="146" t="s">
        <v>1691</v>
      </c>
      <c r="B228" s="79">
        <v>480</v>
      </c>
      <c r="C228" s="79">
        <v>91</v>
      </c>
      <c r="D228" s="79">
        <v>329</v>
      </c>
      <c r="E228" s="80">
        <v>-4</v>
      </c>
      <c r="F228" s="6">
        <v>-1.38</v>
      </c>
      <c r="G228" s="80">
        <v>4142</v>
      </c>
      <c r="H228" s="30" t="s">
        <v>1469</v>
      </c>
      <c r="I228" s="22" t="s">
        <v>634</v>
      </c>
      <c r="J228" s="323">
        <v>37.119999999999997</v>
      </c>
      <c r="K228" s="73">
        <v>10.54</v>
      </c>
      <c r="L228" s="73">
        <v>23.08</v>
      </c>
      <c r="N228" s="318">
        <f t="shared" si="26"/>
        <v>70.739999999999995</v>
      </c>
      <c r="O228" s="81">
        <f>IFERROR(VLOOKUP($G228,'321買'!A:E,3,0),"'沒有資料'")</f>
        <v>8</v>
      </c>
      <c r="P228" s="380">
        <f>IFERROR(VLOOKUP($G228,'321買'!$A:$G,7,0),"'沒有資料'")</f>
        <v>475</v>
      </c>
      <c r="R228" s="297">
        <f>IFERROR(RANK(VLOOKUP($G228,連買!$A:$D,4,0),連買!$D:$D,0),"'沒有資料'")</f>
        <v>355</v>
      </c>
      <c r="S228" s="34">
        <v>0.5</v>
      </c>
      <c r="U228" s="95">
        <v>3.08</v>
      </c>
      <c r="V228" s="36">
        <v>61.9</v>
      </c>
      <c r="W228" s="66">
        <v>58.7</v>
      </c>
      <c r="X228" s="15">
        <f t="shared" si="33"/>
        <v>3.1999999999999957</v>
      </c>
      <c r="Y228" s="63">
        <f t="shared" si="28"/>
        <v>5.4514480408858527E-2</v>
      </c>
      <c r="Z228" s="102" t="s">
        <v>3187</v>
      </c>
      <c r="AA228" s="126"/>
      <c r="AD228" s="22" t="s">
        <v>634</v>
      </c>
      <c r="AE228" s="84">
        <v>44330</v>
      </c>
      <c r="AF228" s="83">
        <v>44333</v>
      </c>
      <c r="AG228" s="33">
        <f t="shared" si="34"/>
        <v>3</v>
      </c>
      <c r="AH228" s="41" t="s">
        <v>1128</v>
      </c>
      <c r="AI228" s="225"/>
      <c r="AJ228" s="226"/>
    </row>
    <row r="229" spans="1:36">
      <c r="A229" s="146" t="s">
        <v>1691</v>
      </c>
      <c r="B229" s="79">
        <v>480</v>
      </c>
      <c r="C229" s="79">
        <v>91</v>
      </c>
      <c r="D229" s="79">
        <v>329</v>
      </c>
      <c r="E229" s="80">
        <v>-4</v>
      </c>
      <c r="F229" s="6">
        <v>-1.38</v>
      </c>
      <c r="G229" s="80">
        <v>4142</v>
      </c>
      <c r="H229" s="30" t="s">
        <v>1469</v>
      </c>
      <c r="I229" s="22" t="s">
        <v>634</v>
      </c>
      <c r="J229" s="323">
        <v>37.119999999999997</v>
      </c>
      <c r="K229" s="73">
        <v>10.54</v>
      </c>
      <c r="L229" s="73">
        <v>23.08</v>
      </c>
      <c r="N229" s="318">
        <f t="shared" si="26"/>
        <v>70.739999999999995</v>
      </c>
      <c r="O229" s="81">
        <f>IFERROR(VLOOKUP($G229,'321買'!A:E,3,0),"'沒有資料'")</f>
        <v>8</v>
      </c>
      <c r="P229" s="380">
        <f>IFERROR(VLOOKUP($G229,'321買'!$A:$G,7,0),"'沒有資料'")</f>
        <v>475</v>
      </c>
      <c r="R229" s="297">
        <f>IFERROR(RANK(VLOOKUP($G229,連買!$A:$D,4,0),連買!$D:$D,0),"'沒有資料'")</f>
        <v>355</v>
      </c>
      <c r="S229" s="34">
        <v>0.5</v>
      </c>
      <c r="U229" s="95">
        <v>3.08</v>
      </c>
      <c r="V229" s="36">
        <v>61.9</v>
      </c>
      <c r="W229" s="66">
        <v>61.5</v>
      </c>
      <c r="X229" s="15">
        <f t="shared" si="33"/>
        <v>0.39999999999999858</v>
      </c>
      <c r="Y229" s="63">
        <f t="shared" si="28"/>
        <v>6.5040650406503831E-3</v>
      </c>
      <c r="Z229" s="102" t="s">
        <v>3525</v>
      </c>
      <c r="AA229" s="126"/>
      <c r="AD229" s="22" t="s">
        <v>634</v>
      </c>
      <c r="AE229" s="84">
        <v>44329</v>
      </c>
      <c r="AF229" s="83">
        <v>44333</v>
      </c>
      <c r="AG229" s="33">
        <f t="shared" si="34"/>
        <v>4</v>
      </c>
      <c r="AH229" s="41" t="s">
        <v>1128</v>
      </c>
      <c r="AI229" s="225"/>
      <c r="AJ229" s="226"/>
    </row>
    <row r="230" spans="1:36">
      <c r="A230" s="130" t="s">
        <v>1968</v>
      </c>
      <c r="B230" s="79">
        <v>181</v>
      </c>
      <c r="C230" s="79">
        <v>217</v>
      </c>
      <c r="D230" s="79">
        <v>24</v>
      </c>
      <c r="E230" s="79">
        <v>77</v>
      </c>
      <c r="F230" s="57">
        <v>41.47</v>
      </c>
      <c r="G230" s="80">
        <v>4171</v>
      </c>
      <c r="H230" s="30" t="s">
        <v>1469</v>
      </c>
      <c r="I230" s="16" t="s">
        <v>1044</v>
      </c>
      <c r="J230" s="323">
        <v>34.75</v>
      </c>
      <c r="K230" s="323">
        <v>18.04</v>
      </c>
      <c r="N230" s="318">
        <f t="shared" si="26"/>
        <v>52.79</v>
      </c>
      <c r="O230" s="81">
        <f>IFERROR(VLOOKUP($G230,'321買'!A:E,3,0),"'沒有資料'")</f>
        <v>10</v>
      </c>
      <c r="P230" s="380">
        <f>IFERROR(VLOOKUP($G230,'321買'!$A:$G,7,0),"'沒有資料'")</f>
        <v>336</v>
      </c>
      <c r="R230" s="297">
        <f>IFERROR(RANK(VLOOKUP($G230,連買!$A:$D,4,0),連買!$D:$D,0),"'沒有資料'")</f>
        <v>41</v>
      </c>
      <c r="S230" s="66">
        <v>3.83</v>
      </c>
      <c r="U230" s="95">
        <f>S230/V230</f>
        <v>2.8161764705882355E-2</v>
      </c>
      <c r="V230" s="36">
        <v>136</v>
      </c>
      <c r="W230" s="66">
        <v>118.5</v>
      </c>
      <c r="X230" s="15">
        <f>V230-W230</f>
        <v>17.5</v>
      </c>
      <c r="Y230" s="63">
        <f t="shared" si="28"/>
        <v>0.14767932489451477</v>
      </c>
      <c r="Z230" s="102" t="s">
        <v>3521</v>
      </c>
      <c r="AA230" s="126"/>
      <c r="AD230" s="16" t="s">
        <v>1044</v>
      </c>
      <c r="AE230" s="84">
        <v>44306</v>
      </c>
      <c r="AF230" s="83">
        <v>44330</v>
      </c>
      <c r="AG230" s="33">
        <f t="shared" ref="AG230:AG238" si="35">AF230-AE230</f>
        <v>24</v>
      </c>
      <c r="AH230" s="41" t="s">
        <v>1128</v>
      </c>
      <c r="AI230" s="224"/>
      <c r="AJ230" s="24"/>
    </row>
    <row r="231" spans="1:36">
      <c r="A231" s="130" t="s">
        <v>1998</v>
      </c>
      <c r="B231" s="93">
        <v>5707</v>
      </c>
      <c r="C231" s="93">
        <v>7419</v>
      </c>
      <c r="D231" s="79">
        <v>24</v>
      </c>
      <c r="E231" s="80">
        <v>-46</v>
      </c>
      <c r="F231" s="57">
        <v>62.23</v>
      </c>
      <c r="G231" s="80">
        <v>1325</v>
      </c>
      <c r="H231" s="50" t="s">
        <v>1410</v>
      </c>
      <c r="I231" s="22" t="s">
        <v>604</v>
      </c>
      <c r="J231" s="73">
        <v>42.85</v>
      </c>
      <c r="K231" s="323">
        <v>7.48</v>
      </c>
      <c r="L231" s="73">
        <v>21.94</v>
      </c>
      <c r="N231" s="318">
        <f t="shared" ref="N231:N238" si="36">K231+J231+L231</f>
        <v>72.27</v>
      </c>
      <c r="O231" s="81">
        <f>IFERROR(VLOOKUP($G231,'321買'!A:E,3,0),"'沒有資料'")</f>
        <v>16</v>
      </c>
      <c r="P231" s="380">
        <f>IFERROR(VLOOKUP($G231,'321買'!$A:$G,7,0),"'沒有資料'")</f>
        <v>273</v>
      </c>
      <c r="R231" s="297">
        <f>IFERROR(RANK(VLOOKUP($G231,連買!$A:$D,4,0),連買!$D:$D,0),"'沒有資料'")</f>
        <v>169</v>
      </c>
      <c r="S231" s="66">
        <v>12</v>
      </c>
      <c r="U231" s="95">
        <v>23.16</v>
      </c>
      <c r="V231" s="230">
        <v>112</v>
      </c>
      <c r="W231" s="66">
        <v>101.5</v>
      </c>
      <c r="X231" s="15">
        <f>V231-W231</f>
        <v>10.5</v>
      </c>
      <c r="Y231" s="63">
        <f t="shared" ref="Y231:Y238" si="37">X231/W231</f>
        <v>0.10344827586206896</v>
      </c>
      <c r="Z231" s="102" t="s">
        <v>2071</v>
      </c>
      <c r="AA231" s="126"/>
      <c r="AD231" s="22" t="s">
        <v>604</v>
      </c>
      <c r="AE231" s="84">
        <v>44328</v>
      </c>
      <c r="AF231" s="83">
        <v>44330</v>
      </c>
      <c r="AG231" s="33">
        <f t="shared" si="35"/>
        <v>2</v>
      </c>
      <c r="AH231" s="130" t="s">
        <v>1128</v>
      </c>
      <c r="AI231" s="223"/>
      <c r="AJ231" s="194"/>
    </row>
    <row r="232" spans="1:36">
      <c r="A232" s="130" t="s">
        <v>1998</v>
      </c>
      <c r="B232" s="93">
        <v>5707</v>
      </c>
      <c r="C232" s="93">
        <v>7419</v>
      </c>
      <c r="D232" s="79">
        <v>24</v>
      </c>
      <c r="E232" s="80">
        <v>-46</v>
      </c>
      <c r="F232" s="57">
        <v>62.23</v>
      </c>
      <c r="G232" s="80">
        <v>1325</v>
      </c>
      <c r="H232" s="30" t="s">
        <v>1469</v>
      </c>
      <c r="I232" s="22" t="s">
        <v>604</v>
      </c>
      <c r="J232" s="73">
        <v>42.85</v>
      </c>
      <c r="K232" s="323">
        <v>7.48</v>
      </c>
      <c r="L232" s="73">
        <v>21.94</v>
      </c>
      <c r="N232" s="318">
        <f t="shared" si="36"/>
        <v>72.27</v>
      </c>
      <c r="O232" s="81">
        <f>IFERROR(VLOOKUP($G232,'321買'!A:E,3,0),"'沒有資料'")</f>
        <v>16</v>
      </c>
      <c r="P232" s="380">
        <f>IFERROR(VLOOKUP($G232,'321買'!$A:$G,7,0),"'沒有資料'")</f>
        <v>273</v>
      </c>
      <c r="R232" s="297">
        <f>IFERROR(RANK(VLOOKUP($G232,連買!$A:$D,4,0),連買!$D:$D,0),"'沒有資料'")</f>
        <v>169</v>
      </c>
      <c r="S232" s="66">
        <v>12</v>
      </c>
      <c r="U232" s="95">
        <v>23.16</v>
      </c>
      <c r="V232" s="230">
        <v>111.5</v>
      </c>
      <c r="W232" s="66">
        <v>101</v>
      </c>
      <c r="X232" s="15">
        <f>V232-W232</f>
        <v>10.5</v>
      </c>
      <c r="Y232" s="63">
        <f t="shared" si="37"/>
        <v>0.10396039603960396</v>
      </c>
      <c r="Z232" s="102" t="s">
        <v>1780</v>
      </c>
      <c r="AA232" s="126"/>
      <c r="AD232" s="22" t="s">
        <v>604</v>
      </c>
      <c r="AE232" s="84">
        <v>44328</v>
      </c>
      <c r="AF232" s="83">
        <v>44330</v>
      </c>
      <c r="AG232" s="33">
        <f t="shared" si="35"/>
        <v>2</v>
      </c>
      <c r="AH232" s="41" t="s">
        <v>1128</v>
      </c>
      <c r="AI232" s="223"/>
      <c r="AJ232" s="194"/>
    </row>
    <row r="233" spans="1:36">
      <c r="A233" s="146" t="s">
        <v>1755</v>
      </c>
      <c r="B233" s="79">
        <v>369</v>
      </c>
      <c r="C233" s="79">
        <v>78</v>
      </c>
      <c r="D233" s="79">
        <v>63</v>
      </c>
      <c r="E233" s="79">
        <v>117</v>
      </c>
      <c r="F233" s="6">
        <v>-2.17</v>
      </c>
      <c r="G233" s="80">
        <v>1781</v>
      </c>
      <c r="H233" s="50" t="s">
        <v>1410</v>
      </c>
      <c r="I233" s="16" t="s">
        <v>609</v>
      </c>
      <c r="J233" s="73">
        <v>27.45</v>
      </c>
      <c r="K233" s="73">
        <v>0.42</v>
      </c>
      <c r="L233" s="323">
        <v>0</v>
      </c>
      <c r="N233" s="318">
        <f t="shared" si="36"/>
        <v>27.87</v>
      </c>
      <c r="O233" s="81">
        <f>IFERROR(VLOOKUP($G233,'321買'!A:E,3,0),"'沒有資料'")</f>
        <v>0</v>
      </c>
      <c r="P233" s="380">
        <f>IFERROR(VLOOKUP($G233,'321買'!$A:$G,7,0),"'沒有資料'")</f>
        <v>911</v>
      </c>
      <c r="R233" s="297">
        <f>IFERROR(RANK(VLOOKUP($G233,連買!$A:$D,4,0),連買!$D:$D,0),"'沒有資料'")</f>
        <v>1155</v>
      </c>
      <c r="S233" s="34">
        <v>0</v>
      </c>
      <c r="U233" s="95">
        <f>S233/V233</f>
        <v>0</v>
      </c>
      <c r="V233" s="36">
        <v>24.05</v>
      </c>
      <c r="W233" s="66">
        <v>22.85</v>
      </c>
      <c r="X233" s="15">
        <f>V233-W233</f>
        <v>1.1999999999999993</v>
      </c>
      <c r="Y233" s="63">
        <f t="shared" si="37"/>
        <v>5.2516411378555762E-2</v>
      </c>
      <c r="Z233" s="102" t="s">
        <v>2231</v>
      </c>
      <c r="AA233" s="126"/>
      <c r="AD233" s="16" t="s">
        <v>609</v>
      </c>
      <c r="AE233" s="84">
        <v>44298</v>
      </c>
      <c r="AF233" s="83">
        <v>44330</v>
      </c>
      <c r="AG233" s="33">
        <f t="shared" si="35"/>
        <v>32</v>
      </c>
      <c r="AH233" s="130" t="s">
        <v>1128</v>
      </c>
      <c r="AJ233" s="8"/>
    </row>
    <row r="234" spans="1:36">
      <c r="A234" s="146" t="s">
        <v>1755</v>
      </c>
      <c r="B234" s="79">
        <v>369</v>
      </c>
      <c r="C234" s="79">
        <v>78</v>
      </c>
      <c r="D234" s="79">
        <v>63</v>
      </c>
      <c r="E234" s="79">
        <v>117</v>
      </c>
      <c r="F234" s="6">
        <v>-2.17</v>
      </c>
      <c r="G234" s="80">
        <v>1781</v>
      </c>
      <c r="H234" s="30" t="s">
        <v>1469</v>
      </c>
      <c r="I234" s="16" t="s">
        <v>609</v>
      </c>
      <c r="J234" s="73">
        <v>27.45</v>
      </c>
      <c r="K234" s="73">
        <v>0.42</v>
      </c>
      <c r="L234" s="323">
        <v>0</v>
      </c>
      <c r="N234" s="318">
        <f t="shared" si="36"/>
        <v>27.87</v>
      </c>
      <c r="O234" s="81">
        <f>IFERROR(VLOOKUP($G234,'321買'!A:E,3,0),"'沒有資料'")</f>
        <v>0</v>
      </c>
      <c r="P234" s="380">
        <f>IFERROR(VLOOKUP($G234,'321買'!$A:$G,7,0),"'沒有資料'")</f>
        <v>911</v>
      </c>
      <c r="R234" s="297">
        <f>IFERROR(RANK(VLOOKUP($G234,連買!$A:$D,4,0),連買!$D:$D,0),"'沒有資料'")</f>
        <v>1155</v>
      </c>
      <c r="S234" s="34">
        <v>0</v>
      </c>
      <c r="U234" s="95">
        <f>S234/V234</f>
        <v>0</v>
      </c>
      <c r="V234" s="36">
        <v>26</v>
      </c>
      <c r="W234" s="66">
        <v>22.65</v>
      </c>
      <c r="X234" s="15">
        <f>V234-W234</f>
        <v>3.3500000000000014</v>
      </c>
      <c r="Y234" s="63">
        <f t="shared" si="37"/>
        <v>0.14790286975717445</v>
      </c>
      <c r="Z234" s="102" t="s">
        <v>3520</v>
      </c>
      <c r="AA234" s="126"/>
      <c r="AD234" s="16" t="s">
        <v>609</v>
      </c>
      <c r="AE234" s="84">
        <v>44298</v>
      </c>
      <c r="AF234" s="83">
        <v>44330</v>
      </c>
      <c r="AG234" s="33">
        <f t="shared" si="35"/>
        <v>32</v>
      </c>
      <c r="AH234" s="41" t="s">
        <v>1128</v>
      </c>
      <c r="AJ234" s="8"/>
    </row>
    <row r="235" spans="1:36">
      <c r="A235" s="130" t="s">
        <v>2181</v>
      </c>
      <c r="B235" s="93">
        <v>2459</v>
      </c>
      <c r="C235" s="93">
        <v>3043</v>
      </c>
      <c r="D235" s="80">
        <v>-2</v>
      </c>
      <c r="E235" s="80">
        <v>-49</v>
      </c>
      <c r="F235" s="57">
        <v>36.35</v>
      </c>
      <c r="G235" s="80">
        <v>3373</v>
      </c>
      <c r="H235" s="50" t="s">
        <v>1410</v>
      </c>
      <c r="I235" s="16" t="s">
        <v>478</v>
      </c>
      <c r="J235" s="323">
        <v>27.21</v>
      </c>
      <c r="K235" s="73">
        <v>5.08</v>
      </c>
      <c r="L235" s="73">
        <v>32.26</v>
      </c>
      <c r="N235" s="318">
        <f t="shared" si="36"/>
        <v>64.55</v>
      </c>
      <c r="O235" s="81">
        <f>IFERROR(VLOOKUP($G235,'321買'!A:E,3,0),"'沒有資料'")</f>
        <v>12</v>
      </c>
      <c r="P235" s="380">
        <f>IFERROR(VLOOKUP($G235,'321買'!$A:$G,7,0),"'沒有資料'")</f>
        <v>387</v>
      </c>
      <c r="R235" s="297">
        <f>IFERROR(RANK(VLOOKUP($G235,連買!$A:$D,4,0),連買!$D:$D,0),"'沒有資料'")</f>
        <v>1724</v>
      </c>
      <c r="S235" s="45">
        <v>10</v>
      </c>
      <c r="U235" s="95">
        <v>17.010000000000002</v>
      </c>
      <c r="V235" s="36">
        <v>84.4</v>
      </c>
      <c r="W235" s="66">
        <v>80.099999999999994</v>
      </c>
      <c r="X235" s="15">
        <f t="shared" ref="X235:X250" si="38">V235-W235</f>
        <v>4.3000000000000114</v>
      </c>
      <c r="Y235" s="63">
        <f t="shared" si="37"/>
        <v>5.3682896379525738E-2</v>
      </c>
      <c r="Z235" s="102" t="s">
        <v>3157</v>
      </c>
      <c r="AA235" s="126"/>
      <c r="AD235" s="16" t="s">
        <v>478</v>
      </c>
      <c r="AE235" s="84">
        <v>44314</v>
      </c>
      <c r="AF235" s="83">
        <v>44329</v>
      </c>
      <c r="AG235" s="33">
        <f t="shared" si="35"/>
        <v>15</v>
      </c>
      <c r="AH235" s="130" t="s">
        <v>1128</v>
      </c>
      <c r="AI235" s="225"/>
      <c r="AJ235" s="226"/>
    </row>
    <row r="236" spans="1:36">
      <c r="A236" s="130" t="s">
        <v>2181</v>
      </c>
      <c r="B236" s="93">
        <v>2459</v>
      </c>
      <c r="C236" s="93">
        <v>3043</v>
      </c>
      <c r="D236" s="80">
        <v>-2</v>
      </c>
      <c r="E236" s="80">
        <v>-49</v>
      </c>
      <c r="F236" s="57">
        <v>36.35</v>
      </c>
      <c r="G236" s="80">
        <v>3373</v>
      </c>
      <c r="H236" s="50" t="s">
        <v>1410</v>
      </c>
      <c r="I236" s="16" t="s">
        <v>478</v>
      </c>
      <c r="J236" s="323">
        <v>27.21</v>
      </c>
      <c r="K236" s="73">
        <v>5.08</v>
      </c>
      <c r="L236" s="73">
        <v>32.26</v>
      </c>
      <c r="N236" s="318">
        <f t="shared" si="36"/>
        <v>64.55</v>
      </c>
      <c r="O236" s="81">
        <f>IFERROR(VLOOKUP($G236,'321買'!A:E,3,0),"'沒有資料'")</f>
        <v>12</v>
      </c>
      <c r="P236" s="380">
        <f>IFERROR(VLOOKUP($G236,'321買'!$A:$G,7,0),"'沒有資料'")</f>
        <v>387</v>
      </c>
      <c r="R236" s="297">
        <f>IFERROR(RANK(VLOOKUP($G236,連買!$A:$D,4,0),連買!$D:$D,0),"'沒有資料'")</f>
        <v>1724</v>
      </c>
      <c r="S236" s="45">
        <v>10</v>
      </c>
      <c r="U236" s="95">
        <v>17.010000000000002</v>
      </c>
      <c r="V236" s="36">
        <v>84.3</v>
      </c>
      <c r="W236" s="66">
        <v>80.7</v>
      </c>
      <c r="X236" s="15">
        <f t="shared" si="38"/>
        <v>3.5999999999999943</v>
      </c>
      <c r="Y236" s="63">
        <f t="shared" si="37"/>
        <v>4.4609665427509222E-2</v>
      </c>
      <c r="Z236" s="102" t="s">
        <v>3184</v>
      </c>
      <c r="AA236" s="126"/>
      <c r="AD236" s="16" t="s">
        <v>478</v>
      </c>
      <c r="AE236" s="84">
        <v>44313</v>
      </c>
      <c r="AF236" s="83">
        <v>44329</v>
      </c>
      <c r="AG236" s="33">
        <f t="shared" si="35"/>
        <v>16</v>
      </c>
      <c r="AH236" s="130" t="s">
        <v>1128</v>
      </c>
      <c r="AI236" s="225"/>
      <c r="AJ236" s="226"/>
    </row>
    <row r="237" spans="1:36">
      <c r="A237" s="130" t="s">
        <v>2181</v>
      </c>
      <c r="B237" s="93">
        <v>2459</v>
      </c>
      <c r="C237" s="93">
        <v>3043</v>
      </c>
      <c r="D237" s="80">
        <v>-2</v>
      </c>
      <c r="E237" s="80">
        <v>-49</v>
      </c>
      <c r="F237" s="57">
        <v>36.35</v>
      </c>
      <c r="G237" s="80">
        <v>3373</v>
      </c>
      <c r="H237" s="30" t="s">
        <v>1469</v>
      </c>
      <c r="I237" s="16" t="s">
        <v>478</v>
      </c>
      <c r="J237" s="323">
        <v>27.21</v>
      </c>
      <c r="K237" s="73">
        <v>5.08</v>
      </c>
      <c r="L237" s="73">
        <v>32.26</v>
      </c>
      <c r="N237" s="318">
        <f t="shared" si="36"/>
        <v>64.55</v>
      </c>
      <c r="O237" s="81">
        <f>IFERROR(VLOOKUP($G237,'321買'!A:E,3,0),"'沒有資料'")</f>
        <v>12</v>
      </c>
      <c r="P237" s="380">
        <f>IFERROR(VLOOKUP($G237,'321買'!$A:$G,7,0),"'沒有資料'")</f>
        <v>387</v>
      </c>
      <c r="R237" s="297">
        <f>IFERROR(RANK(VLOOKUP($G237,連買!$A:$D,4,0),連買!$D:$D,0),"'沒有資料'")</f>
        <v>1724</v>
      </c>
      <c r="S237" s="45">
        <v>10</v>
      </c>
      <c r="U237" s="95">
        <v>17.010000000000002</v>
      </c>
      <c r="V237" s="36">
        <v>84.3</v>
      </c>
      <c r="W237" s="66">
        <v>81</v>
      </c>
      <c r="X237" s="15">
        <f t="shared" si="38"/>
        <v>3.2999999999999972</v>
      </c>
      <c r="Y237" s="63">
        <f t="shared" si="37"/>
        <v>4.0740740740740702E-2</v>
      </c>
      <c r="Z237" s="102" t="s">
        <v>3517</v>
      </c>
      <c r="AA237" s="126"/>
      <c r="AD237" s="16" t="s">
        <v>478</v>
      </c>
      <c r="AE237" s="84">
        <v>44314</v>
      </c>
      <c r="AF237" s="83">
        <v>44329</v>
      </c>
      <c r="AG237" s="33">
        <f t="shared" si="35"/>
        <v>15</v>
      </c>
      <c r="AH237" s="41" t="s">
        <v>1128</v>
      </c>
      <c r="AI237" s="225"/>
      <c r="AJ237" s="226"/>
    </row>
    <row r="238" spans="1:36">
      <c r="A238" s="130" t="s">
        <v>2181</v>
      </c>
      <c r="B238" s="93">
        <v>2459</v>
      </c>
      <c r="C238" s="93">
        <v>3043</v>
      </c>
      <c r="D238" s="80">
        <v>-2</v>
      </c>
      <c r="E238" s="80">
        <v>-49</v>
      </c>
      <c r="F238" s="57">
        <v>36.35</v>
      </c>
      <c r="G238" s="80">
        <v>3373</v>
      </c>
      <c r="H238" s="30" t="s">
        <v>1469</v>
      </c>
      <c r="I238" s="16" t="s">
        <v>478</v>
      </c>
      <c r="J238" s="323">
        <v>27.21</v>
      </c>
      <c r="K238" s="73">
        <v>5.08</v>
      </c>
      <c r="L238" s="73">
        <v>32.26</v>
      </c>
      <c r="N238" s="318">
        <f t="shared" si="36"/>
        <v>64.55</v>
      </c>
      <c r="O238" s="81">
        <f>IFERROR(VLOOKUP($G238,'321買'!A:E,3,0),"'沒有資料'")</f>
        <v>12</v>
      </c>
      <c r="P238" s="380">
        <f>IFERROR(VLOOKUP($G238,'321買'!$A:$G,7,0),"'沒有資料'")</f>
        <v>387</v>
      </c>
      <c r="R238" s="297">
        <f>IFERROR(RANK(VLOOKUP($G238,連買!$A:$D,4,0),連買!$D:$D,0),"'沒有資料'")</f>
        <v>1724</v>
      </c>
      <c r="S238" s="45">
        <v>10</v>
      </c>
      <c r="U238" s="95">
        <v>17.010000000000002</v>
      </c>
      <c r="V238" s="36">
        <v>84.3</v>
      </c>
      <c r="W238" s="66">
        <v>80.099999999999994</v>
      </c>
      <c r="X238" s="15">
        <f t="shared" si="38"/>
        <v>4.2000000000000028</v>
      </c>
      <c r="Y238" s="63">
        <f t="shared" si="37"/>
        <v>5.2434456928838989E-2</v>
      </c>
      <c r="Z238" s="102" t="s">
        <v>3516</v>
      </c>
      <c r="AA238" s="126"/>
      <c r="AD238" s="16" t="s">
        <v>478</v>
      </c>
      <c r="AE238" s="84">
        <v>44313</v>
      </c>
      <c r="AF238" s="83">
        <v>44329</v>
      </c>
      <c r="AG238" s="33">
        <f t="shared" si="35"/>
        <v>16</v>
      </c>
      <c r="AH238" s="41" t="s">
        <v>1128</v>
      </c>
      <c r="AI238" s="41" t="s">
        <v>1514</v>
      </c>
      <c r="AJ238" s="226"/>
    </row>
    <row r="239" spans="1:36">
      <c r="A239" s="130" t="s">
        <v>1771</v>
      </c>
      <c r="B239" s="79">
        <v>297</v>
      </c>
      <c r="C239" s="79">
        <v>275</v>
      </c>
      <c r="D239" s="79">
        <v>49</v>
      </c>
      <c r="E239" s="79">
        <v>205</v>
      </c>
      <c r="F239" s="57">
        <v>25.55</v>
      </c>
      <c r="G239" s="80">
        <v>4735</v>
      </c>
      <c r="H239" s="50" t="s">
        <v>1410</v>
      </c>
      <c r="I239" s="16" t="s">
        <v>619</v>
      </c>
      <c r="J239" s="323">
        <v>28.83</v>
      </c>
      <c r="K239" s="73">
        <v>2.15</v>
      </c>
      <c r="L239" s="73">
        <v>18.78</v>
      </c>
      <c r="N239" s="318">
        <f t="shared" ref="N239:N251" si="39">K239+J239+L239</f>
        <v>49.76</v>
      </c>
      <c r="O239" s="81">
        <f>IFERROR(VLOOKUP($G239,'321買'!A:E,3,0),"'沒有資料'")</f>
        <v>4</v>
      </c>
      <c r="P239" s="380">
        <f>IFERROR(VLOOKUP($G239,'321買'!$A:$G,7,0),"'沒有資料'")</f>
        <v>592</v>
      </c>
      <c r="R239" s="297">
        <f>IFERROR(RANK(VLOOKUP($G239,連買!$A:$D,4,0),連買!$D:$D,0),"'沒有資料'")</f>
        <v>1717</v>
      </c>
      <c r="S239" s="66">
        <v>3</v>
      </c>
      <c r="U239" s="95">
        <v>15.17</v>
      </c>
      <c r="V239" s="36">
        <v>95.4</v>
      </c>
      <c r="W239" s="66">
        <v>90</v>
      </c>
      <c r="X239" s="15">
        <f t="shared" si="38"/>
        <v>5.4000000000000057</v>
      </c>
      <c r="Y239" s="63">
        <f t="shared" ref="Y239:Y252" si="40">X239/W239</f>
        <v>6.000000000000006E-2</v>
      </c>
      <c r="Z239" s="102" t="s">
        <v>3515</v>
      </c>
      <c r="AA239" s="126"/>
      <c r="AD239" s="16" t="s">
        <v>619</v>
      </c>
      <c r="AE239" s="84">
        <v>44315</v>
      </c>
      <c r="AF239" s="83">
        <v>44329</v>
      </c>
      <c r="AG239" s="33">
        <f>AF239-AE239</f>
        <v>14</v>
      </c>
      <c r="AH239" s="130" t="s">
        <v>1128</v>
      </c>
      <c r="AI239" s="225"/>
      <c r="AJ239" s="226"/>
    </row>
    <row r="240" spans="1:36">
      <c r="A240" s="130" t="s">
        <v>1771</v>
      </c>
      <c r="B240" s="79">
        <v>297</v>
      </c>
      <c r="C240" s="79">
        <v>275</v>
      </c>
      <c r="D240" s="79">
        <v>49</v>
      </c>
      <c r="E240" s="79">
        <v>205</v>
      </c>
      <c r="F240" s="57">
        <v>25.55</v>
      </c>
      <c r="G240" s="80">
        <v>4735</v>
      </c>
      <c r="H240" s="30" t="s">
        <v>1469</v>
      </c>
      <c r="I240" s="16" t="s">
        <v>619</v>
      </c>
      <c r="J240" s="323">
        <v>28.83</v>
      </c>
      <c r="K240" s="73">
        <v>2.15</v>
      </c>
      <c r="L240" s="73">
        <v>18.78</v>
      </c>
      <c r="N240" s="318">
        <f t="shared" si="39"/>
        <v>49.76</v>
      </c>
      <c r="O240" s="81">
        <f>IFERROR(VLOOKUP($G240,'321買'!A:E,3,0),"'沒有資料'")</f>
        <v>4</v>
      </c>
      <c r="P240" s="380">
        <f>IFERROR(VLOOKUP($G240,'321買'!$A:$G,7,0),"'沒有資料'")</f>
        <v>592</v>
      </c>
      <c r="R240" s="297">
        <f>IFERROR(RANK(VLOOKUP($G240,連買!$A:$D,4,0),連買!$D:$D,0),"'沒有資料'")</f>
        <v>1717</v>
      </c>
      <c r="S240" s="66">
        <v>3</v>
      </c>
      <c r="U240" s="95">
        <v>15.17</v>
      </c>
      <c r="V240" s="36">
        <v>95.1</v>
      </c>
      <c r="W240" s="66">
        <v>89.8</v>
      </c>
      <c r="X240" s="15">
        <f t="shared" si="38"/>
        <v>5.2999999999999972</v>
      </c>
      <c r="Y240" s="63">
        <f t="shared" si="40"/>
        <v>5.9020044543429816E-2</v>
      </c>
      <c r="Z240" s="102" t="s">
        <v>3514</v>
      </c>
      <c r="AA240" s="126"/>
      <c r="AD240" s="16" t="s">
        <v>619</v>
      </c>
      <c r="AE240" s="84">
        <v>44315</v>
      </c>
      <c r="AF240" s="83">
        <v>44329</v>
      </c>
      <c r="AG240" s="33">
        <f>AF240-AE240</f>
        <v>14</v>
      </c>
      <c r="AH240" s="41" t="s">
        <v>1128</v>
      </c>
      <c r="AI240" s="225"/>
      <c r="AJ240" s="226"/>
    </row>
    <row r="241" spans="1:37">
      <c r="A241" s="130" t="s">
        <v>1771</v>
      </c>
      <c r="B241" s="79">
        <v>297</v>
      </c>
      <c r="C241" s="79">
        <v>275</v>
      </c>
      <c r="D241" s="79">
        <v>49</v>
      </c>
      <c r="E241" s="79">
        <v>205</v>
      </c>
      <c r="F241" s="57">
        <v>25.55</v>
      </c>
      <c r="G241" s="80">
        <v>4735</v>
      </c>
      <c r="H241" s="30" t="s">
        <v>1469</v>
      </c>
      <c r="I241" s="16" t="s">
        <v>619</v>
      </c>
      <c r="J241" s="323">
        <v>28.83</v>
      </c>
      <c r="K241" s="73">
        <v>2.15</v>
      </c>
      <c r="L241" s="73">
        <v>18.78</v>
      </c>
      <c r="N241" s="318">
        <f t="shared" si="39"/>
        <v>49.76</v>
      </c>
      <c r="O241" s="81">
        <f>IFERROR(VLOOKUP($G241,'321買'!A:E,3,0),"'沒有資料'")</f>
        <v>4</v>
      </c>
      <c r="P241" s="380">
        <f>IFERROR(VLOOKUP($G241,'321買'!$A:$G,7,0),"'沒有資料'")</f>
        <v>592</v>
      </c>
      <c r="R241" s="297">
        <f>IFERROR(RANK(VLOOKUP($G241,連買!$A:$D,4,0),連買!$D:$D,0),"'沒有資料'")</f>
        <v>1717</v>
      </c>
      <c r="S241" s="66">
        <v>3</v>
      </c>
      <c r="U241" s="95">
        <v>15.17</v>
      </c>
      <c r="V241" s="36">
        <v>95.1</v>
      </c>
      <c r="W241" s="66">
        <v>90.4</v>
      </c>
      <c r="X241" s="15">
        <f t="shared" si="38"/>
        <v>4.6999999999999886</v>
      </c>
      <c r="Y241" s="63">
        <f t="shared" si="40"/>
        <v>5.1991150442477749E-2</v>
      </c>
      <c r="Z241" s="102" t="s">
        <v>3513</v>
      </c>
      <c r="AA241" s="126"/>
      <c r="AD241" s="16" t="s">
        <v>619</v>
      </c>
      <c r="AE241" s="84">
        <v>44315</v>
      </c>
      <c r="AF241" s="83">
        <v>44329</v>
      </c>
      <c r="AG241" s="33">
        <f>AF241-AE241</f>
        <v>14</v>
      </c>
      <c r="AH241" s="41" t="s">
        <v>1128</v>
      </c>
      <c r="AI241" s="41" t="s">
        <v>1514</v>
      </c>
      <c r="AJ241" s="226"/>
    </row>
    <row r="242" spans="1:37">
      <c r="A242" s="146" t="s">
        <v>1703</v>
      </c>
      <c r="B242" s="80">
        <v>-4</v>
      </c>
      <c r="C242" s="79">
        <v>34</v>
      </c>
      <c r="D242" s="79">
        <v>23</v>
      </c>
      <c r="E242" s="79">
        <v>4</v>
      </c>
      <c r="F242" s="6">
        <v>6.35</v>
      </c>
      <c r="G242" s="80">
        <v>4102</v>
      </c>
      <c r="H242" s="50" t="s">
        <v>1410</v>
      </c>
      <c r="I242" s="16" t="s">
        <v>611</v>
      </c>
      <c r="J242" s="73">
        <v>26.54</v>
      </c>
      <c r="K242" s="73">
        <v>1.46</v>
      </c>
      <c r="L242" s="73">
        <v>22.84</v>
      </c>
      <c r="N242" s="318">
        <f t="shared" si="39"/>
        <v>50.84</v>
      </c>
      <c r="O242" s="81">
        <f>IFERROR(VLOOKUP($G242,'321買'!A:E,3,0),"'沒有資料'")</f>
        <v>2</v>
      </c>
      <c r="P242" s="380">
        <f>IFERROR(VLOOKUP($G242,'321買'!$A:$G,7,0),"'沒有資料'")</f>
        <v>636</v>
      </c>
      <c r="R242" s="297">
        <f>IFERROR(RANK(VLOOKUP($G242,連買!$A:$D,4,0),連買!$D:$D,0),"'沒有資料'")</f>
        <v>874</v>
      </c>
      <c r="S242" s="34">
        <v>0.1</v>
      </c>
      <c r="U242" s="95">
        <f>S242/V242</f>
        <v>3.8684719535783366E-3</v>
      </c>
      <c r="V242" s="36">
        <v>25.85</v>
      </c>
      <c r="W242" s="66">
        <v>23.3</v>
      </c>
      <c r="X242" s="15">
        <f t="shared" si="38"/>
        <v>2.5500000000000007</v>
      </c>
      <c r="Y242" s="63">
        <f t="shared" si="40"/>
        <v>0.10944206008583694</v>
      </c>
      <c r="Z242" s="102" t="s">
        <v>3512</v>
      </c>
      <c r="AA242" s="126"/>
      <c r="AD242" s="16" t="s">
        <v>611</v>
      </c>
      <c r="AE242" s="84">
        <v>44298</v>
      </c>
      <c r="AF242" s="83">
        <v>44329</v>
      </c>
      <c r="AG242" s="33">
        <f t="shared" ref="AG242:AG249" si="41">AF242-AE242</f>
        <v>31</v>
      </c>
      <c r="AH242" s="130" t="s">
        <v>1128</v>
      </c>
      <c r="AJ242" s="8"/>
    </row>
    <row r="243" spans="1:37">
      <c r="A243" s="146" t="s">
        <v>1703</v>
      </c>
      <c r="B243" s="80">
        <v>-4</v>
      </c>
      <c r="C243" s="79">
        <v>34</v>
      </c>
      <c r="D243" s="79">
        <v>23</v>
      </c>
      <c r="E243" s="79">
        <v>4</v>
      </c>
      <c r="F243" s="6">
        <v>6.35</v>
      </c>
      <c r="G243" s="80">
        <v>4102</v>
      </c>
      <c r="H243" s="30" t="s">
        <v>1469</v>
      </c>
      <c r="I243" s="16" t="s">
        <v>611</v>
      </c>
      <c r="J243" s="73">
        <v>26.54</v>
      </c>
      <c r="K243" s="73">
        <v>1.46</v>
      </c>
      <c r="L243" s="73">
        <v>22.84</v>
      </c>
      <c r="N243" s="318">
        <f t="shared" si="39"/>
        <v>50.84</v>
      </c>
      <c r="O243" s="81">
        <f>IFERROR(VLOOKUP($G243,'321買'!A:E,3,0),"'沒有資料'")</f>
        <v>2</v>
      </c>
      <c r="P243" s="380">
        <f>IFERROR(VLOOKUP($G243,'321買'!$A:$G,7,0),"'沒有資料'")</f>
        <v>636</v>
      </c>
      <c r="R243" s="297">
        <f>IFERROR(RANK(VLOOKUP($G243,連買!$A:$D,4,0),連買!$D:$D,0),"'沒有資料'")</f>
        <v>874</v>
      </c>
      <c r="S243" s="34">
        <v>0.1</v>
      </c>
      <c r="U243" s="95">
        <f>S243/V243</f>
        <v>3.8610038610038615E-3</v>
      </c>
      <c r="V243" s="36">
        <v>25.9</v>
      </c>
      <c r="W243" s="66">
        <v>23.7</v>
      </c>
      <c r="X243" s="15">
        <f t="shared" si="38"/>
        <v>2.1999999999999993</v>
      </c>
      <c r="Y243" s="63">
        <f t="shared" si="40"/>
        <v>9.2827004219409259E-2</v>
      </c>
      <c r="Z243" s="102" t="s">
        <v>3511</v>
      </c>
      <c r="AA243" s="126"/>
      <c r="AD243" s="16" t="s">
        <v>611</v>
      </c>
      <c r="AE243" s="84">
        <v>44299</v>
      </c>
      <c r="AF243" s="83">
        <v>44329</v>
      </c>
      <c r="AG243" s="33">
        <f t="shared" si="41"/>
        <v>30</v>
      </c>
      <c r="AH243" s="41" t="s">
        <v>1128</v>
      </c>
      <c r="AJ243" s="8"/>
    </row>
    <row r="244" spans="1:37">
      <c r="A244" s="146" t="s">
        <v>1703</v>
      </c>
      <c r="B244" s="80">
        <v>-4</v>
      </c>
      <c r="C244" s="79">
        <v>34</v>
      </c>
      <c r="D244" s="79">
        <v>23</v>
      </c>
      <c r="E244" s="79">
        <v>4</v>
      </c>
      <c r="F244" s="6">
        <v>6.35</v>
      </c>
      <c r="G244" s="80">
        <v>4102</v>
      </c>
      <c r="H244" s="30" t="s">
        <v>1469</v>
      </c>
      <c r="I244" s="16" t="s">
        <v>611</v>
      </c>
      <c r="J244" s="73">
        <v>26.54</v>
      </c>
      <c r="K244" s="73">
        <v>1.46</v>
      </c>
      <c r="L244" s="73">
        <v>22.84</v>
      </c>
      <c r="N244" s="318">
        <f t="shared" si="39"/>
        <v>50.84</v>
      </c>
      <c r="O244" s="81">
        <f>IFERROR(VLOOKUP($G244,'321買'!A:E,3,0),"'沒有資料'")</f>
        <v>2</v>
      </c>
      <c r="P244" s="380">
        <f>IFERROR(VLOOKUP($G244,'321買'!$A:$G,7,0),"'沒有資料'")</f>
        <v>636</v>
      </c>
      <c r="R244" s="297">
        <f>IFERROR(RANK(VLOOKUP($G244,連買!$A:$D,4,0),連買!$D:$D,0),"'沒有資料'")</f>
        <v>874</v>
      </c>
      <c r="S244" s="34">
        <v>0.1</v>
      </c>
      <c r="U244" s="95">
        <f>S244/V244</f>
        <v>3.8610038610038615E-3</v>
      </c>
      <c r="V244" s="36">
        <v>25.9</v>
      </c>
      <c r="W244" s="66">
        <v>23.3</v>
      </c>
      <c r="X244" s="15">
        <f t="shared" si="38"/>
        <v>2.5999999999999979</v>
      </c>
      <c r="Y244" s="63">
        <f t="shared" si="40"/>
        <v>0.11158798283261794</v>
      </c>
      <c r="Z244" s="102" t="s">
        <v>3510</v>
      </c>
      <c r="AA244" s="126"/>
      <c r="AD244" s="16" t="s">
        <v>611</v>
      </c>
      <c r="AE244" s="84">
        <v>44298</v>
      </c>
      <c r="AF244" s="83">
        <v>44329</v>
      </c>
      <c r="AG244" s="33">
        <f t="shared" si="41"/>
        <v>31</v>
      </c>
      <c r="AH244" s="41" t="s">
        <v>1128</v>
      </c>
      <c r="AI244" s="41" t="s">
        <v>1514</v>
      </c>
      <c r="AJ244" s="8"/>
    </row>
    <row r="245" spans="1:37">
      <c r="A245" s="146" t="s">
        <v>1691</v>
      </c>
      <c r="B245" s="79">
        <v>480</v>
      </c>
      <c r="C245" s="79">
        <v>91</v>
      </c>
      <c r="D245" s="79">
        <v>329</v>
      </c>
      <c r="E245" s="80">
        <v>-4</v>
      </c>
      <c r="F245" s="6">
        <v>-1.38</v>
      </c>
      <c r="G245" s="80">
        <v>4142</v>
      </c>
      <c r="H245" s="50" t="s">
        <v>1410</v>
      </c>
      <c r="I245" s="22" t="s">
        <v>634</v>
      </c>
      <c r="J245" s="323">
        <v>37.119999999999997</v>
      </c>
      <c r="K245" s="73">
        <v>10.54</v>
      </c>
      <c r="L245" s="73">
        <v>23.08</v>
      </c>
      <c r="N245" s="318">
        <f t="shared" si="39"/>
        <v>70.739999999999995</v>
      </c>
      <c r="O245" s="81">
        <f>IFERROR(VLOOKUP($G245,'321買'!A:E,3,0),"'沒有資料'")</f>
        <v>8</v>
      </c>
      <c r="P245" s="380">
        <f>IFERROR(VLOOKUP($G245,'321買'!$A:$G,7,0),"'沒有資料'")</f>
        <v>475</v>
      </c>
      <c r="R245" s="297">
        <f>IFERROR(RANK(VLOOKUP($G245,連買!$A:$D,4,0),連買!$D:$D,0),"'沒有資料'")</f>
        <v>355</v>
      </c>
      <c r="S245" s="34">
        <v>0.5</v>
      </c>
      <c r="U245" s="95">
        <v>3.08</v>
      </c>
      <c r="V245" s="36">
        <v>62.4</v>
      </c>
      <c r="W245" s="66">
        <v>56.1</v>
      </c>
      <c r="X245" s="15">
        <f t="shared" si="38"/>
        <v>6.2999999999999972</v>
      </c>
      <c r="Y245" s="63">
        <f t="shared" si="40"/>
        <v>0.11229946524064166</v>
      </c>
      <c r="Z245" s="102" t="s">
        <v>3509</v>
      </c>
      <c r="AA245" s="126"/>
      <c r="AD245" s="22" t="s">
        <v>634</v>
      </c>
      <c r="AE245" s="84">
        <v>44319</v>
      </c>
      <c r="AF245" s="83">
        <v>44329</v>
      </c>
      <c r="AG245" s="33">
        <f t="shared" si="41"/>
        <v>10</v>
      </c>
      <c r="AH245" s="130" t="s">
        <v>1128</v>
      </c>
      <c r="AI245" s="225"/>
      <c r="AJ245" s="226"/>
    </row>
    <row r="246" spans="1:37">
      <c r="A246" s="146" t="s">
        <v>1691</v>
      </c>
      <c r="B246" s="79">
        <v>480</v>
      </c>
      <c r="C246" s="79">
        <v>91</v>
      </c>
      <c r="D246" s="79">
        <v>329</v>
      </c>
      <c r="E246" s="80">
        <v>-4</v>
      </c>
      <c r="F246" s="6">
        <v>-1.38</v>
      </c>
      <c r="G246" s="80">
        <v>4142</v>
      </c>
      <c r="H246" s="30" t="s">
        <v>1469</v>
      </c>
      <c r="I246" s="22" t="s">
        <v>634</v>
      </c>
      <c r="J246" s="323">
        <v>37.119999999999997</v>
      </c>
      <c r="K246" s="73">
        <v>10.54</v>
      </c>
      <c r="L246" s="73">
        <v>23.08</v>
      </c>
      <c r="N246" s="318">
        <f t="shared" si="39"/>
        <v>70.739999999999995</v>
      </c>
      <c r="O246" s="81">
        <f>IFERROR(VLOOKUP($G246,'321買'!A:E,3,0),"'沒有資料'")</f>
        <v>8</v>
      </c>
      <c r="P246" s="380">
        <f>IFERROR(VLOOKUP($G246,'321買'!$A:$G,7,0),"'沒有資料'")</f>
        <v>475</v>
      </c>
      <c r="R246" s="297">
        <f>IFERROR(RANK(VLOOKUP($G246,連買!$A:$D,4,0),連買!$D:$D,0),"'沒有資料'")</f>
        <v>355</v>
      </c>
      <c r="S246" s="34">
        <v>0.5</v>
      </c>
      <c r="U246" s="95">
        <v>3.08</v>
      </c>
      <c r="V246" s="36">
        <v>62.2</v>
      </c>
      <c r="W246" s="66">
        <v>55.7</v>
      </c>
      <c r="X246" s="15">
        <f t="shared" si="38"/>
        <v>6.5</v>
      </c>
      <c r="Y246" s="63">
        <f t="shared" si="40"/>
        <v>0.11669658886894074</v>
      </c>
      <c r="Z246" s="102" t="s">
        <v>3508</v>
      </c>
      <c r="AA246" s="126"/>
      <c r="AD246" s="22" t="s">
        <v>634</v>
      </c>
      <c r="AE246" s="84">
        <v>44319</v>
      </c>
      <c r="AF246" s="83">
        <v>44329</v>
      </c>
      <c r="AG246" s="33">
        <f t="shared" si="41"/>
        <v>10</v>
      </c>
      <c r="AH246" s="41" t="s">
        <v>1128</v>
      </c>
      <c r="AI246" s="225"/>
      <c r="AJ246" s="226"/>
    </row>
    <row r="247" spans="1:37">
      <c r="A247" s="130" t="s">
        <v>1998</v>
      </c>
      <c r="B247" s="93">
        <v>5707</v>
      </c>
      <c r="C247" s="93">
        <v>7419</v>
      </c>
      <c r="D247" s="79">
        <v>24</v>
      </c>
      <c r="E247" s="80">
        <v>-46</v>
      </c>
      <c r="F247" s="57">
        <v>62.23</v>
      </c>
      <c r="G247" s="80">
        <v>1325</v>
      </c>
      <c r="H247" s="50" t="s">
        <v>1410</v>
      </c>
      <c r="I247" s="22" t="s">
        <v>604</v>
      </c>
      <c r="J247" s="73">
        <v>42.85</v>
      </c>
      <c r="K247" s="323">
        <v>7.48</v>
      </c>
      <c r="L247" s="73">
        <v>21.94</v>
      </c>
      <c r="N247" s="318">
        <f t="shared" si="39"/>
        <v>72.27</v>
      </c>
      <c r="O247" s="81">
        <f>IFERROR(VLOOKUP($G247,'321買'!A:E,3,0),"'沒有資料'")</f>
        <v>16</v>
      </c>
      <c r="P247" s="380">
        <f>IFERROR(VLOOKUP($G247,'321買'!$A:$G,7,0),"'沒有資料'")</f>
        <v>273</v>
      </c>
      <c r="R247" s="297">
        <f>IFERROR(RANK(VLOOKUP($G247,連買!$A:$D,4,0),連買!$D:$D,0),"'沒有資料'")</f>
        <v>169</v>
      </c>
      <c r="S247" s="66">
        <v>12</v>
      </c>
      <c r="U247" s="95">
        <v>23.16</v>
      </c>
      <c r="V247" s="230">
        <v>97.8</v>
      </c>
      <c r="W247" s="66">
        <v>86.7</v>
      </c>
      <c r="X247" s="15">
        <f t="shared" si="38"/>
        <v>11.099999999999994</v>
      </c>
      <c r="Y247" s="63">
        <f t="shared" si="40"/>
        <v>0.12802768166089959</v>
      </c>
      <c r="Z247" s="100" t="s">
        <v>1745</v>
      </c>
      <c r="AA247" s="126"/>
      <c r="AD247" s="22" t="s">
        <v>604</v>
      </c>
      <c r="AE247" s="84">
        <v>44315</v>
      </c>
      <c r="AF247" s="83">
        <v>44328</v>
      </c>
      <c r="AG247" s="33">
        <f t="shared" si="41"/>
        <v>13</v>
      </c>
      <c r="AH247" s="130" t="s">
        <v>1128</v>
      </c>
      <c r="AI247" s="223"/>
      <c r="AJ247" s="194"/>
    </row>
    <row r="248" spans="1:37">
      <c r="A248" s="130" t="s">
        <v>1998</v>
      </c>
      <c r="B248" s="93">
        <v>5707</v>
      </c>
      <c r="C248" s="93">
        <v>7419</v>
      </c>
      <c r="D248" s="79">
        <v>24</v>
      </c>
      <c r="E248" s="80">
        <v>-46</v>
      </c>
      <c r="F248" s="57">
        <v>62.23</v>
      </c>
      <c r="G248" s="80">
        <v>1325</v>
      </c>
      <c r="H248" s="30" t="s">
        <v>1469</v>
      </c>
      <c r="I248" s="22" t="s">
        <v>604</v>
      </c>
      <c r="J248" s="73">
        <v>42.85</v>
      </c>
      <c r="K248" s="323">
        <v>7.48</v>
      </c>
      <c r="L248" s="73">
        <v>21.94</v>
      </c>
      <c r="N248" s="318">
        <f t="shared" si="39"/>
        <v>72.27</v>
      </c>
      <c r="O248" s="81">
        <f>IFERROR(VLOOKUP($G248,'321買'!A:E,3,0),"'沒有資料'")</f>
        <v>16</v>
      </c>
      <c r="P248" s="380">
        <f>IFERROR(VLOOKUP($G248,'321買'!$A:$G,7,0),"'沒有資料'")</f>
        <v>273</v>
      </c>
      <c r="R248" s="297">
        <f>IFERROR(RANK(VLOOKUP($G248,連買!$A:$D,4,0),連買!$D:$D,0),"'沒有資料'")</f>
        <v>169</v>
      </c>
      <c r="S248" s="66">
        <v>12</v>
      </c>
      <c r="U248" s="95">
        <v>23.16</v>
      </c>
      <c r="V248" s="230">
        <v>100.5</v>
      </c>
      <c r="W248" s="66">
        <v>87.7</v>
      </c>
      <c r="X248" s="15">
        <f t="shared" si="38"/>
        <v>12.799999999999997</v>
      </c>
      <c r="Y248" s="63">
        <f t="shared" si="40"/>
        <v>0.14595210946408205</v>
      </c>
      <c r="Z248" s="100" t="s">
        <v>1706</v>
      </c>
      <c r="AA248" s="126"/>
      <c r="AD248" s="22" t="s">
        <v>604</v>
      </c>
      <c r="AE248" s="84">
        <v>44315</v>
      </c>
      <c r="AF248" s="83">
        <v>44328</v>
      </c>
      <c r="AG248" s="33">
        <f t="shared" si="41"/>
        <v>13</v>
      </c>
      <c r="AH248" s="41" t="s">
        <v>1128</v>
      </c>
      <c r="AI248" s="223"/>
      <c r="AJ248" s="194"/>
    </row>
    <row r="249" spans="1:37">
      <c r="A249" s="130" t="s">
        <v>1998</v>
      </c>
      <c r="B249" s="93">
        <v>5707</v>
      </c>
      <c r="C249" s="93">
        <v>7419</v>
      </c>
      <c r="D249" s="79">
        <v>24</v>
      </c>
      <c r="E249" s="80">
        <v>-46</v>
      </c>
      <c r="F249" s="57">
        <v>62.23</v>
      </c>
      <c r="G249" s="80">
        <v>1325</v>
      </c>
      <c r="H249" s="30" t="s">
        <v>1469</v>
      </c>
      <c r="I249" s="22" t="s">
        <v>604</v>
      </c>
      <c r="J249" s="73">
        <v>42.85</v>
      </c>
      <c r="K249" s="323">
        <v>7.48</v>
      </c>
      <c r="L249" s="73">
        <v>21.94</v>
      </c>
      <c r="N249" s="318">
        <f t="shared" si="39"/>
        <v>72.27</v>
      </c>
      <c r="O249" s="81">
        <f>IFERROR(VLOOKUP($G249,'321買'!A:E,3,0),"'沒有資料'")</f>
        <v>16</v>
      </c>
      <c r="P249" s="380">
        <f>IFERROR(VLOOKUP($G249,'321買'!$A:$G,7,0),"'沒有資料'")</f>
        <v>273</v>
      </c>
      <c r="R249" s="297">
        <f>IFERROR(RANK(VLOOKUP($G249,連買!$A:$D,4,0),連買!$D:$D,0),"'沒有資料'")</f>
        <v>169</v>
      </c>
      <c r="S249" s="66">
        <v>12</v>
      </c>
      <c r="U249" s="95">
        <v>23.16</v>
      </c>
      <c r="V249" s="230">
        <v>100.5</v>
      </c>
      <c r="W249" s="66">
        <v>86.5</v>
      </c>
      <c r="X249" s="15">
        <f t="shared" si="38"/>
        <v>14</v>
      </c>
      <c r="Y249" s="63">
        <f t="shared" si="40"/>
        <v>0.16184971098265896</v>
      </c>
      <c r="Z249" s="100" t="s">
        <v>3507</v>
      </c>
      <c r="AA249" s="126"/>
      <c r="AD249" s="22" t="s">
        <v>604</v>
      </c>
      <c r="AE249" s="84">
        <v>44315</v>
      </c>
      <c r="AF249" s="83">
        <v>44328</v>
      </c>
      <c r="AG249" s="33">
        <f t="shared" si="41"/>
        <v>13</v>
      </c>
      <c r="AH249" s="41" t="s">
        <v>1128</v>
      </c>
      <c r="AI249" s="41" t="s">
        <v>1514</v>
      </c>
      <c r="AJ249" s="194"/>
    </row>
    <row r="250" spans="1:37" s="268" customFormat="1">
      <c r="A250" s="146" t="s">
        <v>1759</v>
      </c>
      <c r="B250" s="80">
        <v>-7</v>
      </c>
      <c r="C250" s="79">
        <v>52</v>
      </c>
      <c r="D250" s="79">
        <v>50</v>
      </c>
      <c r="E250" s="79">
        <v>52</v>
      </c>
      <c r="F250" s="6">
        <v>3.9</v>
      </c>
      <c r="G250" s="79">
        <v>6214</v>
      </c>
      <c r="H250" s="30" t="s">
        <v>1469</v>
      </c>
      <c r="I250" s="158" t="s">
        <v>281</v>
      </c>
      <c r="J250" s="73">
        <v>49.45</v>
      </c>
      <c r="K250" s="73">
        <v>15.5</v>
      </c>
      <c r="L250" s="73">
        <v>1.07</v>
      </c>
      <c r="M250" s="318"/>
      <c r="N250" s="333">
        <f t="shared" si="39"/>
        <v>66.02</v>
      </c>
      <c r="O250" s="81">
        <f>IFERROR(VLOOKUP($G250,'321買'!A:E,3,0),"'沒有資料'")</f>
        <v>0</v>
      </c>
      <c r="P250" s="380">
        <f>IFERROR(VLOOKUP($G250,'321買'!$A:$G,7,0),"'沒有資料'")</f>
        <v>911</v>
      </c>
      <c r="Q250" s="302"/>
      <c r="R250" s="297">
        <f>IFERROR(RANK(VLOOKUP($G250,連買!$A:$D,4,0),連買!$D:$D,0),"'沒有資料'")</f>
        <v>1656</v>
      </c>
      <c r="S250" s="197">
        <v>5</v>
      </c>
      <c r="T250" s="354"/>
      <c r="U250" s="95">
        <f>S250/V250</f>
        <v>5.5248618784530384E-2</v>
      </c>
      <c r="V250" s="166">
        <v>90.5</v>
      </c>
      <c r="W250" s="65">
        <v>88.1</v>
      </c>
      <c r="X250" s="167">
        <f t="shared" si="38"/>
        <v>2.4000000000000057</v>
      </c>
      <c r="Y250" s="163">
        <f t="shared" si="40"/>
        <v>2.7241770715096546E-2</v>
      </c>
      <c r="Z250" s="114" t="s">
        <v>3505</v>
      </c>
      <c r="AA250" s="126"/>
      <c r="AB250" s="251"/>
      <c r="AC250" s="410"/>
      <c r="AD250" s="158" t="s">
        <v>281</v>
      </c>
      <c r="AE250" s="84">
        <v>44302</v>
      </c>
      <c r="AF250" s="83">
        <v>44322</v>
      </c>
      <c r="AG250" s="33">
        <f>AF250-AE250</f>
        <v>20</v>
      </c>
      <c r="AH250" s="41" t="s">
        <v>2318</v>
      </c>
      <c r="AI250" s="168"/>
    </row>
    <row r="251" spans="1:37" s="268" customFormat="1">
      <c r="A251" s="130" t="s">
        <v>1661</v>
      </c>
      <c r="B251" s="79">
        <v>44</v>
      </c>
      <c r="C251" s="79">
        <v>42</v>
      </c>
      <c r="D251" s="80">
        <v>-5</v>
      </c>
      <c r="E251" s="79">
        <v>26</v>
      </c>
      <c r="F251" s="57">
        <v>10.09</v>
      </c>
      <c r="G251" s="80">
        <v>4927</v>
      </c>
      <c r="H251" s="30" t="s">
        <v>1469</v>
      </c>
      <c r="I251" s="158" t="s">
        <v>449</v>
      </c>
      <c r="J251" s="323">
        <v>42.4</v>
      </c>
      <c r="K251" s="323">
        <v>12.5</v>
      </c>
      <c r="L251" s="323">
        <v>16.100000000000001</v>
      </c>
      <c r="M251" s="318"/>
      <c r="N251" s="318">
        <f t="shared" si="39"/>
        <v>71</v>
      </c>
      <c r="O251" s="81">
        <f>IFERROR(VLOOKUP($G251,'321買'!A:E,3,0),"'沒有資料'")</f>
        <v>65</v>
      </c>
      <c r="P251" s="380">
        <f>IFERROR(VLOOKUP($G251,'321買'!$A:$G,7,0),"'沒有資料'")</f>
        <v>38</v>
      </c>
      <c r="Q251" s="302"/>
      <c r="R251" s="297">
        <f>IFERROR(RANK(VLOOKUP($G251,連買!$A:$D,4,0),連買!$D:$D,0),"'沒有資料'")</f>
        <v>815</v>
      </c>
      <c r="S251" s="160">
        <v>3</v>
      </c>
      <c r="T251" s="354"/>
      <c r="U251" s="95">
        <v>6.32</v>
      </c>
      <c r="V251" s="166">
        <v>67.3</v>
      </c>
      <c r="W251" s="65">
        <v>67.400000000000006</v>
      </c>
      <c r="X251" s="167">
        <f>V251-W251</f>
        <v>-0.10000000000000853</v>
      </c>
      <c r="Y251" s="169">
        <f t="shared" si="40"/>
        <v>-1.4836795252226784E-3</v>
      </c>
      <c r="Z251" s="173" t="s">
        <v>1981</v>
      </c>
      <c r="AA251" s="126"/>
      <c r="AB251" s="251"/>
      <c r="AC251" s="410"/>
      <c r="AD251" s="158" t="s">
        <v>449</v>
      </c>
      <c r="AE251" s="84">
        <v>44313</v>
      </c>
      <c r="AF251" s="83">
        <v>44322</v>
      </c>
      <c r="AG251" s="33">
        <f>AF251-AE251</f>
        <v>9</v>
      </c>
      <c r="AH251" s="41" t="s">
        <v>1128</v>
      </c>
      <c r="AI251" s="225"/>
      <c r="AJ251" s="226"/>
      <c r="AK251" s="17"/>
    </row>
    <row r="252" spans="1:37" s="268" customFormat="1">
      <c r="A252" s="145"/>
      <c r="B252" s="79"/>
      <c r="C252" s="79"/>
      <c r="D252" s="79"/>
      <c r="E252" s="79"/>
      <c r="F252" s="6"/>
      <c r="G252" s="41"/>
      <c r="H252" s="8"/>
      <c r="I252" s="158"/>
      <c r="J252" s="323"/>
      <c r="K252" s="323"/>
      <c r="L252" s="323"/>
      <c r="M252" s="318"/>
      <c r="N252" s="318"/>
      <c r="O252" s="81"/>
      <c r="P252" s="374"/>
      <c r="Q252" s="302"/>
      <c r="R252" s="151"/>
      <c r="S252" s="197"/>
      <c r="T252" s="354"/>
      <c r="U252" s="95"/>
      <c r="V252" s="166">
        <f>SUM(V192:V251)</f>
        <v>5598.6</v>
      </c>
      <c r="W252" s="65">
        <f>SUM(W192:W251)</f>
        <v>5343.0500000000011</v>
      </c>
      <c r="X252" s="167">
        <f>V252-W252</f>
        <v>255.54999999999927</v>
      </c>
      <c r="Y252" s="163">
        <f t="shared" si="40"/>
        <v>4.782848747438246E-2</v>
      </c>
      <c r="Z252" s="116"/>
      <c r="AA252" s="126"/>
      <c r="AB252" s="251"/>
      <c r="AC252" s="410"/>
      <c r="AD252" s="244">
        <f>V252*(0.001425*0.5)+V252*0.003+W252*(0.001425*0.5)</f>
        <v>24.591725625000002</v>
      </c>
      <c r="AE252" s="6">
        <f>X252-AD252</f>
        <v>230.95827437499926</v>
      </c>
      <c r="AF252" s="83"/>
      <c r="AG252" s="33"/>
      <c r="AH252" s="41"/>
      <c r="AI252" s="168"/>
    </row>
    <row r="253" spans="1:37" s="276" customFormat="1">
      <c r="A253" s="130"/>
      <c r="B253" s="91"/>
      <c r="C253" s="91"/>
      <c r="D253" s="91"/>
      <c r="E253" s="91"/>
      <c r="F253" s="8"/>
      <c r="G253" s="25"/>
      <c r="H253" s="55"/>
      <c r="I253" s="1"/>
      <c r="J253" s="317"/>
      <c r="K253" s="317"/>
      <c r="L253" s="317"/>
      <c r="M253" s="317"/>
      <c r="N253" s="317"/>
      <c r="O253" s="81"/>
      <c r="P253" s="373"/>
      <c r="Q253" s="302"/>
      <c r="R253" s="345"/>
      <c r="S253" s="14"/>
      <c r="T253" s="354"/>
      <c r="U253" s="68"/>
      <c r="V253" s="28"/>
      <c r="W253" s="17"/>
      <c r="X253" s="14"/>
      <c r="Y253" s="21"/>
      <c r="Z253" s="25"/>
      <c r="AA253" s="126"/>
      <c r="AB253" s="251"/>
      <c r="AC253" s="410"/>
      <c r="AD253" s="244">
        <f>V252*(0.001425*0.28)+V252*0.003+W252*(0.001425*0.28)</f>
        <v>21.161518350000001</v>
      </c>
      <c r="AE253" s="71"/>
      <c r="AF253" s="72"/>
      <c r="AG253" s="32"/>
      <c r="AH253" s="46"/>
      <c r="AI253" s="168"/>
    </row>
    <row r="254" spans="1:37" s="276" customFormat="1">
      <c r="A254" s="130"/>
      <c r="B254" s="91"/>
      <c r="C254" s="91"/>
      <c r="D254" s="91"/>
      <c r="E254" s="91"/>
      <c r="F254" s="8"/>
      <c r="G254" s="25"/>
      <c r="H254" s="55"/>
      <c r="I254" s="1"/>
      <c r="J254" s="317"/>
      <c r="K254" s="317"/>
      <c r="L254" s="317"/>
      <c r="M254" s="317"/>
      <c r="N254" s="317"/>
      <c r="O254" s="350"/>
      <c r="P254" s="373"/>
      <c r="Q254" s="302"/>
      <c r="R254" s="345"/>
      <c r="S254" s="14"/>
      <c r="T254" s="354"/>
      <c r="U254" s="68"/>
      <c r="V254" s="28"/>
      <c r="W254" s="17"/>
      <c r="X254" s="14"/>
      <c r="Y254" s="21"/>
      <c r="Z254" s="25"/>
      <c r="AA254" s="126"/>
      <c r="AB254" s="251"/>
      <c r="AC254" s="410"/>
      <c r="AD254" s="244"/>
      <c r="AE254" s="71"/>
      <c r="AF254" s="72"/>
      <c r="AG254" s="32"/>
      <c r="AH254" s="46"/>
      <c r="AI254" s="168"/>
    </row>
    <row r="255" spans="1:37" s="276" customFormat="1">
      <c r="A255" s="130" t="s">
        <v>1732</v>
      </c>
      <c r="B255" s="91" t="s">
        <v>1588</v>
      </c>
      <c r="C255" s="91" t="s">
        <v>1589</v>
      </c>
      <c r="D255" s="91" t="s">
        <v>1590</v>
      </c>
      <c r="E255" s="91" t="s">
        <v>1591</v>
      </c>
      <c r="F255" s="8" t="s">
        <v>1066</v>
      </c>
      <c r="G255" s="26" t="s">
        <v>3691</v>
      </c>
      <c r="H255" s="55" t="s">
        <v>322</v>
      </c>
      <c r="I255" s="1" t="s">
        <v>2425</v>
      </c>
      <c r="J255" s="317" t="s">
        <v>1467</v>
      </c>
      <c r="K255" s="317" t="s">
        <v>1157</v>
      </c>
      <c r="L255" s="317" t="s">
        <v>284</v>
      </c>
      <c r="M255" s="317" t="s">
        <v>1059</v>
      </c>
      <c r="N255" s="317" t="s">
        <v>3834</v>
      </c>
      <c r="O255" s="301" t="s">
        <v>3692</v>
      </c>
      <c r="P255" s="373" t="s">
        <v>5059</v>
      </c>
      <c r="Q255" s="303" t="s">
        <v>3814</v>
      </c>
      <c r="R255" s="345" t="s">
        <v>5059</v>
      </c>
      <c r="S255" s="14" t="s">
        <v>66</v>
      </c>
      <c r="T255" s="351" t="s">
        <v>5076</v>
      </c>
      <c r="U255" s="68" t="s">
        <v>3844</v>
      </c>
      <c r="V255" s="28" t="s">
        <v>3255</v>
      </c>
      <c r="W255" s="17" t="s">
        <v>1405</v>
      </c>
      <c r="X255" s="14" t="s">
        <v>2430</v>
      </c>
      <c r="Y255" s="21" t="s">
        <v>1477</v>
      </c>
      <c r="Z255" s="51" t="s">
        <v>6627</v>
      </c>
      <c r="AA255" s="406" t="s">
        <v>8647</v>
      </c>
      <c r="AB255" s="407" t="s">
        <v>8648</v>
      </c>
      <c r="AC255" s="408" t="s">
        <v>8649</v>
      </c>
      <c r="AD255" s="1" t="s">
        <v>2425</v>
      </c>
      <c r="AE255" s="71" t="s">
        <v>1406</v>
      </c>
      <c r="AF255" s="72" t="s">
        <v>1163</v>
      </c>
      <c r="AG255" s="32" t="s">
        <v>1164</v>
      </c>
      <c r="AH255" s="46" t="s">
        <v>3374</v>
      </c>
      <c r="AI255" s="168"/>
    </row>
    <row r="256" spans="1:37" s="268" customFormat="1">
      <c r="A256" s="146" t="s">
        <v>1996</v>
      </c>
      <c r="B256" s="80">
        <v>-16</v>
      </c>
      <c r="C256" s="79">
        <v>11</v>
      </c>
      <c r="D256" s="79">
        <v>30</v>
      </c>
      <c r="E256" s="79">
        <v>18</v>
      </c>
      <c r="F256" s="6">
        <v>5.99</v>
      </c>
      <c r="G256" s="79">
        <v>1785</v>
      </c>
      <c r="H256" s="30" t="s">
        <v>1469</v>
      </c>
      <c r="I256" s="171" t="s">
        <v>307</v>
      </c>
      <c r="J256" s="73">
        <v>41.4</v>
      </c>
      <c r="K256" s="323">
        <v>14.13</v>
      </c>
      <c r="L256" s="323">
        <v>31.04</v>
      </c>
      <c r="M256" s="318"/>
      <c r="N256" s="318">
        <f>K256+J256+L256</f>
        <v>86.57</v>
      </c>
      <c r="O256" s="81">
        <f>IFERROR(VLOOKUP($G256,'321買'!A:E,3,0),"'沒有資料'")</f>
        <v>12</v>
      </c>
      <c r="P256" s="380">
        <f>IFERROR(VLOOKUP($G256,'321買'!$A:$G,7,0),"'沒有資料'")</f>
        <v>368</v>
      </c>
      <c r="Q256" s="302"/>
      <c r="R256" s="297">
        <f>IFERROR(RANK(VLOOKUP($G256,連買!$A:$D,4,0),連買!$D:$D,0),"'沒有資料'")</f>
        <v>372</v>
      </c>
      <c r="S256" s="197">
        <v>1</v>
      </c>
      <c r="T256" s="354"/>
      <c r="U256" s="95">
        <f t="shared" ref="U256:U265" si="42">S256/V256</f>
        <v>1.7035775127768313E-2</v>
      </c>
      <c r="V256" s="166">
        <v>58.7</v>
      </c>
      <c r="W256" s="160">
        <v>54.5</v>
      </c>
      <c r="X256" s="107">
        <f t="shared" ref="X256:X267" si="43">V256-W256</f>
        <v>4.2000000000000028</v>
      </c>
      <c r="Y256" s="163">
        <f t="shared" ref="Y256:Y267" si="44">X256/W256</f>
        <v>7.7064220183486284E-2</v>
      </c>
      <c r="Z256" s="172" t="s">
        <v>2355</v>
      </c>
      <c r="AA256" s="124"/>
      <c r="AB256" s="251"/>
      <c r="AC256" s="410"/>
      <c r="AD256" s="171" t="s">
        <v>307</v>
      </c>
      <c r="AE256" s="84">
        <v>44309</v>
      </c>
      <c r="AF256" s="83">
        <v>44403</v>
      </c>
      <c r="AG256" s="33">
        <f>AF256-AE256</f>
        <v>94</v>
      </c>
      <c r="AH256" s="41" t="s">
        <v>1128</v>
      </c>
      <c r="AI256" s="225"/>
      <c r="AJ256" s="226"/>
    </row>
    <row r="257" spans="1:46" s="176" customFormat="1" ht="17.100000000000001" customHeight="1">
      <c r="A257" s="41"/>
      <c r="B257" s="80">
        <v>-63</v>
      </c>
      <c r="C257" s="80">
        <v>-76</v>
      </c>
      <c r="D257" s="80">
        <v>-63</v>
      </c>
      <c r="E257" s="80">
        <v>-76</v>
      </c>
      <c r="F257" s="6">
        <v>1.95</v>
      </c>
      <c r="G257" s="79">
        <v>4432</v>
      </c>
      <c r="H257" s="30" t="s">
        <v>1469</v>
      </c>
      <c r="I257" s="171" t="s">
        <v>206</v>
      </c>
      <c r="J257" s="323">
        <v>52.31</v>
      </c>
      <c r="K257" s="323">
        <v>0.64</v>
      </c>
      <c r="L257" s="73">
        <v>6.93</v>
      </c>
      <c r="M257" s="318"/>
      <c r="N257" s="318">
        <f>R257+K257+J257+L257</f>
        <v>1218.8800000000001</v>
      </c>
      <c r="O257" s="81">
        <f>IFERROR(VLOOKUP($G257,'321買'!A:E,3,0),"'沒有資料'")</f>
        <v>0</v>
      </c>
      <c r="P257" s="380">
        <f>IFERROR(VLOOKUP($G257,'321買'!$A:$G,7,0),"'沒有資料'")</f>
        <v>911</v>
      </c>
      <c r="Q257" s="302"/>
      <c r="R257" s="297">
        <f>IFERROR(RANK(VLOOKUP($G257,連買!$A:$D,4,0),連買!$D:$D,0),"'沒有資料'")</f>
        <v>1159</v>
      </c>
      <c r="S257" s="197">
        <v>1.1599999999999999</v>
      </c>
      <c r="T257" s="354"/>
      <c r="U257" s="57">
        <f t="shared" si="42"/>
        <v>6.2533692722371956E-2</v>
      </c>
      <c r="V257" s="170">
        <v>18.55</v>
      </c>
      <c r="W257" s="65">
        <v>17</v>
      </c>
      <c r="X257" s="167">
        <f t="shared" si="43"/>
        <v>1.5500000000000007</v>
      </c>
      <c r="Y257" s="163">
        <f t="shared" si="44"/>
        <v>9.1176470588235331E-2</v>
      </c>
      <c r="Z257" s="172" t="s">
        <v>3474</v>
      </c>
      <c r="AA257" s="126"/>
      <c r="AB257" s="251"/>
      <c r="AC257" s="410"/>
      <c r="AD257" s="171" t="s">
        <v>206</v>
      </c>
      <c r="AE257" s="84">
        <v>44252</v>
      </c>
      <c r="AF257" s="83">
        <v>44308</v>
      </c>
      <c r="AG257" s="33">
        <f>AF257-AE257</f>
        <v>56</v>
      </c>
      <c r="AH257" s="41" t="s">
        <v>1128</v>
      </c>
      <c r="AI257" s="27"/>
      <c r="AJ257" s="17"/>
      <c r="AK257" s="11"/>
      <c r="AL257" s="11"/>
      <c r="AM257" s="11"/>
      <c r="AN257" s="11"/>
      <c r="AO257" s="268"/>
      <c r="AP257" s="268"/>
      <c r="AR257" s="4"/>
      <c r="AS257" s="268"/>
      <c r="AT257" s="268"/>
    </row>
    <row r="258" spans="1:46" s="176" customFormat="1" ht="17.100000000000001" customHeight="1">
      <c r="A258" s="41"/>
      <c r="B258" s="80">
        <v>-63</v>
      </c>
      <c r="C258" s="80">
        <v>-76</v>
      </c>
      <c r="D258" s="80">
        <v>-63</v>
      </c>
      <c r="E258" s="80">
        <v>-76</v>
      </c>
      <c r="F258" s="6">
        <v>1.95</v>
      </c>
      <c r="G258" s="79">
        <v>4432</v>
      </c>
      <c r="H258" s="30" t="s">
        <v>1469</v>
      </c>
      <c r="I258" s="171" t="s">
        <v>206</v>
      </c>
      <c r="J258" s="323">
        <v>52.31</v>
      </c>
      <c r="K258" s="323">
        <v>0.64</v>
      </c>
      <c r="L258" s="73">
        <v>6.93</v>
      </c>
      <c r="M258" s="318"/>
      <c r="N258" s="318">
        <f>R258+K258+J258+L258</f>
        <v>1218.8800000000001</v>
      </c>
      <c r="O258" s="81">
        <f>IFERROR(VLOOKUP($G258,'321買'!A:E,3,0),"'沒有資料'")</f>
        <v>0</v>
      </c>
      <c r="P258" s="380">
        <f>IFERROR(VLOOKUP($G258,'321買'!$A:$G,7,0),"'沒有資料'")</f>
        <v>911</v>
      </c>
      <c r="Q258" s="302"/>
      <c r="R258" s="297">
        <f>IFERROR(RANK(VLOOKUP($G258,連買!$A:$D,4,0),連買!$D:$D,0),"'沒有資料'")</f>
        <v>1159</v>
      </c>
      <c r="S258" s="197">
        <v>1.1599999999999999</v>
      </c>
      <c r="T258" s="354"/>
      <c r="U258" s="57">
        <f t="shared" si="42"/>
        <v>6.2702702702702701E-2</v>
      </c>
      <c r="V258" s="170">
        <v>18.5</v>
      </c>
      <c r="W258" s="65">
        <v>17.350000000000001</v>
      </c>
      <c r="X258" s="167">
        <f t="shared" si="43"/>
        <v>1.1499999999999986</v>
      </c>
      <c r="Y258" s="163">
        <f t="shared" si="44"/>
        <v>6.6282420749279453E-2</v>
      </c>
      <c r="Z258" s="172" t="s">
        <v>3475</v>
      </c>
      <c r="AA258" s="126"/>
      <c r="AB258" s="251"/>
      <c r="AC258" s="410"/>
      <c r="AD258" s="171" t="s">
        <v>206</v>
      </c>
      <c r="AE258" s="84">
        <v>44252</v>
      </c>
      <c r="AF258" s="83">
        <v>44308</v>
      </c>
      <c r="AG258" s="33">
        <f>AF258-AE258</f>
        <v>56</v>
      </c>
      <c r="AH258" s="41" t="s">
        <v>1128</v>
      </c>
      <c r="AI258" s="27"/>
      <c r="AJ258" s="17"/>
      <c r="AK258" s="11"/>
      <c r="AL258" s="11"/>
      <c r="AM258" s="11"/>
      <c r="AN258" s="11"/>
      <c r="AO258" s="268"/>
      <c r="AP258" s="268"/>
      <c r="AR258" s="4"/>
      <c r="AS258" s="268"/>
      <c r="AT258" s="268"/>
    </row>
    <row r="259" spans="1:46" s="268" customFormat="1">
      <c r="A259" s="146" t="s">
        <v>1686</v>
      </c>
      <c r="B259" s="80">
        <v>-63</v>
      </c>
      <c r="C259" s="80">
        <v>-65</v>
      </c>
      <c r="D259" s="80">
        <v>-8</v>
      </c>
      <c r="E259" s="79">
        <v>21</v>
      </c>
      <c r="F259" s="6">
        <v>8.69</v>
      </c>
      <c r="G259" s="79">
        <v>3265</v>
      </c>
      <c r="H259" s="30" t="s">
        <v>1469</v>
      </c>
      <c r="I259" s="171" t="s">
        <v>2415</v>
      </c>
      <c r="J259" s="323">
        <v>58.75</v>
      </c>
      <c r="K259" s="323">
        <v>59.96</v>
      </c>
      <c r="L259" s="73">
        <v>8.64</v>
      </c>
      <c r="M259" s="318"/>
      <c r="N259" s="73">
        <f t="shared" ref="N259:N267" si="45">K259+J259+L259</f>
        <v>127.35000000000001</v>
      </c>
      <c r="O259" s="81">
        <f>IFERROR(VLOOKUP($G259,'321買'!A:E,3,0),"'沒有資料'")</f>
        <v>1</v>
      </c>
      <c r="P259" s="380">
        <f>IFERROR(VLOOKUP($G259,'321買'!$A:$G,7,0),"'沒有資料'")</f>
        <v>783</v>
      </c>
      <c r="Q259" s="302"/>
      <c r="R259" s="297">
        <f>IFERROR(RANK(VLOOKUP($G259,連買!$A:$D,4,0),連買!$D:$D,0),"'沒有資料'")</f>
        <v>590</v>
      </c>
      <c r="S259" s="197">
        <v>1.23</v>
      </c>
      <c r="T259" s="354"/>
      <c r="U259" s="57">
        <f t="shared" si="42"/>
        <v>3.7500000000000006E-2</v>
      </c>
      <c r="V259" s="170">
        <v>32.799999999999997</v>
      </c>
      <c r="W259" s="65">
        <v>32.1</v>
      </c>
      <c r="X259" s="167">
        <f t="shared" si="43"/>
        <v>0.69999999999999574</v>
      </c>
      <c r="Y259" s="163">
        <f t="shared" si="44"/>
        <v>2.1806853582554384E-2</v>
      </c>
      <c r="Z259" s="172" t="s">
        <v>3473</v>
      </c>
      <c r="AA259" s="126"/>
      <c r="AB259" s="251"/>
      <c r="AC259" s="410"/>
      <c r="AD259" s="171" t="s">
        <v>2415</v>
      </c>
      <c r="AE259" s="84">
        <v>44300</v>
      </c>
      <c r="AF259" s="83">
        <v>44308</v>
      </c>
      <c r="AG259" s="33">
        <f>AF259-AE259</f>
        <v>8</v>
      </c>
      <c r="AH259" s="41" t="s">
        <v>1128</v>
      </c>
      <c r="AI259" s="192"/>
      <c r="AJ259" s="191"/>
    </row>
    <row r="260" spans="1:46" s="268" customFormat="1">
      <c r="A260" s="146" t="s">
        <v>3427</v>
      </c>
      <c r="B260" s="79">
        <v>31</v>
      </c>
      <c r="C260" s="79">
        <v>8</v>
      </c>
      <c r="D260" s="79">
        <v>29</v>
      </c>
      <c r="E260" s="79">
        <v>22</v>
      </c>
      <c r="F260" s="6">
        <v>4.18</v>
      </c>
      <c r="G260" s="79">
        <v>6214</v>
      </c>
      <c r="H260" s="30" t="s">
        <v>3371</v>
      </c>
      <c r="I260" s="158" t="s">
        <v>3428</v>
      </c>
      <c r="J260" s="73">
        <v>49.45</v>
      </c>
      <c r="K260" s="73">
        <v>15.5</v>
      </c>
      <c r="L260" s="73">
        <v>1.07</v>
      </c>
      <c r="M260" s="318"/>
      <c r="N260" s="333">
        <f t="shared" si="45"/>
        <v>66.02</v>
      </c>
      <c r="O260" s="81">
        <f>IFERROR(VLOOKUP($G260,'321買'!A:E,3,0),"'沒有資料'")</f>
        <v>0</v>
      </c>
      <c r="P260" s="380">
        <f>IFERROR(VLOOKUP($G260,'321買'!$A:$G,7,0),"'沒有資料'")</f>
        <v>911</v>
      </c>
      <c r="Q260" s="302"/>
      <c r="R260" s="297">
        <f>IFERROR(RANK(VLOOKUP($G260,連買!$A:$D,4,0),連買!$D:$D,0),"'沒有資料'")</f>
        <v>1656</v>
      </c>
      <c r="S260" s="197">
        <v>5</v>
      </c>
      <c r="T260" s="354"/>
      <c r="U260" s="95">
        <f t="shared" si="42"/>
        <v>5.5248618784530384E-2</v>
      </c>
      <c r="V260" s="166">
        <v>90.5</v>
      </c>
      <c r="W260" s="65">
        <v>87.5</v>
      </c>
      <c r="X260" s="167">
        <f t="shared" si="43"/>
        <v>3</v>
      </c>
      <c r="Y260" s="163">
        <f t="shared" si="44"/>
        <v>3.4285714285714287E-2</v>
      </c>
      <c r="Z260" s="114" t="s">
        <v>2178</v>
      </c>
      <c r="AA260" s="126"/>
      <c r="AB260" s="251"/>
      <c r="AC260" s="410"/>
      <c r="AD260" s="158" t="s">
        <v>3428</v>
      </c>
      <c r="AE260" s="84">
        <v>44182</v>
      </c>
      <c r="AF260" s="83">
        <v>44308</v>
      </c>
      <c r="AG260" s="77">
        <f t="shared" ref="AG260:AG265" si="46">AF260-AE260</f>
        <v>126</v>
      </c>
      <c r="AH260" s="41" t="s">
        <v>3092</v>
      </c>
      <c r="AI260" s="168"/>
    </row>
    <row r="261" spans="1:46" s="268" customFormat="1" ht="15.75" customHeight="1">
      <c r="A261" s="130" t="s">
        <v>2215</v>
      </c>
      <c r="B261" s="79">
        <v>1</v>
      </c>
      <c r="C261" s="79">
        <v>5</v>
      </c>
      <c r="D261" s="79">
        <v>22</v>
      </c>
      <c r="E261" s="80">
        <v>-1</v>
      </c>
      <c r="F261" s="57">
        <v>12.6</v>
      </c>
      <c r="G261" s="79">
        <v>6274</v>
      </c>
      <c r="H261" s="30" t="s">
        <v>1469</v>
      </c>
      <c r="I261" s="171" t="s">
        <v>3326</v>
      </c>
      <c r="J261" s="73">
        <v>64.08</v>
      </c>
      <c r="K261" s="323">
        <v>53.55</v>
      </c>
      <c r="L261" s="323">
        <v>6.34</v>
      </c>
      <c r="M261" s="318"/>
      <c r="N261" s="73">
        <f t="shared" si="45"/>
        <v>123.97</v>
      </c>
      <c r="O261" s="81">
        <f>IFERROR(VLOOKUP($G261,'321買'!A:E,3,0),"'沒有資料'")</f>
        <v>10</v>
      </c>
      <c r="P261" s="380">
        <f>IFERROR(VLOOKUP($G261,'321買'!$A:$G,7,0),"'沒有資料'")</f>
        <v>433</v>
      </c>
      <c r="Q261" s="302"/>
      <c r="R261" s="297">
        <f>IFERROR(RANK(VLOOKUP($G261,連買!$A:$D,4,0),連買!$D:$D,0),"'沒有資料'")</f>
        <v>1195</v>
      </c>
      <c r="S261" s="65">
        <v>4.8</v>
      </c>
      <c r="T261" s="354"/>
      <c r="U261" s="57">
        <f t="shared" si="42"/>
        <v>0.04</v>
      </c>
      <c r="V261" s="170">
        <v>120</v>
      </c>
      <c r="W261" s="65">
        <f>125-4.8</f>
        <v>120.2</v>
      </c>
      <c r="X261" s="167">
        <f t="shared" si="43"/>
        <v>-0.20000000000000284</v>
      </c>
      <c r="Y261" s="169">
        <f t="shared" si="44"/>
        <v>-1.6638935108153315E-3</v>
      </c>
      <c r="Z261" s="173" t="s">
        <v>3471</v>
      </c>
      <c r="AA261" s="126"/>
      <c r="AB261" s="251"/>
      <c r="AC261" s="410"/>
      <c r="AD261" s="171" t="s">
        <v>3326</v>
      </c>
      <c r="AE261" s="84">
        <v>44307</v>
      </c>
      <c r="AF261" s="83">
        <v>44308</v>
      </c>
      <c r="AG261" s="33">
        <f t="shared" si="46"/>
        <v>1</v>
      </c>
      <c r="AH261" s="41" t="s">
        <v>1128</v>
      </c>
      <c r="AJ261" s="277"/>
    </row>
    <row r="262" spans="1:46" s="268" customFormat="1" ht="15.75" customHeight="1">
      <c r="A262" s="130" t="s">
        <v>2215</v>
      </c>
      <c r="B262" s="79">
        <v>1</v>
      </c>
      <c r="C262" s="79">
        <v>5</v>
      </c>
      <c r="D262" s="79">
        <v>22</v>
      </c>
      <c r="E262" s="80">
        <v>-1</v>
      </c>
      <c r="F262" s="57">
        <v>12.6</v>
      </c>
      <c r="G262" s="79">
        <v>6274</v>
      </c>
      <c r="H262" s="30" t="s">
        <v>1469</v>
      </c>
      <c r="I262" s="171" t="s">
        <v>3326</v>
      </c>
      <c r="J262" s="73">
        <v>64.08</v>
      </c>
      <c r="K262" s="323">
        <v>53.55</v>
      </c>
      <c r="L262" s="323">
        <v>6.34</v>
      </c>
      <c r="M262" s="318"/>
      <c r="N262" s="73">
        <f t="shared" si="45"/>
        <v>123.97</v>
      </c>
      <c r="O262" s="81">
        <f>IFERROR(VLOOKUP($G262,'321買'!A:E,3,0),"'沒有資料'")</f>
        <v>10</v>
      </c>
      <c r="P262" s="380">
        <f>IFERROR(VLOOKUP($G262,'321買'!$A:$G,7,0),"'沒有資料'")</f>
        <v>433</v>
      </c>
      <c r="Q262" s="302"/>
      <c r="R262" s="297">
        <f>IFERROR(RANK(VLOOKUP($G262,連買!$A:$D,4,0),連買!$D:$D,0),"'沒有資料'")</f>
        <v>1195</v>
      </c>
      <c r="S262" s="65">
        <v>4.8</v>
      </c>
      <c r="T262" s="354"/>
      <c r="U262" s="57">
        <f t="shared" si="42"/>
        <v>0.04</v>
      </c>
      <c r="V262" s="170">
        <v>120</v>
      </c>
      <c r="W262" s="65">
        <f>124-4.8</f>
        <v>119.2</v>
      </c>
      <c r="X262" s="167">
        <f t="shared" si="43"/>
        <v>0.79999999999999716</v>
      </c>
      <c r="Y262" s="163">
        <f t="shared" si="44"/>
        <v>6.7114093959731299E-3</v>
      </c>
      <c r="Z262" s="172" t="s">
        <v>3472</v>
      </c>
      <c r="AA262" s="124"/>
      <c r="AB262" s="251"/>
      <c r="AC262" s="410"/>
      <c r="AD262" s="171" t="s">
        <v>3326</v>
      </c>
      <c r="AE262" s="84">
        <v>44301</v>
      </c>
      <c r="AF262" s="83">
        <v>44308</v>
      </c>
      <c r="AG262" s="33">
        <f t="shared" si="46"/>
        <v>7</v>
      </c>
      <c r="AH262" s="41" t="s">
        <v>1128</v>
      </c>
      <c r="AJ262" s="277"/>
    </row>
    <row r="263" spans="1:46" s="268" customFormat="1">
      <c r="A263" s="146" t="s">
        <v>1820</v>
      </c>
      <c r="B263" s="79">
        <v>22</v>
      </c>
      <c r="C263" s="79">
        <v>12</v>
      </c>
      <c r="D263" s="80">
        <v>-34</v>
      </c>
      <c r="E263" s="80">
        <v>-34</v>
      </c>
      <c r="F263" s="6">
        <v>1.36</v>
      </c>
      <c r="G263" s="80">
        <v>4938</v>
      </c>
      <c r="H263" s="30" t="s">
        <v>1469</v>
      </c>
      <c r="I263" s="158" t="s">
        <v>13</v>
      </c>
      <c r="J263" s="323">
        <v>68.59</v>
      </c>
      <c r="K263" s="323">
        <v>33.18</v>
      </c>
      <c r="L263" s="323">
        <v>3.52</v>
      </c>
      <c r="M263" s="318"/>
      <c r="N263" s="73">
        <f t="shared" si="45"/>
        <v>105.29</v>
      </c>
      <c r="O263" s="81">
        <f>IFERROR(VLOOKUP($G263,'321買'!A:E,3,0),"'沒有資料'")</f>
        <v>1</v>
      </c>
      <c r="P263" s="380">
        <f>IFERROR(VLOOKUP($G263,'321買'!$A:$G,7,0),"'沒有資料'")</f>
        <v>783</v>
      </c>
      <c r="Q263" s="302"/>
      <c r="R263" s="297">
        <f>IFERROR(RANK(VLOOKUP($G263,連買!$A:$D,4,0),連買!$D:$D,0),"'沒有資料'")</f>
        <v>92</v>
      </c>
      <c r="S263" s="197">
        <v>4.5</v>
      </c>
      <c r="T263" s="354"/>
      <c r="U263" s="57">
        <f t="shared" si="42"/>
        <v>0.06</v>
      </c>
      <c r="V263" s="166">
        <v>75</v>
      </c>
      <c r="W263" s="65">
        <v>74.3</v>
      </c>
      <c r="X263" s="167">
        <f t="shared" si="43"/>
        <v>0.70000000000000284</v>
      </c>
      <c r="Y263" s="163">
        <f t="shared" si="44"/>
        <v>9.4212651413190154E-3</v>
      </c>
      <c r="Z263" s="100" t="s">
        <v>1501</v>
      </c>
      <c r="AA263" s="126"/>
      <c r="AB263" s="251"/>
      <c r="AC263" s="410"/>
      <c r="AD263" s="158" t="s">
        <v>13</v>
      </c>
      <c r="AE263" s="84">
        <v>44307</v>
      </c>
      <c r="AF263" s="83">
        <v>44308</v>
      </c>
      <c r="AG263" s="33">
        <f t="shared" si="46"/>
        <v>1</v>
      </c>
      <c r="AH263" s="41" t="s">
        <v>1128</v>
      </c>
    </row>
    <row r="264" spans="1:46" s="268" customFormat="1">
      <c r="A264" s="146" t="s">
        <v>1820</v>
      </c>
      <c r="B264" s="79">
        <v>22</v>
      </c>
      <c r="C264" s="79">
        <v>12</v>
      </c>
      <c r="D264" s="80">
        <v>-34</v>
      </c>
      <c r="E264" s="80">
        <v>-34</v>
      </c>
      <c r="F264" s="6">
        <v>1.36</v>
      </c>
      <c r="G264" s="80">
        <v>4938</v>
      </c>
      <c r="H264" s="30" t="s">
        <v>1469</v>
      </c>
      <c r="I264" s="158" t="s">
        <v>13</v>
      </c>
      <c r="J264" s="323">
        <v>68.59</v>
      </c>
      <c r="K264" s="323">
        <v>33.18</v>
      </c>
      <c r="L264" s="323">
        <v>3.52</v>
      </c>
      <c r="M264" s="318"/>
      <c r="N264" s="73">
        <f t="shared" si="45"/>
        <v>105.29</v>
      </c>
      <c r="O264" s="81">
        <f>IFERROR(VLOOKUP($G264,'321買'!A:E,3,0),"'沒有資料'")</f>
        <v>1</v>
      </c>
      <c r="P264" s="380">
        <f>IFERROR(VLOOKUP($G264,'321買'!$A:$G,7,0),"'沒有資料'")</f>
        <v>783</v>
      </c>
      <c r="Q264" s="302"/>
      <c r="R264" s="297">
        <f>IFERROR(RANK(VLOOKUP($G264,連買!$A:$D,4,0),連買!$D:$D,0),"'沒有資料'")</f>
        <v>92</v>
      </c>
      <c r="S264" s="197">
        <v>4.5</v>
      </c>
      <c r="T264" s="354"/>
      <c r="U264" s="57">
        <f t="shared" si="42"/>
        <v>0.06</v>
      </c>
      <c r="V264" s="166">
        <v>75</v>
      </c>
      <c r="W264" s="65">
        <v>72.8</v>
      </c>
      <c r="X264" s="167">
        <f t="shared" si="43"/>
        <v>2.2000000000000028</v>
      </c>
      <c r="Y264" s="163">
        <f t="shared" si="44"/>
        <v>3.0219780219780262E-2</v>
      </c>
      <c r="Z264" s="100" t="s">
        <v>1722</v>
      </c>
      <c r="AA264" s="126"/>
      <c r="AB264" s="251"/>
      <c r="AC264" s="410"/>
      <c r="AD264" s="158" t="s">
        <v>13</v>
      </c>
      <c r="AE264" s="84">
        <v>44298</v>
      </c>
      <c r="AF264" s="83">
        <v>44308</v>
      </c>
      <c r="AG264" s="33">
        <f t="shared" si="46"/>
        <v>10</v>
      </c>
      <c r="AH264" s="41" t="s">
        <v>1128</v>
      </c>
    </row>
    <row r="265" spans="1:46" s="268" customFormat="1">
      <c r="A265" s="146" t="s">
        <v>3420</v>
      </c>
      <c r="B265" s="79">
        <v>22</v>
      </c>
      <c r="C265" s="79">
        <v>12</v>
      </c>
      <c r="D265" s="80">
        <v>-34</v>
      </c>
      <c r="E265" s="80">
        <v>-34</v>
      </c>
      <c r="F265" s="6">
        <v>1.36</v>
      </c>
      <c r="G265" s="80">
        <v>4938</v>
      </c>
      <c r="H265" s="30" t="s">
        <v>3371</v>
      </c>
      <c r="I265" s="158" t="s">
        <v>13</v>
      </c>
      <c r="J265" s="323">
        <v>68.59</v>
      </c>
      <c r="K265" s="323">
        <v>33.18</v>
      </c>
      <c r="L265" s="323">
        <v>3.52</v>
      </c>
      <c r="M265" s="318"/>
      <c r="N265" s="73">
        <f t="shared" si="45"/>
        <v>105.29</v>
      </c>
      <c r="O265" s="81">
        <f>IFERROR(VLOOKUP($G265,'321買'!A:E,3,0),"'沒有資料'")</f>
        <v>1</v>
      </c>
      <c r="P265" s="380">
        <f>IFERROR(VLOOKUP($G265,'321買'!$A:$G,7,0),"'沒有資料'")</f>
        <v>783</v>
      </c>
      <c r="Q265" s="302"/>
      <c r="R265" s="297">
        <f>IFERROR(RANK(VLOOKUP($G265,連買!$A:$D,4,0),連買!$D:$D,0),"'沒有資料'")</f>
        <v>92</v>
      </c>
      <c r="S265" s="197">
        <v>4.5</v>
      </c>
      <c r="T265" s="354"/>
      <c r="U265" s="57">
        <f t="shared" si="42"/>
        <v>0.06</v>
      </c>
      <c r="V265" s="166">
        <v>75</v>
      </c>
      <c r="W265" s="65">
        <v>73.900000000000006</v>
      </c>
      <c r="X265" s="167">
        <f t="shared" si="43"/>
        <v>1.0999999999999943</v>
      </c>
      <c r="Y265" s="163">
        <f t="shared" si="44"/>
        <v>1.4884979702300329E-2</v>
      </c>
      <c r="Z265" s="100" t="s">
        <v>3470</v>
      </c>
      <c r="AA265" s="126"/>
      <c r="AB265" s="251"/>
      <c r="AC265" s="410"/>
      <c r="AD265" s="158" t="s">
        <v>13</v>
      </c>
      <c r="AE265" s="84">
        <v>44294</v>
      </c>
      <c r="AF265" s="83">
        <v>44308</v>
      </c>
      <c r="AG265" s="33">
        <f t="shared" si="46"/>
        <v>14</v>
      </c>
      <c r="AH265" s="41" t="s">
        <v>3107</v>
      </c>
    </row>
    <row r="266" spans="1:46" s="268" customFormat="1">
      <c r="A266" s="146">
        <v>29.4</v>
      </c>
      <c r="B266" s="79">
        <v>2</v>
      </c>
      <c r="C266" s="80">
        <v>-3</v>
      </c>
      <c r="D266" s="79">
        <v>21</v>
      </c>
      <c r="E266" s="79">
        <v>1</v>
      </c>
      <c r="F266" s="6">
        <v>8.85</v>
      </c>
      <c r="G266" s="79">
        <v>1702</v>
      </c>
      <c r="H266" s="30" t="s">
        <v>1469</v>
      </c>
      <c r="I266" s="158" t="s">
        <v>3409</v>
      </c>
      <c r="J266" s="323">
        <v>65.819999999999993</v>
      </c>
      <c r="K266" s="73">
        <v>15.88</v>
      </c>
      <c r="L266" s="73">
        <v>0.92</v>
      </c>
      <c r="M266" s="318"/>
      <c r="N266" s="318">
        <f t="shared" si="45"/>
        <v>82.61999999999999</v>
      </c>
      <c r="O266" s="81">
        <f>IFERROR(VLOOKUP($G266,'321買'!A:E,3,0),"'沒有資料'")</f>
        <v>0</v>
      </c>
      <c r="P266" s="380">
        <f>IFERROR(VLOOKUP($G266,'321買'!$A:$G,7,0),"'沒有資料'")</f>
        <v>911</v>
      </c>
      <c r="Q266" s="302"/>
      <c r="R266" s="297">
        <f>IFERROR(RANK(VLOOKUP($G266,連買!$A:$D,4,0),連買!$D:$D,0),"'沒有資料'")</f>
        <v>538</v>
      </c>
      <c r="S266" s="197">
        <v>2</v>
      </c>
      <c r="T266" s="354"/>
      <c r="U266" s="95">
        <f t="shared" ref="U266:U274" si="47">S266/V266</f>
        <v>3.6832412523020261E-2</v>
      </c>
      <c r="V266" s="166">
        <v>54.3</v>
      </c>
      <c r="W266" s="65">
        <v>47.65</v>
      </c>
      <c r="X266" s="167">
        <f t="shared" si="43"/>
        <v>6.6499999999999986</v>
      </c>
      <c r="Y266" s="163">
        <f t="shared" si="44"/>
        <v>0.1395592864637985</v>
      </c>
      <c r="Z266" s="114" t="s">
        <v>3466</v>
      </c>
      <c r="AA266" s="126"/>
      <c r="AB266" s="251"/>
      <c r="AC266" s="410"/>
      <c r="AD266" s="158" t="s">
        <v>3409</v>
      </c>
      <c r="AE266" s="84">
        <v>44211</v>
      </c>
      <c r="AF266" s="83">
        <v>44307</v>
      </c>
      <c r="AG266" s="33">
        <f t="shared" ref="AG266:AG274" si="48">AF266-AE266</f>
        <v>96</v>
      </c>
      <c r="AH266" s="41" t="s">
        <v>1128</v>
      </c>
    </row>
    <row r="267" spans="1:46" s="268" customFormat="1">
      <c r="A267" s="146">
        <v>29.4</v>
      </c>
      <c r="B267" s="79">
        <v>2</v>
      </c>
      <c r="C267" s="80">
        <v>-3</v>
      </c>
      <c r="D267" s="79">
        <v>21</v>
      </c>
      <c r="E267" s="79">
        <v>1</v>
      </c>
      <c r="F267" s="6">
        <v>8.85</v>
      </c>
      <c r="G267" s="79">
        <v>1702</v>
      </c>
      <c r="H267" s="30" t="s">
        <v>1469</v>
      </c>
      <c r="I267" s="158" t="s">
        <v>3409</v>
      </c>
      <c r="J267" s="323">
        <v>65.819999999999993</v>
      </c>
      <c r="K267" s="73">
        <v>15.88</v>
      </c>
      <c r="L267" s="73">
        <v>0.92</v>
      </c>
      <c r="M267" s="318"/>
      <c r="N267" s="318">
        <f t="shared" si="45"/>
        <v>82.61999999999999</v>
      </c>
      <c r="O267" s="81">
        <f>IFERROR(VLOOKUP($G267,'321買'!A:E,3,0),"'沒有資料'")</f>
        <v>0</v>
      </c>
      <c r="P267" s="380">
        <f>IFERROR(VLOOKUP($G267,'321買'!$A:$G,7,0),"'沒有資料'")</f>
        <v>911</v>
      </c>
      <c r="Q267" s="302"/>
      <c r="R267" s="297">
        <f>IFERROR(RANK(VLOOKUP($G267,連買!$A:$D,4,0),連買!$D:$D,0),"'沒有資料'")</f>
        <v>538</v>
      </c>
      <c r="S267" s="197">
        <v>2</v>
      </c>
      <c r="T267" s="354"/>
      <c r="U267" s="95">
        <f t="shared" si="47"/>
        <v>3.6832412523020261E-2</v>
      </c>
      <c r="V267" s="166">
        <v>54.3</v>
      </c>
      <c r="W267" s="65">
        <v>47.45</v>
      </c>
      <c r="X267" s="167">
        <f t="shared" si="43"/>
        <v>6.8499999999999943</v>
      </c>
      <c r="Y267" s="163">
        <f t="shared" si="44"/>
        <v>0.14436248682824013</v>
      </c>
      <c r="Z267" s="114" t="s">
        <v>3467</v>
      </c>
      <c r="AA267" s="126"/>
      <c r="AB267" s="251"/>
      <c r="AC267" s="410"/>
      <c r="AD267" s="158" t="s">
        <v>3409</v>
      </c>
      <c r="AE267" s="84">
        <v>44211</v>
      </c>
      <c r="AF267" s="83">
        <v>44307</v>
      </c>
      <c r="AG267" s="33">
        <f t="shared" si="48"/>
        <v>96</v>
      </c>
      <c r="AH267" s="41" t="s">
        <v>1128</v>
      </c>
    </row>
    <row r="268" spans="1:46" s="176" customFormat="1" ht="17.100000000000001" customHeight="1">
      <c r="A268" s="41"/>
      <c r="B268" s="80">
        <v>-10</v>
      </c>
      <c r="C268" s="79">
        <v>15</v>
      </c>
      <c r="D268" s="80">
        <v>-10</v>
      </c>
      <c r="E268" s="79">
        <v>15</v>
      </c>
      <c r="F268" s="6">
        <v>7.76</v>
      </c>
      <c r="G268" s="81">
        <v>1702</v>
      </c>
      <c r="H268" s="8" t="s">
        <v>1409</v>
      </c>
      <c r="I268" s="158" t="s">
        <v>3409</v>
      </c>
      <c r="J268" s="323">
        <v>76.64</v>
      </c>
      <c r="K268" s="323">
        <v>19.91</v>
      </c>
      <c r="L268" s="323">
        <v>0.57999999999999996</v>
      </c>
      <c r="M268" s="318"/>
      <c r="N268" s="318">
        <f t="shared" ref="N268:N274" si="49">R268+K268+J268+L268</f>
        <v>635.13</v>
      </c>
      <c r="O268" s="81">
        <f>IFERROR(VLOOKUP($G268,'321買'!A:E,3,0),"'沒有資料'")</f>
        <v>0</v>
      </c>
      <c r="P268" s="380">
        <f>IFERROR(VLOOKUP($G268,'321買'!$A:$G,7,0),"'沒有資料'")</f>
        <v>911</v>
      </c>
      <c r="Q268" s="302"/>
      <c r="R268" s="297">
        <f>IFERROR(RANK(VLOOKUP($G268,連買!$A:$D,4,0),連買!$D:$D,0),"'沒有資料'")</f>
        <v>538</v>
      </c>
      <c r="S268" s="197">
        <v>2.7</v>
      </c>
      <c r="T268" s="354"/>
      <c r="U268" s="57">
        <f t="shared" si="47"/>
        <v>4.9723756906077353E-2</v>
      </c>
      <c r="V268" s="170">
        <v>54.3</v>
      </c>
      <c r="W268" s="65">
        <f>62.88-2.8-2.7-2.7-2</f>
        <v>52.68</v>
      </c>
      <c r="X268" s="107">
        <f t="shared" ref="X268:X274" si="50">V268-W268</f>
        <v>1.6199999999999974</v>
      </c>
      <c r="Y268" s="163">
        <f t="shared" ref="Y268:Y274" si="51">X268/W268</f>
        <v>3.0751708428245966E-2</v>
      </c>
      <c r="Z268" s="114" t="s">
        <v>3165</v>
      </c>
      <c r="AA268" s="126"/>
      <c r="AB268" s="251"/>
      <c r="AC268" s="410"/>
      <c r="AD268" s="158" t="s">
        <v>3409</v>
      </c>
      <c r="AE268" s="84">
        <v>42745</v>
      </c>
      <c r="AF268" s="83">
        <v>44307</v>
      </c>
      <c r="AG268" s="138">
        <f t="shared" si="48"/>
        <v>1562</v>
      </c>
      <c r="AH268" s="41" t="s">
        <v>1128</v>
      </c>
      <c r="AI268" s="27"/>
      <c r="AJ268" s="17"/>
      <c r="AK268" s="17"/>
      <c r="AL268" s="17"/>
      <c r="AM268" s="17"/>
      <c r="AN268" s="17"/>
      <c r="AO268" s="268"/>
      <c r="AP268" s="268"/>
    </row>
    <row r="269" spans="1:46" s="176" customFormat="1" ht="17.100000000000001" customHeight="1">
      <c r="A269" s="41"/>
      <c r="B269" s="80">
        <v>-10</v>
      </c>
      <c r="C269" s="79">
        <v>15</v>
      </c>
      <c r="D269" s="80">
        <v>-10</v>
      </c>
      <c r="E269" s="79">
        <v>15</v>
      </c>
      <c r="F269" s="6">
        <v>7.76</v>
      </c>
      <c r="G269" s="81">
        <v>1702</v>
      </c>
      <c r="H269" s="8" t="s">
        <v>1409</v>
      </c>
      <c r="I269" s="158" t="s">
        <v>3409</v>
      </c>
      <c r="J269" s="323">
        <v>76.64</v>
      </c>
      <c r="K269" s="323">
        <v>19.91</v>
      </c>
      <c r="L269" s="323">
        <v>0.57999999999999996</v>
      </c>
      <c r="M269" s="318"/>
      <c r="N269" s="318">
        <f t="shared" si="49"/>
        <v>635.13</v>
      </c>
      <c r="O269" s="81">
        <f>IFERROR(VLOOKUP($G269,'321買'!A:E,3,0),"'沒有資料'")</f>
        <v>0</v>
      </c>
      <c r="P269" s="380">
        <f>IFERROR(VLOOKUP($G269,'321買'!$A:$G,7,0),"'沒有資料'")</f>
        <v>911</v>
      </c>
      <c r="Q269" s="302"/>
      <c r="R269" s="297">
        <f>IFERROR(RANK(VLOOKUP($G269,連買!$A:$D,4,0),連買!$D:$D,0),"'沒有資料'")</f>
        <v>538</v>
      </c>
      <c r="S269" s="197">
        <v>2.7</v>
      </c>
      <c r="T269" s="354"/>
      <c r="U269" s="57">
        <f t="shared" si="47"/>
        <v>4.9723756906077353E-2</v>
      </c>
      <c r="V269" s="170">
        <v>54.3</v>
      </c>
      <c r="W269" s="65">
        <f>50.5-2</f>
        <v>48.5</v>
      </c>
      <c r="X269" s="160">
        <f t="shared" si="50"/>
        <v>5.7999999999999972</v>
      </c>
      <c r="Y269" s="163">
        <f t="shared" si="51"/>
        <v>0.11958762886597932</v>
      </c>
      <c r="Z269" s="114" t="s">
        <v>3468</v>
      </c>
      <c r="AA269" s="126"/>
      <c r="AB269" s="251"/>
      <c r="AC269" s="410"/>
      <c r="AD269" s="158" t="s">
        <v>3409</v>
      </c>
      <c r="AE269" s="84">
        <v>43735</v>
      </c>
      <c r="AF269" s="83">
        <v>44307</v>
      </c>
      <c r="AG269" s="77">
        <f t="shared" si="48"/>
        <v>572</v>
      </c>
      <c r="AH269" s="41" t="s">
        <v>1128</v>
      </c>
      <c r="AI269" s="27"/>
      <c r="AJ269" s="17"/>
      <c r="AK269" s="17"/>
      <c r="AL269" s="17"/>
      <c r="AM269" s="17"/>
      <c r="AN269" s="17"/>
      <c r="AO269" s="268"/>
      <c r="AP269" s="268"/>
    </row>
    <row r="270" spans="1:46" s="176" customFormat="1" ht="17.100000000000001" customHeight="1">
      <c r="A270" s="41"/>
      <c r="B270" s="80">
        <v>-10</v>
      </c>
      <c r="C270" s="79">
        <v>15</v>
      </c>
      <c r="D270" s="80">
        <v>-10</v>
      </c>
      <c r="E270" s="79">
        <v>15</v>
      </c>
      <c r="F270" s="6">
        <v>7.76</v>
      </c>
      <c r="G270" s="81">
        <v>1702</v>
      </c>
      <c r="H270" s="8" t="s">
        <v>1409</v>
      </c>
      <c r="I270" s="158" t="s">
        <v>3409</v>
      </c>
      <c r="J270" s="323">
        <v>76.64</v>
      </c>
      <c r="K270" s="323">
        <v>19.91</v>
      </c>
      <c r="L270" s="323">
        <v>0.57999999999999996</v>
      </c>
      <c r="M270" s="318"/>
      <c r="N270" s="318">
        <f t="shared" si="49"/>
        <v>635.13</v>
      </c>
      <c r="O270" s="81">
        <f>IFERROR(VLOOKUP($G270,'321買'!A:E,3,0),"'沒有資料'")</f>
        <v>0</v>
      </c>
      <c r="P270" s="380">
        <f>IFERROR(VLOOKUP($G270,'321買'!$A:$G,7,0),"'沒有資料'")</f>
        <v>911</v>
      </c>
      <c r="Q270" s="302"/>
      <c r="R270" s="297">
        <f>IFERROR(RANK(VLOOKUP($G270,連買!$A:$D,4,0),連買!$D:$D,0),"'沒有資料'")</f>
        <v>538</v>
      </c>
      <c r="S270" s="197">
        <v>2.7</v>
      </c>
      <c r="T270" s="354"/>
      <c r="U270" s="57">
        <f t="shared" si="47"/>
        <v>4.9723756906077353E-2</v>
      </c>
      <c r="V270" s="170">
        <v>54.3</v>
      </c>
      <c r="W270" s="65">
        <f>51.77-2.7-2</f>
        <v>47.07</v>
      </c>
      <c r="X270" s="160">
        <f t="shared" si="50"/>
        <v>7.2299999999999969</v>
      </c>
      <c r="Y270" s="163">
        <f t="shared" si="51"/>
        <v>0.15360101975780746</v>
      </c>
      <c r="Z270" s="114" t="s">
        <v>3469</v>
      </c>
      <c r="AA270" s="126"/>
      <c r="AB270" s="251"/>
      <c r="AC270" s="410"/>
      <c r="AD270" s="158" t="s">
        <v>3409</v>
      </c>
      <c r="AE270" s="84">
        <v>43347</v>
      </c>
      <c r="AF270" s="83">
        <v>44307</v>
      </c>
      <c r="AG270" s="77">
        <f t="shared" si="48"/>
        <v>960</v>
      </c>
      <c r="AH270" s="41" t="s">
        <v>1128</v>
      </c>
      <c r="AI270" s="27"/>
      <c r="AJ270" s="17"/>
      <c r="AK270" s="17"/>
      <c r="AL270" s="17"/>
      <c r="AM270" s="17"/>
      <c r="AN270" s="17"/>
      <c r="AO270" s="268"/>
      <c r="AP270" s="268"/>
    </row>
    <row r="271" spans="1:46" s="268" customFormat="1">
      <c r="A271" s="145"/>
      <c r="B271" s="80">
        <v>-116</v>
      </c>
      <c r="C271" s="80">
        <v>-118</v>
      </c>
      <c r="D271" s="80">
        <v>-116</v>
      </c>
      <c r="E271" s="80">
        <v>-118</v>
      </c>
      <c r="F271" s="6">
        <v>-1.1599999999999999</v>
      </c>
      <c r="G271" s="79">
        <v>1727</v>
      </c>
      <c r="H271" s="8" t="s">
        <v>1409</v>
      </c>
      <c r="I271" s="158" t="s">
        <v>3424</v>
      </c>
      <c r="J271" s="73">
        <v>58.67</v>
      </c>
      <c r="K271" s="323">
        <v>0.93</v>
      </c>
      <c r="L271" s="323">
        <v>1.33</v>
      </c>
      <c r="M271" s="318"/>
      <c r="N271" s="318">
        <f t="shared" si="49"/>
        <v>885.93</v>
      </c>
      <c r="O271" s="81">
        <f>IFERROR(VLOOKUP($G271,'321買'!A:E,3,0),"'沒有資料'")</f>
        <v>37</v>
      </c>
      <c r="P271" s="380">
        <f>IFERROR(VLOOKUP($G271,'321買'!$A:$G,7,0),"'沒有資料'")</f>
        <v>110</v>
      </c>
      <c r="Q271" s="302"/>
      <c r="R271" s="297">
        <f>IFERROR(RANK(VLOOKUP($G271,連買!$A:$D,4,0),連買!$D:$D,0),"'沒有資料'")</f>
        <v>825</v>
      </c>
      <c r="S271" s="197">
        <v>0.6</v>
      </c>
      <c r="T271" s="354"/>
      <c r="U271" s="57">
        <f t="shared" si="47"/>
        <v>4.49438202247191E-2</v>
      </c>
      <c r="V271" s="170">
        <v>13.35</v>
      </c>
      <c r="W271" s="65">
        <f>14.57-0.6-0.2</f>
        <v>13.770000000000001</v>
      </c>
      <c r="X271" s="167">
        <f t="shared" si="50"/>
        <v>-0.42000000000000171</v>
      </c>
      <c r="Y271" s="169">
        <f t="shared" si="51"/>
        <v>-3.0501089324618858E-2</v>
      </c>
      <c r="Z271" s="116" t="s">
        <v>3463</v>
      </c>
      <c r="AA271" s="126"/>
      <c r="AB271" s="251"/>
      <c r="AC271" s="410"/>
      <c r="AD271" s="158" t="s">
        <v>3424</v>
      </c>
      <c r="AE271" s="84">
        <v>43350</v>
      </c>
      <c r="AF271" s="83">
        <v>44306</v>
      </c>
      <c r="AG271" s="77">
        <f t="shared" si="48"/>
        <v>956</v>
      </c>
      <c r="AH271" s="41" t="s">
        <v>3107</v>
      </c>
      <c r="AI271" s="168"/>
      <c r="AK271" s="11"/>
      <c r="AL271" s="11"/>
      <c r="AM271" s="11"/>
      <c r="AN271" s="11"/>
      <c r="AQ271" s="176"/>
      <c r="AR271" s="4"/>
    </row>
    <row r="272" spans="1:46" s="268" customFormat="1">
      <c r="A272" s="145"/>
      <c r="B272" s="80">
        <v>-116</v>
      </c>
      <c r="C272" s="80">
        <v>-118</v>
      </c>
      <c r="D272" s="80">
        <v>-116</v>
      </c>
      <c r="E272" s="80">
        <v>-118</v>
      </c>
      <c r="F272" s="6">
        <v>-1.1599999999999999</v>
      </c>
      <c r="G272" s="79">
        <v>1727</v>
      </c>
      <c r="H272" s="50" t="s">
        <v>1410</v>
      </c>
      <c r="I272" s="158" t="s">
        <v>3424</v>
      </c>
      <c r="J272" s="73">
        <v>58.67</v>
      </c>
      <c r="K272" s="323">
        <v>0.93</v>
      </c>
      <c r="L272" s="323">
        <v>1.33</v>
      </c>
      <c r="M272" s="318"/>
      <c r="N272" s="318">
        <f t="shared" si="49"/>
        <v>885.93</v>
      </c>
      <c r="O272" s="81">
        <f>IFERROR(VLOOKUP($G272,'321買'!A:E,3,0),"'沒有資料'")</f>
        <v>37</v>
      </c>
      <c r="P272" s="380">
        <f>IFERROR(VLOOKUP($G272,'321買'!$A:$G,7,0),"'沒有資料'")</f>
        <v>110</v>
      </c>
      <c r="Q272" s="302"/>
      <c r="R272" s="297">
        <f>IFERROR(RANK(VLOOKUP($G272,連買!$A:$D,4,0),連買!$D:$D,0),"'沒有資料'")</f>
        <v>825</v>
      </c>
      <c r="S272" s="197">
        <v>0.6</v>
      </c>
      <c r="T272" s="354"/>
      <c r="U272" s="57">
        <f t="shared" si="47"/>
        <v>4.49438202247191E-2</v>
      </c>
      <c r="V272" s="170">
        <v>13.35</v>
      </c>
      <c r="W272" s="65">
        <f>14.57-0.6-0.2</f>
        <v>13.770000000000001</v>
      </c>
      <c r="X272" s="167">
        <f t="shared" si="50"/>
        <v>-0.42000000000000171</v>
      </c>
      <c r="Y272" s="169">
        <f t="shared" si="51"/>
        <v>-3.0501089324618858E-2</v>
      </c>
      <c r="Z272" s="116" t="s">
        <v>3463</v>
      </c>
      <c r="AA272" s="126"/>
      <c r="AB272" s="251"/>
      <c r="AC272" s="410"/>
      <c r="AD272" s="158" t="s">
        <v>3424</v>
      </c>
      <c r="AE272" s="84">
        <v>43350</v>
      </c>
      <c r="AF272" s="83">
        <v>44306</v>
      </c>
      <c r="AG272" s="77">
        <f t="shared" si="48"/>
        <v>956</v>
      </c>
      <c r="AH272" s="41" t="s">
        <v>3092</v>
      </c>
      <c r="AI272" s="168"/>
      <c r="AK272" s="11"/>
      <c r="AL272" s="11"/>
      <c r="AM272" s="11"/>
      <c r="AN272" s="11"/>
      <c r="AQ272" s="176"/>
      <c r="AR272" s="4"/>
    </row>
    <row r="273" spans="1:44" s="268" customFormat="1" ht="16.5" customHeight="1">
      <c r="A273" s="119"/>
      <c r="B273" s="80">
        <v>-90</v>
      </c>
      <c r="C273" s="80">
        <v>-95</v>
      </c>
      <c r="D273" s="80">
        <v>-90</v>
      </c>
      <c r="E273" s="80">
        <v>-95</v>
      </c>
      <c r="F273" s="6">
        <v>0.27</v>
      </c>
      <c r="G273" s="79">
        <v>1727</v>
      </c>
      <c r="H273" s="50" t="s">
        <v>1410</v>
      </c>
      <c r="I273" s="158" t="s">
        <v>3424</v>
      </c>
      <c r="J273" s="73">
        <v>58.49</v>
      </c>
      <c r="K273" s="323">
        <v>0.96</v>
      </c>
      <c r="L273" s="73">
        <v>0.78</v>
      </c>
      <c r="M273" s="318"/>
      <c r="N273" s="318">
        <f t="shared" si="49"/>
        <v>885.23</v>
      </c>
      <c r="O273" s="81">
        <f>IFERROR(VLOOKUP($G273,'321買'!A:E,3,0),"'沒有資料'")</f>
        <v>37</v>
      </c>
      <c r="P273" s="380">
        <f>IFERROR(VLOOKUP($G273,'321買'!$A:$G,7,0),"'沒有資料'")</f>
        <v>110</v>
      </c>
      <c r="Q273" s="302"/>
      <c r="R273" s="297">
        <f>IFERROR(RANK(VLOOKUP($G273,連買!$A:$D,4,0),連買!$D:$D,0),"'沒有資料'")</f>
        <v>825</v>
      </c>
      <c r="S273" s="197">
        <v>0.6</v>
      </c>
      <c r="T273" s="354"/>
      <c r="U273" s="57">
        <f t="shared" si="47"/>
        <v>4.49438202247191E-2</v>
      </c>
      <c r="V273" s="166">
        <v>13.35</v>
      </c>
      <c r="W273" s="65">
        <f>12.4-0.2</f>
        <v>12.200000000000001</v>
      </c>
      <c r="X273" s="167">
        <f t="shared" si="50"/>
        <v>1.1499999999999986</v>
      </c>
      <c r="Y273" s="163">
        <f t="shared" si="51"/>
        <v>9.4262295081967082E-2</v>
      </c>
      <c r="Z273" s="114" t="s">
        <v>3464</v>
      </c>
      <c r="AA273" s="126"/>
      <c r="AB273" s="251"/>
      <c r="AC273" s="410"/>
      <c r="AD273" s="158" t="s">
        <v>3424</v>
      </c>
      <c r="AE273" s="84">
        <v>43714</v>
      </c>
      <c r="AF273" s="83">
        <v>44306</v>
      </c>
      <c r="AG273" s="77">
        <f t="shared" si="48"/>
        <v>592</v>
      </c>
      <c r="AH273" s="41" t="s">
        <v>3092</v>
      </c>
    </row>
    <row r="274" spans="1:44" s="268" customFormat="1" ht="16.5" customHeight="1">
      <c r="A274" s="119"/>
      <c r="B274" s="80">
        <v>-90</v>
      </c>
      <c r="C274" s="80">
        <v>-95</v>
      </c>
      <c r="D274" s="80">
        <v>-90</v>
      </c>
      <c r="E274" s="80">
        <v>-95</v>
      </c>
      <c r="F274" s="6">
        <v>0.27</v>
      </c>
      <c r="G274" s="79">
        <v>1727</v>
      </c>
      <c r="H274" s="50" t="s">
        <v>1410</v>
      </c>
      <c r="I274" s="158" t="s">
        <v>3424</v>
      </c>
      <c r="J274" s="73">
        <v>58.49</v>
      </c>
      <c r="K274" s="73">
        <v>0.96</v>
      </c>
      <c r="L274" s="323">
        <v>0.76</v>
      </c>
      <c r="M274" s="318"/>
      <c r="N274" s="318">
        <f t="shared" si="49"/>
        <v>885.21</v>
      </c>
      <c r="O274" s="81">
        <f>IFERROR(VLOOKUP($G274,'321買'!A:E,3,0),"'沒有資料'")</f>
        <v>37</v>
      </c>
      <c r="P274" s="380">
        <f>IFERROR(VLOOKUP($G274,'321買'!$A:$G,7,0),"'沒有資料'")</f>
        <v>110</v>
      </c>
      <c r="Q274" s="302"/>
      <c r="R274" s="297">
        <f>IFERROR(RANK(VLOOKUP($G274,連買!$A:$D,4,0),連買!$D:$D,0),"'沒有資料'")</f>
        <v>825</v>
      </c>
      <c r="S274" s="197">
        <v>0.6</v>
      </c>
      <c r="T274" s="354"/>
      <c r="U274" s="57">
        <f t="shared" si="47"/>
        <v>4.49438202247191E-2</v>
      </c>
      <c r="V274" s="166">
        <v>13.35</v>
      </c>
      <c r="W274" s="65">
        <f>12.35-0.2</f>
        <v>12.15</v>
      </c>
      <c r="X274" s="167">
        <f t="shared" si="50"/>
        <v>1.1999999999999993</v>
      </c>
      <c r="Y274" s="163">
        <f t="shared" si="51"/>
        <v>9.8765432098765371E-2</v>
      </c>
      <c r="Z274" s="114" t="s">
        <v>3151</v>
      </c>
      <c r="AA274" s="264"/>
      <c r="AB274" s="251"/>
      <c r="AC274" s="410"/>
      <c r="AD274" s="158" t="s">
        <v>3424</v>
      </c>
      <c r="AE274" s="84">
        <v>43710</v>
      </c>
      <c r="AF274" s="83">
        <v>44306</v>
      </c>
      <c r="AG274" s="77">
        <f t="shared" si="48"/>
        <v>596</v>
      </c>
      <c r="AH274" s="41" t="s">
        <v>3092</v>
      </c>
    </row>
    <row r="275" spans="1:44" s="268" customFormat="1">
      <c r="A275" s="130" t="s">
        <v>1661</v>
      </c>
      <c r="B275" s="79">
        <v>44</v>
      </c>
      <c r="C275" s="79">
        <v>42</v>
      </c>
      <c r="D275" s="80">
        <v>-5</v>
      </c>
      <c r="E275" s="79">
        <v>26</v>
      </c>
      <c r="F275" s="57">
        <v>10.09</v>
      </c>
      <c r="G275" s="80">
        <v>4927</v>
      </c>
      <c r="H275" s="30" t="s">
        <v>1469</v>
      </c>
      <c r="I275" s="158" t="s">
        <v>449</v>
      </c>
      <c r="J275" s="323">
        <v>44.89</v>
      </c>
      <c r="K275" s="323">
        <v>12.89</v>
      </c>
      <c r="L275" s="73">
        <v>17.34</v>
      </c>
      <c r="M275" s="318"/>
      <c r="N275" s="318">
        <f t="shared" ref="N275:N282" si="52">K275+J275+L275</f>
        <v>75.12</v>
      </c>
      <c r="O275" s="81">
        <f>IFERROR(VLOOKUP($G275,'321買'!A:E,3,0),"'沒有資料'")</f>
        <v>65</v>
      </c>
      <c r="P275" s="380">
        <f>IFERROR(VLOOKUP($G275,'321買'!$A:$G,7,0),"'沒有資料'")</f>
        <v>38</v>
      </c>
      <c r="Q275" s="302"/>
      <c r="R275" s="297">
        <f>IFERROR(RANK(VLOOKUP($G275,連買!$A:$D,4,0),連買!$D:$D,0),"'沒有資料'")</f>
        <v>815</v>
      </c>
      <c r="S275" s="197">
        <v>3</v>
      </c>
      <c r="T275" s="354"/>
      <c r="U275" s="95">
        <f t="shared" ref="U275:U281" si="53">S275/V275</f>
        <v>4.4776119402985072E-2</v>
      </c>
      <c r="V275" s="166">
        <v>67</v>
      </c>
      <c r="W275" s="65">
        <v>62.2</v>
      </c>
      <c r="X275" s="167">
        <f t="shared" ref="X275:X281" si="54">V275-W275</f>
        <v>4.7999999999999972</v>
      </c>
      <c r="Y275" s="163">
        <f t="shared" ref="Y275:Y281" si="55">X275/W275</f>
        <v>7.7170418006430819E-2</v>
      </c>
      <c r="Z275" s="172" t="s">
        <v>3385</v>
      </c>
      <c r="AA275" s="126"/>
      <c r="AB275" s="251"/>
      <c r="AC275" s="410"/>
      <c r="AD275" s="158" t="s">
        <v>449</v>
      </c>
      <c r="AE275" s="84">
        <v>44300</v>
      </c>
      <c r="AF275" s="83">
        <v>44306</v>
      </c>
      <c r="AG275" s="33">
        <f t="shared" ref="AG275:AG287" si="56">AF275-AE275</f>
        <v>6</v>
      </c>
      <c r="AH275" s="41" t="s">
        <v>1128</v>
      </c>
      <c r="AI275" s="27"/>
      <c r="AJ275" s="17"/>
      <c r="AK275" s="17"/>
      <c r="AL275" s="17"/>
      <c r="AM275" s="17"/>
      <c r="AN275" s="17"/>
    </row>
    <row r="276" spans="1:44" s="268" customFormat="1">
      <c r="A276" s="130" t="s">
        <v>1661</v>
      </c>
      <c r="B276" s="79">
        <v>44</v>
      </c>
      <c r="C276" s="79">
        <v>42</v>
      </c>
      <c r="D276" s="80">
        <v>-5</v>
      </c>
      <c r="E276" s="79">
        <v>26</v>
      </c>
      <c r="F276" s="57">
        <v>10.09</v>
      </c>
      <c r="G276" s="80">
        <v>4927</v>
      </c>
      <c r="H276" s="30" t="s">
        <v>1469</v>
      </c>
      <c r="I276" s="158" t="s">
        <v>449</v>
      </c>
      <c r="J276" s="323">
        <v>44.89</v>
      </c>
      <c r="K276" s="323">
        <v>12.89</v>
      </c>
      <c r="L276" s="73">
        <v>17.34</v>
      </c>
      <c r="M276" s="318"/>
      <c r="N276" s="318">
        <f t="shared" si="52"/>
        <v>75.12</v>
      </c>
      <c r="O276" s="81">
        <f>IFERROR(VLOOKUP($G276,'321買'!A:E,3,0),"'沒有資料'")</f>
        <v>65</v>
      </c>
      <c r="P276" s="380">
        <f>IFERROR(VLOOKUP($G276,'321買'!$A:$G,7,0),"'沒有資料'")</f>
        <v>38</v>
      </c>
      <c r="Q276" s="302"/>
      <c r="R276" s="297">
        <f>IFERROR(RANK(VLOOKUP($G276,連買!$A:$D,4,0),連買!$D:$D,0),"'沒有資料'")</f>
        <v>815</v>
      </c>
      <c r="S276" s="197">
        <v>3</v>
      </c>
      <c r="T276" s="354"/>
      <c r="U276" s="95">
        <f t="shared" si="53"/>
        <v>4.4776119402985072E-2</v>
      </c>
      <c r="V276" s="166">
        <v>67</v>
      </c>
      <c r="W276" s="65">
        <v>62.2</v>
      </c>
      <c r="X276" s="167">
        <f t="shared" si="54"/>
        <v>4.7999999999999972</v>
      </c>
      <c r="Y276" s="163">
        <f t="shared" si="55"/>
        <v>7.7170418006430819E-2</v>
      </c>
      <c r="Z276" s="172" t="s">
        <v>3385</v>
      </c>
      <c r="AA276" s="124"/>
      <c r="AB276" s="251"/>
      <c r="AC276" s="410"/>
      <c r="AD276" s="158" t="s">
        <v>449</v>
      </c>
      <c r="AE276" s="84">
        <v>44300</v>
      </c>
      <c r="AF276" s="83">
        <v>44306</v>
      </c>
      <c r="AG276" s="33">
        <f t="shared" si="56"/>
        <v>6</v>
      </c>
      <c r="AH276" s="41" t="s">
        <v>1128</v>
      </c>
      <c r="AI276" s="27"/>
      <c r="AJ276" s="17"/>
      <c r="AK276" s="17"/>
      <c r="AL276" s="17"/>
      <c r="AM276" s="17"/>
      <c r="AN276" s="17"/>
    </row>
    <row r="277" spans="1:44" s="268" customFormat="1">
      <c r="A277" s="130" t="s">
        <v>3425</v>
      </c>
      <c r="B277" s="79">
        <v>44</v>
      </c>
      <c r="C277" s="79">
        <v>42</v>
      </c>
      <c r="D277" s="80">
        <v>-5</v>
      </c>
      <c r="E277" s="79">
        <v>26</v>
      </c>
      <c r="F277" s="57">
        <v>10.09</v>
      </c>
      <c r="G277" s="80">
        <v>4927</v>
      </c>
      <c r="H277" s="30" t="s">
        <v>3371</v>
      </c>
      <c r="I277" s="158" t="s">
        <v>3426</v>
      </c>
      <c r="J277" s="323">
        <v>44.89</v>
      </c>
      <c r="K277" s="323">
        <v>12.89</v>
      </c>
      <c r="L277" s="73">
        <v>17.34</v>
      </c>
      <c r="M277" s="318"/>
      <c r="N277" s="318">
        <f t="shared" si="52"/>
        <v>75.12</v>
      </c>
      <c r="O277" s="81">
        <f>IFERROR(VLOOKUP($G277,'321買'!A:E,3,0),"'沒有資料'")</f>
        <v>65</v>
      </c>
      <c r="P277" s="380">
        <f>IFERROR(VLOOKUP($G277,'321買'!$A:$G,7,0),"'沒有資料'")</f>
        <v>38</v>
      </c>
      <c r="Q277" s="302"/>
      <c r="R277" s="297">
        <f>IFERROR(RANK(VLOOKUP($G277,連買!$A:$D,4,0),連買!$D:$D,0),"'沒有資料'")</f>
        <v>815</v>
      </c>
      <c r="S277" s="197">
        <v>3</v>
      </c>
      <c r="T277" s="354"/>
      <c r="U277" s="95">
        <f t="shared" si="53"/>
        <v>4.4776119402985072E-2</v>
      </c>
      <c r="V277" s="166">
        <v>67</v>
      </c>
      <c r="W277" s="65">
        <v>66.900000000000006</v>
      </c>
      <c r="X277" s="167">
        <f t="shared" si="54"/>
        <v>9.9999999999994316E-2</v>
      </c>
      <c r="Y277" s="163">
        <f t="shared" si="55"/>
        <v>1.4947683109117235E-3</v>
      </c>
      <c r="Z277" s="172" t="s">
        <v>3462</v>
      </c>
      <c r="AA277" s="126"/>
      <c r="AB277" s="251"/>
      <c r="AC277" s="410"/>
      <c r="AD277" s="158" t="s">
        <v>3426</v>
      </c>
      <c r="AE277" s="84">
        <v>44292</v>
      </c>
      <c r="AF277" s="83">
        <v>44306</v>
      </c>
      <c r="AG277" s="33">
        <f t="shared" si="56"/>
        <v>14</v>
      </c>
      <c r="AH277" s="41" t="s">
        <v>3107</v>
      </c>
      <c r="AI277" s="27"/>
      <c r="AJ277" s="17"/>
      <c r="AK277" s="17"/>
      <c r="AL277" s="17"/>
      <c r="AM277" s="17"/>
      <c r="AN277" s="17"/>
    </row>
    <row r="278" spans="1:44" s="268" customFormat="1">
      <c r="A278" s="130" t="s">
        <v>3425</v>
      </c>
      <c r="B278" s="79">
        <v>44</v>
      </c>
      <c r="C278" s="79">
        <v>42</v>
      </c>
      <c r="D278" s="80">
        <v>-5</v>
      </c>
      <c r="E278" s="79">
        <v>26</v>
      </c>
      <c r="F278" s="57">
        <v>10.09</v>
      </c>
      <c r="G278" s="80">
        <v>4927</v>
      </c>
      <c r="H278" s="30" t="s">
        <v>3371</v>
      </c>
      <c r="I278" s="158" t="s">
        <v>3426</v>
      </c>
      <c r="J278" s="323">
        <v>44.89</v>
      </c>
      <c r="K278" s="323">
        <v>12.89</v>
      </c>
      <c r="L278" s="73">
        <v>17.34</v>
      </c>
      <c r="M278" s="318"/>
      <c r="N278" s="318">
        <f t="shared" si="52"/>
        <v>75.12</v>
      </c>
      <c r="O278" s="81">
        <f>IFERROR(VLOOKUP($G278,'321買'!A:E,3,0),"'沒有資料'")</f>
        <v>65</v>
      </c>
      <c r="P278" s="380">
        <f>IFERROR(VLOOKUP($G278,'321買'!$A:$G,7,0),"'沒有資料'")</f>
        <v>38</v>
      </c>
      <c r="Q278" s="302"/>
      <c r="R278" s="297">
        <f>IFERROR(RANK(VLOOKUP($G278,連買!$A:$D,4,0),連買!$D:$D,0),"'沒有資料'")</f>
        <v>815</v>
      </c>
      <c r="S278" s="197">
        <v>3</v>
      </c>
      <c r="T278" s="354"/>
      <c r="U278" s="95">
        <f t="shared" si="53"/>
        <v>4.4776119402985072E-2</v>
      </c>
      <c r="V278" s="166">
        <v>67</v>
      </c>
      <c r="W278" s="65">
        <v>66.900000000000006</v>
      </c>
      <c r="X278" s="167">
        <f t="shared" si="54"/>
        <v>9.9999999999994316E-2</v>
      </c>
      <c r="Y278" s="163">
        <f t="shared" si="55"/>
        <v>1.4947683109117235E-3</v>
      </c>
      <c r="Z278" s="172" t="s">
        <v>3462</v>
      </c>
      <c r="AA278" s="126"/>
      <c r="AB278" s="251"/>
      <c r="AC278" s="410"/>
      <c r="AD278" s="158" t="s">
        <v>3426</v>
      </c>
      <c r="AE278" s="84">
        <v>44292</v>
      </c>
      <c r="AF278" s="83">
        <v>44306</v>
      </c>
      <c r="AG278" s="33">
        <f t="shared" si="56"/>
        <v>14</v>
      </c>
      <c r="AH278" s="41" t="s">
        <v>3107</v>
      </c>
      <c r="AI278" s="27"/>
      <c r="AJ278" s="17"/>
      <c r="AK278" s="17"/>
      <c r="AL278" s="17"/>
      <c r="AM278" s="17"/>
      <c r="AN278" s="17"/>
    </row>
    <row r="279" spans="1:44" s="268" customFormat="1">
      <c r="A279" s="130" t="s">
        <v>1711</v>
      </c>
      <c r="B279" s="79">
        <v>114</v>
      </c>
      <c r="C279" s="79">
        <v>108</v>
      </c>
      <c r="D279" s="80">
        <v>-38</v>
      </c>
      <c r="E279" s="80">
        <v>-29</v>
      </c>
      <c r="F279" s="57">
        <v>11.29</v>
      </c>
      <c r="G279" s="80">
        <v>5457</v>
      </c>
      <c r="H279" s="30" t="s">
        <v>1469</v>
      </c>
      <c r="I279" s="171" t="s">
        <v>178</v>
      </c>
      <c r="J279" s="323">
        <v>63.22</v>
      </c>
      <c r="K279" s="323">
        <v>46.37</v>
      </c>
      <c r="L279" s="73">
        <v>19.190000000000001</v>
      </c>
      <c r="M279" s="318"/>
      <c r="N279" s="73">
        <f t="shared" si="52"/>
        <v>128.78</v>
      </c>
      <c r="O279" s="81">
        <f>IFERROR(VLOOKUP($G279,'321買'!A:E,3,0),"'沒有資料'")</f>
        <v>19</v>
      </c>
      <c r="P279" s="380">
        <f>IFERROR(VLOOKUP($G279,'321買'!$A:$G,7,0),"'沒有資料'")</f>
        <v>241</v>
      </c>
      <c r="Q279" s="302"/>
      <c r="R279" s="297">
        <f>IFERROR(RANK(VLOOKUP($G279,連買!$A:$D,4,0),連買!$D:$D,0),"'沒有資料'")</f>
        <v>1537</v>
      </c>
      <c r="S279" s="197">
        <v>2.1</v>
      </c>
      <c r="T279" s="354"/>
      <c r="U279" s="57">
        <f t="shared" si="53"/>
        <v>2.4618991793669404E-2</v>
      </c>
      <c r="V279" s="170">
        <v>85.3</v>
      </c>
      <c r="W279" s="65">
        <v>85.4</v>
      </c>
      <c r="X279" s="190">
        <f t="shared" si="54"/>
        <v>-0.10000000000000853</v>
      </c>
      <c r="Y279" s="169">
        <f t="shared" si="55"/>
        <v>-1.1709601873537297E-3</v>
      </c>
      <c r="Z279" s="173" t="s">
        <v>3449</v>
      </c>
      <c r="AA279" s="126"/>
      <c r="AB279" s="251"/>
      <c r="AC279" s="410"/>
      <c r="AD279" s="171" t="s">
        <v>178</v>
      </c>
      <c r="AE279" s="84">
        <v>44299</v>
      </c>
      <c r="AF279" s="83">
        <v>44300</v>
      </c>
      <c r="AG279" s="33">
        <f t="shared" si="56"/>
        <v>1</v>
      </c>
      <c r="AH279" s="41" t="s">
        <v>1128</v>
      </c>
      <c r="AI279" s="168"/>
    </row>
    <row r="280" spans="1:44" s="268" customFormat="1">
      <c r="A280" s="130" t="s">
        <v>1711</v>
      </c>
      <c r="B280" s="79">
        <v>114</v>
      </c>
      <c r="C280" s="79">
        <v>108</v>
      </c>
      <c r="D280" s="80">
        <v>-38</v>
      </c>
      <c r="E280" s="80">
        <v>-29</v>
      </c>
      <c r="F280" s="57">
        <v>11.29</v>
      </c>
      <c r="G280" s="80">
        <v>5457</v>
      </c>
      <c r="H280" s="30" t="s">
        <v>1469</v>
      </c>
      <c r="I280" s="171" t="s">
        <v>178</v>
      </c>
      <c r="J280" s="323">
        <v>63.22</v>
      </c>
      <c r="K280" s="323">
        <v>46.37</v>
      </c>
      <c r="L280" s="73">
        <v>19.190000000000001</v>
      </c>
      <c r="M280" s="318"/>
      <c r="N280" s="73">
        <f t="shared" si="52"/>
        <v>128.78</v>
      </c>
      <c r="O280" s="81">
        <f>IFERROR(VLOOKUP($G280,'321買'!A:E,3,0),"'沒有資料'")</f>
        <v>19</v>
      </c>
      <c r="P280" s="380">
        <f>IFERROR(VLOOKUP($G280,'321買'!$A:$G,7,0),"'沒有資料'")</f>
        <v>241</v>
      </c>
      <c r="Q280" s="302"/>
      <c r="R280" s="297">
        <f>IFERROR(RANK(VLOOKUP($G280,連買!$A:$D,4,0),連買!$D:$D,0),"'沒有資料'")</f>
        <v>1537</v>
      </c>
      <c r="S280" s="197">
        <v>2.1</v>
      </c>
      <c r="T280" s="354"/>
      <c r="U280" s="57">
        <f t="shared" si="53"/>
        <v>2.4618991793669404E-2</v>
      </c>
      <c r="V280" s="170">
        <v>85.3</v>
      </c>
      <c r="W280" s="65">
        <v>83.8</v>
      </c>
      <c r="X280" s="107">
        <f t="shared" si="54"/>
        <v>1.5</v>
      </c>
      <c r="Y280" s="163">
        <f t="shared" si="55"/>
        <v>1.7899761336515514E-2</v>
      </c>
      <c r="Z280" s="172" t="s">
        <v>3448</v>
      </c>
      <c r="AA280" s="126"/>
      <c r="AB280" s="251"/>
      <c r="AC280" s="410"/>
      <c r="AD280" s="171" t="s">
        <v>178</v>
      </c>
      <c r="AE280" s="84">
        <v>44293</v>
      </c>
      <c r="AF280" s="83">
        <v>44300</v>
      </c>
      <c r="AG280" s="33">
        <f t="shared" si="56"/>
        <v>7</v>
      </c>
      <c r="AH280" s="41" t="s">
        <v>1128</v>
      </c>
      <c r="AI280" s="168"/>
    </row>
    <row r="281" spans="1:44" s="268" customFormat="1">
      <c r="A281" s="130" t="s">
        <v>2215</v>
      </c>
      <c r="B281" s="79">
        <v>1</v>
      </c>
      <c r="C281" s="79">
        <v>5</v>
      </c>
      <c r="D281" s="79">
        <v>22</v>
      </c>
      <c r="E281" s="80">
        <v>-1</v>
      </c>
      <c r="F281" s="57">
        <v>12.6</v>
      </c>
      <c r="G281" s="79">
        <v>6274</v>
      </c>
      <c r="H281" s="30" t="s">
        <v>1469</v>
      </c>
      <c r="I281" s="171" t="s">
        <v>3326</v>
      </c>
      <c r="J281" s="73">
        <v>64.08</v>
      </c>
      <c r="K281" s="323">
        <v>53.55</v>
      </c>
      <c r="L281" s="323">
        <v>6.34</v>
      </c>
      <c r="M281" s="318"/>
      <c r="N281" s="73">
        <f t="shared" si="52"/>
        <v>123.97</v>
      </c>
      <c r="O281" s="81">
        <f>IFERROR(VLOOKUP($G281,'321買'!A:E,3,0),"'沒有資料'")</f>
        <v>10</v>
      </c>
      <c r="P281" s="380">
        <f>IFERROR(VLOOKUP($G281,'321買'!$A:$G,7,0),"'沒有資料'")</f>
        <v>433</v>
      </c>
      <c r="Q281" s="302"/>
      <c r="R281" s="297">
        <f>IFERROR(RANK(VLOOKUP($G281,連買!$A:$D,4,0),連買!$D:$D,0),"'沒有資料'")</f>
        <v>1195</v>
      </c>
      <c r="S281" s="65">
        <v>4.8</v>
      </c>
      <c r="T281" s="354"/>
      <c r="U281" s="57">
        <f t="shared" si="53"/>
        <v>3.8399999999999997E-2</v>
      </c>
      <c r="V281" s="170">
        <v>125</v>
      </c>
      <c r="W281" s="65">
        <v>124</v>
      </c>
      <c r="X281" s="167">
        <f t="shared" si="54"/>
        <v>1</v>
      </c>
      <c r="Y281" s="163">
        <f t="shared" si="55"/>
        <v>8.0645161290322578E-3</v>
      </c>
      <c r="Z281" s="172" t="s">
        <v>3447</v>
      </c>
      <c r="AA281" s="126"/>
      <c r="AB281" s="251"/>
      <c r="AC281" s="410"/>
      <c r="AD281" s="171" t="s">
        <v>3326</v>
      </c>
      <c r="AE281" s="84">
        <v>44299</v>
      </c>
      <c r="AF281" s="83">
        <v>44300</v>
      </c>
      <c r="AG281" s="33">
        <f t="shared" si="56"/>
        <v>1</v>
      </c>
      <c r="AH281" s="41" t="s">
        <v>1128</v>
      </c>
    </row>
    <row r="282" spans="1:44">
      <c r="A282" s="130" t="s">
        <v>1968</v>
      </c>
      <c r="B282" s="79">
        <v>181</v>
      </c>
      <c r="C282" s="79">
        <v>217</v>
      </c>
      <c r="D282" s="79">
        <v>24</v>
      </c>
      <c r="E282" s="79">
        <v>77</v>
      </c>
      <c r="F282" s="57">
        <v>41.47</v>
      </c>
      <c r="G282" s="80">
        <v>4171</v>
      </c>
      <c r="H282" s="30" t="s">
        <v>1469</v>
      </c>
      <c r="I282" s="16" t="s">
        <v>1044</v>
      </c>
      <c r="J282" s="73">
        <v>34.85</v>
      </c>
      <c r="K282" s="73">
        <v>18.100000000000001</v>
      </c>
      <c r="N282" s="318">
        <f t="shared" si="52"/>
        <v>52.95</v>
      </c>
      <c r="O282" s="81">
        <f>IFERROR(VLOOKUP($G282,'321買'!A:E,3,0),"'沒有資料'")</f>
        <v>10</v>
      </c>
      <c r="P282" s="380">
        <f>IFERROR(VLOOKUP($G282,'321買'!$A:$G,7,0),"'沒有資料'")</f>
        <v>336</v>
      </c>
      <c r="R282" s="297">
        <f>IFERROR(RANK(VLOOKUP($G282,連買!$A:$D,4,0),連買!$D:$D,0),"'沒有資料'")</f>
        <v>41</v>
      </c>
      <c r="S282" s="34">
        <v>3.83</v>
      </c>
      <c r="U282" s="95">
        <f t="shared" ref="U282:U287" si="57">S282/V282</f>
        <v>3.1265306122448981E-2</v>
      </c>
      <c r="V282" s="36">
        <v>122.5</v>
      </c>
      <c r="W282" s="66">
        <v>118</v>
      </c>
      <c r="X282" s="15">
        <f t="shared" ref="X282:X287" si="58">V282-W282</f>
        <v>4.5</v>
      </c>
      <c r="Y282" s="63">
        <f t="shared" ref="Y282:Y287" si="59">X282/W282</f>
        <v>3.8135593220338986E-2</v>
      </c>
      <c r="Z282" s="102" t="s">
        <v>3444</v>
      </c>
      <c r="AA282" s="126"/>
      <c r="AD282" s="16" t="s">
        <v>1044</v>
      </c>
      <c r="AE282" s="84">
        <v>44295</v>
      </c>
      <c r="AF282" s="83">
        <v>44299</v>
      </c>
      <c r="AG282" s="33">
        <f t="shared" si="56"/>
        <v>4</v>
      </c>
      <c r="AH282" s="41" t="s">
        <v>1128</v>
      </c>
      <c r="AJ282" s="8"/>
    </row>
    <row r="283" spans="1:44" s="268" customFormat="1">
      <c r="A283" s="130" t="s">
        <v>1827</v>
      </c>
      <c r="B283" s="79">
        <v>31</v>
      </c>
      <c r="C283" s="79">
        <v>21</v>
      </c>
      <c r="D283" s="79">
        <v>1</v>
      </c>
      <c r="E283" s="79">
        <v>6</v>
      </c>
      <c r="F283" s="57">
        <v>26.31</v>
      </c>
      <c r="G283" s="79">
        <v>6592</v>
      </c>
      <c r="H283" s="30" t="s">
        <v>1469</v>
      </c>
      <c r="I283" s="158" t="s">
        <v>1819</v>
      </c>
      <c r="J283" s="323">
        <v>72.349999999999994</v>
      </c>
      <c r="K283" s="73">
        <v>23.1</v>
      </c>
      <c r="L283" s="73"/>
      <c r="M283" s="318"/>
      <c r="N283" s="73">
        <f>R283+K283+J283+L283</f>
        <v>278.45</v>
      </c>
      <c r="O283" s="81">
        <f>IFERROR(VLOOKUP($G283,'321買'!A:E,3,0),"'沒有資料'")</f>
        <v>0</v>
      </c>
      <c r="P283" s="380">
        <f>IFERROR(VLOOKUP($G283,'321買'!$A:$G,7,0),"'沒有資料'")</f>
        <v>911</v>
      </c>
      <c r="Q283" s="302"/>
      <c r="R283" s="297">
        <f>IFERROR(RANK(VLOOKUP($G283,連買!$A:$D,4,0),連買!$D:$D,0),"'沒有資料'")</f>
        <v>183</v>
      </c>
      <c r="S283" s="197">
        <v>3.3</v>
      </c>
      <c r="T283" s="354"/>
      <c r="U283" s="95">
        <f t="shared" si="57"/>
        <v>3.6544850498338867E-2</v>
      </c>
      <c r="V283" s="166">
        <v>90.3</v>
      </c>
      <c r="W283" s="65">
        <v>79.8</v>
      </c>
      <c r="X283" s="167">
        <f t="shared" si="58"/>
        <v>10.5</v>
      </c>
      <c r="Y283" s="163">
        <f t="shared" si="59"/>
        <v>0.13157894736842105</v>
      </c>
      <c r="Z283" s="172" t="s">
        <v>3441</v>
      </c>
      <c r="AA283" s="126"/>
      <c r="AB283" s="251"/>
      <c r="AC283" s="410"/>
      <c r="AD283" s="158" t="s">
        <v>1819</v>
      </c>
      <c r="AE283" s="84">
        <v>44200</v>
      </c>
      <c r="AF283" s="83">
        <v>44299</v>
      </c>
      <c r="AG283" s="33">
        <f t="shared" si="56"/>
        <v>99</v>
      </c>
      <c r="AH283" s="41" t="s">
        <v>2318</v>
      </c>
      <c r="AI283" s="266"/>
      <c r="AJ283" s="266"/>
      <c r="AK283" s="162"/>
      <c r="AL283" s="65"/>
      <c r="AM283" s="162"/>
      <c r="AN283" s="65"/>
      <c r="AO283" s="41"/>
      <c r="AP283" s="158"/>
    </row>
    <row r="284" spans="1:44" s="268" customFormat="1">
      <c r="A284" s="130" t="s">
        <v>1827</v>
      </c>
      <c r="B284" s="79">
        <v>31</v>
      </c>
      <c r="C284" s="79">
        <v>21</v>
      </c>
      <c r="D284" s="79">
        <v>1</v>
      </c>
      <c r="E284" s="79">
        <v>6</v>
      </c>
      <c r="F284" s="57">
        <v>26.31</v>
      </c>
      <c r="G284" s="79">
        <v>6592</v>
      </c>
      <c r="H284" s="30" t="s">
        <v>1469</v>
      </c>
      <c r="I284" s="158" t="s">
        <v>1819</v>
      </c>
      <c r="J284" s="323">
        <v>72.349999999999994</v>
      </c>
      <c r="K284" s="73">
        <v>23.1</v>
      </c>
      <c r="L284" s="73"/>
      <c r="M284" s="318"/>
      <c r="N284" s="73">
        <f>R284+K284+J284+L284</f>
        <v>278.45</v>
      </c>
      <c r="O284" s="81">
        <f>IFERROR(VLOOKUP($G284,'321買'!A:E,3,0),"'沒有資料'")</f>
        <v>0</v>
      </c>
      <c r="P284" s="380">
        <f>IFERROR(VLOOKUP($G284,'321買'!$A:$G,7,0),"'沒有資料'")</f>
        <v>911</v>
      </c>
      <c r="Q284" s="302"/>
      <c r="R284" s="297">
        <f>IFERROR(RANK(VLOOKUP($G284,連買!$A:$D,4,0),連買!$D:$D,0),"'沒有資料'")</f>
        <v>183</v>
      </c>
      <c r="S284" s="197">
        <v>3.3</v>
      </c>
      <c r="T284" s="354"/>
      <c r="U284" s="95">
        <f t="shared" si="57"/>
        <v>3.6544850498338867E-2</v>
      </c>
      <c r="V284" s="166">
        <v>90.3</v>
      </c>
      <c r="W284" s="65">
        <v>81</v>
      </c>
      <c r="X284" s="167">
        <f t="shared" si="58"/>
        <v>9.2999999999999972</v>
      </c>
      <c r="Y284" s="163">
        <f t="shared" si="59"/>
        <v>0.11481481481481479</v>
      </c>
      <c r="Z284" s="172" t="s">
        <v>3442</v>
      </c>
      <c r="AA284" s="126"/>
      <c r="AB284" s="251"/>
      <c r="AC284" s="410"/>
      <c r="AD284" s="158" t="s">
        <v>1819</v>
      </c>
      <c r="AE284" s="84">
        <v>44200</v>
      </c>
      <c r="AF284" s="83">
        <v>44299</v>
      </c>
      <c r="AG284" s="33">
        <f t="shared" si="56"/>
        <v>99</v>
      </c>
      <c r="AH284" s="41" t="s">
        <v>2318</v>
      </c>
      <c r="AI284" s="266"/>
      <c r="AJ284" s="266"/>
      <c r="AK284" s="162"/>
      <c r="AL284" s="65"/>
      <c r="AM284" s="162"/>
      <c r="AN284" s="65"/>
      <c r="AO284" s="41"/>
      <c r="AP284" s="158"/>
    </row>
    <row r="285" spans="1:44" s="268" customFormat="1">
      <c r="A285" s="130" t="s">
        <v>1827</v>
      </c>
      <c r="B285" s="79">
        <v>31</v>
      </c>
      <c r="C285" s="79">
        <v>21</v>
      </c>
      <c r="D285" s="79">
        <v>1</v>
      </c>
      <c r="E285" s="79">
        <v>6</v>
      </c>
      <c r="F285" s="57">
        <v>26.31</v>
      </c>
      <c r="G285" s="79">
        <v>6592</v>
      </c>
      <c r="H285" s="30" t="s">
        <v>1469</v>
      </c>
      <c r="I285" s="158" t="s">
        <v>1819</v>
      </c>
      <c r="J285" s="323">
        <v>72.349999999999994</v>
      </c>
      <c r="K285" s="73">
        <v>23.1</v>
      </c>
      <c r="L285" s="73"/>
      <c r="M285" s="318"/>
      <c r="N285" s="73">
        <f>R285+K285+J285+L285</f>
        <v>278.45</v>
      </c>
      <c r="O285" s="81">
        <f>IFERROR(VLOOKUP($G285,'321買'!A:E,3,0),"'沒有資料'")</f>
        <v>0</v>
      </c>
      <c r="P285" s="380">
        <f>IFERROR(VLOOKUP($G285,'321買'!$A:$G,7,0),"'沒有資料'")</f>
        <v>911</v>
      </c>
      <c r="Q285" s="302"/>
      <c r="R285" s="297">
        <f>IFERROR(RANK(VLOOKUP($G285,連買!$A:$D,4,0),連買!$D:$D,0),"'沒有資料'")</f>
        <v>183</v>
      </c>
      <c r="S285" s="197">
        <v>3.3</v>
      </c>
      <c r="T285" s="354"/>
      <c r="U285" s="95">
        <f t="shared" si="57"/>
        <v>3.6544850498338867E-2</v>
      </c>
      <c r="V285" s="166">
        <v>90.3</v>
      </c>
      <c r="W285" s="65">
        <f>86.3-3.1</f>
        <v>83.2</v>
      </c>
      <c r="X285" s="167">
        <f t="shared" si="58"/>
        <v>7.0999999999999943</v>
      </c>
      <c r="Y285" s="163">
        <f t="shared" si="59"/>
        <v>8.5336538461538394E-2</v>
      </c>
      <c r="Z285" s="172" t="s">
        <v>1998</v>
      </c>
      <c r="AA285" s="126"/>
      <c r="AB285" s="251"/>
      <c r="AC285" s="410"/>
      <c r="AD285" s="158" t="s">
        <v>1819</v>
      </c>
      <c r="AE285" s="84">
        <v>43843</v>
      </c>
      <c r="AF285" s="83">
        <v>44299</v>
      </c>
      <c r="AG285" s="77">
        <f t="shared" si="56"/>
        <v>456</v>
      </c>
      <c r="AH285" s="41" t="s">
        <v>2318</v>
      </c>
      <c r="AI285" s="266"/>
      <c r="AJ285" s="266"/>
      <c r="AK285" s="162"/>
      <c r="AL285" s="65"/>
      <c r="AM285" s="162"/>
      <c r="AN285" s="65"/>
      <c r="AO285" s="41"/>
      <c r="AP285" s="158"/>
    </row>
    <row r="286" spans="1:44" s="268" customFormat="1">
      <c r="A286" s="130" t="s">
        <v>2215</v>
      </c>
      <c r="B286" s="79">
        <v>1</v>
      </c>
      <c r="C286" s="79">
        <v>5</v>
      </c>
      <c r="D286" s="80">
        <v>-8</v>
      </c>
      <c r="E286" s="79">
        <v>8</v>
      </c>
      <c r="F286" s="57">
        <v>13.36</v>
      </c>
      <c r="G286" s="79">
        <v>6274</v>
      </c>
      <c r="H286" s="30" t="s">
        <v>1469</v>
      </c>
      <c r="I286" s="171" t="s">
        <v>3326</v>
      </c>
      <c r="J286" s="73">
        <v>62.41</v>
      </c>
      <c r="K286" s="73">
        <v>52.9</v>
      </c>
      <c r="L286" s="73">
        <v>6.07</v>
      </c>
      <c r="M286" s="318"/>
      <c r="N286" s="73">
        <f>K286+J286+L286</f>
        <v>121.38</v>
      </c>
      <c r="O286" s="81">
        <f>IFERROR(VLOOKUP($G286,'321買'!A:E,3,0),"'沒有資料'")</f>
        <v>10</v>
      </c>
      <c r="P286" s="380">
        <f>IFERROR(VLOOKUP($G286,'321買'!$A:$G,7,0),"'沒有資料'")</f>
        <v>433</v>
      </c>
      <c r="Q286" s="302"/>
      <c r="R286" s="297">
        <f>IFERROR(RANK(VLOOKUP($G286,連買!$A:$D,4,0),連買!$D:$D,0),"'沒有資料'")</f>
        <v>1195</v>
      </c>
      <c r="S286" s="197">
        <v>4.8</v>
      </c>
      <c r="T286" s="354"/>
      <c r="U286" s="57">
        <f t="shared" si="57"/>
        <v>3.9183673469387753E-2</v>
      </c>
      <c r="V286" s="170">
        <v>122.5</v>
      </c>
      <c r="W286" s="65">
        <v>120.5</v>
      </c>
      <c r="X286" s="167">
        <f t="shared" si="58"/>
        <v>2</v>
      </c>
      <c r="Y286" s="163">
        <f t="shared" si="59"/>
        <v>1.6597510373443983E-2</v>
      </c>
      <c r="Z286" s="172" t="s">
        <v>3443</v>
      </c>
      <c r="AA286" s="126"/>
      <c r="AB286" s="251"/>
      <c r="AC286" s="410"/>
      <c r="AD286" s="171" t="s">
        <v>3326</v>
      </c>
      <c r="AE286" s="84">
        <v>44292</v>
      </c>
      <c r="AF286" s="83">
        <v>44299</v>
      </c>
      <c r="AG286" s="33">
        <f t="shared" si="56"/>
        <v>7</v>
      </c>
      <c r="AH286" s="41" t="s">
        <v>1128</v>
      </c>
    </row>
    <row r="287" spans="1:44" s="268" customFormat="1">
      <c r="A287" s="130" t="s">
        <v>2215</v>
      </c>
      <c r="B287" s="79">
        <v>1</v>
      </c>
      <c r="C287" s="79">
        <v>5</v>
      </c>
      <c r="D287" s="80">
        <v>-8</v>
      </c>
      <c r="E287" s="79">
        <v>8</v>
      </c>
      <c r="F287" s="57">
        <v>13.36</v>
      </c>
      <c r="G287" s="79">
        <v>6274</v>
      </c>
      <c r="H287" s="30" t="s">
        <v>1469</v>
      </c>
      <c r="I287" s="171" t="s">
        <v>3326</v>
      </c>
      <c r="J287" s="73">
        <v>62.41</v>
      </c>
      <c r="K287" s="73">
        <v>52.9</v>
      </c>
      <c r="L287" s="73">
        <v>6.07</v>
      </c>
      <c r="M287" s="318"/>
      <c r="N287" s="73">
        <f>K287+J287+L287</f>
        <v>121.38</v>
      </c>
      <c r="O287" s="81">
        <f>IFERROR(VLOOKUP($G287,'321買'!A:E,3,0),"'沒有資料'")</f>
        <v>10</v>
      </c>
      <c r="P287" s="380">
        <f>IFERROR(VLOOKUP($G287,'321買'!$A:$G,7,0),"'沒有資料'")</f>
        <v>433</v>
      </c>
      <c r="Q287" s="302"/>
      <c r="R287" s="297">
        <f>IFERROR(RANK(VLOOKUP($G287,連買!$A:$D,4,0),連買!$D:$D,0),"'沒有資料'")</f>
        <v>1195</v>
      </c>
      <c r="S287" s="197">
        <v>4.8</v>
      </c>
      <c r="T287" s="354"/>
      <c r="U287" s="57">
        <f t="shared" si="57"/>
        <v>3.9183673469387753E-2</v>
      </c>
      <c r="V287" s="170">
        <v>122.5</v>
      </c>
      <c r="W287" s="65">
        <v>118</v>
      </c>
      <c r="X287" s="167">
        <f t="shared" si="58"/>
        <v>4.5</v>
      </c>
      <c r="Y287" s="163">
        <f t="shared" si="59"/>
        <v>3.8135593220338986E-2</v>
      </c>
      <c r="Z287" s="172" t="s">
        <v>3444</v>
      </c>
      <c r="AA287" s="126"/>
      <c r="AB287" s="251"/>
      <c r="AC287" s="410"/>
      <c r="AD287" s="171" t="s">
        <v>3326</v>
      </c>
      <c r="AE287" s="84">
        <v>44285</v>
      </c>
      <c r="AF287" s="83">
        <v>44299</v>
      </c>
      <c r="AG287" s="33">
        <f t="shared" si="56"/>
        <v>14</v>
      </c>
      <c r="AH287" s="41" t="s">
        <v>1128</v>
      </c>
    </row>
    <row r="288" spans="1:44" s="176" customFormat="1" ht="17.100000000000001" customHeight="1">
      <c r="A288" s="41"/>
      <c r="B288" s="79">
        <v>-65</v>
      </c>
      <c r="C288" s="80">
        <v>-13</v>
      </c>
      <c r="D288" s="79">
        <v>-65</v>
      </c>
      <c r="E288" s="80">
        <v>-13</v>
      </c>
      <c r="F288" s="6">
        <v>3.72</v>
      </c>
      <c r="G288" s="79">
        <v>9907</v>
      </c>
      <c r="H288" s="104" t="s">
        <v>3422</v>
      </c>
      <c r="I288" s="158" t="s">
        <v>3421</v>
      </c>
      <c r="J288" s="73">
        <v>77.790000000000006</v>
      </c>
      <c r="K288" s="323">
        <v>14.18</v>
      </c>
      <c r="L288" s="73">
        <v>0.6</v>
      </c>
      <c r="M288" s="318"/>
      <c r="N288" s="73">
        <f t="shared" ref="N288:N296" si="60">R288+K288+J288+L288</f>
        <v>1034.57</v>
      </c>
      <c r="O288" s="81">
        <f>IFERROR(VLOOKUP($G288,'321買'!A:E,3,0),"'沒有資料'")</f>
        <v>0</v>
      </c>
      <c r="P288" s="380">
        <f>IFERROR(VLOOKUP($G288,'321買'!$A:$G,7,0),"'沒有資料'")</f>
        <v>911</v>
      </c>
      <c r="Q288" s="302"/>
      <c r="R288" s="297">
        <f>IFERROR(RANK(VLOOKUP($G288,連買!$A:$D,4,0),連買!$D:$D,0),"'沒有資料'")</f>
        <v>942</v>
      </c>
      <c r="S288" s="197">
        <v>0.47</v>
      </c>
      <c r="T288" s="354"/>
      <c r="U288" s="57">
        <f t="shared" ref="U288:U296" si="61">S288/V288</f>
        <v>3.5606060606060606E-2</v>
      </c>
      <c r="V288" s="170">
        <v>13.2</v>
      </c>
      <c r="W288" s="65">
        <f>15.72-0.5-0.47</f>
        <v>14.75</v>
      </c>
      <c r="X288" s="167">
        <f t="shared" ref="X288:X296" si="62">V288-W288</f>
        <v>-1.5500000000000007</v>
      </c>
      <c r="Y288" s="169">
        <f t="shared" ref="Y288:Y296" si="63">X288/W288</f>
        <v>-0.10508474576271191</v>
      </c>
      <c r="Z288" s="116" t="s">
        <v>3434</v>
      </c>
      <c r="AA288" s="124"/>
      <c r="AB288" s="251"/>
      <c r="AC288" s="410"/>
      <c r="AD288" s="158" t="s">
        <v>3421</v>
      </c>
      <c r="AE288" s="84">
        <v>42825</v>
      </c>
      <c r="AF288" s="83">
        <v>44298</v>
      </c>
      <c r="AG288" s="138">
        <f t="shared" ref="AG288:AG296" si="64">AF288-AE288</f>
        <v>1473</v>
      </c>
      <c r="AH288" s="41" t="s">
        <v>3107</v>
      </c>
      <c r="AI288" s="27"/>
      <c r="AJ288" s="17"/>
      <c r="AK288" s="11"/>
      <c r="AL288" s="11"/>
      <c r="AM288" s="11"/>
      <c r="AN288" s="11"/>
      <c r="AO288" s="268"/>
      <c r="AP288" s="268"/>
      <c r="AR288" s="31"/>
    </row>
    <row r="289" spans="1:44" s="176" customFormat="1" ht="17.100000000000001" customHeight="1">
      <c r="A289" s="41"/>
      <c r="B289" s="79">
        <v>-65</v>
      </c>
      <c r="C289" s="80">
        <v>-13</v>
      </c>
      <c r="D289" s="79">
        <v>-65</v>
      </c>
      <c r="E289" s="80">
        <v>-13</v>
      </c>
      <c r="F289" s="6">
        <v>3.72</v>
      </c>
      <c r="G289" s="79">
        <v>9907</v>
      </c>
      <c r="H289" s="8" t="s">
        <v>1409</v>
      </c>
      <c r="I289" s="158" t="s">
        <v>3421</v>
      </c>
      <c r="J289" s="73">
        <v>77.790000000000006</v>
      </c>
      <c r="K289" s="323">
        <v>14.18</v>
      </c>
      <c r="L289" s="73">
        <v>0.6</v>
      </c>
      <c r="M289" s="318"/>
      <c r="N289" s="73">
        <f t="shared" si="60"/>
        <v>1034.57</v>
      </c>
      <c r="O289" s="81">
        <f>IFERROR(VLOOKUP($G289,'321買'!A:E,3,0),"'沒有資料'")</f>
        <v>0</v>
      </c>
      <c r="P289" s="380">
        <f>IFERROR(VLOOKUP($G289,'321買'!$A:$G,7,0),"'沒有資料'")</f>
        <v>911</v>
      </c>
      <c r="Q289" s="302"/>
      <c r="R289" s="297">
        <f>IFERROR(RANK(VLOOKUP($G289,連買!$A:$D,4,0),連買!$D:$D,0),"'沒有資料'")</f>
        <v>942</v>
      </c>
      <c r="S289" s="197">
        <v>0.47</v>
      </c>
      <c r="T289" s="354"/>
      <c r="U289" s="57">
        <f t="shared" si="61"/>
        <v>1.7803030303030303E-2</v>
      </c>
      <c r="V289" s="170">
        <v>26.4</v>
      </c>
      <c r="W289" s="65">
        <f>(13.55-0.47)*AH289</f>
        <v>26.16</v>
      </c>
      <c r="X289" s="167">
        <f t="shared" si="62"/>
        <v>0.23999999999999844</v>
      </c>
      <c r="Y289" s="163">
        <f t="shared" si="63"/>
        <v>9.1743119266054444E-3</v>
      </c>
      <c r="Z289" s="131" t="s">
        <v>3435</v>
      </c>
      <c r="AA289" s="126"/>
      <c r="AB289" s="251"/>
      <c r="AC289" s="410"/>
      <c r="AD289" s="158" t="s">
        <v>3421</v>
      </c>
      <c r="AE289" s="84">
        <v>43355</v>
      </c>
      <c r="AF289" s="83">
        <v>44298</v>
      </c>
      <c r="AG289" s="77">
        <f t="shared" si="64"/>
        <v>943</v>
      </c>
      <c r="AH289" s="41" t="s">
        <v>3415</v>
      </c>
      <c r="AI289" s="27"/>
      <c r="AJ289" s="17"/>
      <c r="AK289" s="11"/>
      <c r="AL289" s="11"/>
      <c r="AM289" s="11"/>
      <c r="AN289" s="11"/>
      <c r="AO289" s="268"/>
      <c r="AP289" s="268"/>
      <c r="AR289" s="31"/>
    </row>
    <row r="290" spans="1:44" s="176" customFormat="1" ht="17.100000000000001" customHeight="1">
      <c r="A290" s="41"/>
      <c r="B290" s="79">
        <v>-65</v>
      </c>
      <c r="C290" s="80">
        <v>-13</v>
      </c>
      <c r="D290" s="79">
        <v>-65</v>
      </c>
      <c r="E290" s="80">
        <v>-13</v>
      </c>
      <c r="F290" s="6">
        <v>3.72</v>
      </c>
      <c r="G290" s="79">
        <v>9907</v>
      </c>
      <c r="H290" s="50" t="s">
        <v>1410</v>
      </c>
      <c r="I290" s="158" t="s">
        <v>3421</v>
      </c>
      <c r="J290" s="73">
        <v>77.790000000000006</v>
      </c>
      <c r="K290" s="323">
        <v>14.18</v>
      </c>
      <c r="L290" s="73">
        <v>0.6</v>
      </c>
      <c r="M290" s="318"/>
      <c r="N290" s="73">
        <f t="shared" si="60"/>
        <v>1034.57</v>
      </c>
      <c r="O290" s="81">
        <f>IFERROR(VLOOKUP($G290,'321買'!A:E,3,0),"'沒有資料'")</f>
        <v>0</v>
      </c>
      <c r="P290" s="380">
        <f>IFERROR(VLOOKUP($G290,'321買'!$A:$G,7,0),"'沒有資料'")</f>
        <v>911</v>
      </c>
      <c r="Q290" s="302"/>
      <c r="R290" s="297">
        <f>IFERROR(RANK(VLOOKUP($G290,連買!$A:$D,4,0),連買!$D:$D,0),"'沒有資料'")</f>
        <v>942</v>
      </c>
      <c r="S290" s="197">
        <v>0.47</v>
      </c>
      <c r="T290" s="354"/>
      <c r="U290" s="57">
        <f>S290/V290</f>
        <v>3.5471698113207543E-2</v>
      </c>
      <c r="V290" s="170">
        <v>13.25</v>
      </c>
      <c r="W290" s="65">
        <v>11</v>
      </c>
      <c r="X290" s="167">
        <f t="shared" si="62"/>
        <v>2.25</v>
      </c>
      <c r="Y290" s="163">
        <f t="shared" si="63"/>
        <v>0.20454545454545456</v>
      </c>
      <c r="Z290" s="131" t="s">
        <v>2213</v>
      </c>
      <c r="AA290" s="126"/>
      <c r="AB290" s="251"/>
      <c r="AC290" s="410"/>
      <c r="AD290" s="158" t="s">
        <v>3421</v>
      </c>
      <c r="AE290" s="84">
        <v>44253</v>
      </c>
      <c r="AF290" s="83">
        <v>44298</v>
      </c>
      <c r="AG290" s="33">
        <f>AF290-AE290</f>
        <v>45</v>
      </c>
      <c r="AH290" s="41" t="s">
        <v>3107</v>
      </c>
      <c r="AJ290" s="17"/>
      <c r="AK290" s="11"/>
      <c r="AL290" s="11"/>
      <c r="AM290" s="11"/>
      <c r="AN290" s="11"/>
      <c r="AO290" s="268"/>
      <c r="AP290" s="268"/>
      <c r="AR290" s="31"/>
    </row>
    <row r="291" spans="1:44" s="176" customFormat="1" ht="17.100000000000001" customHeight="1">
      <c r="A291" s="41"/>
      <c r="B291" s="79">
        <v>-65</v>
      </c>
      <c r="C291" s="80">
        <v>-13</v>
      </c>
      <c r="D291" s="79">
        <v>-65</v>
      </c>
      <c r="E291" s="80">
        <v>-13</v>
      </c>
      <c r="F291" s="6">
        <v>3.72</v>
      </c>
      <c r="G291" s="79">
        <v>9907</v>
      </c>
      <c r="H291" s="50" t="s">
        <v>1410</v>
      </c>
      <c r="I291" s="158" t="s">
        <v>3421</v>
      </c>
      <c r="J291" s="73">
        <v>77.790000000000006</v>
      </c>
      <c r="K291" s="323">
        <v>14.18</v>
      </c>
      <c r="L291" s="73">
        <v>0.6</v>
      </c>
      <c r="M291" s="318"/>
      <c r="N291" s="73">
        <f t="shared" si="60"/>
        <v>1034.57</v>
      </c>
      <c r="O291" s="81">
        <f>IFERROR(VLOOKUP($G291,'321買'!A:E,3,0),"'沒有資料'")</f>
        <v>0</v>
      </c>
      <c r="P291" s="380">
        <f>IFERROR(VLOOKUP($G291,'321買'!$A:$G,7,0),"'沒有資料'")</f>
        <v>911</v>
      </c>
      <c r="Q291" s="302"/>
      <c r="R291" s="297">
        <f>IFERROR(RANK(VLOOKUP($G291,連買!$A:$D,4,0),連買!$D:$D,0),"'沒有資料'")</f>
        <v>942</v>
      </c>
      <c r="S291" s="197">
        <v>0.47</v>
      </c>
      <c r="T291" s="354"/>
      <c r="U291" s="57">
        <f>S291/V291</f>
        <v>3.5471698113207543E-2</v>
      </c>
      <c r="V291" s="170">
        <v>13.25</v>
      </c>
      <c r="W291" s="65">
        <v>11</v>
      </c>
      <c r="X291" s="167">
        <f t="shared" si="62"/>
        <v>2.25</v>
      </c>
      <c r="Y291" s="163">
        <f t="shared" si="63"/>
        <v>0.20454545454545456</v>
      </c>
      <c r="Z291" s="131" t="s">
        <v>2213</v>
      </c>
      <c r="AA291" s="126"/>
      <c r="AB291" s="251"/>
      <c r="AC291" s="410"/>
      <c r="AD291" s="158" t="s">
        <v>3421</v>
      </c>
      <c r="AE291" s="84">
        <v>44253</v>
      </c>
      <c r="AF291" s="83">
        <v>44298</v>
      </c>
      <c r="AG291" s="33">
        <f>AF291-AE291</f>
        <v>45</v>
      </c>
      <c r="AH291" s="41" t="s">
        <v>3107</v>
      </c>
      <c r="AJ291" s="17"/>
      <c r="AK291" s="11"/>
      <c r="AL291" s="11"/>
      <c r="AM291" s="11"/>
      <c r="AN291" s="11"/>
      <c r="AO291" s="268"/>
      <c r="AP291" s="268"/>
      <c r="AR291" s="31"/>
    </row>
    <row r="292" spans="1:44" s="176" customFormat="1" ht="17.100000000000001" customHeight="1">
      <c r="A292" s="41"/>
      <c r="B292" s="79">
        <v>-65</v>
      </c>
      <c r="C292" s="80">
        <v>-13</v>
      </c>
      <c r="D292" s="79">
        <v>-65</v>
      </c>
      <c r="E292" s="80">
        <v>-13</v>
      </c>
      <c r="F292" s="6">
        <v>3.72</v>
      </c>
      <c r="G292" s="79">
        <v>9907</v>
      </c>
      <c r="H292" s="50" t="s">
        <v>1410</v>
      </c>
      <c r="I292" s="158" t="s">
        <v>3421</v>
      </c>
      <c r="J292" s="73">
        <v>77.790000000000006</v>
      </c>
      <c r="K292" s="323">
        <v>14.18</v>
      </c>
      <c r="L292" s="73">
        <v>0.6</v>
      </c>
      <c r="M292" s="318"/>
      <c r="N292" s="73">
        <f t="shared" si="60"/>
        <v>1034.57</v>
      </c>
      <c r="O292" s="81">
        <f>IFERROR(VLOOKUP($G292,'321買'!A:E,3,0),"'沒有資料'")</f>
        <v>0</v>
      </c>
      <c r="P292" s="380">
        <f>IFERROR(VLOOKUP($G292,'321買'!$A:$G,7,0),"'沒有資料'")</f>
        <v>911</v>
      </c>
      <c r="Q292" s="302"/>
      <c r="R292" s="297">
        <f>IFERROR(RANK(VLOOKUP($G292,連買!$A:$D,4,0),連買!$D:$D,0),"'沒有資料'")</f>
        <v>942</v>
      </c>
      <c r="S292" s="197">
        <v>0.47</v>
      </c>
      <c r="T292" s="354"/>
      <c r="U292" s="57">
        <f>S292/V292</f>
        <v>3.5471698113207543E-2</v>
      </c>
      <c r="V292" s="170">
        <v>13.25</v>
      </c>
      <c r="W292" s="65">
        <f>15.72-0.5-0.47</f>
        <v>14.75</v>
      </c>
      <c r="X292" s="167">
        <f t="shared" si="62"/>
        <v>-1.5</v>
      </c>
      <c r="Y292" s="169">
        <f t="shared" si="63"/>
        <v>-0.10169491525423729</v>
      </c>
      <c r="Z292" s="116" t="s">
        <v>3445</v>
      </c>
      <c r="AA292" s="126"/>
      <c r="AB292" s="251"/>
      <c r="AC292" s="410"/>
      <c r="AD292" s="158" t="s">
        <v>3421</v>
      </c>
      <c r="AE292" s="84">
        <v>42825</v>
      </c>
      <c r="AF292" s="83">
        <v>44298</v>
      </c>
      <c r="AG292" s="138">
        <f>AF292-AE292</f>
        <v>1473</v>
      </c>
      <c r="AH292" s="41" t="s">
        <v>3107</v>
      </c>
      <c r="AJ292" s="17"/>
      <c r="AK292" s="11"/>
      <c r="AL292" s="11"/>
      <c r="AM292" s="11"/>
      <c r="AN292" s="11"/>
      <c r="AO292" s="268"/>
      <c r="AP292" s="268"/>
      <c r="AR292" s="31"/>
    </row>
    <row r="293" spans="1:44" s="176" customFormat="1" ht="17.100000000000001" customHeight="1">
      <c r="A293" s="41"/>
      <c r="B293" s="79">
        <v>-65</v>
      </c>
      <c r="C293" s="80">
        <v>-13</v>
      </c>
      <c r="D293" s="79">
        <v>-65</v>
      </c>
      <c r="E293" s="80">
        <v>-13</v>
      </c>
      <c r="F293" s="6">
        <v>3.72</v>
      </c>
      <c r="G293" s="79">
        <v>9907</v>
      </c>
      <c r="H293" s="50" t="s">
        <v>1410</v>
      </c>
      <c r="I293" s="158" t="s">
        <v>3421</v>
      </c>
      <c r="J293" s="73">
        <v>77.790000000000006</v>
      </c>
      <c r="K293" s="323">
        <v>14.18</v>
      </c>
      <c r="L293" s="73">
        <v>0.6</v>
      </c>
      <c r="M293" s="318"/>
      <c r="N293" s="73">
        <f t="shared" si="60"/>
        <v>1034.57</v>
      </c>
      <c r="O293" s="81">
        <f>IFERROR(VLOOKUP($G293,'321買'!A:E,3,0),"'沒有資料'")</f>
        <v>0</v>
      </c>
      <c r="P293" s="380">
        <f>IFERROR(VLOOKUP($G293,'321買'!$A:$G,7,0),"'沒有資料'")</f>
        <v>911</v>
      </c>
      <c r="Q293" s="302"/>
      <c r="R293" s="297">
        <f>IFERROR(RANK(VLOOKUP($G293,連買!$A:$D,4,0),連買!$D:$D,0),"'沒有資料'")</f>
        <v>942</v>
      </c>
      <c r="S293" s="197">
        <v>0.47</v>
      </c>
      <c r="T293" s="354"/>
      <c r="U293" s="57">
        <f t="shared" si="61"/>
        <v>1.7735849056603772E-2</v>
      </c>
      <c r="V293" s="170">
        <f>13.25*2</f>
        <v>26.5</v>
      </c>
      <c r="W293" s="65">
        <f>(13.72-0.47)*AH293</f>
        <v>26.5</v>
      </c>
      <c r="X293" s="167">
        <f t="shared" si="62"/>
        <v>0</v>
      </c>
      <c r="Y293" s="163">
        <f t="shared" si="63"/>
        <v>0</v>
      </c>
      <c r="Z293" s="114" t="s">
        <v>1512</v>
      </c>
      <c r="AA293" s="126"/>
      <c r="AB293" s="251"/>
      <c r="AC293" s="410"/>
      <c r="AD293" s="158" t="s">
        <v>3421</v>
      </c>
      <c r="AE293" s="84">
        <v>43335</v>
      </c>
      <c r="AF293" s="83">
        <v>44298</v>
      </c>
      <c r="AG293" s="77">
        <f t="shared" si="64"/>
        <v>963</v>
      </c>
      <c r="AH293" s="41" t="s">
        <v>3415</v>
      </c>
      <c r="AI293" s="27"/>
      <c r="AJ293" s="17"/>
      <c r="AK293" s="11"/>
      <c r="AL293" s="11"/>
      <c r="AM293" s="11"/>
      <c r="AN293" s="11"/>
      <c r="AO293" s="268"/>
      <c r="AP293" s="268"/>
      <c r="AR293" s="31"/>
    </row>
    <row r="294" spans="1:44" s="268" customFormat="1">
      <c r="A294" s="145"/>
      <c r="B294" s="80">
        <v>-67</v>
      </c>
      <c r="C294" s="80">
        <v>-13</v>
      </c>
      <c r="D294" s="80">
        <v>-67</v>
      </c>
      <c r="E294" s="80">
        <v>-13</v>
      </c>
      <c r="F294" s="6">
        <v>3.72</v>
      </c>
      <c r="G294" s="79">
        <v>9907</v>
      </c>
      <c r="H294" s="50" t="s">
        <v>1410</v>
      </c>
      <c r="I294" s="158" t="s">
        <v>3421</v>
      </c>
      <c r="J294" s="73">
        <v>77.790000000000006</v>
      </c>
      <c r="K294" s="323">
        <v>14.14</v>
      </c>
      <c r="L294" s="323">
        <v>0.56000000000000005</v>
      </c>
      <c r="M294" s="318"/>
      <c r="N294" s="73">
        <f t="shared" si="60"/>
        <v>1034.49</v>
      </c>
      <c r="O294" s="81">
        <f>IFERROR(VLOOKUP($G294,'321買'!A:E,3,0),"'沒有資料'")</f>
        <v>0</v>
      </c>
      <c r="P294" s="380">
        <f>IFERROR(VLOOKUP($G294,'321買'!$A:$G,7,0),"'沒有資料'")</f>
        <v>911</v>
      </c>
      <c r="Q294" s="302"/>
      <c r="R294" s="297">
        <f>IFERROR(RANK(VLOOKUP($G294,連買!$A:$D,4,0),連買!$D:$D,0),"'沒有資料'")</f>
        <v>942</v>
      </c>
      <c r="S294" s="197">
        <v>0.47</v>
      </c>
      <c r="T294" s="354"/>
      <c r="U294" s="57">
        <f t="shared" si="61"/>
        <v>1.7735849056603772E-2</v>
      </c>
      <c r="V294" s="166">
        <f>13.25*2</f>
        <v>26.5</v>
      </c>
      <c r="W294" s="65">
        <f>12.25*AH294</f>
        <v>24.5</v>
      </c>
      <c r="X294" s="167">
        <f t="shared" si="62"/>
        <v>2</v>
      </c>
      <c r="Y294" s="163">
        <f t="shared" si="63"/>
        <v>8.1632653061224483E-2</v>
      </c>
      <c r="Z294" s="114" t="s">
        <v>2331</v>
      </c>
      <c r="AA294" s="126"/>
      <c r="AB294" s="251"/>
      <c r="AC294" s="410"/>
      <c r="AD294" s="158" t="s">
        <v>3421</v>
      </c>
      <c r="AE294" s="84">
        <v>43697</v>
      </c>
      <c r="AF294" s="83">
        <v>44298</v>
      </c>
      <c r="AG294" s="77">
        <f t="shared" si="64"/>
        <v>601</v>
      </c>
      <c r="AH294" s="41" t="s">
        <v>3415</v>
      </c>
      <c r="AI294" s="168"/>
    </row>
    <row r="295" spans="1:44" s="268" customFormat="1">
      <c r="A295" s="147"/>
      <c r="B295" s="80">
        <v>-67</v>
      </c>
      <c r="C295" s="80">
        <v>-13</v>
      </c>
      <c r="D295" s="80">
        <v>-1</v>
      </c>
      <c r="E295" s="80">
        <v>-10</v>
      </c>
      <c r="F295" s="6">
        <v>3.72</v>
      </c>
      <c r="G295" s="79">
        <v>9907</v>
      </c>
      <c r="H295" s="50" t="s">
        <v>1410</v>
      </c>
      <c r="I295" s="158" t="s">
        <v>3421</v>
      </c>
      <c r="J295" s="323">
        <v>77.31</v>
      </c>
      <c r="K295" s="73">
        <v>14.13</v>
      </c>
      <c r="L295" s="73">
        <v>0.67</v>
      </c>
      <c r="M295" s="318"/>
      <c r="N295" s="73">
        <f t="shared" si="60"/>
        <v>1034.1100000000001</v>
      </c>
      <c r="O295" s="81">
        <f>IFERROR(VLOOKUP($G295,'321買'!A:E,3,0),"'沒有資料'")</f>
        <v>0</v>
      </c>
      <c r="P295" s="380">
        <f>IFERROR(VLOOKUP($G295,'321買'!$A:$G,7,0),"'沒有資料'")</f>
        <v>911</v>
      </c>
      <c r="Q295" s="302"/>
      <c r="R295" s="297">
        <f>IFERROR(RANK(VLOOKUP($G295,連買!$A:$D,4,0),連買!$D:$D,0),"'沒有資料'")</f>
        <v>942</v>
      </c>
      <c r="S295" s="197">
        <v>0.47</v>
      </c>
      <c r="T295" s="354"/>
      <c r="U295" s="57">
        <f t="shared" si="61"/>
        <v>8.8679245283018859E-3</v>
      </c>
      <c r="V295" s="166">
        <f>13.25*4</f>
        <v>53</v>
      </c>
      <c r="W295" s="65">
        <f>12.05*AH295</f>
        <v>48.2</v>
      </c>
      <c r="X295" s="167">
        <f t="shared" si="62"/>
        <v>4.7999999999999972</v>
      </c>
      <c r="Y295" s="163">
        <f t="shared" si="63"/>
        <v>9.9585062240663838E-2</v>
      </c>
      <c r="Z295" s="114" t="s">
        <v>3436</v>
      </c>
      <c r="AA295" s="126"/>
      <c r="AB295" s="251"/>
      <c r="AC295" s="410"/>
      <c r="AD295" s="158" t="s">
        <v>3421</v>
      </c>
      <c r="AE295" s="84">
        <v>43727</v>
      </c>
      <c r="AF295" s="83">
        <v>44298</v>
      </c>
      <c r="AG295" s="77">
        <f t="shared" si="64"/>
        <v>571</v>
      </c>
      <c r="AH295" s="41" t="s">
        <v>3423</v>
      </c>
    </row>
    <row r="296" spans="1:44" s="268" customFormat="1">
      <c r="A296" s="147"/>
      <c r="B296" s="80">
        <v>-67</v>
      </c>
      <c r="C296" s="80">
        <v>-13</v>
      </c>
      <c r="D296" s="80">
        <v>-1</v>
      </c>
      <c r="E296" s="80">
        <v>-10</v>
      </c>
      <c r="F296" s="6">
        <v>3.72</v>
      </c>
      <c r="G296" s="79">
        <v>9907</v>
      </c>
      <c r="H296" s="50" t="s">
        <v>1410</v>
      </c>
      <c r="I296" s="158" t="s">
        <v>3421</v>
      </c>
      <c r="J296" s="323">
        <v>77.31</v>
      </c>
      <c r="K296" s="73">
        <v>14.13</v>
      </c>
      <c r="L296" s="73">
        <v>0.67</v>
      </c>
      <c r="M296" s="318"/>
      <c r="N296" s="73">
        <f t="shared" si="60"/>
        <v>1034.1100000000001</v>
      </c>
      <c r="O296" s="81">
        <f>IFERROR(VLOOKUP($G296,'321買'!A:E,3,0),"'沒有資料'")</f>
        <v>0</v>
      </c>
      <c r="P296" s="380">
        <f>IFERROR(VLOOKUP($G296,'321買'!$A:$G,7,0),"'沒有資料'")</f>
        <v>911</v>
      </c>
      <c r="Q296" s="302"/>
      <c r="R296" s="297">
        <f>IFERROR(RANK(VLOOKUP($G296,連買!$A:$D,4,0),連買!$D:$D,0),"'沒有資料'")</f>
        <v>942</v>
      </c>
      <c r="S296" s="197">
        <v>0.47</v>
      </c>
      <c r="T296" s="354"/>
      <c r="U296" s="57">
        <f t="shared" si="61"/>
        <v>8.8679245283018859E-3</v>
      </c>
      <c r="V296" s="166">
        <f>13.25*4</f>
        <v>53</v>
      </c>
      <c r="W296" s="65">
        <f>12*AH296</f>
        <v>48</v>
      </c>
      <c r="X296" s="167">
        <f t="shared" si="62"/>
        <v>5</v>
      </c>
      <c r="Y296" s="163">
        <f t="shared" si="63"/>
        <v>0.10416666666666667</v>
      </c>
      <c r="Z296" s="114" t="s">
        <v>3437</v>
      </c>
      <c r="AA296" s="126"/>
      <c r="AB296" s="251"/>
      <c r="AC296" s="410"/>
      <c r="AD296" s="158" t="s">
        <v>3421</v>
      </c>
      <c r="AE296" s="84">
        <v>43727</v>
      </c>
      <c r="AF296" s="83">
        <v>44298</v>
      </c>
      <c r="AG296" s="77">
        <f t="shared" si="64"/>
        <v>571</v>
      </c>
      <c r="AH296" s="41" t="s">
        <v>3423</v>
      </c>
      <c r="AI296" s="41"/>
    </row>
    <row r="297" spans="1:44" s="268" customFormat="1">
      <c r="A297" s="130" t="s">
        <v>1709</v>
      </c>
      <c r="B297" s="79">
        <v>7</v>
      </c>
      <c r="C297" s="79">
        <v>7</v>
      </c>
      <c r="D297" s="79">
        <v>1</v>
      </c>
      <c r="E297" s="79">
        <v>8</v>
      </c>
      <c r="F297" s="57">
        <v>22.38</v>
      </c>
      <c r="G297" s="80">
        <v>5347</v>
      </c>
      <c r="H297" s="30" t="s">
        <v>1469</v>
      </c>
      <c r="I297" s="171" t="s">
        <v>33</v>
      </c>
      <c r="J297" s="323">
        <v>84.78</v>
      </c>
      <c r="K297" s="323">
        <v>41.21</v>
      </c>
      <c r="L297" s="323">
        <v>1.1200000000000001</v>
      </c>
      <c r="M297" s="318"/>
      <c r="N297" s="73">
        <f>K297+J297+L297</f>
        <v>127.11000000000001</v>
      </c>
      <c r="O297" s="81">
        <f>IFERROR(VLOOKUP($G297,'321買'!A:E,3,0),"'沒有資料'")</f>
        <v>2</v>
      </c>
      <c r="P297" s="380">
        <f>IFERROR(VLOOKUP($G297,'321買'!$A:$G,7,0),"'沒有資料'")</f>
        <v>706</v>
      </c>
      <c r="Q297" s="302"/>
      <c r="R297" s="297">
        <f>IFERROR(RANK(VLOOKUP($G297,連買!$A:$D,4,0),連買!$D:$D,0),"'沒有資料'")</f>
        <v>1623</v>
      </c>
      <c r="S297" s="197">
        <v>3.2</v>
      </c>
      <c r="T297" s="354"/>
      <c r="U297" s="57">
        <f>S297/V297</f>
        <v>2.7705627705627706E-2</v>
      </c>
      <c r="V297" s="170">
        <v>115.5</v>
      </c>
      <c r="W297" s="65">
        <v>109.5</v>
      </c>
      <c r="X297" s="167">
        <f t="shared" ref="X297:X305" si="65">V297-W297</f>
        <v>6</v>
      </c>
      <c r="Y297" s="163">
        <f t="shared" ref="Y297:Y305" si="66">X297/W297</f>
        <v>5.4794520547945202E-2</v>
      </c>
      <c r="Z297" s="172" t="s">
        <v>1674</v>
      </c>
      <c r="AA297" s="126"/>
      <c r="AB297" s="251"/>
      <c r="AC297" s="410"/>
      <c r="AD297" s="171" t="s">
        <v>33</v>
      </c>
      <c r="AE297" s="84">
        <v>44273</v>
      </c>
      <c r="AF297" s="83">
        <v>44295</v>
      </c>
      <c r="AG297" s="33">
        <f t="shared" ref="AG297:AG304" si="67">AF297-AE297</f>
        <v>22</v>
      </c>
      <c r="AH297" s="41" t="s">
        <v>1128</v>
      </c>
    </row>
    <row r="298" spans="1:44" s="268" customFormat="1">
      <c r="A298" s="130" t="s">
        <v>1863</v>
      </c>
      <c r="B298" s="79">
        <v>73</v>
      </c>
      <c r="C298" s="79">
        <v>76</v>
      </c>
      <c r="D298" s="80">
        <v>-7</v>
      </c>
      <c r="E298" s="79">
        <v>23</v>
      </c>
      <c r="F298" s="57">
        <v>21.91</v>
      </c>
      <c r="G298" s="80">
        <v>8086</v>
      </c>
      <c r="H298" s="30" t="s">
        <v>1469</v>
      </c>
      <c r="I298" s="171" t="s">
        <v>264</v>
      </c>
      <c r="J298" s="73">
        <v>45.41</v>
      </c>
      <c r="K298" s="323">
        <v>20.61</v>
      </c>
      <c r="L298" s="73">
        <v>22</v>
      </c>
      <c r="M298" s="318"/>
      <c r="N298" s="333">
        <f>K298+J298+L298</f>
        <v>88.02</v>
      </c>
      <c r="O298" s="81">
        <f>IFERROR(VLOOKUP($G298,'321買'!A:E,3,0),"'沒有資料'")</f>
        <v>33</v>
      </c>
      <c r="P298" s="380">
        <f>IFERROR(VLOOKUP($G298,'321買'!$A:$G,7,0),"'沒有資料'")</f>
        <v>117</v>
      </c>
      <c r="Q298" s="302"/>
      <c r="R298" s="297">
        <f>IFERROR(RANK(VLOOKUP($G298,連買!$A:$D,4,0),連買!$D:$D,0),"'沒有資料'")</f>
        <v>1710</v>
      </c>
      <c r="S298" s="197">
        <v>2.8</v>
      </c>
      <c r="T298" s="354"/>
      <c r="U298" s="95">
        <f t="shared" ref="U298:U314" si="68">S298/V298</f>
        <v>1.6969696969696968E-2</v>
      </c>
      <c r="V298" s="166">
        <v>165</v>
      </c>
      <c r="W298" s="160">
        <v>155.5</v>
      </c>
      <c r="X298" s="107">
        <f t="shared" si="65"/>
        <v>9.5</v>
      </c>
      <c r="Y298" s="163">
        <f t="shared" si="66"/>
        <v>6.1093247588424437E-2</v>
      </c>
      <c r="Z298" s="172" t="s">
        <v>3196</v>
      </c>
      <c r="AA298" s="126"/>
      <c r="AB298" s="251"/>
      <c r="AC298" s="410"/>
      <c r="AD298" s="171" t="s">
        <v>264</v>
      </c>
      <c r="AE298" s="84">
        <v>44292</v>
      </c>
      <c r="AF298" s="83">
        <v>44293</v>
      </c>
      <c r="AG298" s="33">
        <f t="shared" si="67"/>
        <v>1</v>
      </c>
      <c r="AH298" s="41" t="s">
        <v>1128</v>
      </c>
    </row>
    <row r="299" spans="1:44" s="268" customFormat="1">
      <c r="A299" s="146" t="s">
        <v>1996</v>
      </c>
      <c r="B299" s="79">
        <v>29</v>
      </c>
      <c r="C299" s="80">
        <v>-16</v>
      </c>
      <c r="D299" s="79">
        <v>12</v>
      </c>
      <c r="E299" s="79">
        <v>28</v>
      </c>
      <c r="F299" s="6">
        <v>4.82</v>
      </c>
      <c r="G299" s="79">
        <v>1785</v>
      </c>
      <c r="H299" s="30" t="s">
        <v>1469</v>
      </c>
      <c r="I299" s="171" t="s">
        <v>307</v>
      </c>
      <c r="J299" s="323">
        <v>35.869999999999997</v>
      </c>
      <c r="K299" s="73">
        <v>15.05</v>
      </c>
      <c r="L299" s="73">
        <v>30.14</v>
      </c>
      <c r="M299" s="318"/>
      <c r="N299" s="318">
        <f t="shared" ref="N299:N304" si="69">K299+J299+L299</f>
        <v>81.06</v>
      </c>
      <c r="O299" s="81">
        <f>IFERROR(VLOOKUP($G299,'321買'!A:E,3,0),"'沒有資料'")</f>
        <v>12</v>
      </c>
      <c r="P299" s="380">
        <f>IFERROR(VLOOKUP($G299,'321買'!$A:$G,7,0),"'沒有資料'")</f>
        <v>368</v>
      </c>
      <c r="Q299" s="302"/>
      <c r="R299" s="297">
        <f>IFERROR(RANK(VLOOKUP($G299,連買!$A:$D,4,0),連買!$D:$D,0),"'沒有資料'")</f>
        <v>372</v>
      </c>
      <c r="S299" s="197">
        <v>1</v>
      </c>
      <c r="T299" s="354"/>
      <c r="U299" s="95">
        <f t="shared" si="68"/>
        <v>1.8691588785046728E-2</v>
      </c>
      <c r="V299" s="166">
        <v>53.5</v>
      </c>
      <c r="W299" s="160">
        <v>43.25</v>
      </c>
      <c r="X299" s="167">
        <f t="shared" si="65"/>
        <v>10.25</v>
      </c>
      <c r="Y299" s="163">
        <f t="shared" si="66"/>
        <v>0.23699421965317918</v>
      </c>
      <c r="Z299" s="172" t="s">
        <v>2006</v>
      </c>
      <c r="AA299" s="126"/>
      <c r="AB299" s="251"/>
      <c r="AC299" s="410"/>
      <c r="AD299" s="171" t="s">
        <v>307</v>
      </c>
      <c r="AE299" s="84">
        <v>44228</v>
      </c>
      <c r="AF299" s="83">
        <v>44293</v>
      </c>
      <c r="AG299" s="33">
        <f t="shared" si="67"/>
        <v>65</v>
      </c>
      <c r="AH299" s="41" t="s">
        <v>1128</v>
      </c>
    </row>
    <row r="300" spans="1:44" s="268" customFormat="1">
      <c r="A300" s="146" t="s">
        <v>1996</v>
      </c>
      <c r="B300" s="79">
        <v>29</v>
      </c>
      <c r="C300" s="80">
        <v>-16</v>
      </c>
      <c r="D300" s="79">
        <v>12</v>
      </c>
      <c r="E300" s="79">
        <v>28</v>
      </c>
      <c r="F300" s="6">
        <v>4.82</v>
      </c>
      <c r="G300" s="79">
        <v>1785</v>
      </c>
      <c r="H300" s="30" t="s">
        <v>1469</v>
      </c>
      <c r="I300" s="171" t="s">
        <v>307</v>
      </c>
      <c r="J300" s="323">
        <v>35.869999999999997</v>
      </c>
      <c r="K300" s="73">
        <v>15.05</v>
      </c>
      <c r="L300" s="73">
        <v>30.14</v>
      </c>
      <c r="M300" s="318"/>
      <c r="N300" s="318">
        <f t="shared" si="69"/>
        <v>81.06</v>
      </c>
      <c r="O300" s="81">
        <f>IFERROR(VLOOKUP($G300,'321買'!A:E,3,0),"'沒有資料'")</f>
        <v>12</v>
      </c>
      <c r="P300" s="380">
        <f>IFERROR(VLOOKUP($G300,'321買'!$A:$G,7,0),"'沒有資料'")</f>
        <v>368</v>
      </c>
      <c r="Q300" s="302"/>
      <c r="R300" s="297">
        <f>IFERROR(RANK(VLOOKUP($G300,連買!$A:$D,4,0),連買!$D:$D,0),"'沒有資料'")</f>
        <v>372</v>
      </c>
      <c r="S300" s="197">
        <v>1</v>
      </c>
      <c r="T300" s="354"/>
      <c r="U300" s="95">
        <f t="shared" si="68"/>
        <v>1.8691588785046728E-2</v>
      </c>
      <c r="V300" s="166">
        <v>53.5</v>
      </c>
      <c r="W300" s="160">
        <v>42.65</v>
      </c>
      <c r="X300" s="167">
        <f t="shared" si="65"/>
        <v>10.850000000000001</v>
      </c>
      <c r="Y300" s="163">
        <f t="shared" si="66"/>
        <v>0.25439624853458387</v>
      </c>
      <c r="Z300" s="172" t="s">
        <v>3392</v>
      </c>
      <c r="AA300" s="126"/>
      <c r="AB300" s="251"/>
      <c r="AC300" s="410"/>
      <c r="AD300" s="171" t="s">
        <v>307</v>
      </c>
      <c r="AE300" s="84">
        <v>44228</v>
      </c>
      <c r="AF300" s="83">
        <v>44293</v>
      </c>
      <c r="AG300" s="33">
        <f t="shared" si="67"/>
        <v>65</v>
      </c>
      <c r="AH300" s="41" t="s">
        <v>1128</v>
      </c>
    </row>
    <row r="301" spans="1:44" s="268" customFormat="1">
      <c r="A301" s="146" t="s">
        <v>1996</v>
      </c>
      <c r="B301" s="79">
        <v>29</v>
      </c>
      <c r="C301" s="80">
        <v>-16</v>
      </c>
      <c r="D301" s="79">
        <v>12</v>
      </c>
      <c r="E301" s="79">
        <v>28</v>
      </c>
      <c r="F301" s="6">
        <v>4.82</v>
      </c>
      <c r="G301" s="79">
        <v>1785</v>
      </c>
      <c r="H301" s="30" t="s">
        <v>1469</v>
      </c>
      <c r="I301" s="171" t="s">
        <v>307</v>
      </c>
      <c r="J301" s="323">
        <v>35.869999999999997</v>
      </c>
      <c r="K301" s="73">
        <v>15.05</v>
      </c>
      <c r="L301" s="73">
        <v>30.14</v>
      </c>
      <c r="M301" s="318"/>
      <c r="N301" s="318">
        <f t="shared" si="69"/>
        <v>81.06</v>
      </c>
      <c r="O301" s="81">
        <f>IFERROR(VLOOKUP($G301,'321買'!A:E,3,0),"'沒有資料'")</f>
        <v>12</v>
      </c>
      <c r="P301" s="380">
        <f>IFERROR(VLOOKUP($G301,'321買'!$A:$G,7,0),"'沒有資料'")</f>
        <v>368</v>
      </c>
      <c r="Q301" s="302"/>
      <c r="R301" s="297">
        <f>IFERROR(RANK(VLOOKUP($G301,連買!$A:$D,4,0),連買!$D:$D,0),"'沒有資料'")</f>
        <v>372</v>
      </c>
      <c r="S301" s="197">
        <v>1</v>
      </c>
      <c r="T301" s="354"/>
      <c r="U301" s="95">
        <f t="shared" si="68"/>
        <v>1.8691588785046728E-2</v>
      </c>
      <c r="V301" s="166">
        <v>53.5</v>
      </c>
      <c r="W301" s="160">
        <v>48.35</v>
      </c>
      <c r="X301" s="167">
        <f t="shared" si="65"/>
        <v>5.1499999999999986</v>
      </c>
      <c r="Y301" s="163">
        <f t="shared" si="66"/>
        <v>0.10651499482936914</v>
      </c>
      <c r="Z301" s="172" t="s">
        <v>3393</v>
      </c>
      <c r="AA301" s="126"/>
      <c r="AB301" s="251"/>
      <c r="AC301" s="410"/>
      <c r="AD301" s="171" t="s">
        <v>307</v>
      </c>
      <c r="AE301" s="84">
        <v>44207</v>
      </c>
      <c r="AF301" s="83">
        <v>44293</v>
      </c>
      <c r="AG301" s="33">
        <f t="shared" si="67"/>
        <v>86</v>
      </c>
      <c r="AH301" s="41" t="s">
        <v>1128</v>
      </c>
    </row>
    <row r="302" spans="1:44" s="268" customFormat="1">
      <c r="A302" s="146" t="s">
        <v>1996</v>
      </c>
      <c r="B302" s="79">
        <v>29</v>
      </c>
      <c r="C302" s="80">
        <v>-16</v>
      </c>
      <c r="D302" s="79">
        <v>12</v>
      </c>
      <c r="E302" s="79">
        <v>28</v>
      </c>
      <c r="F302" s="6">
        <v>4.82</v>
      </c>
      <c r="G302" s="79">
        <v>1785</v>
      </c>
      <c r="H302" s="30" t="s">
        <v>1469</v>
      </c>
      <c r="I302" s="171" t="s">
        <v>307</v>
      </c>
      <c r="J302" s="323">
        <v>35.869999999999997</v>
      </c>
      <c r="K302" s="73">
        <v>15.05</v>
      </c>
      <c r="L302" s="73">
        <v>30.14</v>
      </c>
      <c r="M302" s="318"/>
      <c r="N302" s="318">
        <f t="shared" si="69"/>
        <v>81.06</v>
      </c>
      <c r="O302" s="81">
        <f>IFERROR(VLOOKUP($G302,'321買'!A:E,3,0),"'沒有資料'")</f>
        <v>12</v>
      </c>
      <c r="P302" s="380">
        <f>IFERROR(VLOOKUP($G302,'321買'!$A:$G,7,0),"'沒有資料'")</f>
        <v>368</v>
      </c>
      <c r="Q302" s="302"/>
      <c r="R302" s="297">
        <f>IFERROR(RANK(VLOOKUP($G302,連買!$A:$D,4,0),連買!$D:$D,0),"'沒有資料'")</f>
        <v>372</v>
      </c>
      <c r="S302" s="197">
        <v>1</v>
      </c>
      <c r="T302" s="354"/>
      <c r="U302" s="95">
        <f t="shared" si="68"/>
        <v>1.8691588785046728E-2</v>
      </c>
      <c r="V302" s="166">
        <v>53.5</v>
      </c>
      <c r="W302" s="160">
        <v>51.2</v>
      </c>
      <c r="X302" s="167">
        <f t="shared" si="65"/>
        <v>2.2999999999999972</v>
      </c>
      <c r="Y302" s="163">
        <f t="shared" si="66"/>
        <v>4.4921874999999944E-2</v>
      </c>
      <c r="Z302" s="172" t="s">
        <v>2224</v>
      </c>
      <c r="AA302" s="126"/>
      <c r="AB302" s="251"/>
      <c r="AC302" s="410"/>
      <c r="AD302" s="171" t="s">
        <v>307</v>
      </c>
      <c r="AE302" s="84">
        <v>44204</v>
      </c>
      <c r="AF302" s="83">
        <v>44293</v>
      </c>
      <c r="AG302" s="33">
        <f t="shared" si="67"/>
        <v>89</v>
      </c>
      <c r="AH302" s="41" t="s">
        <v>1128</v>
      </c>
    </row>
    <row r="303" spans="1:44" s="268" customFormat="1">
      <c r="A303" s="146" t="s">
        <v>1686</v>
      </c>
      <c r="B303" s="79">
        <v>34</v>
      </c>
      <c r="C303" s="79">
        <v>189</v>
      </c>
      <c r="D303" s="80">
        <v>-9</v>
      </c>
      <c r="E303" s="80">
        <v>-1</v>
      </c>
      <c r="F303" s="6">
        <v>5.3</v>
      </c>
      <c r="G303" s="79">
        <v>3265</v>
      </c>
      <c r="H303" s="30" t="s">
        <v>1469</v>
      </c>
      <c r="I303" s="171" t="s">
        <v>2415</v>
      </c>
      <c r="J303" s="73">
        <v>57.57</v>
      </c>
      <c r="K303" s="73">
        <v>60.12</v>
      </c>
      <c r="L303" s="73">
        <v>3.31</v>
      </c>
      <c r="M303" s="318"/>
      <c r="N303" s="73">
        <f t="shared" si="69"/>
        <v>121</v>
      </c>
      <c r="O303" s="81">
        <f>IFERROR(VLOOKUP($G303,'321買'!A:E,3,0),"'沒有資料'")</f>
        <v>1</v>
      </c>
      <c r="P303" s="380">
        <f>IFERROR(VLOOKUP($G303,'321買'!$A:$G,7,0),"'沒有資料'")</f>
        <v>783</v>
      </c>
      <c r="Q303" s="302"/>
      <c r="R303" s="297">
        <f>IFERROR(RANK(VLOOKUP($G303,連買!$A:$D,4,0),連買!$D:$D,0),"'沒有資料'")</f>
        <v>590</v>
      </c>
      <c r="S303" s="197">
        <v>1.5</v>
      </c>
      <c r="T303" s="354"/>
      <c r="U303" s="95">
        <f t="shared" si="68"/>
        <v>4.4977511244377807E-2</v>
      </c>
      <c r="V303" s="170">
        <v>33.35</v>
      </c>
      <c r="W303" s="65">
        <v>29.3</v>
      </c>
      <c r="X303" s="167">
        <f t="shared" si="65"/>
        <v>4.0500000000000007</v>
      </c>
      <c r="Y303" s="163">
        <f t="shared" si="66"/>
        <v>0.13822525597269628</v>
      </c>
      <c r="Z303" s="172" t="s">
        <v>3378</v>
      </c>
      <c r="AA303" s="126"/>
      <c r="AB303" s="251"/>
      <c r="AC303" s="410"/>
      <c r="AD303" s="171" t="s">
        <v>2415</v>
      </c>
      <c r="AE303" s="84">
        <v>44201</v>
      </c>
      <c r="AF303" s="83">
        <v>44287</v>
      </c>
      <c r="AG303" s="33">
        <f t="shared" si="67"/>
        <v>86</v>
      </c>
      <c r="AH303" s="41" t="s">
        <v>1128</v>
      </c>
      <c r="AI303" s="168"/>
    </row>
    <row r="304" spans="1:44" s="268" customFormat="1">
      <c r="A304" s="146" t="s">
        <v>1686</v>
      </c>
      <c r="B304" s="79">
        <v>34</v>
      </c>
      <c r="C304" s="79">
        <v>189</v>
      </c>
      <c r="D304" s="80">
        <v>-9</v>
      </c>
      <c r="E304" s="80">
        <v>-1</v>
      </c>
      <c r="F304" s="6">
        <v>5.3</v>
      </c>
      <c r="G304" s="79">
        <v>3265</v>
      </c>
      <c r="H304" s="30" t="s">
        <v>1469</v>
      </c>
      <c r="I304" s="171" t="s">
        <v>2415</v>
      </c>
      <c r="J304" s="73">
        <v>57.57</v>
      </c>
      <c r="K304" s="73">
        <v>60.12</v>
      </c>
      <c r="L304" s="73">
        <v>3.31</v>
      </c>
      <c r="M304" s="318"/>
      <c r="N304" s="73">
        <f t="shared" si="69"/>
        <v>121</v>
      </c>
      <c r="O304" s="81">
        <f>IFERROR(VLOOKUP($G304,'321買'!A:E,3,0),"'沒有資料'")</f>
        <v>1</v>
      </c>
      <c r="P304" s="380">
        <f>IFERROR(VLOOKUP($G304,'321買'!$A:$G,7,0),"'沒有資料'")</f>
        <v>783</v>
      </c>
      <c r="Q304" s="302"/>
      <c r="R304" s="297">
        <f>IFERROR(RANK(VLOOKUP($G304,連買!$A:$D,4,0),連買!$D:$D,0),"'沒有資料'")</f>
        <v>590</v>
      </c>
      <c r="S304" s="197">
        <v>1.5</v>
      </c>
      <c r="T304" s="354"/>
      <c r="U304" s="95">
        <f t="shared" si="68"/>
        <v>4.4977511244377807E-2</v>
      </c>
      <c r="V304" s="170">
        <v>33.35</v>
      </c>
      <c r="W304" s="65">
        <v>28.7</v>
      </c>
      <c r="X304" s="167">
        <f t="shared" si="65"/>
        <v>4.6500000000000021</v>
      </c>
      <c r="Y304" s="163">
        <f t="shared" si="66"/>
        <v>0.16202090592334503</v>
      </c>
      <c r="Z304" s="172" t="s">
        <v>1782</v>
      </c>
      <c r="AA304" s="126"/>
      <c r="AB304" s="251"/>
      <c r="AC304" s="410"/>
      <c r="AD304" s="171" t="s">
        <v>2415</v>
      </c>
      <c r="AE304" s="84">
        <v>44201</v>
      </c>
      <c r="AF304" s="83">
        <v>44287</v>
      </c>
      <c r="AG304" s="33">
        <f t="shared" si="67"/>
        <v>86</v>
      </c>
      <c r="AH304" s="41" t="s">
        <v>1128</v>
      </c>
      <c r="AI304" s="168"/>
    </row>
    <row r="305" spans="1:36" s="268" customFormat="1">
      <c r="A305" s="130" t="s">
        <v>2418</v>
      </c>
      <c r="B305" s="80">
        <v>-10</v>
      </c>
      <c r="C305" s="80">
        <v>-10</v>
      </c>
      <c r="D305" s="80">
        <v>-3</v>
      </c>
      <c r="E305" s="79">
        <v>21</v>
      </c>
      <c r="F305" s="57">
        <v>21.7</v>
      </c>
      <c r="G305" s="79">
        <v>6147</v>
      </c>
      <c r="H305" s="30" t="s">
        <v>1469</v>
      </c>
      <c r="I305" s="171" t="s">
        <v>40</v>
      </c>
      <c r="J305" s="73">
        <v>66.98</v>
      </c>
      <c r="K305" s="323">
        <v>51.61</v>
      </c>
      <c r="L305" s="323">
        <v>7.38</v>
      </c>
      <c r="M305" s="318"/>
      <c r="N305" s="73">
        <f>K305+J305+L305</f>
        <v>125.97</v>
      </c>
      <c r="O305" s="81">
        <f>IFERROR(VLOOKUP($G305,'321買'!A:E,3,0),"'沒有資料'")</f>
        <v>12</v>
      </c>
      <c r="P305" s="380">
        <f>IFERROR(VLOOKUP($G305,'321買'!$A:$G,7,0),"'沒有資料'")</f>
        <v>368</v>
      </c>
      <c r="Q305" s="302"/>
      <c r="R305" s="297">
        <f>IFERROR(RANK(VLOOKUP($G305,連買!$A:$D,4,0),連買!$D:$D,0),"'沒有資料'")</f>
        <v>229</v>
      </c>
      <c r="S305" s="197">
        <v>4.2</v>
      </c>
      <c r="T305" s="354"/>
      <c r="U305" s="57">
        <f t="shared" si="68"/>
        <v>5.4054054054054057E-2</v>
      </c>
      <c r="V305" s="170">
        <v>77.7</v>
      </c>
      <c r="W305" s="65">
        <v>75.599999999999994</v>
      </c>
      <c r="X305" s="167">
        <f t="shared" si="65"/>
        <v>2.1000000000000085</v>
      </c>
      <c r="Y305" s="163">
        <f t="shared" si="66"/>
        <v>2.7777777777777894E-2</v>
      </c>
      <c r="Z305" s="172" t="s">
        <v>3148</v>
      </c>
      <c r="AA305" s="126"/>
      <c r="AB305" s="251"/>
      <c r="AC305" s="410"/>
      <c r="AD305" s="171" t="s">
        <v>40</v>
      </c>
      <c r="AE305" s="84">
        <v>44278</v>
      </c>
      <c r="AF305" s="83">
        <v>44287</v>
      </c>
      <c r="AG305" s="33">
        <f t="shared" ref="AG305:AG314" si="70">AF305-AE305</f>
        <v>9</v>
      </c>
      <c r="AH305" s="41" t="s">
        <v>1128</v>
      </c>
      <c r="AI305" s="192"/>
      <c r="AJ305" s="191"/>
    </row>
    <row r="306" spans="1:36" s="268" customFormat="1">
      <c r="A306" s="146" t="s">
        <v>1735</v>
      </c>
      <c r="B306" s="79">
        <v>121</v>
      </c>
      <c r="C306" s="79">
        <v>196</v>
      </c>
      <c r="D306" s="79">
        <v>0</v>
      </c>
      <c r="E306" s="79">
        <v>0</v>
      </c>
      <c r="F306" s="6">
        <v>7.48</v>
      </c>
      <c r="G306" s="79">
        <v>3017</v>
      </c>
      <c r="H306" s="30" t="s">
        <v>1469</v>
      </c>
      <c r="I306" s="158" t="s">
        <v>117</v>
      </c>
      <c r="J306" s="323">
        <v>55.28</v>
      </c>
      <c r="K306" s="73">
        <v>41.5</v>
      </c>
      <c r="L306" s="73">
        <v>19.5</v>
      </c>
      <c r="M306" s="318"/>
      <c r="N306" s="73">
        <f t="shared" ref="N306:N314" si="71">K306+J306+L306</f>
        <v>116.28</v>
      </c>
      <c r="O306" s="81">
        <f>IFERROR(VLOOKUP($G306,'321買'!A:E,3,0),"'沒有資料'")</f>
        <v>73</v>
      </c>
      <c r="P306" s="380">
        <f>IFERROR(VLOOKUP($G306,'321買'!$A:$G,7,0),"'沒有資料'")</f>
        <v>28</v>
      </c>
      <c r="Q306" s="302"/>
      <c r="R306" s="297">
        <f>IFERROR(RANK(VLOOKUP($G306,連買!$A:$D,4,0),連買!$D:$D,0),"'沒有資料'")</f>
        <v>208</v>
      </c>
      <c r="S306" s="65">
        <v>1.3</v>
      </c>
      <c r="T306" s="354"/>
      <c r="U306" s="39">
        <f t="shared" si="68"/>
        <v>1.9145802650957288E-2</v>
      </c>
      <c r="V306" s="170">
        <v>67.900000000000006</v>
      </c>
      <c r="W306" s="65">
        <v>63.9</v>
      </c>
      <c r="X306" s="167">
        <f t="shared" ref="X306:X314" si="72">V306-W306</f>
        <v>4.0000000000000071</v>
      </c>
      <c r="Y306" s="163">
        <f t="shared" ref="Y306:Y314" si="73">X306/W306</f>
        <v>6.2597809076682429E-2</v>
      </c>
      <c r="Z306" s="172" t="s">
        <v>1984</v>
      </c>
      <c r="AA306" s="126"/>
      <c r="AB306" s="251"/>
      <c r="AC306" s="410"/>
      <c r="AD306" s="158" t="s">
        <v>117</v>
      </c>
      <c r="AE306" s="84">
        <v>44267</v>
      </c>
      <c r="AF306" s="83">
        <v>44287</v>
      </c>
      <c r="AG306" s="33">
        <f t="shared" si="70"/>
        <v>20</v>
      </c>
      <c r="AH306" s="41" t="s">
        <v>2318</v>
      </c>
    </row>
    <row r="307" spans="1:36" s="268" customFormat="1">
      <c r="A307" s="146" t="s">
        <v>1735</v>
      </c>
      <c r="B307" s="79">
        <v>121</v>
      </c>
      <c r="C307" s="79">
        <v>196</v>
      </c>
      <c r="D307" s="79">
        <v>0</v>
      </c>
      <c r="E307" s="79">
        <v>0</v>
      </c>
      <c r="F307" s="6">
        <v>7.48</v>
      </c>
      <c r="G307" s="79">
        <v>3017</v>
      </c>
      <c r="H307" s="30" t="s">
        <v>1469</v>
      </c>
      <c r="I307" s="158" t="s">
        <v>117</v>
      </c>
      <c r="J307" s="323">
        <v>55.28</v>
      </c>
      <c r="K307" s="73">
        <v>41.5</v>
      </c>
      <c r="L307" s="73">
        <v>19.5</v>
      </c>
      <c r="M307" s="318"/>
      <c r="N307" s="73">
        <f t="shared" si="71"/>
        <v>116.28</v>
      </c>
      <c r="O307" s="81">
        <f>IFERROR(VLOOKUP($G307,'321買'!A:E,3,0),"'沒有資料'")</f>
        <v>73</v>
      </c>
      <c r="P307" s="380">
        <f>IFERROR(VLOOKUP($G307,'321買'!$A:$G,7,0),"'沒有資料'")</f>
        <v>28</v>
      </c>
      <c r="Q307" s="302"/>
      <c r="R307" s="297">
        <f>IFERROR(RANK(VLOOKUP($G307,連買!$A:$D,4,0),連買!$D:$D,0),"'沒有資料'")</f>
        <v>208</v>
      </c>
      <c r="S307" s="65">
        <v>1.3</v>
      </c>
      <c r="T307" s="354"/>
      <c r="U307" s="39">
        <f t="shared" si="68"/>
        <v>1.9145802650957288E-2</v>
      </c>
      <c r="V307" s="170">
        <v>67.900000000000006</v>
      </c>
      <c r="W307" s="65">
        <v>63.9</v>
      </c>
      <c r="X307" s="167">
        <f t="shared" si="72"/>
        <v>4.0000000000000071</v>
      </c>
      <c r="Y307" s="163">
        <f t="shared" si="73"/>
        <v>6.2597809076682429E-2</v>
      </c>
      <c r="Z307" s="172" t="s">
        <v>1984</v>
      </c>
      <c r="AA307" s="126"/>
      <c r="AB307" s="251"/>
      <c r="AC307" s="410"/>
      <c r="AD307" s="158" t="s">
        <v>117</v>
      </c>
      <c r="AE307" s="84">
        <v>44267</v>
      </c>
      <c r="AF307" s="83">
        <v>44287</v>
      </c>
      <c r="AG307" s="33">
        <f t="shared" si="70"/>
        <v>20</v>
      </c>
      <c r="AH307" s="41" t="s">
        <v>2318</v>
      </c>
    </row>
    <row r="308" spans="1:36" s="268" customFormat="1">
      <c r="A308" s="146" t="s">
        <v>1735</v>
      </c>
      <c r="B308" s="79">
        <v>121</v>
      </c>
      <c r="C308" s="79">
        <v>196</v>
      </c>
      <c r="D308" s="79">
        <v>0</v>
      </c>
      <c r="E308" s="79">
        <v>0</v>
      </c>
      <c r="F308" s="6">
        <v>7.48</v>
      </c>
      <c r="G308" s="79">
        <v>3017</v>
      </c>
      <c r="H308" s="30" t="s">
        <v>1469</v>
      </c>
      <c r="I308" s="158" t="s">
        <v>117</v>
      </c>
      <c r="J308" s="323">
        <v>55.28</v>
      </c>
      <c r="K308" s="73">
        <v>41.5</v>
      </c>
      <c r="L308" s="73">
        <v>19.5</v>
      </c>
      <c r="M308" s="318"/>
      <c r="N308" s="73">
        <f t="shared" si="71"/>
        <v>116.28</v>
      </c>
      <c r="O308" s="81">
        <f>IFERROR(VLOOKUP($G308,'321買'!A:E,3,0),"'沒有資料'")</f>
        <v>73</v>
      </c>
      <c r="P308" s="380">
        <f>IFERROR(VLOOKUP($G308,'321買'!$A:$G,7,0),"'沒有資料'")</f>
        <v>28</v>
      </c>
      <c r="Q308" s="302"/>
      <c r="R308" s="297">
        <f>IFERROR(RANK(VLOOKUP($G308,連買!$A:$D,4,0),連買!$D:$D,0),"'沒有資料'")</f>
        <v>208</v>
      </c>
      <c r="S308" s="65">
        <v>1.3</v>
      </c>
      <c r="T308" s="354"/>
      <c r="U308" s="39">
        <f t="shared" si="68"/>
        <v>1.9145802650957288E-2</v>
      </c>
      <c r="V308" s="170">
        <v>67.900000000000006</v>
      </c>
      <c r="W308" s="65">
        <v>62.3</v>
      </c>
      <c r="X308" s="167">
        <f t="shared" si="72"/>
        <v>5.6000000000000085</v>
      </c>
      <c r="Y308" s="163">
        <f t="shared" si="73"/>
        <v>8.9887640449438339E-2</v>
      </c>
      <c r="Z308" s="172" t="s">
        <v>3379</v>
      </c>
      <c r="AA308" s="126"/>
      <c r="AB308" s="251"/>
      <c r="AC308" s="410"/>
      <c r="AD308" s="158" t="s">
        <v>117</v>
      </c>
      <c r="AE308" s="84">
        <v>44266</v>
      </c>
      <c r="AF308" s="83">
        <v>44287</v>
      </c>
      <c r="AG308" s="33">
        <f t="shared" si="70"/>
        <v>21</v>
      </c>
      <c r="AH308" s="41" t="s">
        <v>2318</v>
      </c>
    </row>
    <row r="309" spans="1:36" s="268" customFormat="1">
      <c r="A309" s="146" t="s">
        <v>1735</v>
      </c>
      <c r="B309" s="79">
        <v>121</v>
      </c>
      <c r="C309" s="79">
        <v>196</v>
      </c>
      <c r="D309" s="79">
        <v>0</v>
      </c>
      <c r="E309" s="79">
        <v>0</v>
      </c>
      <c r="F309" s="6">
        <v>7.48</v>
      </c>
      <c r="G309" s="79">
        <v>3017</v>
      </c>
      <c r="H309" s="30" t="s">
        <v>1469</v>
      </c>
      <c r="I309" s="158" t="s">
        <v>117</v>
      </c>
      <c r="J309" s="323">
        <v>55.28</v>
      </c>
      <c r="K309" s="73">
        <v>41.5</v>
      </c>
      <c r="L309" s="73">
        <v>19.5</v>
      </c>
      <c r="M309" s="318"/>
      <c r="N309" s="73">
        <f t="shared" si="71"/>
        <v>116.28</v>
      </c>
      <c r="O309" s="81">
        <f>IFERROR(VLOOKUP($G309,'321買'!A:E,3,0),"'沒有資料'")</f>
        <v>73</v>
      </c>
      <c r="P309" s="380">
        <f>IFERROR(VLOOKUP($G309,'321買'!$A:$G,7,0),"'沒有資料'")</f>
        <v>28</v>
      </c>
      <c r="Q309" s="302"/>
      <c r="R309" s="297">
        <f>IFERROR(RANK(VLOOKUP($G309,連買!$A:$D,4,0),連買!$D:$D,0),"'沒有資料'")</f>
        <v>208</v>
      </c>
      <c r="S309" s="65">
        <v>1.3</v>
      </c>
      <c r="T309" s="354"/>
      <c r="U309" s="39">
        <f t="shared" si="68"/>
        <v>1.9145802650957288E-2</v>
      </c>
      <c r="V309" s="170">
        <v>67.900000000000006</v>
      </c>
      <c r="W309" s="65">
        <v>65.5</v>
      </c>
      <c r="X309" s="167">
        <f t="shared" si="72"/>
        <v>2.4000000000000057</v>
      </c>
      <c r="Y309" s="163">
        <f t="shared" si="73"/>
        <v>3.6641221374045886E-2</v>
      </c>
      <c r="Z309" s="172" t="s">
        <v>2239</v>
      </c>
      <c r="AA309" s="126"/>
      <c r="AB309" s="251"/>
      <c r="AC309" s="410"/>
      <c r="AD309" s="158" t="s">
        <v>117</v>
      </c>
      <c r="AE309" s="84">
        <v>44258</v>
      </c>
      <c r="AF309" s="83">
        <v>44287</v>
      </c>
      <c r="AG309" s="33">
        <f t="shared" si="70"/>
        <v>29</v>
      </c>
      <c r="AH309" s="41" t="s">
        <v>2318</v>
      </c>
    </row>
    <row r="310" spans="1:36" s="268" customFormat="1">
      <c r="A310" s="146" t="s">
        <v>1735</v>
      </c>
      <c r="B310" s="79">
        <v>121</v>
      </c>
      <c r="C310" s="79">
        <v>196</v>
      </c>
      <c r="D310" s="79">
        <v>0</v>
      </c>
      <c r="E310" s="79">
        <v>0</v>
      </c>
      <c r="F310" s="6">
        <v>7.48</v>
      </c>
      <c r="G310" s="79">
        <v>3017</v>
      </c>
      <c r="H310" s="30" t="s">
        <v>1469</v>
      </c>
      <c r="I310" s="158" t="s">
        <v>117</v>
      </c>
      <c r="J310" s="323">
        <v>55.28</v>
      </c>
      <c r="K310" s="73">
        <v>41.5</v>
      </c>
      <c r="L310" s="73">
        <v>19.5</v>
      </c>
      <c r="M310" s="318"/>
      <c r="N310" s="73">
        <f t="shared" si="71"/>
        <v>116.28</v>
      </c>
      <c r="O310" s="81">
        <f>IFERROR(VLOOKUP($G310,'321買'!A:E,3,0),"'沒有資料'")</f>
        <v>73</v>
      </c>
      <c r="P310" s="380">
        <f>IFERROR(VLOOKUP($G310,'321買'!$A:$G,7,0),"'沒有資料'")</f>
        <v>28</v>
      </c>
      <c r="Q310" s="302"/>
      <c r="R310" s="297">
        <f>IFERROR(RANK(VLOOKUP($G310,連買!$A:$D,4,0),連買!$D:$D,0),"'沒有資料'")</f>
        <v>208</v>
      </c>
      <c r="S310" s="65">
        <v>1.3</v>
      </c>
      <c r="T310" s="354"/>
      <c r="U310" s="39">
        <f t="shared" si="68"/>
        <v>1.9145802650957288E-2</v>
      </c>
      <c r="V310" s="170">
        <v>67.900000000000006</v>
      </c>
      <c r="W310" s="65">
        <v>66.8</v>
      </c>
      <c r="X310" s="167">
        <f t="shared" si="72"/>
        <v>1.1000000000000085</v>
      </c>
      <c r="Y310" s="163">
        <f t="shared" si="73"/>
        <v>1.6467065868263603E-2</v>
      </c>
      <c r="Z310" s="172" t="s">
        <v>3380</v>
      </c>
      <c r="AA310" s="126"/>
      <c r="AB310" s="251"/>
      <c r="AC310" s="410"/>
      <c r="AD310" s="158" t="s">
        <v>117</v>
      </c>
      <c r="AE310" s="84">
        <v>44257</v>
      </c>
      <c r="AF310" s="83">
        <v>44287</v>
      </c>
      <c r="AG310" s="33">
        <f t="shared" si="70"/>
        <v>30</v>
      </c>
      <c r="AH310" s="41" t="s">
        <v>2318</v>
      </c>
    </row>
    <row r="311" spans="1:36" s="268" customFormat="1">
      <c r="A311" s="146" t="s">
        <v>1735</v>
      </c>
      <c r="B311" s="79">
        <v>121</v>
      </c>
      <c r="C311" s="79">
        <v>196</v>
      </c>
      <c r="D311" s="79">
        <v>0</v>
      </c>
      <c r="E311" s="79">
        <v>0</v>
      </c>
      <c r="F311" s="6">
        <v>7.48</v>
      </c>
      <c r="G311" s="79">
        <v>3017</v>
      </c>
      <c r="H311" s="30" t="s">
        <v>1469</v>
      </c>
      <c r="I311" s="158" t="s">
        <v>117</v>
      </c>
      <c r="J311" s="323">
        <v>55.28</v>
      </c>
      <c r="K311" s="73">
        <v>41.5</v>
      </c>
      <c r="L311" s="73">
        <v>19.5</v>
      </c>
      <c r="M311" s="318"/>
      <c r="N311" s="73">
        <f t="shared" si="71"/>
        <v>116.28</v>
      </c>
      <c r="O311" s="81">
        <f>IFERROR(VLOOKUP($G311,'321買'!A:E,3,0),"'沒有資料'")</f>
        <v>73</v>
      </c>
      <c r="P311" s="380">
        <f>IFERROR(VLOOKUP($G311,'321買'!$A:$G,7,0),"'沒有資料'")</f>
        <v>28</v>
      </c>
      <c r="Q311" s="302"/>
      <c r="R311" s="297">
        <f>IFERROR(RANK(VLOOKUP($G311,連買!$A:$D,4,0),連買!$D:$D,0),"'沒有資料'")</f>
        <v>208</v>
      </c>
      <c r="S311" s="65">
        <v>1.3</v>
      </c>
      <c r="T311" s="354"/>
      <c r="U311" s="39">
        <f t="shared" si="68"/>
        <v>1.9145802650957288E-2</v>
      </c>
      <c r="V311" s="170">
        <v>67.900000000000006</v>
      </c>
      <c r="W311" s="65">
        <v>66.599999999999994</v>
      </c>
      <c r="X311" s="167">
        <f t="shared" si="72"/>
        <v>1.3000000000000114</v>
      </c>
      <c r="Y311" s="163">
        <f t="shared" si="73"/>
        <v>1.951951951951969E-2</v>
      </c>
      <c r="Z311" s="172" t="s">
        <v>3446</v>
      </c>
      <c r="AA311" s="126"/>
      <c r="AB311" s="251"/>
      <c r="AC311" s="410"/>
      <c r="AD311" s="158" t="s">
        <v>117</v>
      </c>
      <c r="AE311" s="84">
        <v>44245</v>
      </c>
      <c r="AF311" s="83">
        <v>44287</v>
      </c>
      <c r="AG311" s="33">
        <f t="shared" si="70"/>
        <v>42</v>
      </c>
      <c r="AH311" s="41" t="s">
        <v>2318</v>
      </c>
    </row>
    <row r="312" spans="1:36" s="268" customFormat="1">
      <c r="A312" s="146" t="s">
        <v>1735</v>
      </c>
      <c r="B312" s="79">
        <v>121</v>
      </c>
      <c r="C312" s="79">
        <v>196</v>
      </c>
      <c r="D312" s="79">
        <v>0</v>
      </c>
      <c r="E312" s="79">
        <v>0</v>
      </c>
      <c r="F312" s="6">
        <v>7.48</v>
      </c>
      <c r="G312" s="79">
        <v>3017</v>
      </c>
      <c r="H312" s="30" t="s">
        <v>1469</v>
      </c>
      <c r="I312" s="158" t="s">
        <v>117</v>
      </c>
      <c r="J312" s="323">
        <v>55.28</v>
      </c>
      <c r="K312" s="73">
        <v>41.5</v>
      </c>
      <c r="L312" s="73">
        <v>19.5</v>
      </c>
      <c r="M312" s="318"/>
      <c r="N312" s="73">
        <f t="shared" si="71"/>
        <v>116.28</v>
      </c>
      <c r="O312" s="81">
        <f>IFERROR(VLOOKUP($G312,'321買'!A:E,3,0),"'沒有資料'")</f>
        <v>73</v>
      </c>
      <c r="P312" s="380">
        <f>IFERROR(VLOOKUP($G312,'321買'!$A:$G,7,0),"'沒有資料'")</f>
        <v>28</v>
      </c>
      <c r="Q312" s="302"/>
      <c r="R312" s="297">
        <f>IFERROR(RANK(VLOOKUP($G312,連買!$A:$D,4,0),連買!$D:$D,0),"'沒有資料'")</f>
        <v>208</v>
      </c>
      <c r="S312" s="65">
        <v>1.3</v>
      </c>
      <c r="T312" s="354"/>
      <c r="U312" s="39">
        <f t="shared" si="68"/>
        <v>1.9145802650957288E-2</v>
      </c>
      <c r="V312" s="170">
        <v>67.900000000000006</v>
      </c>
      <c r="W312" s="65">
        <v>70.400000000000006</v>
      </c>
      <c r="X312" s="167">
        <f t="shared" si="72"/>
        <v>-2.5</v>
      </c>
      <c r="Y312" s="169">
        <f t="shared" si="73"/>
        <v>-3.5511363636363633E-2</v>
      </c>
      <c r="Z312" s="173" t="s">
        <v>3381</v>
      </c>
      <c r="AA312" s="126"/>
      <c r="AB312" s="251"/>
      <c r="AC312" s="410"/>
      <c r="AD312" s="158" t="s">
        <v>117</v>
      </c>
      <c r="AE312" s="84">
        <v>44217</v>
      </c>
      <c r="AF312" s="83">
        <v>44287</v>
      </c>
      <c r="AG312" s="33">
        <f t="shared" si="70"/>
        <v>70</v>
      </c>
      <c r="AH312" s="41" t="s">
        <v>2318</v>
      </c>
    </row>
    <row r="313" spans="1:36" s="268" customFormat="1">
      <c r="A313" s="146" t="s">
        <v>1735</v>
      </c>
      <c r="B313" s="79">
        <v>121</v>
      </c>
      <c r="C313" s="79">
        <v>196</v>
      </c>
      <c r="D313" s="79">
        <v>0</v>
      </c>
      <c r="E313" s="79">
        <v>0</v>
      </c>
      <c r="F313" s="6">
        <v>7.48</v>
      </c>
      <c r="G313" s="79">
        <v>3017</v>
      </c>
      <c r="H313" s="30" t="s">
        <v>1469</v>
      </c>
      <c r="I313" s="158" t="s">
        <v>117</v>
      </c>
      <c r="J313" s="323">
        <v>55.28</v>
      </c>
      <c r="K313" s="73">
        <v>41.5</v>
      </c>
      <c r="L313" s="73">
        <v>19.5</v>
      </c>
      <c r="M313" s="318"/>
      <c r="N313" s="73">
        <f t="shared" si="71"/>
        <v>116.28</v>
      </c>
      <c r="O313" s="81">
        <f>IFERROR(VLOOKUP($G313,'321買'!A:E,3,0),"'沒有資料'")</f>
        <v>73</v>
      </c>
      <c r="P313" s="380">
        <f>IFERROR(VLOOKUP($G313,'321買'!$A:$G,7,0),"'沒有資料'")</f>
        <v>28</v>
      </c>
      <c r="Q313" s="302"/>
      <c r="R313" s="297">
        <f>IFERROR(RANK(VLOOKUP($G313,連買!$A:$D,4,0),連買!$D:$D,0),"'沒有資料'")</f>
        <v>208</v>
      </c>
      <c r="S313" s="65">
        <v>1.3</v>
      </c>
      <c r="T313" s="354"/>
      <c r="U313" s="39">
        <f t="shared" si="68"/>
        <v>1.9117647058823531E-2</v>
      </c>
      <c r="V313" s="170">
        <v>68</v>
      </c>
      <c r="W313" s="65">
        <v>74.7</v>
      </c>
      <c r="X313" s="167">
        <f t="shared" si="72"/>
        <v>-6.7000000000000028</v>
      </c>
      <c r="Y313" s="169">
        <f t="shared" si="73"/>
        <v>-8.9692101740294544E-2</v>
      </c>
      <c r="Z313" s="173" t="s">
        <v>3382</v>
      </c>
      <c r="AA313" s="126"/>
      <c r="AB313" s="251"/>
      <c r="AC313" s="410"/>
      <c r="AD313" s="158" t="s">
        <v>117</v>
      </c>
      <c r="AE313" s="84">
        <v>44211</v>
      </c>
      <c r="AF313" s="83">
        <v>44287</v>
      </c>
      <c r="AG313" s="33">
        <f t="shared" si="70"/>
        <v>76</v>
      </c>
      <c r="AH313" s="41" t="s">
        <v>2318</v>
      </c>
    </row>
    <row r="314" spans="1:36" s="268" customFormat="1">
      <c r="A314" s="130" t="s">
        <v>1724</v>
      </c>
      <c r="B314" s="79">
        <v>849</v>
      </c>
      <c r="C314" s="79">
        <v>654</v>
      </c>
      <c r="D314" s="80">
        <v>-1</v>
      </c>
      <c r="E314" s="79">
        <v>75</v>
      </c>
      <c r="F314" s="57">
        <v>24.22</v>
      </c>
      <c r="G314" s="80">
        <v>3374</v>
      </c>
      <c r="H314" s="30" t="s">
        <v>1469</v>
      </c>
      <c r="I314" s="171" t="s">
        <v>167</v>
      </c>
      <c r="J314" s="323">
        <v>48.1</v>
      </c>
      <c r="K314" s="73">
        <v>8.06</v>
      </c>
      <c r="L314" s="323">
        <v>31.97</v>
      </c>
      <c r="M314" s="318"/>
      <c r="N314" s="318">
        <f t="shared" si="71"/>
        <v>88.13</v>
      </c>
      <c r="O314" s="81">
        <f>IFERROR(VLOOKUP($G314,'321買'!A:E,3,0),"'沒有資料'")</f>
        <v>20</v>
      </c>
      <c r="P314" s="380">
        <f>IFERROR(VLOOKUP($G314,'321買'!$A:$G,7,0),"'沒有資料'")</f>
        <v>222</v>
      </c>
      <c r="Q314" s="302"/>
      <c r="R314" s="297">
        <f>IFERROR(RANK(VLOOKUP($G314,連買!$A:$D,4,0),連買!$D:$D,0),"'沒有資料'")</f>
        <v>174</v>
      </c>
      <c r="S314" s="107">
        <v>0</v>
      </c>
      <c r="T314" s="354"/>
      <c r="U314" s="95">
        <f t="shared" si="68"/>
        <v>0</v>
      </c>
      <c r="V314" s="166">
        <v>179.5</v>
      </c>
      <c r="W314" s="160">
        <v>173</v>
      </c>
      <c r="X314" s="167">
        <f t="shared" si="72"/>
        <v>6.5</v>
      </c>
      <c r="Y314" s="163">
        <f t="shared" si="73"/>
        <v>3.7572254335260118E-2</v>
      </c>
      <c r="Z314" s="172" t="s">
        <v>3136</v>
      </c>
      <c r="AA314" s="126"/>
      <c r="AB314" s="251"/>
      <c r="AC314" s="410"/>
      <c r="AD314" s="171" t="s">
        <v>167</v>
      </c>
      <c r="AE314" s="84">
        <v>44259</v>
      </c>
      <c r="AF314" s="83">
        <v>44287</v>
      </c>
      <c r="AG314" s="33">
        <f t="shared" si="70"/>
        <v>28</v>
      </c>
      <c r="AH314" s="41" t="s">
        <v>1128</v>
      </c>
    </row>
    <row r="315" spans="1:36" s="268" customFormat="1">
      <c r="A315" s="130" t="s">
        <v>1863</v>
      </c>
      <c r="B315" s="79">
        <v>73</v>
      </c>
      <c r="C315" s="79">
        <v>76</v>
      </c>
      <c r="D315" s="80">
        <v>-7</v>
      </c>
      <c r="E315" s="79">
        <v>23</v>
      </c>
      <c r="F315" s="57">
        <v>21.91</v>
      </c>
      <c r="G315" s="80">
        <v>8086</v>
      </c>
      <c r="H315" s="210" t="s">
        <v>3254</v>
      </c>
      <c r="I315" s="171" t="s">
        <v>264</v>
      </c>
      <c r="J315" s="73">
        <v>44.97</v>
      </c>
      <c r="K315" s="73">
        <v>20.73</v>
      </c>
      <c r="L315" s="323">
        <v>22</v>
      </c>
      <c r="M315" s="318"/>
      <c r="N315" s="333">
        <f>K315+J315+L315</f>
        <v>87.7</v>
      </c>
      <c r="O315" s="81">
        <f>IFERROR(VLOOKUP($G315,'321買'!A:E,3,0),"'沒有資料'")</f>
        <v>33</v>
      </c>
      <c r="P315" s="380">
        <f>IFERROR(VLOOKUP($G315,'321買'!$A:$G,7,0),"'沒有資料'")</f>
        <v>117</v>
      </c>
      <c r="Q315" s="302"/>
      <c r="R315" s="297">
        <f>IFERROR(RANK(VLOOKUP($G315,連買!$A:$D,4,0),連買!$D:$D,0),"'沒有資料'")</f>
        <v>1710</v>
      </c>
      <c r="S315" s="107">
        <v>1.7</v>
      </c>
      <c r="T315" s="354"/>
      <c r="U315" s="95">
        <f>S315/V315</f>
        <v>1.0862619808306708E-2</v>
      </c>
      <c r="V315" s="166">
        <v>156.5</v>
      </c>
      <c r="W315" s="160">
        <v>154.5</v>
      </c>
      <c r="X315" s="167">
        <f>V315-W315</f>
        <v>2</v>
      </c>
      <c r="Y315" s="163">
        <f>X315/W315</f>
        <v>1.2944983818770227E-2</v>
      </c>
      <c r="Z315" s="172" t="s">
        <v>3383</v>
      </c>
      <c r="AA315" s="126"/>
      <c r="AB315" s="251"/>
      <c r="AC315" s="410"/>
      <c r="AD315" s="171" t="s">
        <v>264</v>
      </c>
      <c r="AE315" s="84">
        <v>44286</v>
      </c>
      <c r="AF315" s="83">
        <v>44287</v>
      </c>
      <c r="AG315" s="33">
        <f>AF315-AE315</f>
        <v>1</v>
      </c>
      <c r="AH315" s="41" t="s">
        <v>1128</v>
      </c>
    </row>
    <row r="316" spans="1:36" s="268" customFormat="1">
      <c r="A316" s="130" t="s">
        <v>1863</v>
      </c>
      <c r="B316" s="79">
        <v>73</v>
      </c>
      <c r="C316" s="79">
        <v>76</v>
      </c>
      <c r="D316" s="80">
        <v>-7</v>
      </c>
      <c r="E316" s="79">
        <v>23</v>
      </c>
      <c r="F316" s="57">
        <v>21.91</v>
      </c>
      <c r="G316" s="80">
        <v>8086</v>
      </c>
      <c r="H316" s="210" t="s">
        <v>3254</v>
      </c>
      <c r="I316" s="171" t="s">
        <v>264</v>
      </c>
      <c r="J316" s="73">
        <v>44.97</v>
      </c>
      <c r="K316" s="73">
        <v>20.73</v>
      </c>
      <c r="L316" s="323">
        <v>22</v>
      </c>
      <c r="M316" s="318"/>
      <c r="N316" s="333">
        <f>K316+J316+L316</f>
        <v>87.7</v>
      </c>
      <c r="O316" s="81">
        <f>IFERROR(VLOOKUP($G316,'321買'!A:E,3,0),"'沒有資料'")</f>
        <v>33</v>
      </c>
      <c r="P316" s="380">
        <f>IFERROR(VLOOKUP($G316,'321買'!$A:$G,7,0),"'沒有資料'")</f>
        <v>117</v>
      </c>
      <c r="Q316" s="302"/>
      <c r="R316" s="297">
        <f>IFERROR(RANK(VLOOKUP($G316,連買!$A:$D,4,0),連買!$D:$D,0),"'沒有資料'")</f>
        <v>1710</v>
      </c>
      <c r="S316" s="107">
        <v>1.7</v>
      </c>
      <c r="T316" s="354"/>
      <c r="U316" s="95">
        <f>S316/V316</f>
        <v>1.0862619808306708E-2</v>
      </c>
      <c r="V316" s="166">
        <v>156.5</v>
      </c>
      <c r="W316" s="160">
        <v>154.5</v>
      </c>
      <c r="X316" s="167">
        <f>V316-W316</f>
        <v>2</v>
      </c>
      <c r="Y316" s="163">
        <f>X316/W316</f>
        <v>1.2944983818770227E-2</v>
      </c>
      <c r="Z316" s="172" t="s">
        <v>3383</v>
      </c>
      <c r="AA316" s="126"/>
      <c r="AB316" s="251"/>
      <c r="AC316" s="410"/>
      <c r="AD316" s="171" t="s">
        <v>264</v>
      </c>
      <c r="AE316" s="84">
        <v>44286</v>
      </c>
      <c r="AF316" s="83">
        <v>44287</v>
      </c>
      <c r="AG316" s="33">
        <f>AF316-AE316</f>
        <v>1</v>
      </c>
      <c r="AH316" s="41" t="s">
        <v>1128</v>
      </c>
    </row>
    <row r="317" spans="1:36" s="268" customFormat="1">
      <c r="A317" s="146"/>
      <c r="B317" s="79"/>
      <c r="C317" s="80"/>
      <c r="D317" s="79"/>
      <c r="E317" s="79"/>
      <c r="F317" s="6"/>
      <c r="G317" s="41"/>
      <c r="H317" s="30"/>
      <c r="I317" s="171"/>
      <c r="J317" s="323"/>
      <c r="K317" s="73"/>
      <c r="L317" s="73"/>
      <c r="M317" s="318"/>
      <c r="N317" s="318"/>
      <c r="O317" s="81"/>
      <c r="P317" s="374"/>
      <c r="Q317" s="302"/>
      <c r="R317" s="151"/>
      <c r="S317" s="197"/>
      <c r="T317" s="354"/>
      <c r="U317" s="95"/>
      <c r="V317" s="166">
        <f>SUM(V256:V316)</f>
        <v>4124</v>
      </c>
      <c r="W317" s="65">
        <f>SUM(W256:W316)</f>
        <v>3941</v>
      </c>
      <c r="X317" s="167">
        <f>SUM(X256:X316)</f>
        <v>183</v>
      </c>
      <c r="Y317" s="163">
        <f>X317/W317</f>
        <v>4.6434914996193857E-2</v>
      </c>
      <c r="Z317" s="172"/>
      <c r="AA317" s="126"/>
      <c r="AB317" s="251"/>
      <c r="AC317" s="410"/>
      <c r="AD317" s="158">
        <f>V317*(0.001425*0.65)+V317*0.003+W317*(0.001425*0.65)</f>
        <v>19.84220625</v>
      </c>
      <c r="AE317" s="6">
        <f>X317-AD317</f>
        <v>163.15779375</v>
      </c>
      <c r="AF317" s="83"/>
      <c r="AG317" s="119"/>
      <c r="AH317" s="41"/>
    </row>
    <row r="318" spans="1:36" s="276" customFormat="1">
      <c r="A318" s="130"/>
      <c r="B318" s="91"/>
      <c r="C318" s="91"/>
      <c r="D318" s="91"/>
      <c r="E318" s="91"/>
      <c r="F318" s="8"/>
      <c r="G318" s="25"/>
      <c r="H318" s="55"/>
      <c r="I318" s="1"/>
      <c r="J318" s="317"/>
      <c r="K318" s="317"/>
      <c r="L318" s="317"/>
      <c r="M318" s="317"/>
      <c r="N318" s="317"/>
      <c r="O318" s="81"/>
      <c r="P318" s="373"/>
      <c r="Q318" s="302"/>
      <c r="R318" s="345"/>
      <c r="S318" s="14"/>
      <c r="T318" s="354"/>
      <c r="U318" s="28"/>
      <c r="V318" s="28"/>
      <c r="W318" s="17"/>
      <c r="X318" s="14"/>
      <c r="Y318" s="21"/>
      <c r="Z318" s="25"/>
      <c r="AA318" s="126"/>
      <c r="AB318" s="251"/>
      <c r="AC318" s="410"/>
      <c r="AD318" s="244">
        <f>V317*(0.001425*0.28)+V317*0.003+W317*(0.001425*0.28)</f>
        <v>15.589935000000001</v>
      </c>
      <c r="AE318" s="71"/>
      <c r="AF318" s="72"/>
      <c r="AG318" s="32"/>
      <c r="AH318" s="46"/>
      <c r="AI318" s="168"/>
    </row>
    <row r="319" spans="1:36" s="276" customFormat="1">
      <c r="A319" s="130"/>
      <c r="B319" s="91"/>
      <c r="C319" s="91"/>
      <c r="D319" s="91"/>
      <c r="E319" s="91"/>
      <c r="F319" s="8"/>
      <c r="G319" s="25"/>
      <c r="H319" s="55"/>
      <c r="I319" s="1"/>
      <c r="J319" s="317"/>
      <c r="K319" s="317"/>
      <c r="L319" s="317"/>
      <c r="M319" s="317"/>
      <c r="N319" s="317"/>
      <c r="O319" s="350"/>
      <c r="P319" s="373"/>
      <c r="Q319" s="302"/>
      <c r="R319" s="345"/>
      <c r="S319" s="14"/>
      <c r="T319" s="354"/>
      <c r="U319" s="28"/>
      <c r="V319" s="28"/>
      <c r="W319" s="17"/>
      <c r="X319" s="14"/>
      <c r="Y319" s="21"/>
      <c r="Z319" s="25"/>
      <c r="AA319" s="126"/>
      <c r="AB319" s="251"/>
      <c r="AC319" s="410"/>
      <c r="AD319" s="158"/>
      <c r="AE319" s="71"/>
      <c r="AF319" s="72"/>
      <c r="AG319" s="32"/>
      <c r="AH319" s="46"/>
      <c r="AI319" s="168"/>
    </row>
    <row r="320" spans="1:36" s="276" customFormat="1">
      <c r="A320" s="130" t="s">
        <v>1732</v>
      </c>
      <c r="B320" s="91" t="s">
        <v>1588</v>
      </c>
      <c r="C320" s="91" t="s">
        <v>1589</v>
      </c>
      <c r="D320" s="91" t="s">
        <v>1590</v>
      </c>
      <c r="E320" s="91" t="s">
        <v>1591</v>
      </c>
      <c r="F320" s="8" t="s">
        <v>1066</v>
      </c>
      <c r="G320" s="26" t="s">
        <v>3691</v>
      </c>
      <c r="H320" s="55" t="s">
        <v>2317</v>
      </c>
      <c r="I320" s="1" t="s">
        <v>69</v>
      </c>
      <c r="J320" s="317" t="s">
        <v>1467</v>
      </c>
      <c r="K320" s="317" t="s">
        <v>1157</v>
      </c>
      <c r="L320" s="317" t="s">
        <v>2428</v>
      </c>
      <c r="M320" s="317" t="s">
        <v>1059</v>
      </c>
      <c r="N320" s="317" t="s">
        <v>3834</v>
      </c>
      <c r="O320" s="301" t="s">
        <v>3692</v>
      </c>
      <c r="P320" s="373" t="s">
        <v>3837</v>
      </c>
      <c r="Q320" s="303" t="s">
        <v>3814</v>
      </c>
      <c r="R320" s="345" t="s">
        <v>3837</v>
      </c>
      <c r="S320" s="14" t="s">
        <v>3310</v>
      </c>
      <c r="T320" s="354"/>
      <c r="U320" s="68" t="s">
        <v>3493</v>
      </c>
      <c r="V320" s="28" t="s">
        <v>3255</v>
      </c>
      <c r="W320" s="17" t="s">
        <v>1405</v>
      </c>
      <c r="X320" s="14" t="s">
        <v>2430</v>
      </c>
      <c r="Y320" s="21" t="s">
        <v>1477</v>
      </c>
      <c r="Z320" s="51" t="s">
        <v>6627</v>
      </c>
      <c r="AA320" s="406" t="s">
        <v>8647</v>
      </c>
      <c r="AB320" s="407" t="s">
        <v>8648</v>
      </c>
      <c r="AC320" s="408" t="s">
        <v>8649</v>
      </c>
      <c r="AD320" s="1" t="s">
        <v>69</v>
      </c>
      <c r="AE320" s="71" t="s">
        <v>1406</v>
      </c>
      <c r="AF320" s="72" t="s">
        <v>1163</v>
      </c>
      <c r="AG320" s="32" t="s">
        <v>1164</v>
      </c>
      <c r="AH320" s="46" t="s">
        <v>3334</v>
      </c>
      <c r="AI320" s="168"/>
    </row>
    <row r="321" spans="1:36" s="268" customFormat="1">
      <c r="A321" s="130" t="s">
        <v>3335</v>
      </c>
      <c r="B321" s="79">
        <v>151</v>
      </c>
      <c r="C321" s="79">
        <v>181</v>
      </c>
      <c r="D321" s="80">
        <v>-38</v>
      </c>
      <c r="E321" s="80">
        <v>-29</v>
      </c>
      <c r="F321" s="57">
        <v>11.29</v>
      </c>
      <c r="G321" s="80">
        <v>5457</v>
      </c>
      <c r="H321" s="30" t="s">
        <v>3337</v>
      </c>
      <c r="I321" s="171" t="s">
        <v>3336</v>
      </c>
      <c r="J321" s="73">
        <v>65.81</v>
      </c>
      <c r="K321" s="73">
        <v>46.97</v>
      </c>
      <c r="L321" s="323">
        <v>16.670000000000002</v>
      </c>
      <c r="M321" s="318"/>
      <c r="N321" s="73">
        <f>K321+J321+L321</f>
        <v>129.44999999999999</v>
      </c>
      <c r="O321" s="81">
        <f>IFERROR(VLOOKUP($G321,'321買'!A:E,3,0),"'沒有資料'")</f>
        <v>19</v>
      </c>
      <c r="P321" s="380">
        <f>IFERROR(VLOOKUP($G321,'321買'!$A:$G,7,0),"'沒有資料'")</f>
        <v>241</v>
      </c>
      <c r="Q321" s="302"/>
      <c r="R321" s="297">
        <f>IFERROR(RANK(VLOOKUP($G321,連買!$A:$D,4,0),連買!$D:$D,0),"'沒有資料'")</f>
        <v>1537</v>
      </c>
      <c r="S321" s="197">
        <v>0.5</v>
      </c>
      <c r="T321" s="354"/>
      <c r="U321" s="57">
        <f t="shared" ref="U321:U335" si="74">S321/V321</f>
        <v>5.6433408577878106E-3</v>
      </c>
      <c r="V321" s="170">
        <v>88.6</v>
      </c>
      <c r="W321" s="65">
        <v>79</v>
      </c>
      <c r="X321" s="167">
        <f>V321-W321</f>
        <v>9.5999999999999943</v>
      </c>
      <c r="Y321" s="163">
        <f>X321/W321</f>
        <v>0.12151898734177208</v>
      </c>
      <c r="Z321" s="172" t="s">
        <v>3384</v>
      </c>
      <c r="AA321" s="126"/>
      <c r="AB321" s="251"/>
      <c r="AC321" s="410"/>
      <c r="AD321" s="171" t="s">
        <v>3336</v>
      </c>
      <c r="AE321" s="84">
        <v>44284</v>
      </c>
      <c r="AF321" s="83">
        <v>44286</v>
      </c>
      <c r="AG321" s="33">
        <f>AF321-AE321</f>
        <v>2</v>
      </c>
      <c r="AH321" s="41" t="s">
        <v>3338</v>
      </c>
      <c r="AI321" s="168"/>
    </row>
    <row r="322" spans="1:36" s="268" customFormat="1">
      <c r="A322" s="130" t="s">
        <v>3339</v>
      </c>
      <c r="B322" s="79">
        <v>73</v>
      </c>
      <c r="C322" s="79">
        <v>76</v>
      </c>
      <c r="D322" s="80">
        <v>-7</v>
      </c>
      <c r="E322" s="79">
        <v>23</v>
      </c>
      <c r="F322" s="57">
        <v>21.91</v>
      </c>
      <c r="G322" s="80">
        <v>8086</v>
      </c>
      <c r="H322" s="30" t="s">
        <v>3337</v>
      </c>
      <c r="I322" s="171" t="s">
        <v>3332</v>
      </c>
      <c r="J322" s="323">
        <v>46.4</v>
      </c>
      <c r="K322" s="323">
        <v>22.03</v>
      </c>
      <c r="L322" s="73">
        <v>21.68</v>
      </c>
      <c r="M322" s="318"/>
      <c r="N322" s="333">
        <f>K322+J322+L322</f>
        <v>90.110000000000014</v>
      </c>
      <c r="O322" s="81">
        <f>IFERROR(VLOOKUP($G322,'321買'!A:E,3,0),"'沒有資料'")</f>
        <v>33</v>
      </c>
      <c r="P322" s="380">
        <f>IFERROR(VLOOKUP($G322,'321買'!$A:$G,7,0),"'沒有資料'")</f>
        <v>117</v>
      </c>
      <c r="Q322" s="302"/>
      <c r="R322" s="297">
        <f>IFERROR(RANK(VLOOKUP($G322,連買!$A:$D,4,0),連買!$D:$D,0),"'沒有資料'")</f>
        <v>1710</v>
      </c>
      <c r="S322" s="107">
        <v>1.7</v>
      </c>
      <c r="T322" s="354"/>
      <c r="U322" s="95">
        <f t="shared" si="74"/>
        <v>1.1074918566775244E-2</v>
      </c>
      <c r="V322" s="166">
        <v>153.5</v>
      </c>
      <c r="W322" s="160">
        <v>142.5</v>
      </c>
      <c r="X322" s="167">
        <f>V322-W322</f>
        <v>11</v>
      </c>
      <c r="Y322" s="163">
        <f>X322/W322</f>
        <v>7.7192982456140355E-2</v>
      </c>
      <c r="Z322" s="172" t="s">
        <v>3385</v>
      </c>
      <c r="AA322" s="126"/>
      <c r="AB322" s="251"/>
      <c r="AC322" s="410"/>
      <c r="AD322" s="171" t="s">
        <v>3332</v>
      </c>
      <c r="AE322" s="84">
        <v>44277</v>
      </c>
      <c r="AF322" s="83">
        <v>44286</v>
      </c>
      <c r="AG322" s="33">
        <f t="shared" ref="AG322:AG346" si="75">AF322-AE322</f>
        <v>9</v>
      </c>
      <c r="AH322" s="41" t="s">
        <v>3327</v>
      </c>
    </row>
    <row r="323" spans="1:36" s="268" customFormat="1">
      <c r="A323" s="130" t="s">
        <v>3339</v>
      </c>
      <c r="B323" s="79">
        <v>73</v>
      </c>
      <c r="C323" s="79">
        <v>76</v>
      </c>
      <c r="D323" s="80">
        <v>-7</v>
      </c>
      <c r="E323" s="79">
        <v>23</v>
      </c>
      <c r="F323" s="57">
        <v>21.91</v>
      </c>
      <c r="G323" s="80">
        <v>8086</v>
      </c>
      <c r="H323" s="30" t="s">
        <v>3337</v>
      </c>
      <c r="I323" s="171" t="s">
        <v>3332</v>
      </c>
      <c r="J323" s="323">
        <v>46.4</v>
      </c>
      <c r="K323" s="323">
        <v>22.03</v>
      </c>
      <c r="L323" s="73">
        <v>21.68</v>
      </c>
      <c r="M323" s="318"/>
      <c r="N323" s="333">
        <f>K323+J323+L323</f>
        <v>90.110000000000014</v>
      </c>
      <c r="O323" s="81">
        <f>IFERROR(VLOOKUP($G323,'321買'!A:E,3,0),"'沒有資料'")</f>
        <v>33</v>
      </c>
      <c r="P323" s="380">
        <f>IFERROR(VLOOKUP($G323,'321買'!$A:$G,7,0),"'沒有資料'")</f>
        <v>117</v>
      </c>
      <c r="Q323" s="302"/>
      <c r="R323" s="297">
        <f>IFERROR(RANK(VLOOKUP($G323,連買!$A:$D,4,0),連買!$D:$D,0),"'沒有資料'")</f>
        <v>1710</v>
      </c>
      <c r="S323" s="107">
        <v>1.7</v>
      </c>
      <c r="T323" s="354"/>
      <c r="U323" s="95">
        <f t="shared" si="74"/>
        <v>1.1074918566775244E-2</v>
      </c>
      <c r="V323" s="166">
        <v>153.5</v>
      </c>
      <c r="W323" s="160">
        <v>147</v>
      </c>
      <c r="X323" s="167">
        <f>V323-W323</f>
        <v>6.5</v>
      </c>
      <c r="Y323" s="163">
        <f>X323/W323</f>
        <v>4.4217687074829932E-2</v>
      </c>
      <c r="Z323" s="172" t="s">
        <v>2028</v>
      </c>
      <c r="AA323" s="126"/>
      <c r="AB323" s="251"/>
      <c r="AC323" s="410"/>
      <c r="AD323" s="171" t="s">
        <v>3332</v>
      </c>
      <c r="AE323" s="84">
        <v>44273</v>
      </c>
      <c r="AF323" s="83">
        <v>44286</v>
      </c>
      <c r="AG323" s="33">
        <f t="shared" si="75"/>
        <v>13</v>
      </c>
      <c r="AH323" s="41" t="s">
        <v>3327</v>
      </c>
    </row>
    <row r="324" spans="1:36" s="268" customFormat="1">
      <c r="A324" s="130" t="s">
        <v>3330</v>
      </c>
      <c r="B324" s="79">
        <v>7</v>
      </c>
      <c r="C324" s="79">
        <v>9</v>
      </c>
      <c r="D324" s="80">
        <v>-8</v>
      </c>
      <c r="E324" s="79">
        <v>8</v>
      </c>
      <c r="F324" s="57">
        <v>13.36</v>
      </c>
      <c r="G324" s="80">
        <v>6274</v>
      </c>
      <c r="H324" s="30" t="s">
        <v>3337</v>
      </c>
      <c r="I324" s="171" t="s">
        <v>3331</v>
      </c>
      <c r="J324" s="323">
        <v>63.51</v>
      </c>
      <c r="K324" s="323">
        <v>53.2</v>
      </c>
      <c r="L324" s="323">
        <v>6.74</v>
      </c>
      <c r="M324" s="318"/>
      <c r="N324" s="73">
        <f t="shared" ref="N324:N335" si="76">K324+J324+L324</f>
        <v>123.45</v>
      </c>
      <c r="O324" s="81">
        <f>IFERROR(VLOOKUP($G324,'321買'!A:E,3,0),"'沒有資料'")</f>
        <v>10</v>
      </c>
      <c r="P324" s="380">
        <f>IFERROR(VLOOKUP($G324,'321買'!$A:$G,7,0),"'沒有資料'")</f>
        <v>433</v>
      </c>
      <c r="Q324" s="302"/>
      <c r="R324" s="297">
        <f>IFERROR(RANK(VLOOKUP($G324,連買!$A:$D,4,0),連買!$D:$D,0),"'沒有資料'")</f>
        <v>1195</v>
      </c>
      <c r="S324" s="197">
        <v>4.5999999999999996</v>
      </c>
      <c r="T324" s="354"/>
      <c r="U324" s="57">
        <f t="shared" si="74"/>
        <v>3.9316239316239315E-2</v>
      </c>
      <c r="V324" s="170">
        <v>117</v>
      </c>
      <c r="W324" s="65">
        <v>113</v>
      </c>
      <c r="X324" s="167">
        <f t="shared" ref="X324:X346" si="77">V324-W324</f>
        <v>4</v>
      </c>
      <c r="Y324" s="163">
        <f t="shared" ref="Y324:Y346" si="78">X324/W324</f>
        <v>3.5398230088495575E-2</v>
      </c>
      <c r="Z324" s="172" t="s">
        <v>3163</v>
      </c>
      <c r="AA324" s="126"/>
      <c r="AB324" s="251"/>
      <c r="AC324" s="410"/>
      <c r="AD324" s="171" t="s">
        <v>3331</v>
      </c>
      <c r="AE324" s="84">
        <v>44263</v>
      </c>
      <c r="AF324" s="83">
        <v>44277</v>
      </c>
      <c r="AG324" s="33">
        <f t="shared" si="75"/>
        <v>14</v>
      </c>
      <c r="AH324" s="41" t="s">
        <v>3327</v>
      </c>
    </row>
    <row r="325" spans="1:36" s="268" customFormat="1">
      <c r="A325" s="130" t="s">
        <v>3328</v>
      </c>
      <c r="B325" s="80">
        <v>-10</v>
      </c>
      <c r="C325" s="80">
        <v>-10</v>
      </c>
      <c r="D325" s="80">
        <v>-3</v>
      </c>
      <c r="E325" s="79">
        <v>21</v>
      </c>
      <c r="F325" s="57">
        <v>21.7</v>
      </c>
      <c r="G325" s="79">
        <v>6147</v>
      </c>
      <c r="H325" s="30" t="s">
        <v>3337</v>
      </c>
      <c r="I325" s="171" t="s">
        <v>3329</v>
      </c>
      <c r="J325" s="73">
        <v>68.209999999999994</v>
      </c>
      <c r="K325" s="73">
        <v>51.18</v>
      </c>
      <c r="L325" s="73">
        <v>6.09</v>
      </c>
      <c r="M325" s="318"/>
      <c r="N325" s="73">
        <f t="shared" si="76"/>
        <v>125.47999999999999</v>
      </c>
      <c r="O325" s="81">
        <f>IFERROR(VLOOKUP($G325,'321買'!A:E,3,0),"'沒有資料'")</f>
        <v>12</v>
      </c>
      <c r="P325" s="380">
        <f>IFERROR(VLOOKUP($G325,'321買'!$A:$G,7,0),"'沒有資料'")</f>
        <v>368</v>
      </c>
      <c r="Q325" s="302"/>
      <c r="R325" s="297">
        <f>IFERROR(RANK(VLOOKUP($G325,連買!$A:$D,4,0),連買!$D:$D,0),"'沒有資料'")</f>
        <v>229</v>
      </c>
      <c r="S325" s="197">
        <v>4.2</v>
      </c>
      <c r="T325" s="354"/>
      <c r="U325" s="57">
        <f t="shared" si="74"/>
        <v>5.3984575835475584E-2</v>
      </c>
      <c r="V325" s="170">
        <v>77.8</v>
      </c>
      <c r="W325" s="65">
        <v>72.2</v>
      </c>
      <c r="X325" s="167">
        <f t="shared" si="77"/>
        <v>5.5999999999999943</v>
      </c>
      <c r="Y325" s="163">
        <f t="shared" si="78"/>
        <v>7.7562326869806006E-2</v>
      </c>
      <c r="Z325" s="172" t="s">
        <v>1993</v>
      </c>
      <c r="AA325" s="126"/>
      <c r="AB325" s="251"/>
      <c r="AC325" s="410"/>
      <c r="AD325" s="171" t="s">
        <v>3329</v>
      </c>
      <c r="AE325" s="84">
        <v>44266</v>
      </c>
      <c r="AF325" s="83">
        <v>44273</v>
      </c>
      <c r="AG325" s="33">
        <f t="shared" si="75"/>
        <v>7</v>
      </c>
      <c r="AH325" s="41" t="s">
        <v>3327</v>
      </c>
      <c r="AI325" s="192"/>
      <c r="AJ325" s="191"/>
    </row>
    <row r="326" spans="1:36" s="268" customFormat="1">
      <c r="A326" s="130" t="s">
        <v>3328</v>
      </c>
      <c r="B326" s="80">
        <v>-10</v>
      </c>
      <c r="C326" s="80">
        <v>-10</v>
      </c>
      <c r="D326" s="80">
        <v>-3</v>
      </c>
      <c r="E326" s="79">
        <v>21</v>
      </c>
      <c r="F326" s="57">
        <v>21.7</v>
      </c>
      <c r="G326" s="79">
        <v>6147</v>
      </c>
      <c r="H326" s="30" t="s">
        <v>3337</v>
      </c>
      <c r="I326" s="171" t="s">
        <v>3329</v>
      </c>
      <c r="J326" s="73">
        <v>68.209999999999994</v>
      </c>
      <c r="K326" s="73">
        <v>51.18</v>
      </c>
      <c r="L326" s="73">
        <v>6.09</v>
      </c>
      <c r="M326" s="318"/>
      <c r="N326" s="73">
        <f t="shared" si="76"/>
        <v>125.47999999999999</v>
      </c>
      <c r="O326" s="81">
        <f>IFERROR(VLOOKUP($G326,'321買'!A:E,3,0),"'沒有資料'")</f>
        <v>12</v>
      </c>
      <c r="P326" s="380">
        <f>IFERROR(VLOOKUP($G326,'321買'!$A:$G,7,0),"'沒有資料'")</f>
        <v>368</v>
      </c>
      <c r="Q326" s="302"/>
      <c r="R326" s="297">
        <f>IFERROR(RANK(VLOOKUP($G326,連買!$A:$D,4,0),連買!$D:$D,0),"'沒有資料'")</f>
        <v>229</v>
      </c>
      <c r="S326" s="197">
        <v>4.2</v>
      </c>
      <c r="T326" s="354"/>
      <c r="U326" s="57">
        <f t="shared" si="74"/>
        <v>5.3984575835475584E-2</v>
      </c>
      <c r="V326" s="170">
        <v>77.8</v>
      </c>
      <c r="W326" s="65">
        <v>72.2</v>
      </c>
      <c r="X326" s="167">
        <f t="shared" si="77"/>
        <v>5.5999999999999943</v>
      </c>
      <c r="Y326" s="163">
        <f t="shared" si="78"/>
        <v>7.7562326869806006E-2</v>
      </c>
      <c r="Z326" s="172" t="s">
        <v>1993</v>
      </c>
      <c r="AA326" s="126"/>
      <c r="AB326" s="251"/>
      <c r="AC326" s="410"/>
      <c r="AD326" s="171" t="s">
        <v>3329</v>
      </c>
      <c r="AE326" s="84">
        <v>44266</v>
      </c>
      <c r="AF326" s="83">
        <v>44273</v>
      </c>
      <c r="AG326" s="33">
        <f t="shared" si="75"/>
        <v>7</v>
      </c>
      <c r="AH326" s="41" t="s">
        <v>3327</v>
      </c>
      <c r="AI326" s="192"/>
      <c r="AJ326" s="191"/>
    </row>
    <row r="327" spans="1:36" s="268" customFormat="1">
      <c r="A327" s="130" t="s">
        <v>3328</v>
      </c>
      <c r="B327" s="80">
        <v>-10</v>
      </c>
      <c r="C327" s="80">
        <v>-10</v>
      </c>
      <c r="D327" s="80">
        <v>-3</v>
      </c>
      <c r="E327" s="79">
        <v>21</v>
      </c>
      <c r="F327" s="57">
        <v>21.7</v>
      </c>
      <c r="G327" s="79">
        <v>6147</v>
      </c>
      <c r="H327" s="30" t="s">
        <v>3337</v>
      </c>
      <c r="I327" s="171" t="s">
        <v>3329</v>
      </c>
      <c r="J327" s="73">
        <v>68.209999999999994</v>
      </c>
      <c r="K327" s="73">
        <v>51.18</v>
      </c>
      <c r="L327" s="73">
        <v>6.09</v>
      </c>
      <c r="M327" s="318"/>
      <c r="N327" s="73">
        <f t="shared" si="76"/>
        <v>125.47999999999999</v>
      </c>
      <c r="O327" s="81">
        <f>IFERROR(VLOOKUP($G327,'321買'!A:E,3,0),"'沒有資料'")</f>
        <v>12</v>
      </c>
      <c r="P327" s="380">
        <f>IFERROR(VLOOKUP($G327,'321買'!$A:$G,7,0),"'沒有資料'")</f>
        <v>368</v>
      </c>
      <c r="Q327" s="302"/>
      <c r="R327" s="297">
        <f>IFERROR(RANK(VLOOKUP($G327,連買!$A:$D,4,0),連買!$D:$D,0),"'沒有資料'")</f>
        <v>229</v>
      </c>
      <c r="S327" s="197">
        <v>4.2</v>
      </c>
      <c r="T327" s="354"/>
      <c r="U327" s="57">
        <f t="shared" si="74"/>
        <v>5.3984575835475584E-2</v>
      </c>
      <c r="V327" s="170">
        <v>77.8</v>
      </c>
      <c r="W327" s="65">
        <v>71.2</v>
      </c>
      <c r="X327" s="167">
        <f t="shared" si="77"/>
        <v>6.5999999999999943</v>
      </c>
      <c r="Y327" s="163">
        <f t="shared" si="78"/>
        <v>9.2696629213483067E-2</v>
      </c>
      <c r="Z327" s="172" t="s">
        <v>3340</v>
      </c>
      <c r="AA327" s="126"/>
      <c r="AB327" s="251"/>
      <c r="AC327" s="410"/>
      <c r="AD327" s="171" t="s">
        <v>3329</v>
      </c>
      <c r="AE327" s="84">
        <v>44265</v>
      </c>
      <c r="AF327" s="83">
        <v>44273</v>
      </c>
      <c r="AG327" s="33">
        <f t="shared" si="75"/>
        <v>8</v>
      </c>
      <c r="AH327" s="41" t="s">
        <v>3327</v>
      </c>
      <c r="AI327" s="192"/>
      <c r="AJ327" s="191"/>
    </row>
    <row r="328" spans="1:36" s="268" customFormat="1">
      <c r="A328" s="130" t="s">
        <v>3328</v>
      </c>
      <c r="B328" s="80">
        <v>-10</v>
      </c>
      <c r="C328" s="80">
        <v>-10</v>
      </c>
      <c r="D328" s="80">
        <v>-3</v>
      </c>
      <c r="E328" s="79">
        <v>21</v>
      </c>
      <c r="F328" s="57">
        <v>21.7</v>
      </c>
      <c r="G328" s="79">
        <v>6147</v>
      </c>
      <c r="H328" s="30" t="s">
        <v>3337</v>
      </c>
      <c r="I328" s="171" t="s">
        <v>3329</v>
      </c>
      <c r="J328" s="73">
        <v>68.209999999999994</v>
      </c>
      <c r="K328" s="73">
        <v>51.18</v>
      </c>
      <c r="L328" s="73">
        <v>6.09</v>
      </c>
      <c r="M328" s="318"/>
      <c r="N328" s="73">
        <f t="shared" si="76"/>
        <v>125.47999999999999</v>
      </c>
      <c r="O328" s="81">
        <f>IFERROR(VLOOKUP($G328,'321買'!A:E,3,0),"'沒有資料'")</f>
        <v>12</v>
      </c>
      <c r="P328" s="380">
        <f>IFERROR(VLOOKUP($G328,'321買'!$A:$G,7,0),"'沒有資料'")</f>
        <v>368</v>
      </c>
      <c r="Q328" s="302"/>
      <c r="R328" s="297">
        <f>IFERROR(RANK(VLOOKUP($G328,連買!$A:$D,4,0),連買!$D:$D,0),"'沒有資料'")</f>
        <v>229</v>
      </c>
      <c r="S328" s="197">
        <v>4.2</v>
      </c>
      <c r="T328" s="354"/>
      <c r="U328" s="57">
        <f t="shared" si="74"/>
        <v>5.3984575835475584E-2</v>
      </c>
      <c r="V328" s="170">
        <v>77.8</v>
      </c>
      <c r="W328" s="65">
        <v>71.8</v>
      </c>
      <c r="X328" s="167">
        <f t="shared" si="77"/>
        <v>6</v>
      </c>
      <c r="Y328" s="163">
        <f t="shared" si="78"/>
        <v>8.3565459610027856E-2</v>
      </c>
      <c r="Z328" s="172" t="s">
        <v>3341</v>
      </c>
      <c r="AA328" s="126"/>
      <c r="AB328" s="251"/>
      <c r="AC328" s="410"/>
      <c r="AD328" s="171" t="s">
        <v>3329</v>
      </c>
      <c r="AE328" s="84">
        <v>44265</v>
      </c>
      <c r="AF328" s="83">
        <v>44273</v>
      </c>
      <c r="AG328" s="33">
        <f t="shared" si="75"/>
        <v>8</v>
      </c>
      <c r="AH328" s="41" t="s">
        <v>3327</v>
      </c>
      <c r="AI328" s="192"/>
      <c r="AJ328" s="191"/>
    </row>
    <row r="329" spans="1:36" s="268" customFormat="1">
      <c r="A329" s="130" t="s">
        <v>3328</v>
      </c>
      <c r="B329" s="80">
        <v>-10</v>
      </c>
      <c r="C329" s="80">
        <v>-10</v>
      </c>
      <c r="D329" s="80">
        <v>-3</v>
      </c>
      <c r="E329" s="79">
        <v>21</v>
      </c>
      <c r="F329" s="57">
        <v>21.7</v>
      </c>
      <c r="G329" s="79">
        <v>6147</v>
      </c>
      <c r="H329" s="30" t="s">
        <v>3337</v>
      </c>
      <c r="I329" s="171" t="s">
        <v>3329</v>
      </c>
      <c r="J329" s="73">
        <v>68.209999999999994</v>
      </c>
      <c r="K329" s="73">
        <v>51.18</v>
      </c>
      <c r="L329" s="73">
        <v>6.09</v>
      </c>
      <c r="M329" s="318"/>
      <c r="N329" s="73">
        <f t="shared" si="76"/>
        <v>125.47999999999999</v>
      </c>
      <c r="O329" s="81">
        <f>IFERROR(VLOOKUP($G329,'321買'!A:E,3,0),"'沒有資料'")</f>
        <v>12</v>
      </c>
      <c r="P329" s="380">
        <f>IFERROR(VLOOKUP($G329,'321買'!$A:$G,7,0),"'沒有資料'")</f>
        <v>368</v>
      </c>
      <c r="Q329" s="302"/>
      <c r="R329" s="297">
        <f>IFERROR(RANK(VLOOKUP($G329,連買!$A:$D,4,0),連買!$D:$D,0),"'沒有資料'")</f>
        <v>229</v>
      </c>
      <c r="S329" s="197">
        <v>4.2</v>
      </c>
      <c r="T329" s="354"/>
      <c r="U329" s="57">
        <f t="shared" si="74"/>
        <v>5.3984575835475584E-2</v>
      </c>
      <c r="V329" s="170">
        <v>77.8</v>
      </c>
      <c r="W329" s="65">
        <v>71.7</v>
      </c>
      <c r="X329" s="167">
        <f t="shared" si="77"/>
        <v>6.0999999999999943</v>
      </c>
      <c r="Y329" s="163">
        <f t="shared" si="78"/>
        <v>8.5076708507670767E-2</v>
      </c>
      <c r="Z329" s="172" t="s">
        <v>3342</v>
      </c>
      <c r="AA329" s="126"/>
      <c r="AB329" s="251"/>
      <c r="AC329" s="410"/>
      <c r="AD329" s="171" t="s">
        <v>3329</v>
      </c>
      <c r="AE329" s="84">
        <v>44264</v>
      </c>
      <c r="AF329" s="83">
        <v>44273</v>
      </c>
      <c r="AG329" s="33">
        <f t="shared" si="75"/>
        <v>9</v>
      </c>
      <c r="AH329" s="41" t="s">
        <v>3327</v>
      </c>
      <c r="AI329" s="192"/>
      <c r="AJ329" s="191"/>
    </row>
    <row r="330" spans="1:36" s="268" customFormat="1">
      <c r="A330" s="146" t="s">
        <v>3343</v>
      </c>
      <c r="B330" s="79">
        <v>7</v>
      </c>
      <c r="C330" s="79">
        <v>0</v>
      </c>
      <c r="D330" s="80">
        <v>-4</v>
      </c>
      <c r="E330" s="79">
        <v>3</v>
      </c>
      <c r="F330" s="6">
        <v>7.51</v>
      </c>
      <c r="G330" s="79">
        <v>1216</v>
      </c>
      <c r="H330" s="30" t="s">
        <v>3337</v>
      </c>
      <c r="I330" s="158" t="s">
        <v>3344</v>
      </c>
      <c r="J330" s="323">
        <v>85.35</v>
      </c>
      <c r="K330" s="73">
        <v>46.46</v>
      </c>
      <c r="L330" s="323">
        <v>0.17</v>
      </c>
      <c r="M330" s="318"/>
      <c r="N330" s="73">
        <f t="shared" si="76"/>
        <v>131.97999999999999</v>
      </c>
      <c r="O330" s="81">
        <f>IFERROR(VLOOKUP($G330,'321買'!A:E,3,0),"'沒有資料'")</f>
        <v>0</v>
      </c>
      <c r="P330" s="380">
        <f>IFERROR(VLOOKUP($G330,'321買'!$A:$G,7,0),"'沒有資料'")</f>
        <v>911</v>
      </c>
      <c r="Q330" s="302"/>
      <c r="R330" s="297">
        <f>IFERROR(RANK(VLOOKUP($G330,連買!$A:$D,4,0),連買!$D:$D,0),"'沒有資料'")</f>
        <v>1588</v>
      </c>
      <c r="S330" s="197">
        <v>2.5</v>
      </c>
      <c r="T330" s="354"/>
      <c r="U330" s="95">
        <f t="shared" si="74"/>
        <v>3.6390101892285295E-2</v>
      </c>
      <c r="V330" s="170">
        <v>68.7</v>
      </c>
      <c r="W330" s="65">
        <v>68.3</v>
      </c>
      <c r="X330" s="167">
        <f t="shared" si="77"/>
        <v>0.40000000000000568</v>
      </c>
      <c r="Y330" s="163">
        <f t="shared" si="78"/>
        <v>5.8565153733529385E-3</v>
      </c>
      <c r="Z330" s="100" t="s">
        <v>3345</v>
      </c>
      <c r="AA330" s="126"/>
      <c r="AB330" s="251"/>
      <c r="AC330" s="410"/>
      <c r="AD330" s="158" t="s">
        <v>3344</v>
      </c>
      <c r="AE330" s="84">
        <v>44225</v>
      </c>
      <c r="AF330" s="83">
        <v>44260</v>
      </c>
      <c r="AG330" s="33">
        <f t="shared" si="75"/>
        <v>35</v>
      </c>
      <c r="AH330" s="41" t="s">
        <v>3327</v>
      </c>
      <c r="AI330" s="193"/>
      <c r="AJ330" s="191"/>
    </row>
    <row r="331" spans="1:36" s="268" customFormat="1">
      <c r="A331" s="146" t="s">
        <v>3343</v>
      </c>
      <c r="B331" s="79">
        <v>7</v>
      </c>
      <c r="C331" s="79">
        <v>0</v>
      </c>
      <c r="D331" s="80">
        <v>-4</v>
      </c>
      <c r="E331" s="79">
        <v>3</v>
      </c>
      <c r="F331" s="6">
        <v>7.51</v>
      </c>
      <c r="G331" s="79">
        <v>1216</v>
      </c>
      <c r="H331" s="30" t="s">
        <v>3337</v>
      </c>
      <c r="I331" s="158" t="s">
        <v>3344</v>
      </c>
      <c r="J331" s="323">
        <v>85.35</v>
      </c>
      <c r="K331" s="73">
        <v>46.46</v>
      </c>
      <c r="L331" s="323">
        <v>0.17</v>
      </c>
      <c r="M331" s="318"/>
      <c r="N331" s="73">
        <f t="shared" si="76"/>
        <v>131.97999999999999</v>
      </c>
      <c r="O331" s="81">
        <f>IFERROR(VLOOKUP($G331,'321買'!A:E,3,0),"'沒有資料'")</f>
        <v>0</v>
      </c>
      <c r="P331" s="380">
        <f>IFERROR(VLOOKUP($G331,'321買'!$A:$G,7,0),"'沒有資料'")</f>
        <v>911</v>
      </c>
      <c r="Q331" s="302"/>
      <c r="R331" s="297">
        <f>IFERROR(RANK(VLOOKUP($G331,連買!$A:$D,4,0),連買!$D:$D,0),"'沒有資料'")</f>
        <v>1588</v>
      </c>
      <c r="S331" s="197">
        <v>2.5</v>
      </c>
      <c r="T331" s="354"/>
      <c r="U331" s="95">
        <f t="shared" si="74"/>
        <v>3.6390101892285295E-2</v>
      </c>
      <c r="V331" s="170">
        <v>68.7</v>
      </c>
      <c r="W331" s="65">
        <v>68.400000000000006</v>
      </c>
      <c r="X331" s="167">
        <f t="shared" si="77"/>
        <v>0.29999999999999716</v>
      </c>
      <c r="Y331" s="163">
        <f t="shared" si="78"/>
        <v>4.3859649122806599E-3</v>
      </c>
      <c r="Z331" s="100" t="s">
        <v>3346</v>
      </c>
      <c r="AA331" s="126"/>
      <c r="AB331" s="251"/>
      <c r="AC331" s="410"/>
      <c r="AD331" s="158" t="s">
        <v>3344</v>
      </c>
      <c r="AE331" s="84">
        <v>44225</v>
      </c>
      <c r="AF331" s="83">
        <v>44260</v>
      </c>
      <c r="AG331" s="33">
        <f t="shared" si="75"/>
        <v>35</v>
      </c>
      <c r="AH331" s="41" t="s">
        <v>3327</v>
      </c>
      <c r="AI331" s="193"/>
      <c r="AJ331" s="191"/>
    </row>
    <row r="332" spans="1:36" s="268" customFormat="1">
      <c r="A332" s="146" t="s">
        <v>3343</v>
      </c>
      <c r="B332" s="79">
        <v>7</v>
      </c>
      <c r="C332" s="79">
        <v>0</v>
      </c>
      <c r="D332" s="80">
        <v>-4</v>
      </c>
      <c r="E332" s="79">
        <v>3</v>
      </c>
      <c r="F332" s="6">
        <v>7.51</v>
      </c>
      <c r="G332" s="79">
        <v>1216</v>
      </c>
      <c r="H332" s="30" t="s">
        <v>3337</v>
      </c>
      <c r="I332" s="158" t="s">
        <v>3344</v>
      </c>
      <c r="J332" s="323">
        <v>85.35</v>
      </c>
      <c r="K332" s="73">
        <v>46.46</v>
      </c>
      <c r="L332" s="323">
        <v>0.17</v>
      </c>
      <c r="M332" s="318"/>
      <c r="N332" s="73">
        <f t="shared" si="76"/>
        <v>131.97999999999999</v>
      </c>
      <c r="O332" s="81">
        <f>IFERROR(VLOOKUP($G332,'321買'!A:E,3,0),"'沒有資料'")</f>
        <v>0</v>
      </c>
      <c r="P332" s="380">
        <f>IFERROR(VLOOKUP($G332,'321買'!$A:$G,7,0),"'沒有資料'")</f>
        <v>911</v>
      </c>
      <c r="Q332" s="302"/>
      <c r="R332" s="297">
        <f>IFERROR(RANK(VLOOKUP($G332,連買!$A:$D,4,0),連買!$D:$D,0),"'沒有資料'")</f>
        <v>1588</v>
      </c>
      <c r="S332" s="197">
        <v>2.5</v>
      </c>
      <c r="T332" s="354"/>
      <c r="U332" s="95">
        <f t="shared" si="74"/>
        <v>3.6390101892285295E-2</v>
      </c>
      <c r="V332" s="170">
        <v>68.7</v>
      </c>
      <c r="W332" s="65">
        <v>68.5</v>
      </c>
      <c r="X332" s="167">
        <f t="shared" si="77"/>
        <v>0.20000000000000284</v>
      </c>
      <c r="Y332" s="163">
        <f t="shared" si="78"/>
        <v>2.9197080291971217E-3</v>
      </c>
      <c r="Z332" s="100" t="s">
        <v>3347</v>
      </c>
      <c r="AA332" s="126"/>
      <c r="AB332" s="251"/>
      <c r="AC332" s="410"/>
      <c r="AD332" s="158" t="s">
        <v>3344</v>
      </c>
      <c r="AE332" s="84">
        <v>44225</v>
      </c>
      <c r="AF332" s="83">
        <v>44260</v>
      </c>
      <c r="AG332" s="33">
        <f t="shared" si="75"/>
        <v>35</v>
      </c>
      <c r="AH332" s="41" t="s">
        <v>3327</v>
      </c>
      <c r="AI332" s="193"/>
      <c r="AJ332" s="191"/>
    </row>
    <row r="333" spans="1:36" s="268" customFormat="1">
      <c r="A333" s="146" t="s">
        <v>3343</v>
      </c>
      <c r="B333" s="79">
        <v>7</v>
      </c>
      <c r="C333" s="79">
        <v>0</v>
      </c>
      <c r="D333" s="80">
        <v>-4</v>
      </c>
      <c r="E333" s="79">
        <v>3</v>
      </c>
      <c r="F333" s="6">
        <v>7.51</v>
      </c>
      <c r="G333" s="79">
        <v>1216</v>
      </c>
      <c r="H333" s="30" t="s">
        <v>3337</v>
      </c>
      <c r="I333" s="158" t="s">
        <v>3344</v>
      </c>
      <c r="J333" s="323">
        <v>85.35</v>
      </c>
      <c r="K333" s="73">
        <v>46.46</v>
      </c>
      <c r="L333" s="323">
        <v>0.17</v>
      </c>
      <c r="M333" s="318"/>
      <c r="N333" s="73">
        <f t="shared" si="76"/>
        <v>131.97999999999999</v>
      </c>
      <c r="O333" s="81">
        <f>IFERROR(VLOOKUP($G333,'321買'!A:E,3,0),"'沒有資料'")</f>
        <v>0</v>
      </c>
      <c r="P333" s="380">
        <f>IFERROR(VLOOKUP($G333,'321買'!$A:$G,7,0),"'沒有資料'")</f>
        <v>911</v>
      </c>
      <c r="Q333" s="302"/>
      <c r="R333" s="297">
        <f>IFERROR(RANK(VLOOKUP($G333,連買!$A:$D,4,0),連買!$D:$D,0),"'沒有資料'")</f>
        <v>1588</v>
      </c>
      <c r="S333" s="197">
        <v>2.5</v>
      </c>
      <c r="T333" s="354"/>
      <c r="U333" s="95">
        <f t="shared" si="74"/>
        <v>3.6390101892285295E-2</v>
      </c>
      <c r="V333" s="170">
        <v>68.7</v>
      </c>
      <c r="W333" s="65">
        <v>68.5</v>
      </c>
      <c r="X333" s="167">
        <f t="shared" si="77"/>
        <v>0.20000000000000284</v>
      </c>
      <c r="Y333" s="163">
        <f t="shared" si="78"/>
        <v>2.9197080291971217E-3</v>
      </c>
      <c r="Z333" s="100" t="s">
        <v>3347</v>
      </c>
      <c r="AA333" s="126"/>
      <c r="AB333" s="251"/>
      <c r="AC333" s="410"/>
      <c r="AD333" s="158" t="s">
        <v>3344</v>
      </c>
      <c r="AE333" s="84">
        <v>44225</v>
      </c>
      <c r="AF333" s="83">
        <v>44260</v>
      </c>
      <c r="AG333" s="33">
        <f t="shared" si="75"/>
        <v>35</v>
      </c>
      <c r="AH333" s="41" t="s">
        <v>3327</v>
      </c>
      <c r="AI333" s="193"/>
      <c r="AJ333" s="191"/>
    </row>
    <row r="334" spans="1:36" s="268" customFormat="1">
      <c r="A334" s="146" t="s">
        <v>3343</v>
      </c>
      <c r="B334" s="79">
        <v>7</v>
      </c>
      <c r="C334" s="79">
        <v>0</v>
      </c>
      <c r="D334" s="80">
        <v>-4</v>
      </c>
      <c r="E334" s="79">
        <v>3</v>
      </c>
      <c r="F334" s="6">
        <v>7.51</v>
      </c>
      <c r="G334" s="79">
        <v>1216</v>
      </c>
      <c r="H334" s="30" t="s">
        <v>3337</v>
      </c>
      <c r="I334" s="158" t="s">
        <v>3344</v>
      </c>
      <c r="J334" s="323">
        <v>85.35</v>
      </c>
      <c r="K334" s="73">
        <v>46.46</v>
      </c>
      <c r="L334" s="323">
        <v>0.17</v>
      </c>
      <c r="M334" s="318"/>
      <c r="N334" s="73">
        <f t="shared" si="76"/>
        <v>131.97999999999999</v>
      </c>
      <c r="O334" s="81">
        <f>IFERROR(VLOOKUP($G334,'321買'!A:E,3,0),"'沒有資料'")</f>
        <v>0</v>
      </c>
      <c r="P334" s="380">
        <f>IFERROR(VLOOKUP($G334,'321買'!$A:$G,7,0),"'沒有資料'")</f>
        <v>911</v>
      </c>
      <c r="Q334" s="302"/>
      <c r="R334" s="297">
        <f>IFERROR(RANK(VLOOKUP($G334,連買!$A:$D,4,0),連買!$D:$D,0),"'沒有資料'")</f>
        <v>1588</v>
      </c>
      <c r="S334" s="197">
        <v>2.5</v>
      </c>
      <c r="T334" s="354"/>
      <c r="U334" s="95">
        <f t="shared" si="74"/>
        <v>3.6390101892285295E-2</v>
      </c>
      <c r="V334" s="170">
        <v>68.7</v>
      </c>
      <c r="W334" s="65">
        <v>68.2</v>
      </c>
      <c r="X334" s="167">
        <f t="shared" si="77"/>
        <v>0.5</v>
      </c>
      <c r="Y334" s="163">
        <f t="shared" si="78"/>
        <v>7.3313782991202342E-3</v>
      </c>
      <c r="Z334" s="100" t="s">
        <v>3348</v>
      </c>
      <c r="AA334" s="126"/>
      <c r="AB334" s="251"/>
      <c r="AC334" s="410"/>
      <c r="AD334" s="158" t="s">
        <v>3344</v>
      </c>
      <c r="AE334" s="84">
        <v>44225</v>
      </c>
      <c r="AF334" s="83">
        <v>44260</v>
      </c>
      <c r="AG334" s="33">
        <f t="shared" si="75"/>
        <v>35</v>
      </c>
      <c r="AH334" s="41" t="s">
        <v>3327</v>
      </c>
      <c r="AI334" s="193"/>
      <c r="AJ334" s="191"/>
    </row>
    <row r="335" spans="1:36" s="268" customFormat="1">
      <c r="A335" s="146" t="s">
        <v>3343</v>
      </c>
      <c r="B335" s="79">
        <v>7</v>
      </c>
      <c r="C335" s="79">
        <v>0</v>
      </c>
      <c r="D335" s="80">
        <v>-4</v>
      </c>
      <c r="E335" s="79">
        <v>3</v>
      </c>
      <c r="F335" s="6">
        <v>7.51</v>
      </c>
      <c r="G335" s="79">
        <v>1216</v>
      </c>
      <c r="H335" s="30" t="s">
        <v>3337</v>
      </c>
      <c r="I335" s="158" t="s">
        <v>3344</v>
      </c>
      <c r="J335" s="323">
        <v>85.35</v>
      </c>
      <c r="K335" s="73">
        <v>46.46</v>
      </c>
      <c r="L335" s="323">
        <v>0.17</v>
      </c>
      <c r="M335" s="318"/>
      <c r="N335" s="73">
        <f t="shared" si="76"/>
        <v>131.97999999999999</v>
      </c>
      <c r="O335" s="81">
        <f>IFERROR(VLOOKUP($G335,'321買'!A:E,3,0),"'沒有資料'")</f>
        <v>0</v>
      </c>
      <c r="P335" s="380">
        <f>IFERROR(VLOOKUP($G335,'321買'!$A:$G,7,0),"'沒有資料'")</f>
        <v>911</v>
      </c>
      <c r="Q335" s="302"/>
      <c r="R335" s="297">
        <f>IFERROR(RANK(VLOOKUP($G335,連買!$A:$D,4,0),連買!$D:$D,0),"'沒有資料'")</f>
        <v>1588</v>
      </c>
      <c r="S335" s="197">
        <v>2.5</v>
      </c>
      <c r="T335" s="354"/>
      <c r="U335" s="95">
        <f t="shared" si="74"/>
        <v>3.6390101892285295E-2</v>
      </c>
      <c r="V335" s="170">
        <v>68.7</v>
      </c>
      <c r="W335" s="65">
        <v>68.2</v>
      </c>
      <c r="X335" s="167">
        <f t="shared" si="77"/>
        <v>0.5</v>
      </c>
      <c r="Y335" s="163">
        <f t="shared" si="78"/>
        <v>7.3313782991202342E-3</v>
      </c>
      <c r="Z335" s="100" t="s">
        <v>3348</v>
      </c>
      <c r="AA335" s="126"/>
      <c r="AB335" s="251"/>
      <c r="AC335" s="410"/>
      <c r="AD335" s="158" t="s">
        <v>3344</v>
      </c>
      <c r="AE335" s="84">
        <v>44225</v>
      </c>
      <c r="AF335" s="83">
        <v>44260</v>
      </c>
      <c r="AG335" s="33">
        <f t="shared" si="75"/>
        <v>35</v>
      </c>
      <c r="AH335" s="41" t="s">
        <v>3327</v>
      </c>
      <c r="AI335" s="193"/>
      <c r="AJ335" s="191"/>
    </row>
    <row r="336" spans="1:36" s="268" customFormat="1">
      <c r="A336" s="146" t="s">
        <v>3349</v>
      </c>
      <c r="B336" s="80">
        <v>-115</v>
      </c>
      <c r="C336" s="80">
        <v>-36</v>
      </c>
      <c r="D336" s="79">
        <v>21</v>
      </c>
      <c r="E336" s="79">
        <v>24</v>
      </c>
      <c r="F336" s="6">
        <v>3.06</v>
      </c>
      <c r="G336" s="79">
        <v>2103</v>
      </c>
      <c r="H336" s="8" t="s">
        <v>3352</v>
      </c>
      <c r="I336" s="158" t="s">
        <v>3350</v>
      </c>
      <c r="J336" s="73">
        <v>60.69</v>
      </c>
      <c r="K336" s="73">
        <v>29.52</v>
      </c>
      <c r="L336" s="73">
        <v>3.12</v>
      </c>
      <c r="M336" s="318"/>
      <c r="N336" s="318">
        <f>K336+J336+L336</f>
        <v>93.33</v>
      </c>
      <c r="O336" s="81">
        <f>IFERROR(VLOOKUP($G336,'321買'!A:E,3,0),"'沒有資料'")</f>
        <v>11</v>
      </c>
      <c r="P336" s="380">
        <f>IFERROR(VLOOKUP($G336,'321買'!$A:$G,7,0),"'沒有資料'")</f>
        <v>408</v>
      </c>
      <c r="Q336" s="302"/>
      <c r="R336" s="297">
        <f>IFERROR(RANK(VLOOKUP($G336,連買!$A:$D,4,0),連買!$D:$D,0),"'沒有資料'")</f>
        <v>1122</v>
      </c>
      <c r="S336" s="197">
        <v>0.5</v>
      </c>
      <c r="T336" s="354"/>
      <c r="U336" s="57">
        <f>S336/V336</f>
        <v>1.7953321364452424E-2</v>
      </c>
      <c r="V336" s="166">
        <v>27.85</v>
      </c>
      <c r="W336" s="65">
        <v>27.35</v>
      </c>
      <c r="X336" s="167">
        <f t="shared" si="77"/>
        <v>0.5</v>
      </c>
      <c r="Y336" s="163">
        <f t="shared" si="78"/>
        <v>1.8281535648994516E-2</v>
      </c>
      <c r="Z336" s="196" t="s">
        <v>3351</v>
      </c>
      <c r="AA336" s="126"/>
      <c r="AB336" s="251"/>
      <c r="AC336" s="410"/>
      <c r="AD336" s="158" t="s">
        <v>3350</v>
      </c>
      <c r="AE336" s="84">
        <v>44253</v>
      </c>
      <c r="AF336" s="83">
        <v>44258</v>
      </c>
      <c r="AG336" s="33">
        <f t="shared" si="75"/>
        <v>5</v>
      </c>
      <c r="AH336" s="41" t="s">
        <v>3327</v>
      </c>
      <c r="AI336" s="192"/>
      <c r="AJ336" s="191"/>
    </row>
    <row r="337" spans="1:46" s="176" customFormat="1" ht="17.100000000000001" customHeight="1">
      <c r="A337" s="41"/>
      <c r="B337" s="80">
        <v>-79</v>
      </c>
      <c r="C337" s="79">
        <v>46</v>
      </c>
      <c r="D337" s="80">
        <v>-79</v>
      </c>
      <c r="E337" s="79">
        <v>46</v>
      </c>
      <c r="F337" s="6">
        <v>-1.74</v>
      </c>
      <c r="G337" s="79">
        <v>2489</v>
      </c>
      <c r="H337" s="50" t="s">
        <v>3356</v>
      </c>
      <c r="I337" s="158" t="s">
        <v>3353</v>
      </c>
      <c r="J337" s="73">
        <v>30.17</v>
      </c>
      <c r="K337" s="323">
        <v>14.25</v>
      </c>
      <c r="L337" s="73">
        <v>4.32</v>
      </c>
      <c r="M337" s="318"/>
      <c r="N337" s="318">
        <f t="shared" ref="N337:N344" si="79">R337+K337+J337+L337</f>
        <v>1515.74</v>
      </c>
      <c r="O337" s="81">
        <f>IFERROR(VLOOKUP($G337,'321買'!A:E,3,0),"'沒有資料'")</f>
        <v>12</v>
      </c>
      <c r="P337" s="380">
        <f>IFERROR(VLOOKUP($G337,'321買'!$A:$G,7,0),"'沒有資料'")</f>
        <v>387</v>
      </c>
      <c r="Q337" s="302"/>
      <c r="R337" s="297">
        <f>IFERROR(RANK(VLOOKUP($G337,連買!$A:$D,4,0),連買!$D:$D,0),"'沒有資料'")</f>
        <v>1467</v>
      </c>
      <c r="S337" s="197">
        <v>0</v>
      </c>
      <c r="T337" s="354"/>
      <c r="U337" s="95">
        <f t="shared" ref="U337:U344" si="80">S337/V337</f>
        <v>0</v>
      </c>
      <c r="V337" s="166">
        <v>12.75</v>
      </c>
      <c r="W337" s="65">
        <f>22.63-1.7</f>
        <v>20.93</v>
      </c>
      <c r="X337" s="167">
        <f t="shared" si="77"/>
        <v>-8.18</v>
      </c>
      <c r="Y337" s="169">
        <f t="shared" si="78"/>
        <v>-0.3908265647396082</v>
      </c>
      <c r="Z337" s="115" t="s">
        <v>3354</v>
      </c>
      <c r="AA337" s="126"/>
      <c r="AB337" s="251"/>
      <c r="AC337" s="410"/>
      <c r="AD337" s="158" t="s">
        <v>3355</v>
      </c>
      <c r="AE337" s="84">
        <v>42776</v>
      </c>
      <c r="AF337" s="83">
        <v>44258</v>
      </c>
      <c r="AG337" s="138">
        <f t="shared" si="75"/>
        <v>1482</v>
      </c>
      <c r="AH337" s="41" t="s">
        <v>3327</v>
      </c>
      <c r="AI337" s="27"/>
      <c r="AJ337" s="17"/>
      <c r="AK337" s="11"/>
      <c r="AL337" s="11"/>
      <c r="AM337" s="11"/>
      <c r="AN337" s="11"/>
      <c r="AO337" s="268"/>
      <c r="AP337" s="268"/>
      <c r="AR337" s="4"/>
      <c r="AS337" s="268"/>
      <c r="AT337" s="268"/>
    </row>
    <row r="338" spans="1:46" s="176" customFormat="1" ht="17.100000000000001" customHeight="1">
      <c r="A338" s="41"/>
      <c r="B338" s="80">
        <v>-79</v>
      </c>
      <c r="C338" s="79">
        <v>46</v>
      </c>
      <c r="D338" s="80">
        <v>-79</v>
      </c>
      <c r="E338" s="79">
        <v>46</v>
      </c>
      <c r="F338" s="6">
        <v>-1.74</v>
      </c>
      <c r="G338" s="79">
        <v>2489</v>
      </c>
      <c r="H338" s="50" t="s">
        <v>3356</v>
      </c>
      <c r="I338" s="158" t="s">
        <v>3353</v>
      </c>
      <c r="J338" s="73">
        <v>30.17</v>
      </c>
      <c r="K338" s="323">
        <v>14.25</v>
      </c>
      <c r="L338" s="73">
        <v>4.32</v>
      </c>
      <c r="M338" s="318"/>
      <c r="N338" s="318">
        <f t="shared" si="79"/>
        <v>1515.74</v>
      </c>
      <c r="O338" s="81">
        <f>IFERROR(VLOOKUP($G338,'321買'!A:E,3,0),"'沒有資料'")</f>
        <v>12</v>
      </c>
      <c r="P338" s="380">
        <f>IFERROR(VLOOKUP($G338,'321買'!$A:$G,7,0),"'沒有資料'")</f>
        <v>387</v>
      </c>
      <c r="Q338" s="302"/>
      <c r="R338" s="297">
        <f>IFERROR(RANK(VLOOKUP($G338,連買!$A:$D,4,0),連買!$D:$D,0),"'沒有資料'")</f>
        <v>1467</v>
      </c>
      <c r="S338" s="197">
        <v>0</v>
      </c>
      <c r="T338" s="354"/>
      <c r="U338" s="95">
        <f t="shared" si="80"/>
        <v>0</v>
      </c>
      <c r="V338" s="166">
        <v>12.75</v>
      </c>
      <c r="W338" s="65">
        <v>13.52</v>
      </c>
      <c r="X338" s="167">
        <f t="shared" si="77"/>
        <v>-0.76999999999999957</v>
      </c>
      <c r="Y338" s="169">
        <f t="shared" si="78"/>
        <v>-5.6952662721893463E-2</v>
      </c>
      <c r="Z338" s="115" t="s">
        <v>3357</v>
      </c>
      <c r="AA338" s="126"/>
      <c r="AB338" s="251"/>
      <c r="AC338" s="410"/>
      <c r="AD338" s="158" t="s">
        <v>3353</v>
      </c>
      <c r="AE338" s="84">
        <v>43376</v>
      </c>
      <c r="AF338" s="83">
        <v>44258</v>
      </c>
      <c r="AG338" s="77">
        <f t="shared" si="75"/>
        <v>882</v>
      </c>
      <c r="AH338" s="41" t="s">
        <v>3327</v>
      </c>
      <c r="AI338" s="27"/>
      <c r="AJ338" s="17"/>
      <c r="AK338" s="11"/>
      <c r="AL338" s="11"/>
      <c r="AM338" s="11"/>
      <c r="AN338" s="11"/>
      <c r="AO338" s="268"/>
      <c r="AP338" s="268"/>
      <c r="AR338" s="4"/>
      <c r="AS338" s="268"/>
      <c r="AT338" s="268"/>
    </row>
    <row r="339" spans="1:46" s="176" customFormat="1" ht="17.100000000000001" customHeight="1">
      <c r="A339" s="41"/>
      <c r="B339" s="80">
        <v>-79</v>
      </c>
      <c r="C339" s="79">
        <v>46</v>
      </c>
      <c r="D339" s="80">
        <v>-79</v>
      </c>
      <c r="E339" s="79">
        <v>46</v>
      </c>
      <c r="F339" s="6">
        <v>-1.74</v>
      </c>
      <c r="G339" s="79">
        <v>2489</v>
      </c>
      <c r="H339" s="50" t="s">
        <v>3356</v>
      </c>
      <c r="I339" s="158" t="s">
        <v>3353</v>
      </c>
      <c r="J339" s="73">
        <v>30.17</v>
      </c>
      <c r="K339" s="323">
        <v>14.25</v>
      </c>
      <c r="L339" s="73">
        <v>4.32</v>
      </c>
      <c r="M339" s="318"/>
      <c r="N339" s="318">
        <f t="shared" si="79"/>
        <v>1515.74</v>
      </c>
      <c r="O339" s="81">
        <f>IFERROR(VLOOKUP($G339,'321買'!A:E,3,0),"'沒有資料'")</f>
        <v>12</v>
      </c>
      <c r="P339" s="380">
        <f>IFERROR(VLOOKUP($G339,'321買'!$A:$G,7,0),"'沒有資料'")</f>
        <v>387</v>
      </c>
      <c r="Q339" s="302"/>
      <c r="R339" s="297">
        <f>IFERROR(RANK(VLOOKUP($G339,連買!$A:$D,4,0),連買!$D:$D,0),"'沒有資料'")</f>
        <v>1467</v>
      </c>
      <c r="S339" s="197">
        <v>0</v>
      </c>
      <c r="T339" s="354"/>
      <c r="U339" s="95">
        <f t="shared" si="80"/>
        <v>0</v>
      </c>
      <c r="V339" s="166">
        <v>12.75</v>
      </c>
      <c r="W339" s="65">
        <v>12.87</v>
      </c>
      <c r="X339" s="167">
        <f t="shared" si="77"/>
        <v>-0.11999999999999922</v>
      </c>
      <c r="Y339" s="169">
        <f t="shared" si="78"/>
        <v>-9.3240093240092633E-3</v>
      </c>
      <c r="Z339" s="115" t="s">
        <v>3358</v>
      </c>
      <c r="AA339" s="126"/>
      <c r="AB339" s="251"/>
      <c r="AC339" s="410"/>
      <c r="AD339" s="158" t="s">
        <v>3353</v>
      </c>
      <c r="AE339" s="84">
        <v>43347</v>
      </c>
      <c r="AF339" s="83">
        <v>44258</v>
      </c>
      <c r="AG339" s="77">
        <f t="shared" si="75"/>
        <v>911</v>
      </c>
      <c r="AH339" s="41" t="s">
        <v>3327</v>
      </c>
      <c r="AI339" s="27"/>
      <c r="AJ339" s="17"/>
      <c r="AK339" s="11"/>
      <c r="AL339" s="11"/>
      <c r="AM339" s="11"/>
      <c r="AN339" s="11"/>
      <c r="AO339" s="268"/>
      <c r="AP339" s="268"/>
      <c r="AR339" s="4"/>
      <c r="AS339" s="268"/>
      <c r="AT339" s="268"/>
    </row>
    <row r="340" spans="1:46" s="268" customFormat="1" ht="16.5" customHeight="1">
      <c r="A340" s="145"/>
      <c r="B340" s="79">
        <v>62</v>
      </c>
      <c r="C340" s="79">
        <v>118</v>
      </c>
      <c r="D340" s="79">
        <v>62</v>
      </c>
      <c r="E340" s="79">
        <v>118</v>
      </c>
      <c r="F340" s="6">
        <v>0.45</v>
      </c>
      <c r="G340" s="79">
        <v>2489</v>
      </c>
      <c r="H340" s="50" t="s">
        <v>3356</v>
      </c>
      <c r="I340" s="158" t="s">
        <v>3353</v>
      </c>
      <c r="J340" s="73">
        <v>30.23</v>
      </c>
      <c r="K340" s="323">
        <v>14.22</v>
      </c>
      <c r="L340" s="73">
        <v>4.33</v>
      </c>
      <c r="M340" s="318"/>
      <c r="N340" s="318">
        <f t="shared" si="79"/>
        <v>1515.78</v>
      </c>
      <c r="O340" s="81">
        <f>IFERROR(VLOOKUP($G340,'321買'!A:E,3,0),"'沒有資料'")</f>
        <v>12</v>
      </c>
      <c r="P340" s="380">
        <f>IFERROR(VLOOKUP($G340,'321買'!$A:$G,7,0),"'沒有資料'")</f>
        <v>387</v>
      </c>
      <c r="Q340" s="302"/>
      <c r="R340" s="297">
        <f>IFERROR(RANK(VLOOKUP($G340,連買!$A:$D,4,0),連買!$D:$D,0),"'沒有資料'")</f>
        <v>1467</v>
      </c>
      <c r="S340" s="197">
        <v>0</v>
      </c>
      <c r="T340" s="354"/>
      <c r="U340" s="95">
        <f t="shared" si="80"/>
        <v>0</v>
      </c>
      <c r="V340" s="166">
        <f>12.75*3</f>
        <v>38.25</v>
      </c>
      <c r="W340" s="65">
        <f>11.05*AH340</f>
        <v>33.150000000000006</v>
      </c>
      <c r="X340" s="167">
        <f t="shared" si="77"/>
        <v>5.0999999999999943</v>
      </c>
      <c r="Y340" s="163">
        <f t="shared" si="78"/>
        <v>0.15384615384615366</v>
      </c>
      <c r="Z340" s="114" t="s">
        <v>3359</v>
      </c>
      <c r="AA340" s="126"/>
      <c r="AB340" s="251"/>
      <c r="AC340" s="410"/>
      <c r="AD340" s="158" t="s">
        <v>3353</v>
      </c>
      <c r="AE340" s="84">
        <v>43696</v>
      </c>
      <c r="AF340" s="83">
        <v>44258</v>
      </c>
      <c r="AG340" s="77">
        <f t="shared" si="75"/>
        <v>562</v>
      </c>
      <c r="AH340" s="41" t="s">
        <v>3333</v>
      </c>
      <c r="AI340" s="168"/>
    </row>
    <row r="341" spans="1:46" s="268" customFormat="1" ht="16.5" customHeight="1">
      <c r="A341" s="147"/>
      <c r="B341" s="79">
        <v>62</v>
      </c>
      <c r="C341" s="79">
        <v>118</v>
      </c>
      <c r="D341" s="79">
        <v>62</v>
      </c>
      <c r="E341" s="79">
        <v>118</v>
      </c>
      <c r="F341" s="6">
        <v>0.45</v>
      </c>
      <c r="G341" s="79">
        <v>2489</v>
      </c>
      <c r="H341" s="50" t="s">
        <v>3356</v>
      </c>
      <c r="I341" s="158" t="s">
        <v>3353</v>
      </c>
      <c r="J341" s="323">
        <v>30.06</v>
      </c>
      <c r="K341" s="73">
        <v>14.23</v>
      </c>
      <c r="L341" s="323">
        <v>4.25</v>
      </c>
      <c r="M341" s="318"/>
      <c r="N341" s="318">
        <f t="shared" si="79"/>
        <v>1515.54</v>
      </c>
      <c r="O341" s="81">
        <f>IFERROR(VLOOKUP($G341,'321買'!A:E,3,0),"'沒有資料'")</f>
        <v>12</v>
      </c>
      <c r="P341" s="380">
        <f>IFERROR(VLOOKUP($G341,'321買'!$A:$G,7,0),"'沒有資料'")</f>
        <v>387</v>
      </c>
      <c r="Q341" s="302"/>
      <c r="R341" s="297">
        <f>IFERROR(RANK(VLOOKUP($G341,連買!$A:$D,4,0),連買!$D:$D,0),"'沒有資料'")</f>
        <v>1467</v>
      </c>
      <c r="S341" s="197">
        <v>0</v>
      </c>
      <c r="T341" s="354"/>
      <c r="U341" s="95">
        <f t="shared" si="80"/>
        <v>0</v>
      </c>
      <c r="V341" s="166">
        <f>12.75*5</f>
        <v>63.75</v>
      </c>
      <c r="W341" s="65">
        <f>11*AH341</f>
        <v>55</v>
      </c>
      <c r="X341" s="167">
        <f t="shared" si="77"/>
        <v>8.75</v>
      </c>
      <c r="Y341" s="163">
        <f t="shared" si="78"/>
        <v>0.15909090909090909</v>
      </c>
      <c r="Z341" s="114" t="s">
        <v>3360</v>
      </c>
      <c r="AA341" s="126"/>
      <c r="AB341" s="251"/>
      <c r="AC341" s="410"/>
      <c r="AD341" s="158" t="s">
        <v>3353</v>
      </c>
      <c r="AE341" s="84">
        <v>43713</v>
      </c>
      <c r="AF341" s="83">
        <v>44258</v>
      </c>
      <c r="AG341" s="77">
        <f t="shared" si="75"/>
        <v>545</v>
      </c>
      <c r="AH341" s="41" t="s">
        <v>3361</v>
      </c>
    </row>
    <row r="342" spans="1:46" s="268" customFormat="1" ht="16.5" customHeight="1">
      <c r="A342" s="147"/>
      <c r="B342" s="79">
        <v>62</v>
      </c>
      <c r="C342" s="79">
        <v>118</v>
      </c>
      <c r="D342" s="79">
        <v>62</v>
      </c>
      <c r="E342" s="79">
        <v>118</v>
      </c>
      <c r="F342" s="6">
        <v>0.45</v>
      </c>
      <c r="G342" s="79">
        <v>2489</v>
      </c>
      <c r="H342" s="50" t="s">
        <v>3364</v>
      </c>
      <c r="I342" s="158" t="s">
        <v>3353</v>
      </c>
      <c r="J342" s="323">
        <v>30.06</v>
      </c>
      <c r="K342" s="73">
        <v>14.23</v>
      </c>
      <c r="L342" s="323">
        <v>4.25</v>
      </c>
      <c r="M342" s="318"/>
      <c r="N342" s="318">
        <f t="shared" si="79"/>
        <v>1515.54</v>
      </c>
      <c r="O342" s="81">
        <f>IFERROR(VLOOKUP($G342,'321買'!A:E,3,0),"'沒有資料'")</f>
        <v>12</v>
      </c>
      <c r="P342" s="380">
        <f>IFERROR(VLOOKUP($G342,'321買'!$A:$G,7,0),"'沒有資料'")</f>
        <v>387</v>
      </c>
      <c r="Q342" s="302"/>
      <c r="R342" s="297">
        <f>IFERROR(RANK(VLOOKUP($G342,連買!$A:$D,4,0),連買!$D:$D,0),"'沒有資料'")</f>
        <v>1467</v>
      </c>
      <c r="S342" s="197">
        <v>0</v>
      </c>
      <c r="T342" s="354"/>
      <c r="U342" s="95">
        <f t="shared" si="80"/>
        <v>0</v>
      </c>
      <c r="V342" s="166">
        <v>12.75</v>
      </c>
      <c r="W342" s="65">
        <v>10.95</v>
      </c>
      <c r="X342" s="167">
        <f t="shared" si="77"/>
        <v>1.8000000000000007</v>
      </c>
      <c r="Y342" s="163">
        <f t="shared" si="78"/>
        <v>0.16438356164383569</v>
      </c>
      <c r="Z342" s="114" t="s">
        <v>3362</v>
      </c>
      <c r="AA342" s="126"/>
      <c r="AB342" s="251"/>
      <c r="AC342" s="410"/>
      <c r="AD342" s="158" t="s">
        <v>3363</v>
      </c>
      <c r="AE342" s="84">
        <v>43713</v>
      </c>
      <c r="AF342" s="83">
        <v>44258</v>
      </c>
      <c r="AG342" s="77">
        <f t="shared" si="75"/>
        <v>545</v>
      </c>
      <c r="AH342" s="41" t="s">
        <v>3365</v>
      </c>
    </row>
    <row r="343" spans="1:46" s="268" customFormat="1" ht="16.5" customHeight="1">
      <c r="A343" s="147"/>
      <c r="B343" s="79">
        <v>62</v>
      </c>
      <c r="C343" s="79">
        <v>118</v>
      </c>
      <c r="D343" s="79">
        <v>62</v>
      </c>
      <c r="E343" s="79">
        <v>118</v>
      </c>
      <c r="F343" s="6">
        <v>0.45</v>
      </c>
      <c r="G343" s="79">
        <v>2489</v>
      </c>
      <c r="H343" s="50" t="s">
        <v>3364</v>
      </c>
      <c r="I343" s="158" t="s">
        <v>3363</v>
      </c>
      <c r="J343" s="323">
        <v>30.06</v>
      </c>
      <c r="K343" s="73">
        <v>14.23</v>
      </c>
      <c r="L343" s="323">
        <v>4.25</v>
      </c>
      <c r="M343" s="318"/>
      <c r="N343" s="318">
        <f t="shared" si="79"/>
        <v>1515.54</v>
      </c>
      <c r="O343" s="81">
        <f>IFERROR(VLOOKUP($G343,'321買'!A:E,3,0),"'沒有資料'")</f>
        <v>12</v>
      </c>
      <c r="P343" s="380">
        <f>IFERROR(VLOOKUP($G343,'321買'!$A:$G,7,0),"'沒有資料'")</f>
        <v>387</v>
      </c>
      <c r="Q343" s="302"/>
      <c r="R343" s="297">
        <f>IFERROR(RANK(VLOOKUP($G343,連買!$A:$D,4,0),連買!$D:$D,0),"'沒有資料'")</f>
        <v>1467</v>
      </c>
      <c r="S343" s="197">
        <v>0</v>
      </c>
      <c r="T343" s="354"/>
      <c r="U343" s="95">
        <f t="shared" si="80"/>
        <v>0</v>
      </c>
      <c r="V343" s="166">
        <v>12.75</v>
      </c>
      <c r="W343" s="65">
        <v>10.7</v>
      </c>
      <c r="X343" s="167">
        <f t="shared" si="77"/>
        <v>2.0500000000000007</v>
      </c>
      <c r="Y343" s="163">
        <f t="shared" si="78"/>
        <v>0.19158878504672905</v>
      </c>
      <c r="Z343" s="114" t="s">
        <v>3366</v>
      </c>
      <c r="AA343" s="126"/>
      <c r="AB343" s="251"/>
      <c r="AC343" s="410"/>
      <c r="AD343" s="158" t="s">
        <v>3363</v>
      </c>
      <c r="AE343" s="84">
        <v>43791</v>
      </c>
      <c r="AF343" s="83">
        <v>44258</v>
      </c>
      <c r="AG343" s="77">
        <f t="shared" si="75"/>
        <v>467</v>
      </c>
      <c r="AH343" s="41" t="s">
        <v>3365</v>
      </c>
    </row>
    <row r="344" spans="1:46" s="268" customFormat="1" ht="16.5" customHeight="1">
      <c r="A344" s="147"/>
      <c r="B344" s="79">
        <v>62</v>
      </c>
      <c r="C344" s="79">
        <v>118</v>
      </c>
      <c r="D344" s="79">
        <v>62</v>
      </c>
      <c r="E344" s="79">
        <v>118</v>
      </c>
      <c r="F344" s="6">
        <v>0.45</v>
      </c>
      <c r="G344" s="79">
        <v>2489</v>
      </c>
      <c r="H344" s="50" t="s">
        <v>3364</v>
      </c>
      <c r="I344" s="158" t="s">
        <v>3363</v>
      </c>
      <c r="J344" s="323">
        <v>30.06</v>
      </c>
      <c r="K344" s="73">
        <v>14.23</v>
      </c>
      <c r="L344" s="323">
        <v>4.25</v>
      </c>
      <c r="M344" s="318"/>
      <c r="N344" s="318">
        <f t="shared" si="79"/>
        <v>1515.54</v>
      </c>
      <c r="O344" s="81">
        <f>IFERROR(VLOOKUP($G344,'321買'!A:E,3,0),"'沒有資料'")</f>
        <v>12</v>
      </c>
      <c r="P344" s="380">
        <f>IFERROR(VLOOKUP($G344,'321買'!$A:$G,7,0),"'沒有資料'")</f>
        <v>387</v>
      </c>
      <c r="Q344" s="302"/>
      <c r="R344" s="297">
        <f>IFERROR(RANK(VLOOKUP($G344,連買!$A:$D,4,0),連買!$D:$D,0),"'沒有資料'")</f>
        <v>1467</v>
      </c>
      <c r="S344" s="197">
        <v>0</v>
      </c>
      <c r="T344" s="354"/>
      <c r="U344" s="95">
        <f t="shared" si="80"/>
        <v>0</v>
      </c>
      <c r="V344" s="166">
        <v>12.75</v>
      </c>
      <c r="W344" s="65">
        <v>10.65</v>
      </c>
      <c r="X344" s="167">
        <f t="shared" si="77"/>
        <v>2.0999999999999996</v>
      </c>
      <c r="Y344" s="163">
        <f t="shared" si="78"/>
        <v>0.19718309859154926</v>
      </c>
      <c r="Z344" s="114" t="s">
        <v>3367</v>
      </c>
      <c r="AA344" s="126"/>
      <c r="AB344" s="251"/>
      <c r="AC344" s="410"/>
      <c r="AD344" s="158" t="s">
        <v>3363</v>
      </c>
      <c r="AE344" s="84">
        <v>43791</v>
      </c>
      <c r="AF344" s="83">
        <v>44258</v>
      </c>
      <c r="AG344" s="77">
        <f t="shared" si="75"/>
        <v>467</v>
      </c>
      <c r="AH344" s="41" t="s">
        <v>3365</v>
      </c>
    </row>
    <row r="345" spans="1:46" s="268" customFormat="1">
      <c r="A345" s="130" t="s">
        <v>3368</v>
      </c>
      <c r="B345" s="80">
        <v>-16</v>
      </c>
      <c r="C345" s="80">
        <v>-15</v>
      </c>
      <c r="D345" s="79">
        <v>6</v>
      </c>
      <c r="E345" s="79">
        <v>14</v>
      </c>
      <c r="F345" s="57">
        <v>21.2</v>
      </c>
      <c r="G345" s="79">
        <v>6147</v>
      </c>
      <c r="H345" s="30" t="s">
        <v>3371</v>
      </c>
      <c r="I345" s="171" t="s">
        <v>3369</v>
      </c>
      <c r="J345" s="73">
        <v>69.09</v>
      </c>
      <c r="K345" s="73">
        <v>50.28</v>
      </c>
      <c r="L345" s="73">
        <v>5.86</v>
      </c>
      <c r="M345" s="318"/>
      <c r="N345" s="73">
        <f>K345+J345+L345</f>
        <v>125.23</v>
      </c>
      <c r="O345" s="81">
        <f>IFERROR(VLOOKUP($G345,'321買'!A:E,3,0),"'沒有資料'")</f>
        <v>12</v>
      </c>
      <c r="P345" s="380">
        <f>IFERROR(VLOOKUP($G345,'321買'!$A:$G,7,0),"'沒有資料'")</f>
        <v>368</v>
      </c>
      <c r="Q345" s="302"/>
      <c r="R345" s="297">
        <f>IFERROR(RANK(VLOOKUP($G345,連買!$A:$D,4,0),連買!$D:$D,0),"'沒有資料'")</f>
        <v>229</v>
      </c>
      <c r="S345" s="65">
        <v>4.2</v>
      </c>
      <c r="T345" s="354"/>
      <c r="U345" s="39">
        <f>S345/V345</f>
        <v>5.5118110236220472E-2</v>
      </c>
      <c r="V345" s="170">
        <v>76.2</v>
      </c>
      <c r="W345" s="65">
        <v>73</v>
      </c>
      <c r="X345" s="167">
        <f t="shared" si="77"/>
        <v>3.2000000000000028</v>
      </c>
      <c r="Y345" s="163">
        <f t="shared" si="78"/>
        <v>4.3835616438356206E-2</v>
      </c>
      <c r="Z345" s="196" t="s">
        <v>3370</v>
      </c>
      <c r="AA345" s="126"/>
      <c r="AB345" s="251"/>
      <c r="AC345" s="410"/>
      <c r="AD345" s="171" t="s">
        <v>3369</v>
      </c>
      <c r="AE345" s="84">
        <v>44246</v>
      </c>
      <c r="AF345" s="83">
        <v>44257</v>
      </c>
      <c r="AG345" s="33">
        <f t="shared" si="75"/>
        <v>11</v>
      </c>
      <c r="AH345" s="41" t="s">
        <v>3365</v>
      </c>
    </row>
    <row r="346" spans="1:46" s="268" customFormat="1">
      <c r="A346" s="130" t="s">
        <v>3368</v>
      </c>
      <c r="B346" s="80">
        <v>-16</v>
      </c>
      <c r="C346" s="80">
        <v>-15</v>
      </c>
      <c r="D346" s="79">
        <v>6</v>
      </c>
      <c r="E346" s="79">
        <v>14</v>
      </c>
      <c r="F346" s="57">
        <v>21.2</v>
      </c>
      <c r="G346" s="79">
        <v>6147</v>
      </c>
      <c r="H346" s="30" t="s">
        <v>3337</v>
      </c>
      <c r="I346" s="171" t="s">
        <v>3369</v>
      </c>
      <c r="J346" s="73">
        <v>69.09</v>
      </c>
      <c r="K346" s="73">
        <v>50.28</v>
      </c>
      <c r="L346" s="73">
        <v>5.86</v>
      </c>
      <c r="M346" s="318"/>
      <c r="N346" s="73">
        <f>K346+J346+L346</f>
        <v>125.23</v>
      </c>
      <c r="O346" s="81">
        <f>IFERROR(VLOOKUP($G346,'321買'!A:E,3,0),"'沒有資料'")</f>
        <v>12</v>
      </c>
      <c r="P346" s="380">
        <f>IFERROR(VLOOKUP($G346,'321買'!$A:$G,7,0),"'沒有資料'")</f>
        <v>368</v>
      </c>
      <c r="Q346" s="302"/>
      <c r="R346" s="297">
        <f>IFERROR(RANK(VLOOKUP($G346,連買!$A:$D,4,0),連買!$D:$D,0),"'沒有資料'")</f>
        <v>229</v>
      </c>
      <c r="S346" s="65">
        <v>4.2</v>
      </c>
      <c r="T346" s="354"/>
      <c r="U346" s="39">
        <f>S346/V346</f>
        <v>5.5118110236220472E-2</v>
      </c>
      <c r="V346" s="170">
        <v>76.2</v>
      </c>
      <c r="W346" s="65">
        <v>76</v>
      </c>
      <c r="X346" s="167">
        <f t="shared" si="77"/>
        <v>0.20000000000000284</v>
      </c>
      <c r="Y346" s="163">
        <f t="shared" si="78"/>
        <v>2.6315789473684583E-3</v>
      </c>
      <c r="Z346" s="196" t="s">
        <v>3372</v>
      </c>
      <c r="AA346" s="126"/>
      <c r="AB346" s="251"/>
      <c r="AC346" s="410"/>
      <c r="AD346" s="171" t="s">
        <v>3329</v>
      </c>
      <c r="AE346" s="84">
        <v>44222</v>
      </c>
      <c r="AF346" s="83">
        <v>44257</v>
      </c>
      <c r="AG346" s="33">
        <f t="shared" si="75"/>
        <v>35</v>
      </c>
      <c r="AH346" s="41" t="s">
        <v>3327</v>
      </c>
    </row>
    <row r="347" spans="1:46" s="268" customFormat="1">
      <c r="A347" s="130"/>
      <c r="B347" s="80"/>
      <c r="C347" s="80"/>
      <c r="D347" s="80"/>
      <c r="E347" s="79"/>
      <c r="F347" s="57"/>
      <c r="G347" s="41"/>
      <c r="H347" s="54"/>
      <c r="I347" s="161"/>
      <c r="J347" s="73"/>
      <c r="K347" s="73"/>
      <c r="L347" s="323"/>
      <c r="M347" s="318"/>
      <c r="N347" s="73"/>
      <c r="O347" s="350"/>
      <c r="P347" s="374"/>
      <c r="Q347" s="302"/>
      <c r="R347" s="151"/>
      <c r="S347" s="65"/>
      <c r="T347" s="354"/>
      <c r="U347" s="39"/>
      <c r="V347" s="166">
        <f>SUM(V321:V346)</f>
        <v>1672.55</v>
      </c>
      <c r="W347" s="65">
        <f>SUM(W321:W346)</f>
        <v>1594.8200000000004</v>
      </c>
      <c r="X347" s="167">
        <f>SUM(X321:X346)</f>
        <v>77.729999999999961</v>
      </c>
      <c r="Y347" s="163">
        <f>X347/W347</f>
        <v>4.8739042650581224E-2</v>
      </c>
      <c r="Z347" s="188"/>
      <c r="AA347" s="126"/>
      <c r="AB347" s="251"/>
      <c r="AC347" s="410"/>
      <c r="AD347" s="158">
        <f>V347*(0.001425*0.65)+V347*0.003+W347*(0.001425*0.65)</f>
        <v>8.0440514625000006</v>
      </c>
      <c r="AE347" s="6">
        <f>X347-AD347</f>
        <v>69.685948537499968</v>
      </c>
      <c r="AF347" s="72"/>
      <c r="AG347" s="119"/>
      <c r="AH347" s="41"/>
    </row>
    <row r="348" spans="1:46" s="268" customFormat="1">
      <c r="A348" s="130"/>
      <c r="B348" s="80"/>
      <c r="C348" s="80"/>
      <c r="D348" s="80"/>
      <c r="E348" s="79"/>
      <c r="F348" s="57"/>
      <c r="G348" s="41"/>
      <c r="H348" s="54"/>
      <c r="I348" s="161"/>
      <c r="J348" s="73"/>
      <c r="K348" s="73"/>
      <c r="L348" s="323"/>
      <c r="M348" s="318"/>
      <c r="N348" s="73"/>
      <c r="O348" s="350"/>
      <c r="P348" s="374"/>
      <c r="Q348" s="302"/>
      <c r="R348" s="151"/>
      <c r="S348" s="65"/>
      <c r="T348" s="354"/>
      <c r="U348" s="39"/>
      <c r="V348" s="170"/>
      <c r="W348" s="160"/>
      <c r="X348" s="167"/>
      <c r="Y348" s="163"/>
      <c r="Z348" s="188"/>
      <c r="AA348" s="126"/>
      <c r="AB348" s="251"/>
      <c r="AC348" s="410"/>
      <c r="AD348" s="158">
        <f>V347*(0.001425*0.28)+V347*0.003+W347*(0.001425*0.28)</f>
        <v>6.3213306300000003</v>
      </c>
      <c r="AE348" s="71"/>
      <c r="AF348" s="72"/>
      <c r="AG348" s="119"/>
      <c r="AH348" s="41"/>
    </row>
    <row r="349" spans="1:46">
      <c r="B349" s="79"/>
      <c r="C349" s="79"/>
      <c r="D349" s="79"/>
      <c r="E349" s="79"/>
      <c r="F349" s="6"/>
      <c r="G349" s="41"/>
      <c r="H349" s="8"/>
      <c r="I349" s="22"/>
      <c r="J349" s="323"/>
      <c r="K349" s="323"/>
      <c r="L349" s="323"/>
      <c r="N349" s="318"/>
      <c r="S349" s="34"/>
      <c r="U349" s="95"/>
      <c r="V349" s="13"/>
      <c r="W349" s="45"/>
      <c r="X349" s="15"/>
      <c r="Y349" s="76"/>
      <c r="Z349" s="116"/>
      <c r="AA349" s="126"/>
      <c r="AD349" s="22"/>
      <c r="AG349" s="33"/>
    </row>
    <row r="350" spans="1:46" s="276" customFormat="1">
      <c r="A350" s="130" t="s">
        <v>1732</v>
      </c>
      <c r="B350" s="91" t="s">
        <v>1588</v>
      </c>
      <c r="C350" s="91" t="s">
        <v>1589</v>
      </c>
      <c r="D350" s="91" t="s">
        <v>1590</v>
      </c>
      <c r="E350" s="91" t="s">
        <v>1591</v>
      </c>
      <c r="F350" s="8" t="s">
        <v>1066</v>
      </c>
      <c r="G350" s="26" t="s">
        <v>3691</v>
      </c>
      <c r="H350" s="55" t="s">
        <v>322</v>
      </c>
      <c r="I350" s="1" t="s">
        <v>69</v>
      </c>
      <c r="J350" s="317" t="s">
        <v>1467</v>
      </c>
      <c r="K350" s="317" t="s">
        <v>1157</v>
      </c>
      <c r="L350" s="317" t="s">
        <v>284</v>
      </c>
      <c r="M350" s="317"/>
      <c r="N350" s="317" t="s">
        <v>1065</v>
      </c>
      <c r="O350" s="301" t="s">
        <v>3692</v>
      </c>
      <c r="P350" s="373" t="s">
        <v>3562</v>
      </c>
      <c r="Q350" s="302"/>
      <c r="R350" s="345" t="s">
        <v>3562</v>
      </c>
      <c r="S350" s="14" t="s">
        <v>66</v>
      </c>
      <c r="T350" s="354"/>
      <c r="U350" s="68" t="s">
        <v>3493</v>
      </c>
      <c r="V350" s="28" t="s">
        <v>2</v>
      </c>
      <c r="W350" s="17" t="s">
        <v>1405</v>
      </c>
      <c r="X350" s="14" t="s">
        <v>5</v>
      </c>
      <c r="Y350" s="21" t="s">
        <v>3</v>
      </c>
      <c r="Z350" s="25" t="s">
        <v>105</v>
      </c>
      <c r="AA350" s="264"/>
      <c r="AB350" s="251"/>
      <c r="AC350" s="410"/>
      <c r="AD350" s="1" t="s">
        <v>69</v>
      </c>
      <c r="AE350" s="71" t="s">
        <v>1406</v>
      </c>
      <c r="AF350" s="72" t="s">
        <v>1163</v>
      </c>
      <c r="AG350" s="32" t="s">
        <v>1164</v>
      </c>
      <c r="AH350" s="46" t="s">
        <v>3264</v>
      </c>
      <c r="AI350" s="168"/>
    </row>
    <row r="351" spans="1:46" s="268" customFormat="1">
      <c r="A351" s="130" t="s">
        <v>1688</v>
      </c>
      <c r="B351" s="79">
        <v>969</v>
      </c>
      <c r="C351" s="93">
        <v>2455</v>
      </c>
      <c r="D351" s="79">
        <v>5</v>
      </c>
      <c r="E351" s="80">
        <v>-3</v>
      </c>
      <c r="F351" s="57">
        <v>13.31</v>
      </c>
      <c r="G351" s="79">
        <v>2368</v>
      </c>
      <c r="H351" s="30" t="s">
        <v>1469</v>
      </c>
      <c r="I351" s="158" t="s">
        <v>389</v>
      </c>
      <c r="J351" s="73">
        <v>66.260000000000005</v>
      </c>
      <c r="K351" s="73">
        <v>26.32</v>
      </c>
      <c r="L351" s="73">
        <v>15.8</v>
      </c>
      <c r="M351" s="318"/>
      <c r="N351" s="73">
        <f t="shared" ref="N351:N356" si="81">K351+J351+L351</f>
        <v>108.38000000000001</v>
      </c>
      <c r="O351" s="81">
        <f>IFERROR(VLOOKUP($G351,'321買'!A:E,3,0),"'沒有資料'")</f>
        <v>77</v>
      </c>
      <c r="P351" s="380">
        <f>IFERROR(VLOOKUP($G351,'321買'!$A:$G,7,0),"'沒有資料'")</f>
        <v>27</v>
      </c>
      <c r="Q351" s="302"/>
      <c r="R351" s="297">
        <f>IFERROR(RANK(VLOOKUP($G351,連買!$A:$D,4,0),連買!$D:$D,0),"'沒有資料'")</f>
        <v>300</v>
      </c>
      <c r="S351" s="197">
        <v>0</v>
      </c>
      <c r="T351" s="354"/>
      <c r="U351" s="57">
        <f>S351/V351</f>
        <v>0</v>
      </c>
      <c r="V351" s="166">
        <v>57.6</v>
      </c>
      <c r="W351" s="65">
        <v>54.5</v>
      </c>
      <c r="X351" s="167">
        <f t="shared" ref="X351:X367" si="82">V351-W351</f>
        <v>3.1000000000000014</v>
      </c>
      <c r="Y351" s="163">
        <f t="shared" ref="Y351:Y367" si="83">X351/W351</f>
        <v>5.6880733944954152E-2</v>
      </c>
      <c r="Z351" s="196" t="s">
        <v>3273</v>
      </c>
      <c r="AA351" s="126"/>
      <c r="AB351" s="251"/>
      <c r="AC351" s="410"/>
      <c r="AD351" s="158" t="s">
        <v>389</v>
      </c>
      <c r="AE351" s="84">
        <v>44225</v>
      </c>
      <c r="AF351" s="83">
        <v>44251</v>
      </c>
      <c r="AG351" s="33">
        <f t="shared" ref="AG351:AG360" si="84">AF351-AE351</f>
        <v>26</v>
      </c>
      <c r="AH351" s="41" t="s">
        <v>2318</v>
      </c>
      <c r="AI351" s="120"/>
    </row>
    <row r="352" spans="1:46" s="268" customFormat="1">
      <c r="A352" s="130" t="s">
        <v>1688</v>
      </c>
      <c r="B352" s="79">
        <v>969</v>
      </c>
      <c r="C352" s="93">
        <v>2455</v>
      </c>
      <c r="D352" s="79">
        <v>5</v>
      </c>
      <c r="E352" s="80">
        <v>-3</v>
      </c>
      <c r="F352" s="57">
        <v>13.31</v>
      </c>
      <c r="G352" s="79">
        <v>2368</v>
      </c>
      <c r="H352" s="30" t="s">
        <v>1469</v>
      </c>
      <c r="I352" s="158" t="s">
        <v>389</v>
      </c>
      <c r="J352" s="73">
        <v>66.260000000000005</v>
      </c>
      <c r="K352" s="73">
        <v>26.32</v>
      </c>
      <c r="L352" s="73">
        <v>15.8</v>
      </c>
      <c r="M352" s="318"/>
      <c r="N352" s="73">
        <f t="shared" si="81"/>
        <v>108.38000000000001</v>
      </c>
      <c r="O352" s="81">
        <f>IFERROR(VLOOKUP($G352,'321買'!A:E,3,0),"'沒有資料'")</f>
        <v>77</v>
      </c>
      <c r="P352" s="380">
        <f>IFERROR(VLOOKUP($G352,'321買'!$A:$G,7,0),"'沒有資料'")</f>
        <v>27</v>
      </c>
      <c r="Q352" s="302"/>
      <c r="R352" s="297">
        <f>IFERROR(RANK(VLOOKUP($G352,連買!$A:$D,4,0),連買!$D:$D,0),"'沒有資料'")</f>
        <v>300</v>
      </c>
      <c r="S352" s="197">
        <v>0</v>
      </c>
      <c r="T352" s="354"/>
      <c r="U352" s="57">
        <f>S352/V352</f>
        <v>0</v>
      </c>
      <c r="V352" s="166">
        <v>57.6</v>
      </c>
      <c r="W352" s="65">
        <v>57.9</v>
      </c>
      <c r="X352" s="167">
        <f t="shared" si="82"/>
        <v>-0.29999999999999716</v>
      </c>
      <c r="Y352" s="169">
        <f t="shared" si="83"/>
        <v>-5.1813471502590181E-3</v>
      </c>
      <c r="Z352" s="209" t="s">
        <v>3274</v>
      </c>
      <c r="AA352" s="126"/>
      <c r="AB352" s="251"/>
      <c r="AC352" s="410"/>
      <c r="AD352" s="158" t="s">
        <v>389</v>
      </c>
      <c r="AE352" s="84">
        <v>44214</v>
      </c>
      <c r="AF352" s="83">
        <v>44251</v>
      </c>
      <c r="AG352" s="33">
        <f t="shared" si="84"/>
        <v>37</v>
      </c>
      <c r="AH352" s="41" t="s">
        <v>2318</v>
      </c>
      <c r="AI352" s="120"/>
    </row>
    <row r="353" spans="1:35" s="268" customFormat="1">
      <c r="A353" s="130" t="s">
        <v>3262</v>
      </c>
      <c r="B353" s="79">
        <v>9</v>
      </c>
      <c r="C353" s="79">
        <v>9</v>
      </c>
      <c r="D353" s="79">
        <v>5</v>
      </c>
      <c r="E353" s="80">
        <v>-6</v>
      </c>
      <c r="F353" s="57">
        <v>27.77</v>
      </c>
      <c r="G353" s="79">
        <v>1101</v>
      </c>
      <c r="H353" s="30" t="s">
        <v>1469</v>
      </c>
      <c r="I353" s="158" t="s">
        <v>276</v>
      </c>
      <c r="J353" s="73">
        <v>74.510000000000005</v>
      </c>
      <c r="K353" s="323">
        <v>27.98</v>
      </c>
      <c r="L353" s="323">
        <v>0.49</v>
      </c>
      <c r="M353" s="318"/>
      <c r="N353" s="73">
        <f t="shared" si="81"/>
        <v>102.98</v>
      </c>
      <c r="O353" s="81">
        <f>IFERROR(VLOOKUP($G353,'321買'!A:E,3,0),"'沒有資料'")</f>
        <v>1</v>
      </c>
      <c r="P353" s="380">
        <f>IFERROR(VLOOKUP($G353,'321買'!$A:$G,7,0),"'沒有資料'")</f>
        <v>783</v>
      </c>
      <c r="Q353" s="302"/>
      <c r="R353" s="297">
        <f>IFERROR(RANK(VLOOKUP($G353,連買!$A:$D,4,0),連買!$D:$D,0),"'沒有資料'")</f>
        <v>687</v>
      </c>
      <c r="S353" s="197">
        <v>3</v>
      </c>
      <c r="T353" s="354"/>
      <c r="U353" s="95">
        <f t="shared" ref="U353:U367" si="85">S353/V353</f>
        <v>7.0754716981132074E-2</v>
      </c>
      <c r="V353" s="166">
        <v>42.4</v>
      </c>
      <c r="W353" s="65">
        <v>40.4</v>
      </c>
      <c r="X353" s="167">
        <f t="shared" si="82"/>
        <v>2</v>
      </c>
      <c r="Y353" s="163">
        <f t="shared" si="83"/>
        <v>4.9504950495049507E-2</v>
      </c>
      <c r="Z353" s="196" t="s">
        <v>3222</v>
      </c>
      <c r="AA353" s="126"/>
      <c r="AB353" s="251"/>
      <c r="AC353" s="410"/>
      <c r="AD353" s="158" t="s">
        <v>276</v>
      </c>
      <c r="AE353" s="84">
        <v>44223</v>
      </c>
      <c r="AF353" s="83">
        <v>44251</v>
      </c>
      <c r="AG353" s="33">
        <f t="shared" si="84"/>
        <v>28</v>
      </c>
      <c r="AH353" s="41" t="s">
        <v>1128</v>
      </c>
      <c r="AI353" s="168"/>
    </row>
    <row r="354" spans="1:35" s="268" customFormat="1">
      <c r="A354" s="130" t="s">
        <v>3262</v>
      </c>
      <c r="B354" s="79">
        <v>9</v>
      </c>
      <c r="C354" s="79">
        <v>9</v>
      </c>
      <c r="D354" s="79">
        <v>5</v>
      </c>
      <c r="E354" s="80">
        <v>-6</v>
      </c>
      <c r="F354" s="57">
        <v>27.77</v>
      </c>
      <c r="G354" s="79">
        <v>1101</v>
      </c>
      <c r="H354" s="30" t="s">
        <v>1469</v>
      </c>
      <c r="I354" s="158" t="s">
        <v>276</v>
      </c>
      <c r="J354" s="73">
        <v>74.510000000000005</v>
      </c>
      <c r="K354" s="323">
        <v>27.98</v>
      </c>
      <c r="L354" s="323">
        <v>0.49</v>
      </c>
      <c r="M354" s="318"/>
      <c r="N354" s="73">
        <f t="shared" si="81"/>
        <v>102.98</v>
      </c>
      <c r="O354" s="81">
        <f>IFERROR(VLOOKUP($G354,'321買'!A:E,3,0),"'沒有資料'")</f>
        <v>1</v>
      </c>
      <c r="P354" s="380">
        <f>IFERROR(VLOOKUP($G354,'321買'!$A:$G,7,0),"'沒有資料'")</f>
        <v>783</v>
      </c>
      <c r="Q354" s="302"/>
      <c r="R354" s="297">
        <f>IFERROR(RANK(VLOOKUP($G354,連買!$A:$D,4,0),連買!$D:$D,0),"'沒有資料'")</f>
        <v>687</v>
      </c>
      <c r="S354" s="197">
        <v>3</v>
      </c>
      <c r="T354" s="354"/>
      <c r="U354" s="95">
        <f t="shared" si="85"/>
        <v>7.0754716981132074E-2</v>
      </c>
      <c r="V354" s="166">
        <v>42.4</v>
      </c>
      <c r="W354" s="65">
        <v>40.4</v>
      </c>
      <c r="X354" s="167">
        <f t="shared" si="82"/>
        <v>2</v>
      </c>
      <c r="Y354" s="163">
        <f t="shared" si="83"/>
        <v>4.9504950495049507E-2</v>
      </c>
      <c r="Z354" s="196" t="s">
        <v>3222</v>
      </c>
      <c r="AA354" s="126"/>
      <c r="AB354" s="251"/>
      <c r="AC354" s="410"/>
      <c r="AD354" s="158" t="s">
        <v>276</v>
      </c>
      <c r="AE354" s="84">
        <v>44223</v>
      </c>
      <c r="AF354" s="83">
        <v>44251</v>
      </c>
      <c r="AG354" s="33">
        <f t="shared" si="84"/>
        <v>28</v>
      </c>
      <c r="AH354" s="41" t="s">
        <v>1128</v>
      </c>
      <c r="AI354" s="168"/>
    </row>
    <row r="355" spans="1:35" s="268" customFormat="1">
      <c r="A355" s="130" t="s">
        <v>3262</v>
      </c>
      <c r="B355" s="79">
        <v>9</v>
      </c>
      <c r="C355" s="79">
        <v>9</v>
      </c>
      <c r="D355" s="79">
        <v>5</v>
      </c>
      <c r="E355" s="80">
        <v>-6</v>
      </c>
      <c r="F355" s="57">
        <v>27.77</v>
      </c>
      <c r="G355" s="79">
        <v>1101</v>
      </c>
      <c r="H355" s="30" t="s">
        <v>1469</v>
      </c>
      <c r="I355" s="158" t="s">
        <v>276</v>
      </c>
      <c r="J355" s="73">
        <v>74.510000000000005</v>
      </c>
      <c r="K355" s="323">
        <v>27.98</v>
      </c>
      <c r="L355" s="323">
        <v>0.49</v>
      </c>
      <c r="M355" s="318"/>
      <c r="N355" s="73">
        <f t="shared" si="81"/>
        <v>102.98</v>
      </c>
      <c r="O355" s="81">
        <f>IFERROR(VLOOKUP($G355,'321買'!A:E,3,0),"'沒有資料'")</f>
        <v>1</v>
      </c>
      <c r="P355" s="380">
        <f>IFERROR(VLOOKUP($G355,'321買'!$A:$G,7,0),"'沒有資料'")</f>
        <v>783</v>
      </c>
      <c r="Q355" s="302"/>
      <c r="R355" s="297">
        <f>IFERROR(RANK(VLOOKUP($G355,連買!$A:$D,4,0),連買!$D:$D,0),"'沒有資料'")</f>
        <v>687</v>
      </c>
      <c r="S355" s="197">
        <v>3</v>
      </c>
      <c r="T355" s="354"/>
      <c r="U355" s="95">
        <f t="shared" si="85"/>
        <v>7.0754716981132074E-2</v>
      </c>
      <c r="V355" s="166">
        <v>42.4</v>
      </c>
      <c r="W355" s="65">
        <v>42.7</v>
      </c>
      <c r="X355" s="167">
        <f t="shared" si="82"/>
        <v>-0.30000000000000426</v>
      </c>
      <c r="Y355" s="169">
        <f t="shared" si="83"/>
        <v>-7.0257611241218796E-3</v>
      </c>
      <c r="Z355" s="209" t="s">
        <v>3265</v>
      </c>
      <c r="AA355" s="126"/>
      <c r="AB355" s="251"/>
      <c r="AC355" s="410"/>
      <c r="AD355" s="158" t="s">
        <v>276</v>
      </c>
      <c r="AE355" s="84">
        <v>44188</v>
      </c>
      <c r="AF355" s="83">
        <v>44251</v>
      </c>
      <c r="AG355" s="33">
        <f t="shared" si="84"/>
        <v>63</v>
      </c>
      <c r="AH355" s="41" t="s">
        <v>1128</v>
      </c>
      <c r="AI355" s="168"/>
    </row>
    <row r="356" spans="1:35" s="268" customFormat="1">
      <c r="A356" s="130" t="s">
        <v>3262</v>
      </c>
      <c r="B356" s="79">
        <v>9</v>
      </c>
      <c r="C356" s="79">
        <v>9</v>
      </c>
      <c r="D356" s="79">
        <v>5</v>
      </c>
      <c r="E356" s="80">
        <v>-6</v>
      </c>
      <c r="F356" s="57">
        <v>27.77</v>
      </c>
      <c r="G356" s="79">
        <v>1101</v>
      </c>
      <c r="H356" s="30" t="s">
        <v>1469</v>
      </c>
      <c r="I356" s="158" t="s">
        <v>276</v>
      </c>
      <c r="J356" s="73">
        <v>74.510000000000005</v>
      </c>
      <c r="K356" s="323">
        <v>27.98</v>
      </c>
      <c r="L356" s="323">
        <v>0.49</v>
      </c>
      <c r="M356" s="318"/>
      <c r="N356" s="73">
        <f t="shared" si="81"/>
        <v>102.98</v>
      </c>
      <c r="O356" s="81">
        <f>IFERROR(VLOOKUP($G356,'321買'!A:E,3,0),"'沒有資料'")</f>
        <v>1</v>
      </c>
      <c r="P356" s="380">
        <f>IFERROR(VLOOKUP($G356,'321買'!$A:$G,7,0),"'沒有資料'")</f>
        <v>783</v>
      </c>
      <c r="Q356" s="302"/>
      <c r="R356" s="297">
        <f>IFERROR(RANK(VLOOKUP($G356,連買!$A:$D,4,0),連買!$D:$D,0),"'沒有資料'")</f>
        <v>687</v>
      </c>
      <c r="S356" s="197">
        <v>3</v>
      </c>
      <c r="T356" s="354"/>
      <c r="U356" s="95">
        <f t="shared" si="85"/>
        <v>7.0754716981132074E-2</v>
      </c>
      <c r="V356" s="166">
        <v>42.4</v>
      </c>
      <c r="W356" s="65">
        <v>43.45</v>
      </c>
      <c r="X356" s="167">
        <f t="shared" si="82"/>
        <v>-1.0500000000000043</v>
      </c>
      <c r="Y356" s="169">
        <f t="shared" si="83"/>
        <v>-2.4165707710011603E-2</v>
      </c>
      <c r="Z356" s="209" t="s">
        <v>3266</v>
      </c>
      <c r="AA356" s="126"/>
      <c r="AB356" s="251"/>
      <c r="AC356" s="410"/>
      <c r="AD356" s="158" t="s">
        <v>276</v>
      </c>
      <c r="AE356" s="84">
        <v>44186</v>
      </c>
      <c r="AF356" s="83">
        <v>44251</v>
      </c>
      <c r="AG356" s="33">
        <f t="shared" si="84"/>
        <v>65</v>
      </c>
      <c r="AH356" s="41" t="s">
        <v>1128</v>
      </c>
      <c r="AI356" s="168"/>
    </row>
    <row r="357" spans="1:35" s="268" customFormat="1">
      <c r="A357" s="130" t="s">
        <v>1723</v>
      </c>
      <c r="B357" s="93">
        <v>233</v>
      </c>
      <c r="C357" s="93">
        <v>237</v>
      </c>
      <c r="D357" s="79">
        <v>0</v>
      </c>
      <c r="E357" s="79">
        <v>4</v>
      </c>
      <c r="F357" s="57">
        <v>23.39</v>
      </c>
      <c r="G357" s="80">
        <v>8155</v>
      </c>
      <c r="H357" s="30" t="s">
        <v>1469</v>
      </c>
      <c r="I357" s="171" t="s">
        <v>84</v>
      </c>
      <c r="J357" s="73">
        <v>45.87</v>
      </c>
      <c r="K357" s="323">
        <v>6.43</v>
      </c>
      <c r="L357" s="73">
        <v>26.89</v>
      </c>
      <c r="M357" s="318"/>
      <c r="N357" s="333">
        <f>K357+J357+L357</f>
        <v>79.19</v>
      </c>
      <c r="O357" s="81">
        <f>IFERROR(VLOOKUP($G357,'321買'!A:E,3,0),"'沒有資料'")</f>
        <v>86</v>
      </c>
      <c r="P357" s="380">
        <f>IFERROR(VLOOKUP($G357,'321買'!$A:$G,7,0),"'沒有資料'")</f>
        <v>9</v>
      </c>
      <c r="Q357" s="302"/>
      <c r="R357" s="297">
        <f>IFERROR(RANK(VLOOKUP($G357,連買!$A:$D,4,0),連買!$D:$D,0),"'沒有資料'")</f>
        <v>88</v>
      </c>
      <c r="S357" s="197">
        <v>3.6</v>
      </c>
      <c r="T357" s="354"/>
      <c r="U357" s="95">
        <f t="shared" si="85"/>
        <v>3.0125523012552301E-2</v>
      </c>
      <c r="V357" s="166">
        <v>119.5</v>
      </c>
      <c r="W357" s="160">
        <v>116</v>
      </c>
      <c r="X357" s="167">
        <f t="shared" si="82"/>
        <v>3.5</v>
      </c>
      <c r="Y357" s="163">
        <f t="shared" si="83"/>
        <v>3.017241379310345E-2</v>
      </c>
      <c r="Z357" s="196" t="s">
        <v>1722</v>
      </c>
      <c r="AA357" s="126"/>
      <c r="AB357" s="251"/>
      <c r="AC357" s="410"/>
      <c r="AD357" s="171" t="s">
        <v>84</v>
      </c>
      <c r="AE357" s="84">
        <v>44209</v>
      </c>
      <c r="AF357" s="83">
        <v>44251</v>
      </c>
      <c r="AG357" s="33">
        <f t="shared" si="84"/>
        <v>42</v>
      </c>
      <c r="AH357" s="41" t="s">
        <v>1128</v>
      </c>
    </row>
    <row r="358" spans="1:35" s="268" customFormat="1">
      <c r="A358" s="130" t="s">
        <v>1723</v>
      </c>
      <c r="B358" s="93">
        <v>233</v>
      </c>
      <c r="C358" s="93">
        <v>237</v>
      </c>
      <c r="D358" s="79">
        <v>0</v>
      </c>
      <c r="E358" s="79">
        <v>4</v>
      </c>
      <c r="F358" s="57">
        <v>23.39</v>
      </c>
      <c r="G358" s="80">
        <v>8155</v>
      </c>
      <c r="H358" s="30" t="s">
        <v>1469</v>
      </c>
      <c r="I358" s="171" t="s">
        <v>84</v>
      </c>
      <c r="J358" s="73">
        <v>45.87</v>
      </c>
      <c r="K358" s="323">
        <v>6.43</v>
      </c>
      <c r="L358" s="73">
        <v>26.89</v>
      </c>
      <c r="M358" s="318"/>
      <c r="N358" s="333">
        <f>K358+J358+L358</f>
        <v>79.19</v>
      </c>
      <c r="O358" s="81">
        <f>IFERROR(VLOOKUP($G358,'321買'!A:E,3,0),"'沒有資料'")</f>
        <v>86</v>
      </c>
      <c r="P358" s="380">
        <f>IFERROR(VLOOKUP($G358,'321買'!$A:$G,7,0),"'沒有資料'")</f>
        <v>9</v>
      </c>
      <c r="Q358" s="302"/>
      <c r="R358" s="297">
        <f>IFERROR(RANK(VLOOKUP($G358,連買!$A:$D,4,0),連買!$D:$D,0),"'沒有資料'")</f>
        <v>88</v>
      </c>
      <c r="S358" s="197">
        <v>3.6</v>
      </c>
      <c r="T358" s="354"/>
      <c r="U358" s="95">
        <f t="shared" si="85"/>
        <v>3.0125523012552301E-2</v>
      </c>
      <c r="V358" s="166">
        <v>119.5</v>
      </c>
      <c r="W358" s="160">
        <v>117</v>
      </c>
      <c r="X358" s="167">
        <f t="shared" si="82"/>
        <v>2.5</v>
      </c>
      <c r="Y358" s="163">
        <f t="shared" si="83"/>
        <v>2.1367521367521368E-2</v>
      </c>
      <c r="Z358" s="196" t="s">
        <v>1769</v>
      </c>
      <c r="AA358" s="51"/>
      <c r="AB358" s="251"/>
      <c r="AC358" s="410"/>
      <c r="AD358" s="171" t="s">
        <v>84</v>
      </c>
      <c r="AE358" s="84">
        <v>44207</v>
      </c>
      <c r="AF358" s="83">
        <v>44251</v>
      </c>
      <c r="AG358" s="33">
        <f t="shared" si="84"/>
        <v>44</v>
      </c>
      <c r="AH358" s="41" t="s">
        <v>1128</v>
      </c>
    </row>
    <row r="359" spans="1:35" s="268" customFormat="1">
      <c r="A359" s="130" t="s">
        <v>2364</v>
      </c>
      <c r="B359" s="79">
        <v>89</v>
      </c>
      <c r="C359" s="79">
        <v>91</v>
      </c>
      <c r="D359" s="80">
        <v>-8</v>
      </c>
      <c r="E359" s="79">
        <v>14</v>
      </c>
      <c r="F359" s="57">
        <v>16.3</v>
      </c>
      <c r="G359" s="79">
        <v>6104</v>
      </c>
      <c r="H359" s="30" t="s">
        <v>1469</v>
      </c>
      <c r="I359" s="171" t="s">
        <v>374</v>
      </c>
      <c r="J359" s="73">
        <v>10.14</v>
      </c>
      <c r="K359" s="73">
        <v>4.7300000000000004</v>
      </c>
      <c r="L359" s="73">
        <v>53.31</v>
      </c>
      <c r="M359" s="318"/>
      <c r="N359" s="318">
        <f>K359+J359+L359</f>
        <v>68.180000000000007</v>
      </c>
      <c r="O359" s="81">
        <f>IFERROR(VLOOKUP($G359,'321買'!A:E,3,0),"'沒有資料'")</f>
        <v>116</v>
      </c>
      <c r="P359" s="380">
        <f>IFERROR(VLOOKUP($G359,'321買'!$A:$G,7,0),"'沒有資料'")</f>
        <v>2</v>
      </c>
      <c r="Q359" s="302"/>
      <c r="R359" s="297">
        <f>IFERROR(RANK(VLOOKUP($G359,連買!$A:$D,4,0),連買!$D:$D,0),"'沒有資料'")</f>
        <v>90</v>
      </c>
      <c r="S359" s="197">
        <v>2</v>
      </c>
      <c r="T359" s="354"/>
      <c r="U359" s="57">
        <f t="shared" si="85"/>
        <v>2.7359781121751029E-2</v>
      </c>
      <c r="V359" s="166">
        <v>73.099999999999994</v>
      </c>
      <c r="W359" s="160">
        <v>68.5</v>
      </c>
      <c r="X359" s="167">
        <f t="shared" si="82"/>
        <v>4.5999999999999943</v>
      </c>
      <c r="Y359" s="163">
        <f t="shared" si="83"/>
        <v>6.7153284671532767E-2</v>
      </c>
      <c r="Z359" s="196" t="s">
        <v>3267</v>
      </c>
      <c r="AA359" s="126"/>
      <c r="AB359" s="251"/>
      <c r="AC359" s="410"/>
      <c r="AD359" s="171" t="s">
        <v>374</v>
      </c>
      <c r="AE359" s="84">
        <v>44218</v>
      </c>
      <c r="AF359" s="83">
        <v>44251</v>
      </c>
      <c r="AG359" s="33">
        <f t="shared" si="84"/>
        <v>33</v>
      </c>
      <c r="AH359" s="41" t="s">
        <v>1128</v>
      </c>
      <c r="AI359" s="168"/>
    </row>
    <row r="360" spans="1:35" s="268" customFormat="1">
      <c r="A360" s="130" t="s">
        <v>2364</v>
      </c>
      <c r="B360" s="79">
        <v>89</v>
      </c>
      <c r="C360" s="79">
        <v>91</v>
      </c>
      <c r="D360" s="80">
        <v>-8</v>
      </c>
      <c r="E360" s="79">
        <v>14</v>
      </c>
      <c r="F360" s="57">
        <v>16.3</v>
      </c>
      <c r="G360" s="79">
        <v>6104</v>
      </c>
      <c r="H360" s="30" t="s">
        <v>1469</v>
      </c>
      <c r="I360" s="171" t="s">
        <v>374</v>
      </c>
      <c r="J360" s="73">
        <v>10.14</v>
      </c>
      <c r="K360" s="73">
        <v>4.7300000000000004</v>
      </c>
      <c r="L360" s="73">
        <v>53.31</v>
      </c>
      <c r="M360" s="318"/>
      <c r="N360" s="318">
        <f>K360+J360+L360</f>
        <v>68.180000000000007</v>
      </c>
      <c r="O360" s="81">
        <f>IFERROR(VLOOKUP($G360,'321買'!A:E,3,0),"'沒有資料'")</f>
        <v>116</v>
      </c>
      <c r="P360" s="380">
        <f>IFERROR(VLOOKUP($G360,'321買'!$A:$G,7,0),"'沒有資料'")</f>
        <v>2</v>
      </c>
      <c r="Q360" s="302"/>
      <c r="R360" s="297">
        <f>IFERROR(RANK(VLOOKUP($G360,連買!$A:$D,4,0),連買!$D:$D,0),"'沒有資料'")</f>
        <v>90</v>
      </c>
      <c r="S360" s="197">
        <v>2</v>
      </c>
      <c r="T360" s="354"/>
      <c r="U360" s="57">
        <f t="shared" si="85"/>
        <v>2.7359781121751029E-2</v>
      </c>
      <c r="V360" s="166">
        <v>73.099999999999994</v>
      </c>
      <c r="W360" s="160">
        <v>73.900000000000006</v>
      </c>
      <c r="X360" s="167">
        <f t="shared" si="82"/>
        <v>-0.80000000000001137</v>
      </c>
      <c r="Y360" s="169">
        <f t="shared" si="83"/>
        <v>-1.0825439783491358E-2</v>
      </c>
      <c r="Z360" s="209" t="s">
        <v>3268</v>
      </c>
      <c r="AA360" s="126"/>
      <c r="AB360" s="251"/>
      <c r="AC360" s="410"/>
      <c r="AD360" s="171" t="s">
        <v>374</v>
      </c>
      <c r="AE360" s="84">
        <v>44207</v>
      </c>
      <c r="AF360" s="83">
        <v>44251</v>
      </c>
      <c r="AG360" s="33">
        <f t="shared" si="84"/>
        <v>44</v>
      </c>
      <c r="AH360" s="41" t="s">
        <v>1128</v>
      </c>
      <c r="AI360" s="168"/>
    </row>
    <row r="361" spans="1:35" s="268" customFormat="1">
      <c r="A361" s="145"/>
      <c r="B361" s="80">
        <v>-1</v>
      </c>
      <c r="C361" s="80">
        <v>-17</v>
      </c>
      <c r="D361" s="80">
        <v>-1</v>
      </c>
      <c r="E361" s="80">
        <v>-12</v>
      </c>
      <c r="F361" s="6">
        <v>4.8499999999999996</v>
      </c>
      <c r="G361" s="79">
        <v>2103</v>
      </c>
      <c r="H361" s="30" t="s">
        <v>1469</v>
      </c>
      <c r="I361" s="158" t="s">
        <v>3263</v>
      </c>
      <c r="J361" s="323">
        <v>67.36</v>
      </c>
      <c r="K361" s="73">
        <v>34.32</v>
      </c>
      <c r="L361" s="73">
        <v>1.4</v>
      </c>
      <c r="M361" s="318"/>
      <c r="N361" s="318">
        <f>R361+K361+J361+L361</f>
        <v>1225.08</v>
      </c>
      <c r="O361" s="81">
        <f>IFERROR(VLOOKUP($G361,'321買'!A:E,3,0),"'沒有資料'")</f>
        <v>11</v>
      </c>
      <c r="P361" s="380">
        <f>IFERROR(VLOOKUP($G361,'321買'!$A:$G,7,0),"'沒有資料'")</f>
        <v>408</v>
      </c>
      <c r="Q361" s="302"/>
      <c r="R361" s="297">
        <f>IFERROR(RANK(VLOOKUP($G361,連買!$A:$D,4,0),連買!$D:$D,0),"'沒有資料'")</f>
        <v>1122</v>
      </c>
      <c r="S361" s="65">
        <v>0.98</v>
      </c>
      <c r="T361" s="354"/>
      <c r="U361" s="39">
        <f t="shared" si="85"/>
        <v>3.6567164179104474E-2</v>
      </c>
      <c r="V361" s="166">
        <v>26.8</v>
      </c>
      <c r="W361" s="65">
        <v>26.1</v>
      </c>
      <c r="X361" s="167">
        <f t="shared" si="82"/>
        <v>0.69999999999999929</v>
      </c>
      <c r="Y361" s="163">
        <f t="shared" si="83"/>
        <v>2.6819923371647483E-2</v>
      </c>
      <c r="Z361" s="196" t="s">
        <v>3269</v>
      </c>
      <c r="AA361" s="126"/>
      <c r="AB361" s="251"/>
      <c r="AC361" s="410"/>
      <c r="AD361" s="158" t="s">
        <v>3263</v>
      </c>
      <c r="AE361" s="84">
        <v>44246</v>
      </c>
      <c r="AF361" s="83">
        <v>44251</v>
      </c>
      <c r="AG361" s="33">
        <f t="shared" ref="AG361:AG367" si="86">AF361-AE361</f>
        <v>5</v>
      </c>
      <c r="AH361" s="41" t="s">
        <v>1128</v>
      </c>
      <c r="AI361" s="168"/>
    </row>
    <row r="362" spans="1:35" s="268" customFormat="1">
      <c r="A362" s="145"/>
      <c r="B362" s="80">
        <v>-1</v>
      </c>
      <c r="C362" s="80">
        <v>-17</v>
      </c>
      <c r="D362" s="80">
        <v>-1</v>
      </c>
      <c r="E362" s="80">
        <v>-12</v>
      </c>
      <c r="F362" s="6">
        <v>4.8499999999999996</v>
      </c>
      <c r="G362" s="79">
        <v>2103</v>
      </c>
      <c r="H362" s="30" t="s">
        <v>1469</v>
      </c>
      <c r="I362" s="158" t="s">
        <v>3263</v>
      </c>
      <c r="J362" s="323">
        <v>67.36</v>
      </c>
      <c r="K362" s="73">
        <v>34.32</v>
      </c>
      <c r="L362" s="73">
        <v>1.4</v>
      </c>
      <c r="M362" s="318"/>
      <c r="N362" s="318">
        <f>R362+K362+J362+L362</f>
        <v>1225.08</v>
      </c>
      <c r="O362" s="81">
        <f>IFERROR(VLOOKUP($G362,'321買'!A:E,3,0),"'沒有資料'")</f>
        <v>11</v>
      </c>
      <c r="P362" s="380">
        <f>IFERROR(VLOOKUP($G362,'321買'!$A:$G,7,0),"'沒有資料'")</f>
        <v>408</v>
      </c>
      <c r="Q362" s="302"/>
      <c r="R362" s="297">
        <f>IFERROR(RANK(VLOOKUP($G362,連買!$A:$D,4,0),連買!$D:$D,0),"'沒有資料'")</f>
        <v>1122</v>
      </c>
      <c r="S362" s="65">
        <v>0.98</v>
      </c>
      <c r="T362" s="354"/>
      <c r="U362" s="39">
        <f t="shared" si="85"/>
        <v>3.7984496124031007E-2</v>
      </c>
      <c r="V362" s="166">
        <v>25.8</v>
      </c>
      <c r="W362" s="65">
        <f>25.3-0.5</f>
        <v>24.8</v>
      </c>
      <c r="X362" s="167">
        <f t="shared" si="82"/>
        <v>1</v>
      </c>
      <c r="Y362" s="163">
        <f t="shared" si="83"/>
        <v>4.0322580645161289E-2</v>
      </c>
      <c r="Z362" s="196" t="s">
        <v>3161</v>
      </c>
      <c r="AA362" s="126"/>
      <c r="AB362" s="251"/>
      <c r="AC362" s="410"/>
      <c r="AD362" s="158" t="s">
        <v>3263</v>
      </c>
      <c r="AE362" s="84">
        <v>43731</v>
      </c>
      <c r="AF362" s="83">
        <v>44245</v>
      </c>
      <c r="AG362" s="77">
        <f t="shared" si="86"/>
        <v>514</v>
      </c>
      <c r="AH362" s="119" t="s">
        <v>1128</v>
      </c>
      <c r="AI362" s="168"/>
    </row>
    <row r="363" spans="1:35" s="268" customFormat="1">
      <c r="A363" s="145"/>
      <c r="B363" s="80">
        <v>-1</v>
      </c>
      <c r="C363" s="80">
        <v>-17</v>
      </c>
      <c r="D363" s="80">
        <v>-1</v>
      </c>
      <c r="E363" s="80">
        <v>-12</v>
      </c>
      <c r="F363" s="6">
        <v>4.8499999999999996</v>
      </c>
      <c r="G363" s="79">
        <v>2103</v>
      </c>
      <c r="H363" s="30" t="s">
        <v>1469</v>
      </c>
      <c r="I363" s="158" t="s">
        <v>3263</v>
      </c>
      <c r="J363" s="323">
        <v>67.36</v>
      </c>
      <c r="K363" s="73">
        <v>34.32</v>
      </c>
      <c r="L363" s="73">
        <v>1.4</v>
      </c>
      <c r="M363" s="318"/>
      <c r="N363" s="318">
        <f>R363+K363+J363+L363</f>
        <v>1225.08</v>
      </c>
      <c r="O363" s="81">
        <f>IFERROR(VLOOKUP($G363,'321買'!A:E,3,0),"'沒有資料'")</f>
        <v>11</v>
      </c>
      <c r="P363" s="380">
        <f>IFERROR(VLOOKUP($G363,'321買'!$A:$G,7,0),"'沒有資料'")</f>
        <v>408</v>
      </c>
      <c r="Q363" s="302"/>
      <c r="R363" s="297">
        <f>IFERROR(RANK(VLOOKUP($G363,連買!$A:$D,4,0),連買!$D:$D,0),"'沒有資料'")</f>
        <v>1122</v>
      </c>
      <c r="S363" s="65">
        <v>0.98</v>
      </c>
      <c r="T363" s="354"/>
      <c r="U363" s="39">
        <f t="shared" si="85"/>
        <v>3.7984496124031007E-2</v>
      </c>
      <c r="V363" s="166">
        <v>25.8</v>
      </c>
      <c r="W363" s="65">
        <f>25.2-0.5</f>
        <v>24.7</v>
      </c>
      <c r="X363" s="167">
        <f t="shared" si="82"/>
        <v>1.1000000000000014</v>
      </c>
      <c r="Y363" s="163">
        <f t="shared" si="83"/>
        <v>4.4534412955465646E-2</v>
      </c>
      <c r="Z363" s="196" t="s">
        <v>3176</v>
      </c>
      <c r="AA363" s="126"/>
      <c r="AB363" s="251"/>
      <c r="AC363" s="410"/>
      <c r="AD363" s="158" t="s">
        <v>3263</v>
      </c>
      <c r="AE363" s="84">
        <v>43732</v>
      </c>
      <c r="AF363" s="83">
        <v>44245</v>
      </c>
      <c r="AG363" s="77">
        <f t="shared" si="86"/>
        <v>513</v>
      </c>
      <c r="AH363" s="119" t="s">
        <v>1128</v>
      </c>
      <c r="AI363" s="168"/>
    </row>
    <row r="364" spans="1:35" s="268" customFormat="1">
      <c r="A364" s="145"/>
      <c r="B364" s="80">
        <v>-1</v>
      </c>
      <c r="C364" s="80">
        <v>-17</v>
      </c>
      <c r="D364" s="80">
        <v>-1</v>
      </c>
      <c r="E364" s="80">
        <v>-12</v>
      </c>
      <c r="F364" s="6">
        <v>4.8499999999999996</v>
      </c>
      <c r="G364" s="79">
        <v>2103</v>
      </c>
      <c r="H364" s="30" t="s">
        <v>1469</v>
      </c>
      <c r="I364" s="158" t="s">
        <v>3263</v>
      </c>
      <c r="J364" s="323">
        <v>67.36</v>
      </c>
      <c r="K364" s="73">
        <v>34.32</v>
      </c>
      <c r="L364" s="73">
        <v>1.4</v>
      </c>
      <c r="M364" s="318"/>
      <c r="N364" s="318">
        <f>R364+K364+J364+L364</f>
        <v>1225.08</v>
      </c>
      <c r="O364" s="81">
        <f>IFERROR(VLOOKUP($G364,'321買'!A:E,3,0),"'沒有資料'")</f>
        <v>11</v>
      </c>
      <c r="P364" s="380">
        <f>IFERROR(VLOOKUP($G364,'321買'!$A:$G,7,0),"'沒有資料'")</f>
        <v>408</v>
      </c>
      <c r="Q364" s="302"/>
      <c r="R364" s="297">
        <f>IFERROR(RANK(VLOOKUP($G364,連買!$A:$D,4,0),連買!$D:$D,0),"'沒有資料'")</f>
        <v>1122</v>
      </c>
      <c r="S364" s="65">
        <v>0.98</v>
      </c>
      <c r="T364" s="354"/>
      <c r="U364" s="39">
        <f t="shared" si="85"/>
        <v>3.7984496124031007E-2</v>
      </c>
      <c r="V364" s="166">
        <v>25.8</v>
      </c>
      <c r="W364" s="65">
        <f>25-0.5</f>
        <v>24.5</v>
      </c>
      <c r="X364" s="167">
        <f t="shared" si="82"/>
        <v>1.3000000000000007</v>
      </c>
      <c r="Y364" s="163">
        <f t="shared" si="83"/>
        <v>5.3061224489795944E-2</v>
      </c>
      <c r="Z364" s="196" t="s">
        <v>3233</v>
      </c>
      <c r="AA364" s="126"/>
      <c r="AB364" s="251"/>
      <c r="AC364" s="410"/>
      <c r="AD364" s="158" t="s">
        <v>3263</v>
      </c>
      <c r="AE364" s="84">
        <v>43734</v>
      </c>
      <c r="AF364" s="83">
        <v>44245</v>
      </c>
      <c r="AG364" s="77">
        <f t="shared" si="86"/>
        <v>511</v>
      </c>
      <c r="AH364" s="119" t="s">
        <v>1128</v>
      </c>
      <c r="AI364" s="168"/>
    </row>
    <row r="365" spans="1:35" s="268" customFormat="1">
      <c r="A365" s="145"/>
      <c r="B365" s="80">
        <v>-1</v>
      </c>
      <c r="C365" s="80">
        <v>-17</v>
      </c>
      <c r="D365" s="80">
        <v>-1</v>
      </c>
      <c r="E365" s="80">
        <v>-12</v>
      </c>
      <c r="F365" s="6">
        <v>4.8499999999999996</v>
      </c>
      <c r="G365" s="79">
        <v>2103</v>
      </c>
      <c r="H365" s="30" t="s">
        <v>1469</v>
      </c>
      <c r="I365" s="158" t="s">
        <v>3263</v>
      </c>
      <c r="J365" s="323">
        <v>67.36</v>
      </c>
      <c r="K365" s="73">
        <v>34.32</v>
      </c>
      <c r="L365" s="73">
        <v>1.4</v>
      </c>
      <c r="M365" s="318"/>
      <c r="N365" s="318">
        <f>R365+K365+J365+L365</f>
        <v>1225.08</v>
      </c>
      <c r="O365" s="81">
        <f>IFERROR(VLOOKUP($G365,'321買'!A:E,3,0),"'沒有資料'")</f>
        <v>11</v>
      </c>
      <c r="P365" s="380">
        <f>IFERROR(VLOOKUP($G365,'321買'!$A:$G,7,0),"'沒有資料'")</f>
        <v>408</v>
      </c>
      <c r="Q365" s="302"/>
      <c r="R365" s="297">
        <f>IFERROR(RANK(VLOOKUP($G365,連買!$A:$D,4,0),連買!$D:$D,0),"'沒有資料'")</f>
        <v>1122</v>
      </c>
      <c r="S365" s="65">
        <v>0.98</v>
      </c>
      <c r="T365" s="354"/>
      <c r="U365" s="39">
        <f t="shared" si="85"/>
        <v>3.7984496124031007E-2</v>
      </c>
      <c r="V365" s="166">
        <v>25.8</v>
      </c>
      <c r="W365" s="65">
        <f>24.5-0.5</f>
        <v>24</v>
      </c>
      <c r="X365" s="167">
        <f t="shared" si="82"/>
        <v>1.8000000000000007</v>
      </c>
      <c r="Y365" s="163">
        <f t="shared" si="83"/>
        <v>7.5000000000000025E-2</v>
      </c>
      <c r="Z365" s="196" t="s">
        <v>3270</v>
      </c>
      <c r="AA365" s="126"/>
      <c r="AB365" s="251"/>
      <c r="AC365" s="410"/>
      <c r="AD365" s="158" t="s">
        <v>3263</v>
      </c>
      <c r="AE365" s="84">
        <v>43735</v>
      </c>
      <c r="AF365" s="83">
        <v>44245</v>
      </c>
      <c r="AG365" s="77">
        <f t="shared" si="86"/>
        <v>510</v>
      </c>
      <c r="AH365" s="119" t="s">
        <v>1128</v>
      </c>
      <c r="AI365" s="168"/>
    </row>
    <row r="366" spans="1:35" s="268" customFormat="1">
      <c r="A366" s="146" t="s">
        <v>1885</v>
      </c>
      <c r="B366" s="80">
        <v>-71</v>
      </c>
      <c r="C366" s="80">
        <v>-61</v>
      </c>
      <c r="D366" s="80">
        <v>-7</v>
      </c>
      <c r="E366" s="79">
        <v>30</v>
      </c>
      <c r="F366" s="6">
        <v>7</v>
      </c>
      <c r="G366" s="79">
        <v>1536</v>
      </c>
      <c r="H366" s="30" t="s">
        <v>1469</v>
      </c>
      <c r="I366" s="158" t="s">
        <v>126</v>
      </c>
      <c r="J366" s="323">
        <v>52.89</v>
      </c>
      <c r="K366" s="73">
        <v>17.09</v>
      </c>
      <c r="L366" s="73">
        <v>8.4</v>
      </c>
      <c r="M366" s="318"/>
      <c r="N366" s="318">
        <f>K366+J366+L366</f>
        <v>78.38000000000001</v>
      </c>
      <c r="O366" s="81">
        <f>IFERROR(VLOOKUP($G366,'321買'!A:E,3,0),"'沒有資料'")</f>
        <v>2</v>
      </c>
      <c r="P366" s="380">
        <f>IFERROR(VLOOKUP($G366,'321買'!$A:$G,7,0),"'沒有資料'")</f>
        <v>706</v>
      </c>
      <c r="Q366" s="302"/>
      <c r="R366" s="297">
        <f>IFERROR(RANK(VLOOKUP($G366,連買!$A:$D,4,0),連買!$D:$D,0),"'沒有資料'")</f>
        <v>1649</v>
      </c>
      <c r="S366" s="65">
        <v>2</v>
      </c>
      <c r="T366" s="354"/>
      <c r="U366" s="39">
        <f t="shared" si="85"/>
        <v>1.6666666666666666E-2</v>
      </c>
      <c r="V366" s="166">
        <v>120</v>
      </c>
      <c r="W366" s="65">
        <v>90</v>
      </c>
      <c r="X366" s="167">
        <f t="shared" si="82"/>
        <v>30</v>
      </c>
      <c r="Y366" s="163">
        <f t="shared" si="83"/>
        <v>0.33333333333333331</v>
      </c>
      <c r="Z366" s="114" t="s">
        <v>3130</v>
      </c>
      <c r="AA366" s="126"/>
      <c r="AB366" s="251"/>
      <c r="AC366" s="410"/>
      <c r="AD366" s="158" t="s">
        <v>126</v>
      </c>
      <c r="AE366" s="84">
        <v>44231</v>
      </c>
      <c r="AF366" s="83">
        <v>44231</v>
      </c>
      <c r="AG366" s="33">
        <f t="shared" si="86"/>
        <v>0</v>
      </c>
      <c r="AH366" s="119" t="s">
        <v>1128</v>
      </c>
    </row>
    <row r="367" spans="1:35" s="268" customFormat="1">
      <c r="A367" s="130" t="s">
        <v>2418</v>
      </c>
      <c r="B367" s="80">
        <v>-16</v>
      </c>
      <c r="C367" s="80">
        <v>-15</v>
      </c>
      <c r="D367" s="79">
        <v>6</v>
      </c>
      <c r="E367" s="79">
        <v>14</v>
      </c>
      <c r="F367" s="57">
        <v>21.2</v>
      </c>
      <c r="G367" s="79">
        <v>6147</v>
      </c>
      <c r="H367" s="30" t="s">
        <v>1469</v>
      </c>
      <c r="I367" s="171" t="s">
        <v>40</v>
      </c>
      <c r="J367" s="73">
        <v>69.09</v>
      </c>
      <c r="K367" s="73">
        <v>50.28</v>
      </c>
      <c r="L367" s="73">
        <v>5.86</v>
      </c>
      <c r="M367" s="318"/>
      <c r="N367" s="73">
        <f>K367+J367+L367</f>
        <v>125.23</v>
      </c>
      <c r="O367" s="81">
        <f>IFERROR(VLOOKUP($G367,'321買'!A:E,3,0),"'沒有資料'")</f>
        <v>12</v>
      </c>
      <c r="P367" s="380">
        <f>IFERROR(VLOOKUP($G367,'321買'!$A:$G,7,0),"'沒有資料'")</f>
        <v>368</v>
      </c>
      <c r="Q367" s="302"/>
      <c r="R367" s="297">
        <f>IFERROR(RANK(VLOOKUP($G367,連買!$A:$D,4,0),連買!$D:$D,0),"'沒有資料'")</f>
        <v>229</v>
      </c>
      <c r="S367" s="65">
        <v>4.2</v>
      </c>
      <c r="T367" s="354"/>
      <c r="U367" s="39">
        <f t="shared" si="85"/>
        <v>5.9238363892806768E-2</v>
      </c>
      <c r="V367" s="170">
        <v>70.900000000000006</v>
      </c>
      <c r="W367" s="65">
        <v>68.900000000000006</v>
      </c>
      <c r="X367" s="167">
        <f t="shared" si="82"/>
        <v>2</v>
      </c>
      <c r="Y367" s="163">
        <f t="shared" si="83"/>
        <v>2.9027576197387515E-2</v>
      </c>
      <c r="Z367" s="196" t="s">
        <v>3271</v>
      </c>
      <c r="AA367" s="126"/>
      <c r="AB367" s="251"/>
      <c r="AC367" s="410"/>
      <c r="AD367" s="171" t="s">
        <v>40</v>
      </c>
      <c r="AE367" s="84">
        <v>44228</v>
      </c>
      <c r="AF367" s="83">
        <v>44230</v>
      </c>
      <c r="AG367" s="33">
        <f t="shared" si="86"/>
        <v>2</v>
      </c>
      <c r="AH367" s="119" t="s">
        <v>1128</v>
      </c>
    </row>
    <row r="368" spans="1:35" s="268" customFormat="1">
      <c r="A368" s="145"/>
      <c r="B368" s="79"/>
      <c r="C368" s="80"/>
      <c r="D368" s="79"/>
      <c r="E368" s="80"/>
      <c r="F368" s="6"/>
      <c r="G368" s="41"/>
      <c r="H368" s="54"/>
      <c r="I368" s="171"/>
      <c r="J368" s="323"/>
      <c r="K368" s="323"/>
      <c r="L368" s="73"/>
      <c r="M368" s="318"/>
      <c r="N368" s="318"/>
      <c r="O368" s="350"/>
      <c r="P368" s="374"/>
      <c r="Q368" s="302"/>
      <c r="R368" s="297"/>
      <c r="S368" s="65"/>
      <c r="T368" s="354"/>
      <c r="U368" s="39"/>
      <c r="V368" s="166">
        <f>SUM(V351:V367)</f>
        <v>990.89999999999975</v>
      </c>
      <c r="W368" s="65">
        <f>SUM(W351:W367)</f>
        <v>937.75</v>
      </c>
      <c r="X368" s="167">
        <f>SUM(X351:X367)</f>
        <v>53.149999999999977</v>
      </c>
      <c r="Y368" s="163">
        <f>X368/W368</f>
        <v>5.6678219141562229E-2</v>
      </c>
      <c r="Z368" s="116"/>
      <c r="AA368" s="126"/>
      <c r="AB368" s="251"/>
      <c r="AC368" s="410"/>
      <c r="AD368" s="158">
        <f>V368*(0.001425*0.65)+V368*0.003+W368*(0.001425*0.65)</f>
        <v>4.7591120624999999</v>
      </c>
      <c r="AE368" s="6">
        <f>X368-AD368</f>
        <v>48.390887937499976</v>
      </c>
      <c r="AF368" s="83"/>
      <c r="AG368" s="33"/>
      <c r="AH368" s="142"/>
      <c r="AI368" s="168"/>
    </row>
    <row r="369" spans="1:41" s="268" customFormat="1">
      <c r="A369" s="145"/>
      <c r="B369" s="79"/>
      <c r="C369" s="80"/>
      <c r="D369" s="79"/>
      <c r="E369" s="80"/>
      <c r="F369" s="6"/>
      <c r="G369" s="41"/>
      <c r="H369" s="50"/>
      <c r="I369" s="171"/>
      <c r="J369" s="323"/>
      <c r="K369" s="323"/>
      <c r="L369" s="73"/>
      <c r="M369" s="318"/>
      <c r="N369" s="318"/>
      <c r="O369" s="350"/>
      <c r="P369" s="374"/>
      <c r="Q369" s="302"/>
      <c r="R369" s="297"/>
      <c r="S369" s="65"/>
      <c r="T369" s="354"/>
      <c r="U369" s="39"/>
      <c r="V369" s="166"/>
      <c r="W369" s="65"/>
      <c r="X369" s="167"/>
      <c r="Y369" s="163"/>
      <c r="Z369" s="116"/>
      <c r="AA369" s="126"/>
      <c r="AB369" s="251"/>
      <c r="AC369" s="410"/>
      <c r="AD369" s="158">
        <f>V368*(0.001425*0.28)+V368*0.003+W368*(0.001425*0.28)</f>
        <v>3.7422313499999991</v>
      </c>
      <c r="AE369" s="84"/>
      <c r="AF369" s="83"/>
      <c r="AG369" s="33"/>
      <c r="AH369" s="142"/>
      <c r="AI369" s="168"/>
    </row>
    <row r="370" spans="1:41" s="268" customFormat="1">
      <c r="A370" s="145"/>
      <c r="B370" s="79"/>
      <c r="C370" s="80"/>
      <c r="D370" s="79"/>
      <c r="E370" s="80"/>
      <c r="F370" s="6"/>
      <c r="G370" s="41"/>
      <c r="H370" s="50"/>
      <c r="I370" s="171"/>
      <c r="J370" s="323"/>
      <c r="K370" s="323"/>
      <c r="L370" s="73"/>
      <c r="M370" s="318"/>
      <c r="N370" s="318"/>
      <c r="O370" s="350"/>
      <c r="P370" s="374"/>
      <c r="Q370" s="302"/>
      <c r="R370" s="297"/>
      <c r="S370" s="65"/>
      <c r="T370" s="354"/>
      <c r="U370" s="39"/>
      <c r="V370" s="166"/>
      <c r="W370" s="65"/>
      <c r="X370" s="167"/>
      <c r="Y370" s="163"/>
      <c r="Z370" s="116"/>
      <c r="AA370" s="126"/>
      <c r="AB370" s="251"/>
      <c r="AC370" s="410"/>
      <c r="AD370" s="158"/>
      <c r="AE370" s="84"/>
      <c r="AF370" s="83"/>
      <c r="AG370" s="33"/>
      <c r="AH370" s="142"/>
      <c r="AI370" s="168"/>
    </row>
    <row r="371" spans="1:41" s="276" customFormat="1">
      <c r="A371" s="130" t="s">
        <v>1732</v>
      </c>
      <c r="B371" s="91" t="s">
        <v>1588</v>
      </c>
      <c r="C371" s="91" t="s">
        <v>1589</v>
      </c>
      <c r="D371" s="91" t="s">
        <v>1590</v>
      </c>
      <c r="E371" s="91" t="s">
        <v>1591</v>
      </c>
      <c r="F371" s="8" t="s">
        <v>1066</v>
      </c>
      <c r="G371" s="26" t="s">
        <v>3691</v>
      </c>
      <c r="H371" s="55" t="s">
        <v>3084</v>
      </c>
      <c r="I371" s="1" t="s">
        <v>69</v>
      </c>
      <c r="J371" s="317" t="s">
        <v>1467</v>
      </c>
      <c r="K371" s="317" t="s">
        <v>1157</v>
      </c>
      <c r="L371" s="317" t="s">
        <v>284</v>
      </c>
      <c r="M371" s="317"/>
      <c r="N371" s="317" t="s">
        <v>1065</v>
      </c>
      <c r="O371" s="301" t="s">
        <v>3692</v>
      </c>
      <c r="P371" s="373" t="s">
        <v>3562</v>
      </c>
      <c r="Q371" s="302"/>
      <c r="R371" s="345" t="s">
        <v>3562</v>
      </c>
      <c r="S371" s="10" t="s">
        <v>3139</v>
      </c>
      <c r="T371" s="354"/>
      <c r="U371" s="68" t="s">
        <v>3493</v>
      </c>
      <c r="V371" s="28" t="s">
        <v>3138</v>
      </c>
      <c r="W371" s="17" t="s">
        <v>3140</v>
      </c>
      <c r="X371" s="14" t="s">
        <v>3080</v>
      </c>
      <c r="Y371" s="21" t="s">
        <v>3081</v>
      </c>
      <c r="Z371" s="25" t="s">
        <v>3082</v>
      </c>
      <c r="AA371" s="126"/>
      <c r="AB371" s="251"/>
      <c r="AC371" s="410"/>
      <c r="AD371" s="1" t="s">
        <v>3083</v>
      </c>
      <c r="AE371" s="71" t="s">
        <v>3085</v>
      </c>
      <c r="AF371" s="72" t="s">
        <v>3086</v>
      </c>
      <c r="AG371" s="32" t="s">
        <v>3087</v>
      </c>
      <c r="AH371" s="46" t="s">
        <v>3088</v>
      </c>
      <c r="AI371" s="168"/>
    </row>
    <row r="372" spans="1:41" s="268" customFormat="1">
      <c r="A372" s="130" t="s">
        <v>3089</v>
      </c>
      <c r="B372" s="79">
        <v>969</v>
      </c>
      <c r="C372" s="93">
        <v>2455</v>
      </c>
      <c r="D372" s="79">
        <v>5</v>
      </c>
      <c r="E372" s="80">
        <v>-3</v>
      </c>
      <c r="F372" s="57">
        <v>13.31</v>
      </c>
      <c r="G372" s="79">
        <v>2368</v>
      </c>
      <c r="H372" s="30" t="s">
        <v>3091</v>
      </c>
      <c r="I372" s="158" t="s">
        <v>3090</v>
      </c>
      <c r="J372" s="73">
        <v>66.260000000000005</v>
      </c>
      <c r="K372" s="73">
        <v>26.32</v>
      </c>
      <c r="L372" s="73">
        <v>15.8</v>
      </c>
      <c r="M372" s="318"/>
      <c r="N372" s="73">
        <f t="shared" ref="N372:N382" si="87">K372+J372+L372</f>
        <v>108.38000000000001</v>
      </c>
      <c r="O372" s="81">
        <f>IFERROR(VLOOKUP($G372,'321買'!A:E,3,0),"'沒有資料'")</f>
        <v>77</v>
      </c>
      <c r="P372" s="380">
        <f>IFERROR(VLOOKUP($G372,'321買'!$A:$G,7,0),"'沒有資料'")</f>
        <v>27</v>
      </c>
      <c r="Q372" s="302"/>
      <c r="R372" s="297">
        <f>IFERROR(RANK(VLOOKUP($G372,連買!$A:$D,4,0),連買!$D:$D,0),"'沒有資料'")</f>
        <v>300</v>
      </c>
      <c r="S372" s="197">
        <v>0</v>
      </c>
      <c r="T372" s="354"/>
      <c r="U372" s="57">
        <f t="shared" ref="U372:U392" si="88">S372/V372</f>
        <v>0</v>
      </c>
      <c r="V372" s="166">
        <v>53.8</v>
      </c>
      <c r="W372" s="65">
        <v>52.7</v>
      </c>
      <c r="X372" s="167">
        <f t="shared" ref="X372:X381" si="89">V372-W372</f>
        <v>1.0999999999999943</v>
      </c>
      <c r="Y372" s="163">
        <f t="shared" ref="Y372:Y382" si="90">X372/W372</f>
        <v>2.0872865275142205E-2</v>
      </c>
      <c r="Z372" s="196" t="s">
        <v>3238</v>
      </c>
      <c r="AA372" s="126"/>
      <c r="AB372" s="251"/>
      <c r="AC372" s="410"/>
      <c r="AD372" s="158" t="s">
        <v>3090</v>
      </c>
      <c r="AE372" s="84">
        <v>44218</v>
      </c>
      <c r="AF372" s="83">
        <v>44224</v>
      </c>
      <c r="AG372" s="33">
        <f>AF372-AE372</f>
        <v>6</v>
      </c>
      <c r="AH372" s="119" t="s">
        <v>3092</v>
      </c>
      <c r="AI372" s="120"/>
    </row>
    <row r="373" spans="1:41" s="268" customFormat="1">
      <c r="A373" s="130" t="s">
        <v>3089</v>
      </c>
      <c r="B373" s="79">
        <v>969</v>
      </c>
      <c r="C373" s="93">
        <v>2455</v>
      </c>
      <c r="D373" s="79">
        <v>5</v>
      </c>
      <c r="E373" s="80">
        <v>-3</v>
      </c>
      <c r="F373" s="57">
        <v>13.31</v>
      </c>
      <c r="G373" s="79">
        <v>2368</v>
      </c>
      <c r="H373" s="30" t="s">
        <v>3091</v>
      </c>
      <c r="I373" s="158" t="s">
        <v>3090</v>
      </c>
      <c r="J373" s="73">
        <v>66.260000000000005</v>
      </c>
      <c r="K373" s="73">
        <v>26.32</v>
      </c>
      <c r="L373" s="73">
        <v>15.8</v>
      </c>
      <c r="M373" s="318"/>
      <c r="N373" s="73">
        <f t="shared" si="87"/>
        <v>108.38000000000001</v>
      </c>
      <c r="O373" s="81">
        <f>IFERROR(VLOOKUP($G373,'321買'!A:E,3,0),"'沒有資料'")</f>
        <v>77</v>
      </c>
      <c r="P373" s="380">
        <f>IFERROR(VLOOKUP($G373,'321買'!$A:$G,7,0),"'沒有資料'")</f>
        <v>27</v>
      </c>
      <c r="Q373" s="302"/>
      <c r="R373" s="297">
        <f>IFERROR(RANK(VLOOKUP($G373,連買!$A:$D,4,0),連買!$D:$D,0),"'沒有資料'")</f>
        <v>300</v>
      </c>
      <c r="S373" s="197">
        <v>0</v>
      </c>
      <c r="T373" s="354"/>
      <c r="U373" s="57">
        <f t="shared" si="88"/>
        <v>0</v>
      </c>
      <c r="V373" s="166">
        <v>53.8</v>
      </c>
      <c r="W373" s="65">
        <v>52.3</v>
      </c>
      <c r="X373" s="167">
        <f t="shared" si="89"/>
        <v>1.5</v>
      </c>
      <c r="Y373" s="163">
        <f t="shared" si="90"/>
        <v>2.8680688336520078E-2</v>
      </c>
      <c r="Z373" s="196" t="s">
        <v>3239</v>
      </c>
      <c r="AA373" s="126"/>
      <c r="AB373" s="251"/>
      <c r="AC373" s="410"/>
      <c r="AD373" s="158" t="s">
        <v>3090</v>
      </c>
      <c r="AE373" s="84">
        <v>44217</v>
      </c>
      <c r="AF373" s="83">
        <v>44224</v>
      </c>
      <c r="AG373" s="33">
        <f>AF373-AE373</f>
        <v>7</v>
      </c>
      <c r="AH373" s="119" t="s">
        <v>3092</v>
      </c>
      <c r="AI373" s="120"/>
    </row>
    <row r="374" spans="1:41" s="268" customFormat="1">
      <c r="A374" s="146" t="s">
        <v>3093</v>
      </c>
      <c r="B374" s="79">
        <v>7</v>
      </c>
      <c r="C374" s="79">
        <v>0</v>
      </c>
      <c r="D374" s="80">
        <v>-9</v>
      </c>
      <c r="E374" s="80">
        <v>-1</v>
      </c>
      <c r="F374" s="6">
        <v>7.51</v>
      </c>
      <c r="G374" s="80">
        <v>1216</v>
      </c>
      <c r="H374" s="30" t="s">
        <v>3091</v>
      </c>
      <c r="I374" s="158" t="s">
        <v>3094</v>
      </c>
      <c r="J374" s="323">
        <v>85.37</v>
      </c>
      <c r="K374" s="323">
        <v>46.74</v>
      </c>
      <c r="L374" s="73">
        <v>0.2</v>
      </c>
      <c r="M374" s="318"/>
      <c r="N374" s="73">
        <f t="shared" si="87"/>
        <v>132.31</v>
      </c>
      <c r="O374" s="81">
        <f>IFERROR(VLOOKUP($G374,'321買'!A:E,3,0),"'沒有資料'")</f>
        <v>0</v>
      </c>
      <c r="P374" s="380">
        <f>IFERROR(VLOOKUP($G374,'321買'!$A:$G,7,0),"'沒有資料'")</f>
        <v>911</v>
      </c>
      <c r="Q374" s="302"/>
      <c r="R374" s="297">
        <f>IFERROR(RANK(VLOOKUP($G374,連買!$A:$D,4,0),連買!$D:$D,0),"'沒有資料'")</f>
        <v>1588</v>
      </c>
      <c r="S374" s="197">
        <v>2.5</v>
      </c>
      <c r="T374" s="354"/>
      <c r="U374" s="95">
        <f t="shared" si="88"/>
        <v>3.7091988130563795E-2</v>
      </c>
      <c r="V374" s="170">
        <v>67.400000000000006</v>
      </c>
      <c r="W374" s="65">
        <v>67.599999999999994</v>
      </c>
      <c r="X374" s="167">
        <f t="shared" si="89"/>
        <v>-0.19999999999998863</v>
      </c>
      <c r="Y374" s="169">
        <f t="shared" si="90"/>
        <v>-2.9585798816566368E-3</v>
      </c>
      <c r="Z374" s="115" t="s">
        <v>3240</v>
      </c>
      <c r="AA374" s="126"/>
      <c r="AB374" s="251"/>
      <c r="AC374" s="410"/>
      <c r="AD374" s="158" t="s">
        <v>3094</v>
      </c>
      <c r="AE374" s="84">
        <v>44196</v>
      </c>
      <c r="AF374" s="83">
        <v>44224</v>
      </c>
      <c r="AG374" s="33">
        <f>AF374-AE374</f>
        <v>28</v>
      </c>
      <c r="AH374" s="119" t="s">
        <v>3092</v>
      </c>
      <c r="AI374" s="266"/>
      <c r="AJ374" s="38"/>
      <c r="AK374" s="65"/>
      <c r="AL374" s="162"/>
      <c r="AM374" s="65"/>
      <c r="AN374" s="41"/>
      <c r="AO374" s="158"/>
    </row>
    <row r="375" spans="1:41" s="268" customFormat="1">
      <c r="A375" s="146" t="s">
        <v>3093</v>
      </c>
      <c r="B375" s="79">
        <v>7</v>
      </c>
      <c r="C375" s="79">
        <v>0</v>
      </c>
      <c r="D375" s="80">
        <v>-9</v>
      </c>
      <c r="E375" s="80">
        <v>-1</v>
      </c>
      <c r="F375" s="6">
        <v>7.51</v>
      </c>
      <c r="G375" s="80">
        <v>1216</v>
      </c>
      <c r="H375" s="30" t="s">
        <v>3091</v>
      </c>
      <c r="I375" s="158" t="s">
        <v>3094</v>
      </c>
      <c r="J375" s="323">
        <v>85.37</v>
      </c>
      <c r="K375" s="323">
        <v>46.74</v>
      </c>
      <c r="L375" s="73">
        <v>0.2</v>
      </c>
      <c r="M375" s="318"/>
      <c r="N375" s="73">
        <f t="shared" si="87"/>
        <v>132.31</v>
      </c>
      <c r="O375" s="81">
        <f>IFERROR(VLOOKUP($G375,'321買'!A:E,3,0),"'沒有資料'")</f>
        <v>0</v>
      </c>
      <c r="P375" s="380">
        <f>IFERROR(VLOOKUP($G375,'321買'!$A:$G,7,0),"'沒有資料'")</f>
        <v>911</v>
      </c>
      <c r="Q375" s="302"/>
      <c r="R375" s="297">
        <f>IFERROR(RANK(VLOOKUP($G375,連買!$A:$D,4,0),連買!$D:$D,0),"'沒有資料'")</f>
        <v>1588</v>
      </c>
      <c r="S375" s="197">
        <v>2.5</v>
      </c>
      <c r="T375" s="354"/>
      <c r="U375" s="95">
        <f t="shared" si="88"/>
        <v>3.7091988130563795E-2</v>
      </c>
      <c r="V375" s="170">
        <v>67.400000000000006</v>
      </c>
      <c r="W375" s="65">
        <v>66.7</v>
      </c>
      <c r="X375" s="167">
        <f t="shared" si="89"/>
        <v>0.70000000000000284</v>
      </c>
      <c r="Y375" s="163">
        <f t="shared" si="90"/>
        <v>1.0494752623688198E-2</v>
      </c>
      <c r="Z375" s="114" t="s">
        <v>3241</v>
      </c>
      <c r="AA375" s="126"/>
      <c r="AB375" s="251"/>
      <c r="AC375" s="410"/>
      <c r="AD375" s="158" t="s">
        <v>3094</v>
      </c>
      <c r="AE375" s="84">
        <v>44183</v>
      </c>
      <c r="AF375" s="83">
        <v>44224</v>
      </c>
      <c r="AG375" s="33">
        <f>AF375-AE375</f>
        <v>41</v>
      </c>
      <c r="AH375" s="119" t="s">
        <v>3092</v>
      </c>
      <c r="AI375" s="266"/>
      <c r="AJ375" s="38"/>
      <c r="AK375" s="65"/>
      <c r="AL375" s="162"/>
      <c r="AM375" s="65"/>
      <c r="AN375" s="41"/>
      <c r="AO375" s="158"/>
    </row>
    <row r="376" spans="1:41" s="268" customFormat="1">
      <c r="A376" s="130" t="s">
        <v>3095</v>
      </c>
      <c r="B376" s="79">
        <v>24</v>
      </c>
      <c r="C376" s="79">
        <v>33</v>
      </c>
      <c r="D376" s="79">
        <v>7</v>
      </c>
      <c r="E376" s="79">
        <v>14</v>
      </c>
      <c r="F376" s="57">
        <v>15.22</v>
      </c>
      <c r="G376" s="79">
        <v>5439</v>
      </c>
      <c r="H376" s="30" t="s">
        <v>3091</v>
      </c>
      <c r="I376" s="171" t="s">
        <v>3096</v>
      </c>
      <c r="J376" s="73">
        <v>35.799999999999997</v>
      </c>
      <c r="K376" s="73">
        <v>5.67</v>
      </c>
      <c r="L376" s="73">
        <v>37.479999999999997</v>
      </c>
      <c r="M376" s="318"/>
      <c r="N376" s="318">
        <f t="shared" si="87"/>
        <v>78.949999999999989</v>
      </c>
      <c r="O376" s="81">
        <f>IFERROR(VLOOKUP($G376,'321買'!A:E,3,0),"'沒有資料'")</f>
        <v>22</v>
      </c>
      <c r="P376" s="380">
        <f>IFERROR(VLOOKUP($G376,'321買'!$A:$G,7,0),"'沒有資料'")</f>
        <v>215</v>
      </c>
      <c r="Q376" s="302"/>
      <c r="R376" s="297">
        <f>IFERROR(RANK(VLOOKUP($G376,連買!$A:$D,4,0),連買!$D:$D,0),"'沒有資料'")</f>
        <v>1608</v>
      </c>
      <c r="S376" s="197">
        <v>2.2999999999999998</v>
      </c>
      <c r="T376" s="354"/>
      <c r="U376" s="95">
        <f t="shared" si="88"/>
        <v>4.1441441441441441E-2</v>
      </c>
      <c r="V376" s="166">
        <v>55.5</v>
      </c>
      <c r="W376" s="160">
        <v>52.7</v>
      </c>
      <c r="X376" s="167">
        <f t="shared" si="89"/>
        <v>2.7999999999999972</v>
      </c>
      <c r="Y376" s="163">
        <f t="shared" si="90"/>
        <v>5.3130929791271292E-2</v>
      </c>
      <c r="Z376" s="196" t="s">
        <v>3233</v>
      </c>
      <c r="AA376" s="126"/>
      <c r="AB376" s="251"/>
      <c r="AC376" s="410"/>
      <c r="AD376" s="171" t="s">
        <v>3096</v>
      </c>
      <c r="AE376" s="84">
        <v>44222</v>
      </c>
      <c r="AF376" s="83">
        <v>44224</v>
      </c>
      <c r="AG376" s="33">
        <f t="shared" ref="AG376:AG381" si="91">AF376-AE376</f>
        <v>2</v>
      </c>
      <c r="AH376" s="119" t="s">
        <v>3097</v>
      </c>
      <c r="AI376" s="168"/>
    </row>
    <row r="377" spans="1:41" s="268" customFormat="1">
      <c r="A377" s="130" t="s">
        <v>3095</v>
      </c>
      <c r="B377" s="79">
        <v>24</v>
      </c>
      <c r="C377" s="79">
        <v>33</v>
      </c>
      <c r="D377" s="79">
        <v>7</v>
      </c>
      <c r="E377" s="79">
        <v>14</v>
      </c>
      <c r="F377" s="57">
        <v>15.22</v>
      </c>
      <c r="G377" s="79">
        <v>5439</v>
      </c>
      <c r="H377" s="30" t="s">
        <v>3091</v>
      </c>
      <c r="I377" s="171" t="s">
        <v>3096</v>
      </c>
      <c r="J377" s="73">
        <v>35.799999999999997</v>
      </c>
      <c r="K377" s="73">
        <v>5.67</v>
      </c>
      <c r="L377" s="73">
        <v>37.479999999999997</v>
      </c>
      <c r="M377" s="318"/>
      <c r="N377" s="318">
        <f t="shared" si="87"/>
        <v>78.949999999999989</v>
      </c>
      <c r="O377" s="81">
        <f>IFERROR(VLOOKUP($G377,'321買'!A:E,3,0),"'沒有資料'")</f>
        <v>22</v>
      </c>
      <c r="P377" s="380">
        <f>IFERROR(VLOOKUP($G377,'321買'!$A:$G,7,0),"'沒有資料'")</f>
        <v>215</v>
      </c>
      <c r="Q377" s="302"/>
      <c r="R377" s="297">
        <f>IFERROR(RANK(VLOOKUP($G377,連買!$A:$D,4,0),連買!$D:$D,0),"'沒有資料'")</f>
        <v>1608</v>
      </c>
      <c r="S377" s="197">
        <v>2.2999999999999998</v>
      </c>
      <c r="T377" s="354"/>
      <c r="U377" s="95">
        <f t="shared" si="88"/>
        <v>4.1441441441441441E-2</v>
      </c>
      <c r="V377" s="166">
        <v>55.5</v>
      </c>
      <c r="W377" s="160">
        <v>51.8</v>
      </c>
      <c r="X377" s="167">
        <f t="shared" si="89"/>
        <v>3.7000000000000028</v>
      </c>
      <c r="Y377" s="163">
        <f t="shared" si="90"/>
        <v>7.1428571428571494E-2</v>
      </c>
      <c r="Z377" s="196" t="s">
        <v>1465</v>
      </c>
      <c r="AA377" s="126"/>
      <c r="AB377" s="251"/>
      <c r="AC377" s="410"/>
      <c r="AD377" s="171" t="s">
        <v>3096</v>
      </c>
      <c r="AE377" s="84">
        <v>44219</v>
      </c>
      <c r="AF377" s="83">
        <v>44224</v>
      </c>
      <c r="AG377" s="33">
        <f t="shared" si="91"/>
        <v>5</v>
      </c>
      <c r="AH377" s="119" t="s">
        <v>3097</v>
      </c>
      <c r="AI377" s="168"/>
    </row>
    <row r="378" spans="1:41" s="268" customFormat="1">
      <c r="A378" s="130" t="s">
        <v>3095</v>
      </c>
      <c r="B378" s="79">
        <v>24</v>
      </c>
      <c r="C378" s="79">
        <v>33</v>
      </c>
      <c r="D378" s="79">
        <v>7</v>
      </c>
      <c r="E378" s="79">
        <v>14</v>
      </c>
      <c r="F378" s="57">
        <v>15.22</v>
      </c>
      <c r="G378" s="79">
        <v>5439</v>
      </c>
      <c r="H378" s="30" t="s">
        <v>3091</v>
      </c>
      <c r="I378" s="171" t="s">
        <v>3096</v>
      </c>
      <c r="J378" s="73">
        <v>35.799999999999997</v>
      </c>
      <c r="K378" s="73">
        <v>5.67</v>
      </c>
      <c r="L378" s="73">
        <v>37.479999999999997</v>
      </c>
      <c r="M378" s="318"/>
      <c r="N378" s="318">
        <f t="shared" si="87"/>
        <v>78.949999999999989</v>
      </c>
      <c r="O378" s="81">
        <f>IFERROR(VLOOKUP($G378,'321買'!A:E,3,0),"'沒有資料'")</f>
        <v>22</v>
      </c>
      <c r="P378" s="380">
        <f>IFERROR(VLOOKUP($G378,'321買'!$A:$G,7,0),"'沒有資料'")</f>
        <v>215</v>
      </c>
      <c r="Q378" s="302"/>
      <c r="R378" s="297">
        <f>IFERROR(RANK(VLOOKUP($G378,連買!$A:$D,4,0),連買!$D:$D,0),"'沒有資料'")</f>
        <v>1608</v>
      </c>
      <c r="S378" s="197">
        <v>2.2999999999999998</v>
      </c>
      <c r="T378" s="354"/>
      <c r="U378" s="95">
        <f t="shared" si="88"/>
        <v>4.1441441441441441E-2</v>
      </c>
      <c r="V378" s="166">
        <v>55.5</v>
      </c>
      <c r="W378" s="160">
        <v>51.5</v>
      </c>
      <c r="X378" s="167">
        <f t="shared" si="89"/>
        <v>4</v>
      </c>
      <c r="Y378" s="163">
        <f t="shared" si="90"/>
        <v>7.7669902912621352E-2</v>
      </c>
      <c r="Z378" s="196" t="s">
        <v>3242</v>
      </c>
      <c r="AA378" s="126"/>
      <c r="AB378" s="251"/>
      <c r="AC378" s="410"/>
      <c r="AD378" s="171" t="s">
        <v>3096</v>
      </c>
      <c r="AE378" s="84">
        <v>44218</v>
      </c>
      <c r="AF378" s="83">
        <v>44224</v>
      </c>
      <c r="AG378" s="33">
        <f t="shared" si="91"/>
        <v>6</v>
      </c>
      <c r="AH378" s="119" t="s">
        <v>3097</v>
      </c>
      <c r="AI378" s="168"/>
    </row>
    <row r="379" spans="1:41" s="268" customFormat="1">
      <c r="A379" s="130" t="s">
        <v>3095</v>
      </c>
      <c r="B379" s="79">
        <v>24</v>
      </c>
      <c r="C379" s="79">
        <v>33</v>
      </c>
      <c r="D379" s="79">
        <v>7</v>
      </c>
      <c r="E379" s="79">
        <v>14</v>
      </c>
      <c r="F379" s="57">
        <v>15.22</v>
      </c>
      <c r="G379" s="79">
        <v>5439</v>
      </c>
      <c r="H379" s="30" t="s">
        <v>3091</v>
      </c>
      <c r="I379" s="171" t="s">
        <v>3096</v>
      </c>
      <c r="J379" s="73">
        <v>35.799999999999997</v>
      </c>
      <c r="K379" s="73">
        <v>5.67</v>
      </c>
      <c r="L379" s="73">
        <v>37.479999999999997</v>
      </c>
      <c r="M379" s="318"/>
      <c r="N379" s="318">
        <f t="shared" si="87"/>
        <v>78.949999999999989</v>
      </c>
      <c r="O379" s="81">
        <f>IFERROR(VLOOKUP($G379,'321買'!A:E,3,0),"'沒有資料'")</f>
        <v>22</v>
      </c>
      <c r="P379" s="380">
        <f>IFERROR(VLOOKUP($G379,'321買'!$A:$G,7,0),"'沒有資料'")</f>
        <v>215</v>
      </c>
      <c r="Q379" s="302"/>
      <c r="R379" s="297">
        <f>IFERROR(RANK(VLOOKUP($G379,連買!$A:$D,4,0),連買!$D:$D,0),"'沒有資料'")</f>
        <v>1608</v>
      </c>
      <c r="S379" s="197">
        <v>2.2999999999999998</v>
      </c>
      <c r="T379" s="354"/>
      <c r="U379" s="95">
        <f t="shared" si="88"/>
        <v>4.1441441441441441E-2</v>
      </c>
      <c r="V379" s="166">
        <v>55.5</v>
      </c>
      <c r="W379" s="160">
        <v>56.5</v>
      </c>
      <c r="X379" s="167">
        <f t="shared" si="89"/>
        <v>-1</v>
      </c>
      <c r="Y379" s="169">
        <f t="shared" si="90"/>
        <v>-1.7699115044247787E-2</v>
      </c>
      <c r="Z379" s="209" t="s">
        <v>3243</v>
      </c>
      <c r="AA379" s="126"/>
      <c r="AB379" s="251"/>
      <c r="AC379" s="410"/>
      <c r="AD379" s="171" t="s">
        <v>3096</v>
      </c>
      <c r="AE379" s="84">
        <v>44203</v>
      </c>
      <c r="AF379" s="83">
        <v>44224</v>
      </c>
      <c r="AG379" s="33">
        <f t="shared" si="91"/>
        <v>21</v>
      </c>
      <c r="AH379" s="119" t="s">
        <v>3097</v>
      </c>
      <c r="AI379" s="168"/>
    </row>
    <row r="380" spans="1:41" s="268" customFormat="1">
      <c r="A380" s="130" t="s">
        <v>3095</v>
      </c>
      <c r="B380" s="79">
        <v>24</v>
      </c>
      <c r="C380" s="79">
        <v>33</v>
      </c>
      <c r="D380" s="79">
        <v>7</v>
      </c>
      <c r="E380" s="79">
        <v>14</v>
      </c>
      <c r="F380" s="57">
        <v>15.22</v>
      </c>
      <c r="G380" s="79">
        <v>5439</v>
      </c>
      <c r="H380" s="30" t="s">
        <v>3091</v>
      </c>
      <c r="I380" s="171" t="s">
        <v>3096</v>
      </c>
      <c r="J380" s="73">
        <v>35.799999999999997</v>
      </c>
      <c r="K380" s="73">
        <v>5.67</v>
      </c>
      <c r="L380" s="73">
        <v>37.479999999999997</v>
      </c>
      <c r="M380" s="318"/>
      <c r="N380" s="318">
        <f t="shared" si="87"/>
        <v>78.949999999999989</v>
      </c>
      <c r="O380" s="81">
        <f>IFERROR(VLOOKUP($G380,'321買'!A:E,3,0),"'沒有資料'")</f>
        <v>22</v>
      </c>
      <c r="P380" s="380">
        <f>IFERROR(VLOOKUP($G380,'321買'!$A:$G,7,0),"'沒有資料'")</f>
        <v>215</v>
      </c>
      <c r="Q380" s="302"/>
      <c r="R380" s="297">
        <f>IFERROR(RANK(VLOOKUP($G380,連買!$A:$D,4,0),連買!$D:$D,0),"'沒有資料'")</f>
        <v>1608</v>
      </c>
      <c r="S380" s="197">
        <v>2.2999999999999998</v>
      </c>
      <c r="T380" s="354"/>
      <c r="U380" s="95">
        <f t="shared" si="88"/>
        <v>4.1441441441441441E-2</v>
      </c>
      <c r="V380" s="166">
        <v>55.5</v>
      </c>
      <c r="W380" s="160">
        <v>57.7</v>
      </c>
      <c r="X380" s="167">
        <f t="shared" si="89"/>
        <v>-2.2000000000000028</v>
      </c>
      <c r="Y380" s="169">
        <f t="shared" si="90"/>
        <v>-3.8128249566724483E-2</v>
      </c>
      <c r="Z380" s="209" t="s">
        <v>3244</v>
      </c>
      <c r="AA380" s="126"/>
      <c r="AB380" s="251"/>
      <c r="AC380" s="410"/>
      <c r="AD380" s="171" t="s">
        <v>3096</v>
      </c>
      <c r="AE380" s="84">
        <v>44203</v>
      </c>
      <c r="AF380" s="83">
        <v>44224</v>
      </c>
      <c r="AG380" s="33">
        <f t="shared" si="91"/>
        <v>21</v>
      </c>
      <c r="AH380" s="119" t="s">
        <v>3097</v>
      </c>
      <c r="AI380" s="168"/>
    </row>
    <row r="381" spans="1:41" s="268" customFormat="1">
      <c r="A381" s="130" t="s">
        <v>3095</v>
      </c>
      <c r="B381" s="79">
        <v>24</v>
      </c>
      <c r="C381" s="79">
        <v>33</v>
      </c>
      <c r="D381" s="79">
        <v>7</v>
      </c>
      <c r="E381" s="79">
        <v>14</v>
      </c>
      <c r="F381" s="57">
        <v>15.22</v>
      </c>
      <c r="G381" s="79">
        <v>5439</v>
      </c>
      <c r="H381" s="30" t="s">
        <v>3091</v>
      </c>
      <c r="I381" s="171" t="s">
        <v>3096</v>
      </c>
      <c r="J381" s="73">
        <v>35.799999999999997</v>
      </c>
      <c r="K381" s="73">
        <v>5.67</v>
      </c>
      <c r="L381" s="73">
        <v>37.479999999999997</v>
      </c>
      <c r="M381" s="318"/>
      <c r="N381" s="318">
        <f t="shared" si="87"/>
        <v>78.949999999999989</v>
      </c>
      <c r="O381" s="81">
        <f>IFERROR(VLOOKUP($G381,'321買'!A:E,3,0),"'沒有資料'")</f>
        <v>22</v>
      </c>
      <c r="P381" s="380">
        <f>IFERROR(VLOOKUP($G381,'321買'!$A:$G,7,0),"'沒有資料'")</f>
        <v>215</v>
      </c>
      <c r="Q381" s="302"/>
      <c r="R381" s="297">
        <f>IFERROR(RANK(VLOOKUP($G381,連買!$A:$D,4,0),連買!$D:$D,0),"'沒有資料'")</f>
        <v>1608</v>
      </c>
      <c r="S381" s="197">
        <v>2.2999999999999998</v>
      </c>
      <c r="T381" s="354"/>
      <c r="U381" s="95">
        <f t="shared" si="88"/>
        <v>4.1441441441441441E-2</v>
      </c>
      <c r="V381" s="166">
        <v>55.5</v>
      </c>
      <c r="W381" s="160">
        <v>54.3</v>
      </c>
      <c r="X381" s="167">
        <f t="shared" si="89"/>
        <v>1.2000000000000028</v>
      </c>
      <c r="Y381" s="163">
        <f t="shared" si="90"/>
        <v>2.2099447513812209E-2</v>
      </c>
      <c r="Z381" s="196" t="s">
        <v>3245</v>
      </c>
      <c r="AA381" s="126"/>
      <c r="AB381" s="251"/>
      <c r="AC381" s="410"/>
      <c r="AD381" s="171" t="s">
        <v>3096</v>
      </c>
      <c r="AE381" s="84">
        <v>44194</v>
      </c>
      <c r="AF381" s="83">
        <v>44224</v>
      </c>
      <c r="AG381" s="33">
        <f t="shared" si="91"/>
        <v>30</v>
      </c>
      <c r="AH381" s="119" t="s">
        <v>3097</v>
      </c>
      <c r="AI381" s="168"/>
    </row>
    <row r="382" spans="1:41" s="268" customFormat="1">
      <c r="A382" s="130" t="s">
        <v>3098</v>
      </c>
      <c r="B382" s="79">
        <v>55</v>
      </c>
      <c r="C382" s="79">
        <v>41</v>
      </c>
      <c r="D382" s="79">
        <v>3</v>
      </c>
      <c r="E382" s="79">
        <v>34</v>
      </c>
      <c r="F382" s="57">
        <v>22.31</v>
      </c>
      <c r="G382" s="79">
        <v>3264</v>
      </c>
      <c r="H382" s="30" t="s">
        <v>3091</v>
      </c>
      <c r="I382" s="171" t="s">
        <v>3099</v>
      </c>
      <c r="J382" s="73">
        <v>61.92</v>
      </c>
      <c r="K382" s="73">
        <v>34.9</v>
      </c>
      <c r="L382" s="73">
        <v>9.77</v>
      </c>
      <c r="M382" s="318"/>
      <c r="N382" s="73">
        <f t="shared" si="87"/>
        <v>106.58999999999999</v>
      </c>
      <c r="O382" s="81">
        <f>IFERROR(VLOOKUP($G382,'321買'!A:E,3,0),"'沒有資料'")</f>
        <v>36</v>
      </c>
      <c r="P382" s="380">
        <f>IFERROR(VLOOKUP($G382,'321買'!$A:$G,7,0),"'沒有資料'")</f>
        <v>130</v>
      </c>
      <c r="Q382" s="302"/>
      <c r="R382" s="297">
        <f>IFERROR(RANK(VLOOKUP($G382,連買!$A:$D,4,0),連買!$D:$D,0),"'沒有資料'")</f>
        <v>1526</v>
      </c>
      <c r="S382" s="197">
        <v>1.3</v>
      </c>
      <c r="T382" s="354"/>
      <c r="U382" s="95">
        <f t="shared" si="88"/>
        <v>2.9782359679266898E-2</v>
      </c>
      <c r="V382" s="166">
        <v>43.65</v>
      </c>
      <c r="W382" s="65">
        <v>41.8</v>
      </c>
      <c r="X382" s="167">
        <f t="shared" ref="X382:X392" si="92">V382-W382</f>
        <v>1.8500000000000014</v>
      </c>
      <c r="Y382" s="163">
        <f t="shared" si="90"/>
        <v>4.4258373205741663E-2</v>
      </c>
      <c r="Z382" s="196" t="s">
        <v>3246</v>
      </c>
      <c r="AA382" s="126"/>
      <c r="AB382" s="251"/>
      <c r="AC382" s="410"/>
      <c r="AD382" s="171" t="s">
        <v>3099</v>
      </c>
      <c r="AE382" s="84">
        <v>44208</v>
      </c>
      <c r="AF382" s="83">
        <v>44217</v>
      </c>
      <c r="AG382" s="33">
        <f>AF382-AE382</f>
        <v>9</v>
      </c>
      <c r="AH382" s="119" t="s">
        <v>3097</v>
      </c>
      <c r="AI382" s="168"/>
    </row>
    <row r="383" spans="1:41" s="268" customFormat="1">
      <c r="A383" s="130" t="s">
        <v>3100</v>
      </c>
      <c r="B383" s="80">
        <v>-16</v>
      </c>
      <c r="C383" s="80">
        <v>-15</v>
      </c>
      <c r="D383" s="80">
        <v>-1</v>
      </c>
      <c r="E383" s="79">
        <v>20</v>
      </c>
      <c r="F383" s="57">
        <v>21.2</v>
      </c>
      <c r="G383" s="79">
        <v>6147</v>
      </c>
      <c r="H383" s="30" t="s">
        <v>3091</v>
      </c>
      <c r="I383" s="171" t="s">
        <v>3101</v>
      </c>
      <c r="J383" s="73">
        <v>64.22</v>
      </c>
      <c r="K383" s="73">
        <v>44.89</v>
      </c>
      <c r="L383" s="323">
        <v>7.1</v>
      </c>
      <c r="M383" s="318"/>
      <c r="N383" s="73">
        <f t="shared" ref="N383:N392" si="93">K383+J383+L383</f>
        <v>116.21</v>
      </c>
      <c r="O383" s="81">
        <f>IFERROR(VLOOKUP($G383,'321買'!A:E,3,0),"'沒有資料'")</f>
        <v>12</v>
      </c>
      <c r="P383" s="380">
        <f>IFERROR(VLOOKUP($G383,'321買'!$A:$G,7,0),"'沒有資料'")</f>
        <v>368</v>
      </c>
      <c r="Q383" s="302"/>
      <c r="R383" s="297">
        <f>IFERROR(RANK(VLOOKUP($G383,連買!$A:$D,4,0),連買!$D:$D,0),"'沒有資料'")</f>
        <v>229</v>
      </c>
      <c r="S383" s="197">
        <v>4.2</v>
      </c>
      <c r="T383" s="354"/>
      <c r="U383" s="95">
        <f t="shared" si="88"/>
        <v>5.6000000000000001E-2</v>
      </c>
      <c r="V383" s="170">
        <v>75</v>
      </c>
      <c r="W383" s="65">
        <v>72.3</v>
      </c>
      <c r="X383" s="167">
        <f t="shared" si="92"/>
        <v>2.7000000000000028</v>
      </c>
      <c r="Y383" s="163">
        <f t="shared" ref="Y383:Y393" si="94">X383/W383</f>
        <v>3.7344398340249003E-2</v>
      </c>
      <c r="Z383" s="196" t="s">
        <v>2110</v>
      </c>
      <c r="AA383" s="126"/>
      <c r="AB383" s="251"/>
      <c r="AC383" s="410"/>
      <c r="AD383" s="171" t="s">
        <v>3101</v>
      </c>
      <c r="AE383" s="84">
        <v>44208</v>
      </c>
      <c r="AF383" s="83">
        <v>44216</v>
      </c>
      <c r="AG383" s="33">
        <f>AF383-AE383</f>
        <v>8</v>
      </c>
      <c r="AH383" s="119" t="s">
        <v>3097</v>
      </c>
    </row>
    <row r="384" spans="1:41" s="268" customFormat="1">
      <c r="A384" s="146" t="s">
        <v>3102</v>
      </c>
      <c r="B384" s="79">
        <v>52</v>
      </c>
      <c r="C384" s="79">
        <v>39</v>
      </c>
      <c r="D384" s="80">
        <v>1</v>
      </c>
      <c r="E384" s="80">
        <v>-3</v>
      </c>
      <c r="F384" s="6">
        <v>5.07</v>
      </c>
      <c r="G384" s="79">
        <v>3037</v>
      </c>
      <c r="H384" s="30" t="s">
        <v>3091</v>
      </c>
      <c r="I384" s="158" t="s">
        <v>3103</v>
      </c>
      <c r="J384" s="73">
        <v>73.73</v>
      </c>
      <c r="K384" s="323">
        <v>53.09</v>
      </c>
      <c r="L384" s="323">
        <v>8.09</v>
      </c>
      <c r="M384" s="318"/>
      <c r="N384" s="73">
        <f t="shared" si="93"/>
        <v>134.91</v>
      </c>
      <c r="O384" s="81">
        <f>IFERROR(VLOOKUP($G384,'321買'!A:E,3,0),"'沒有資料'")</f>
        <v>18</v>
      </c>
      <c r="P384" s="380">
        <f>IFERROR(VLOOKUP($G384,'321買'!$A:$G,7,0),"'沒有資料'")</f>
        <v>290</v>
      </c>
      <c r="Q384" s="302"/>
      <c r="R384" s="297">
        <f>IFERROR(RANK(VLOOKUP($G384,連買!$A:$D,4,0),連買!$D:$D,0),"'沒有資料'")</f>
        <v>116</v>
      </c>
      <c r="S384" s="197">
        <v>1.0900000000000001</v>
      </c>
      <c r="T384" s="354"/>
      <c r="U384" s="95">
        <f t="shared" si="88"/>
        <v>1.0954773869346734E-2</v>
      </c>
      <c r="V384" s="170">
        <v>99.5</v>
      </c>
      <c r="W384" s="65">
        <v>99.2</v>
      </c>
      <c r="X384" s="167">
        <f t="shared" si="92"/>
        <v>0.29999999999999716</v>
      </c>
      <c r="Y384" s="163">
        <f t="shared" si="94"/>
        <v>3.0241935483870681E-3</v>
      </c>
      <c r="Z384" s="196" t="s">
        <v>3247</v>
      </c>
      <c r="AA384" s="126"/>
      <c r="AB384" s="251"/>
      <c r="AC384" s="410"/>
      <c r="AD384" s="158" t="s">
        <v>3103</v>
      </c>
      <c r="AE384" s="84">
        <v>44209</v>
      </c>
      <c r="AF384" s="83">
        <v>44211</v>
      </c>
      <c r="AG384" s="33">
        <f>AF384-AE384</f>
        <v>2</v>
      </c>
      <c r="AH384" s="119" t="s">
        <v>3097</v>
      </c>
      <c r="AL384" s="11"/>
    </row>
    <row r="385" spans="1:47" s="268" customFormat="1">
      <c r="A385" s="146" t="s">
        <v>3102</v>
      </c>
      <c r="B385" s="79">
        <v>52</v>
      </c>
      <c r="C385" s="79">
        <v>39</v>
      </c>
      <c r="D385" s="80">
        <v>1</v>
      </c>
      <c r="E385" s="80">
        <v>-3</v>
      </c>
      <c r="F385" s="6">
        <v>5.07</v>
      </c>
      <c r="G385" s="79">
        <v>3037</v>
      </c>
      <c r="H385" s="30" t="s">
        <v>3091</v>
      </c>
      <c r="I385" s="158" t="s">
        <v>3103</v>
      </c>
      <c r="J385" s="73">
        <v>73.73</v>
      </c>
      <c r="K385" s="323">
        <v>53.09</v>
      </c>
      <c r="L385" s="323">
        <v>8.09</v>
      </c>
      <c r="M385" s="318"/>
      <c r="N385" s="73">
        <f t="shared" si="93"/>
        <v>134.91</v>
      </c>
      <c r="O385" s="81">
        <f>IFERROR(VLOOKUP($G385,'321買'!A:E,3,0),"'沒有資料'")</f>
        <v>18</v>
      </c>
      <c r="P385" s="380">
        <f>IFERROR(VLOOKUP($G385,'321買'!$A:$G,7,0),"'沒有資料'")</f>
        <v>290</v>
      </c>
      <c r="Q385" s="302"/>
      <c r="R385" s="297">
        <f>IFERROR(RANK(VLOOKUP($G385,連買!$A:$D,4,0),連買!$D:$D,0),"'沒有資料'")</f>
        <v>116</v>
      </c>
      <c r="S385" s="197">
        <v>1.0900000000000001</v>
      </c>
      <c r="T385" s="354"/>
      <c r="U385" s="95">
        <f t="shared" si="88"/>
        <v>1.0954773869346734E-2</v>
      </c>
      <c r="V385" s="170">
        <v>99.5</v>
      </c>
      <c r="W385" s="65">
        <v>99.1</v>
      </c>
      <c r="X385" s="167">
        <f t="shared" si="92"/>
        <v>0.40000000000000568</v>
      </c>
      <c r="Y385" s="163">
        <f t="shared" si="94"/>
        <v>4.0363269424823984E-3</v>
      </c>
      <c r="Z385" s="196" t="s">
        <v>3248</v>
      </c>
      <c r="AA385" s="126"/>
      <c r="AB385" s="251"/>
      <c r="AC385" s="410"/>
      <c r="AD385" s="158" t="s">
        <v>3103</v>
      </c>
      <c r="AE385" s="84">
        <v>44209</v>
      </c>
      <c r="AF385" s="83">
        <v>44211</v>
      </c>
      <c r="AG385" s="33">
        <f>AF385-AE385</f>
        <v>2</v>
      </c>
      <c r="AH385" s="119" t="s">
        <v>3097</v>
      </c>
      <c r="AL385" s="11"/>
    </row>
    <row r="386" spans="1:47" s="268" customFormat="1">
      <c r="A386" s="146" t="s">
        <v>3102</v>
      </c>
      <c r="B386" s="79">
        <v>52</v>
      </c>
      <c r="C386" s="79">
        <v>39</v>
      </c>
      <c r="D386" s="80">
        <v>1</v>
      </c>
      <c r="E386" s="80">
        <v>-3</v>
      </c>
      <c r="F386" s="6">
        <v>5.07</v>
      </c>
      <c r="G386" s="79">
        <v>3037</v>
      </c>
      <c r="H386" s="30" t="s">
        <v>3091</v>
      </c>
      <c r="I386" s="158" t="s">
        <v>3103</v>
      </c>
      <c r="J386" s="73">
        <v>73.73</v>
      </c>
      <c r="K386" s="323">
        <v>53.09</v>
      </c>
      <c r="L386" s="323">
        <v>8.09</v>
      </c>
      <c r="M386" s="318"/>
      <c r="N386" s="73">
        <f t="shared" si="93"/>
        <v>134.91</v>
      </c>
      <c r="O386" s="81">
        <f>IFERROR(VLOOKUP($G386,'321買'!A:E,3,0),"'沒有資料'")</f>
        <v>18</v>
      </c>
      <c r="P386" s="380">
        <f>IFERROR(VLOOKUP($G386,'321買'!$A:$G,7,0),"'沒有資料'")</f>
        <v>290</v>
      </c>
      <c r="Q386" s="302"/>
      <c r="R386" s="297">
        <f>IFERROR(RANK(VLOOKUP($G386,連買!$A:$D,4,0),連買!$D:$D,0),"'沒有資料'")</f>
        <v>116</v>
      </c>
      <c r="S386" s="197">
        <v>1.0900000000000001</v>
      </c>
      <c r="T386" s="354"/>
      <c r="U386" s="95">
        <f t="shared" si="88"/>
        <v>1.1248710010319917E-2</v>
      </c>
      <c r="V386" s="170">
        <v>96.9</v>
      </c>
      <c r="W386" s="65">
        <v>93</v>
      </c>
      <c r="X386" s="167">
        <f t="shared" si="92"/>
        <v>3.9000000000000057</v>
      </c>
      <c r="Y386" s="163">
        <f t="shared" si="94"/>
        <v>4.19354838709678E-2</v>
      </c>
      <c r="Z386" s="196" t="s">
        <v>1794</v>
      </c>
      <c r="AA386" s="126"/>
      <c r="AB386" s="251"/>
      <c r="AC386" s="410"/>
      <c r="AD386" s="158" t="s">
        <v>3103</v>
      </c>
      <c r="AE386" s="84">
        <v>44202</v>
      </c>
      <c r="AF386" s="83">
        <v>44207</v>
      </c>
      <c r="AG386" s="33">
        <f>AF386-AE386</f>
        <v>5</v>
      </c>
      <c r="AH386" s="119" t="s">
        <v>3097</v>
      </c>
      <c r="AL386" s="11"/>
    </row>
    <row r="387" spans="1:47" s="268" customFormat="1">
      <c r="A387" s="130" t="s">
        <v>3095</v>
      </c>
      <c r="B387" s="79">
        <v>24</v>
      </c>
      <c r="C387" s="79">
        <v>33</v>
      </c>
      <c r="D387" s="79">
        <v>7</v>
      </c>
      <c r="E387" s="79">
        <v>14</v>
      </c>
      <c r="F387" s="57">
        <v>15.22</v>
      </c>
      <c r="G387" s="79">
        <v>5439</v>
      </c>
      <c r="H387" s="30" t="s">
        <v>3091</v>
      </c>
      <c r="I387" s="171" t="s">
        <v>3096</v>
      </c>
      <c r="J387" s="73">
        <v>35.799999999999997</v>
      </c>
      <c r="K387" s="73">
        <v>5.67</v>
      </c>
      <c r="L387" s="73">
        <v>37.479999999999997</v>
      </c>
      <c r="M387" s="318"/>
      <c r="N387" s="318">
        <f t="shared" si="93"/>
        <v>78.949999999999989</v>
      </c>
      <c r="O387" s="81">
        <f>IFERROR(VLOOKUP($G387,'321買'!A:E,3,0),"'沒有資料'")</f>
        <v>22</v>
      </c>
      <c r="P387" s="380">
        <f>IFERROR(VLOOKUP($G387,'321買'!$A:$G,7,0),"'沒有資料'")</f>
        <v>215</v>
      </c>
      <c r="Q387" s="302"/>
      <c r="R387" s="297">
        <f>IFERROR(RANK(VLOOKUP($G387,連買!$A:$D,4,0),連買!$D:$D,0),"'沒有資料'")</f>
        <v>1608</v>
      </c>
      <c r="S387" s="197">
        <v>2.2999999999999998</v>
      </c>
      <c r="T387" s="354"/>
      <c r="U387" s="95">
        <f t="shared" si="88"/>
        <v>4.2990654205607472E-2</v>
      </c>
      <c r="V387" s="166">
        <v>53.5</v>
      </c>
      <c r="W387" s="160">
        <v>52.8</v>
      </c>
      <c r="X387" s="167">
        <f t="shared" si="92"/>
        <v>0.70000000000000284</v>
      </c>
      <c r="Y387" s="163">
        <f t="shared" si="94"/>
        <v>1.3257575757575812E-2</v>
      </c>
      <c r="Z387" s="196" t="s">
        <v>2132</v>
      </c>
      <c r="AA387" s="126"/>
      <c r="AB387" s="251"/>
      <c r="AC387" s="410"/>
      <c r="AD387" s="171" t="s">
        <v>3096</v>
      </c>
      <c r="AE387" s="84">
        <v>44196</v>
      </c>
      <c r="AF387" s="83">
        <v>44202</v>
      </c>
      <c r="AG387" s="33">
        <f t="shared" ref="AG387:AG392" si="95">AF387-AE387</f>
        <v>6</v>
      </c>
      <c r="AH387" s="119" t="s">
        <v>3097</v>
      </c>
      <c r="AI387" s="168"/>
    </row>
    <row r="388" spans="1:47" s="268" customFormat="1">
      <c r="A388" s="130" t="s">
        <v>3095</v>
      </c>
      <c r="B388" s="79">
        <v>24</v>
      </c>
      <c r="C388" s="79">
        <v>33</v>
      </c>
      <c r="D388" s="79">
        <v>7</v>
      </c>
      <c r="E388" s="79">
        <v>14</v>
      </c>
      <c r="F388" s="57">
        <v>15.22</v>
      </c>
      <c r="G388" s="79">
        <v>5439</v>
      </c>
      <c r="H388" s="30" t="s">
        <v>3091</v>
      </c>
      <c r="I388" s="171" t="s">
        <v>3096</v>
      </c>
      <c r="J388" s="73">
        <v>35.799999999999997</v>
      </c>
      <c r="K388" s="73">
        <v>5.67</v>
      </c>
      <c r="L388" s="73">
        <v>37.479999999999997</v>
      </c>
      <c r="M388" s="318"/>
      <c r="N388" s="318">
        <f t="shared" si="93"/>
        <v>78.949999999999989</v>
      </c>
      <c r="O388" s="81">
        <f>IFERROR(VLOOKUP($G388,'321買'!A:E,3,0),"'沒有資料'")</f>
        <v>22</v>
      </c>
      <c r="P388" s="380">
        <f>IFERROR(VLOOKUP($G388,'321買'!$A:$G,7,0),"'沒有資料'")</f>
        <v>215</v>
      </c>
      <c r="Q388" s="302"/>
      <c r="R388" s="297">
        <f>IFERROR(RANK(VLOOKUP($G388,連買!$A:$D,4,0),連買!$D:$D,0),"'沒有資料'")</f>
        <v>1608</v>
      </c>
      <c r="S388" s="197">
        <v>2.2999999999999998</v>
      </c>
      <c r="T388" s="354"/>
      <c r="U388" s="95">
        <f t="shared" si="88"/>
        <v>4.2990654205607472E-2</v>
      </c>
      <c r="V388" s="166">
        <v>53.5</v>
      </c>
      <c r="W388" s="160">
        <v>52.7</v>
      </c>
      <c r="X388" s="167">
        <f t="shared" si="92"/>
        <v>0.79999999999999716</v>
      </c>
      <c r="Y388" s="163">
        <f t="shared" si="94"/>
        <v>1.5180265654648901E-2</v>
      </c>
      <c r="Z388" s="196" t="s">
        <v>1733</v>
      </c>
      <c r="AA388" s="264"/>
      <c r="AB388" s="251"/>
      <c r="AC388" s="410"/>
      <c r="AD388" s="171" t="s">
        <v>3096</v>
      </c>
      <c r="AE388" s="84">
        <v>44195</v>
      </c>
      <c r="AF388" s="83">
        <v>44202</v>
      </c>
      <c r="AG388" s="33">
        <f t="shared" si="95"/>
        <v>7</v>
      </c>
      <c r="AH388" s="119" t="s">
        <v>3097</v>
      </c>
      <c r="AI388" s="168"/>
    </row>
    <row r="389" spans="1:47" s="268" customFormat="1">
      <c r="A389" s="146" t="s">
        <v>3102</v>
      </c>
      <c r="B389" s="79">
        <v>52</v>
      </c>
      <c r="C389" s="79">
        <v>39</v>
      </c>
      <c r="D389" s="80">
        <v>-8</v>
      </c>
      <c r="E389" s="80">
        <v>-3</v>
      </c>
      <c r="F389" s="6">
        <v>5.07</v>
      </c>
      <c r="G389" s="79">
        <v>3037</v>
      </c>
      <c r="H389" s="30" t="s">
        <v>3091</v>
      </c>
      <c r="I389" s="158" t="s">
        <v>3103</v>
      </c>
      <c r="J389" s="73">
        <v>71.510000000000005</v>
      </c>
      <c r="K389" s="73">
        <v>50.78</v>
      </c>
      <c r="L389" s="73">
        <v>8.6300000000000008</v>
      </c>
      <c r="M389" s="318"/>
      <c r="N389" s="73">
        <f t="shared" si="93"/>
        <v>130.92000000000002</v>
      </c>
      <c r="O389" s="81">
        <f>IFERROR(VLOOKUP($G389,'321買'!A:E,3,0),"'沒有資料'")</f>
        <v>18</v>
      </c>
      <c r="P389" s="380">
        <f>IFERROR(VLOOKUP($G389,'321買'!$A:$G,7,0),"'沒有資料'")</f>
        <v>290</v>
      </c>
      <c r="Q389" s="302"/>
      <c r="R389" s="297">
        <f>IFERROR(RANK(VLOOKUP($G389,連買!$A:$D,4,0),連買!$D:$D,0),"'沒有資料'")</f>
        <v>116</v>
      </c>
      <c r="S389" s="197">
        <v>1.0900000000000001</v>
      </c>
      <c r="T389" s="354"/>
      <c r="U389" s="95">
        <f t="shared" si="88"/>
        <v>1.1534391534391536E-2</v>
      </c>
      <c r="V389" s="170">
        <v>94.5</v>
      </c>
      <c r="W389" s="65">
        <v>85.3</v>
      </c>
      <c r="X389" s="167">
        <f t="shared" si="92"/>
        <v>9.2000000000000028</v>
      </c>
      <c r="Y389" s="163">
        <f t="shared" si="94"/>
        <v>0.10785463071512313</v>
      </c>
      <c r="Z389" s="196" t="s">
        <v>3249</v>
      </c>
      <c r="AA389" s="126"/>
      <c r="AB389" s="251"/>
      <c r="AC389" s="410"/>
      <c r="AD389" s="158" t="s">
        <v>3103</v>
      </c>
      <c r="AE389" s="84">
        <v>44189</v>
      </c>
      <c r="AF389" s="83">
        <v>44202</v>
      </c>
      <c r="AG389" s="33">
        <f t="shared" si="95"/>
        <v>13</v>
      </c>
      <c r="AH389" s="119" t="s">
        <v>3097</v>
      </c>
      <c r="AI389" s="165"/>
      <c r="AU389" s="11"/>
    </row>
    <row r="390" spans="1:47" s="268" customFormat="1">
      <c r="A390" s="130" t="s">
        <v>3104</v>
      </c>
      <c r="B390" s="79">
        <v>57</v>
      </c>
      <c r="C390" s="79">
        <v>47</v>
      </c>
      <c r="D390" s="79">
        <v>4</v>
      </c>
      <c r="E390" s="79">
        <v>0</v>
      </c>
      <c r="F390" s="57">
        <v>12.43</v>
      </c>
      <c r="G390" s="79">
        <v>8358</v>
      </c>
      <c r="H390" s="30" t="s">
        <v>3106</v>
      </c>
      <c r="I390" s="171" t="s">
        <v>3105</v>
      </c>
      <c r="J390" s="323">
        <v>31.47</v>
      </c>
      <c r="K390" s="73">
        <v>12.88</v>
      </c>
      <c r="L390" s="73">
        <v>24.09</v>
      </c>
      <c r="M390" s="318"/>
      <c r="N390" s="318">
        <f t="shared" si="93"/>
        <v>68.44</v>
      </c>
      <c r="O390" s="81">
        <f>IFERROR(VLOOKUP($G390,'321買'!A:E,3,0),"'沒有資料'")</f>
        <v>43</v>
      </c>
      <c r="P390" s="380">
        <f>IFERROR(VLOOKUP($G390,'321買'!$A:$G,7,0),"'沒有資料'")</f>
        <v>62</v>
      </c>
      <c r="Q390" s="302"/>
      <c r="R390" s="297">
        <f>IFERROR(RANK(VLOOKUP($G390,連買!$A:$D,4,0),連買!$D:$D,0),"'沒有資料'")</f>
        <v>236</v>
      </c>
      <c r="S390" s="197">
        <v>2</v>
      </c>
      <c r="T390" s="354"/>
      <c r="U390" s="95">
        <f t="shared" si="88"/>
        <v>3.7383177570093455E-2</v>
      </c>
      <c r="V390" s="166">
        <v>53.5</v>
      </c>
      <c r="W390" s="160">
        <v>52.8</v>
      </c>
      <c r="X390" s="167">
        <f t="shared" si="92"/>
        <v>0.70000000000000284</v>
      </c>
      <c r="Y390" s="163">
        <f t="shared" si="94"/>
        <v>1.3257575757575812E-2</v>
      </c>
      <c r="Z390" s="196" t="s">
        <v>2132</v>
      </c>
      <c r="AA390" s="124"/>
      <c r="AB390" s="251"/>
      <c r="AC390" s="410"/>
      <c r="AD390" s="171" t="s">
        <v>3105</v>
      </c>
      <c r="AE390" s="84">
        <v>44200</v>
      </c>
      <c r="AF390" s="83">
        <v>44202</v>
      </c>
      <c r="AG390" s="33">
        <f t="shared" si="95"/>
        <v>2</v>
      </c>
      <c r="AH390" s="119" t="s">
        <v>3107</v>
      </c>
      <c r="AI390" s="168"/>
    </row>
    <row r="391" spans="1:47" s="268" customFormat="1">
      <c r="A391" s="130" t="s">
        <v>3108</v>
      </c>
      <c r="B391" s="79">
        <v>57</v>
      </c>
      <c r="C391" s="79">
        <v>47</v>
      </c>
      <c r="D391" s="79">
        <v>4</v>
      </c>
      <c r="E391" s="79">
        <v>0</v>
      </c>
      <c r="F391" s="57">
        <v>12.43</v>
      </c>
      <c r="G391" s="79">
        <v>8358</v>
      </c>
      <c r="H391" s="30" t="s">
        <v>3106</v>
      </c>
      <c r="I391" s="171" t="s">
        <v>3105</v>
      </c>
      <c r="J391" s="323">
        <v>31.47</v>
      </c>
      <c r="K391" s="73">
        <v>12.88</v>
      </c>
      <c r="L391" s="73">
        <v>24.09</v>
      </c>
      <c r="M391" s="318"/>
      <c r="N391" s="318">
        <f t="shared" si="93"/>
        <v>68.44</v>
      </c>
      <c r="O391" s="81">
        <f>IFERROR(VLOOKUP($G391,'321買'!A:E,3,0),"'沒有資料'")</f>
        <v>43</v>
      </c>
      <c r="P391" s="380">
        <f>IFERROR(VLOOKUP($G391,'321買'!$A:$G,7,0),"'沒有資料'")</f>
        <v>62</v>
      </c>
      <c r="Q391" s="302"/>
      <c r="R391" s="297">
        <f>IFERROR(RANK(VLOOKUP($G391,連買!$A:$D,4,0),連買!$D:$D,0),"'沒有資料'")</f>
        <v>236</v>
      </c>
      <c r="S391" s="197">
        <v>2</v>
      </c>
      <c r="T391" s="354"/>
      <c r="U391" s="95">
        <f t="shared" si="88"/>
        <v>3.7383177570093455E-2</v>
      </c>
      <c r="V391" s="166">
        <v>53.5</v>
      </c>
      <c r="W391" s="160">
        <v>54.1</v>
      </c>
      <c r="X391" s="167">
        <f t="shared" si="92"/>
        <v>-0.60000000000000142</v>
      </c>
      <c r="Y391" s="169">
        <f t="shared" si="94"/>
        <v>-1.1090573012939028E-2</v>
      </c>
      <c r="Z391" s="209" t="s">
        <v>3250</v>
      </c>
      <c r="AA391" s="126"/>
      <c r="AB391" s="251"/>
      <c r="AC391" s="410"/>
      <c r="AD391" s="171" t="s">
        <v>3105</v>
      </c>
      <c r="AE391" s="84">
        <v>44194</v>
      </c>
      <c r="AF391" s="83">
        <v>44202</v>
      </c>
      <c r="AG391" s="33">
        <f t="shared" si="95"/>
        <v>8</v>
      </c>
      <c r="AH391" s="119" t="s">
        <v>3107</v>
      </c>
      <c r="AI391" s="168"/>
    </row>
    <row r="392" spans="1:47" s="268" customFormat="1">
      <c r="A392" s="130" t="s">
        <v>3108</v>
      </c>
      <c r="B392" s="79">
        <v>57</v>
      </c>
      <c r="C392" s="79">
        <v>47</v>
      </c>
      <c r="D392" s="79">
        <v>4</v>
      </c>
      <c r="E392" s="79">
        <v>0</v>
      </c>
      <c r="F392" s="57">
        <v>12.43</v>
      </c>
      <c r="G392" s="79">
        <v>8358</v>
      </c>
      <c r="H392" s="30" t="s">
        <v>3106</v>
      </c>
      <c r="I392" s="171" t="s">
        <v>3105</v>
      </c>
      <c r="J392" s="323">
        <v>31.47</v>
      </c>
      <c r="K392" s="73">
        <v>12.88</v>
      </c>
      <c r="L392" s="73">
        <v>24.09</v>
      </c>
      <c r="M392" s="318"/>
      <c r="N392" s="318">
        <f t="shared" si="93"/>
        <v>68.44</v>
      </c>
      <c r="O392" s="81">
        <f>IFERROR(VLOOKUP($G392,'321買'!A:E,3,0),"'沒有資料'")</f>
        <v>43</v>
      </c>
      <c r="P392" s="380">
        <f>IFERROR(VLOOKUP($G392,'321買'!$A:$G,7,0),"'沒有資料'")</f>
        <v>62</v>
      </c>
      <c r="Q392" s="302"/>
      <c r="R392" s="297">
        <f>IFERROR(RANK(VLOOKUP($G392,連買!$A:$D,4,0),連買!$D:$D,0),"'沒有資料'")</f>
        <v>236</v>
      </c>
      <c r="S392" s="197">
        <v>2</v>
      </c>
      <c r="T392" s="354"/>
      <c r="U392" s="95">
        <f t="shared" si="88"/>
        <v>3.7383177570093455E-2</v>
      </c>
      <c r="V392" s="166">
        <v>53.5</v>
      </c>
      <c r="W392" s="160">
        <v>51.9</v>
      </c>
      <c r="X392" s="167">
        <f t="shared" si="92"/>
        <v>1.6000000000000014</v>
      </c>
      <c r="Y392" s="163">
        <f t="shared" si="94"/>
        <v>3.0828516377649353E-2</v>
      </c>
      <c r="Z392" s="196" t="s">
        <v>3165</v>
      </c>
      <c r="AA392" s="126"/>
      <c r="AB392" s="251"/>
      <c r="AC392" s="410"/>
      <c r="AD392" s="171" t="s">
        <v>3105</v>
      </c>
      <c r="AE392" s="84">
        <v>44189</v>
      </c>
      <c r="AF392" s="83">
        <v>44202</v>
      </c>
      <c r="AG392" s="33">
        <f t="shared" si="95"/>
        <v>13</v>
      </c>
      <c r="AH392" s="119" t="s">
        <v>3107</v>
      </c>
      <c r="AI392" s="168"/>
    </row>
    <row r="393" spans="1:47" s="268" customFormat="1">
      <c r="A393" s="146"/>
      <c r="B393" s="79"/>
      <c r="C393" s="79"/>
      <c r="D393" s="80"/>
      <c r="E393" s="80"/>
      <c r="F393" s="6"/>
      <c r="G393" s="41"/>
      <c r="H393" s="54"/>
      <c r="I393" s="158"/>
      <c r="J393" s="73"/>
      <c r="K393" s="73"/>
      <c r="L393" s="73"/>
      <c r="M393" s="318"/>
      <c r="N393" s="73"/>
      <c r="O393" s="350"/>
      <c r="P393" s="374"/>
      <c r="Q393" s="302"/>
      <c r="R393" s="151"/>
      <c r="S393" s="197"/>
      <c r="T393" s="354"/>
      <c r="U393" s="95"/>
      <c r="V393" s="166">
        <f>SUM(V372:V392)</f>
        <v>1351.9499999999998</v>
      </c>
      <c r="W393" s="65">
        <f>SUM(W372:W392)</f>
        <v>1318.7999999999997</v>
      </c>
      <c r="X393" s="167">
        <f>SUM(X372:X392)</f>
        <v>33.150000000000027</v>
      </c>
      <c r="Y393" s="163">
        <f t="shared" si="94"/>
        <v>2.5136487716105577E-2</v>
      </c>
      <c r="Z393" s="172"/>
      <c r="AA393" s="126"/>
      <c r="AB393" s="251"/>
      <c r="AC393" s="410"/>
      <c r="AD393" s="158">
        <f>V393*(0.001425*0.65)+V393*0.003+W393*(0.001425*0.65)</f>
        <v>6.529632187499999</v>
      </c>
      <c r="AE393" s="6">
        <f>X393-AD393</f>
        <v>26.620367812500028</v>
      </c>
      <c r="AF393" s="83"/>
      <c r="AG393" s="119"/>
      <c r="AH393" s="119"/>
      <c r="AI393" s="165"/>
      <c r="AU393" s="11"/>
    </row>
    <row r="394" spans="1:47" s="268" customFormat="1">
      <c r="A394" s="146"/>
      <c r="B394" s="79"/>
      <c r="C394" s="79"/>
      <c r="D394" s="80"/>
      <c r="E394" s="80"/>
      <c r="F394" s="6"/>
      <c r="G394" s="41"/>
      <c r="H394" s="4"/>
      <c r="I394" s="158"/>
      <c r="J394" s="73"/>
      <c r="K394" s="73"/>
      <c r="L394" s="73"/>
      <c r="M394" s="318"/>
      <c r="N394" s="73"/>
      <c r="O394" s="350"/>
      <c r="P394" s="374"/>
      <c r="Q394" s="302"/>
      <c r="R394" s="151"/>
      <c r="S394" s="197"/>
      <c r="T394" s="354"/>
      <c r="U394" s="95"/>
      <c r="V394" s="166"/>
      <c r="W394" s="65"/>
      <c r="X394" s="167"/>
      <c r="Y394" s="163"/>
      <c r="Z394" s="172"/>
      <c r="AA394" s="126"/>
      <c r="AB394" s="251"/>
      <c r="AC394" s="410"/>
      <c r="AD394" s="158"/>
      <c r="AE394" s="84"/>
      <c r="AF394" s="83"/>
      <c r="AG394" s="119"/>
      <c r="AH394" s="119"/>
      <c r="AI394" s="165"/>
      <c r="AU394" s="11"/>
    </row>
    <row r="395" spans="1:47" s="276" customFormat="1">
      <c r="A395" s="130" t="s">
        <v>2419</v>
      </c>
      <c r="B395" s="91" t="s">
        <v>2420</v>
      </c>
      <c r="C395" s="91" t="s">
        <v>2421</v>
      </c>
      <c r="D395" s="91" t="s">
        <v>2422</v>
      </c>
      <c r="E395" s="91" t="s">
        <v>2423</v>
      </c>
      <c r="F395" s="8" t="s">
        <v>2424</v>
      </c>
      <c r="G395" s="26" t="s">
        <v>3691</v>
      </c>
      <c r="H395" s="55" t="s">
        <v>2433</v>
      </c>
      <c r="I395" s="1" t="s">
        <v>2425</v>
      </c>
      <c r="J395" s="317" t="s">
        <v>2426</v>
      </c>
      <c r="K395" s="317" t="s">
        <v>2427</v>
      </c>
      <c r="L395" s="317" t="s">
        <v>2428</v>
      </c>
      <c r="M395" s="317"/>
      <c r="N395" s="317" t="s">
        <v>2429</v>
      </c>
      <c r="O395" s="301" t="s">
        <v>3653</v>
      </c>
      <c r="P395" s="373" t="s">
        <v>3562</v>
      </c>
      <c r="Q395" s="302"/>
      <c r="R395" s="345" t="s">
        <v>3562</v>
      </c>
      <c r="S395" s="10" t="s">
        <v>3139</v>
      </c>
      <c r="T395" s="354"/>
      <c r="U395" s="68" t="s">
        <v>3137</v>
      </c>
      <c r="V395" s="28" t="s">
        <v>3138</v>
      </c>
      <c r="W395" s="17" t="s">
        <v>3140</v>
      </c>
      <c r="X395" s="14" t="s">
        <v>2430</v>
      </c>
      <c r="Y395" s="21" t="s">
        <v>2431</v>
      </c>
      <c r="Z395" s="25" t="s">
        <v>2432</v>
      </c>
      <c r="AA395" s="126"/>
      <c r="AB395" s="251"/>
      <c r="AC395" s="410"/>
      <c r="AD395" s="1" t="s">
        <v>2425</v>
      </c>
      <c r="AE395" s="71" t="s">
        <v>2434</v>
      </c>
      <c r="AF395" s="72" t="s">
        <v>2435</v>
      </c>
      <c r="AG395" s="32" t="s">
        <v>2436</v>
      </c>
      <c r="AH395" s="46" t="s">
        <v>2439</v>
      </c>
      <c r="AI395" s="168"/>
    </row>
    <row r="396" spans="1:47" s="176" customFormat="1" ht="17.100000000000001" customHeight="1">
      <c r="A396" s="130" t="s">
        <v>2440</v>
      </c>
      <c r="B396" s="79">
        <v>79</v>
      </c>
      <c r="C396" s="79">
        <v>153</v>
      </c>
      <c r="D396" s="79">
        <v>6</v>
      </c>
      <c r="E396" s="79">
        <v>34</v>
      </c>
      <c r="F396" s="57">
        <v>10.11</v>
      </c>
      <c r="G396" s="79">
        <v>6284</v>
      </c>
      <c r="H396" s="30" t="s">
        <v>2437</v>
      </c>
      <c r="I396" s="171" t="s">
        <v>2441</v>
      </c>
      <c r="J396" s="323">
        <v>47.16</v>
      </c>
      <c r="K396" s="73">
        <v>10.68</v>
      </c>
      <c r="L396" s="73">
        <v>47.47</v>
      </c>
      <c r="M396" s="318"/>
      <c r="N396" s="73">
        <f>K396+J396+L396</f>
        <v>105.31</v>
      </c>
      <c r="O396" s="81">
        <f>IFERROR(VLOOKUP($G396,'321買'!A:E,3,0),"'沒有資料'")</f>
        <v>14</v>
      </c>
      <c r="P396" s="380">
        <f>IFERROR(VLOOKUP($G396,'321買'!$A:$G,7,0),"'沒有資料'")</f>
        <v>307</v>
      </c>
      <c r="Q396" s="302"/>
      <c r="R396" s="297">
        <f>IFERROR(RANK(VLOOKUP($G396,連買!$A:$D,4,0),連買!$D:$D,0),"'沒有資料'")</f>
        <v>663</v>
      </c>
      <c r="S396" s="197">
        <v>0.5</v>
      </c>
      <c r="T396" s="354"/>
      <c r="U396" s="57">
        <f>S396/V396</f>
        <v>7.0422535211267607E-3</v>
      </c>
      <c r="V396" s="166">
        <v>71</v>
      </c>
      <c r="W396" s="160">
        <v>62.1</v>
      </c>
      <c r="X396" s="167">
        <f>V396-W396</f>
        <v>8.8999999999999986</v>
      </c>
      <c r="Y396" s="163">
        <f>X396/W396</f>
        <v>0.14331723027375198</v>
      </c>
      <c r="Z396" s="172" t="s">
        <v>3251</v>
      </c>
      <c r="AA396" s="126"/>
      <c r="AB396" s="251"/>
      <c r="AC396" s="410"/>
      <c r="AD396" s="171" t="s">
        <v>2441</v>
      </c>
      <c r="AE396" s="84">
        <v>44190</v>
      </c>
      <c r="AF396" s="83">
        <v>44195</v>
      </c>
      <c r="AG396" s="33">
        <f>AF396-AE396</f>
        <v>5</v>
      </c>
      <c r="AH396" s="119" t="s">
        <v>2438</v>
      </c>
      <c r="AI396" s="124"/>
      <c r="AJ396" s="11"/>
      <c r="AK396" s="11"/>
      <c r="AL396" s="11"/>
      <c r="AM396" s="11"/>
      <c r="AN396" s="11"/>
    </row>
    <row r="397" spans="1:47" s="268" customFormat="1">
      <c r="A397" s="146" t="s">
        <v>2442</v>
      </c>
      <c r="B397" s="79">
        <v>307</v>
      </c>
      <c r="C397" s="79">
        <v>153</v>
      </c>
      <c r="D397" s="79">
        <v>3</v>
      </c>
      <c r="E397" s="79">
        <v>199</v>
      </c>
      <c r="F397" s="6">
        <v>8.8800000000000008</v>
      </c>
      <c r="G397" s="79">
        <v>6237</v>
      </c>
      <c r="H397" s="30" t="s">
        <v>2437</v>
      </c>
      <c r="I397" s="171" t="s">
        <v>2443</v>
      </c>
      <c r="J397" s="73">
        <v>24.14</v>
      </c>
      <c r="K397" s="73">
        <v>3.71</v>
      </c>
      <c r="L397" s="73">
        <v>50.15</v>
      </c>
      <c r="M397" s="318"/>
      <c r="N397" s="318">
        <f>K397+J397+L397</f>
        <v>78</v>
      </c>
      <c r="O397" s="81">
        <f>IFERROR(VLOOKUP($G397,'321買'!A:E,3,0),"'沒有資料'")</f>
        <v>61</v>
      </c>
      <c r="P397" s="380">
        <f>IFERROR(VLOOKUP($G397,'321買'!$A:$G,7,0),"'沒有資料'")</f>
        <v>45</v>
      </c>
      <c r="Q397" s="302"/>
      <c r="R397" s="297">
        <f>IFERROR(RANK(VLOOKUP($G397,連買!$A:$D,4,0),連買!$D:$D,0),"'沒有資料'")</f>
        <v>1678</v>
      </c>
      <c r="S397" s="197">
        <v>0.25</v>
      </c>
      <c r="T397" s="354"/>
      <c r="U397" s="57">
        <f>S397/V397</f>
        <v>3.2425421530479898E-3</v>
      </c>
      <c r="V397" s="166">
        <v>77.099999999999994</v>
      </c>
      <c r="W397" s="160">
        <v>61.2</v>
      </c>
      <c r="X397" s="167">
        <f>V397-W397</f>
        <v>15.899999999999991</v>
      </c>
      <c r="Y397" s="163">
        <f>X397/W397</f>
        <v>0.25980392156862731</v>
      </c>
      <c r="Z397" s="100" t="s">
        <v>3252</v>
      </c>
      <c r="AA397" s="126"/>
      <c r="AB397" s="251"/>
      <c r="AC397" s="410"/>
      <c r="AD397" s="171" t="s">
        <v>2443</v>
      </c>
      <c r="AE397" s="84">
        <v>44183</v>
      </c>
      <c r="AF397" s="83">
        <v>44195</v>
      </c>
      <c r="AG397" s="33">
        <f>AF397-AE397</f>
        <v>12</v>
      </c>
      <c r="AH397" s="119" t="s">
        <v>2444</v>
      </c>
      <c r="AI397" s="168"/>
    </row>
    <row r="398" spans="1:47" s="268" customFormat="1">
      <c r="A398" s="146" t="s">
        <v>2442</v>
      </c>
      <c r="B398" s="79">
        <v>307</v>
      </c>
      <c r="C398" s="79">
        <v>153</v>
      </c>
      <c r="D398" s="79">
        <v>3</v>
      </c>
      <c r="E398" s="79">
        <v>199</v>
      </c>
      <c r="F398" s="6">
        <v>8.8800000000000008</v>
      </c>
      <c r="G398" s="79">
        <v>6237</v>
      </c>
      <c r="H398" s="30" t="s">
        <v>2437</v>
      </c>
      <c r="I398" s="171" t="s">
        <v>2443</v>
      </c>
      <c r="J398" s="73">
        <v>24.14</v>
      </c>
      <c r="K398" s="73">
        <v>3.71</v>
      </c>
      <c r="L398" s="73">
        <v>50.15</v>
      </c>
      <c r="M398" s="318"/>
      <c r="N398" s="318">
        <f>K398+J398+L398</f>
        <v>78</v>
      </c>
      <c r="O398" s="81">
        <f>IFERROR(VLOOKUP($G398,'321買'!A:E,3,0),"'沒有資料'")</f>
        <v>61</v>
      </c>
      <c r="P398" s="380">
        <f>IFERROR(VLOOKUP($G398,'321買'!$A:$G,7,0),"'沒有資料'")</f>
        <v>45</v>
      </c>
      <c r="Q398" s="302"/>
      <c r="R398" s="297">
        <f>IFERROR(RANK(VLOOKUP($G398,連買!$A:$D,4,0),連買!$D:$D,0),"'沒有資料'")</f>
        <v>1678</v>
      </c>
      <c r="S398" s="197">
        <v>0.25</v>
      </c>
      <c r="T398" s="354"/>
      <c r="U398" s="57">
        <f>S398/V398</f>
        <v>4.1597337770382693E-3</v>
      </c>
      <c r="V398" s="166">
        <v>60.1</v>
      </c>
      <c r="W398" s="160">
        <v>51</v>
      </c>
      <c r="X398" s="167">
        <f>V398-W398</f>
        <v>9.1000000000000014</v>
      </c>
      <c r="Y398" s="163">
        <f>X398/W398</f>
        <v>0.17843137254901964</v>
      </c>
      <c r="Z398" s="100" t="s">
        <v>3253</v>
      </c>
      <c r="AA398" s="126"/>
      <c r="AB398" s="251"/>
      <c r="AC398" s="410"/>
      <c r="AD398" s="171" t="s">
        <v>2443</v>
      </c>
      <c r="AE398" s="84">
        <v>44183</v>
      </c>
      <c r="AF398" s="83">
        <v>44187</v>
      </c>
      <c r="AG398" s="33">
        <f>AF398-AE398</f>
        <v>4</v>
      </c>
      <c r="AH398" s="119" t="s">
        <v>2444</v>
      </c>
      <c r="AI398" s="168"/>
    </row>
    <row r="399" spans="1:47" s="268" customFormat="1">
      <c r="A399" s="145"/>
      <c r="B399" s="79"/>
      <c r="C399" s="80"/>
      <c r="D399" s="79"/>
      <c r="E399" s="80"/>
      <c r="F399" s="6"/>
      <c r="G399" s="41"/>
      <c r="H399" s="54"/>
      <c r="I399" s="171"/>
      <c r="J399" s="323"/>
      <c r="K399" s="323"/>
      <c r="L399" s="73"/>
      <c r="M399" s="318"/>
      <c r="N399" s="318"/>
      <c r="O399" s="350"/>
      <c r="P399" s="374"/>
      <c r="Q399" s="302"/>
      <c r="R399" s="151"/>
      <c r="S399" s="197"/>
      <c r="T399" s="354"/>
      <c r="U399" s="95"/>
      <c r="V399" s="170">
        <f>SUM(V396:V398)</f>
        <v>208.2</v>
      </c>
      <c r="W399" s="160">
        <f>SUM(W396:W398)</f>
        <v>174.3</v>
      </c>
      <c r="X399" s="167">
        <f>SUM(X396:X398)</f>
        <v>33.899999999999991</v>
      </c>
      <c r="Y399" s="163">
        <f>X399/W399</f>
        <v>0.19449225473321852</v>
      </c>
      <c r="Z399" s="116"/>
      <c r="AA399" s="126"/>
      <c r="AB399" s="251"/>
      <c r="AC399" s="410"/>
      <c r="AD399" s="158">
        <f>V399*(0.001425*0.65)+V399*0.003+W399*(0.001425*0.65)</f>
        <v>0.97889062500000001</v>
      </c>
      <c r="AE399" s="6">
        <f>X399-AD399</f>
        <v>32.921109374999993</v>
      </c>
      <c r="AF399" s="83"/>
      <c r="AG399" s="33"/>
      <c r="AH399" s="142"/>
      <c r="AI399" s="168"/>
    </row>
    <row r="400" spans="1:47">
      <c r="B400" s="79"/>
      <c r="C400" s="80"/>
      <c r="D400" s="79"/>
      <c r="E400" s="80"/>
      <c r="F400" s="6"/>
      <c r="G400" s="41"/>
      <c r="H400" s="50"/>
      <c r="I400" s="16"/>
      <c r="J400" s="323"/>
      <c r="K400" s="323"/>
      <c r="N400" s="318"/>
      <c r="S400" s="34"/>
      <c r="U400" s="95"/>
      <c r="V400" s="13"/>
      <c r="W400" s="45"/>
      <c r="X400" s="15"/>
      <c r="Y400" s="76"/>
      <c r="Z400" s="116"/>
      <c r="AA400" s="126"/>
      <c r="AD400" s="16"/>
      <c r="AG400" s="33"/>
    </row>
    <row r="401" spans="1:46">
      <c r="A401" s="130" t="s">
        <v>1732</v>
      </c>
      <c r="B401" s="91" t="s">
        <v>1588</v>
      </c>
      <c r="C401" s="91" t="s">
        <v>1589</v>
      </c>
      <c r="D401" s="91" t="s">
        <v>1590</v>
      </c>
      <c r="E401" s="91" t="s">
        <v>1591</v>
      </c>
      <c r="F401" s="8" t="s">
        <v>1066</v>
      </c>
      <c r="G401" s="26" t="s">
        <v>3691</v>
      </c>
      <c r="H401" s="55" t="s">
        <v>322</v>
      </c>
      <c r="I401" s="1" t="s">
        <v>69</v>
      </c>
      <c r="J401" s="317" t="s">
        <v>1467</v>
      </c>
      <c r="K401" s="317" t="s">
        <v>1157</v>
      </c>
      <c r="L401" s="317" t="s">
        <v>284</v>
      </c>
      <c r="M401" s="317"/>
      <c r="N401" s="317" t="s">
        <v>1065</v>
      </c>
      <c r="O401" s="301" t="s">
        <v>3653</v>
      </c>
      <c r="P401" s="373" t="s">
        <v>3562</v>
      </c>
      <c r="R401" s="345" t="s">
        <v>3562</v>
      </c>
      <c r="S401" s="10" t="s">
        <v>3139</v>
      </c>
      <c r="U401" s="68" t="s">
        <v>3137</v>
      </c>
      <c r="V401" s="28" t="s">
        <v>3138</v>
      </c>
      <c r="W401" s="17" t="s">
        <v>3140</v>
      </c>
      <c r="X401" s="14" t="s">
        <v>5</v>
      </c>
      <c r="Y401" s="21" t="s">
        <v>3</v>
      </c>
      <c r="Z401" s="25" t="s">
        <v>105</v>
      </c>
      <c r="AA401" s="126"/>
      <c r="AD401" s="1" t="s">
        <v>69</v>
      </c>
      <c r="AE401" s="71" t="s">
        <v>1406</v>
      </c>
      <c r="AF401" s="72" t="s">
        <v>1163</v>
      </c>
      <c r="AG401" s="32" t="s">
        <v>1164</v>
      </c>
      <c r="AH401" s="46" t="s">
        <v>1580</v>
      </c>
    </row>
    <row r="402" spans="1:46" ht="16.5" customHeight="1">
      <c r="A402" s="135"/>
      <c r="B402" s="91"/>
      <c r="C402" s="135"/>
      <c r="D402" s="91"/>
      <c r="E402" s="91"/>
      <c r="F402" s="6"/>
      <c r="G402" s="79">
        <v>632</v>
      </c>
      <c r="H402" s="8" t="s">
        <v>1409</v>
      </c>
      <c r="I402" s="22" t="s">
        <v>207</v>
      </c>
      <c r="J402" s="73">
        <v>63.08</v>
      </c>
      <c r="K402" s="201" ph="1">
        <v>64.72</v>
      </c>
      <c r="L402" s="323">
        <v>14.15</v>
      </c>
      <c r="N402" s="73">
        <f>R402+K402+J402+L402</f>
        <v>141.94999999999999</v>
      </c>
      <c r="S402" s="34"/>
      <c r="U402" s="95">
        <f>S402/V402</f>
        <v>0</v>
      </c>
      <c r="V402" s="13">
        <v>6.97</v>
      </c>
      <c r="W402" s="66">
        <v>18.57</v>
      </c>
      <c r="X402" s="15">
        <f>V402-W402</f>
        <v>-11.600000000000001</v>
      </c>
      <c r="Y402" s="76">
        <f>X402/W402</f>
        <v>-0.62466343564889615</v>
      </c>
      <c r="Z402" s="116" t="s">
        <v>1957</v>
      </c>
      <c r="AA402" s="126"/>
      <c r="AD402" s="22" t="s">
        <v>207</v>
      </c>
      <c r="AG402" s="33" t="e">
        <f>AF402-#REF!</f>
        <v>#REF!</v>
      </c>
      <c r="AH402" s="49" t="s">
        <v>1959</v>
      </c>
      <c r="AI402" s="266"/>
      <c r="AJ402" s="266"/>
      <c r="AK402" s="75"/>
      <c r="AL402" s="66"/>
      <c r="AM402" s="75"/>
      <c r="AN402" s="66"/>
      <c r="AO402" s="41"/>
      <c r="AP402" s="22"/>
    </row>
    <row r="403" spans="1:46" ht="16.5" customHeight="1">
      <c r="A403" s="135"/>
      <c r="B403" s="91"/>
      <c r="C403" s="135"/>
      <c r="D403" s="91"/>
      <c r="E403" s="91"/>
      <c r="F403" s="6"/>
      <c r="G403" s="79">
        <v>632</v>
      </c>
      <c r="H403" s="50" t="s">
        <v>1505</v>
      </c>
      <c r="I403" s="22" t="s">
        <v>207</v>
      </c>
      <c r="J403" s="73">
        <v>63.08</v>
      </c>
      <c r="K403" s="201" ph="1">
        <v>64.72</v>
      </c>
      <c r="L403" s="323">
        <v>14.15</v>
      </c>
      <c r="N403" s="73">
        <f>R403+K403+J403+L403</f>
        <v>141.94999999999999</v>
      </c>
      <c r="S403" s="34"/>
      <c r="U403" s="95">
        <f>S403/V403</f>
        <v>0</v>
      </c>
      <c r="V403" s="13">
        <v>6.95</v>
      </c>
      <c r="W403" s="66">
        <v>16.73</v>
      </c>
      <c r="X403" s="15">
        <f>V403-W403</f>
        <v>-9.7800000000000011</v>
      </c>
      <c r="Y403" s="76">
        <f>X403/W403</f>
        <v>-0.58457860131500305</v>
      </c>
      <c r="Z403" s="116" t="s">
        <v>1961</v>
      </c>
      <c r="AA403" s="126"/>
      <c r="AD403" s="22" t="s">
        <v>207</v>
      </c>
      <c r="AG403" s="33" t="e">
        <f>AF403-#REF!</f>
        <v>#REF!</v>
      </c>
      <c r="AH403" s="49" t="s">
        <v>1746</v>
      </c>
      <c r="AI403" s="266"/>
      <c r="AJ403" s="266"/>
      <c r="AK403" s="75"/>
      <c r="AL403" s="66"/>
      <c r="AM403" s="75"/>
      <c r="AN403" s="66"/>
      <c r="AO403" s="41"/>
      <c r="AP403" s="22"/>
    </row>
    <row r="404" spans="1:46">
      <c r="A404" s="130"/>
      <c r="B404" s="91"/>
      <c r="C404" s="91"/>
      <c r="D404" s="91"/>
      <c r="E404" s="91"/>
      <c r="F404" s="8"/>
      <c r="G404" s="25"/>
      <c r="H404" s="55"/>
      <c r="I404" s="1"/>
      <c r="J404" s="317"/>
      <c r="K404" s="317"/>
      <c r="L404" s="317"/>
      <c r="M404" s="317"/>
      <c r="N404" s="317"/>
      <c r="S404" s="10"/>
      <c r="U404" s="68"/>
      <c r="V404" s="28"/>
      <c r="W404" s="17"/>
      <c r="X404" s="14"/>
      <c r="Y404" s="21"/>
      <c r="Z404" s="25"/>
      <c r="AA404" s="126"/>
      <c r="AD404" s="1"/>
      <c r="AE404" s="71"/>
      <c r="AF404" s="72"/>
      <c r="AG404" s="32"/>
      <c r="AH404" s="46"/>
    </row>
    <row r="405" spans="1:46">
      <c r="A405" s="130" t="s">
        <v>1732</v>
      </c>
      <c r="B405" s="91" t="s">
        <v>1588</v>
      </c>
      <c r="C405" s="91" t="s">
        <v>1589</v>
      </c>
      <c r="D405" s="91" t="s">
        <v>1590</v>
      </c>
      <c r="E405" s="91" t="s">
        <v>1591</v>
      </c>
      <c r="F405" s="8" t="s">
        <v>1066</v>
      </c>
      <c r="G405" s="26" t="s">
        <v>3691</v>
      </c>
      <c r="H405" s="55" t="s">
        <v>322</v>
      </c>
      <c r="I405" s="1" t="s">
        <v>69</v>
      </c>
      <c r="J405" s="317" t="s">
        <v>1467</v>
      </c>
      <c r="K405" s="317" t="s">
        <v>1157</v>
      </c>
      <c r="L405" s="317" t="s">
        <v>284</v>
      </c>
      <c r="M405" s="317"/>
      <c r="N405" s="317" t="s">
        <v>1065</v>
      </c>
      <c r="O405" s="301" t="s">
        <v>3653</v>
      </c>
      <c r="P405" s="373" t="s">
        <v>3562</v>
      </c>
      <c r="R405" s="345" t="s">
        <v>3562</v>
      </c>
      <c r="S405" s="10" t="s">
        <v>3139</v>
      </c>
      <c r="U405" s="68" t="s">
        <v>3137</v>
      </c>
      <c r="V405" s="28" t="s">
        <v>3138</v>
      </c>
      <c r="W405" s="17" t="s">
        <v>3140</v>
      </c>
      <c r="X405" s="14" t="s">
        <v>5</v>
      </c>
      <c r="Y405" s="21" t="s">
        <v>3</v>
      </c>
      <c r="Z405" s="25" t="s">
        <v>105</v>
      </c>
      <c r="AA405" s="126"/>
      <c r="AD405" s="1" t="s">
        <v>69</v>
      </c>
      <c r="AE405" s="71" t="s">
        <v>1406</v>
      </c>
      <c r="AF405" s="72" t="s">
        <v>1163</v>
      </c>
      <c r="AG405" s="32" t="s">
        <v>1164</v>
      </c>
      <c r="AH405" s="46" t="s">
        <v>2027</v>
      </c>
    </row>
    <row r="406" spans="1:46">
      <c r="B406" s="80">
        <v>-61</v>
      </c>
      <c r="C406" s="79">
        <v>22</v>
      </c>
      <c r="D406" s="80">
        <v>-61</v>
      </c>
      <c r="E406" s="79">
        <v>22</v>
      </c>
      <c r="F406" s="6">
        <v>-16.91</v>
      </c>
      <c r="G406" s="79">
        <v>2390</v>
      </c>
      <c r="H406" s="8" t="s">
        <v>1409</v>
      </c>
      <c r="I406" s="22" t="s">
        <v>495</v>
      </c>
      <c r="J406" s="323">
        <v>52.53</v>
      </c>
      <c r="K406" s="323">
        <v>3.65</v>
      </c>
      <c r="L406" s="323">
        <v>38.520000000000003</v>
      </c>
      <c r="N406" s="318">
        <f>R406+K406+J406+L406</f>
        <v>915.69999999999993</v>
      </c>
      <c r="O406" s="81">
        <f>IFERROR(VLOOKUP($G406,'321買'!A:E,3,0),"'沒有資料'")</f>
        <v>23</v>
      </c>
      <c r="P406" s="380">
        <f>IFERROR(VLOOKUP($G406,'321買'!$A:$G,7,0),"'沒有資料'")</f>
        <v>222</v>
      </c>
      <c r="R406" s="297">
        <f>IFERROR(RANK(VLOOKUP($G406,連買!$A:$D,4,0),連買!$D:$D,0),"'沒有資料'")</f>
        <v>821</v>
      </c>
      <c r="S406" s="34">
        <v>0</v>
      </c>
      <c r="U406" s="95">
        <f>S406/V406</f>
        <v>0</v>
      </c>
      <c r="V406" s="13">
        <v>11.8</v>
      </c>
      <c r="W406" s="45">
        <v>13.57</v>
      </c>
      <c r="X406" s="15">
        <f>V406-W406</f>
        <v>-1.7699999999999996</v>
      </c>
      <c r="Y406" s="76">
        <f>X406/W406</f>
        <v>-0.13043478260869562</v>
      </c>
      <c r="Z406" s="116" t="s">
        <v>2030</v>
      </c>
      <c r="AA406" s="264"/>
      <c r="AD406" s="22" t="s">
        <v>495</v>
      </c>
      <c r="AE406" s="84">
        <v>43362</v>
      </c>
      <c r="AG406" s="33">
        <f>AF406-AE406</f>
        <v>-43362</v>
      </c>
      <c r="AH406" s="41" t="s">
        <v>1128</v>
      </c>
      <c r="AK406" s="11"/>
      <c r="AL406" s="11"/>
      <c r="AM406" s="11"/>
      <c r="AN406" s="11"/>
      <c r="AQ406" s="7"/>
      <c r="AR406" s="31"/>
      <c r="AS406" s="7"/>
      <c r="AT406" s="7"/>
    </row>
    <row r="407" spans="1:46">
      <c r="B407" s="80">
        <v>-61</v>
      </c>
      <c r="C407" s="79">
        <v>22</v>
      </c>
      <c r="D407" s="80">
        <v>-61</v>
      </c>
      <c r="E407" s="79">
        <v>22</v>
      </c>
      <c r="F407" s="6">
        <v>-16.91</v>
      </c>
      <c r="G407" s="79">
        <v>2390</v>
      </c>
      <c r="H407" s="50" t="s">
        <v>1410</v>
      </c>
      <c r="I407" s="22" t="s">
        <v>495</v>
      </c>
      <c r="J407" s="323">
        <v>52.53</v>
      </c>
      <c r="K407" s="323">
        <v>3.65</v>
      </c>
      <c r="L407" s="323">
        <v>38.520000000000003</v>
      </c>
      <c r="N407" s="318">
        <f>R407+K407+J407+L407</f>
        <v>915.69999999999993</v>
      </c>
      <c r="O407" s="81">
        <f>IFERROR(VLOOKUP($G407,'321買'!A:E,3,0),"'沒有資料'")</f>
        <v>23</v>
      </c>
      <c r="P407" s="380">
        <f>IFERROR(VLOOKUP($G407,'321買'!$A:$G,7,0),"'沒有資料'")</f>
        <v>222</v>
      </c>
      <c r="R407" s="297">
        <f>IFERROR(RANK(VLOOKUP($G407,連買!$A:$D,4,0),連買!$D:$D,0),"'沒有資料'")</f>
        <v>821</v>
      </c>
      <c r="S407" s="34">
        <v>0</v>
      </c>
      <c r="U407" s="95">
        <f>S407/V407</f>
        <v>0</v>
      </c>
      <c r="V407" s="13">
        <v>11.8</v>
      </c>
      <c r="W407" s="45">
        <v>13.57</v>
      </c>
      <c r="X407" s="15">
        <f>V407-W407</f>
        <v>-1.7699999999999996</v>
      </c>
      <c r="Y407" s="76">
        <f>X407/W407</f>
        <v>-0.13043478260869562</v>
      </c>
      <c r="Z407" s="116" t="s">
        <v>2031</v>
      </c>
      <c r="AA407" s="126"/>
      <c r="AD407" s="22" t="s">
        <v>495</v>
      </c>
      <c r="AE407" s="84">
        <v>43362</v>
      </c>
      <c r="AG407" s="33">
        <f>AF407-AE407</f>
        <v>-43362</v>
      </c>
      <c r="AH407" s="119" t="s">
        <v>1618</v>
      </c>
      <c r="AK407" s="11"/>
      <c r="AL407" s="11"/>
      <c r="AM407" s="11"/>
      <c r="AN407" s="11"/>
      <c r="AQ407" s="7"/>
      <c r="AR407" s="31"/>
      <c r="AS407" s="7"/>
      <c r="AT407" s="7"/>
    </row>
    <row r="408" spans="1:46" ht="16.5" customHeight="1">
      <c r="A408" s="147"/>
      <c r="B408" s="80">
        <v>-66</v>
      </c>
      <c r="C408" s="80">
        <v>-17</v>
      </c>
      <c r="D408" s="80">
        <v>-66</v>
      </c>
      <c r="E408" s="80">
        <v>-17</v>
      </c>
      <c r="F408" s="6">
        <v>-25.81</v>
      </c>
      <c r="G408" s="79">
        <v>2390</v>
      </c>
      <c r="H408" s="50" t="s">
        <v>1410</v>
      </c>
      <c r="I408" s="22" t="s">
        <v>495</v>
      </c>
      <c r="J408" s="323">
        <v>51.86</v>
      </c>
      <c r="K408" s="73">
        <v>3.98</v>
      </c>
      <c r="L408" s="73">
        <v>34.36</v>
      </c>
      <c r="N408" s="318">
        <f>R408+K408+J408+L408</f>
        <v>911.2</v>
      </c>
      <c r="O408" s="81">
        <f>IFERROR(VLOOKUP($G408,'321買'!A:E,3,0),"'沒有資料'")</f>
        <v>23</v>
      </c>
      <c r="P408" s="380">
        <f>IFERROR(VLOOKUP($G408,'321買'!$A:$G,7,0),"'沒有資料'")</f>
        <v>222</v>
      </c>
      <c r="R408" s="297">
        <f>IFERROR(RANK(VLOOKUP($G408,連買!$A:$D,4,0),連買!$D:$D,0),"'沒有資料'")</f>
        <v>821</v>
      </c>
      <c r="S408" s="34">
        <v>0</v>
      </c>
      <c r="U408" s="95">
        <f>S408/V408</f>
        <v>0</v>
      </c>
      <c r="V408" s="36">
        <v>11.8</v>
      </c>
      <c r="W408" s="45">
        <v>11.3</v>
      </c>
      <c r="X408" s="15">
        <f>V408-W408</f>
        <v>0.5</v>
      </c>
      <c r="Y408" s="63">
        <f>X408/W408</f>
        <v>4.4247787610619468E-2</v>
      </c>
      <c r="Z408" s="114" t="s">
        <v>2028</v>
      </c>
      <c r="AA408" s="126"/>
      <c r="AD408" s="22" t="s">
        <v>495</v>
      </c>
      <c r="AE408" s="84">
        <v>43711</v>
      </c>
      <c r="AG408" s="33">
        <f>AF408-AE408</f>
        <v>-43711</v>
      </c>
      <c r="AH408" s="119"/>
      <c r="AI408" s="264"/>
    </row>
    <row r="409" spans="1:46" ht="16.5" customHeight="1">
      <c r="B409" s="80">
        <v>-66</v>
      </c>
      <c r="C409" s="80">
        <v>-17</v>
      </c>
      <c r="D409" s="80">
        <v>-66</v>
      </c>
      <c r="E409" s="80">
        <v>-17</v>
      </c>
      <c r="F409" s="6">
        <v>-25.81</v>
      </c>
      <c r="G409" s="79">
        <v>2390</v>
      </c>
      <c r="H409" s="50" t="s">
        <v>1410</v>
      </c>
      <c r="I409" s="22" t="s">
        <v>495</v>
      </c>
      <c r="J409" s="323">
        <v>51.66</v>
      </c>
      <c r="K409" s="73">
        <v>3.67</v>
      </c>
      <c r="L409" s="323">
        <v>34.44</v>
      </c>
      <c r="N409" s="318">
        <f>R409+K409+J409+L409</f>
        <v>910.77</v>
      </c>
      <c r="O409" s="81">
        <f>IFERROR(VLOOKUP($G409,'321買'!A:E,3,0),"'沒有資料'")</f>
        <v>23</v>
      </c>
      <c r="P409" s="380">
        <f>IFERROR(VLOOKUP($G409,'321買'!$A:$G,7,0),"'沒有資料'")</f>
        <v>222</v>
      </c>
      <c r="R409" s="297">
        <f>IFERROR(RANK(VLOOKUP($G409,連買!$A:$D,4,0),連買!$D:$D,0),"'沒有資料'")</f>
        <v>821</v>
      </c>
      <c r="S409" s="34">
        <v>0</v>
      </c>
      <c r="U409" s="95">
        <f>S409/V409</f>
        <v>0</v>
      </c>
      <c r="V409" s="36">
        <v>11.8</v>
      </c>
      <c r="W409" s="45">
        <v>11.25</v>
      </c>
      <c r="X409" s="15">
        <f>V409-W409</f>
        <v>0.55000000000000071</v>
      </c>
      <c r="Y409" s="63">
        <f>X409/W409</f>
        <v>4.8888888888888954E-2</v>
      </c>
      <c r="Z409" s="114" t="s">
        <v>2029</v>
      </c>
      <c r="AA409" s="126"/>
      <c r="AD409" s="22" t="s">
        <v>495</v>
      </c>
      <c r="AE409" s="84">
        <v>43698</v>
      </c>
      <c r="AG409" s="33">
        <f>AF409-AE409</f>
        <v>-43698</v>
      </c>
      <c r="AH409" s="119"/>
    </row>
    <row r="410" spans="1:46">
      <c r="B410" s="80"/>
      <c r="C410" s="79"/>
      <c r="D410" s="80"/>
      <c r="E410" s="79"/>
      <c r="F410" s="6"/>
      <c r="G410" s="41"/>
      <c r="H410" s="8"/>
      <c r="I410" s="22"/>
      <c r="J410" s="323"/>
      <c r="K410" s="323"/>
      <c r="L410" s="323"/>
      <c r="N410" s="318"/>
      <c r="S410" s="34"/>
      <c r="U410" s="95"/>
      <c r="V410" s="13">
        <f>SUM(V406:V409)</f>
        <v>47.2</v>
      </c>
      <c r="W410" s="45">
        <f>SUM(W406:W409)</f>
        <v>49.69</v>
      </c>
      <c r="X410" s="15">
        <f>V410-W410</f>
        <v>-2.4899999999999949</v>
      </c>
      <c r="Y410" s="76">
        <f>X410/W410</f>
        <v>-5.0110686254779532E-2</v>
      </c>
      <c r="Z410" s="116"/>
      <c r="AA410" s="126"/>
      <c r="AD410" s="22"/>
      <c r="AG410" s="33"/>
      <c r="AH410" s="119"/>
      <c r="AK410" s="11"/>
      <c r="AL410" s="11"/>
      <c r="AM410" s="11"/>
      <c r="AN410" s="11"/>
      <c r="AQ410" s="7"/>
      <c r="AR410" s="31"/>
      <c r="AS410" s="7"/>
      <c r="AT410" s="7"/>
    </row>
    <row r="411" spans="1:46">
      <c r="A411" s="130" t="s">
        <v>1732</v>
      </c>
      <c r="B411" s="91" t="s">
        <v>1588</v>
      </c>
      <c r="C411" s="91" t="s">
        <v>1589</v>
      </c>
      <c r="D411" s="91" t="s">
        <v>1590</v>
      </c>
      <c r="E411" s="91" t="s">
        <v>1591</v>
      </c>
      <c r="F411" s="8" t="s">
        <v>1066</v>
      </c>
      <c r="G411" s="26" t="s">
        <v>3691</v>
      </c>
      <c r="H411" s="55" t="s">
        <v>322</v>
      </c>
      <c r="I411" s="1" t="s">
        <v>69</v>
      </c>
      <c r="J411" s="317" t="s">
        <v>1467</v>
      </c>
      <c r="K411" s="317" t="s">
        <v>1157</v>
      </c>
      <c r="L411" s="317" t="s">
        <v>284</v>
      </c>
      <c r="M411" s="317"/>
      <c r="N411" s="317" t="s">
        <v>1065</v>
      </c>
      <c r="O411" s="301" t="s">
        <v>3653</v>
      </c>
      <c r="P411" s="373" t="s">
        <v>3562</v>
      </c>
      <c r="R411" s="345" t="s">
        <v>3562</v>
      </c>
      <c r="S411" s="10" t="s">
        <v>3139</v>
      </c>
      <c r="U411" s="68" t="s">
        <v>3137</v>
      </c>
      <c r="V411" s="28" t="s">
        <v>3138</v>
      </c>
      <c r="W411" s="17" t="s">
        <v>3140</v>
      </c>
      <c r="X411" s="14" t="s">
        <v>5</v>
      </c>
      <c r="Y411" s="21" t="s">
        <v>3</v>
      </c>
      <c r="Z411" s="25" t="s">
        <v>105</v>
      </c>
      <c r="AA411" s="126"/>
      <c r="AD411" s="1" t="s">
        <v>69</v>
      </c>
      <c r="AE411" s="71" t="s">
        <v>1406</v>
      </c>
      <c r="AF411" s="72" t="s">
        <v>1163</v>
      </c>
      <c r="AG411" s="32" t="s">
        <v>1164</v>
      </c>
      <c r="AH411" s="46" t="s">
        <v>1980</v>
      </c>
    </row>
    <row r="412" spans="1:46" ht="16.5" customHeight="1">
      <c r="A412" s="135"/>
      <c r="B412" s="91"/>
      <c r="C412" s="135"/>
      <c r="D412" s="91"/>
      <c r="E412" s="91"/>
      <c r="F412" s="6"/>
      <c r="G412" s="79">
        <v>648</v>
      </c>
      <c r="H412" s="8" t="s">
        <v>1409</v>
      </c>
      <c r="I412" s="22" t="s">
        <v>1503</v>
      </c>
      <c r="J412" s="323">
        <v>55.41</v>
      </c>
      <c r="K412" s="201">
        <v>29</v>
      </c>
      <c r="L412" s="323">
        <v>21.01</v>
      </c>
      <c r="N412" s="73">
        <f>R412+K412+J412+L412</f>
        <v>105.42</v>
      </c>
      <c r="O412" s="81" t="str">
        <f>IFERROR(VLOOKUP($G412,'321買'!A:E,3,0),"'沒有資料'")</f>
        <v>'沒有資料'</v>
      </c>
      <c r="S412" s="34"/>
      <c r="U412" s="95">
        <f>S412/V412</f>
        <v>0</v>
      </c>
      <c r="V412" s="36">
        <v>13.88</v>
      </c>
      <c r="W412" s="45">
        <v>19.579999999999998</v>
      </c>
      <c r="X412" s="15">
        <f>V412-W412</f>
        <v>-5.6999999999999975</v>
      </c>
      <c r="Y412" s="76">
        <f>X412/W412</f>
        <v>-0.29111338100102135</v>
      </c>
      <c r="Z412" s="116" t="s">
        <v>1964</v>
      </c>
      <c r="AA412" s="126"/>
      <c r="AD412" s="22" t="s">
        <v>1503</v>
      </c>
      <c r="AE412" s="118"/>
      <c r="AG412" s="33">
        <f>AF412-AE412</f>
        <v>0</v>
      </c>
      <c r="AH412" s="49" t="s">
        <v>1958</v>
      </c>
      <c r="AI412" s="266"/>
      <c r="AJ412" s="266"/>
      <c r="AK412" s="75"/>
      <c r="AL412" s="66"/>
      <c r="AM412" s="75"/>
      <c r="AN412" s="66"/>
      <c r="AO412" s="41"/>
      <c r="AP412" s="22"/>
    </row>
    <row r="413" spans="1:46" ht="16.5" customHeight="1">
      <c r="A413" s="135"/>
      <c r="B413" s="91"/>
      <c r="C413" s="135"/>
      <c r="D413" s="91"/>
      <c r="E413" s="91"/>
      <c r="F413" s="6"/>
      <c r="G413" s="41"/>
      <c r="H413" s="8"/>
      <c r="I413" s="22"/>
      <c r="J413" s="323"/>
      <c r="K413" s="201"/>
      <c r="L413" s="323"/>
      <c r="N413" s="73"/>
      <c r="S413" s="34"/>
      <c r="U413" s="95"/>
      <c r="V413" s="13">
        <f>V412*AH412</f>
        <v>749.5200000000001</v>
      </c>
      <c r="W413" s="201">
        <f>W412*AH412</f>
        <v>1057.32</v>
      </c>
      <c r="X413" s="141">
        <f>V413-W413</f>
        <v>-307.79999999999984</v>
      </c>
      <c r="Y413" s="76">
        <f>X413/W413</f>
        <v>-0.2911133810010213</v>
      </c>
      <c r="Z413" s="116"/>
      <c r="AA413" s="126"/>
      <c r="AD413" s="22"/>
      <c r="AE413" s="118"/>
      <c r="AG413" s="33"/>
      <c r="AH413" s="49"/>
      <c r="AI413" s="266"/>
      <c r="AJ413" s="266"/>
      <c r="AK413" s="75"/>
      <c r="AL413" s="66"/>
      <c r="AM413" s="75"/>
      <c r="AN413" s="66"/>
      <c r="AO413" s="41"/>
      <c r="AP413" s="22"/>
    </row>
    <row r="414" spans="1:46">
      <c r="B414" s="79"/>
      <c r="C414" s="80"/>
      <c r="D414" s="79"/>
      <c r="E414" s="80"/>
      <c r="F414" s="6"/>
      <c r="G414" s="41"/>
      <c r="H414" s="50"/>
      <c r="I414" s="16"/>
      <c r="J414" s="323"/>
      <c r="K414" s="323"/>
      <c r="N414" s="318"/>
      <c r="S414" s="34"/>
      <c r="U414" s="95"/>
      <c r="V414" s="13"/>
      <c r="W414" s="45"/>
      <c r="X414" s="15"/>
      <c r="Y414" s="76"/>
      <c r="Z414" s="116"/>
      <c r="AA414" s="126"/>
      <c r="AD414" s="16"/>
      <c r="AG414" s="33"/>
    </row>
    <row r="415" spans="1:46">
      <c r="A415" s="130" t="s">
        <v>1732</v>
      </c>
      <c r="B415" s="91" t="s">
        <v>1588</v>
      </c>
      <c r="C415" s="91" t="s">
        <v>1589</v>
      </c>
      <c r="D415" s="91" t="s">
        <v>1590</v>
      </c>
      <c r="E415" s="91" t="s">
        <v>1591</v>
      </c>
      <c r="F415" s="8" t="s">
        <v>1066</v>
      </c>
      <c r="G415" s="26" t="s">
        <v>3691</v>
      </c>
      <c r="H415" s="55" t="s">
        <v>322</v>
      </c>
      <c r="I415" s="1" t="s">
        <v>69</v>
      </c>
      <c r="J415" s="317" t="s">
        <v>1467</v>
      </c>
      <c r="K415" s="317" t="s">
        <v>1157</v>
      </c>
      <c r="L415" s="317" t="s">
        <v>284</v>
      </c>
      <c r="M415" s="317"/>
      <c r="N415" s="317" t="s">
        <v>1065</v>
      </c>
      <c r="P415" s="373" t="s">
        <v>3562</v>
      </c>
      <c r="R415" s="345" t="s">
        <v>3562</v>
      </c>
      <c r="S415" s="10" t="s">
        <v>66</v>
      </c>
      <c r="U415" s="68" t="s">
        <v>1502</v>
      </c>
      <c r="V415" s="28" t="s">
        <v>2</v>
      </c>
      <c r="W415" s="17" t="s">
        <v>1405</v>
      </c>
      <c r="X415" s="14" t="s">
        <v>5</v>
      </c>
      <c r="Y415" s="21" t="s">
        <v>3</v>
      </c>
      <c r="Z415" s="25" t="s">
        <v>105</v>
      </c>
      <c r="AA415" s="126"/>
      <c r="AD415" s="1" t="s">
        <v>69</v>
      </c>
      <c r="AE415" s="71" t="s">
        <v>1406</v>
      </c>
      <c r="AF415" s="72" t="s">
        <v>1163</v>
      </c>
      <c r="AG415" s="32" t="s">
        <v>1164</v>
      </c>
      <c r="AH415" s="46" t="s">
        <v>1880</v>
      </c>
    </row>
    <row r="416" spans="1:46">
      <c r="A416" s="130" t="s">
        <v>1818</v>
      </c>
      <c r="B416" s="79">
        <v>31</v>
      </c>
      <c r="C416" s="79">
        <v>21</v>
      </c>
      <c r="D416" s="79">
        <v>3</v>
      </c>
      <c r="E416" s="79">
        <v>8</v>
      </c>
      <c r="F416" s="57">
        <v>26.31</v>
      </c>
      <c r="G416" s="81">
        <v>6592</v>
      </c>
      <c r="H416" s="4" t="s">
        <v>235</v>
      </c>
      <c r="I416" s="22" t="s">
        <v>1819</v>
      </c>
      <c r="J416" s="73">
        <v>99.39</v>
      </c>
      <c r="K416" s="73">
        <v>33.28</v>
      </c>
      <c r="L416" s="323"/>
      <c r="N416" s="318">
        <f>R416+K416+J416+L416</f>
        <v>315.67</v>
      </c>
      <c r="O416" s="81">
        <f>IFERROR(VLOOKUP($G416,'321買'!A:E,3,0),"'沒有資料'")</f>
        <v>0</v>
      </c>
      <c r="P416" s="380">
        <f>IFERROR(VLOOKUP($G416,'321買'!$A:$G,7,0),"'沒有資料'")</f>
        <v>911</v>
      </c>
      <c r="R416" s="297">
        <f>IFERROR(RANK(VLOOKUP($G416,連買!$A:$D,4,0),連買!$D:$D,0),"'沒有資料'")</f>
        <v>183</v>
      </c>
      <c r="S416" s="34">
        <v>3.3</v>
      </c>
      <c r="U416" s="95">
        <f>S416/V416</f>
        <v>3.793103448275862E-2</v>
      </c>
      <c r="V416" s="13">
        <v>87</v>
      </c>
      <c r="W416" s="45">
        <f>92.6-3</f>
        <v>89.6</v>
      </c>
      <c r="X416" s="15">
        <f>V416-W416</f>
        <v>-2.5999999999999943</v>
      </c>
      <c r="Y416" s="76">
        <f>X416/W416</f>
        <v>-2.9017857142857081E-2</v>
      </c>
      <c r="Z416" s="101" t="s">
        <v>1881</v>
      </c>
      <c r="AA416" s="126"/>
      <c r="AD416" s="22" t="s">
        <v>1819</v>
      </c>
      <c r="AF416" s="83">
        <v>43833</v>
      </c>
      <c r="AG416" s="33">
        <f>AF416-AE416</f>
        <v>43833</v>
      </c>
      <c r="AH416" s="49" t="s">
        <v>1128</v>
      </c>
      <c r="AI416" s="266"/>
      <c r="AJ416" s="266"/>
      <c r="AK416" s="75"/>
      <c r="AL416" s="66"/>
      <c r="AM416" s="75"/>
      <c r="AN416" s="66"/>
      <c r="AO416" s="19"/>
      <c r="AP416" s="22"/>
    </row>
    <row r="417" spans="1:47">
      <c r="A417" s="130"/>
      <c r="B417" s="79"/>
      <c r="C417" s="79"/>
      <c r="D417" s="79"/>
      <c r="E417" s="79"/>
      <c r="F417" s="57"/>
      <c r="H417" s="4"/>
      <c r="I417" s="22"/>
      <c r="J417" s="73"/>
      <c r="K417" s="73"/>
      <c r="L417" s="323"/>
      <c r="N417" s="318"/>
      <c r="S417" s="34"/>
      <c r="U417" s="95"/>
      <c r="V417" s="13"/>
      <c r="W417" s="66"/>
      <c r="X417" s="15"/>
      <c r="Y417" s="76"/>
      <c r="Z417" s="101"/>
      <c r="AA417" s="126"/>
      <c r="AD417" s="22"/>
      <c r="AF417" s="129"/>
      <c r="AG417" s="33"/>
      <c r="AH417" s="49"/>
      <c r="AI417" s="266"/>
      <c r="AJ417" s="266"/>
      <c r="AK417" s="75"/>
      <c r="AL417" s="66"/>
      <c r="AM417" s="75"/>
      <c r="AN417" s="66"/>
      <c r="AO417" s="19"/>
      <c r="AP417" s="22"/>
    </row>
    <row r="418" spans="1:47">
      <c r="A418" s="130" t="s">
        <v>1732</v>
      </c>
      <c r="B418" s="91" t="s">
        <v>1588</v>
      </c>
      <c r="C418" s="91" t="s">
        <v>1589</v>
      </c>
      <c r="D418" s="91" t="s">
        <v>1590</v>
      </c>
      <c r="E418" s="91" t="s">
        <v>1591</v>
      </c>
      <c r="F418" s="8" t="s">
        <v>1066</v>
      </c>
      <c r="G418" s="26" t="s">
        <v>3691</v>
      </c>
      <c r="H418" s="55" t="s">
        <v>322</v>
      </c>
      <c r="I418" s="1" t="s">
        <v>69</v>
      </c>
      <c r="J418" s="317" t="s">
        <v>1467</v>
      </c>
      <c r="K418" s="317" t="s">
        <v>1157</v>
      </c>
      <c r="L418" s="317" t="s">
        <v>284</v>
      </c>
      <c r="M418" s="317"/>
      <c r="N418" s="317" t="s">
        <v>1065</v>
      </c>
      <c r="P418" s="373" t="s">
        <v>3562</v>
      </c>
      <c r="R418" s="345" t="s">
        <v>3562</v>
      </c>
      <c r="S418" s="10" t="s">
        <v>66</v>
      </c>
      <c r="U418" s="68" t="s">
        <v>1502</v>
      </c>
      <c r="V418" s="28" t="s">
        <v>2</v>
      </c>
      <c r="W418" s="17" t="s">
        <v>1405</v>
      </c>
      <c r="X418" s="14" t="s">
        <v>5</v>
      </c>
      <c r="Y418" s="21" t="s">
        <v>3</v>
      </c>
      <c r="Z418" s="25" t="s">
        <v>105</v>
      </c>
      <c r="AA418" s="126"/>
      <c r="AD418" s="1" t="s">
        <v>69</v>
      </c>
      <c r="AE418" s="71" t="s">
        <v>1406</v>
      </c>
      <c r="AF418" s="72" t="s">
        <v>1163</v>
      </c>
      <c r="AG418" s="32" t="s">
        <v>1164</v>
      </c>
      <c r="AH418" s="46" t="s">
        <v>1580</v>
      </c>
    </row>
    <row r="419" spans="1:47">
      <c r="A419" s="130" t="s">
        <v>1827</v>
      </c>
      <c r="B419" s="79">
        <v>31</v>
      </c>
      <c r="C419" s="79">
        <v>21</v>
      </c>
      <c r="D419" s="79">
        <v>3</v>
      </c>
      <c r="E419" s="79">
        <v>9</v>
      </c>
      <c r="F419" s="57">
        <v>26.31</v>
      </c>
      <c r="G419" s="81">
        <v>6592</v>
      </c>
      <c r="H419" s="4" t="s">
        <v>235</v>
      </c>
      <c r="I419" s="22" t="s">
        <v>1819</v>
      </c>
      <c r="J419" s="323">
        <v>75.31</v>
      </c>
      <c r="K419" s="323">
        <v>23.46</v>
      </c>
      <c r="L419" s="323"/>
      <c r="N419" s="318">
        <f>R419+K419+J419+L419</f>
        <v>281.77</v>
      </c>
      <c r="O419" s="81">
        <f>IFERROR(VLOOKUP($G419,'321買'!A:E,3,0),"'沒有資料'")</f>
        <v>0</v>
      </c>
      <c r="P419" s="380">
        <f>IFERROR(VLOOKUP($G419,'321買'!$A:$G,7,0),"'沒有資料'")</f>
        <v>911</v>
      </c>
      <c r="R419" s="297">
        <f>IFERROR(RANK(VLOOKUP($G419,連買!$A:$D,4,0),連買!$D:$D,0),"'沒有資料'")</f>
        <v>183</v>
      </c>
      <c r="S419" s="34">
        <v>3.3</v>
      </c>
      <c r="U419" s="95">
        <f>S419/V419</f>
        <v>3.7499999999999999E-2</v>
      </c>
      <c r="V419" s="13">
        <v>88</v>
      </c>
      <c r="W419" s="45">
        <v>85</v>
      </c>
      <c r="X419" s="15">
        <f>V419-W419</f>
        <v>3</v>
      </c>
      <c r="Y419" s="63">
        <f>X419/W419</f>
        <v>3.5294117647058823E-2</v>
      </c>
      <c r="Z419" s="102" t="s">
        <v>1672</v>
      </c>
      <c r="AA419" s="126"/>
      <c r="AD419" s="22" t="s">
        <v>1819</v>
      </c>
      <c r="AF419" s="83">
        <v>43833</v>
      </c>
      <c r="AG419" s="33">
        <f>AF419-AE419</f>
        <v>43833</v>
      </c>
      <c r="AH419" s="49"/>
      <c r="AI419" s="266"/>
      <c r="AJ419" s="266"/>
      <c r="AK419" s="75"/>
      <c r="AL419" s="66"/>
      <c r="AM419" s="75"/>
      <c r="AN419" s="66"/>
      <c r="AO419" s="19"/>
      <c r="AP419" s="22"/>
    </row>
    <row r="420" spans="1:47">
      <c r="A420" s="130"/>
      <c r="B420" s="79"/>
      <c r="C420" s="79"/>
      <c r="D420" s="79"/>
      <c r="E420" s="79"/>
      <c r="F420" s="57"/>
      <c r="H420" s="4"/>
      <c r="I420" s="22"/>
      <c r="J420" s="323"/>
      <c r="K420" s="323"/>
      <c r="L420" s="323"/>
      <c r="N420" s="318"/>
      <c r="S420" s="34"/>
      <c r="U420" s="95"/>
      <c r="V420" s="36"/>
      <c r="W420" s="66"/>
      <c r="X420" s="15"/>
      <c r="Y420" s="63"/>
      <c r="Z420" s="102"/>
      <c r="AA420" s="126"/>
      <c r="AD420" s="22"/>
      <c r="AF420" s="129"/>
      <c r="AG420" s="33"/>
      <c r="AH420" s="49"/>
      <c r="AI420" s="266"/>
      <c r="AJ420" s="266"/>
      <c r="AK420" s="75"/>
      <c r="AL420" s="66"/>
      <c r="AM420" s="75"/>
      <c r="AN420" s="66"/>
      <c r="AO420" s="19"/>
      <c r="AP420" s="22"/>
    </row>
    <row r="421" spans="1:47">
      <c r="A421" s="130" t="s">
        <v>1732</v>
      </c>
      <c r="B421" s="91" t="s">
        <v>1588</v>
      </c>
      <c r="C421" s="91" t="s">
        <v>1589</v>
      </c>
      <c r="D421" s="91" t="s">
        <v>1590</v>
      </c>
      <c r="E421" s="91" t="s">
        <v>1591</v>
      </c>
      <c r="F421" s="8" t="s">
        <v>1066</v>
      </c>
      <c r="G421" s="26" t="s">
        <v>3691</v>
      </c>
      <c r="H421" s="55" t="s">
        <v>322</v>
      </c>
      <c r="I421" s="1" t="s">
        <v>69</v>
      </c>
      <c r="J421" s="317" t="s">
        <v>1467</v>
      </c>
      <c r="K421" s="317" t="s">
        <v>1157</v>
      </c>
      <c r="L421" s="317" t="s">
        <v>284</v>
      </c>
      <c r="M421" s="317"/>
      <c r="N421" s="317" t="s">
        <v>1065</v>
      </c>
      <c r="P421" s="373" t="s">
        <v>3562</v>
      </c>
      <c r="R421" s="345" t="s">
        <v>3562</v>
      </c>
      <c r="S421" s="10" t="s">
        <v>66</v>
      </c>
      <c r="U421" s="68" t="s">
        <v>1502</v>
      </c>
      <c r="V421" s="28" t="s">
        <v>2</v>
      </c>
      <c r="W421" s="17" t="s">
        <v>1405</v>
      </c>
      <c r="X421" s="14" t="s">
        <v>5</v>
      </c>
      <c r="Y421" s="21" t="s">
        <v>3</v>
      </c>
      <c r="Z421" s="25" t="s">
        <v>105</v>
      </c>
      <c r="AA421" s="126"/>
      <c r="AD421" s="1" t="s">
        <v>69</v>
      </c>
      <c r="AE421" s="71" t="s">
        <v>1406</v>
      </c>
      <c r="AF421" s="72" t="s">
        <v>1163</v>
      </c>
      <c r="AG421" s="32" t="s">
        <v>1164</v>
      </c>
      <c r="AH421" s="46" t="s">
        <v>1828</v>
      </c>
    </row>
    <row r="422" spans="1:47">
      <c r="B422" s="79">
        <v>80</v>
      </c>
      <c r="C422" s="79">
        <v>78</v>
      </c>
      <c r="D422" s="79">
        <v>80</v>
      </c>
      <c r="E422" s="79">
        <v>78</v>
      </c>
      <c r="F422" s="57">
        <v>26.24</v>
      </c>
      <c r="G422" s="79">
        <v>6173</v>
      </c>
      <c r="H422" s="50" t="s">
        <v>1410</v>
      </c>
      <c r="I422" s="16" t="s">
        <v>82</v>
      </c>
      <c r="J422" s="323">
        <v>51.77</v>
      </c>
      <c r="K422" s="323">
        <v>3.39</v>
      </c>
      <c r="L422" s="323">
        <v>27.29</v>
      </c>
      <c r="N422" s="318">
        <f>R422+K422+J422+L422</f>
        <v>415.45</v>
      </c>
      <c r="O422" s="81">
        <f>IFERROR(VLOOKUP($G422,'321買'!A:E,3,0),"'沒有資料'")</f>
        <v>9</v>
      </c>
      <c r="P422" s="380">
        <f>IFERROR(VLOOKUP($G422,'321買'!$A:$G,7,0),"'沒有資料'")</f>
        <v>387</v>
      </c>
      <c r="R422" s="297">
        <f>IFERROR(RANK(VLOOKUP($G422,連買!$A:$D,4,0),連買!$D:$D,0),"'沒有資料'")</f>
        <v>333</v>
      </c>
      <c r="S422" s="34">
        <v>4.3</v>
      </c>
      <c r="U422" s="57">
        <f>S422/V422</f>
        <v>6.3235294117647056E-2</v>
      </c>
      <c r="V422" s="13">
        <v>68</v>
      </c>
      <c r="W422" s="45">
        <f>63.1-1.6-1.6</f>
        <v>59.9</v>
      </c>
      <c r="X422" s="15">
        <f>V422-W422</f>
        <v>8.1000000000000014</v>
      </c>
      <c r="Y422" s="63">
        <f>X422/W422</f>
        <v>0.13522537562604342</v>
      </c>
      <c r="Z422" s="114" t="s">
        <v>1869</v>
      </c>
      <c r="AA422" s="126"/>
      <c r="AD422" s="16" t="s">
        <v>82</v>
      </c>
      <c r="AF422" s="83">
        <v>43825</v>
      </c>
      <c r="AG422" s="33">
        <f>AF422-AE422</f>
        <v>43825</v>
      </c>
      <c r="AH422" s="119"/>
    </row>
    <row r="423" spans="1:47">
      <c r="B423" s="80">
        <v>-33</v>
      </c>
      <c r="C423" s="80">
        <v>-21</v>
      </c>
      <c r="D423" s="80">
        <v>2</v>
      </c>
      <c r="E423" s="80">
        <v>-9</v>
      </c>
      <c r="F423" s="57">
        <v>16.489999999999998</v>
      </c>
      <c r="G423" s="79">
        <v>3264</v>
      </c>
      <c r="H423" s="30" t="s">
        <v>1469</v>
      </c>
      <c r="I423" s="16" t="s">
        <v>261</v>
      </c>
      <c r="J423" s="323">
        <v>70.91</v>
      </c>
      <c r="K423" s="73">
        <v>30.18</v>
      </c>
      <c r="L423" s="73">
        <v>16.260000000000002</v>
      </c>
      <c r="N423" s="318">
        <f>R423+K423+J423+L423</f>
        <v>1643.3500000000001</v>
      </c>
      <c r="O423" s="81">
        <f>IFERROR(VLOOKUP($G423,'321買'!A:E,3,0),"'沒有資料'")</f>
        <v>36</v>
      </c>
      <c r="P423" s="380">
        <f>IFERROR(VLOOKUP($G423,'321買'!$A:$G,7,0),"'沒有資料'")</f>
        <v>130</v>
      </c>
      <c r="R423" s="297">
        <f>IFERROR(RANK(VLOOKUP($G423,連買!$A:$D,4,0),連買!$D:$D,0),"'沒有資料'")</f>
        <v>1526</v>
      </c>
      <c r="S423" s="34">
        <v>1.6</v>
      </c>
      <c r="U423" s="95">
        <f>S423/V423</f>
        <v>1.737242128121607E-2</v>
      </c>
      <c r="V423" s="13">
        <v>92.1</v>
      </c>
      <c r="W423" s="45">
        <v>85.7</v>
      </c>
      <c r="X423" s="15">
        <f>V423-W423</f>
        <v>6.3999999999999915</v>
      </c>
      <c r="Y423" s="63">
        <f>X423/W423</f>
        <v>7.4679113185530818E-2</v>
      </c>
      <c r="Z423" s="100" t="s">
        <v>1864</v>
      </c>
      <c r="AA423" s="126"/>
      <c r="AD423" s="16" t="s">
        <v>261</v>
      </c>
      <c r="AF423" s="83">
        <v>43822</v>
      </c>
      <c r="AG423" s="33">
        <f>AF423-AE423</f>
        <v>43822</v>
      </c>
      <c r="AH423" s="119" t="s">
        <v>1129</v>
      </c>
      <c r="AU423" s="11"/>
    </row>
    <row r="424" spans="1:47" ht="16.5" customHeight="1">
      <c r="A424" s="119"/>
      <c r="B424" s="80">
        <v>-68</v>
      </c>
      <c r="C424" s="80">
        <v>-85</v>
      </c>
      <c r="D424" s="80">
        <v>-3</v>
      </c>
      <c r="E424" s="80">
        <v>-40</v>
      </c>
      <c r="F424" s="6">
        <v>1.94</v>
      </c>
      <c r="G424" s="79">
        <v>1605</v>
      </c>
      <c r="H424" s="50" t="s">
        <v>1410</v>
      </c>
      <c r="I424" s="22" t="s">
        <v>110</v>
      </c>
      <c r="J424" s="73">
        <v>68.19</v>
      </c>
      <c r="K424" s="323">
        <v>24.94</v>
      </c>
      <c r="L424" s="323">
        <v>6</v>
      </c>
      <c r="N424" s="318">
        <f>R424+K424+J424+L424</f>
        <v>717.13000000000011</v>
      </c>
      <c r="O424" s="81">
        <f>IFERROR(VLOOKUP($G424,'321買'!A:E,3,0),"'沒有資料'")</f>
        <v>1</v>
      </c>
      <c r="P424" s="380">
        <f>IFERROR(VLOOKUP($G424,'321買'!$A:$G,7,0),"'沒有資料'")</f>
        <v>783</v>
      </c>
      <c r="R424" s="297">
        <f>IFERROR(RANK(VLOOKUP($G424,連買!$A:$D,4,0),連買!$D:$D,0),"'沒有資料'")</f>
        <v>618</v>
      </c>
      <c r="S424" s="34">
        <v>1.2</v>
      </c>
      <c r="U424" s="95">
        <f>S424/V424</f>
        <v>8.9186176142697863E-3</v>
      </c>
      <c r="V424" s="13">
        <v>134.55000000000001</v>
      </c>
      <c r="W424" s="45">
        <v>131.4</v>
      </c>
      <c r="X424" s="15">
        <f>V424-W424</f>
        <v>3.1500000000000057</v>
      </c>
      <c r="Y424" s="63">
        <f>X424/W424</f>
        <v>2.3972602739726071E-2</v>
      </c>
      <c r="Z424" s="114" t="s">
        <v>1829</v>
      </c>
      <c r="AA424" s="126"/>
      <c r="AD424" s="22" t="s">
        <v>110</v>
      </c>
      <c r="AF424" s="83">
        <v>43811</v>
      </c>
      <c r="AG424" s="33">
        <f>AF424-AE424</f>
        <v>43811</v>
      </c>
      <c r="AH424" s="119"/>
      <c r="AI424" s="264"/>
    </row>
    <row r="425" spans="1:47" ht="16.5" customHeight="1">
      <c r="A425" s="119"/>
      <c r="B425" s="80"/>
      <c r="C425" s="80"/>
      <c r="D425" s="80"/>
      <c r="E425" s="80"/>
      <c r="F425" s="6"/>
      <c r="G425" s="41"/>
      <c r="H425" s="50"/>
      <c r="I425" s="22"/>
      <c r="J425" s="73"/>
      <c r="K425" s="323"/>
      <c r="L425" s="323"/>
      <c r="N425" s="318"/>
      <c r="S425" s="34"/>
      <c r="U425" s="95"/>
      <c r="V425" s="13">
        <f>SUM(V422:V424)</f>
        <v>294.64999999999998</v>
      </c>
      <c r="W425" s="45">
        <f>SUM(W422:W424)</f>
        <v>277</v>
      </c>
      <c r="X425" s="15">
        <f>V425-W425</f>
        <v>17.649999999999977</v>
      </c>
      <c r="Y425" s="63">
        <f>X425/W425</f>
        <v>6.3718411552346491E-2</v>
      </c>
      <c r="Z425" s="114"/>
      <c r="AA425" s="126"/>
      <c r="AD425" s="22"/>
      <c r="AG425" s="33"/>
      <c r="AH425" s="119"/>
      <c r="AI425" s="264"/>
    </row>
    <row r="426" spans="1:47">
      <c r="A426" s="130" t="s">
        <v>1732</v>
      </c>
      <c r="B426" s="91" t="s">
        <v>1588</v>
      </c>
      <c r="C426" s="91" t="s">
        <v>1589</v>
      </c>
      <c r="D426" s="91" t="s">
        <v>1590</v>
      </c>
      <c r="E426" s="91" t="s">
        <v>1591</v>
      </c>
      <c r="F426" s="8" t="s">
        <v>1066</v>
      </c>
      <c r="G426" s="26" t="s">
        <v>3691</v>
      </c>
      <c r="H426" s="55" t="s">
        <v>322</v>
      </c>
      <c r="I426" s="1" t="s">
        <v>69</v>
      </c>
      <c r="J426" s="317" t="s">
        <v>1467</v>
      </c>
      <c r="K426" s="317" t="s">
        <v>1157</v>
      </c>
      <c r="L426" s="317" t="s">
        <v>284</v>
      </c>
      <c r="M426" s="317"/>
      <c r="N426" s="317" t="s">
        <v>1065</v>
      </c>
      <c r="P426" s="374" t="s">
        <v>1059</v>
      </c>
      <c r="R426" s="151" t="s">
        <v>1059</v>
      </c>
      <c r="S426" s="10" t="s">
        <v>66</v>
      </c>
      <c r="U426" s="68" t="s">
        <v>1502</v>
      </c>
      <c r="V426" s="28" t="s">
        <v>2</v>
      </c>
      <c r="W426" s="17" t="s">
        <v>1405</v>
      </c>
      <c r="X426" s="14" t="s">
        <v>5</v>
      </c>
      <c r="Y426" s="21" t="s">
        <v>3</v>
      </c>
      <c r="Z426" s="25" t="s">
        <v>105</v>
      </c>
      <c r="AA426" s="126"/>
      <c r="AD426" s="1" t="s">
        <v>69</v>
      </c>
      <c r="AE426" s="71" t="s">
        <v>1406</v>
      </c>
      <c r="AF426" s="72" t="s">
        <v>1163</v>
      </c>
      <c r="AG426" s="32" t="s">
        <v>1164</v>
      </c>
    </row>
    <row r="427" spans="1:47">
      <c r="B427" s="80">
        <v>-33</v>
      </c>
      <c r="C427" s="80">
        <v>-21</v>
      </c>
      <c r="D427" s="80">
        <v>2</v>
      </c>
      <c r="E427" s="80">
        <v>-9</v>
      </c>
      <c r="F427" s="57">
        <v>16.489999999999998</v>
      </c>
      <c r="G427" s="79">
        <v>3264</v>
      </c>
      <c r="H427" s="30" t="s">
        <v>1469</v>
      </c>
      <c r="I427" s="16" t="s">
        <v>261</v>
      </c>
      <c r="J427" s="323">
        <v>70.91</v>
      </c>
      <c r="K427" s="73">
        <v>30.18</v>
      </c>
      <c r="L427" s="73">
        <v>16.260000000000002</v>
      </c>
      <c r="N427" s="318">
        <f>R427+K427+J427+L427</f>
        <v>1643.3500000000001</v>
      </c>
      <c r="O427" s="81">
        <f>IFERROR(VLOOKUP($G427,'321買'!A:E,3,0),"'沒有資料'")</f>
        <v>36</v>
      </c>
      <c r="P427" s="380">
        <f>IFERROR(VLOOKUP($G427,'321買'!$A:$G,7,0),"'沒有資料'")</f>
        <v>130</v>
      </c>
      <c r="R427" s="297">
        <f>IFERROR(RANK(VLOOKUP($G427,連買!$A:$D,4,0),連買!$D:$D,0),"'沒有資料'")</f>
        <v>1526</v>
      </c>
      <c r="S427" s="34">
        <v>1.6</v>
      </c>
      <c r="U427" s="95">
        <f>S427/V427</f>
        <v>5.2117263843648211E-2</v>
      </c>
      <c r="V427" s="36">
        <v>30.7</v>
      </c>
      <c r="W427" s="66">
        <v>28.75</v>
      </c>
      <c r="X427" s="15">
        <f>V427-W427</f>
        <v>1.9499999999999993</v>
      </c>
      <c r="Y427" s="63">
        <f>X427/W427</f>
        <v>6.7826086956521717E-2</v>
      </c>
      <c r="Z427" s="100" t="s">
        <v>1859</v>
      </c>
      <c r="AA427" s="126"/>
      <c r="AD427" s="16" t="s">
        <v>261</v>
      </c>
      <c r="AE427" s="84">
        <v>43732</v>
      </c>
      <c r="AG427" s="33">
        <f>AF427-AE427</f>
        <v>-43732</v>
      </c>
      <c r="AH427" s="119" t="s">
        <v>1129</v>
      </c>
      <c r="AU427" s="11"/>
    </row>
    <row r="428" spans="1:47">
      <c r="B428" s="80">
        <v>-33</v>
      </c>
      <c r="C428" s="80">
        <v>-21</v>
      </c>
      <c r="D428" s="80">
        <v>2</v>
      </c>
      <c r="E428" s="80">
        <v>-9</v>
      </c>
      <c r="F428" s="57">
        <v>16.489999999999998</v>
      </c>
      <c r="G428" s="79">
        <v>3264</v>
      </c>
      <c r="H428" s="30" t="s">
        <v>1469</v>
      </c>
      <c r="I428" s="16" t="s">
        <v>261</v>
      </c>
      <c r="J428" s="323">
        <v>70.91</v>
      </c>
      <c r="K428" s="73">
        <v>30.18</v>
      </c>
      <c r="L428" s="73">
        <v>16.260000000000002</v>
      </c>
      <c r="N428" s="318">
        <f>R428+K428+J428+L428</f>
        <v>1643.3500000000001</v>
      </c>
      <c r="O428" s="81">
        <f>IFERROR(VLOOKUP($G428,'321買'!A:E,3,0),"'沒有資料'")</f>
        <v>36</v>
      </c>
      <c r="P428" s="380">
        <f>IFERROR(VLOOKUP($G428,'321買'!$A:$G,7,0),"'沒有資料'")</f>
        <v>130</v>
      </c>
      <c r="R428" s="297">
        <f>IFERROR(RANK(VLOOKUP($G428,連買!$A:$D,4,0),連買!$D:$D,0),"'沒有資料'")</f>
        <v>1526</v>
      </c>
      <c r="S428" s="34">
        <v>1.6</v>
      </c>
      <c r="U428" s="95">
        <f>S428/V428</f>
        <v>5.2117263843648211E-2</v>
      </c>
      <c r="V428" s="36">
        <v>30.7</v>
      </c>
      <c r="W428" s="66">
        <v>28.7</v>
      </c>
      <c r="X428" s="15">
        <f>V428-W428</f>
        <v>2</v>
      </c>
      <c r="Y428" s="63">
        <f>X428/W428</f>
        <v>6.968641114982578E-2</v>
      </c>
      <c r="Z428" s="100" t="s">
        <v>1811</v>
      </c>
      <c r="AA428" s="126"/>
      <c r="AD428" s="16" t="s">
        <v>261</v>
      </c>
      <c r="AE428" s="84">
        <v>43733</v>
      </c>
      <c r="AG428" s="33">
        <f>AF428-AE428</f>
        <v>-43733</v>
      </c>
      <c r="AH428" s="119"/>
      <c r="AU428" s="11"/>
    </row>
    <row r="429" spans="1:47">
      <c r="B429" s="80">
        <v>-33</v>
      </c>
      <c r="C429" s="80">
        <v>-21</v>
      </c>
      <c r="D429" s="80">
        <v>2</v>
      </c>
      <c r="E429" s="80">
        <v>-9</v>
      </c>
      <c r="F429" s="57">
        <v>16.489999999999998</v>
      </c>
      <c r="G429" s="79">
        <v>3264</v>
      </c>
      <c r="H429" s="30" t="s">
        <v>1469</v>
      </c>
      <c r="I429" s="16" t="s">
        <v>261</v>
      </c>
      <c r="J429" s="323">
        <v>70.91</v>
      </c>
      <c r="K429" s="73">
        <v>30.18</v>
      </c>
      <c r="L429" s="73">
        <v>16.260000000000002</v>
      </c>
      <c r="N429" s="318">
        <f>R429+K429+J429+L429</f>
        <v>1643.3500000000001</v>
      </c>
      <c r="O429" s="81">
        <f>IFERROR(VLOOKUP($G429,'321買'!A:E,3,0),"'沒有資料'")</f>
        <v>36</v>
      </c>
      <c r="P429" s="380">
        <f>IFERROR(VLOOKUP($G429,'321買'!$A:$G,7,0),"'沒有資料'")</f>
        <v>130</v>
      </c>
      <c r="R429" s="297">
        <f>IFERROR(RANK(VLOOKUP($G429,連買!$A:$D,4,0),連買!$D:$D,0),"'沒有資料'")</f>
        <v>1526</v>
      </c>
      <c r="S429" s="34">
        <v>1.6</v>
      </c>
      <c r="U429" s="95">
        <f>S429/V429</f>
        <v>5.2117263843648211E-2</v>
      </c>
      <c r="V429" s="36">
        <v>30.7</v>
      </c>
      <c r="W429" s="66">
        <v>28.25</v>
      </c>
      <c r="X429" s="15">
        <f>V429-W429</f>
        <v>2.4499999999999993</v>
      </c>
      <c r="Y429" s="63">
        <f>X429/W429</f>
        <v>8.672566371681413E-2</v>
      </c>
      <c r="Z429" s="100" t="s">
        <v>1830</v>
      </c>
      <c r="AA429" s="126"/>
      <c r="AD429" s="16" t="s">
        <v>261</v>
      </c>
      <c r="AE429" s="84">
        <v>43734</v>
      </c>
      <c r="AG429" s="33">
        <f>AF429-AE429</f>
        <v>-43734</v>
      </c>
      <c r="AH429" s="119"/>
      <c r="AU429" s="11"/>
    </row>
    <row r="430" spans="1:47">
      <c r="B430" s="80">
        <v>-33</v>
      </c>
      <c r="C430" s="80">
        <v>-21</v>
      </c>
      <c r="D430" s="80">
        <v>-1</v>
      </c>
      <c r="E430" s="80">
        <v>-2</v>
      </c>
      <c r="F430" s="57">
        <v>16.489999999999998</v>
      </c>
      <c r="G430" s="81">
        <v>3264</v>
      </c>
      <c r="H430" s="30" t="s">
        <v>1469</v>
      </c>
      <c r="I430" s="16" t="s">
        <v>261</v>
      </c>
      <c r="J430" s="323">
        <v>70.81</v>
      </c>
      <c r="K430" s="323">
        <v>29.68</v>
      </c>
      <c r="L430" s="73">
        <v>15.66</v>
      </c>
      <c r="N430" s="318">
        <f>R430+K430+J430+L430</f>
        <v>1642.15</v>
      </c>
      <c r="O430" s="81">
        <f>IFERROR(VLOOKUP($G430,'321買'!A:E,3,0),"'沒有資料'")</f>
        <v>36</v>
      </c>
      <c r="P430" s="380">
        <f>IFERROR(VLOOKUP($G430,'321買'!$A:$G,7,0),"'沒有資料'")</f>
        <v>130</v>
      </c>
      <c r="R430" s="297">
        <f>IFERROR(RANK(VLOOKUP($G430,連買!$A:$D,4,0),連買!$D:$D,0),"'沒有資料'")</f>
        <v>1526</v>
      </c>
      <c r="S430" s="34">
        <v>1.6</v>
      </c>
      <c r="U430" s="95">
        <f>S430/V430</f>
        <v>5.2117263843648211E-2</v>
      </c>
      <c r="V430" s="36">
        <v>30.7</v>
      </c>
      <c r="W430" s="66">
        <v>27.6</v>
      </c>
      <c r="X430" s="15">
        <f>V430-W430</f>
        <v>3.0999999999999979</v>
      </c>
      <c r="Y430" s="63">
        <f>X430/W430</f>
        <v>0.11231884057971006</v>
      </c>
      <c r="Z430" s="100" t="s">
        <v>1663</v>
      </c>
      <c r="AA430" s="126"/>
      <c r="AD430" s="16" t="s">
        <v>261</v>
      </c>
      <c r="AE430" s="84">
        <v>43760</v>
      </c>
      <c r="AG430" s="33">
        <f>AF430-AE430</f>
        <v>-43760</v>
      </c>
      <c r="AH430" s="119"/>
      <c r="AI430" s="264"/>
      <c r="AT430" s="11"/>
    </row>
    <row r="431" spans="1:47">
      <c r="B431" s="80"/>
      <c r="C431" s="80"/>
      <c r="D431" s="80"/>
      <c r="E431" s="80"/>
      <c r="F431" s="57"/>
      <c r="G431" s="41"/>
      <c r="H431" s="30"/>
      <c r="I431" s="16"/>
      <c r="J431" s="323"/>
      <c r="K431" s="73"/>
      <c r="N431" s="318"/>
      <c r="R431" s="297"/>
      <c r="S431" s="34"/>
      <c r="U431" s="95"/>
      <c r="V431" s="13">
        <f>SUM(V427:V429)</f>
        <v>92.1</v>
      </c>
      <c r="W431" s="45">
        <f>SUM(W427:W429)</f>
        <v>85.7</v>
      </c>
      <c r="X431" s="15">
        <f>V431-W431</f>
        <v>6.3999999999999915</v>
      </c>
      <c r="Y431" s="63">
        <f>X431/W431</f>
        <v>7.4679113185530818E-2</v>
      </c>
      <c r="Z431" s="100"/>
      <c r="AA431" s="126"/>
      <c r="AD431" s="16"/>
      <c r="AG431" s="33"/>
      <c r="AH431" s="119"/>
      <c r="AU431" s="11"/>
    </row>
    <row r="432" spans="1:47">
      <c r="A432" s="130" t="s">
        <v>1732</v>
      </c>
      <c r="B432" s="91" t="s">
        <v>1588</v>
      </c>
      <c r="C432" s="91" t="s">
        <v>1589</v>
      </c>
      <c r="D432" s="91" t="s">
        <v>1590</v>
      </c>
      <c r="E432" s="91" t="s">
        <v>1591</v>
      </c>
      <c r="F432" s="8" t="s">
        <v>1066</v>
      </c>
      <c r="G432" s="26" t="s">
        <v>3691</v>
      </c>
      <c r="H432" s="55" t="s">
        <v>322</v>
      </c>
      <c r="I432" s="1" t="s">
        <v>69</v>
      </c>
      <c r="J432" s="317" t="s">
        <v>1467</v>
      </c>
      <c r="K432" s="317" t="s">
        <v>1157</v>
      </c>
      <c r="L432" s="317" t="s">
        <v>284</v>
      </c>
      <c r="M432" s="317"/>
      <c r="N432" s="317" t="s">
        <v>1065</v>
      </c>
      <c r="P432" s="374" t="s">
        <v>1059</v>
      </c>
      <c r="R432" s="151" t="s">
        <v>1059</v>
      </c>
      <c r="S432" s="10" t="s">
        <v>66</v>
      </c>
      <c r="U432" s="68" t="s">
        <v>1502</v>
      </c>
      <c r="V432" s="28" t="s">
        <v>2</v>
      </c>
      <c r="W432" s="17" t="s">
        <v>1405</v>
      </c>
      <c r="X432" s="14" t="s">
        <v>5</v>
      </c>
      <c r="Y432" s="21" t="s">
        <v>3</v>
      </c>
      <c r="Z432" s="25" t="s">
        <v>105</v>
      </c>
      <c r="AA432" s="126"/>
      <c r="AD432" s="1" t="s">
        <v>69</v>
      </c>
      <c r="AE432" s="71" t="s">
        <v>1406</v>
      </c>
      <c r="AF432" s="72" t="s">
        <v>1163</v>
      </c>
      <c r="AG432" s="32" t="s">
        <v>1164</v>
      </c>
    </row>
    <row r="433" spans="1:46" ht="16.5" customHeight="1">
      <c r="A433" s="119"/>
      <c r="B433" s="80">
        <v>-68</v>
      </c>
      <c r="C433" s="80">
        <v>-85</v>
      </c>
      <c r="D433" s="80">
        <v>-3</v>
      </c>
      <c r="E433" s="80">
        <v>-40</v>
      </c>
      <c r="F433" s="6">
        <v>1.94</v>
      </c>
      <c r="G433" s="79">
        <v>1605</v>
      </c>
      <c r="H433" s="50" t="s">
        <v>1410</v>
      </c>
      <c r="I433" s="22" t="s">
        <v>110</v>
      </c>
      <c r="J433" s="73">
        <v>68.19</v>
      </c>
      <c r="K433" s="323">
        <v>24.94</v>
      </c>
      <c r="L433" s="323">
        <v>6</v>
      </c>
      <c r="N433" s="318">
        <f>R433+K433+J433+L433</f>
        <v>717.13000000000011</v>
      </c>
      <c r="O433" s="81">
        <f>IFERROR(VLOOKUP($G433,'321買'!A:E,3,0),"'沒有資料'")</f>
        <v>1</v>
      </c>
      <c r="P433" s="380">
        <f>IFERROR(VLOOKUP($G433,'321買'!$A:$G,7,0),"'沒有資料'")</f>
        <v>783</v>
      </c>
      <c r="R433" s="297">
        <f>IFERROR(RANK(VLOOKUP($G433,連買!$A:$D,4,0),連買!$D:$D,0),"'沒有資料'")</f>
        <v>618</v>
      </c>
      <c r="S433" s="34">
        <v>1.2</v>
      </c>
      <c r="U433" s="95">
        <f>S433/V433</f>
        <v>4.0133779264214048E-2</v>
      </c>
      <c r="V433" s="36">
        <f>14.95*2</f>
        <v>29.9</v>
      </c>
      <c r="W433" s="66">
        <f>14.85*AH433</f>
        <v>29.7</v>
      </c>
      <c r="X433" s="15">
        <f t="shared" ref="X433:X438" si="96">V433-W433</f>
        <v>0.19999999999999929</v>
      </c>
      <c r="Y433" s="76">
        <f t="shared" ref="Y433:Y438" si="97">X433/W433</f>
        <v>6.7340067340067103E-3</v>
      </c>
      <c r="Z433" s="115" t="s">
        <v>1666</v>
      </c>
      <c r="AA433" s="126"/>
      <c r="AD433" s="22" t="s">
        <v>110</v>
      </c>
      <c r="AE433" s="84">
        <v>43728</v>
      </c>
      <c r="AG433" s="33">
        <f>AF433-AE433</f>
        <v>-43728</v>
      </c>
      <c r="AH433" s="119" t="s">
        <v>1514</v>
      </c>
      <c r="AI433" s="264"/>
    </row>
    <row r="434" spans="1:46" ht="16.5" customHeight="1">
      <c r="A434" s="119"/>
      <c r="B434" s="80">
        <v>-68</v>
      </c>
      <c r="C434" s="80">
        <v>-85</v>
      </c>
      <c r="D434" s="80">
        <v>-3</v>
      </c>
      <c r="E434" s="80">
        <v>-40</v>
      </c>
      <c r="F434" s="6">
        <v>1.94</v>
      </c>
      <c r="G434" s="79">
        <v>1605</v>
      </c>
      <c r="H434" s="50" t="s">
        <v>1410</v>
      </c>
      <c r="I434" s="22" t="s">
        <v>110</v>
      </c>
      <c r="J434" s="73">
        <v>68.19</v>
      </c>
      <c r="K434" s="323">
        <v>24.94</v>
      </c>
      <c r="L434" s="323">
        <v>6</v>
      </c>
      <c r="N434" s="318">
        <f>R434+K434+J434+L434</f>
        <v>717.13000000000011</v>
      </c>
      <c r="O434" s="81">
        <f>IFERROR(VLOOKUP($G434,'321買'!A:E,3,0),"'沒有資料'")</f>
        <v>1</v>
      </c>
      <c r="P434" s="380">
        <f>IFERROR(VLOOKUP($G434,'321買'!$A:$G,7,0),"'沒有資料'")</f>
        <v>783</v>
      </c>
      <c r="R434" s="297">
        <f>IFERROR(RANK(VLOOKUP($G434,連買!$A:$D,4,0),連買!$D:$D,0),"'沒有資料'")</f>
        <v>618</v>
      </c>
      <c r="S434" s="34">
        <v>1.2</v>
      </c>
      <c r="U434" s="95">
        <f>S434/V434</f>
        <v>2.6755852842809368E-2</v>
      </c>
      <c r="V434" s="36">
        <f>14.95*3</f>
        <v>44.849999999999994</v>
      </c>
      <c r="W434" s="66">
        <f>14.8*AH434</f>
        <v>44.400000000000006</v>
      </c>
      <c r="X434" s="15">
        <f t="shared" si="96"/>
        <v>0.44999999999998863</v>
      </c>
      <c r="Y434" s="63">
        <f t="shared" si="97"/>
        <v>1.0135135135134877E-2</v>
      </c>
      <c r="Z434" s="114" t="s">
        <v>1823</v>
      </c>
      <c r="AA434" s="264"/>
      <c r="AD434" s="22" t="s">
        <v>110</v>
      </c>
      <c r="AE434" s="84">
        <v>43728</v>
      </c>
      <c r="AG434" s="33">
        <f>AF434-AE434</f>
        <v>-43728</v>
      </c>
      <c r="AH434" s="119" t="s">
        <v>1625</v>
      </c>
      <c r="AI434" s="264"/>
    </row>
    <row r="435" spans="1:46" ht="16.5" customHeight="1">
      <c r="A435" s="119"/>
      <c r="B435" s="80">
        <v>-68</v>
      </c>
      <c r="C435" s="80">
        <v>-85</v>
      </c>
      <c r="D435" s="80">
        <v>-3</v>
      </c>
      <c r="E435" s="80">
        <v>-40</v>
      </c>
      <c r="F435" s="6">
        <v>1.94</v>
      </c>
      <c r="G435" s="79">
        <v>1605</v>
      </c>
      <c r="H435" s="50" t="s">
        <v>1410</v>
      </c>
      <c r="I435" s="22" t="s">
        <v>110</v>
      </c>
      <c r="J435" s="73">
        <v>68.19</v>
      </c>
      <c r="K435" s="323">
        <v>24.94</v>
      </c>
      <c r="L435" s="323">
        <v>6</v>
      </c>
      <c r="N435" s="318">
        <f>R435+K435+J435+L435</f>
        <v>717.13000000000011</v>
      </c>
      <c r="O435" s="81">
        <f>IFERROR(VLOOKUP($G435,'321買'!A:E,3,0),"'沒有資料'")</f>
        <v>1</v>
      </c>
      <c r="P435" s="380">
        <f>IFERROR(VLOOKUP($G435,'321買'!$A:$G,7,0),"'沒有資料'")</f>
        <v>783</v>
      </c>
      <c r="R435" s="297">
        <f>IFERROR(RANK(VLOOKUP($G435,連買!$A:$D,4,0),連買!$D:$D,0),"'沒有資料'")</f>
        <v>618</v>
      </c>
      <c r="S435" s="34">
        <v>1.2</v>
      </c>
      <c r="U435" s="95">
        <f>S435/V435</f>
        <v>8.0267558528428096E-2</v>
      </c>
      <c r="V435" s="36">
        <v>14.95</v>
      </c>
      <c r="W435" s="66">
        <v>14.75</v>
      </c>
      <c r="X435" s="15">
        <f t="shared" si="96"/>
        <v>0.19999999999999929</v>
      </c>
      <c r="Y435" s="63">
        <f t="shared" si="97"/>
        <v>1.3559322033898256E-2</v>
      </c>
      <c r="Z435" s="114" t="s">
        <v>1822</v>
      </c>
      <c r="AA435" s="126"/>
      <c r="AD435" s="22" t="s">
        <v>110</v>
      </c>
      <c r="AE435" s="84">
        <v>43728</v>
      </c>
      <c r="AG435" s="33">
        <f>AF435-AE435</f>
        <v>-43728</v>
      </c>
      <c r="AH435" s="119" t="s">
        <v>1624</v>
      </c>
      <c r="AI435" s="264"/>
    </row>
    <row r="436" spans="1:46" ht="16.5" customHeight="1">
      <c r="A436" s="119"/>
      <c r="B436" s="80">
        <v>-68</v>
      </c>
      <c r="C436" s="80">
        <v>-85</v>
      </c>
      <c r="D436" s="80">
        <v>-3</v>
      </c>
      <c r="E436" s="80">
        <v>-40</v>
      </c>
      <c r="F436" s="6">
        <v>1.94</v>
      </c>
      <c r="G436" s="79">
        <v>1605</v>
      </c>
      <c r="H436" s="50" t="s">
        <v>1410</v>
      </c>
      <c r="I436" s="22" t="s">
        <v>110</v>
      </c>
      <c r="J436" s="73">
        <v>68.19</v>
      </c>
      <c r="K436" s="323">
        <v>24.94</v>
      </c>
      <c r="L436" s="323">
        <v>6</v>
      </c>
      <c r="N436" s="318">
        <f>R436+K436+J436+L436</f>
        <v>717.13000000000011</v>
      </c>
      <c r="O436" s="81">
        <f>IFERROR(VLOOKUP($G436,'321買'!A:E,3,0),"'沒有資料'")</f>
        <v>1</v>
      </c>
      <c r="P436" s="380">
        <f>IFERROR(VLOOKUP($G436,'321買'!$A:$G,7,0),"'沒有資料'")</f>
        <v>783</v>
      </c>
      <c r="R436" s="297">
        <f>IFERROR(RANK(VLOOKUP($G436,連買!$A:$D,4,0),連買!$D:$D,0),"'沒有資料'")</f>
        <v>618</v>
      </c>
      <c r="S436" s="34">
        <v>1.2</v>
      </c>
      <c r="U436" s="95">
        <f>S436/V436</f>
        <v>8.0267558528428096E-2</v>
      </c>
      <c r="V436" s="36">
        <v>14.95</v>
      </c>
      <c r="W436" s="66">
        <v>14.55</v>
      </c>
      <c r="X436" s="15">
        <f>V436-W436</f>
        <v>0.39999999999999858</v>
      </c>
      <c r="Y436" s="63">
        <f>X436/W436</f>
        <v>2.7491408934707806E-2</v>
      </c>
      <c r="Z436" s="114" t="s">
        <v>1824</v>
      </c>
      <c r="AA436" s="126"/>
      <c r="AD436" s="22" t="s">
        <v>110</v>
      </c>
      <c r="AE436" s="84">
        <v>43742</v>
      </c>
      <c r="AG436" s="33">
        <f>AF436-AE436</f>
        <v>-43742</v>
      </c>
      <c r="AH436" s="119" t="s">
        <v>1128</v>
      </c>
      <c r="AI436" s="264"/>
    </row>
    <row r="437" spans="1:46" ht="16.5" customHeight="1">
      <c r="A437" s="146">
        <v>332</v>
      </c>
      <c r="B437" s="80">
        <v>-76</v>
      </c>
      <c r="C437" s="80">
        <v>-79</v>
      </c>
      <c r="D437" s="80">
        <v>-1</v>
      </c>
      <c r="E437" s="80">
        <v>-28</v>
      </c>
      <c r="F437" s="6">
        <v>2.0499999999999998</v>
      </c>
      <c r="G437" s="79">
        <v>1605</v>
      </c>
      <c r="H437" s="50" t="s">
        <v>1410</v>
      </c>
      <c r="I437" s="22" t="s">
        <v>110</v>
      </c>
      <c r="J437" s="323">
        <v>69.13</v>
      </c>
      <c r="K437" s="323">
        <v>25.34</v>
      </c>
      <c r="L437" s="323">
        <v>5.26</v>
      </c>
      <c r="N437" s="318">
        <f>R437+K437+J437+L437</f>
        <v>717.73</v>
      </c>
      <c r="O437" s="81">
        <f>IFERROR(VLOOKUP($G437,'321買'!A:E,3,0),"'沒有資料'")</f>
        <v>1</v>
      </c>
      <c r="P437" s="380">
        <f>IFERROR(VLOOKUP($G437,'321買'!$A:$G,7,0),"'沒有資料'")</f>
        <v>783</v>
      </c>
      <c r="R437" s="297">
        <f>IFERROR(RANK(VLOOKUP($G437,連買!$A:$D,4,0),連買!$D:$D,0),"'沒有資料'")</f>
        <v>618</v>
      </c>
      <c r="S437" s="34">
        <v>1.2</v>
      </c>
      <c r="U437" s="95">
        <f>S437/V437</f>
        <v>4.0133779264214048E-2</v>
      </c>
      <c r="V437" s="36">
        <f>14.95*2</f>
        <v>29.9</v>
      </c>
      <c r="W437" s="66">
        <f>14*2</f>
        <v>28</v>
      </c>
      <c r="X437" s="15">
        <f>V437-W437</f>
        <v>1.8999999999999986</v>
      </c>
      <c r="Y437" s="63">
        <f>X437/W437</f>
        <v>6.785714285714281E-2</v>
      </c>
      <c r="Z437" s="114" t="s">
        <v>1825</v>
      </c>
      <c r="AA437" s="126"/>
      <c r="AD437" s="22" t="s">
        <v>110</v>
      </c>
      <c r="AE437" s="84">
        <v>43782</v>
      </c>
      <c r="AG437" s="33">
        <f>AF437-AE437</f>
        <v>-43782</v>
      </c>
      <c r="AH437" s="119" t="s">
        <v>1514</v>
      </c>
      <c r="AI437" s="264"/>
    </row>
    <row r="438" spans="1:46" ht="16.5" customHeight="1">
      <c r="A438" s="119"/>
      <c r="B438" s="80"/>
      <c r="C438" s="80"/>
      <c r="D438" s="80"/>
      <c r="E438" s="80"/>
      <c r="F438" s="6"/>
      <c r="G438" s="41"/>
      <c r="H438" s="5"/>
      <c r="I438" s="22"/>
      <c r="J438" s="73"/>
      <c r="K438" s="323"/>
      <c r="L438" s="323"/>
      <c r="N438" s="318"/>
      <c r="S438" s="34"/>
      <c r="U438" s="95"/>
      <c r="V438" s="13">
        <f>SUM(V433:V437)</f>
        <v>134.55000000000001</v>
      </c>
      <c r="W438" s="45">
        <f>SUM(W433:W437)</f>
        <v>131.4</v>
      </c>
      <c r="X438" s="15">
        <f t="shared" si="96"/>
        <v>3.1500000000000057</v>
      </c>
      <c r="Y438" s="63">
        <f t="shared" si="97"/>
        <v>2.3972602739726071E-2</v>
      </c>
      <c r="Z438" s="114"/>
      <c r="AA438" s="126"/>
      <c r="AD438" s="22"/>
      <c r="AE438" s="118"/>
      <c r="AF438" s="129"/>
      <c r="AG438" s="33"/>
      <c r="AH438" s="119" t="s">
        <v>1790</v>
      </c>
      <c r="AI438" s="264"/>
    </row>
    <row r="439" spans="1:46">
      <c r="A439" s="130" t="s">
        <v>1732</v>
      </c>
      <c r="B439" s="91" t="s">
        <v>1588</v>
      </c>
      <c r="C439" s="91" t="s">
        <v>1589</v>
      </c>
      <c r="D439" s="91" t="s">
        <v>1590</v>
      </c>
      <c r="E439" s="91" t="s">
        <v>1591</v>
      </c>
      <c r="F439" s="8" t="s">
        <v>1066</v>
      </c>
      <c r="G439" s="26" t="s">
        <v>3691</v>
      </c>
      <c r="H439" s="55" t="s">
        <v>322</v>
      </c>
      <c r="I439" s="1" t="s">
        <v>69</v>
      </c>
      <c r="J439" s="317" t="s">
        <v>1467</v>
      </c>
      <c r="K439" s="317" t="s">
        <v>1157</v>
      </c>
      <c r="L439" s="317" t="s">
        <v>284</v>
      </c>
      <c r="M439" s="317"/>
      <c r="N439" s="317" t="s">
        <v>1065</v>
      </c>
      <c r="P439" s="374" t="s">
        <v>1059</v>
      </c>
      <c r="R439" s="151" t="s">
        <v>1059</v>
      </c>
      <c r="S439" s="10" t="s">
        <v>66</v>
      </c>
      <c r="U439" s="68" t="s">
        <v>1502</v>
      </c>
      <c r="V439" s="28" t="s">
        <v>2</v>
      </c>
      <c r="W439" s="17" t="s">
        <v>1405</v>
      </c>
      <c r="X439" s="14" t="s">
        <v>5</v>
      </c>
      <c r="Y439" s="21" t="s">
        <v>3</v>
      </c>
      <c r="Z439" s="25" t="s">
        <v>105</v>
      </c>
      <c r="AA439" s="126"/>
      <c r="AD439" s="1" t="s">
        <v>69</v>
      </c>
      <c r="AE439" s="71" t="s">
        <v>1406</v>
      </c>
      <c r="AF439" s="72" t="s">
        <v>1163</v>
      </c>
      <c r="AG439" s="32" t="s">
        <v>1164</v>
      </c>
      <c r="AH439" s="46" t="s">
        <v>1751</v>
      </c>
    </row>
    <row r="440" spans="1:46" ht="16.5" customHeight="1">
      <c r="B440" s="80">
        <v>-49</v>
      </c>
      <c r="C440" s="80">
        <v>-36</v>
      </c>
      <c r="D440" s="80">
        <v>-49</v>
      </c>
      <c r="E440" s="80">
        <v>-36</v>
      </c>
      <c r="F440" s="57">
        <v>12.88</v>
      </c>
      <c r="G440" s="79">
        <v>1789</v>
      </c>
      <c r="H440" s="50" t="s">
        <v>1410</v>
      </c>
      <c r="I440" s="22" t="s">
        <v>130</v>
      </c>
      <c r="J440" s="323">
        <v>78.17</v>
      </c>
      <c r="K440" s="323">
        <v>3.94</v>
      </c>
      <c r="L440" s="73">
        <v>1.56</v>
      </c>
      <c r="N440" s="73">
        <f>R440+K440+J440+L440</f>
        <v>1645.67</v>
      </c>
      <c r="O440" s="81">
        <f>IFERROR(VLOOKUP($G440,'321買'!A:E,3,0),"'沒有資料'")</f>
        <v>0</v>
      </c>
      <c r="P440" s="380">
        <f>IFERROR(VLOOKUP($G440,'321買'!$A:$G,7,0),"'沒有資料'")</f>
        <v>911</v>
      </c>
      <c r="R440" s="297">
        <f>IFERROR(RANK(VLOOKUP($G440,連買!$A:$D,4,0),連買!$D:$D,0),"'沒有資料'")</f>
        <v>1562</v>
      </c>
      <c r="S440" s="34">
        <v>0.49</v>
      </c>
      <c r="U440" s="57">
        <f>S440/V440</f>
        <v>4.5539033457249068E-3</v>
      </c>
      <c r="V440" s="13">
        <v>107.6</v>
      </c>
      <c r="W440" s="45">
        <v>103.27</v>
      </c>
      <c r="X440" s="15">
        <f t="shared" ref="X440:X445" si="98">V440-W440</f>
        <v>4.3299999999999983</v>
      </c>
      <c r="Y440" s="63">
        <f t="shared" ref="Y440:Y445" si="99">X440/W440</f>
        <v>4.1928924179335705E-2</v>
      </c>
      <c r="Z440" s="114" t="s">
        <v>1794</v>
      </c>
      <c r="AA440" s="126"/>
      <c r="AD440" s="22" t="s">
        <v>130</v>
      </c>
      <c r="AF440" s="83">
        <v>43789</v>
      </c>
      <c r="AG440" s="33">
        <f>AF440-AE440</f>
        <v>43789</v>
      </c>
      <c r="AH440" s="119"/>
    </row>
    <row r="441" spans="1:46" s="7" customFormat="1" ht="17.100000000000001" customHeight="1">
      <c r="A441" s="128"/>
      <c r="B441" s="79">
        <v>0.6</v>
      </c>
      <c r="C441" s="80">
        <v>-34</v>
      </c>
      <c r="D441" s="79">
        <v>0.6</v>
      </c>
      <c r="E441" s="80">
        <v>-34</v>
      </c>
      <c r="F441" s="6">
        <v>1.53</v>
      </c>
      <c r="G441" s="79">
        <v>2317</v>
      </c>
      <c r="H441" s="50" t="s">
        <v>1410</v>
      </c>
      <c r="I441" s="22" t="s">
        <v>4</v>
      </c>
      <c r="J441" s="326">
        <v>69.78</v>
      </c>
      <c r="K441" s="323">
        <v>42.11</v>
      </c>
      <c r="L441" s="323">
        <v>1.63</v>
      </c>
      <c r="M441" s="318"/>
      <c r="N441" s="318">
        <f>R441+K441+J441+L441</f>
        <v>286.52</v>
      </c>
      <c r="O441" s="81">
        <f>IFERROR(VLOOKUP($G441,'321買'!A:E,3,0),"'沒有資料'")</f>
        <v>0</v>
      </c>
      <c r="P441" s="380">
        <f>IFERROR(VLOOKUP($G441,'321買'!$A:$G,7,0),"'沒有資料'")</f>
        <v>911</v>
      </c>
      <c r="Q441" s="302"/>
      <c r="R441" s="297">
        <f>IFERROR(RANK(VLOOKUP($G441,連買!$A:$D,4,0),連買!$D:$D,0),"'沒有資料'")</f>
        <v>173</v>
      </c>
      <c r="S441" s="198">
        <v>4</v>
      </c>
      <c r="T441" s="354"/>
      <c r="U441" s="95">
        <f>S441/V441</f>
        <v>5.5248618784530384E-2</v>
      </c>
      <c r="V441" s="13">
        <f>90.5*0.8</f>
        <v>72.400000000000006</v>
      </c>
      <c r="W441" s="45">
        <f>94.93-4-4*0.8</f>
        <v>87.73</v>
      </c>
      <c r="X441" s="45">
        <f t="shared" si="98"/>
        <v>-15.329999999999998</v>
      </c>
      <c r="Y441" s="76">
        <f t="shared" si="99"/>
        <v>-0.17474068163684028</v>
      </c>
      <c r="Z441" s="115" t="s">
        <v>1777</v>
      </c>
      <c r="AA441" s="126"/>
      <c r="AB441" s="251"/>
      <c r="AC441" s="410"/>
      <c r="AD441" s="22" t="s">
        <v>4</v>
      </c>
      <c r="AE441" s="84"/>
      <c r="AF441" s="83">
        <v>43777</v>
      </c>
      <c r="AG441" s="33">
        <f>AF441-AE441</f>
        <v>43777</v>
      </c>
      <c r="AH441" s="119"/>
      <c r="AI441" s="128"/>
      <c r="AJ441" s="37"/>
      <c r="AK441" s="37"/>
      <c r="AL441" s="37"/>
      <c r="AM441" s="37"/>
      <c r="AN441" s="37"/>
      <c r="AO441" s="264"/>
      <c r="AP441" s="264"/>
    </row>
    <row r="442" spans="1:46">
      <c r="B442" s="79">
        <v>100</v>
      </c>
      <c r="C442" s="79">
        <v>67</v>
      </c>
      <c r="D442" s="79">
        <v>100</v>
      </c>
      <c r="E442" s="79">
        <v>67</v>
      </c>
      <c r="F442" s="57">
        <v>18.75</v>
      </c>
      <c r="G442" s="81">
        <v>9940</v>
      </c>
      <c r="H442" s="50" t="s">
        <v>1410</v>
      </c>
      <c r="I442" s="22" t="s">
        <v>92</v>
      </c>
      <c r="J442" s="323">
        <v>80.25</v>
      </c>
      <c r="K442" s="73">
        <v>5.08</v>
      </c>
      <c r="L442" s="73">
        <v>0.35</v>
      </c>
      <c r="N442" s="318">
        <f>R442+K442+J442+L442</f>
        <v>573.67999999999995</v>
      </c>
      <c r="O442" s="81">
        <f>IFERROR(VLOOKUP($G442,'321買'!A:E,3,0),"'沒有資料'")</f>
        <v>0</v>
      </c>
      <c r="P442" s="380">
        <f>IFERROR(VLOOKUP($G442,'321買'!$A:$G,7,0),"'沒有資料'")</f>
        <v>911</v>
      </c>
      <c r="R442" s="297">
        <f>IFERROR(RANK(VLOOKUP($G442,連買!$A:$D,4,0),連買!$D:$D,0),"'沒有資料'")</f>
        <v>488</v>
      </c>
      <c r="S442" s="34">
        <v>1.3</v>
      </c>
      <c r="U442" s="57">
        <f>S442/V442</f>
        <v>2.0280811232449302E-2</v>
      </c>
      <c r="V442" s="13">
        <v>64.099999999999994</v>
      </c>
      <c r="W442" s="45">
        <v>63.2</v>
      </c>
      <c r="X442" s="70">
        <f t="shared" si="98"/>
        <v>0.89999999999999147</v>
      </c>
      <c r="Y442" s="63">
        <f t="shared" si="99"/>
        <v>1.4240506329113788E-2</v>
      </c>
      <c r="Z442" s="114" t="s">
        <v>1635</v>
      </c>
      <c r="AA442" s="126"/>
      <c r="AD442" s="22" t="s">
        <v>92</v>
      </c>
      <c r="AF442" s="83">
        <v>43776</v>
      </c>
      <c r="AG442" s="33">
        <f>AF442-AE442</f>
        <v>43776</v>
      </c>
      <c r="AH442" s="119"/>
    </row>
    <row r="443" spans="1:46">
      <c r="B443" s="79">
        <v>11</v>
      </c>
      <c r="C443" s="79">
        <v>7</v>
      </c>
      <c r="D443" s="79">
        <v>1</v>
      </c>
      <c r="E443" s="80">
        <v>-11</v>
      </c>
      <c r="F443" s="57">
        <v>24.12</v>
      </c>
      <c r="G443" s="81">
        <v>5347</v>
      </c>
      <c r="H443" s="50" t="s">
        <v>1410</v>
      </c>
      <c r="I443" s="16" t="s">
        <v>33</v>
      </c>
      <c r="J443" s="73">
        <v>91.58</v>
      </c>
      <c r="K443" s="73">
        <v>38.26</v>
      </c>
      <c r="L443" s="73">
        <v>0.74</v>
      </c>
      <c r="N443" s="73">
        <f>R443+K443+J443+L443</f>
        <v>1753.58</v>
      </c>
      <c r="O443" s="81">
        <f>IFERROR(VLOOKUP($G443,'321買'!A:E,3,0),"'沒有資料'")</f>
        <v>2</v>
      </c>
      <c r="P443" s="380">
        <f>IFERROR(VLOOKUP($G443,'321買'!$A:$G,7,0),"'沒有資料'")</f>
        <v>706</v>
      </c>
      <c r="R443" s="297">
        <f>IFERROR(RANK(VLOOKUP($G443,連買!$A:$D,4,0),連買!$D:$D,0),"'沒有資料'")</f>
        <v>1623</v>
      </c>
      <c r="S443" s="34">
        <v>3.2</v>
      </c>
      <c r="U443" s="57">
        <f>S443/V443</f>
        <v>4.7976011994002997E-2</v>
      </c>
      <c r="V443" s="13">
        <v>66.7</v>
      </c>
      <c r="W443" s="45">
        <v>62.8</v>
      </c>
      <c r="X443" s="15">
        <f t="shared" si="98"/>
        <v>3.9000000000000057</v>
      </c>
      <c r="Y443" s="63">
        <f t="shared" si="99"/>
        <v>6.2101910828025568E-2</v>
      </c>
      <c r="Z443" s="100" t="s">
        <v>1752</v>
      </c>
      <c r="AA443" s="126"/>
      <c r="AD443" s="16" t="s">
        <v>33</v>
      </c>
      <c r="AF443" s="83">
        <v>43774</v>
      </c>
      <c r="AG443" s="33">
        <f>AF443-AE443</f>
        <v>43774</v>
      </c>
      <c r="AH443" s="121"/>
    </row>
    <row r="444" spans="1:46">
      <c r="B444" s="80">
        <v>-211</v>
      </c>
      <c r="C444" s="94">
        <v>-5489</v>
      </c>
      <c r="D444" s="80">
        <v>-211</v>
      </c>
      <c r="E444" s="94">
        <v>-5489</v>
      </c>
      <c r="F444" s="6">
        <v>-13.71</v>
      </c>
      <c r="G444" s="79">
        <v>3545</v>
      </c>
      <c r="H444" s="50" t="s">
        <v>1410</v>
      </c>
      <c r="I444" s="22" t="s">
        <v>349</v>
      </c>
      <c r="J444" s="323">
        <v>37.869999999999997</v>
      </c>
      <c r="K444" s="323">
        <v>19.09</v>
      </c>
      <c r="L444" s="323">
        <v>22.04</v>
      </c>
      <c r="N444" s="318">
        <f>R444+K444+J444+L444</f>
        <v>131</v>
      </c>
      <c r="O444" s="81">
        <f>IFERROR(VLOOKUP($G444,'321買'!A:E,3,0),"'沒有資料'")</f>
        <v>56</v>
      </c>
      <c r="P444" s="380">
        <f>IFERROR(VLOOKUP($G444,'321買'!$A:$G,7,0),"'沒有資料'")</f>
        <v>53</v>
      </c>
      <c r="R444" s="297">
        <f>IFERROR(RANK(VLOOKUP($G444,連買!$A:$D,4,0),連買!$D:$D,0),"'沒有資料'")</f>
        <v>52</v>
      </c>
      <c r="S444" s="34">
        <v>0.5</v>
      </c>
      <c r="U444" s="95">
        <f>S444/V444</f>
        <v>5.208333333333333E-3</v>
      </c>
      <c r="V444" s="13">
        <v>96</v>
      </c>
      <c r="W444" s="45">
        <v>94.67</v>
      </c>
      <c r="X444" s="15">
        <f t="shared" si="98"/>
        <v>1.3299999999999983</v>
      </c>
      <c r="Y444" s="63">
        <f t="shared" si="99"/>
        <v>1.404880109855285E-2</v>
      </c>
      <c r="Z444" s="114" t="s">
        <v>1767</v>
      </c>
      <c r="AA444" s="126"/>
      <c r="AD444" s="22" t="s">
        <v>349</v>
      </c>
      <c r="AF444" s="83">
        <v>43774</v>
      </c>
      <c r="AG444" s="33">
        <f>AF444-AE444</f>
        <v>43774</v>
      </c>
      <c r="AH444" s="119"/>
      <c r="AK444" s="11"/>
      <c r="AL444" s="11"/>
      <c r="AM444" s="11"/>
      <c r="AN444" s="11"/>
      <c r="AQ444" s="7"/>
      <c r="AR444" s="4"/>
    </row>
    <row r="445" spans="1:46">
      <c r="A445" s="130"/>
      <c r="B445" s="91"/>
      <c r="C445" s="91"/>
      <c r="D445" s="91"/>
      <c r="E445" s="91"/>
      <c r="F445" s="8"/>
      <c r="G445" s="25"/>
      <c r="H445" s="55"/>
      <c r="I445" s="1"/>
      <c r="J445" s="317"/>
      <c r="K445" s="317"/>
      <c r="L445" s="317"/>
      <c r="M445" s="317"/>
      <c r="N445" s="317"/>
      <c r="S445" s="10"/>
      <c r="U445" s="68"/>
      <c r="V445" s="28">
        <f>SUM(V440:V444)</f>
        <v>406.8</v>
      </c>
      <c r="W445" s="17">
        <f>SUM(W440:W444)</f>
        <v>411.67</v>
      </c>
      <c r="X445" s="15">
        <f t="shared" si="98"/>
        <v>-4.8700000000000045</v>
      </c>
      <c r="Y445" s="76">
        <f t="shared" si="99"/>
        <v>-1.1829863725799802E-2</v>
      </c>
      <c r="Z445" s="25"/>
      <c r="AA445" s="126"/>
      <c r="AD445" s="1"/>
      <c r="AE445" s="71"/>
      <c r="AF445" s="72"/>
      <c r="AG445" s="32"/>
      <c r="AH445" s="46"/>
    </row>
    <row r="446" spans="1:46">
      <c r="A446" s="130" t="s">
        <v>1732</v>
      </c>
      <c r="B446" s="91" t="s">
        <v>1588</v>
      </c>
      <c r="C446" s="91" t="s">
        <v>1589</v>
      </c>
      <c r="D446" s="91" t="s">
        <v>1590</v>
      </c>
      <c r="E446" s="91" t="s">
        <v>1591</v>
      </c>
      <c r="F446" s="8" t="s">
        <v>1066</v>
      </c>
      <c r="G446" s="26" t="s">
        <v>3691</v>
      </c>
      <c r="H446" s="55" t="s">
        <v>322</v>
      </c>
      <c r="I446" s="1" t="s">
        <v>69</v>
      </c>
      <c r="J446" s="317" t="s">
        <v>1467</v>
      </c>
      <c r="K446" s="317" t="s">
        <v>1157</v>
      </c>
      <c r="L446" s="317" t="s">
        <v>284</v>
      </c>
      <c r="M446" s="317"/>
      <c r="N446" s="317" t="s">
        <v>1065</v>
      </c>
      <c r="P446" s="374" t="s">
        <v>1059</v>
      </c>
      <c r="R446" s="151" t="s">
        <v>1059</v>
      </c>
      <c r="S446" s="10" t="s">
        <v>66</v>
      </c>
      <c r="U446" s="68" t="s">
        <v>1502</v>
      </c>
      <c r="V446" s="28" t="s">
        <v>2</v>
      </c>
      <c r="W446" s="17" t="s">
        <v>1405</v>
      </c>
      <c r="X446" s="14" t="s">
        <v>5</v>
      </c>
      <c r="Y446" s="21" t="s">
        <v>3</v>
      </c>
      <c r="Z446" s="25" t="s">
        <v>105</v>
      </c>
      <c r="AA446" s="126"/>
      <c r="AD446" s="1" t="s">
        <v>69</v>
      </c>
      <c r="AE446" s="71" t="s">
        <v>1406</v>
      </c>
      <c r="AF446" s="72" t="s">
        <v>1163</v>
      </c>
      <c r="AG446" s="32" t="s">
        <v>1164</v>
      </c>
    </row>
    <row r="447" spans="1:46" s="7" customFormat="1" ht="17.100000000000001" customHeight="1">
      <c r="A447" s="123"/>
      <c r="B447" s="80">
        <v>-49</v>
      </c>
      <c r="C447" s="80">
        <v>-36</v>
      </c>
      <c r="D447" s="80">
        <v>-49</v>
      </c>
      <c r="E447" s="80">
        <v>-36</v>
      </c>
      <c r="F447" s="57">
        <v>12.88</v>
      </c>
      <c r="G447" s="79">
        <v>1789</v>
      </c>
      <c r="H447" s="50" t="s">
        <v>1410</v>
      </c>
      <c r="I447" s="22" t="s">
        <v>130</v>
      </c>
      <c r="J447" s="323">
        <v>78.17</v>
      </c>
      <c r="K447" s="323">
        <v>3.95</v>
      </c>
      <c r="L447" s="323">
        <v>1.55</v>
      </c>
      <c r="M447" s="318"/>
      <c r="N447" s="73">
        <f>R447+K447+J447+L447</f>
        <v>1645.67</v>
      </c>
      <c r="O447" s="81">
        <f>IFERROR(VLOOKUP($G447,'321買'!A:E,3,0),"'沒有資料'")</f>
        <v>0</v>
      </c>
      <c r="P447" s="380">
        <f>IFERROR(VLOOKUP($G447,'321買'!$A:$G,7,0),"'沒有資料'")</f>
        <v>911</v>
      </c>
      <c r="Q447" s="302"/>
      <c r="R447" s="297">
        <f>IFERROR(RANK(VLOOKUP($G447,連買!$A:$D,4,0),連買!$D:$D,0),"'沒有資料'")</f>
        <v>1562</v>
      </c>
      <c r="S447" s="34">
        <v>0.49</v>
      </c>
      <c r="T447" s="354"/>
      <c r="U447" s="57">
        <f>S447/V447</f>
        <v>1.8215613382899627E-2</v>
      </c>
      <c r="V447" s="13">
        <v>26.9</v>
      </c>
      <c r="W447" s="66">
        <f>32.54-0.48-0.49</f>
        <v>31.570000000000004</v>
      </c>
      <c r="X447" s="15">
        <f>V447-W447</f>
        <v>-4.6700000000000053</v>
      </c>
      <c r="Y447" s="76">
        <f>X447/W447</f>
        <v>-0.14792524548622124</v>
      </c>
      <c r="Z447" s="115" t="s">
        <v>1795</v>
      </c>
      <c r="AA447" s="126"/>
      <c r="AB447" s="251"/>
      <c r="AC447" s="410"/>
      <c r="AD447" s="22" t="s">
        <v>130</v>
      </c>
      <c r="AE447" s="84">
        <v>43216</v>
      </c>
      <c r="AF447" s="83"/>
      <c r="AG447" s="33">
        <f>AF447-AE447</f>
        <v>-43216</v>
      </c>
      <c r="AH447" s="119" t="s">
        <v>1129</v>
      </c>
      <c r="AI447" s="123"/>
      <c r="AJ447" s="33"/>
      <c r="AK447" s="11"/>
      <c r="AL447" s="11"/>
      <c r="AM447" s="11"/>
      <c r="AN447" s="11"/>
      <c r="AO447" s="264"/>
      <c r="AP447" s="264"/>
      <c r="AR447" s="4"/>
      <c r="AS447" s="264"/>
      <c r="AT447" s="264"/>
    </row>
    <row r="448" spans="1:46" ht="16.5" customHeight="1">
      <c r="A448" s="147"/>
      <c r="B448" s="80">
        <v>-49</v>
      </c>
      <c r="C448" s="80">
        <v>-36</v>
      </c>
      <c r="D448" s="80">
        <v>-49</v>
      </c>
      <c r="E448" s="80">
        <v>-36</v>
      </c>
      <c r="F448" s="57">
        <v>12.88</v>
      </c>
      <c r="G448" s="79">
        <v>1789</v>
      </c>
      <c r="H448" s="50" t="s">
        <v>1410</v>
      </c>
      <c r="I448" s="22" t="s">
        <v>130</v>
      </c>
      <c r="J448" s="73">
        <v>78.22</v>
      </c>
      <c r="K448" s="323">
        <v>3.94</v>
      </c>
      <c r="L448" s="323">
        <v>1.53</v>
      </c>
      <c r="N448" s="73">
        <f>R448+K448+J448+L448</f>
        <v>1645.69</v>
      </c>
      <c r="O448" s="81">
        <f>IFERROR(VLOOKUP($G448,'321買'!A:E,3,0),"'沒有資料'")</f>
        <v>0</v>
      </c>
      <c r="P448" s="380">
        <f>IFERROR(VLOOKUP($G448,'321買'!$A:$G,7,0),"'沒有資料'")</f>
        <v>911</v>
      </c>
      <c r="R448" s="297">
        <f>IFERROR(RANK(VLOOKUP($G448,連買!$A:$D,4,0),連買!$D:$D,0),"'沒有資料'")</f>
        <v>1562</v>
      </c>
      <c r="S448" s="34">
        <v>0.49</v>
      </c>
      <c r="U448" s="57">
        <f>S448/V448</f>
        <v>1.8215613382899627E-2</v>
      </c>
      <c r="V448" s="36">
        <v>26.9</v>
      </c>
      <c r="W448" s="66">
        <v>24.05</v>
      </c>
      <c r="X448" s="15">
        <f>V448-W448</f>
        <v>2.8499999999999979</v>
      </c>
      <c r="Y448" s="63">
        <f>X448/W448</f>
        <v>0.11850311850311841</v>
      </c>
      <c r="Z448" s="114" t="s">
        <v>1796</v>
      </c>
      <c r="AA448" s="126"/>
      <c r="AD448" s="22" t="s">
        <v>130</v>
      </c>
      <c r="AE448" s="84">
        <v>43735</v>
      </c>
      <c r="AG448" s="33">
        <f>AF448-AE448</f>
        <v>-43735</v>
      </c>
      <c r="AH448" s="119"/>
      <c r="AI448" s="264"/>
    </row>
    <row r="449" spans="1:46" ht="16.5" customHeight="1">
      <c r="A449" s="147"/>
      <c r="B449" s="80">
        <v>-49</v>
      </c>
      <c r="C449" s="80">
        <v>-36</v>
      </c>
      <c r="D449" s="80">
        <v>-49</v>
      </c>
      <c r="E449" s="80">
        <v>-36</v>
      </c>
      <c r="F449" s="57">
        <v>12.88</v>
      </c>
      <c r="G449" s="79">
        <v>1789</v>
      </c>
      <c r="H449" s="50" t="s">
        <v>1410</v>
      </c>
      <c r="I449" s="22" t="s">
        <v>130</v>
      </c>
      <c r="J449" s="73">
        <v>78.22</v>
      </c>
      <c r="K449" s="323">
        <v>3.94</v>
      </c>
      <c r="L449" s="323">
        <v>1.53</v>
      </c>
      <c r="N449" s="73">
        <f>R449+K449+J449+L449</f>
        <v>1645.69</v>
      </c>
      <c r="O449" s="81">
        <f>IFERROR(VLOOKUP($G449,'321買'!A:E,3,0),"'沒有資料'")</f>
        <v>0</v>
      </c>
      <c r="P449" s="380">
        <f>IFERROR(VLOOKUP($G449,'321買'!$A:$G,7,0),"'沒有資料'")</f>
        <v>911</v>
      </c>
      <c r="R449" s="297">
        <f>IFERROR(RANK(VLOOKUP($G449,連買!$A:$D,4,0),連買!$D:$D,0),"'沒有資料'")</f>
        <v>1562</v>
      </c>
      <c r="S449" s="34">
        <v>0.49</v>
      </c>
      <c r="U449" s="57">
        <f>S449/V449</f>
        <v>1.8215613382899627E-2</v>
      </c>
      <c r="V449" s="36">
        <v>26.9</v>
      </c>
      <c r="W449" s="66">
        <v>23.9</v>
      </c>
      <c r="X449" s="15">
        <f>V449-W449</f>
        <v>3</v>
      </c>
      <c r="Y449" s="63">
        <f>X449/W449</f>
        <v>0.12552301255230125</v>
      </c>
      <c r="Z449" s="114" t="s">
        <v>1797</v>
      </c>
      <c r="AA449" s="126"/>
      <c r="AD449" s="22" t="s">
        <v>130</v>
      </c>
      <c r="AE449" s="84">
        <v>43710</v>
      </c>
      <c r="AG449" s="33">
        <f>AF449-AE449</f>
        <v>-43710</v>
      </c>
      <c r="AH449" s="119"/>
      <c r="AI449" s="264"/>
    </row>
    <row r="450" spans="1:46" ht="16.5" customHeight="1">
      <c r="B450" s="80">
        <v>-49</v>
      </c>
      <c r="C450" s="80">
        <v>-36</v>
      </c>
      <c r="D450" s="80">
        <v>-49</v>
      </c>
      <c r="E450" s="80">
        <v>-36</v>
      </c>
      <c r="F450" s="57">
        <v>12.88</v>
      </c>
      <c r="G450" s="79">
        <v>1789</v>
      </c>
      <c r="H450" s="50" t="s">
        <v>1410</v>
      </c>
      <c r="I450" s="22" t="s">
        <v>130</v>
      </c>
      <c r="J450" s="323">
        <v>78.17</v>
      </c>
      <c r="K450" s="323">
        <v>3.94</v>
      </c>
      <c r="L450" s="73">
        <v>1.56</v>
      </c>
      <c r="N450" s="73">
        <f>R450+K450+J450+L450</f>
        <v>1645.67</v>
      </c>
      <c r="O450" s="81">
        <f>IFERROR(VLOOKUP($G450,'321買'!A:E,3,0),"'沒有資料'")</f>
        <v>0</v>
      </c>
      <c r="P450" s="380">
        <f>IFERROR(VLOOKUP($G450,'321買'!$A:$G,7,0),"'沒有資料'")</f>
        <v>911</v>
      </c>
      <c r="R450" s="297">
        <f>IFERROR(RANK(VLOOKUP($G450,連買!$A:$D,4,0),連買!$D:$D,0),"'沒有資料'")</f>
        <v>1562</v>
      </c>
      <c r="S450" s="34">
        <v>0.49</v>
      </c>
      <c r="U450" s="57">
        <f>S450/V450</f>
        <v>1.8215613382899627E-2</v>
      </c>
      <c r="V450" s="36">
        <v>26.9</v>
      </c>
      <c r="W450" s="66">
        <v>23.75</v>
      </c>
      <c r="X450" s="15">
        <f>V450-W450</f>
        <v>3.1499999999999986</v>
      </c>
      <c r="Y450" s="63">
        <f>X450/W450</f>
        <v>0.13263157894736835</v>
      </c>
      <c r="Z450" s="114" t="s">
        <v>1798</v>
      </c>
      <c r="AA450" s="126"/>
      <c r="AD450" s="22" t="s">
        <v>130</v>
      </c>
      <c r="AE450" s="84">
        <v>43698</v>
      </c>
      <c r="AG450" s="33">
        <f>AF450-AE450</f>
        <v>-43698</v>
      </c>
      <c r="AH450" s="119"/>
    </row>
    <row r="451" spans="1:46" s="7" customFormat="1" ht="17.100000000000001" customHeight="1">
      <c r="A451" s="123"/>
      <c r="B451" s="80"/>
      <c r="C451" s="80"/>
      <c r="D451" s="80"/>
      <c r="E451" s="80"/>
      <c r="F451" s="57"/>
      <c r="G451" s="41"/>
      <c r="H451" s="50"/>
      <c r="I451" s="22"/>
      <c r="J451" s="323"/>
      <c r="K451" s="323"/>
      <c r="L451" s="323"/>
      <c r="M451" s="318"/>
      <c r="N451" s="73"/>
      <c r="O451" s="350"/>
      <c r="P451" s="380"/>
      <c r="Q451" s="302"/>
      <c r="R451" s="151"/>
      <c r="S451" s="34"/>
      <c r="T451" s="354"/>
      <c r="U451" s="57"/>
      <c r="V451" s="13">
        <f>SUM(V447:V450)</f>
        <v>107.6</v>
      </c>
      <c r="W451" s="45">
        <f>SUM(W447:W450)</f>
        <v>103.27000000000001</v>
      </c>
      <c r="X451" s="15">
        <f>V451-W451</f>
        <v>4.3299999999999841</v>
      </c>
      <c r="Y451" s="63">
        <f>X451/W451</f>
        <v>4.1928924179335567E-2</v>
      </c>
      <c r="Z451" s="115"/>
      <c r="AA451" s="126"/>
      <c r="AB451" s="251"/>
      <c r="AC451" s="410"/>
      <c r="AD451" s="22"/>
      <c r="AE451" s="84"/>
      <c r="AF451" s="83"/>
      <c r="AG451" s="33"/>
      <c r="AH451" s="119"/>
      <c r="AI451" s="123"/>
      <c r="AJ451" s="33"/>
      <c r="AK451" s="11"/>
      <c r="AL451" s="11"/>
      <c r="AM451" s="11"/>
      <c r="AN451" s="11"/>
      <c r="AO451" s="264"/>
      <c r="AP451" s="264"/>
      <c r="AR451" s="4"/>
      <c r="AS451" s="264"/>
      <c r="AT451" s="264"/>
    </row>
    <row r="452" spans="1:46">
      <c r="A452" s="130" t="s">
        <v>1732</v>
      </c>
      <c r="B452" s="91" t="s">
        <v>1588</v>
      </c>
      <c r="C452" s="91" t="s">
        <v>1589</v>
      </c>
      <c r="D452" s="91" t="s">
        <v>1590</v>
      </c>
      <c r="E452" s="91" t="s">
        <v>1591</v>
      </c>
      <c r="F452" s="8" t="s">
        <v>1066</v>
      </c>
      <c r="G452" s="25" t="s">
        <v>388</v>
      </c>
      <c r="H452" s="55" t="s">
        <v>322</v>
      </c>
      <c r="I452" s="1" t="s">
        <v>69</v>
      </c>
      <c r="J452" s="317" t="s">
        <v>1467</v>
      </c>
      <c r="K452" s="317" t="s">
        <v>1157</v>
      </c>
      <c r="L452" s="317" t="s">
        <v>284</v>
      </c>
      <c r="M452" s="317"/>
      <c r="N452" s="317" t="s">
        <v>1065</v>
      </c>
      <c r="P452" s="374" t="s">
        <v>1059</v>
      </c>
      <c r="R452" s="151" t="s">
        <v>1059</v>
      </c>
      <c r="S452" s="10" t="s">
        <v>66</v>
      </c>
      <c r="U452" s="68" t="s">
        <v>1502</v>
      </c>
      <c r="V452" s="28" t="s">
        <v>2</v>
      </c>
      <c r="W452" s="17" t="s">
        <v>1405</v>
      </c>
      <c r="X452" s="14" t="s">
        <v>5</v>
      </c>
      <c r="Y452" s="21" t="s">
        <v>3</v>
      </c>
      <c r="Z452" s="25" t="s">
        <v>105</v>
      </c>
      <c r="AA452" s="264"/>
      <c r="AD452" s="1" t="s">
        <v>69</v>
      </c>
      <c r="AE452" s="71" t="s">
        <v>1406</v>
      </c>
      <c r="AF452" s="72" t="s">
        <v>1163</v>
      </c>
      <c r="AG452" s="32" t="s">
        <v>1164</v>
      </c>
      <c r="AH452" s="46" t="s">
        <v>1580</v>
      </c>
    </row>
    <row r="453" spans="1:46" ht="16.5" customHeight="1">
      <c r="A453" s="130" t="s">
        <v>1707</v>
      </c>
      <c r="B453" s="80">
        <v>-26</v>
      </c>
      <c r="C453" s="80">
        <v>-18</v>
      </c>
      <c r="D453" s="80">
        <v>-1</v>
      </c>
      <c r="E453" s="80">
        <v>-40</v>
      </c>
      <c r="F453" s="57">
        <v>23.76</v>
      </c>
      <c r="G453" s="79">
        <v>6173</v>
      </c>
      <c r="H453" s="50" t="s">
        <v>1410</v>
      </c>
      <c r="I453" s="16" t="s">
        <v>82</v>
      </c>
      <c r="J453" s="323">
        <v>49.8</v>
      </c>
      <c r="K453" s="323">
        <v>2.81</v>
      </c>
      <c r="L453" s="323">
        <v>31.88</v>
      </c>
      <c r="N453" s="318">
        <f>R453+K453+J453+L453</f>
        <v>417.49</v>
      </c>
      <c r="O453" s="81">
        <f>IFERROR(VLOOKUP($G453,'321買'!A:E,3,0),"'沒有資料'")</f>
        <v>9</v>
      </c>
      <c r="P453" s="380">
        <f>IFERROR(VLOOKUP($G453,'321買'!$A:$G,7,0),"'沒有資料'")</f>
        <v>387</v>
      </c>
      <c r="R453" s="297">
        <f>IFERROR(RANK(VLOOKUP($G453,連買!$A:$D,4,0),連買!$D:$D,0),"'沒有資料'")</f>
        <v>333</v>
      </c>
      <c r="S453" s="34">
        <v>4.3</v>
      </c>
      <c r="U453" s="57">
        <f>S453/V453</f>
        <v>7.5438596491228069E-2</v>
      </c>
      <c r="V453" s="36">
        <v>57</v>
      </c>
      <c r="W453" s="45">
        <v>55.4</v>
      </c>
      <c r="X453" s="15">
        <f>V453-W453</f>
        <v>1.6000000000000014</v>
      </c>
      <c r="Y453" s="63">
        <f>X453/W453</f>
        <v>2.8880866425992805E-2</v>
      </c>
      <c r="Z453" s="114" t="s">
        <v>1664</v>
      </c>
      <c r="AA453" s="126"/>
      <c r="AD453" s="16" t="s">
        <v>82</v>
      </c>
      <c r="AF453" s="83">
        <v>43783</v>
      </c>
      <c r="AG453" s="33">
        <f>AF453-AE453</f>
        <v>43783</v>
      </c>
      <c r="AH453" s="49" t="s">
        <v>1789</v>
      </c>
      <c r="AI453" s="264"/>
    </row>
    <row r="454" spans="1:46">
      <c r="A454" s="130"/>
      <c r="B454" s="91"/>
      <c r="C454" s="91"/>
      <c r="D454" s="91"/>
      <c r="E454" s="91"/>
      <c r="F454" s="8"/>
      <c r="G454" s="25"/>
      <c r="H454" s="55"/>
      <c r="I454" s="1"/>
      <c r="J454" s="317"/>
      <c r="K454" s="317"/>
      <c r="L454" s="317"/>
      <c r="M454" s="317"/>
      <c r="N454" s="317"/>
      <c r="S454" s="10"/>
      <c r="U454" s="68"/>
      <c r="V454" s="28"/>
      <c r="W454" s="17"/>
      <c r="X454" s="15"/>
      <c r="Y454" s="63"/>
      <c r="Z454" s="25"/>
      <c r="AA454" s="264"/>
      <c r="AD454" s="1"/>
      <c r="AE454" s="71"/>
      <c r="AF454" s="72"/>
      <c r="AG454" s="32"/>
      <c r="AH454" s="46"/>
    </row>
    <row r="455" spans="1:46">
      <c r="A455" s="130" t="s">
        <v>1732</v>
      </c>
      <c r="B455" s="91" t="s">
        <v>1588</v>
      </c>
      <c r="C455" s="91" t="s">
        <v>1589</v>
      </c>
      <c r="D455" s="91" t="s">
        <v>1590</v>
      </c>
      <c r="E455" s="91" t="s">
        <v>1591</v>
      </c>
      <c r="F455" s="8" t="s">
        <v>1066</v>
      </c>
      <c r="G455" s="25" t="s">
        <v>388</v>
      </c>
      <c r="H455" s="55" t="s">
        <v>322</v>
      </c>
      <c r="I455" s="1" t="s">
        <v>69</v>
      </c>
      <c r="J455" s="317" t="s">
        <v>1467</v>
      </c>
      <c r="K455" s="317" t="s">
        <v>1157</v>
      </c>
      <c r="L455" s="317" t="s">
        <v>284</v>
      </c>
      <c r="M455" s="317"/>
      <c r="N455" s="317" t="s">
        <v>1065</v>
      </c>
      <c r="P455" s="374" t="s">
        <v>1059</v>
      </c>
      <c r="R455" s="151" t="s">
        <v>1059</v>
      </c>
      <c r="S455" s="10" t="s">
        <v>66</v>
      </c>
      <c r="U455" s="68" t="s">
        <v>1502</v>
      </c>
      <c r="V455" s="28" t="s">
        <v>2</v>
      </c>
      <c r="W455" s="17" t="s">
        <v>1405</v>
      </c>
      <c r="X455" s="14" t="s">
        <v>5</v>
      </c>
      <c r="Y455" s="21" t="s">
        <v>3</v>
      </c>
      <c r="Z455" s="25" t="s">
        <v>105</v>
      </c>
      <c r="AA455" s="126"/>
      <c r="AD455" s="1" t="s">
        <v>69</v>
      </c>
      <c r="AE455" s="71" t="s">
        <v>1406</v>
      </c>
      <c r="AF455" s="72" t="s">
        <v>1163</v>
      </c>
      <c r="AG455" s="32" t="s">
        <v>1164</v>
      </c>
    </row>
    <row r="456" spans="1:46">
      <c r="B456" s="79">
        <v>100</v>
      </c>
      <c r="C456" s="79">
        <v>67</v>
      </c>
      <c r="D456" s="79">
        <v>100</v>
      </c>
      <c r="E456" s="79">
        <v>67</v>
      </c>
      <c r="F456" s="57">
        <v>18.75</v>
      </c>
      <c r="G456" s="81">
        <v>9940</v>
      </c>
      <c r="H456" s="30" t="s">
        <v>1469</v>
      </c>
      <c r="I456" s="22" t="s">
        <v>92</v>
      </c>
      <c r="J456" s="323">
        <v>80.25</v>
      </c>
      <c r="K456" s="73">
        <v>5.08</v>
      </c>
      <c r="L456" s="73">
        <v>0.35</v>
      </c>
      <c r="N456" s="318">
        <f>R456+K456+J456+L456</f>
        <v>573.67999999999995</v>
      </c>
      <c r="O456" s="81">
        <f>IFERROR(VLOOKUP($G456,'321買'!A:E,3,0),"'沒有資料'")</f>
        <v>0</v>
      </c>
      <c r="P456" s="380">
        <f>IFERROR(VLOOKUP($G456,'321買'!$A:$G,7,0),"'沒有資料'")</f>
        <v>911</v>
      </c>
      <c r="R456" s="297">
        <f>IFERROR(RANK(VLOOKUP($G456,連買!$A:$D,4,0),連買!$D:$D,0),"'沒有資料'")</f>
        <v>488</v>
      </c>
      <c r="S456" s="34">
        <v>1.3</v>
      </c>
      <c r="U456" s="57">
        <f>S456/V456</f>
        <v>4.0561622464898604E-2</v>
      </c>
      <c r="V456" s="13">
        <v>32.049999999999997</v>
      </c>
      <c r="W456" s="66">
        <v>31.6</v>
      </c>
      <c r="X456" s="45">
        <f>V456-W456</f>
        <v>0.44999999999999574</v>
      </c>
      <c r="Y456" s="63">
        <f>X456/W456</f>
        <v>1.4240506329113788E-2</v>
      </c>
      <c r="Z456" s="114" t="s">
        <v>1644</v>
      </c>
      <c r="AA456" s="126"/>
      <c r="AD456" s="22" t="s">
        <v>92</v>
      </c>
      <c r="AE456" s="84">
        <v>43689</v>
      </c>
      <c r="AG456" s="33">
        <f>AF456-AE456</f>
        <v>-43689</v>
      </c>
      <c r="AH456" s="41" t="s">
        <v>1128</v>
      </c>
    </row>
    <row r="457" spans="1:46">
      <c r="B457" s="79">
        <v>100</v>
      </c>
      <c r="C457" s="79">
        <v>67</v>
      </c>
      <c r="D457" s="79">
        <v>100</v>
      </c>
      <c r="E457" s="79">
        <v>67</v>
      </c>
      <c r="F457" s="57">
        <v>18.75</v>
      </c>
      <c r="G457" s="81">
        <v>9940</v>
      </c>
      <c r="H457" s="50" t="s">
        <v>1410</v>
      </c>
      <c r="I457" s="22" t="s">
        <v>92</v>
      </c>
      <c r="J457" s="323">
        <v>80.25</v>
      </c>
      <c r="K457" s="73">
        <v>5.08</v>
      </c>
      <c r="L457" s="73">
        <v>0.35</v>
      </c>
      <c r="N457" s="318">
        <f>R457+K457+J457+L457</f>
        <v>573.67999999999995</v>
      </c>
      <c r="O457" s="81">
        <f>IFERROR(VLOOKUP($G457,'321買'!A:E,3,0),"'沒有資料'")</f>
        <v>0</v>
      </c>
      <c r="P457" s="380">
        <f>IFERROR(VLOOKUP($G457,'321買'!$A:$G,7,0),"'沒有資料'")</f>
        <v>911</v>
      </c>
      <c r="R457" s="297">
        <f>IFERROR(RANK(VLOOKUP($G457,連買!$A:$D,4,0),連買!$D:$D,0),"'沒有資料'")</f>
        <v>488</v>
      </c>
      <c r="S457" s="34">
        <v>1.3</v>
      </c>
      <c r="U457" s="57">
        <f>S457/V457</f>
        <v>4.0561622464898604E-2</v>
      </c>
      <c r="V457" s="13">
        <v>32.049999999999997</v>
      </c>
      <c r="W457" s="66">
        <v>31.6</v>
      </c>
      <c r="X457" s="45">
        <f>V457-W457</f>
        <v>0.44999999999999574</v>
      </c>
      <c r="Y457" s="63">
        <f>X457/W457</f>
        <v>1.4240506329113788E-2</v>
      </c>
      <c r="Z457" s="114" t="s">
        <v>1644</v>
      </c>
      <c r="AA457" s="126"/>
      <c r="AD457" s="22" t="s">
        <v>92</v>
      </c>
      <c r="AE457" s="84">
        <v>43689</v>
      </c>
      <c r="AG457" s="33">
        <f>AF457-AE457</f>
        <v>-43689</v>
      </c>
      <c r="AH457" s="119" t="s">
        <v>1619</v>
      </c>
    </row>
    <row r="458" spans="1:46">
      <c r="B458" s="79"/>
      <c r="C458" s="79"/>
      <c r="D458" s="79"/>
      <c r="E458" s="79"/>
      <c r="F458" s="57"/>
      <c r="H458" s="30"/>
      <c r="I458" s="22"/>
      <c r="J458" s="323"/>
      <c r="K458" s="73"/>
      <c r="N458" s="318"/>
      <c r="S458" s="34"/>
      <c r="U458" s="57"/>
      <c r="V458" s="13">
        <f>SUM(V456:V457)</f>
        <v>64.099999999999994</v>
      </c>
      <c r="W458" s="45">
        <f>SUM(W456:W457)</f>
        <v>63.2</v>
      </c>
      <c r="X458" s="15">
        <f>V458-W458</f>
        <v>0.89999999999999147</v>
      </c>
      <c r="Y458" s="63">
        <f>X458/W458</f>
        <v>1.4240506329113788E-2</v>
      </c>
      <c r="Z458" s="114"/>
      <c r="AA458" s="126"/>
      <c r="AD458" s="22"/>
      <c r="AG458" s="33"/>
      <c r="AH458" s="119"/>
    </row>
    <row r="459" spans="1:46">
      <c r="A459" s="130" t="s">
        <v>1732</v>
      </c>
      <c r="B459" s="91" t="s">
        <v>1588</v>
      </c>
      <c r="C459" s="91" t="s">
        <v>1589</v>
      </c>
      <c r="D459" s="91" t="s">
        <v>1590</v>
      </c>
      <c r="E459" s="91" t="s">
        <v>1591</v>
      </c>
      <c r="F459" s="8" t="s">
        <v>1066</v>
      </c>
      <c r="G459" s="25" t="s">
        <v>388</v>
      </c>
      <c r="H459" s="55" t="s">
        <v>322</v>
      </c>
      <c r="I459" s="1" t="s">
        <v>69</v>
      </c>
      <c r="J459" s="317" t="s">
        <v>1467</v>
      </c>
      <c r="K459" s="317" t="s">
        <v>1157</v>
      </c>
      <c r="L459" s="317" t="s">
        <v>284</v>
      </c>
      <c r="M459" s="317"/>
      <c r="N459" s="317" t="s">
        <v>1065</v>
      </c>
      <c r="P459" s="374" t="s">
        <v>1059</v>
      </c>
      <c r="R459" s="151" t="s">
        <v>1059</v>
      </c>
      <c r="S459" s="10" t="s">
        <v>66</v>
      </c>
      <c r="U459" s="68" t="s">
        <v>1502</v>
      </c>
      <c r="V459" s="28" t="s">
        <v>2</v>
      </c>
      <c r="W459" s="17" t="s">
        <v>1405</v>
      </c>
      <c r="X459" s="14" t="s">
        <v>5</v>
      </c>
      <c r="Y459" s="21" t="s">
        <v>3</v>
      </c>
      <c r="Z459" s="25" t="s">
        <v>105</v>
      </c>
      <c r="AA459" s="126"/>
      <c r="AD459" s="1" t="s">
        <v>69</v>
      </c>
      <c r="AE459" s="71" t="s">
        <v>1406</v>
      </c>
      <c r="AF459" s="72" t="s">
        <v>1163</v>
      </c>
      <c r="AG459" s="32" t="s">
        <v>1164</v>
      </c>
    </row>
    <row r="460" spans="1:46">
      <c r="B460" s="80">
        <v>-211</v>
      </c>
      <c r="C460" s="94">
        <v>-5489</v>
      </c>
      <c r="D460" s="80">
        <v>-211</v>
      </c>
      <c r="E460" s="94">
        <v>-5489</v>
      </c>
      <c r="F460" s="6">
        <v>-13.71</v>
      </c>
      <c r="G460" s="79">
        <v>3545</v>
      </c>
      <c r="H460" s="8" t="s">
        <v>1409</v>
      </c>
      <c r="I460" s="22" t="s">
        <v>349</v>
      </c>
      <c r="J460" s="323">
        <v>37.869999999999997</v>
      </c>
      <c r="K460" s="323">
        <v>19.09</v>
      </c>
      <c r="L460" s="323">
        <v>22.04</v>
      </c>
      <c r="N460" s="318">
        <f>R460+K460+J460+L460</f>
        <v>131</v>
      </c>
      <c r="O460" s="81">
        <f>IFERROR(VLOOKUP($G460,'321買'!A:E,3,0),"'沒有資料'")</f>
        <v>56</v>
      </c>
      <c r="P460" s="380">
        <f>IFERROR(VLOOKUP($G460,'321買'!$A:$G,7,0),"'沒有資料'")</f>
        <v>53</v>
      </c>
      <c r="R460" s="297">
        <f>IFERROR(RANK(VLOOKUP($G460,連買!$A:$D,4,0),連買!$D:$D,0),"'沒有資料'")</f>
        <v>52</v>
      </c>
      <c r="S460" s="34">
        <v>0.5</v>
      </c>
      <c r="U460" s="95">
        <f>S460/V460</f>
        <v>2.0833333333333332E-2</v>
      </c>
      <c r="V460" s="36">
        <v>24</v>
      </c>
      <c r="W460" s="45">
        <f>26.73-0.52</f>
        <v>26.21</v>
      </c>
      <c r="X460" s="15">
        <f>V460-W460</f>
        <v>-2.2100000000000009</v>
      </c>
      <c r="Y460" s="76">
        <f>X460/W460</f>
        <v>-8.4318962228157227E-2</v>
      </c>
      <c r="Z460" s="115" t="s">
        <v>1748</v>
      </c>
      <c r="AA460" s="126"/>
      <c r="AD460" s="22" t="s">
        <v>349</v>
      </c>
      <c r="AE460" s="84">
        <v>43353</v>
      </c>
      <c r="AG460" s="33">
        <f>AF460-AE460</f>
        <v>-43353</v>
      </c>
      <c r="AH460" s="119" t="s">
        <v>1128</v>
      </c>
      <c r="AK460" s="11"/>
      <c r="AL460" s="11"/>
      <c r="AM460" s="11"/>
      <c r="AN460" s="11"/>
      <c r="AQ460" s="7"/>
      <c r="AR460" s="4"/>
    </row>
    <row r="461" spans="1:46">
      <c r="B461" s="80">
        <v>-211</v>
      </c>
      <c r="C461" s="94">
        <v>-5489</v>
      </c>
      <c r="D461" s="80">
        <v>-211</v>
      </c>
      <c r="E461" s="94">
        <v>-5489</v>
      </c>
      <c r="F461" s="6">
        <v>-13.71</v>
      </c>
      <c r="G461" s="79">
        <v>3545</v>
      </c>
      <c r="H461" s="50" t="s">
        <v>1410</v>
      </c>
      <c r="I461" s="22" t="s">
        <v>349</v>
      </c>
      <c r="J461" s="323">
        <v>37.869999999999997</v>
      </c>
      <c r="K461" s="323">
        <v>19.09</v>
      </c>
      <c r="L461" s="323">
        <v>22.04</v>
      </c>
      <c r="N461" s="318">
        <f>R461+K461+J461+L461</f>
        <v>131</v>
      </c>
      <c r="O461" s="81">
        <f>IFERROR(VLOOKUP($G461,'321買'!A:E,3,0),"'沒有資料'")</f>
        <v>56</v>
      </c>
      <c r="P461" s="380">
        <f>IFERROR(VLOOKUP($G461,'321買'!$A:$G,7,0),"'沒有資料'")</f>
        <v>53</v>
      </c>
      <c r="R461" s="297">
        <f>IFERROR(RANK(VLOOKUP($G461,連買!$A:$D,4,0),連買!$D:$D,0),"'沒有資料'")</f>
        <v>52</v>
      </c>
      <c r="S461" s="34">
        <v>0.5</v>
      </c>
      <c r="U461" s="95">
        <f>S461/V461</f>
        <v>2.0833333333333332E-2</v>
      </c>
      <c r="V461" s="36">
        <v>24</v>
      </c>
      <c r="W461" s="45">
        <f>26.73-0.52-1.7</f>
        <v>24.51</v>
      </c>
      <c r="X461" s="15">
        <f>V461-W461</f>
        <v>-0.51000000000000156</v>
      </c>
      <c r="Y461" s="76">
        <f>X461/W461</f>
        <v>-2.0807833537331764E-2</v>
      </c>
      <c r="Z461" s="115" t="s">
        <v>1749</v>
      </c>
      <c r="AA461" s="126"/>
      <c r="AD461" s="22" t="s">
        <v>349</v>
      </c>
      <c r="AE461" s="84">
        <v>43353</v>
      </c>
      <c r="AG461" s="33">
        <f>AF461-AE461</f>
        <v>-43353</v>
      </c>
      <c r="AH461" s="119" t="s">
        <v>1563</v>
      </c>
      <c r="AK461" s="11"/>
      <c r="AL461" s="11"/>
      <c r="AM461" s="11"/>
      <c r="AN461" s="11"/>
      <c r="AQ461" s="7"/>
      <c r="AR461" s="4"/>
    </row>
    <row r="462" spans="1:46">
      <c r="B462" s="80">
        <v>-211</v>
      </c>
      <c r="C462" s="94">
        <v>-5489</v>
      </c>
      <c r="D462" s="80">
        <v>-211</v>
      </c>
      <c r="E462" s="94">
        <v>-5489</v>
      </c>
      <c r="F462" s="6">
        <v>-13.71</v>
      </c>
      <c r="G462" s="79">
        <v>3545</v>
      </c>
      <c r="H462" s="50" t="s">
        <v>1410</v>
      </c>
      <c r="I462" s="22" t="s">
        <v>349</v>
      </c>
      <c r="J462" s="323">
        <v>37.869999999999997</v>
      </c>
      <c r="K462" s="323">
        <v>19.09</v>
      </c>
      <c r="L462" s="323">
        <v>22.04</v>
      </c>
      <c r="N462" s="318">
        <f>R462+K462+J462+L462</f>
        <v>131</v>
      </c>
      <c r="O462" s="81">
        <f>IFERROR(VLOOKUP($G462,'321買'!A:E,3,0),"'沒有資料'")</f>
        <v>56</v>
      </c>
      <c r="P462" s="380">
        <f>IFERROR(VLOOKUP($G462,'321買'!$A:$G,7,0),"'沒有資料'")</f>
        <v>53</v>
      </c>
      <c r="R462" s="297">
        <f>IFERROR(RANK(VLOOKUP($G462,連買!$A:$D,4,0),連買!$D:$D,0),"'沒有資料'")</f>
        <v>52</v>
      </c>
      <c r="S462" s="34">
        <v>0.5</v>
      </c>
      <c r="U462" s="95">
        <f>S462/V462</f>
        <v>2.0833333333333332E-2</v>
      </c>
      <c r="V462" s="36">
        <v>24</v>
      </c>
      <c r="W462" s="45">
        <v>22.05</v>
      </c>
      <c r="X462" s="15">
        <f>V462-W462</f>
        <v>1.9499999999999993</v>
      </c>
      <c r="Y462" s="63">
        <f>X462/W462</f>
        <v>8.8435374149659823E-2</v>
      </c>
      <c r="Z462" s="114" t="s">
        <v>1750</v>
      </c>
      <c r="AA462" s="126"/>
      <c r="AD462" s="22" t="s">
        <v>349</v>
      </c>
      <c r="AE462" s="84">
        <v>43731</v>
      </c>
      <c r="AG462" s="33">
        <f>AF462-AE462</f>
        <v>-43731</v>
      </c>
      <c r="AH462" s="119"/>
      <c r="AK462" s="11"/>
      <c r="AL462" s="11"/>
      <c r="AM462" s="11"/>
      <c r="AN462" s="11"/>
      <c r="AQ462" s="7"/>
      <c r="AR462" s="4"/>
    </row>
    <row r="463" spans="1:46">
      <c r="B463" s="80">
        <v>-211</v>
      </c>
      <c r="C463" s="94">
        <v>-5489</v>
      </c>
      <c r="D463" s="80">
        <v>-211</v>
      </c>
      <c r="E463" s="94">
        <v>-5489</v>
      </c>
      <c r="F463" s="6">
        <v>-13.71</v>
      </c>
      <c r="G463" s="79">
        <v>3545</v>
      </c>
      <c r="H463" s="50" t="s">
        <v>1410</v>
      </c>
      <c r="I463" s="22" t="s">
        <v>349</v>
      </c>
      <c r="J463" s="323">
        <v>37.869999999999997</v>
      </c>
      <c r="K463" s="323">
        <v>19.09</v>
      </c>
      <c r="L463" s="323">
        <v>22.04</v>
      </c>
      <c r="N463" s="318">
        <f>R463+K463+J463+L463</f>
        <v>131</v>
      </c>
      <c r="O463" s="81">
        <f>IFERROR(VLOOKUP($G463,'321買'!A:E,3,0),"'沒有資料'")</f>
        <v>56</v>
      </c>
      <c r="P463" s="380">
        <f>IFERROR(VLOOKUP($G463,'321買'!$A:$G,7,0),"'沒有資料'")</f>
        <v>53</v>
      </c>
      <c r="R463" s="297">
        <f>IFERROR(RANK(VLOOKUP($G463,連買!$A:$D,4,0),連買!$D:$D,0),"'沒有資料'")</f>
        <v>52</v>
      </c>
      <c r="S463" s="34">
        <v>0.5</v>
      </c>
      <c r="U463" s="95">
        <f>S463/V463</f>
        <v>2.0833333333333332E-2</v>
      </c>
      <c r="V463" s="36">
        <v>24</v>
      </c>
      <c r="W463" s="45">
        <v>21.9</v>
      </c>
      <c r="X463" s="15">
        <f>V463-W463</f>
        <v>2.1000000000000014</v>
      </c>
      <c r="Y463" s="63">
        <f>X463/W463</f>
        <v>9.5890410958904188E-2</v>
      </c>
      <c r="Z463" s="114" t="s">
        <v>1582</v>
      </c>
      <c r="AA463" s="126"/>
      <c r="AD463" s="22" t="s">
        <v>349</v>
      </c>
      <c r="AE463" s="84">
        <v>43732</v>
      </c>
      <c r="AG463" s="33">
        <f>AF463-AE463</f>
        <v>-43732</v>
      </c>
      <c r="AH463" s="119"/>
      <c r="AK463" s="11"/>
      <c r="AL463" s="11"/>
      <c r="AM463" s="11"/>
      <c r="AN463" s="11"/>
      <c r="AQ463" s="7"/>
      <c r="AR463" s="4"/>
    </row>
    <row r="464" spans="1:46">
      <c r="A464" s="19"/>
      <c r="B464" s="80"/>
      <c r="C464" s="80"/>
      <c r="D464" s="80"/>
      <c r="E464" s="80"/>
      <c r="F464" s="6"/>
      <c r="H464" s="8"/>
      <c r="I464" s="22"/>
      <c r="J464" s="323"/>
      <c r="K464" s="323"/>
      <c r="L464" s="323"/>
      <c r="N464" s="318"/>
      <c r="S464" s="34"/>
      <c r="U464" s="95"/>
      <c r="V464" s="13">
        <f>SUM(V460:V463)</f>
        <v>96</v>
      </c>
      <c r="W464" s="45">
        <f>SUM(W460:W463)</f>
        <v>94.669999999999987</v>
      </c>
      <c r="X464" s="15">
        <f>V464-W464</f>
        <v>1.3300000000000125</v>
      </c>
      <c r="Y464" s="63">
        <f>X464/W464</f>
        <v>1.4048801098553002E-2</v>
      </c>
      <c r="Z464" s="116"/>
      <c r="AA464" s="126"/>
      <c r="AD464" s="22"/>
      <c r="AG464" s="33"/>
      <c r="AH464" s="41"/>
    </row>
    <row r="465" spans="1:47">
      <c r="A465" s="130" t="s">
        <v>1732</v>
      </c>
      <c r="B465" s="91" t="s">
        <v>1588</v>
      </c>
      <c r="C465" s="91" t="s">
        <v>1589</v>
      </c>
      <c r="D465" s="91" t="s">
        <v>1590</v>
      </c>
      <c r="E465" s="91" t="s">
        <v>1591</v>
      </c>
      <c r="F465" s="8" t="s">
        <v>1066</v>
      </c>
      <c r="G465" s="25" t="s">
        <v>388</v>
      </c>
      <c r="H465" s="55" t="s">
        <v>322</v>
      </c>
      <c r="I465" s="1" t="s">
        <v>69</v>
      </c>
      <c r="J465" s="317" t="s">
        <v>1467</v>
      </c>
      <c r="K465" s="317" t="s">
        <v>1157</v>
      </c>
      <c r="L465" s="317" t="s">
        <v>284</v>
      </c>
      <c r="M465" s="317"/>
      <c r="N465" s="317" t="s">
        <v>1065</v>
      </c>
      <c r="P465" s="374" t="s">
        <v>1059</v>
      </c>
      <c r="R465" s="151" t="s">
        <v>1059</v>
      </c>
      <c r="S465" s="10" t="s">
        <v>66</v>
      </c>
      <c r="U465" s="68" t="s">
        <v>1502</v>
      </c>
      <c r="V465" s="28" t="s">
        <v>2</v>
      </c>
      <c r="W465" s="17" t="s">
        <v>1405</v>
      </c>
      <c r="X465" s="14" t="s">
        <v>5</v>
      </c>
      <c r="Y465" s="21" t="s">
        <v>3</v>
      </c>
      <c r="Z465" s="25" t="s">
        <v>105</v>
      </c>
      <c r="AA465" s="126"/>
      <c r="AD465" s="1" t="s">
        <v>69</v>
      </c>
      <c r="AE465" s="71" t="s">
        <v>1406</v>
      </c>
      <c r="AF465" s="72" t="s">
        <v>1163</v>
      </c>
      <c r="AG465" s="32" t="s">
        <v>1164</v>
      </c>
      <c r="AH465" s="46" t="s">
        <v>1659</v>
      </c>
    </row>
    <row r="466" spans="1:47">
      <c r="A466" s="119"/>
      <c r="B466" s="79">
        <v>2</v>
      </c>
      <c r="C466" s="80">
        <v>-30</v>
      </c>
      <c r="D466" s="79">
        <v>2</v>
      </c>
      <c r="E466" s="80">
        <v>-30</v>
      </c>
      <c r="F466" s="57">
        <v>10.220000000000001</v>
      </c>
      <c r="G466" s="79">
        <v>2704</v>
      </c>
      <c r="H466" s="50"/>
      <c r="I466" s="22" t="s">
        <v>0</v>
      </c>
      <c r="J466" s="73">
        <v>81.91</v>
      </c>
      <c r="K466" s="323">
        <v>8.74</v>
      </c>
      <c r="L466" s="323">
        <v>2.2599999999999998</v>
      </c>
      <c r="N466" s="318">
        <f>R466+K466+J466+L466</f>
        <v>851.91</v>
      </c>
      <c r="O466" s="81">
        <f>IFERROR(VLOOKUP($G466,'321買'!A:E,3,0),"'沒有資料'")</f>
        <v>0</v>
      </c>
      <c r="P466" s="380">
        <f>IFERROR(VLOOKUP($G466,'321買'!$A:$G,7,0),"'沒有資料'")</f>
        <v>911</v>
      </c>
      <c r="R466" s="297">
        <f>IFERROR(RANK(VLOOKUP($G466,連買!$A:$D,4,0),連買!$D:$D,0),"'沒有資料'")</f>
        <v>759</v>
      </c>
      <c r="S466" s="34">
        <v>0.4</v>
      </c>
      <c r="U466" s="95">
        <f>S466/V466</f>
        <v>8.3682008368200847E-3</v>
      </c>
      <c r="V466" s="36">
        <v>47.8</v>
      </c>
      <c r="W466" s="66">
        <v>43.78</v>
      </c>
      <c r="X466" s="15">
        <f>V466-W466</f>
        <v>4.019999999999996</v>
      </c>
      <c r="Y466" s="63">
        <f>X466/W466</f>
        <v>9.1822750114207305E-2</v>
      </c>
      <c r="Z466" s="114"/>
      <c r="AA466" s="126"/>
      <c r="AD466" s="22" t="s">
        <v>0</v>
      </c>
      <c r="AF466" s="83">
        <v>43769</v>
      </c>
      <c r="AG466" s="33">
        <f>AF466-AE466</f>
        <v>43769</v>
      </c>
      <c r="AH466" s="119"/>
      <c r="AI466" s="264"/>
    </row>
    <row r="467" spans="1:47">
      <c r="B467" s="80">
        <v>-8</v>
      </c>
      <c r="C467" s="79">
        <v>15</v>
      </c>
      <c r="D467" s="79">
        <v>2</v>
      </c>
      <c r="E467" s="80">
        <v>-31</v>
      </c>
      <c r="F467" s="57">
        <v>23.94</v>
      </c>
      <c r="G467" s="79">
        <v>6182</v>
      </c>
      <c r="H467" s="50"/>
      <c r="I467" s="16" t="s">
        <v>166</v>
      </c>
      <c r="J467" s="323">
        <v>26.05</v>
      </c>
      <c r="K467" s="73">
        <v>10.89</v>
      </c>
      <c r="L467" s="73">
        <v>39.659999999999997</v>
      </c>
      <c r="N467" s="318">
        <f>R467+K467+J467+L467</f>
        <v>420.6</v>
      </c>
      <c r="O467" s="81">
        <f>IFERROR(VLOOKUP($G467,'321買'!A:E,3,0),"'沒有資料'")</f>
        <v>79</v>
      </c>
      <c r="P467" s="380">
        <f>IFERROR(VLOOKUP($G467,'321買'!$A:$G,7,0),"'沒有資料'")</f>
        <v>17</v>
      </c>
      <c r="R467" s="297">
        <f>IFERROR(RANK(VLOOKUP($G467,連買!$A:$D,4,0),連買!$D:$D,0),"'沒有資料'")</f>
        <v>344</v>
      </c>
      <c r="S467" s="34">
        <v>2.5</v>
      </c>
      <c r="U467" s="95">
        <f>S467/V467</f>
        <v>1.7857142857142856E-2</v>
      </c>
      <c r="V467" s="36">
        <v>140</v>
      </c>
      <c r="W467" s="45">
        <v>136.1</v>
      </c>
      <c r="X467" s="15">
        <f>V467-W467</f>
        <v>3.9000000000000057</v>
      </c>
      <c r="Y467" s="63">
        <f>X467/W467</f>
        <v>2.8655400440852359E-2</v>
      </c>
      <c r="Z467" s="102" t="s">
        <v>1675</v>
      </c>
      <c r="AA467" s="126"/>
      <c r="AD467" s="16" t="s">
        <v>166</v>
      </c>
      <c r="AF467" s="83">
        <v>43769</v>
      </c>
      <c r="AG467" s="33">
        <f>AF467-AE467</f>
        <v>43769</v>
      </c>
      <c r="AH467" s="119"/>
      <c r="AU467" s="11"/>
    </row>
    <row r="468" spans="1:47">
      <c r="A468" s="41"/>
      <c r="B468" s="79"/>
      <c r="C468" s="80"/>
      <c r="D468" s="79"/>
      <c r="E468" s="80"/>
      <c r="F468" s="6"/>
      <c r="H468" s="50"/>
      <c r="I468" s="22"/>
      <c r="J468" s="326"/>
      <c r="K468" s="323"/>
      <c r="N468" s="318"/>
      <c r="S468" s="198"/>
      <c r="U468" s="95"/>
      <c r="V468" s="13">
        <f>SUM(V466:V467)</f>
        <v>187.8</v>
      </c>
      <c r="W468" s="45">
        <f>SUM(W466:W467)</f>
        <v>179.88</v>
      </c>
      <c r="X468" s="15">
        <f>V468-W468</f>
        <v>7.9200000000000159</v>
      </c>
      <c r="Y468" s="63">
        <f>X468/W468</f>
        <v>4.4029352901934715E-2</v>
      </c>
      <c r="Z468" s="115"/>
      <c r="AA468" s="126"/>
      <c r="AD468" s="22"/>
      <c r="AG468" s="33"/>
      <c r="AH468" s="119"/>
    </row>
    <row r="469" spans="1:47">
      <c r="A469" s="130" t="s">
        <v>1732</v>
      </c>
      <c r="B469" s="91" t="s">
        <v>1588</v>
      </c>
      <c r="C469" s="91" t="s">
        <v>1589</v>
      </c>
      <c r="D469" s="91" t="s">
        <v>1590</v>
      </c>
      <c r="E469" s="91" t="s">
        <v>1591</v>
      </c>
      <c r="F469" s="8" t="s">
        <v>1066</v>
      </c>
      <c r="G469" s="25" t="s">
        <v>388</v>
      </c>
      <c r="H469" s="55" t="s">
        <v>322</v>
      </c>
      <c r="I469" s="1" t="s">
        <v>69</v>
      </c>
      <c r="J469" s="317" t="s">
        <v>1467</v>
      </c>
      <c r="K469" s="317" t="s">
        <v>1157</v>
      </c>
      <c r="L469" s="317" t="s">
        <v>284</v>
      </c>
      <c r="M469" s="317"/>
      <c r="N469" s="317" t="s">
        <v>1065</v>
      </c>
      <c r="P469" s="374" t="s">
        <v>1059</v>
      </c>
      <c r="R469" s="151" t="s">
        <v>1059</v>
      </c>
      <c r="S469" s="10" t="s">
        <v>66</v>
      </c>
      <c r="U469" s="68" t="s">
        <v>1502</v>
      </c>
      <c r="V469" s="28" t="s">
        <v>2</v>
      </c>
      <c r="W469" s="17" t="s">
        <v>1405</v>
      </c>
      <c r="X469" s="14" t="s">
        <v>5</v>
      </c>
      <c r="Y469" s="21" t="s">
        <v>3</v>
      </c>
      <c r="Z469" s="25" t="s">
        <v>105</v>
      </c>
      <c r="AA469" s="126"/>
      <c r="AD469" s="1" t="s">
        <v>69</v>
      </c>
      <c r="AE469" s="71" t="s">
        <v>1406</v>
      </c>
      <c r="AF469" s="72" t="s">
        <v>1163</v>
      </c>
      <c r="AG469" s="32" t="s">
        <v>1164</v>
      </c>
    </row>
    <row r="470" spans="1:47">
      <c r="B470" s="80">
        <v>-8</v>
      </c>
      <c r="C470" s="79">
        <v>15</v>
      </c>
      <c r="D470" s="79">
        <v>2</v>
      </c>
      <c r="E470" s="80">
        <v>-31</v>
      </c>
      <c r="F470" s="57">
        <v>23.94</v>
      </c>
      <c r="G470" s="79">
        <v>6182</v>
      </c>
      <c r="H470" s="50" t="s">
        <v>1410</v>
      </c>
      <c r="I470" s="16" t="s">
        <v>166</v>
      </c>
      <c r="J470" s="323">
        <v>26.05</v>
      </c>
      <c r="K470" s="73">
        <v>10.89</v>
      </c>
      <c r="L470" s="73">
        <v>39.659999999999997</v>
      </c>
      <c r="N470" s="318">
        <f>R470+K470+J470+L470</f>
        <v>420.6</v>
      </c>
      <c r="O470" s="81">
        <f>IFERROR(VLOOKUP($G470,'321買'!A:E,3,0),"'沒有資料'")</f>
        <v>79</v>
      </c>
      <c r="P470" s="380">
        <f>IFERROR(VLOOKUP($G470,'321買'!$A:$G,7,0),"'沒有資料'")</f>
        <v>17</v>
      </c>
      <c r="R470" s="297">
        <f>IFERROR(RANK(VLOOKUP($G470,連買!$A:$D,4,0),連買!$D:$D,0),"'沒有資料'")</f>
        <v>344</v>
      </c>
      <c r="S470" s="34">
        <v>2.5</v>
      </c>
      <c r="U470" s="95">
        <f>S470/V470</f>
        <v>7.1428571428571425E-2</v>
      </c>
      <c r="V470" s="36">
        <v>35</v>
      </c>
      <c r="W470" s="45">
        <v>34.25</v>
      </c>
      <c r="X470" s="15">
        <f>V470-W470</f>
        <v>0.75</v>
      </c>
      <c r="Y470" s="63">
        <f>X470/W470</f>
        <v>2.1897810218978103E-2</v>
      </c>
      <c r="Z470" s="102" t="s">
        <v>1675</v>
      </c>
      <c r="AA470" s="126"/>
      <c r="AD470" s="16" t="s">
        <v>166</v>
      </c>
      <c r="AE470" s="84">
        <v>43733</v>
      </c>
      <c r="AG470" s="33">
        <f>AF470-AE470</f>
        <v>-43733</v>
      </c>
      <c r="AH470" s="119" t="s">
        <v>1645</v>
      </c>
      <c r="AU470" s="11"/>
    </row>
    <row r="471" spans="1:47">
      <c r="B471" s="80">
        <v>-8</v>
      </c>
      <c r="C471" s="79">
        <v>15</v>
      </c>
      <c r="D471" s="79">
        <v>2</v>
      </c>
      <c r="E471" s="80">
        <v>-31</v>
      </c>
      <c r="F471" s="57">
        <v>23.94</v>
      </c>
      <c r="G471" s="79">
        <v>6182</v>
      </c>
      <c r="H471" s="50" t="s">
        <v>1410</v>
      </c>
      <c r="I471" s="16" t="s">
        <v>166</v>
      </c>
      <c r="J471" s="323">
        <v>26.05</v>
      </c>
      <c r="K471" s="73">
        <v>10.89</v>
      </c>
      <c r="L471" s="73">
        <v>39.659999999999997</v>
      </c>
      <c r="N471" s="318">
        <f>R471+K471+J471+L471</f>
        <v>420.6</v>
      </c>
      <c r="O471" s="81">
        <f>IFERROR(VLOOKUP($G471,'321買'!A:E,3,0),"'沒有資料'")</f>
        <v>79</v>
      </c>
      <c r="P471" s="380">
        <f>IFERROR(VLOOKUP($G471,'321買'!$A:$G,7,0),"'沒有資料'")</f>
        <v>17</v>
      </c>
      <c r="R471" s="297">
        <f>IFERROR(RANK(VLOOKUP($G471,連買!$A:$D,4,0),連買!$D:$D,0),"'沒有資料'")</f>
        <v>344</v>
      </c>
      <c r="S471" s="34">
        <v>2.5</v>
      </c>
      <c r="U471" s="95">
        <f>S471/V471</f>
        <v>7.1428571428571425E-2</v>
      </c>
      <c r="V471" s="36">
        <v>35</v>
      </c>
      <c r="W471" s="45">
        <v>34.200000000000003</v>
      </c>
      <c r="X471" s="15">
        <f>V471-W471</f>
        <v>0.79999999999999716</v>
      </c>
      <c r="Y471" s="63">
        <f>X471/W471</f>
        <v>2.3391812865496991E-2</v>
      </c>
      <c r="Z471" s="102" t="s">
        <v>1581</v>
      </c>
      <c r="AA471" s="126"/>
      <c r="AD471" s="16" t="s">
        <v>166</v>
      </c>
      <c r="AE471" s="84">
        <v>43733</v>
      </c>
      <c r="AG471" s="33">
        <f>AF471-AE471</f>
        <v>-43733</v>
      </c>
      <c r="AH471" s="119"/>
      <c r="AU471" s="11"/>
    </row>
    <row r="472" spans="1:47">
      <c r="B472" s="80">
        <v>-8</v>
      </c>
      <c r="C472" s="79">
        <v>15</v>
      </c>
      <c r="D472" s="79">
        <v>2</v>
      </c>
      <c r="E472" s="80">
        <v>-31</v>
      </c>
      <c r="F472" s="57">
        <v>23.94</v>
      </c>
      <c r="G472" s="79">
        <v>6182</v>
      </c>
      <c r="H472" s="50" t="s">
        <v>1410</v>
      </c>
      <c r="I472" s="16" t="s">
        <v>166</v>
      </c>
      <c r="J472" s="323">
        <v>26.05</v>
      </c>
      <c r="K472" s="73">
        <v>10.89</v>
      </c>
      <c r="L472" s="73">
        <v>39.659999999999997</v>
      </c>
      <c r="N472" s="318">
        <f>R472+K472+J472+L472</f>
        <v>420.6</v>
      </c>
      <c r="O472" s="81">
        <f>IFERROR(VLOOKUP($G472,'321買'!A:E,3,0),"'沒有資料'")</f>
        <v>79</v>
      </c>
      <c r="P472" s="380">
        <f>IFERROR(VLOOKUP($G472,'321買'!$A:$G,7,0),"'沒有資料'")</f>
        <v>17</v>
      </c>
      <c r="R472" s="297">
        <f>IFERROR(RANK(VLOOKUP($G472,連買!$A:$D,4,0),連買!$D:$D,0),"'沒有資料'")</f>
        <v>344</v>
      </c>
      <c r="S472" s="34">
        <v>2.5</v>
      </c>
      <c r="U472" s="95">
        <f>S472/V472</f>
        <v>7.1428571428571425E-2</v>
      </c>
      <c r="V472" s="36">
        <v>35</v>
      </c>
      <c r="W472" s="45">
        <v>33.9</v>
      </c>
      <c r="X472" s="15">
        <f>V472-W472</f>
        <v>1.1000000000000014</v>
      </c>
      <c r="Y472" s="63">
        <f>X472/W472</f>
        <v>3.2448377581120985E-2</v>
      </c>
      <c r="Z472" s="102" t="s">
        <v>1613</v>
      </c>
      <c r="AA472" s="126"/>
      <c r="AD472" s="16" t="s">
        <v>166</v>
      </c>
      <c r="AE472" s="84">
        <v>43733</v>
      </c>
      <c r="AG472" s="33">
        <f>AF472-AE472</f>
        <v>-43733</v>
      </c>
      <c r="AH472" s="119"/>
      <c r="AU472" s="11"/>
    </row>
    <row r="473" spans="1:47">
      <c r="B473" s="80">
        <v>-8</v>
      </c>
      <c r="C473" s="79">
        <v>15</v>
      </c>
      <c r="D473" s="79">
        <v>2</v>
      </c>
      <c r="E473" s="80">
        <v>-31</v>
      </c>
      <c r="F473" s="57">
        <v>23.94</v>
      </c>
      <c r="G473" s="79">
        <v>6182</v>
      </c>
      <c r="H473" s="50" t="s">
        <v>1410</v>
      </c>
      <c r="I473" s="16" t="s">
        <v>166</v>
      </c>
      <c r="J473" s="323">
        <v>26.05</v>
      </c>
      <c r="K473" s="73">
        <v>10.89</v>
      </c>
      <c r="L473" s="73">
        <v>39.659999999999997</v>
      </c>
      <c r="N473" s="318">
        <f>R473+K473+J473+L473</f>
        <v>420.6</v>
      </c>
      <c r="O473" s="81">
        <f>IFERROR(VLOOKUP($G473,'321買'!A:E,3,0),"'沒有資料'")</f>
        <v>79</v>
      </c>
      <c r="P473" s="380">
        <f>IFERROR(VLOOKUP($G473,'321買'!$A:$G,7,0),"'沒有資料'")</f>
        <v>17</v>
      </c>
      <c r="R473" s="297">
        <f>IFERROR(RANK(VLOOKUP($G473,連買!$A:$D,4,0),連買!$D:$D,0),"'沒有資料'")</f>
        <v>344</v>
      </c>
      <c r="S473" s="34">
        <v>2.5</v>
      </c>
      <c r="U473" s="95">
        <f>S473/V473</f>
        <v>7.1428571428571425E-2</v>
      </c>
      <c r="V473" s="36">
        <v>35</v>
      </c>
      <c r="W473" s="45">
        <v>33.75</v>
      </c>
      <c r="X473" s="15">
        <f>V473-W473</f>
        <v>1.25</v>
      </c>
      <c r="Y473" s="63">
        <f>X473/W473</f>
        <v>3.7037037037037035E-2</v>
      </c>
      <c r="Z473" s="102" t="s">
        <v>1674</v>
      </c>
      <c r="AA473" s="126"/>
      <c r="AD473" s="16" t="s">
        <v>166</v>
      </c>
      <c r="AE473" s="84">
        <v>43731</v>
      </c>
      <c r="AG473" s="33">
        <f>AF473-AE473</f>
        <v>-43731</v>
      </c>
      <c r="AH473" s="119"/>
      <c r="AU473" s="11"/>
    </row>
    <row r="474" spans="1:47">
      <c r="B474" s="80"/>
      <c r="C474" s="79"/>
      <c r="D474" s="79"/>
      <c r="E474" s="80"/>
      <c r="F474" s="57"/>
      <c r="G474" s="41"/>
      <c r="H474" s="50"/>
      <c r="I474" s="16"/>
      <c r="J474" s="323"/>
      <c r="K474" s="73"/>
      <c r="N474" s="318"/>
      <c r="S474" s="34"/>
      <c r="U474" s="95"/>
      <c r="V474" s="13">
        <f>SUM(V470:V473)</f>
        <v>140</v>
      </c>
      <c r="W474" s="45">
        <f>SUM(W470:W473)</f>
        <v>136.1</v>
      </c>
      <c r="X474" s="15">
        <f>V474-W474</f>
        <v>3.9000000000000057</v>
      </c>
      <c r="Y474" s="63">
        <f>X474/W474</f>
        <v>2.8655400440852359E-2</v>
      </c>
      <c r="Z474" s="102"/>
      <c r="AA474" s="126"/>
      <c r="AD474" s="16"/>
      <c r="AG474" s="33"/>
      <c r="AH474" s="119"/>
      <c r="AU474" s="11"/>
    </row>
    <row r="475" spans="1:47">
      <c r="A475" s="130" t="s">
        <v>1732</v>
      </c>
      <c r="B475" s="91" t="s">
        <v>1588</v>
      </c>
      <c r="C475" s="91" t="s">
        <v>1589</v>
      </c>
      <c r="D475" s="91" t="s">
        <v>1590</v>
      </c>
      <c r="E475" s="91" t="s">
        <v>1591</v>
      </c>
      <c r="F475" s="8" t="s">
        <v>1066</v>
      </c>
      <c r="G475" s="25" t="s">
        <v>388</v>
      </c>
      <c r="H475" s="55" t="s">
        <v>322</v>
      </c>
      <c r="I475" s="1" t="s">
        <v>69</v>
      </c>
      <c r="J475" s="317" t="s">
        <v>1467</v>
      </c>
      <c r="K475" s="317" t="s">
        <v>1157</v>
      </c>
      <c r="L475" s="317" t="s">
        <v>284</v>
      </c>
      <c r="M475" s="317"/>
      <c r="N475" s="317" t="s">
        <v>1065</v>
      </c>
      <c r="P475" s="374" t="s">
        <v>1059</v>
      </c>
      <c r="R475" s="151" t="s">
        <v>1059</v>
      </c>
      <c r="S475" s="10" t="s">
        <v>66</v>
      </c>
      <c r="U475" s="68" t="s">
        <v>1502</v>
      </c>
      <c r="V475" s="28" t="s">
        <v>2</v>
      </c>
      <c r="W475" s="17" t="s">
        <v>1405</v>
      </c>
      <c r="X475" s="14" t="s">
        <v>5</v>
      </c>
      <c r="Y475" s="21" t="s">
        <v>3</v>
      </c>
      <c r="Z475" s="25" t="s">
        <v>105</v>
      </c>
      <c r="AA475" s="126"/>
      <c r="AD475" s="1" t="s">
        <v>69</v>
      </c>
      <c r="AE475" s="71" t="s">
        <v>1406</v>
      </c>
      <c r="AF475" s="72" t="s">
        <v>1163</v>
      </c>
      <c r="AG475" s="32" t="s">
        <v>1164</v>
      </c>
    </row>
    <row r="476" spans="1:47" s="7" customFormat="1" ht="17.100000000000001" customHeight="1">
      <c r="A476" s="56"/>
      <c r="B476" s="80">
        <v>-5</v>
      </c>
      <c r="C476" s="80">
        <v>-17</v>
      </c>
      <c r="D476" s="80">
        <v>-5</v>
      </c>
      <c r="E476" s="80">
        <v>-17</v>
      </c>
      <c r="F476" s="57">
        <v>14.01</v>
      </c>
      <c r="G476" s="79">
        <v>2704</v>
      </c>
      <c r="H476" s="8" t="s">
        <v>1409</v>
      </c>
      <c r="I476" s="22" t="s">
        <v>0</v>
      </c>
      <c r="J476" s="323">
        <v>81.69</v>
      </c>
      <c r="K476" s="323">
        <v>8.7899999999999991</v>
      </c>
      <c r="L476" s="73">
        <v>2.41</v>
      </c>
      <c r="M476" s="318"/>
      <c r="N476" s="318">
        <f>R476+K476+J476+L476</f>
        <v>851.89</v>
      </c>
      <c r="O476" s="81">
        <f>IFERROR(VLOOKUP($G476,'321買'!A:E,3,0),"'沒有資料'")</f>
        <v>0</v>
      </c>
      <c r="P476" s="380">
        <f>IFERROR(VLOOKUP($G476,'321買'!$A:$G,7,0),"'沒有資料'")</f>
        <v>911</v>
      </c>
      <c r="Q476" s="302"/>
      <c r="R476" s="297">
        <f>IFERROR(RANK(VLOOKUP($G476,連買!$A:$D,4,0),連買!$D:$D,0),"'沒有資料'")</f>
        <v>759</v>
      </c>
      <c r="S476" s="34">
        <v>0.4</v>
      </c>
      <c r="T476" s="354"/>
      <c r="U476" s="95">
        <f>S476/V476</f>
        <v>1.6736401673640169E-2</v>
      </c>
      <c r="V476" s="13">
        <v>23.9</v>
      </c>
      <c r="W476" s="66">
        <f>23.88-0.7-0.4-0.4</f>
        <v>22.380000000000003</v>
      </c>
      <c r="X476" s="15">
        <f>V476-W476</f>
        <v>1.519999999999996</v>
      </c>
      <c r="Y476" s="63">
        <f>X476/W476</f>
        <v>6.7917783735477924E-2</v>
      </c>
      <c r="Z476" s="131" t="s">
        <v>1663</v>
      </c>
      <c r="AA476" s="126"/>
      <c r="AB476" s="251"/>
      <c r="AC476" s="410"/>
      <c r="AD476" s="22" t="s">
        <v>0</v>
      </c>
      <c r="AE476" s="84">
        <v>42800</v>
      </c>
      <c r="AF476" s="83"/>
      <c r="AG476" s="33">
        <f>AF476-AE476</f>
        <v>-42800</v>
      </c>
      <c r="AH476" s="41" t="s">
        <v>1128</v>
      </c>
      <c r="AI476" s="51"/>
      <c r="AJ476" s="18"/>
      <c r="AK476" s="264"/>
      <c r="AL476" s="264"/>
      <c r="AM476" s="264"/>
      <c r="AN476" s="264"/>
      <c r="AO476" s="264"/>
      <c r="AP476" s="264"/>
      <c r="AQ476" s="264"/>
      <c r="AR476" s="264"/>
      <c r="AS476" s="264"/>
      <c r="AT476" s="264"/>
    </row>
    <row r="477" spans="1:47">
      <c r="A477" s="119"/>
      <c r="B477" s="79">
        <v>2</v>
      </c>
      <c r="C477" s="80">
        <v>-30</v>
      </c>
      <c r="D477" s="79">
        <v>2</v>
      </c>
      <c r="E477" s="80">
        <v>-30</v>
      </c>
      <c r="F477" s="57">
        <v>10.220000000000001</v>
      </c>
      <c r="G477" s="79">
        <v>2704</v>
      </c>
      <c r="H477" s="50" t="s">
        <v>1410</v>
      </c>
      <c r="I477" s="22" t="s">
        <v>0</v>
      </c>
      <c r="J477" s="73">
        <v>81.91</v>
      </c>
      <c r="K477" s="323">
        <v>8.74</v>
      </c>
      <c r="L477" s="323">
        <v>2.2599999999999998</v>
      </c>
      <c r="N477" s="318">
        <f>R477+K477+J477+L477</f>
        <v>851.91</v>
      </c>
      <c r="O477" s="81">
        <f>IFERROR(VLOOKUP($G477,'321買'!A:E,3,0),"'沒有資料'")</f>
        <v>0</v>
      </c>
      <c r="P477" s="380">
        <f>IFERROR(VLOOKUP($G477,'321買'!$A:$G,7,0),"'沒有資料'")</f>
        <v>911</v>
      </c>
      <c r="R477" s="297">
        <f>IFERROR(RANK(VLOOKUP($G477,連買!$A:$D,4,0),連買!$D:$D,0),"'沒有資料'")</f>
        <v>759</v>
      </c>
      <c r="S477" s="34">
        <v>0.4</v>
      </c>
      <c r="U477" s="95">
        <f>S477/V477</f>
        <v>1.6736401673640169E-2</v>
      </c>
      <c r="V477" s="36">
        <v>23.9</v>
      </c>
      <c r="W477" s="66">
        <v>21.4</v>
      </c>
      <c r="X477" s="15">
        <f>V477-W477</f>
        <v>2.5</v>
      </c>
      <c r="Y477" s="63">
        <f>X477/W477</f>
        <v>0.11682242990654207</v>
      </c>
      <c r="Z477" s="114" t="s">
        <v>1673</v>
      </c>
      <c r="AA477" s="126"/>
      <c r="AD477" s="22" t="s">
        <v>0</v>
      </c>
      <c r="AE477" s="84">
        <v>43705</v>
      </c>
      <c r="AG477" s="33">
        <f>AF477-AE477</f>
        <v>-43705</v>
      </c>
      <c r="AH477" s="119" t="s">
        <v>1128</v>
      </c>
      <c r="AI477" s="264"/>
    </row>
    <row r="478" spans="1:47" s="7" customFormat="1" ht="17.100000000000001" customHeight="1">
      <c r="A478" s="56"/>
      <c r="B478" s="80"/>
      <c r="C478" s="80"/>
      <c r="D478" s="80"/>
      <c r="E478" s="80"/>
      <c r="F478" s="57"/>
      <c r="G478" s="41"/>
      <c r="H478" s="8"/>
      <c r="I478" s="22"/>
      <c r="J478" s="323"/>
      <c r="K478" s="323"/>
      <c r="L478" s="73"/>
      <c r="M478" s="318"/>
      <c r="N478" s="318"/>
      <c r="O478" s="350"/>
      <c r="P478" s="374"/>
      <c r="Q478" s="302"/>
      <c r="R478" s="151"/>
      <c r="S478" s="34"/>
      <c r="T478" s="354"/>
      <c r="U478" s="95"/>
      <c r="V478" s="13">
        <f>SUM(V476:V477)</f>
        <v>47.8</v>
      </c>
      <c r="W478" s="45">
        <f>SUM(W476:W477)</f>
        <v>43.78</v>
      </c>
      <c r="X478" s="15">
        <f>V478-W478</f>
        <v>4.019999999999996</v>
      </c>
      <c r="Y478" s="63">
        <f>X478/W478</f>
        <v>9.1822750114207305E-2</v>
      </c>
      <c r="Z478" s="115"/>
      <c r="AA478" s="126"/>
      <c r="AB478" s="251"/>
      <c r="AC478" s="410"/>
      <c r="AD478" s="22"/>
      <c r="AE478" s="84"/>
      <c r="AF478" s="83"/>
      <c r="AG478" s="33"/>
      <c r="AH478" s="119"/>
      <c r="AI478" s="51"/>
      <c r="AJ478" s="18"/>
      <c r="AK478" s="264"/>
      <c r="AL478" s="264"/>
      <c r="AM478" s="264"/>
      <c r="AN478" s="264"/>
      <c r="AO478" s="264"/>
      <c r="AP478" s="264"/>
      <c r="AQ478" s="264"/>
      <c r="AR478" s="264"/>
      <c r="AS478" s="264"/>
      <c r="AT478" s="264"/>
    </row>
    <row r="479" spans="1:47">
      <c r="A479" s="130" t="s">
        <v>1732</v>
      </c>
      <c r="B479" s="91" t="s">
        <v>1588</v>
      </c>
      <c r="C479" s="91" t="s">
        <v>1589</v>
      </c>
      <c r="D479" s="91" t="s">
        <v>1590</v>
      </c>
      <c r="E479" s="91" t="s">
        <v>1591</v>
      </c>
      <c r="F479" s="8" t="s">
        <v>1066</v>
      </c>
      <c r="G479" s="25" t="s">
        <v>388</v>
      </c>
      <c r="H479" s="55" t="s">
        <v>322</v>
      </c>
      <c r="I479" s="1" t="s">
        <v>69</v>
      </c>
      <c r="J479" s="317" t="s">
        <v>1467</v>
      </c>
      <c r="K479" s="317" t="s">
        <v>1157</v>
      </c>
      <c r="L479" s="317" t="s">
        <v>284</v>
      </c>
      <c r="M479" s="317"/>
      <c r="N479" s="317" t="s">
        <v>1065</v>
      </c>
      <c r="P479" s="374" t="s">
        <v>1059</v>
      </c>
      <c r="R479" s="151" t="s">
        <v>1059</v>
      </c>
      <c r="S479" s="10" t="s">
        <v>66</v>
      </c>
      <c r="U479" s="68" t="s">
        <v>1502</v>
      </c>
      <c r="V479" s="28" t="s">
        <v>2</v>
      </c>
      <c r="W479" s="17" t="s">
        <v>1405</v>
      </c>
      <c r="X479" s="14" t="s">
        <v>5</v>
      </c>
      <c r="Y479" s="21" t="s">
        <v>3</v>
      </c>
      <c r="Z479" s="25" t="s">
        <v>105</v>
      </c>
      <c r="AA479" s="126"/>
      <c r="AD479" s="1" t="s">
        <v>69</v>
      </c>
      <c r="AE479" s="71" t="s">
        <v>1406</v>
      </c>
      <c r="AF479" s="72" t="s">
        <v>1163</v>
      </c>
      <c r="AG479" s="32" t="s">
        <v>1164</v>
      </c>
      <c r="AH479" s="46" t="s">
        <v>1595</v>
      </c>
    </row>
    <row r="480" spans="1:47">
      <c r="B480" s="80"/>
      <c r="C480" s="80"/>
      <c r="D480" s="80"/>
      <c r="E480" s="80"/>
      <c r="F480" s="6"/>
      <c r="G480" s="79">
        <v>2354</v>
      </c>
      <c r="H480" s="30"/>
      <c r="I480" s="22" t="s">
        <v>16</v>
      </c>
      <c r="J480" s="323"/>
      <c r="K480" s="73"/>
      <c r="L480" s="323"/>
      <c r="N480" s="318"/>
      <c r="S480" s="34"/>
      <c r="U480" s="95"/>
      <c r="V480" s="13">
        <v>197.4</v>
      </c>
      <c r="W480" s="45">
        <v>189.1</v>
      </c>
      <c r="X480" s="15">
        <f t="shared" ref="X480:X485" si="100">V480-W480</f>
        <v>8.3000000000000114</v>
      </c>
      <c r="Y480" s="63">
        <f t="shared" ref="Y480:Y485" si="101">X480/W480</f>
        <v>4.3892120571126451E-2</v>
      </c>
      <c r="Z480" s="114"/>
      <c r="AA480" s="126"/>
      <c r="AD480" s="22" t="s">
        <v>16</v>
      </c>
      <c r="AF480" s="83">
        <v>43733</v>
      </c>
      <c r="AG480" s="33">
        <f>AF480-AE480</f>
        <v>43733</v>
      </c>
      <c r="AH480" s="119"/>
    </row>
    <row r="481" spans="1:46">
      <c r="B481" s="79"/>
      <c r="C481" s="93"/>
      <c r="D481" s="79"/>
      <c r="E481" s="93"/>
      <c r="F481" s="57"/>
      <c r="G481" s="79">
        <v>2855</v>
      </c>
      <c r="H481" s="8"/>
      <c r="I481" s="22" t="s">
        <v>337</v>
      </c>
      <c r="J481" s="323"/>
      <c r="K481" s="73"/>
      <c r="L481" s="323"/>
      <c r="N481" s="318"/>
      <c r="S481" s="34"/>
      <c r="U481" s="95"/>
      <c r="V481" s="13">
        <v>80.099999999999994</v>
      </c>
      <c r="W481" s="45">
        <v>78.260000000000005</v>
      </c>
      <c r="X481" s="15">
        <f t="shared" si="100"/>
        <v>1.8399999999999892</v>
      </c>
      <c r="Y481" s="63">
        <f t="shared" si="101"/>
        <v>2.351137234858151E-2</v>
      </c>
      <c r="Z481" s="115"/>
      <c r="AA481" s="126"/>
      <c r="AD481" s="22" t="s">
        <v>337</v>
      </c>
      <c r="AF481" s="83">
        <v>43724</v>
      </c>
      <c r="AG481" s="33">
        <f>AF481-AE481</f>
        <v>43724</v>
      </c>
      <c r="AH481" s="119"/>
      <c r="AK481" s="11"/>
      <c r="AL481" s="11"/>
      <c r="AM481" s="11"/>
      <c r="AN481" s="11"/>
      <c r="AQ481" s="7"/>
      <c r="AR481" s="31"/>
      <c r="AS481" s="7"/>
      <c r="AT481" s="7"/>
    </row>
    <row r="482" spans="1:46">
      <c r="B482" s="80"/>
      <c r="C482" s="80"/>
      <c r="D482" s="80"/>
      <c r="E482" s="80"/>
      <c r="F482" s="6"/>
      <c r="G482" s="79">
        <v>1710</v>
      </c>
      <c r="H482" s="30"/>
      <c r="I482" s="22" t="s">
        <v>319</v>
      </c>
      <c r="J482" s="323"/>
      <c r="K482" s="323"/>
      <c r="L482" s="323"/>
      <c r="N482" s="318"/>
      <c r="S482" s="34"/>
      <c r="U482" s="95"/>
      <c r="V482" s="13">
        <v>135.6</v>
      </c>
      <c r="W482" s="45">
        <v>133.6</v>
      </c>
      <c r="X482" s="15">
        <f t="shared" si="100"/>
        <v>2</v>
      </c>
      <c r="Y482" s="63">
        <f t="shared" si="101"/>
        <v>1.4970059880239521E-2</v>
      </c>
      <c r="Z482" s="115"/>
      <c r="AA482" s="126"/>
      <c r="AD482" s="22" t="s">
        <v>319</v>
      </c>
      <c r="AF482" s="83">
        <v>43724</v>
      </c>
      <c r="AG482" s="33">
        <f>AF482-AE482</f>
        <v>43724</v>
      </c>
      <c r="AH482" s="119"/>
    </row>
    <row r="483" spans="1:46">
      <c r="B483" s="80"/>
      <c r="C483" s="80"/>
      <c r="D483" s="80"/>
      <c r="E483" s="80"/>
      <c r="F483" s="6"/>
      <c r="G483" s="79">
        <v>1605</v>
      </c>
      <c r="H483" s="30"/>
      <c r="I483" s="22" t="s">
        <v>110</v>
      </c>
      <c r="J483" s="323"/>
      <c r="K483" s="323"/>
      <c r="L483" s="323"/>
      <c r="N483" s="318"/>
      <c r="S483" s="34"/>
      <c r="U483" s="95"/>
      <c r="V483" s="13">
        <v>147.5</v>
      </c>
      <c r="W483" s="45">
        <v>140.85</v>
      </c>
      <c r="X483" s="15">
        <f t="shared" si="100"/>
        <v>6.6500000000000057</v>
      </c>
      <c r="Y483" s="63">
        <f t="shared" si="101"/>
        <v>4.7213347532836396E-2</v>
      </c>
      <c r="Z483" s="114"/>
      <c r="AA483" s="126"/>
      <c r="AD483" s="22" t="s">
        <v>110</v>
      </c>
      <c r="AF483" s="83">
        <v>43724</v>
      </c>
      <c r="AG483" s="33">
        <f>AF483-AE483</f>
        <v>43724</v>
      </c>
      <c r="AH483" s="119"/>
    </row>
    <row r="484" spans="1:46" s="7" customFormat="1" ht="17.100000000000001" customHeight="1">
      <c r="A484" s="41"/>
      <c r="B484" s="80"/>
      <c r="C484" s="80"/>
      <c r="D484" s="80"/>
      <c r="E484" s="80"/>
      <c r="F484" s="6"/>
      <c r="G484" s="79">
        <v>1304</v>
      </c>
      <c r="H484" s="8"/>
      <c r="I484" s="22" t="s">
        <v>64</v>
      </c>
      <c r="J484" s="73"/>
      <c r="K484" s="323"/>
      <c r="L484" s="73"/>
      <c r="M484" s="318"/>
      <c r="N484" s="318"/>
      <c r="O484" s="350"/>
      <c r="P484" s="374"/>
      <c r="Q484" s="302"/>
      <c r="R484" s="151"/>
      <c r="S484" s="34"/>
      <c r="T484" s="354"/>
      <c r="U484" s="95"/>
      <c r="V484" s="13">
        <v>135.80000000000001</v>
      </c>
      <c r="W484" s="45">
        <v>133.85</v>
      </c>
      <c r="X484" s="15">
        <f t="shared" si="100"/>
        <v>1.9500000000000171</v>
      </c>
      <c r="Y484" s="63">
        <f t="shared" si="101"/>
        <v>1.4568546880836886E-2</v>
      </c>
      <c r="Z484" s="116"/>
      <c r="AA484" s="126"/>
      <c r="AB484" s="251"/>
      <c r="AC484" s="410"/>
      <c r="AD484" s="22" t="s">
        <v>64</v>
      </c>
      <c r="AE484" s="84"/>
      <c r="AF484" s="83">
        <v>43724</v>
      </c>
      <c r="AG484" s="138">
        <f>AF484-AE484</f>
        <v>43724</v>
      </c>
      <c r="AH484" s="119"/>
      <c r="AI484" s="27"/>
      <c r="AJ484" s="17"/>
      <c r="AK484" s="11"/>
      <c r="AL484" s="11"/>
      <c r="AM484" s="11"/>
      <c r="AN484" s="11"/>
      <c r="AO484" s="264"/>
      <c r="AP484" s="264"/>
      <c r="AR484" s="4"/>
      <c r="AS484" s="264"/>
      <c r="AT484" s="264"/>
    </row>
    <row r="485" spans="1:46" s="7" customFormat="1" ht="17.100000000000001" customHeight="1">
      <c r="A485" s="41"/>
      <c r="B485" s="80"/>
      <c r="C485" s="80"/>
      <c r="D485" s="80"/>
      <c r="E485" s="80"/>
      <c r="F485" s="6"/>
      <c r="G485" s="41"/>
      <c r="H485" s="8"/>
      <c r="I485" s="22"/>
      <c r="J485" s="73"/>
      <c r="K485" s="323"/>
      <c r="L485" s="73"/>
      <c r="M485" s="318"/>
      <c r="N485" s="318"/>
      <c r="O485" s="350"/>
      <c r="P485" s="374"/>
      <c r="Q485" s="302"/>
      <c r="R485" s="151"/>
      <c r="S485" s="34"/>
      <c r="T485" s="354"/>
      <c r="U485" s="95"/>
      <c r="V485" s="13">
        <f>SUM(V480:V484)</f>
        <v>696.40000000000009</v>
      </c>
      <c r="W485" s="45">
        <f>SUM(W480:W484)</f>
        <v>675.66000000000008</v>
      </c>
      <c r="X485" s="15">
        <f t="shared" si="100"/>
        <v>20.740000000000009</v>
      </c>
      <c r="Y485" s="63">
        <f t="shared" si="101"/>
        <v>3.0695912145161777E-2</v>
      </c>
      <c r="Z485" s="116"/>
      <c r="AA485" s="126"/>
      <c r="AB485" s="251"/>
      <c r="AC485" s="410"/>
      <c r="AD485" s="22"/>
      <c r="AE485" s="84"/>
      <c r="AF485" s="83"/>
      <c r="AG485" s="138"/>
      <c r="AH485" s="119"/>
      <c r="AI485" s="27"/>
      <c r="AJ485" s="17"/>
      <c r="AK485" s="11"/>
      <c r="AL485" s="11"/>
      <c r="AM485" s="11"/>
      <c r="AN485" s="11"/>
      <c r="AO485" s="264"/>
      <c r="AP485" s="264"/>
      <c r="AR485" s="4"/>
      <c r="AS485" s="264"/>
      <c r="AT485" s="264"/>
    </row>
    <row r="486" spans="1:46">
      <c r="A486" s="130" t="s">
        <v>1732</v>
      </c>
      <c r="B486" s="91" t="s">
        <v>1588</v>
      </c>
      <c r="C486" s="91" t="s">
        <v>1589</v>
      </c>
      <c r="D486" s="91" t="s">
        <v>1590</v>
      </c>
      <c r="E486" s="91" t="s">
        <v>1591</v>
      </c>
      <c r="F486" s="8" t="s">
        <v>1066</v>
      </c>
      <c r="G486" s="25" t="s">
        <v>388</v>
      </c>
      <c r="H486" s="55" t="s">
        <v>322</v>
      </c>
      <c r="I486" s="1" t="s">
        <v>69</v>
      </c>
      <c r="J486" s="317" t="s">
        <v>1467</v>
      </c>
      <c r="K486" s="317" t="s">
        <v>1157</v>
      </c>
      <c r="L486" s="317" t="s">
        <v>284</v>
      </c>
      <c r="M486" s="317"/>
      <c r="N486" s="317" t="s">
        <v>1065</v>
      </c>
      <c r="P486" s="374" t="s">
        <v>1059</v>
      </c>
      <c r="R486" s="151" t="s">
        <v>1059</v>
      </c>
      <c r="S486" s="10" t="s">
        <v>66</v>
      </c>
      <c r="U486" s="68" t="s">
        <v>1502</v>
      </c>
      <c r="V486" s="28" t="s">
        <v>2</v>
      </c>
      <c r="W486" s="17" t="s">
        <v>1405</v>
      </c>
      <c r="X486" s="14" t="s">
        <v>5</v>
      </c>
      <c r="Y486" s="21" t="s">
        <v>3</v>
      </c>
      <c r="Z486" s="25" t="s">
        <v>105</v>
      </c>
      <c r="AA486" s="126"/>
      <c r="AD486" s="1" t="s">
        <v>69</v>
      </c>
      <c r="AE486" s="71" t="s">
        <v>1406</v>
      </c>
      <c r="AF486" s="72" t="s">
        <v>1163</v>
      </c>
      <c r="AG486" s="32" t="s">
        <v>1164</v>
      </c>
      <c r="AH486" s="46" t="s">
        <v>1633</v>
      </c>
    </row>
    <row r="487" spans="1:46">
      <c r="B487" s="79">
        <v>80</v>
      </c>
      <c r="C487" s="79">
        <v>78</v>
      </c>
      <c r="D487" s="79">
        <v>80</v>
      </c>
      <c r="E487" s="79">
        <v>78</v>
      </c>
      <c r="F487" s="57">
        <v>26.24</v>
      </c>
      <c r="G487" s="79">
        <v>6173</v>
      </c>
      <c r="H487" s="30" t="s">
        <v>1469</v>
      </c>
      <c r="I487" s="16" t="s">
        <v>82</v>
      </c>
      <c r="J487" s="323">
        <v>51.77</v>
      </c>
      <c r="K487" s="323">
        <v>3.39</v>
      </c>
      <c r="L487" s="323">
        <v>27.29</v>
      </c>
      <c r="N487" s="318">
        <f>R487+K487+J487+L487</f>
        <v>415.45</v>
      </c>
      <c r="O487" s="81">
        <f>IFERROR(VLOOKUP($G487,'321買'!A:E,3,0),"'沒有資料'")</f>
        <v>9</v>
      </c>
      <c r="P487" s="380">
        <f>IFERROR(VLOOKUP($G487,'321買'!$A:$G,7,0),"'沒有資料'")</f>
        <v>387</v>
      </c>
      <c r="R487" s="297">
        <f>IFERROR(RANK(VLOOKUP($G487,連買!$A:$D,4,0),連買!$D:$D,0),"'沒有資料'")</f>
        <v>333</v>
      </c>
      <c r="S487" s="34">
        <v>4.3</v>
      </c>
      <c r="U487" s="57">
        <f>S487/V487</f>
        <v>7.5438596491228069E-2</v>
      </c>
      <c r="V487" s="13">
        <v>57</v>
      </c>
      <c r="W487" s="45">
        <v>63.1</v>
      </c>
      <c r="X487" s="15">
        <f t="shared" ref="X487:X492" si="102">V487-W487</f>
        <v>-6.1000000000000014</v>
      </c>
      <c r="Y487" s="63">
        <f t="shared" ref="Y487:Y492" si="103">X487/W487</f>
        <v>-9.667194928684629E-2</v>
      </c>
      <c r="Z487" s="114" t="s">
        <v>1634</v>
      </c>
      <c r="AA487" s="126"/>
      <c r="AD487" s="16" t="s">
        <v>82</v>
      </c>
      <c r="AE487" s="84">
        <v>43677</v>
      </c>
      <c r="AF487" s="83">
        <v>43734</v>
      </c>
      <c r="AG487" s="33">
        <f>AF487-AE487</f>
        <v>57</v>
      </c>
      <c r="AH487" s="119" t="s">
        <v>1514</v>
      </c>
    </row>
    <row r="488" spans="1:46" ht="16.5" customHeight="1">
      <c r="A488" s="119"/>
      <c r="B488" s="80">
        <v>-26</v>
      </c>
      <c r="C488" s="80">
        <v>-18</v>
      </c>
      <c r="D488" s="80">
        <v>-26</v>
      </c>
      <c r="E488" s="80">
        <v>-18</v>
      </c>
      <c r="F488" s="57">
        <v>23.76</v>
      </c>
      <c r="G488" s="79">
        <v>6173</v>
      </c>
      <c r="H488" s="30" t="s">
        <v>1469</v>
      </c>
      <c r="I488" s="16" t="s">
        <v>82</v>
      </c>
      <c r="J488" s="323">
        <v>49.47</v>
      </c>
      <c r="K488" s="323">
        <v>2.89</v>
      </c>
      <c r="L488" s="73">
        <v>29.22</v>
      </c>
      <c r="N488" s="318">
        <f>R488+K488+J488+L488</f>
        <v>414.58000000000004</v>
      </c>
      <c r="O488" s="81">
        <f>IFERROR(VLOOKUP($G488,'321買'!A:E,3,0),"'沒有資料'")</f>
        <v>9</v>
      </c>
      <c r="P488" s="380">
        <f>IFERROR(VLOOKUP($G488,'321買'!$A:$G,7,0),"'沒有資料'")</f>
        <v>387</v>
      </c>
      <c r="R488" s="297">
        <f>IFERROR(RANK(VLOOKUP($G488,連買!$A:$D,4,0),連買!$D:$D,0),"'沒有資料'")</f>
        <v>333</v>
      </c>
      <c r="S488" s="34">
        <v>4.3</v>
      </c>
      <c r="U488" s="57">
        <f>S488/V488</f>
        <v>7.5438596491228069E-2</v>
      </c>
      <c r="V488" s="36">
        <v>57</v>
      </c>
      <c r="W488" s="45">
        <v>56.2</v>
      </c>
      <c r="X488" s="15">
        <f t="shared" si="102"/>
        <v>0.79999999999999716</v>
      </c>
      <c r="Y488" s="63">
        <f t="shared" si="103"/>
        <v>1.4234875444839807E-2</v>
      </c>
      <c r="Z488" s="114" t="s">
        <v>1635</v>
      </c>
      <c r="AA488" s="126"/>
      <c r="AD488" s="16" t="s">
        <v>82</v>
      </c>
      <c r="AE488" s="84">
        <v>43710</v>
      </c>
      <c r="AF488" s="83">
        <v>43734</v>
      </c>
      <c r="AG488" s="33">
        <f>AF488-AE488</f>
        <v>24</v>
      </c>
      <c r="AH488" s="119"/>
      <c r="AI488" s="264"/>
    </row>
    <row r="489" spans="1:46" ht="16.5" customHeight="1">
      <c r="A489" s="119"/>
      <c r="B489" s="80">
        <v>-26</v>
      </c>
      <c r="C489" s="80">
        <v>-18</v>
      </c>
      <c r="D489" s="80">
        <v>-26</v>
      </c>
      <c r="E489" s="80">
        <v>-18</v>
      </c>
      <c r="F489" s="57">
        <v>23.76</v>
      </c>
      <c r="G489" s="79">
        <v>6173</v>
      </c>
      <c r="H489" s="50" t="s">
        <v>1410</v>
      </c>
      <c r="I489" s="16" t="s">
        <v>82</v>
      </c>
      <c r="J489" s="323">
        <v>49.47</v>
      </c>
      <c r="K489" s="323">
        <v>2.89</v>
      </c>
      <c r="L489" s="73">
        <v>29.22</v>
      </c>
      <c r="N489" s="318">
        <f>R489+K489+J489+L489</f>
        <v>414.58000000000004</v>
      </c>
      <c r="O489" s="81">
        <f>IFERROR(VLOOKUP($G489,'321買'!A:E,3,0),"'沒有資料'")</f>
        <v>9</v>
      </c>
      <c r="P489" s="380">
        <f>IFERROR(VLOOKUP($G489,'321買'!$A:$G,7,0),"'沒有資料'")</f>
        <v>387</v>
      </c>
      <c r="R489" s="297">
        <f>IFERROR(RANK(VLOOKUP($G489,連買!$A:$D,4,0),連買!$D:$D,0),"'沒有資料'")</f>
        <v>333</v>
      </c>
      <c r="S489" s="34">
        <v>4.3</v>
      </c>
      <c r="U489" s="57">
        <f>S489/V489</f>
        <v>7.5174825174825169E-2</v>
      </c>
      <c r="V489" s="36">
        <v>57.2</v>
      </c>
      <c r="W489" s="45">
        <v>56.2</v>
      </c>
      <c r="X489" s="15">
        <f t="shared" si="102"/>
        <v>1</v>
      </c>
      <c r="Y489" s="63">
        <f t="shared" si="103"/>
        <v>1.779359430604982E-2</v>
      </c>
      <c r="Z489" s="114" t="s">
        <v>1636</v>
      </c>
      <c r="AA489" s="264"/>
      <c r="AD489" s="16" t="s">
        <v>82</v>
      </c>
      <c r="AE489" s="84">
        <v>43710</v>
      </c>
      <c r="AF489" s="83">
        <v>43734</v>
      </c>
      <c r="AG489" s="33">
        <f>AF489-AE489</f>
        <v>24</v>
      </c>
      <c r="AH489" s="119" t="s">
        <v>1632</v>
      </c>
      <c r="AI489" s="264"/>
    </row>
    <row r="490" spans="1:46" ht="16.5" customHeight="1">
      <c r="A490" s="119"/>
      <c r="B490" s="80">
        <v>-26</v>
      </c>
      <c r="C490" s="80">
        <v>-18</v>
      </c>
      <c r="D490" s="79">
        <v>2</v>
      </c>
      <c r="E490" s="80">
        <v>-51</v>
      </c>
      <c r="F490" s="57">
        <v>23.76</v>
      </c>
      <c r="G490" s="79">
        <v>6173</v>
      </c>
      <c r="H490" s="50" t="s">
        <v>1410</v>
      </c>
      <c r="I490" s="16" t="s">
        <v>82</v>
      </c>
      <c r="J490" s="323">
        <v>49.7</v>
      </c>
      <c r="K490" s="323">
        <v>2.59</v>
      </c>
      <c r="L490" s="73">
        <v>28.97</v>
      </c>
      <c r="N490" s="318">
        <f>R490+K490+J490+L490</f>
        <v>414.26</v>
      </c>
      <c r="O490" s="81">
        <f>IFERROR(VLOOKUP($G490,'321買'!A:E,3,0),"'沒有資料'")</f>
        <v>9</v>
      </c>
      <c r="P490" s="380">
        <f>IFERROR(VLOOKUP($G490,'321買'!$A:$G,7,0),"'沒有資料'")</f>
        <v>387</v>
      </c>
      <c r="R490" s="297">
        <f>IFERROR(RANK(VLOOKUP($G490,連買!$A:$D,4,0),連買!$D:$D,0),"'沒有資料'")</f>
        <v>333</v>
      </c>
      <c r="S490" s="34">
        <v>4.3</v>
      </c>
      <c r="U490" s="57">
        <f>S490/V490</f>
        <v>7.5174825174825169E-2</v>
      </c>
      <c r="V490" s="36">
        <v>57.2</v>
      </c>
      <c r="W490" s="45">
        <v>54.4</v>
      </c>
      <c r="X490" s="15">
        <f t="shared" si="102"/>
        <v>2.8000000000000043</v>
      </c>
      <c r="Y490" s="63">
        <f t="shared" si="103"/>
        <v>5.1470588235294198E-2</v>
      </c>
      <c r="Z490" s="114" t="s">
        <v>1637</v>
      </c>
      <c r="AA490" s="126"/>
      <c r="AD490" s="16" t="s">
        <v>82</v>
      </c>
      <c r="AE490" s="84">
        <v>43727</v>
      </c>
      <c r="AF490" s="83">
        <v>43734</v>
      </c>
      <c r="AG490" s="33">
        <f>AF490-AE490</f>
        <v>7</v>
      </c>
      <c r="AH490" s="119"/>
      <c r="AI490" s="264"/>
    </row>
    <row r="491" spans="1:46" ht="16.5" customHeight="1">
      <c r="A491" s="119"/>
      <c r="B491" s="80">
        <v>-26</v>
      </c>
      <c r="C491" s="80">
        <v>-18</v>
      </c>
      <c r="D491" s="79">
        <v>2</v>
      </c>
      <c r="E491" s="80">
        <v>-51</v>
      </c>
      <c r="F491" s="57">
        <v>23.76</v>
      </c>
      <c r="G491" s="79">
        <v>6173</v>
      </c>
      <c r="H491" s="50" t="s">
        <v>1410</v>
      </c>
      <c r="I491" s="16" t="s">
        <v>82</v>
      </c>
      <c r="J491" s="323">
        <v>49.7</v>
      </c>
      <c r="K491" s="323">
        <v>2.59</v>
      </c>
      <c r="L491" s="73">
        <v>28.97</v>
      </c>
      <c r="N491" s="318">
        <f>R491+K491+J491+L491</f>
        <v>414.26</v>
      </c>
      <c r="O491" s="81">
        <f>IFERROR(VLOOKUP($G491,'321買'!A:E,3,0),"'沒有資料'")</f>
        <v>9</v>
      </c>
      <c r="P491" s="380">
        <f>IFERROR(VLOOKUP($G491,'321買'!$A:$G,7,0),"'沒有資料'")</f>
        <v>387</v>
      </c>
      <c r="R491" s="297">
        <f>IFERROR(RANK(VLOOKUP($G491,連買!$A:$D,4,0),連買!$D:$D,0),"'沒有資料'")</f>
        <v>333</v>
      </c>
      <c r="S491" s="34">
        <v>4.3</v>
      </c>
      <c r="U491" s="57">
        <f>S491/V491</f>
        <v>7.5174825174825169E-2</v>
      </c>
      <c r="V491" s="36">
        <v>57.2</v>
      </c>
      <c r="W491" s="45">
        <v>54.1</v>
      </c>
      <c r="X491" s="15">
        <f t="shared" si="102"/>
        <v>3.1000000000000014</v>
      </c>
      <c r="Y491" s="63">
        <f t="shared" si="103"/>
        <v>5.7301293900184867E-2</v>
      </c>
      <c r="Z491" s="114" t="s">
        <v>1638</v>
      </c>
      <c r="AA491" s="126"/>
      <c r="AD491" s="16" t="s">
        <v>82</v>
      </c>
      <c r="AE491" s="84">
        <v>43733</v>
      </c>
      <c r="AF491" s="83">
        <v>43734</v>
      </c>
      <c r="AG491" s="33">
        <f>AF491-AE491</f>
        <v>1</v>
      </c>
      <c r="AH491" s="119"/>
      <c r="AI491" s="264"/>
    </row>
    <row r="492" spans="1:46">
      <c r="B492" s="79"/>
      <c r="C492" s="79"/>
      <c r="D492" s="79"/>
      <c r="E492" s="79"/>
      <c r="F492" s="57"/>
      <c r="G492" s="41"/>
      <c r="H492" s="30"/>
      <c r="I492" s="16"/>
      <c r="J492" s="323"/>
      <c r="K492" s="73"/>
      <c r="N492" s="318"/>
      <c r="R492" s="297"/>
      <c r="S492" s="34"/>
      <c r="U492" s="57"/>
      <c r="V492" s="13">
        <f>SUM(V487:V491)</f>
        <v>285.59999999999997</v>
      </c>
      <c r="W492" s="45">
        <f>SUM(W487:W491)</f>
        <v>284</v>
      </c>
      <c r="X492" s="15">
        <f t="shared" si="102"/>
        <v>1.5999999999999659</v>
      </c>
      <c r="Y492" s="63">
        <f t="shared" si="103"/>
        <v>5.6338028169012882E-3</v>
      </c>
      <c r="Z492" s="114"/>
      <c r="AA492" s="126"/>
      <c r="AD492" s="16"/>
      <c r="AG492" s="33"/>
      <c r="AH492" s="119"/>
    </row>
    <row r="493" spans="1:46">
      <c r="A493" s="130" t="s">
        <v>1732</v>
      </c>
      <c r="B493" s="91" t="s">
        <v>1588</v>
      </c>
      <c r="C493" s="91" t="s">
        <v>1589</v>
      </c>
      <c r="D493" s="91" t="s">
        <v>1590</v>
      </c>
      <c r="E493" s="91" t="s">
        <v>1591</v>
      </c>
      <c r="F493" s="8" t="s">
        <v>1066</v>
      </c>
      <c r="G493" s="25" t="s">
        <v>388</v>
      </c>
      <c r="H493" s="55" t="s">
        <v>322</v>
      </c>
      <c r="I493" s="1" t="s">
        <v>69</v>
      </c>
      <c r="J493" s="317" t="s">
        <v>1467</v>
      </c>
      <c r="K493" s="317" t="s">
        <v>1157</v>
      </c>
      <c r="L493" s="317" t="s">
        <v>284</v>
      </c>
      <c r="M493" s="317"/>
      <c r="N493" s="317" t="s">
        <v>1065</v>
      </c>
      <c r="P493" s="374" t="s">
        <v>1059</v>
      </c>
      <c r="R493" s="151" t="s">
        <v>1059</v>
      </c>
      <c r="S493" s="10" t="s">
        <v>66</v>
      </c>
      <c r="U493" s="68" t="s">
        <v>1502</v>
      </c>
      <c r="V493" s="28" t="s">
        <v>2</v>
      </c>
      <c r="W493" s="17" t="s">
        <v>1405</v>
      </c>
      <c r="X493" s="14" t="s">
        <v>5</v>
      </c>
      <c r="Y493" s="21" t="s">
        <v>3</v>
      </c>
      <c r="Z493" s="25" t="s">
        <v>105</v>
      </c>
      <c r="AA493" s="126"/>
      <c r="AD493" s="1" t="s">
        <v>69</v>
      </c>
      <c r="AE493" s="71" t="s">
        <v>1406</v>
      </c>
      <c r="AF493" s="72" t="s">
        <v>1163</v>
      </c>
      <c r="AG493" s="32" t="s">
        <v>1164</v>
      </c>
    </row>
    <row r="494" spans="1:46">
      <c r="B494" s="80">
        <v>0</v>
      </c>
      <c r="C494" s="80">
        <v>-49</v>
      </c>
      <c r="D494" s="80">
        <v>0</v>
      </c>
      <c r="E494" s="80">
        <v>-49</v>
      </c>
      <c r="F494" s="6">
        <v>3.54</v>
      </c>
      <c r="G494" s="79">
        <v>2354</v>
      </c>
      <c r="H494" s="30" t="s">
        <v>1469</v>
      </c>
      <c r="I494" s="22" t="s">
        <v>16</v>
      </c>
      <c r="J494" s="323">
        <v>67.58</v>
      </c>
      <c r="K494" s="73">
        <v>28.12</v>
      </c>
      <c r="L494" s="323">
        <v>1.84</v>
      </c>
      <c r="N494" s="318">
        <f>R494+K494+J494+L494</f>
        <v>530.54000000000008</v>
      </c>
      <c r="O494" s="81">
        <f>IFERROR(VLOOKUP($G494,'321買'!A:E,3,0),"'沒有資料'")</f>
        <v>0</v>
      </c>
      <c r="P494" s="380">
        <f>IFERROR(VLOOKUP($G494,'321買'!$A:$G,7,0),"'沒有資料'")</f>
        <v>911</v>
      </c>
      <c r="R494" s="297">
        <f>IFERROR(RANK(VLOOKUP($G494,連買!$A:$D,4,0),連買!$D:$D,0),"'沒有資料'")</f>
        <v>433</v>
      </c>
      <c r="S494" s="34">
        <v>3.2</v>
      </c>
      <c r="U494" s="95">
        <f>S494/V494</f>
        <v>4.8632218844984809E-2</v>
      </c>
      <c r="V494" s="36">
        <v>65.8</v>
      </c>
      <c r="W494" s="66">
        <v>62.3</v>
      </c>
      <c r="X494" s="15">
        <f>V494-W494</f>
        <v>3.5</v>
      </c>
      <c r="Y494" s="63">
        <f>X494/W494</f>
        <v>5.6179775280898882E-2</v>
      </c>
      <c r="Z494" s="114" t="s">
        <v>1486</v>
      </c>
      <c r="AA494" s="126"/>
      <c r="AD494" s="22" t="s">
        <v>16</v>
      </c>
      <c r="AE494" s="84">
        <v>43696</v>
      </c>
      <c r="AF494" s="83">
        <v>43733</v>
      </c>
      <c r="AG494" s="33">
        <f>AF494-AE494</f>
        <v>37</v>
      </c>
      <c r="AH494" s="119" t="s">
        <v>1616</v>
      </c>
    </row>
    <row r="495" spans="1:46">
      <c r="A495" s="147"/>
      <c r="B495" s="80">
        <v>0</v>
      </c>
      <c r="C495" s="80">
        <v>-49</v>
      </c>
      <c r="D495" s="80">
        <v>0</v>
      </c>
      <c r="E495" s="80">
        <v>-49</v>
      </c>
      <c r="F495" s="6">
        <v>3.54</v>
      </c>
      <c r="G495" s="79">
        <v>2354</v>
      </c>
      <c r="H495" s="30" t="s">
        <v>1469</v>
      </c>
      <c r="I495" s="22" t="s">
        <v>16</v>
      </c>
      <c r="J495" s="73">
        <v>67.62</v>
      </c>
      <c r="K495" s="323">
        <v>28.28</v>
      </c>
      <c r="L495" s="323">
        <v>1.84</v>
      </c>
      <c r="N495" s="318">
        <f>R495+K495+J495+L495</f>
        <v>530.74</v>
      </c>
      <c r="O495" s="81">
        <f>IFERROR(VLOOKUP($G495,'321買'!A:E,3,0),"'沒有資料'")</f>
        <v>0</v>
      </c>
      <c r="P495" s="380">
        <f>IFERROR(VLOOKUP($G495,'321買'!$A:$G,7,0),"'沒有資料'")</f>
        <v>911</v>
      </c>
      <c r="R495" s="297">
        <f>IFERROR(RANK(VLOOKUP($G495,連買!$A:$D,4,0),連買!$D:$D,0),"'沒有資料'")</f>
        <v>433</v>
      </c>
      <c r="S495" s="34">
        <v>3.2</v>
      </c>
      <c r="U495" s="95">
        <f>S495/V495</f>
        <v>4.8632218844984809E-2</v>
      </c>
      <c r="V495" s="36">
        <v>65.8</v>
      </c>
      <c r="W495" s="66">
        <v>63.4</v>
      </c>
      <c r="X495" s="15">
        <f>V495-W495</f>
        <v>2.3999999999999986</v>
      </c>
      <c r="Y495" s="63">
        <f>X495/W495</f>
        <v>3.7854889589905343E-2</v>
      </c>
      <c r="Z495" s="114" t="s">
        <v>1489</v>
      </c>
      <c r="AA495" s="126"/>
      <c r="AD495" s="22" t="s">
        <v>16</v>
      </c>
      <c r="AE495" s="84">
        <v>43710</v>
      </c>
      <c r="AF495" s="83">
        <v>43733</v>
      </c>
      <c r="AG495" s="33">
        <f>AF495-AE495</f>
        <v>23</v>
      </c>
      <c r="AH495" s="119"/>
      <c r="AI495" s="264"/>
    </row>
    <row r="496" spans="1:46">
      <c r="A496" s="147"/>
      <c r="B496" s="80">
        <v>0</v>
      </c>
      <c r="C496" s="80">
        <v>-49</v>
      </c>
      <c r="D496" s="80">
        <v>0</v>
      </c>
      <c r="E496" s="80">
        <v>-49</v>
      </c>
      <c r="F496" s="6">
        <v>3.54</v>
      </c>
      <c r="G496" s="79">
        <v>2354</v>
      </c>
      <c r="H496" s="30" t="s">
        <v>1469</v>
      </c>
      <c r="I496" s="22" t="s">
        <v>16</v>
      </c>
      <c r="J496" s="73">
        <v>67.62</v>
      </c>
      <c r="K496" s="323">
        <v>28.28</v>
      </c>
      <c r="L496" s="323">
        <v>1.84</v>
      </c>
      <c r="N496" s="318">
        <f>R496+K496+J496+L496</f>
        <v>530.74</v>
      </c>
      <c r="O496" s="81">
        <f>IFERROR(VLOOKUP($G496,'321買'!A:E,3,0),"'沒有資料'")</f>
        <v>0</v>
      </c>
      <c r="P496" s="380">
        <f>IFERROR(VLOOKUP($G496,'321買'!$A:$G,7,0),"'沒有資料'")</f>
        <v>911</v>
      </c>
      <c r="R496" s="297">
        <f>IFERROR(RANK(VLOOKUP($G496,連買!$A:$D,4,0),連買!$D:$D,0),"'沒有資料'")</f>
        <v>433</v>
      </c>
      <c r="S496" s="34">
        <v>3.2</v>
      </c>
      <c r="U496" s="95">
        <f>S496/V496</f>
        <v>4.8632218844984809E-2</v>
      </c>
      <c r="V496" s="36">
        <v>65.8</v>
      </c>
      <c r="W496" s="66">
        <v>63.4</v>
      </c>
      <c r="X496" s="15">
        <f>V496-W496</f>
        <v>2.3999999999999986</v>
      </c>
      <c r="Y496" s="63">
        <f>X496/W496</f>
        <v>3.7854889589905343E-2</v>
      </c>
      <c r="Z496" s="114" t="s">
        <v>1489</v>
      </c>
      <c r="AA496" s="126"/>
      <c r="AD496" s="22" t="s">
        <v>16</v>
      </c>
      <c r="AE496" s="84">
        <v>43710</v>
      </c>
      <c r="AF496" s="83">
        <v>43733</v>
      </c>
      <c r="AG496" s="33">
        <f>AF496-AE496</f>
        <v>23</v>
      </c>
      <c r="AH496" s="119"/>
      <c r="AI496" s="264"/>
    </row>
    <row r="497" spans="1:46">
      <c r="B497" s="80"/>
      <c r="C497" s="80"/>
      <c r="D497" s="80"/>
      <c r="E497" s="80"/>
      <c r="F497" s="6"/>
      <c r="G497" s="41"/>
      <c r="H497" s="30"/>
      <c r="I497" s="22"/>
      <c r="J497" s="323"/>
      <c r="K497" s="73"/>
      <c r="L497" s="323"/>
      <c r="N497" s="318"/>
      <c r="P497" s="380"/>
      <c r="R497" s="297"/>
      <c r="S497" s="34"/>
      <c r="U497" s="95"/>
      <c r="V497" s="13">
        <f>SUM(V494:V496)</f>
        <v>197.39999999999998</v>
      </c>
      <c r="W497" s="45">
        <f>SUM(W494:W496)</f>
        <v>189.1</v>
      </c>
      <c r="X497" s="15">
        <f>V497-W497</f>
        <v>8.2999999999999829</v>
      </c>
      <c r="Y497" s="63">
        <f>X497/W497</f>
        <v>4.3892120571126299E-2</v>
      </c>
      <c r="Z497" s="114"/>
      <c r="AA497" s="126"/>
      <c r="AD497" s="22"/>
      <c r="AG497" s="33"/>
      <c r="AH497" s="119"/>
    </row>
    <row r="498" spans="1:46">
      <c r="A498" s="130" t="s">
        <v>1732</v>
      </c>
      <c r="B498" s="91" t="s">
        <v>1588</v>
      </c>
      <c r="C498" s="91" t="s">
        <v>1589</v>
      </c>
      <c r="D498" s="91" t="s">
        <v>1590</v>
      </c>
      <c r="E498" s="91" t="s">
        <v>1591</v>
      </c>
      <c r="F498" s="8" t="s">
        <v>1066</v>
      </c>
      <c r="G498" s="25" t="s">
        <v>388</v>
      </c>
      <c r="H498" s="55" t="s">
        <v>322</v>
      </c>
      <c r="I498" s="1" t="s">
        <v>69</v>
      </c>
      <c r="J498" s="317" t="s">
        <v>1467</v>
      </c>
      <c r="K498" s="317" t="s">
        <v>1157</v>
      </c>
      <c r="L498" s="317" t="s">
        <v>284</v>
      </c>
      <c r="M498" s="317"/>
      <c r="N498" s="317" t="s">
        <v>1065</v>
      </c>
      <c r="P498" s="374" t="s">
        <v>1059</v>
      </c>
      <c r="R498" s="151" t="s">
        <v>1059</v>
      </c>
      <c r="S498" s="10" t="s">
        <v>66</v>
      </c>
      <c r="U498" s="68" t="s">
        <v>1502</v>
      </c>
      <c r="V498" s="28" t="s">
        <v>2</v>
      </c>
      <c r="W498" s="17" t="s">
        <v>1405</v>
      </c>
      <c r="X498" s="14" t="s">
        <v>5</v>
      </c>
      <c r="Y498" s="21" t="s">
        <v>3</v>
      </c>
      <c r="Z498" s="25" t="s">
        <v>105</v>
      </c>
      <c r="AA498" s="126"/>
      <c r="AD498" s="1" t="s">
        <v>69</v>
      </c>
      <c r="AE498" s="71" t="s">
        <v>1406</v>
      </c>
      <c r="AF498" s="72" t="s">
        <v>1163</v>
      </c>
      <c r="AG498" s="32" t="s">
        <v>1164</v>
      </c>
    </row>
    <row r="499" spans="1:46">
      <c r="B499" s="79">
        <v>705</v>
      </c>
      <c r="C499" s="93">
        <v>1518</v>
      </c>
      <c r="D499" s="79">
        <v>705</v>
      </c>
      <c r="E499" s="93">
        <v>1518</v>
      </c>
      <c r="F499" s="57">
        <v>40.08</v>
      </c>
      <c r="G499" s="79">
        <v>2855</v>
      </c>
      <c r="H499" s="8" t="s">
        <v>1409</v>
      </c>
      <c r="I499" s="22" t="s">
        <v>337</v>
      </c>
      <c r="J499" s="323">
        <v>77.25</v>
      </c>
      <c r="K499" s="73">
        <v>11.5</v>
      </c>
      <c r="L499" s="323">
        <v>0.69</v>
      </c>
      <c r="N499" s="318">
        <f t="shared" ref="N499:N504" si="104">R499+K499+J499+L499</f>
        <v>1641.44</v>
      </c>
      <c r="O499" s="81">
        <f>IFERROR(VLOOKUP($G499,'321買'!A:E,3,0),"'沒有資料'")</f>
        <v>0</v>
      </c>
      <c r="P499" s="380">
        <f>IFERROR(VLOOKUP($G499,'321買'!$A:$G,7,0),"'沒有資料'")</f>
        <v>911</v>
      </c>
      <c r="R499" s="297">
        <f>IFERROR(RANK(VLOOKUP($G499,連買!$A:$D,4,0),連買!$D:$D,0),"'沒有資料'")</f>
        <v>1552</v>
      </c>
      <c r="S499" s="34">
        <v>0.69</v>
      </c>
      <c r="U499" s="95">
        <f t="shared" ref="U499:U504" si="105">S499/V499</f>
        <v>5.1685393258426963E-2</v>
      </c>
      <c r="V499" s="13">
        <v>13.35</v>
      </c>
      <c r="W499" s="66">
        <f>14.32-0.69</f>
        <v>13.63</v>
      </c>
      <c r="X499" s="15">
        <f t="shared" ref="X499:X505" si="106">V499-W499</f>
        <v>-0.28000000000000114</v>
      </c>
      <c r="Y499" s="76">
        <f t="shared" ref="Y499:Y505" si="107">X499/W499</f>
        <v>-2.0542920029347111E-2</v>
      </c>
      <c r="Z499" s="115" t="s">
        <v>1611</v>
      </c>
      <c r="AA499" s="126"/>
      <c r="AD499" s="22" t="s">
        <v>337</v>
      </c>
      <c r="AE499" s="84">
        <v>43362</v>
      </c>
      <c r="AF499" s="83">
        <v>43724</v>
      </c>
      <c r="AG499" s="77">
        <f t="shared" ref="AG499:AG504" si="108">AF499-AE499</f>
        <v>362</v>
      </c>
      <c r="AH499" s="119"/>
      <c r="AK499" s="11"/>
      <c r="AL499" s="11"/>
      <c r="AM499" s="11"/>
      <c r="AN499" s="11"/>
      <c r="AQ499" s="7"/>
      <c r="AR499" s="31"/>
      <c r="AS499" s="7"/>
      <c r="AT499" s="7"/>
    </row>
    <row r="500" spans="1:46">
      <c r="B500" s="79">
        <v>705</v>
      </c>
      <c r="C500" s="93">
        <v>1518</v>
      </c>
      <c r="D500" s="79">
        <v>705</v>
      </c>
      <c r="E500" s="93">
        <v>1518</v>
      </c>
      <c r="F500" s="57">
        <v>40.08</v>
      </c>
      <c r="G500" s="79">
        <v>2855</v>
      </c>
      <c r="H500" s="8" t="s">
        <v>1409</v>
      </c>
      <c r="I500" s="22" t="s">
        <v>337</v>
      </c>
      <c r="J500" s="323">
        <v>77.25</v>
      </c>
      <c r="K500" s="73">
        <v>11.5</v>
      </c>
      <c r="L500" s="323">
        <v>0.69</v>
      </c>
      <c r="N500" s="318">
        <f t="shared" si="104"/>
        <v>1641.44</v>
      </c>
      <c r="O500" s="81">
        <f>IFERROR(VLOOKUP($G500,'321買'!A:E,3,0),"'沒有資料'")</f>
        <v>0</v>
      </c>
      <c r="P500" s="380">
        <f>IFERROR(VLOOKUP($G500,'321買'!$A:$G,7,0),"'沒有資料'")</f>
        <v>911</v>
      </c>
      <c r="R500" s="297">
        <f>IFERROR(RANK(VLOOKUP($G500,連買!$A:$D,4,0),連買!$D:$D,0),"'沒有資料'")</f>
        <v>1552</v>
      </c>
      <c r="S500" s="34">
        <v>0.69</v>
      </c>
      <c r="U500" s="95">
        <f t="shared" si="105"/>
        <v>5.1685393258426963E-2</v>
      </c>
      <c r="V500" s="13">
        <v>13.35</v>
      </c>
      <c r="W500" s="66">
        <v>12.75</v>
      </c>
      <c r="X500" s="15">
        <f t="shared" si="106"/>
        <v>0.59999999999999964</v>
      </c>
      <c r="Y500" s="63">
        <f t="shared" si="107"/>
        <v>4.7058823529411736E-2</v>
      </c>
      <c r="Z500" s="114" t="s">
        <v>1602</v>
      </c>
      <c r="AA500" s="126"/>
      <c r="AD500" s="22" t="s">
        <v>337</v>
      </c>
      <c r="AE500" s="84">
        <v>43689</v>
      </c>
      <c r="AF500" s="83">
        <v>43724</v>
      </c>
      <c r="AG500" s="33">
        <f t="shared" si="108"/>
        <v>35</v>
      </c>
      <c r="AH500" s="119"/>
      <c r="AK500" s="11"/>
      <c r="AL500" s="11"/>
      <c r="AM500" s="11"/>
      <c r="AN500" s="11"/>
      <c r="AQ500" s="7"/>
      <c r="AR500" s="31"/>
      <c r="AS500" s="7"/>
      <c r="AT500" s="7"/>
    </row>
    <row r="501" spans="1:46">
      <c r="B501" s="79">
        <v>705</v>
      </c>
      <c r="C501" s="93">
        <v>1518</v>
      </c>
      <c r="D501" s="79">
        <v>705</v>
      </c>
      <c r="E501" s="93">
        <v>1518</v>
      </c>
      <c r="F501" s="57">
        <v>40.08</v>
      </c>
      <c r="G501" s="79">
        <v>2855</v>
      </c>
      <c r="H501" s="30" t="s">
        <v>1469</v>
      </c>
      <c r="I501" s="22" t="s">
        <v>337</v>
      </c>
      <c r="J501" s="323">
        <v>77.25</v>
      </c>
      <c r="K501" s="73">
        <v>11.5</v>
      </c>
      <c r="L501" s="323">
        <v>0.69</v>
      </c>
      <c r="N501" s="318">
        <f t="shared" si="104"/>
        <v>1641.44</v>
      </c>
      <c r="O501" s="81">
        <f>IFERROR(VLOOKUP($G501,'321買'!A:E,3,0),"'沒有資料'")</f>
        <v>0</v>
      </c>
      <c r="P501" s="380">
        <f>IFERROR(VLOOKUP($G501,'321買'!$A:$G,7,0),"'沒有資料'")</f>
        <v>911</v>
      </c>
      <c r="R501" s="297">
        <f>IFERROR(RANK(VLOOKUP($G501,連買!$A:$D,4,0),連買!$D:$D,0),"'沒有資料'")</f>
        <v>1552</v>
      </c>
      <c r="S501" s="34">
        <v>0.69</v>
      </c>
      <c r="U501" s="95">
        <f t="shared" si="105"/>
        <v>5.1685393258426963E-2</v>
      </c>
      <c r="V501" s="13">
        <v>13.35</v>
      </c>
      <c r="W501" s="66">
        <v>12.75</v>
      </c>
      <c r="X501" s="15">
        <f t="shared" si="106"/>
        <v>0.59999999999999964</v>
      </c>
      <c r="Y501" s="63">
        <f t="shared" si="107"/>
        <v>4.7058823529411736E-2</v>
      </c>
      <c r="Z501" s="114" t="s">
        <v>1602</v>
      </c>
      <c r="AA501" s="126"/>
      <c r="AD501" s="22" t="s">
        <v>337</v>
      </c>
      <c r="AE501" s="84">
        <v>43689</v>
      </c>
      <c r="AF501" s="83">
        <v>43724</v>
      </c>
      <c r="AG501" s="33">
        <f t="shared" si="108"/>
        <v>35</v>
      </c>
      <c r="AH501" s="119"/>
      <c r="AK501" s="11"/>
      <c r="AL501" s="11"/>
      <c r="AM501" s="11"/>
      <c r="AN501" s="11"/>
      <c r="AQ501" s="7"/>
      <c r="AR501" s="31"/>
      <c r="AS501" s="7"/>
      <c r="AT501" s="7"/>
    </row>
    <row r="502" spans="1:46">
      <c r="B502" s="79">
        <v>705</v>
      </c>
      <c r="C502" s="93">
        <v>1518</v>
      </c>
      <c r="D502" s="79">
        <v>705</v>
      </c>
      <c r="E502" s="93">
        <v>1518</v>
      </c>
      <c r="F502" s="57">
        <v>40.08</v>
      </c>
      <c r="G502" s="79">
        <v>2855</v>
      </c>
      <c r="H502" s="30" t="s">
        <v>1469</v>
      </c>
      <c r="I502" s="22" t="s">
        <v>337</v>
      </c>
      <c r="J502" s="323">
        <v>77.25</v>
      </c>
      <c r="K502" s="73">
        <v>11.5</v>
      </c>
      <c r="L502" s="323">
        <v>0.69</v>
      </c>
      <c r="N502" s="318">
        <f t="shared" si="104"/>
        <v>1641.44</v>
      </c>
      <c r="O502" s="81">
        <f>IFERROR(VLOOKUP($G502,'321買'!A:E,3,0),"'沒有資料'")</f>
        <v>0</v>
      </c>
      <c r="P502" s="380">
        <f>IFERROR(VLOOKUP($G502,'321買'!$A:$G,7,0),"'沒有資料'")</f>
        <v>911</v>
      </c>
      <c r="R502" s="297">
        <f>IFERROR(RANK(VLOOKUP($G502,連買!$A:$D,4,0),連買!$D:$D,0),"'沒有資料'")</f>
        <v>1552</v>
      </c>
      <c r="S502" s="34">
        <v>0.69</v>
      </c>
      <c r="U502" s="95">
        <f t="shared" si="105"/>
        <v>5.1685393258426963E-2</v>
      </c>
      <c r="V502" s="13">
        <v>13.35</v>
      </c>
      <c r="W502" s="66">
        <v>12.75</v>
      </c>
      <c r="X502" s="15">
        <f t="shared" si="106"/>
        <v>0.59999999999999964</v>
      </c>
      <c r="Y502" s="63">
        <f t="shared" si="107"/>
        <v>4.7058823529411736E-2</v>
      </c>
      <c r="Z502" s="114" t="s">
        <v>1602</v>
      </c>
      <c r="AA502" s="126"/>
      <c r="AD502" s="22" t="s">
        <v>337</v>
      </c>
      <c r="AE502" s="84">
        <v>43689</v>
      </c>
      <c r="AF502" s="83">
        <v>43724</v>
      </c>
      <c r="AG502" s="33">
        <f t="shared" si="108"/>
        <v>35</v>
      </c>
      <c r="AH502" s="119"/>
      <c r="AK502" s="11"/>
      <c r="AL502" s="11"/>
      <c r="AM502" s="11"/>
      <c r="AN502" s="11"/>
      <c r="AQ502" s="7"/>
      <c r="AR502" s="31"/>
      <c r="AS502" s="7"/>
      <c r="AT502" s="7"/>
    </row>
    <row r="503" spans="1:46">
      <c r="B503" s="79">
        <v>705</v>
      </c>
      <c r="C503" s="93">
        <v>1518</v>
      </c>
      <c r="D503" s="79">
        <v>705</v>
      </c>
      <c r="E503" s="93">
        <v>1518</v>
      </c>
      <c r="F503" s="57">
        <v>40.08</v>
      </c>
      <c r="G503" s="79">
        <v>2855</v>
      </c>
      <c r="H503" s="50" t="s">
        <v>1410</v>
      </c>
      <c r="I503" s="22" t="s">
        <v>337</v>
      </c>
      <c r="J503" s="323">
        <v>77.25</v>
      </c>
      <c r="K503" s="73">
        <v>11.5</v>
      </c>
      <c r="L503" s="323">
        <v>0.69</v>
      </c>
      <c r="N503" s="318">
        <f t="shared" si="104"/>
        <v>1641.44</v>
      </c>
      <c r="O503" s="81">
        <f>IFERROR(VLOOKUP($G503,'321買'!A:E,3,0),"'沒有資料'")</f>
        <v>0</v>
      </c>
      <c r="P503" s="380">
        <f>IFERROR(VLOOKUP($G503,'321買'!$A:$G,7,0),"'沒有資料'")</f>
        <v>911</v>
      </c>
      <c r="R503" s="297">
        <f>IFERROR(RANK(VLOOKUP($G503,連買!$A:$D,4,0),連買!$D:$D,0),"'沒有資料'")</f>
        <v>1552</v>
      </c>
      <c r="S503" s="34">
        <v>0.69</v>
      </c>
      <c r="U503" s="95">
        <f t="shared" si="105"/>
        <v>5.1685393258426963E-2</v>
      </c>
      <c r="V503" s="13">
        <v>13.35</v>
      </c>
      <c r="W503" s="66">
        <f>14.32-0.69</f>
        <v>13.63</v>
      </c>
      <c r="X503" s="15">
        <f t="shared" si="106"/>
        <v>-0.28000000000000114</v>
      </c>
      <c r="Y503" s="76">
        <f t="shared" si="107"/>
        <v>-2.0542920029347111E-2</v>
      </c>
      <c r="Z503" s="115" t="s">
        <v>1611</v>
      </c>
      <c r="AA503" s="126"/>
      <c r="AD503" s="22" t="s">
        <v>337</v>
      </c>
      <c r="AE503" s="84">
        <v>43368</v>
      </c>
      <c r="AF503" s="83">
        <v>43724</v>
      </c>
      <c r="AG503" s="77">
        <f t="shared" si="108"/>
        <v>356</v>
      </c>
      <c r="AH503" s="119"/>
      <c r="AK503" s="11"/>
      <c r="AL503" s="11"/>
      <c r="AM503" s="11"/>
      <c r="AN503" s="11"/>
      <c r="AQ503" s="7"/>
      <c r="AR503" s="31"/>
      <c r="AS503" s="7"/>
      <c r="AT503" s="7"/>
    </row>
    <row r="504" spans="1:46">
      <c r="B504" s="79">
        <v>705</v>
      </c>
      <c r="C504" s="93">
        <v>1518</v>
      </c>
      <c r="D504" s="79">
        <v>705</v>
      </c>
      <c r="E504" s="93">
        <v>1518</v>
      </c>
      <c r="F504" s="57">
        <v>40.08</v>
      </c>
      <c r="G504" s="79">
        <v>2855</v>
      </c>
      <c r="H504" s="50" t="s">
        <v>1410</v>
      </c>
      <c r="I504" s="22" t="s">
        <v>337</v>
      </c>
      <c r="J504" s="323">
        <v>77.25</v>
      </c>
      <c r="K504" s="73">
        <v>11.5</v>
      </c>
      <c r="L504" s="323">
        <v>0.69</v>
      </c>
      <c r="N504" s="318">
        <f t="shared" si="104"/>
        <v>1641.44</v>
      </c>
      <c r="O504" s="81">
        <f>IFERROR(VLOOKUP($G504,'321買'!A:E,3,0),"'沒有資料'")</f>
        <v>0</v>
      </c>
      <c r="P504" s="380">
        <f>IFERROR(VLOOKUP($G504,'321買'!$A:$G,7,0),"'沒有資料'")</f>
        <v>911</v>
      </c>
      <c r="R504" s="297">
        <f>IFERROR(RANK(VLOOKUP($G504,連買!$A:$D,4,0),連買!$D:$D,0),"'沒有資料'")</f>
        <v>1552</v>
      </c>
      <c r="S504" s="34">
        <v>0.69</v>
      </c>
      <c r="U504" s="95">
        <f t="shared" si="105"/>
        <v>5.1685393258426963E-2</v>
      </c>
      <c r="V504" s="13">
        <v>13.35</v>
      </c>
      <c r="W504" s="66">
        <v>12.75</v>
      </c>
      <c r="X504" s="15">
        <f t="shared" si="106"/>
        <v>0.59999999999999964</v>
      </c>
      <c r="Y504" s="63">
        <f t="shared" si="107"/>
        <v>4.7058823529411736E-2</v>
      </c>
      <c r="Z504" s="114" t="s">
        <v>1602</v>
      </c>
      <c r="AA504" s="126"/>
      <c r="AD504" s="22" t="s">
        <v>337</v>
      </c>
      <c r="AE504" s="84">
        <v>43689</v>
      </c>
      <c r="AF504" s="83">
        <v>43724</v>
      </c>
      <c r="AG504" s="33">
        <f t="shared" si="108"/>
        <v>35</v>
      </c>
      <c r="AH504" s="119"/>
      <c r="AK504" s="11"/>
      <c r="AL504" s="11"/>
      <c r="AM504" s="11"/>
      <c r="AN504" s="11"/>
      <c r="AQ504" s="7"/>
      <c r="AR504" s="31"/>
      <c r="AS504" s="7"/>
      <c r="AT504" s="7"/>
    </row>
    <row r="505" spans="1:46">
      <c r="B505" s="80"/>
      <c r="C505" s="80"/>
      <c r="D505" s="80"/>
      <c r="E505" s="80"/>
      <c r="F505" s="57"/>
      <c r="H505" s="8"/>
      <c r="I505" s="22"/>
      <c r="J505" s="323"/>
      <c r="K505" s="73"/>
      <c r="L505" s="323"/>
      <c r="N505" s="318"/>
      <c r="S505" s="34"/>
      <c r="U505" s="95"/>
      <c r="V505" s="13">
        <f>SUM(V499:V504)</f>
        <v>80.099999999999994</v>
      </c>
      <c r="W505" s="45">
        <f>SUM(W499:W504)</f>
        <v>78.260000000000005</v>
      </c>
      <c r="X505" s="15">
        <f t="shared" si="106"/>
        <v>1.8399999999999892</v>
      </c>
      <c r="Y505" s="63">
        <f t="shared" si="107"/>
        <v>2.351137234858151E-2</v>
      </c>
      <c r="Z505" s="115"/>
      <c r="AA505" s="126"/>
      <c r="AD505" s="22"/>
      <c r="AG505" s="33"/>
    </row>
    <row r="506" spans="1:46">
      <c r="A506" s="130" t="s">
        <v>1732</v>
      </c>
      <c r="B506" s="91" t="s">
        <v>1588</v>
      </c>
      <c r="C506" s="91" t="s">
        <v>1589</v>
      </c>
      <c r="D506" s="91" t="s">
        <v>1590</v>
      </c>
      <c r="E506" s="91" t="s">
        <v>1591</v>
      </c>
      <c r="F506" s="8" t="s">
        <v>1066</v>
      </c>
      <c r="G506" s="25" t="s">
        <v>388</v>
      </c>
      <c r="H506" s="55" t="s">
        <v>322</v>
      </c>
      <c r="I506" s="1" t="s">
        <v>69</v>
      </c>
      <c r="J506" s="317" t="s">
        <v>1467</v>
      </c>
      <c r="K506" s="317" t="s">
        <v>1157</v>
      </c>
      <c r="L506" s="317" t="s">
        <v>284</v>
      </c>
      <c r="M506" s="317"/>
      <c r="N506" s="317" t="s">
        <v>1065</v>
      </c>
      <c r="P506" s="374" t="s">
        <v>1059</v>
      </c>
      <c r="R506" s="151" t="s">
        <v>1059</v>
      </c>
      <c r="S506" s="10" t="s">
        <v>66</v>
      </c>
      <c r="U506" s="68" t="s">
        <v>1502</v>
      </c>
      <c r="V506" s="28" t="s">
        <v>2</v>
      </c>
      <c r="W506" s="17" t="s">
        <v>1405</v>
      </c>
      <c r="X506" s="14" t="s">
        <v>5</v>
      </c>
      <c r="Y506" s="21" t="s">
        <v>3</v>
      </c>
      <c r="Z506" s="25" t="s">
        <v>105</v>
      </c>
      <c r="AA506" s="126"/>
      <c r="AD506" s="1" t="s">
        <v>69</v>
      </c>
      <c r="AE506" s="71" t="s">
        <v>1406</v>
      </c>
      <c r="AF506" s="72" t="s">
        <v>1163</v>
      </c>
      <c r="AG506" s="32" t="s">
        <v>1164</v>
      </c>
    </row>
    <row r="507" spans="1:46">
      <c r="B507" s="80">
        <v>-73</v>
      </c>
      <c r="C507" s="80">
        <v>-96</v>
      </c>
      <c r="D507" s="80">
        <v>-73</v>
      </c>
      <c r="E507" s="80">
        <v>-96</v>
      </c>
      <c r="F507" s="6">
        <v>0.63</v>
      </c>
      <c r="G507" s="79">
        <v>1710</v>
      </c>
      <c r="H507" s="30" t="s">
        <v>1469</v>
      </c>
      <c r="I507" s="22" t="s">
        <v>319</v>
      </c>
      <c r="J507" s="323">
        <v>72.38</v>
      </c>
      <c r="K507" s="323">
        <v>11.36</v>
      </c>
      <c r="L507" s="323">
        <v>2.4700000000000002</v>
      </c>
      <c r="N507" s="318">
        <f t="shared" ref="N507:N512" si="109">R507+K507+J507+L507</f>
        <v>654.21</v>
      </c>
      <c r="O507" s="81">
        <f>IFERROR(VLOOKUP($G507,'321買'!A:E,3,0),"'沒有資料'")</f>
        <v>5</v>
      </c>
      <c r="P507" s="380">
        <f>IFERROR(VLOOKUP($G507,'321買'!$A:$G,7,0),"'沒有資料'")</f>
        <v>521</v>
      </c>
      <c r="R507" s="297">
        <f>IFERROR(RANK(VLOOKUP($G507,連買!$A:$D,4,0),連買!$D:$D,0),"'沒有資料'")</f>
        <v>568</v>
      </c>
      <c r="S507" s="34">
        <v>1.75</v>
      </c>
      <c r="U507" s="95">
        <f t="shared" ref="U507:U512" si="110">S507/V507</f>
        <v>7.7433628318584066E-2</v>
      </c>
      <c r="V507" s="13">
        <v>22.6</v>
      </c>
      <c r="W507" s="66">
        <v>23.9</v>
      </c>
      <c r="X507" s="15">
        <f t="shared" ref="X507:X513" si="111">V507-W507</f>
        <v>-1.2999999999999972</v>
      </c>
      <c r="Y507" s="76">
        <f t="shared" ref="Y507:Y513" si="112">X507/W507</f>
        <v>-5.4393305439330429E-2</v>
      </c>
      <c r="Z507" s="115" t="s">
        <v>1565</v>
      </c>
      <c r="AA507" s="126"/>
      <c r="AD507" s="22" t="s">
        <v>319</v>
      </c>
      <c r="AE507" s="84">
        <v>43675</v>
      </c>
      <c r="AF507" s="83">
        <v>43724</v>
      </c>
      <c r="AG507" s="33">
        <f t="shared" ref="AG507:AG512" si="113">AF507-AE507</f>
        <v>49</v>
      </c>
      <c r="AH507" s="119"/>
    </row>
    <row r="508" spans="1:46" ht="16.5" customHeight="1">
      <c r="A508" s="119"/>
      <c r="B508" s="80">
        <v>-105</v>
      </c>
      <c r="C508" s="80">
        <v>-112</v>
      </c>
      <c r="D508" s="80">
        <v>-105</v>
      </c>
      <c r="E508" s="80">
        <v>-112</v>
      </c>
      <c r="F508" s="6">
        <v>-1.92</v>
      </c>
      <c r="G508" s="79">
        <v>1710</v>
      </c>
      <c r="H508" s="30" t="s">
        <v>1469</v>
      </c>
      <c r="I508" s="22" t="s">
        <v>319</v>
      </c>
      <c r="J508" s="323">
        <v>71.709999999999994</v>
      </c>
      <c r="K508" s="323">
        <v>11.16</v>
      </c>
      <c r="L508" s="73">
        <v>2.56</v>
      </c>
      <c r="N508" s="318">
        <f t="shared" si="109"/>
        <v>653.42999999999995</v>
      </c>
      <c r="O508" s="81">
        <f>IFERROR(VLOOKUP($G508,'321買'!A:E,3,0),"'沒有資料'")</f>
        <v>5</v>
      </c>
      <c r="P508" s="380">
        <f>IFERROR(VLOOKUP($G508,'321買'!$A:$G,7,0),"'沒有資料'")</f>
        <v>521</v>
      </c>
      <c r="R508" s="297">
        <f>IFERROR(RANK(VLOOKUP($G508,連買!$A:$D,4,0),連買!$D:$D,0),"'沒有資料'")</f>
        <v>568</v>
      </c>
      <c r="S508" s="34">
        <v>1.75</v>
      </c>
      <c r="U508" s="95">
        <f t="shared" si="110"/>
        <v>7.7433628318584066E-2</v>
      </c>
      <c r="V508" s="36">
        <v>22.6</v>
      </c>
      <c r="W508" s="66">
        <v>21.15</v>
      </c>
      <c r="X508" s="15">
        <f t="shared" si="111"/>
        <v>1.4500000000000028</v>
      </c>
      <c r="Y508" s="63">
        <f t="shared" si="112"/>
        <v>6.855791962174955E-2</v>
      </c>
      <c r="Z508" s="114" t="s">
        <v>1601</v>
      </c>
      <c r="AA508" s="126"/>
      <c r="AD508" s="22" t="s">
        <v>319</v>
      </c>
      <c r="AE508" s="84">
        <v>43707</v>
      </c>
      <c r="AF508" s="83">
        <v>43724</v>
      </c>
      <c r="AG508" s="33">
        <f t="shared" si="113"/>
        <v>17</v>
      </c>
      <c r="AH508" s="119"/>
      <c r="AI508" s="264"/>
    </row>
    <row r="509" spans="1:46" ht="16.5" customHeight="1">
      <c r="A509" s="119"/>
      <c r="B509" s="80">
        <v>-105</v>
      </c>
      <c r="C509" s="80">
        <v>-112</v>
      </c>
      <c r="D509" s="80">
        <v>-105</v>
      </c>
      <c r="E509" s="80">
        <v>-112</v>
      </c>
      <c r="F509" s="6">
        <v>-1.92</v>
      </c>
      <c r="G509" s="79">
        <v>1710</v>
      </c>
      <c r="H509" s="30" t="s">
        <v>1469</v>
      </c>
      <c r="I509" s="22" t="s">
        <v>319</v>
      </c>
      <c r="J509" s="323">
        <v>71.22</v>
      </c>
      <c r="K509" s="73">
        <v>11.16</v>
      </c>
      <c r="L509" s="323">
        <v>2.6</v>
      </c>
      <c r="N509" s="318">
        <f t="shared" si="109"/>
        <v>652.98</v>
      </c>
      <c r="O509" s="81">
        <f>IFERROR(VLOOKUP($G509,'321買'!A:E,3,0),"'沒有資料'")</f>
        <v>5</v>
      </c>
      <c r="P509" s="380">
        <f>IFERROR(VLOOKUP($G509,'321買'!$A:$G,7,0),"'沒有資料'")</f>
        <v>521</v>
      </c>
      <c r="R509" s="297">
        <f>IFERROR(RANK(VLOOKUP($G509,連買!$A:$D,4,0),連買!$D:$D,0),"'沒有資料'")</f>
        <v>568</v>
      </c>
      <c r="S509" s="34">
        <v>1.75</v>
      </c>
      <c r="U509" s="95">
        <f t="shared" si="110"/>
        <v>7.7433628318584066E-2</v>
      </c>
      <c r="V509" s="36">
        <v>22.6</v>
      </c>
      <c r="W509" s="66">
        <v>21.75</v>
      </c>
      <c r="X509" s="15">
        <f t="shared" si="111"/>
        <v>0.85000000000000142</v>
      </c>
      <c r="Y509" s="63">
        <f t="shared" si="112"/>
        <v>3.9080459770115004E-2</v>
      </c>
      <c r="Z509" s="114" t="s">
        <v>1612</v>
      </c>
      <c r="AA509" s="126"/>
      <c r="AD509" s="22" t="s">
        <v>319</v>
      </c>
      <c r="AE509" s="84">
        <v>43711</v>
      </c>
      <c r="AF509" s="83">
        <v>43724</v>
      </c>
      <c r="AG509" s="33">
        <f t="shared" si="113"/>
        <v>13</v>
      </c>
      <c r="AH509" s="119"/>
      <c r="AI509" s="264"/>
    </row>
    <row r="510" spans="1:46">
      <c r="B510" s="80">
        <v>-73</v>
      </c>
      <c r="C510" s="80">
        <v>-96</v>
      </c>
      <c r="D510" s="80">
        <v>-73</v>
      </c>
      <c r="E510" s="80">
        <v>-96</v>
      </c>
      <c r="F510" s="6">
        <v>0.63</v>
      </c>
      <c r="G510" s="79">
        <v>1710</v>
      </c>
      <c r="H510" s="50" t="s">
        <v>1410</v>
      </c>
      <c r="I510" s="22" t="s">
        <v>319</v>
      </c>
      <c r="J510" s="323">
        <v>72.38</v>
      </c>
      <c r="K510" s="323">
        <v>11.36</v>
      </c>
      <c r="L510" s="323">
        <v>2.4700000000000002</v>
      </c>
      <c r="N510" s="318">
        <f t="shared" si="109"/>
        <v>654.21</v>
      </c>
      <c r="O510" s="81">
        <f>IFERROR(VLOOKUP($G510,'321買'!A:E,3,0),"'沒有資料'")</f>
        <v>5</v>
      </c>
      <c r="P510" s="380">
        <f>IFERROR(VLOOKUP($G510,'321買'!$A:$G,7,0),"'沒有資料'")</f>
        <v>521</v>
      </c>
      <c r="R510" s="297">
        <f>IFERROR(RANK(VLOOKUP($G510,連買!$A:$D,4,0),連買!$D:$D,0),"'沒有資料'")</f>
        <v>568</v>
      </c>
      <c r="S510" s="34">
        <v>1.75</v>
      </c>
      <c r="U510" s="95">
        <f t="shared" si="110"/>
        <v>7.7433628318584066E-2</v>
      </c>
      <c r="V510" s="13">
        <v>22.6</v>
      </c>
      <c r="W510" s="66">
        <v>23.9</v>
      </c>
      <c r="X510" s="15">
        <f t="shared" si="111"/>
        <v>-1.2999999999999972</v>
      </c>
      <c r="Y510" s="76">
        <f t="shared" si="112"/>
        <v>-5.4393305439330429E-2</v>
      </c>
      <c r="Z510" s="115" t="s">
        <v>1565</v>
      </c>
      <c r="AA510" s="126"/>
      <c r="AD510" s="22" t="s">
        <v>319</v>
      </c>
      <c r="AE510" s="84">
        <v>43675</v>
      </c>
      <c r="AF510" s="83">
        <v>43724</v>
      </c>
      <c r="AG510" s="33">
        <f t="shared" si="113"/>
        <v>49</v>
      </c>
      <c r="AH510" s="119"/>
    </row>
    <row r="511" spans="1:46" ht="16.5" customHeight="1">
      <c r="A511" s="119"/>
      <c r="B511" s="80">
        <v>-105</v>
      </c>
      <c r="C511" s="80">
        <v>-112</v>
      </c>
      <c r="D511" s="80">
        <v>-105</v>
      </c>
      <c r="E511" s="80">
        <v>-112</v>
      </c>
      <c r="F511" s="6">
        <v>-1.92</v>
      </c>
      <c r="G511" s="79">
        <v>1710</v>
      </c>
      <c r="H511" s="50" t="s">
        <v>1410</v>
      </c>
      <c r="I511" s="22" t="s">
        <v>319</v>
      </c>
      <c r="J511" s="323">
        <v>71.709999999999994</v>
      </c>
      <c r="K511" s="323">
        <v>11.16</v>
      </c>
      <c r="L511" s="73">
        <v>2.56</v>
      </c>
      <c r="N511" s="318">
        <f t="shared" si="109"/>
        <v>653.42999999999995</v>
      </c>
      <c r="O511" s="81">
        <f>IFERROR(VLOOKUP($G511,'321買'!A:E,3,0),"'沒有資料'")</f>
        <v>5</v>
      </c>
      <c r="P511" s="380">
        <f>IFERROR(VLOOKUP($G511,'321買'!$A:$G,7,0),"'沒有資料'")</f>
        <v>521</v>
      </c>
      <c r="R511" s="297">
        <f>IFERROR(RANK(VLOOKUP($G511,連買!$A:$D,4,0),連買!$D:$D,0),"'沒有資料'")</f>
        <v>568</v>
      </c>
      <c r="S511" s="34">
        <v>1.75</v>
      </c>
      <c r="U511" s="95">
        <f t="shared" si="110"/>
        <v>7.7433628318584066E-2</v>
      </c>
      <c r="V511" s="36">
        <v>22.6</v>
      </c>
      <c r="W511" s="66">
        <v>21.15</v>
      </c>
      <c r="X511" s="15">
        <f t="shared" si="111"/>
        <v>1.4500000000000028</v>
      </c>
      <c r="Y511" s="63">
        <f t="shared" si="112"/>
        <v>6.855791962174955E-2</v>
      </c>
      <c r="Z511" s="114" t="s">
        <v>1601</v>
      </c>
      <c r="AA511" s="126"/>
      <c r="AD511" s="22" t="s">
        <v>319</v>
      </c>
      <c r="AE511" s="84">
        <v>43707</v>
      </c>
      <c r="AF511" s="83">
        <v>43724</v>
      </c>
      <c r="AG511" s="33">
        <f t="shared" si="113"/>
        <v>17</v>
      </c>
      <c r="AH511" s="119"/>
      <c r="AI511" s="264"/>
    </row>
    <row r="512" spans="1:46" ht="16.5" customHeight="1">
      <c r="A512" s="119"/>
      <c r="B512" s="80">
        <v>-105</v>
      </c>
      <c r="C512" s="80">
        <v>-112</v>
      </c>
      <c r="D512" s="80">
        <v>-105</v>
      </c>
      <c r="E512" s="80">
        <v>-112</v>
      </c>
      <c r="F512" s="6">
        <v>-1.92</v>
      </c>
      <c r="G512" s="79">
        <v>1710</v>
      </c>
      <c r="H512" s="50" t="s">
        <v>1410</v>
      </c>
      <c r="I512" s="22" t="s">
        <v>319</v>
      </c>
      <c r="J512" s="323">
        <v>71.22</v>
      </c>
      <c r="K512" s="73">
        <v>11.16</v>
      </c>
      <c r="L512" s="323">
        <v>2.6</v>
      </c>
      <c r="N512" s="318">
        <f t="shared" si="109"/>
        <v>652.98</v>
      </c>
      <c r="O512" s="81">
        <f>IFERROR(VLOOKUP($G512,'321買'!A:E,3,0),"'沒有資料'")</f>
        <v>5</v>
      </c>
      <c r="P512" s="380">
        <f>IFERROR(VLOOKUP($G512,'321買'!$A:$G,7,0),"'沒有資料'")</f>
        <v>521</v>
      </c>
      <c r="R512" s="297">
        <f>IFERROR(RANK(VLOOKUP($G512,連買!$A:$D,4,0),連買!$D:$D,0),"'沒有資料'")</f>
        <v>568</v>
      </c>
      <c r="S512" s="34">
        <v>1.75</v>
      </c>
      <c r="U512" s="95">
        <f t="shared" si="110"/>
        <v>7.7433628318584066E-2</v>
      </c>
      <c r="V512" s="36">
        <v>22.6</v>
      </c>
      <c r="W512" s="66">
        <v>21.75</v>
      </c>
      <c r="X512" s="15">
        <f t="shared" si="111"/>
        <v>0.85000000000000142</v>
      </c>
      <c r="Y512" s="63">
        <f t="shared" si="112"/>
        <v>3.9080459770115004E-2</v>
      </c>
      <c r="Z512" s="114" t="s">
        <v>1612</v>
      </c>
      <c r="AA512" s="126"/>
      <c r="AD512" s="22" t="s">
        <v>319</v>
      </c>
      <c r="AE512" s="84">
        <v>43711</v>
      </c>
      <c r="AF512" s="83">
        <v>43724</v>
      </c>
      <c r="AG512" s="33">
        <f t="shared" si="113"/>
        <v>13</v>
      </c>
      <c r="AH512" s="119"/>
      <c r="AI512" s="264"/>
    </row>
    <row r="513" spans="1:46">
      <c r="B513" s="80"/>
      <c r="C513" s="80"/>
      <c r="D513" s="80"/>
      <c r="E513" s="80"/>
      <c r="F513" s="6"/>
      <c r="G513" s="41"/>
      <c r="H513" s="8"/>
      <c r="I513" s="22"/>
      <c r="J513" s="323"/>
      <c r="K513" s="73"/>
      <c r="N513" s="318"/>
      <c r="S513" s="34"/>
      <c r="U513" s="95"/>
      <c r="V513" s="13">
        <f>SUM(V507:V512)</f>
        <v>135.6</v>
      </c>
      <c r="W513" s="66">
        <f>SUM(W507:W512)</f>
        <v>133.6</v>
      </c>
      <c r="X513" s="15">
        <f t="shared" si="111"/>
        <v>2</v>
      </c>
      <c r="Y513" s="63">
        <f t="shared" si="112"/>
        <v>1.4970059880239521E-2</v>
      </c>
      <c r="Z513" s="115"/>
      <c r="AA513" s="126"/>
      <c r="AD513" s="22"/>
      <c r="AG513" s="33"/>
      <c r="AH513" s="119"/>
    </row>
    <row r="514" spans="1:46">
      <c r="A514" s="130" t="s">
        <v>1732</v>
      </c>
      <c r="B514" s="91" t="s">
        <v>1588</v>
      </c>
      <c r="C514" s="91" t="s">
        <v>1589</v>
      </c>
      <c r="D514" s="91" t="s">
        <v>1590</v>
      </c>
      <c r="E514" s="91" t="s">
        <v>1591</v>
      </c>
      <c r="F514" s="8" t="s">
        <v>1066</v>
      </c>
      <c r="G514" s="25" t="s">
        <v>388</v>
      </c>
      <c r="H514" s="55" t="s">
        <v>322</v>
      </c>
      <c r="I514" s="1" t="s">
        <v>69</v>
      </c>
      <c r="J514" s="317" t="s">
        <v>1467</v>
      </c>
      <c r="K514" s="317" t="s">
        <v>1157</v>
      </c>
      <c r="L514" s="317" t="s">
        <v>284</v>
      </c>
      <c r="M514" s="317"/>
      <c r="N514" s="317" t="s">
        <v>1065</v>
      </c>
      <c r="P514" s="374" t="s">
        <v>1059</v>
      </c>
      <c r="R514" s="151" t="s">
        <v>1059</v>
      </c>
      <c r="S514" s="10" t="s">
        <v>66</v>
      </c>
      <c r="U514" s="68" t="s">
        <v>1502</v>
      </c>
      <c r="V514" s="28" t="s">
        <v>2</v>
      </c>
      <c r="W514" s="17" t="s">
        <v>1405</v>
      </c>
      <c r="X514" s="14" t="s">
        <v>5</v>
      </c>
      <c r="Y514" s="21" t="s">
        <v>3</v>
      </c>
      <c r="Z514" s="25" t="s">
        <v>105</v>
      </c>
      <c r="AA514" s="126"/>
      <c r="AD514" s="1" t="s">
        <v>69</v>
      </c>
      <c r="AE514" s="71" t="s">
        <v>1406</v>
      </c>
      <c r="AF514" s="72" t="s">
        <v>1163</v>
      </c>
      <c r="AG514" s="32" t="s">
        <v>1164</v>
      </c>
    </row>
    <row r="515" spans="1:46">
      <c r="B515" s="80">
        <v>-68</v>
      </c>
      <c r="C515" s="80">
        <v>-85</v>
      </c>
      <c r="D515" s="80">
        <v>-68</v>
      </c>
      <c r="E515" s="80">
        <v>-85</v>
      </c>
      <c r="F515" s="6">
        <v>1.94</v>
      </c>
      <c r="G515" s="79">
        <v>1605</v>
      </c>
      <c r="H515" s="30" t="s">
        <v>1469</v>
      </c>
      <c r="I515" s="22" t="s">
        <v>110</v>
      </c>
      <c r="J515" s="323">
        <v>67.84</v>
      </c>
      <c r="K515" s="323">
        <v>25.17</v>
      </c>
      <c r="L515" s="323">
        <v>6.39</v>
      </c>
      <c r="N515" s="318">
        <f t="shared" ref="N515:N524" si="114">R515+K515+J515+L515</f>
        <v>717.4</v>
      </c>
      <c r="O515" s="81">
        <f>IFERROR(VLOOKUP($G515,'321買'!A:E,3,0),"'沒有資料'")</f>
        <v>1</v>
      </c>
      <c r="P515" s="380">
        <f>IFERROR(VLOOKUP($G515,'321買'!$A:$G,7,0),"'沒有資料'")</f>
        <v>783</v>
      </c>
      <c r="R515" s="297">
        <f>IFERROR(RANK(VLOOKUP($G515,連買!$A:$D,4,0),連買!$D:$D,0),"'沒有資料'")</f>
        <v>618</v>
      </c>
      <c r="S515" s="34">
        <v>1.2</v>
      </c>
      <c r="U515" s="95">
        <f t="shared" ref="U515:U524" si="115">S515/V515</f>
        <v>8.1355932203389825E-2</v>
      </c>
      <c r="V515" s="13">
        <v>14.75</v>
      </c>
      <c r="W515" s="66">
        <v>15</v>
      </c>
      <c r="X515" s="15">
        <f t="shared" ref="X515:X521" si="116">V515-W515</f>
        <v>-0.25</v>
      </c>
      <c r="Y515" s="63">
        <f t="shared" ref="Y515:Y521" si="117">X515/W515</f>
        <v>-1.6666666666666666E-2</v>
      </c>
      <c r="Z515" s="114" t="s">
        <v>1512</v>
      </c>
      <c r="AA515" s="126"/>
      <c r="AD515" s="22" t="s">
        <v>110</v>
      </c>
      <c r="AE515" s="84">
        <v>43675</v>
      </c>
      <c r="AF515" s="83">
        <v>43724</v>
      </c>
      <c r="AG515" s="33">
        <f t="shared" ref="AG515:AG521" si="118">AF515-AE515</f>
        <v>49</v>
      </c>
      <c r="AH515" s="119"/>
    </row>
    <row r="516" spans="1:46" ht="16.5" customHeight="1">
      <c r="B516" s="80">
        <v>-68</v>
      </c>
      <c r="C516" s="80">
        <v>-85</v>
      </c>
      <c r="D516" s="80">
        <v>-68</v>
      </c>
      <c r="E516" s="80">
        <v>-85</v>
      </c>
      <c r="F516" s="6">
        <v>1.94</v>
      </c>
      <c r="G516" s="79">
        <v>1605</v>
      </c>
      <c r="H516" s="30" t="s">
        <v>1469</v>
      </c>
      <c r="I516" s="22" t="s">
        <v>110</v>
      </c>
      <c r="J516" s="323">
        <v>67.599999999999994</v>
      </c>
      <c r="K516" s="323">
        <v>24.67</v>
      </c>
      <c r="L516" s="73">
        <v>6.45</v>
      </c>
      <c r="N516" s="318">
        <f t="shared" si="114"/>
        <v>716.72</v>
      </c>
      <c r="O516" s="81">
        <f>IFERROR(VLOOKUP($G516,'321買'!A:E,3,0),"'沒有資料'")</f>
        <v>1</v>
      </c>
      <c r="P516" s="380">
        <f>IFERROR(VLOOKUP($G516,'321買'!$A:$G,7,0),"'沒有資料'")</f>
        <v>783</v>
      </c>
      <c r="R516" s="297">
        <f>IFERROR(RANK(VLOOKUP($G516,連買!$A:$D,4,0),連買!$D:$D,0),"'沒有資料'")</f>
        <v>618</v>
      </c>
      <c r="S516" s="34">
        <v>1.2</v>
      </c>
      <c r="U516" s="95">
        <f t="shared" si="115"/>
        <v>8.1355932203389825E-2</v>
      </c>
      <c r="V516" s="36">
        <v>14.75</v>
      </c>
      <c r="W516" s="66">
        <v>13.65</v>
      </c>
      <c r="X516" s="15">
        <f t="shared" si="116"/>
        <v>1.0999999999999996</v>
      </c>
      <c r="Y516" s="63">
        <f t="shared" si="117"/>
        <v>8.0586080586080563E-2</v>
      </c>
      <c r="Z516" s="114" t="s">
        <v>1600</v>
      </c>
      <c r="AA516" s="126"/>
      <c r="AD516" s="22" t="s">
        <v>110</v>
      </c>
      <c r="AE516" s="84">
        <v>43699</v>
      </c>
      <c r="AF516" s="83">
        <v>43724</v>
      </c>
      <c r="AG516" s="33">
        <f t="shared" si="118"/>
        <v>25</v>
      </c>
      <c r="AH516" s="119"/>
    </row>
    <row r="517" spans="1:46" ht="16.5" customHeight="1">
      <c r="B517" s="80">
        <v>-68</v>
      </c>
      <c r="C517" s="80">
        <v>-85</v>
      </c>
      <c r="D517" s="80">
        <v>-68</v>
      </c>
      <c r="E517" s="80">
        <v>-85</v>
      </c>
      <c r="F517" s="6">
        <v>1.94</v>
      </c>
      <c r="G517" s="79">
        <v>1605</v>
      </c>
      <c r="H517" s="30" t="s">
        <v>1469</v>
      </c>
      <c r="I517" s="22" t="s">
        <v>110</v>
      </c>
      <c r="J517" s="323">
        <v>67.599999999999994</v>
      </c>
      <c r="K517" s="323">
        <v>24.67</v>
      </c>
      <c r="L517" s="73">
        <v>6.45</v>
      </c>
      <c r="N517" s="318">
        <f t="shared" si="114"/>
        <v>716.72</v>
      </c>
      <c r="O517" s="81">
        <f>IFERROR(VLOOKUP($G517,'321買'!A:E,3,0),"'沒有資料'")</f>
        <v>1</v>
      </c>
      <c r="P517" s="380">
        <f>IFERROR(VLOOKUP($G517,'321買'!$A:$G,7,0),"'沒有資料'")</f>
        <v>783</v>
      </c>
      <c r="R517" s="297">
        <f>IFERROR(RANK(VLOOKUP($G517,連買!$A:$D,4,0),連買!$D:$D,0),"'沒有資料'")</f>
        <v>618</v>
      </c>
      <c r="S517" s="34">
        <v>1.2</v>
      </c>
      <c r="U517" s="95">
        <f t="shared" si="115"/>
        <v>8.1355932203389825E-2</v>
      </c>
      <c r="V517" s="36">
        <v>14.75</v>
      </c>
      <c r="W517" s="66">
        <v>13.65</v>
      </c>
      <c r="X517" s="15">
        <f t="shared" si="116"/>
        <v>1.0999999999999996</v>
      </c>
      <c r="Y517" s="63">
        <f t="shared" si="117"/>
        <v>8.0586080586080563E-2</v>
      </c>
      <c r="Z517" s="114" t="s">
        <v>1600</v>
      </c>
      <c r="AA517" s="126"/>
      <c r="AD517" s="22" t="s">
        <v>110</v>
      </c>
      <c r="AE517" s="84">
        <v>43699</v>
      </c>
      <c r="AF517" s="83">
        <v>43724</v>
      </c>
      <c r="AG517" s="33">
        <f t="shared" si="118"/>
        <v>25</v>
      </c>
      <c r="AH517" s="119"/>
    </row>
    <row r="518" spans="1:46" ht="16.5" customHeight="1">
      <c r="A518" s="119"/>
      <c r="B518" s="80">
        <v>-68</v>
      </c>
      <c r="C518" s="80">
        <v>-85</v>
      </c>
      <c r="D518" s="80">
        <v>-68</v>
      </c>
      <c r="E518" s="80">
        <v>-85</v>
      </c>
      <c r="F518" s="6">
        <v>1.94</v>
      </c>
      <c r="G518" s="79">
        <v>1605</v>
      </c>
      <c r="H518" s="30" t="s">
        <v>1469</v>
      </c>
      <c r="I518" s="22" t="s">
        <v>110</v>
      </c>
      <c r="J518" s="73">
        <v>67.58</v>
      </c>
      <c r="K518" s="323">
        <v>24.53</v>
      </c>
      <c r="L518" s="323">
        <v>6.44</v>
      </c>
      <c r="N518" s="318">
        <f t="shared" si="114"/>
        <v>716.55000000000007</v>
      </c>
      <c r="O518" s="81">
        <f>IFERROR(VLOOKUP($G518,'321買'!A:E,3,0),"'沒有資料'")</f>
        <v>1</v>
      </c>
      <c r="P518" s="380">
        <f>IFERROR(VLOOKUP($G518,'321買'!$A:$G,7,0),"'沒有資料'")</f>
        <v>783</v>
      </c>
      <c r="R518" s="297">
        <f>IFERROR(RANK(VLOOKUP($G518,連買!$A:$D,4,0),連買!$D:$D,0),"'沒有資料'")</f>
        <v>618</v>
      </c>
      <c r="S518" s="34">
        <v>1.2</v>
      </c>
      <c r="U518" s="95">
        <f t="shared" si="115"/>
        <v>8.1355932203389825E-2</v>
      </c>
      <c r="V518" s="36">
        <v>14.75</v>
      </c>
      <c r="W518" s="66">
        <v>14</v>
      </c>
      <c r="X518" s="15">
        <f>V518-W518</f>
        <v>0.75</v>
      </c>
      <c r="Y518" s="63">
        <f>X518/W518</f>
        <v>5.3571428571428568E-2</v>
      </c>
      <c r="Z518" s="114" t="s">
        <v>1465</v>
      </c>
      <c r="AA518" s="126"/>
      <c r="AD518" s="22" t="s">
        <v>110</v>
      </c>
      <c r="AE518" s="84">
        <v>43710</v>
      </c>
      <c r="AF518" s="83">
        <v>43724</v>
      </c>
      <c r="AG518" s="33">
        <f>AF518-AE518</f>
        <v>14</v>
      </c>
      <c r="AH518" s="119"/>
      <c r="AI518" s="264"/>
    </row>
    <row r="519" spans="1:46">
      <c r="B519" s="80">
        <v>-68</v>
      </c>
      <c r="C519" s="80">
        <v>-85</v>
      </c>
      <c r="D519" s="80">
        <v>-68</v>
      </c>
      <c r="E519" s="80">
        <v>-85</v>
      </c>
      <c r="F519" s="6">
        <v>1.94</v>
      </c>
      <c r="G519" s="79">
        <v>1605</v>
      </c>
      <c r="H519" s="50" t="s">
        <v>1410</v>
      </c>
      <c r="I519" s="22" t="s">
        <v>110</v>
      </c>
      <c r="J519" s="323">
        <v>67.84</v>
      </c>
      <c r="K519" s="323">
        <v>25.17</v>
      </c>
      <c r="L519" s="323">
        <v>6.39</v>
      </c>
      <c r="N519" s="318">
        <f t="shared" si="114"/>
        <v>717.4</v>
      </c>
      <c r="O519" s="81">
        <f>IFERROR(VLOOKUP($G519,'321買'!A:E,3,0),"'沒有資料'")</f>
        <v>1</v>
      </c>
      <c r="P519" s="380">
        <f>IFERROR(VLOOKUP($G519,'321買'!$A:$G,7,0),"'沒有資料'")</f>
        <v>783</v>
      </c>
      <c r="R519" s="297">
        <f>IFERROR(RANK(VLOOKUP($G519,連買!$A:$D,4,0),連買!$D:$D,0),"'沒有資料'")</f>
        <v>618</v>
      </c>
      <c r="S519" s="34">
        <v>1.2</v>
      </c>
      <c r="U519" s="95">
        <f t="shared" si="115"/>
        <v>8.1355932203389825E-2</v>
      </c>
      <c r="V519" s="13">
        <v>14.75</v>
      </c>
      <c r="W519" s="66">
        <v>15</v>
      </c>
      <c r="X519" s="15">
        <f t="shared" si="116"/>
        <v>-0.25</v>
      </c>
      <c r="Y519" s="63">
        <f t="shared" si="117"/>
        <v>-1.6666666666666666E-2</v>
      </c>
      <c r="Z519" s="114" t="s">
        <v>1512</v>
      </c>
      <c r="AA519" s="126"/>
      <c r="AD519" s="22" t="s">
        <v>110</v>
      </c>
      <c r="AE519" s="84">
        <v>43675</v>
      </c>
      <c r="AF519" s="83">
        <v>43724</v>
      </c>
      <c r="AG519" s="33">
        <f t="shared" si="118"/>
        <v>49</v>
      </c>
      <c r="AH519" s="119"/>
    </row>
    <row r="520" spans="1:46" ht="16.5" customHeight="1">
      <c r="B520" s="80">
        <v>-68</v>
      </c>
      <c r="C520" s="80">
        <v>-85</v>
      </c>
      <c r="D520" s="80">
        <v>-68</v>
      </c>
      <c r="E520" s="80">
        <v>-85</v>
      </c>
      <c r="F520" s="6">
        <v>1.94</v>
      </c>
      <c r="G520" s="79">
        <v>1605</v>
      </c>
      <c r="H520" s="50" t="s">
        <v>1410</v>
      </c>
      <c r="I520" s="22" t="s">
        <v>110</v>
      </c>
      <c r="J520" s="323">
        <v>67.599999999999994</v>
      </c>
      <c r="K520" s="323">
        <v>24.67</v>
      </c>
      <c r="L520" s="73">
        <v>6.45</v>
      </c>
      <c r="N520" s="318">
        <f t="shared" si="114"/>
        <v>716.72</v>
      </c>
      <c r="O520" s="81">
        <f>IFERROR(VLOOKUP($G520,'321買'!A:E,3,0),"'沒有資料'")</f>
        <v>1</v>
      </c>
      <c r="P520" s="380">
        <f>IFERROR(VLOOKUP($G520,'321買'!$A:$G,7,0),"'沒有資料'")</f>
        <v>783</v>
      </c>
      <c r="R520" s="297">
        <f>IFERROR(RANK(VLOOKUP($G520,連買!$A:$D,4,0),連買!$D:$D,0),"'沒有資料'")</f>
        <v>618</v>
      </c>
      <c r="S520" s="34">
        <v>1.2</v>
      </c>
      <c r="U520" s="95">
        <f t="shared" si="115"/>
        <v>8.1355932203389825E-2</v>
      </c>
      <c r="V520" s="36">
        <v>14.75</v>
      </c>
      <c r="W520" s="66">
        <v>13.65</v>
      </c>
      <c r="X520" s="15">
        <f t="shared" si="116"/>
        <v>1.0999999999999996</v>
      </c>
      <c r="Y520" s="63">
        <f t="shared" si="117"/>
        <v>8.0586080586080563E-2</v>
      </c>
      <c r="Z520" s="114" t="s">
        <v>1600</v>
      </c>
      <c r="AA520" s="126"/>
      <c r="AD520" s="22" t="s">
        <v>110</v>
      </c>
      <c r="AE520" s="84">
        <v>43699</v>
      </c>
      <c r="AF520" s="83">
        <v>43724</v>
      </c>
      <c r="AG520" s="33">
        <f t="shared" si="118"/>
        <v>25</v>
      </c>
      <c r="AH520" s="119"/>
    </row>
    <row r="521" spans="1:46" ht="16.5" customHeight="1">
      <c r="B521" s="80">
        <v>-68</v>
      </c>
      <c r="C521" s="80">
        <v>-85</v>
      </c>
      <c r="D521" s="80">
        <v>-68</v>
      </c>
      <c r="E521" s="80">
        <v>-85</v>
      </c>
      <c r="F521" s="6">
        <v>1.94</v>
      </c>
      <c r="G521" s="79">
        <v>1605</v>
      </c>
      <c r="H521" s="50" t="s">
        <v>1410</v>
      </c>
      <c r="I521" s="22" t="s">
        <v>110</v>
      </c>
      <c r="J521" s="323">
        <v>67.599999999999994</v>
      </c>
      <c r="K521" s="323">
        <v>24.67</v>
      </c>
      <c r="L521" s="73">
        <v>6.45</v>
      </c>
      <c r="N521" s="318">
        <f t="shared" si="114"/>
        <v>716.72</v>
      </c>
      <c r="O521" s="81">
        <f>IFERROR(VLOOKUP($G521,'321買'!A:E,3,0),"'沒有資料'")</f>
        <v>1</v>
      </c>
      <c r="P521" s="380">
        <f>IFERROR(VLOOKUP($G521,'321買'!$A:$G,7,0),"'沒有資料'")</f>
        <v>783</v>
      </c>
      <c r="R521" s="297">
        <f>IFERROR(RANK(VLOOKUP($G521,連買!$A:$D,4,0),連買!$D:$D,0),"'沒有資料'")</f>
        <v>618</v>
      </c>
      <c r="S521" s="34">
        <v>1.2</v>
      </c>
      <c r="U521" s="95">
        <f t="shared" si="115"/>
        <v>8.1355932203389825E-2</v>
      </c>
      <c r="V521" s="36">
        <v>14.75</v>
      </c>
      <c r="W521" s="66">
        <v>13.65</v>
      </c>
      <c r="X521" s="15">
        <f t="shared" si="116"/>
        <v>1.0999999999999996</v>
      </c>
      <c r="Y521" s="63">
        <f t="shared" si="117"/>
        <v>8.0586080586080563E-2</v>
      </c>
      <c r="Z521" s="114" t="s">
        <v>1600</v>
      </c>
      <c r="AA521" s="126"/>
      <c r="AD521" s="22" t="s">
        <v>110</v>
      </c>
      <c r="AE521" s="84">
        <v>43699</v>
      </c>
      <c r="AF521" s="83">
        <v>43724</v>
      </c>
      <c r="AG521" s="33">
        <f t="shared" si="118"/>
        <v>25</v>
      </c>
      <c r="AH521" s="119"/>
    </row>
    <row r="522" spans="1:46" ht="16.5" customHeight="1">
      <c r="A522" s="119"/>
      <c r="B522" s="80">
        <v>-68</v>
      </c>
      <c r="C522" s="80">
        <v>-85</v>
      </c>
      <c r="D522" s="80">
        <v>-68</v>
      </c>
      <c r="E522" s="80">
        <v>-85</v>
      </c>
      <c r="F522" s="6">
        <v>1.94</v>
      </c>
      <c r="G522" s="79">
        <v>1605</v>
      </c>
      <c r="H522" s="50" t="s">
        <v>1410</v>
      </c>
      <c r="I522" s="22" t="s">
        <v>110</v>
      </c>
      <c r="J522" s="73">
        <v>67.58</v>
      </c>
      <c r="K522" s="323">
        <v>24.53</v>
      </c>
      <c r="L522" s="323">
        <v>6.44</v>
      </c>
      <c r="N522" s="318">
        <f t="shared" si="114"/>
        <v>716.55000000000007</v>
      </c>
      <c r="O522" s="81">
        <f>IFERROR(VLOOKUP($G522,'321買'!A:E,3,0),"'沒有資料'")</f>
        <v>1</v>
      </c>
      <c r="P522" s="380">
        <f>IFERROR(VLOOKUP($G522,'321買'!$A:$G,7,0),"'沒有資料'")</f>
        <v>783</v>
      </c>
      <c r="R522" s="297">
        <f>IFERROR(RANK(VLOOKUP($G522,連買!$A:$D,4,0),連買!$D:$D,0),"'沒有資料'")</f>
        <v>618</v>
      </c>
      <c r="S522" s="34">
        <v>1.2</v>
      </c>
      <c r="U522" s="95">
        <f t="shared" si="115"/>
        <v>8.1355932203389825E-2</v>
      </c>
      <c r="V522" s="36">
        <v>14.75</v>
      </c>
      <c r="W522" s="66">
        <v>13.95</v>
      </c>
      <c r="X522" s="15">
        <f>V522-W522</f>
        <v>0.80000000000000071</v>
      </c>
      <c r="Y522" s="63">
        <f>X522/W522</f>
        <v>5.7347670250896113E-2</v>
      </c>
      <c r="Z522" s="114" t="s">
        <v>1603</v>
      </c>
      <c r="AA522" s="126"/>
      <c r="AD522" s="22" t="s">
        <v>110</v>
      </c>
      <c r="AE522" s="84">
        <v>43710</v>
      </c>
      <c r="AF522" s="83">
        <v>43724</v>
      </c>
      <c r="AG522" s="33">
        <f>AF522-AE522</f>
        <v>14</v>
      </c>
      <c r="AH522" s="119"/>
      <c r="AI522" s="264"/>
    </row>
    <row r="523" spans="1:46" ht="16.5" customHeight="1">
      <c r="A523" s="119"/>
      <c r="B523" s="80">
        <v>-68</v>
      </c>
      <c r="C523" s="80">
        <v>-85</v>
      </c>
      <c r="D523" s="80">
        <v>-68</v>
      </c>
      <c r="E523" s="80">
        <v>-85</v>
      </c>
      <c r="F523" s="6">
        <v>1.94</v>
      </c>
      <c r="G523" s="79">
        <v>1605</v>
      </c>
      <c r="H523" s="50" t="s">
        <v>1410</v>
      </c>
      <c r="I523" s="22" t="s">
        <v>110</v>
      </c>
      <c r="J523" s="73">
        <v>67.58</v>
      </c>
      <c r="K523" s="323">
        <v>24.5</v>
      </c>
      <c r="L523" s="73">
        <v>6.5</v>
      </c>
      <c r="N523" s="318">
        <f t="shared" si="114"/>
        <v>716.58</v>
      </c>
      <c r="O523" s="81">
        <f>IFERROR(VLOOKUP($G523,'321買'!A:E,3,0),"'沒有資料'")</f>
        <v>1</v>
      </c>
      <c r="P523" s="380">
        <f>IFERROR(VLOOKUP($G523,'321買'!$A:$G,7,0),"'沒有資料'")</f>
        <v>783</v>
      </c>
      <c r="R523" s="297">
        <f>IFERROR(RANK(VLOOKUP($G523,連買!$A:$D,4,0),連買!$D:$D,0),"'沒有資料'")</f>
        <v>618</v>
      </c>
      <c r="S523" s="34">
        <v>1.2</v>
      </c>
      <c r="U523" s="95">
        <f t="shared" si="115"/>
        <v>8.1355932203389825E-2</v>
      </c>
      <c r="V523" s="36">
        <v>14.75</v>
      </c>
      <c r="W523" s="66">
        <v>14.15</v>
      </c>
      <c r="X523" s="15">
        <f>V523-W523</f>
        <v>0.59999999999999964</v>
      </c>
      <c r="Y523" s="63">
        <f>X523/W523</f>
        <v>4.240282685512365E-2</v>
      </c>
      <c r="Z523" s="114" t="s">
        <v>1604</v>
      </c>
      <c r="AA523" s="126"/>
      <c r="AD523" s="22" t="s">
        <v>110</v>
      </c>
      <c r="AE523" s="84">
        <v>43711</v>
      </c>
      <c r="AF523" s="83">
        <v>43724</v>
      </c>
      <c r="AG523" s="33">
        <f>AF523-AE523</f>
        <v>13</v>
      </c>
      <c r="AH523" s="119"/>
      <c r="AI523" s="264"/>
    </row>
    <row r="524" spans="1:46" ht="16.5" customHeight="1">
      <c r="A524" s="119"/>
      <c r="B524" s="80">
        <v>-68</v>
      </c>
      <c r="C524" s="80">
        <v>-85</v>
      </c>
      <c r="D524" s="80">
        <v>-68</v>
      </c>
      <c r="E524" s="80">
        <v>-85</v>
      </c>
      <c r="F524" s="6">
        <v>1.94</v>
      </c>
      <c r="G524" s="79">
        <v>1605</v>
      </c>
      <c r="H524" s="50" t="s">
        <v>1410</v>
      </c>
      <c r="I524" s="22" t="s">
        <v>110</v>
      </c>
      <c r="J524" s="73">
        <v>67.58</v>
      </c>
      <c r="K524" s="323">
        <v>24.5</v>
      </c>
      <c r="L524" s="73">
        <v>6.5</v>
      </c>
      <c r="N524" s="318">
        <f t="shared" si="114"/>
        <v>716.58</v>
      </c>
      <c r="O524" s="81">
        <f>IFERROR(VLOOKUP($G524,'321買'!A:E,3,0),"'沒有資料'")</f>
        <v>1</v>
      </c>
      <c r="P524" s="380">
        <f>IFERROR(VLOOKUP($G524,'321買'!$A:$G,7,0),"'沒有資料'")</f>
        <v>783</v>
      </c>
      <c r="R524" s="297">
        <f>IFERROR(RANK(VLOOKUP($G524,連買!$A:$D,4,0),連買!$D:$D,0),"'沒有資料'")</f>
        <v>618</v>
      </c>
      <c r="S524" s="34">
        <v>1.2</v>
      </c>
      <c r="U524" s="95">
        <f t="shared" si="115"/>
        <v>8.1355932203389825E-2</v>
      </c>
      <c r="V524" s="36">
        <v>14.75</v>
      </c>
      <c r="W524" s="66">
        <v>14.15</v>
      </c>
      <c r="X524" s="15">
        <f>V524-W524</f>
        <v>0.59999999999999964</v>
      </c>
      <c r="Y524" s="63">
        <f>X524/W524</f>
        <v>4.240282685512365E-2</v>
      </c>
      <c r="Z524" s="114" t="s">
        <v>1604</v>
      </c>
      <c r="AA524" s="126"/>
      <c r="AD524" s="22" t="s">
        <v>110</v>
      </c>
      <c r="AE524" s="84">
        <v>43711</v>
      </c>
      <c r="AF524" s="83">
        <v>43724</v>
      </c>
      <c r="AG524" s="33">
        <f>AF524-AE524</f>
        <v>13</v>
      </c>
      <c r="AH524" s="119"/>
      <c r="AI524" s="264"/>
    </row>
    <row r="525" spans="1:46">
      <c r="B525" s="80"/>
      <c r="C525" s="80"/>
      <c r="D525" s="80"/>
      <c r="E525" s="80"/>
      <c r="F525" s="6"/>
      <c r="G525" s="41"/>
      <c r="H525" s="8"/>
      <c r="I525" s="22"/>
      <c r="J525" s="323"/>
      <c r="K525" s="323"/>
      <c r="N525" s="318"/>
      <c r="S525" s="34"/>
      <c r="U525" s="95"/>
      <c r="V525" s="13">
        <f>SUM(V515:V524)</f>
        <v>147.5</v>
      </c>
      <c r="W525" s="66">
        <f>SUM(W515:W524)</f>
        <v>140.85000000000002</v>
      </c>
      <c r="X525" s="15">
        <f>V525-W525</f>
        <v>6.6499999999999773</v>
      </c>
      <c r="Y525" s="63">
        <f>X525/W525</f>
        <v>4.7213347532836181E-2</v>
      </c>
      <c r="Z525" s="114"/>
      <c r="AA525" s="126"/>
      <c r="AD525" s="22"/>
      <c r="AG525" s="33"/>
      <c r="AH525" s="119"/>
    </row>
    <row r="526" spans="1:46">
      <c r="A526" s="130" t="s">
        <v>1732</v>
      </c>
      <c r="B526" s="91" t="s">
        <v>1588</v>
      </c>
      <c r="C526" s="91" t="s">
        <v>1589</v>
      </c>
      <c r="D526" s="91" t="s">
        <v>1590</v>
      </c>
      <c r="E526" s="91" t="s">
        <v>1591</v>
      </c>
      <c r="F526" s="8" t="s">
        <v>1066</v>
      </c>
      <c r="G526" s="25" t="s">
        <v>388</v>
      </c>
      <c r="H526" s="55" t="s">
        <v>322</v>
      </c>
      <c r="I526" s="1" t="s">
        <v>69</v>
      </c>
      <c r="J526" s="317" t="s">
        <v>1467</v>
      </c>
      <c r="K526" s="317" t="s">
        <v>1157</v>
      </c>
      <c r="L526" s="317" t="s">
        <v>284</v>
      </c>
      <c r="M526" s="317"/>
      <c r="N526" s="317" t="s">
        <v>1065</v>
      </c>
      <c r="P526" s="374" t="s">
        <v>1059</v>
      </c>
      <c r="R526" s="151" t="s">
        <v>1059</v>
      </c>
      <c r="S526" s="10" t="s">
        <v>66</v>
      </c>
      <c r="U526" s="68" t="s">
        <v>1502</v>
      </c>
      <c r="V526" s="28" t="s">
        <v>2</v>
      </c>
      <c r="W526" s="17" t="s">
        <v>1405</v>
      </c>
      <c r="X526" s="14" t="s">
        <v>5</v>
      </c>
      <c r="Y526" s="21" t="s">
        <v>3</v>
      </c>
      <c r="Z526" s="25" t="s">
        <v>105</v>
      </c>
      <c r="AA526" s="126"/>
      <c r="AD526" s="1" t="s">
        <v>69</v>
      </c>
      <c r="AE526" s="71" t="s">
        <v>1406</v>
      </c>
      <c r="AF526" s="72" t="s">
        <v>1163</v>
      </c>
      <c r="AG526" s="32" t="s">
        <v>1164</v>
      </c>
      <c r="AH526" s="41"/>
    </row>
    <row r="527" spans="1:46" s="7" customFormat="1" ht="17.100000000000001" customHeight="1">
      <c r="A527" s="41"/>
      <c r="B527" s="80">
        <v>-28</v>
      </c>
      <c r="C527" s="80">
        <v>-33</v>
      </c>
      <c r="D527" s="80">
        <v>-28</v>
      </c>
      <c r="E527" s="80">
        <v>-33</v>
      </c>
      <c r="F527" s="6">
        <v>4.51</v>
      </c>
      <c r="G527" s="79">
        <v>1304</v>
      </c>
      <c r="H527" s="8" t="s">
        <v>1409</v>
      </c>
      <c r="I527" s="22" t="s">
        <v>64</v>
      </c>
      <c r="J527" s="73">
        <v>60.93</v>
      </c>
      <c r="K527" s="323">
        <v>34.159999999999997</v>
      </c>
      <c r="L527" s="73">
        <v>1.87</v>
      </c>
      <c r="M527" s="318"/>
      <c r="N527" s="318">
        <f t="shared" ref="N527:N536" si="119">R527+K527+J527+L527</f>
        <v>1646.96</v>
      </c>
      <c r="O527" s="81">
        <f>IFERROR(VLOOKUP($G527,'321買'!A:E,3,0),"'沒有資料'")</f>
        <v>8</v>
      </c>
      <c r="P527" s="380">
        <f>IFERROR(VLOOKUP($G527,'321買'!$A:$G,7,0),"'沒有資料'")</f>
        <v>475</v>
      </c>
      <c r="Q527" s="302"/>
      <c r="R527" s="297">
        <f>IFERROR(RANK(VLOOKUP($G527,連買!$A:$D,4,0),連買!$D:$D,0),"'沒有資料'")</f>
        <v>1550</v>
      </c>
      <c r="S527" s="34">
        <v>0.3</v>
      </c>
      <c r="T527" s="354"/>
      <c r="U527" s="95">
        <f t="shared" ref="U527:U536" si="120">S527/V527</f>
        <v>2.1660649819494584E-2</v>
      </c>
      <c r="V527" s="13">
        <v>13.85</v>
      </c>
      <c r="W527" s="66">
        <f>16.97-0.3-0.3-0.47</f>
        <v>15.899999999999997</v>
      </c>
      <c r="X527" s="15">
        <f>V527-W527</f>
        <v>-2.0499999999999972</v>
      </c>
      <c r="Y527" s="76">
        <f>X527/W527</f>
        <v>-0.12893081761006275</v>
      </c>
      <c r="Z527" s="116" t="s">
        <v>1605</v>
      </c>
      <c r="AA527" s="126"/>
      <c r="AB527" s="251"/>
      <c r="AC527" s="410"/>
      <c r="AD527" s="22" t="s">
        <v>64</v>
      </c>
      <c r="AE527" s="84">
        <v>42719</v>
      </c>
      <c r="AF527" s="83">
        <v>43724</v>
      </c>
      <c r="AG527" s="138">
        <f>AF527-AE527</f>
        <v>1005</v>
      </c>
      <c r="AH527" s="119"/>
      <c r="AI527" s="27"/>
      <c r="AJ527" s="17"/>
      <c r="AK527" s="11"/>
      <c r="AL527" s="11"/>
      <c r="AM527" s="11"/>
      <c r="AN527" s="11"/>
      <c r="AO527" s="264"/>
      <c r="AP527" s="264"/>
      <c r="AR527" s="4"/>
      <c r="AS527" s="264"/>
      <c r="AT527" s="264"/>
    </row>
    <row r="528" spans="1:46" s="7" customFormat="1" ht="17.100000000000001" customHeight="1">
      <c r="A528" s="41"/>
      <c r="B528" s="80">
        <v>-28</v>
      </c>
      <c r="C528" s="80">
        <v>-33</v>
      </c>
      <c r="D528" s="80">
        <v>-28</v>
      </c>
      <c r="E528" s="80">
        <v>-33</v>
      </c>
      <c r="F528" s="6">
        <v>4.51</v>
      </c>
      <c r="G528" s="79">
        <v>1304</v>
      </c>
      <c r="H528" s="50" t="s">
        <v>1410</v>
      </c>
      <c r="I528" s="22" t="s">
        <v>64</v>
      </c>
      <c r="J528" s="73">
        <v>60.93</v>
      </c>
      <c r="K528" s="323">
        <v>34.159999999999997</v>
      </c>
      <c r="L528" s="73">
        <v>1.87</v>
      </c>
      <c r="M528" s="318"/>
      <c r="N528" s="318">
        <f t="shared" si="119"/>
        <v>1646.96</v>
      </c>
      <c r="O528" s="81">
        <f>IFERROR(VLOOKUP($G528,'321買'!A:E,3,0),"'沒有資料'")</f>
        <v>8</v>
      </c>
      <c r="P528" s="380">
        <f>IFERROR(VLOOKUP($G528,'321買'!$A:$G,7,0),"'沒有資料'")</f>
        <v>475</v>
      </c>
      <c r="Q528" s="302"/>
      <c r="R528" s="297">
        <f>IFERROR(RANK(VLOOKUP($G528,連買!$A:$D,4,0),連買!$D:$D,0),"'沒有資料'")</f>
        <v>1550</v>
      </c>
      <c r="S528" s="34">
        <v>0.3</v>
      </c>
      <c r="T528" s="354"/>
      <c r="U528" s="95">
        <f t="shared" si="120"/>
        <v>2.1660649819494584E-2</v>
      </c>
      <c r="V528" s="13">
        <v>13.85</v>
      </c>
      <c r="W528" s="66">
        <f>16.87-0.3-0.3-0.46</f>
        <v>15.809999999999999</v>
      </c>
      <c r="X528" s="15">
        <f>V528-W528</f>
        <v>-1.9599999999999991</v>
      </c>
      <c r="Y528" s="76">
        <f>X528/W528</f>
        <v>-0.12397216951296643</v>
      </c>
      <c r="Z528" s="116" t="s">
        <v>1606</v>
      </c>
      <c r="AA528" s="126"/>
      <c r="AB528" s="251"/>
      <c r="AC528" s="410"/>
      <c r="AD528" s="22" t="s">
        <v>64</v>
      </c>
      <c r="AE528" s="84">
        <v>42718</v>
      </c>
      <c r="AF528" s="83">
        <v>43724</v>
      </c>
      <c r="AG528" s="138">
        <f>AF528-AE528</f>
        <v>1006</v>
      </c>
      <c r="AH528" s="119"/>
      <c r="AI528" s="27"/>
      <c r="AJ528" s="17"/>
      <c r="AK528" s="11"/>
      <c r="AL528" s="11"/>
      <c r="AM528" s="11"/>
      <c r="AN528" s="11"/>
      <c r="AO528" s="264"/>
      <c r="AP528" s="264"/>
      <c r="AR528" s="4"/>
      <c r="AS528" s="264"/>
      <c r="AT528" s="264"/>
    </row>
    <row r="529" spans="1:46" s="7" customFormat="1" ht="17.100000000000001" customHeight="1">
      <c r="A529" s="41"/>
      <c r="B529" s="80">
        <v>-28</v>
      </c>
      <c r="C529" s="80">
        <v>-33</v>
      </c>
      <c r="D529" s="80">
        <v>-28</v>
      </c>
      <c r="E529" s="80">
        <v>-33</v>
      </c>
      <c r="F529" s="6">
        <v>4.51</v>
      </c>
      <c r="G529" s="79">
        <v>1304</v>
      </c>
      <c r="H529" s="8" t="s">
        <v>1409</v>
      </c>
      <c r="I529" s="22" t="s">
        <v>64</v>
      </c>
      <c r="J529" s="73">
        <v>60.93</v>
      </c>
      <c r="K529" s="323">
        <v>34.159999999999997</v>
      </c>
      <c r="L529" s="73">
        <v>1.87</v>
      </c>
      <c r="M529" s="318"/>
      <c r="N529" s="318">
        <f t="shared" si="119"/>
        <v>1646.96</v>
      </c>
      <c r="O529" s="81">
        <f>IFERROR(VLOOKUP($G529,'321買'!A:E,3,0),"'沒有資料'")</f>
        <v>8</v>
      </c>
      <c r="P529" s="380">
        <f>IFERROR(VLOOKUP($G529,'321買'!$A:$G,7,0),"'沒有資料'")</f>
        <v>475</v>
      </c>
      <c r="Q529" s="302"/>
      <c r="R529" s="297">
        <f>IFERROR(RANK(VLOOKUP($G529,連買!$A:$D,4,0),連買!$D:$D,0),"'沒有資料'")</f>
        <v>1550</v>
      </c>
      <c r="S529" s="34">
        <v>0.3</v>
      </c>
      <c r="T529" s="354"/>
      <c r="U529" s="95">
        <f t="shared" si="120"/>
        <v>2.3255813953488372E-2</v>
      </c>
      <c r="V529" s="13">
        <v>12.9</v>
      </c>
      <c r="W529" s="66">
        <f>13.82-0.3</f>
        <v>13.52</v>
      </c>
      <c r="X529" s="15">
        <f>V529-W529</f>
        <v>-0.61999999999999922</v>
      </c>
      <c r="Y529" s="76">
        <f>X529/W529</f>
        <v>-4.5857988165680416E-2</v>
      </c>
      <c r="Z529" s="116" t="s">
        <v>1598</v>
      </c>
      <c r="AA529" s="126"/>
      <c r="AB529" s="251"/>
      <c r="AC529" s="410"/>
      <c r="AD529" s="22" t="s">
        <v>64</v>
      </c>
      <c r="AE529" s="84">
        <v>43350</v>
      </c>
      <c r="AF529" s="83">
        <v>43724</v>
      </c>
      <c r="AG529" s="77">
        <f>AF529-AE529</f>
        <v>374</v>
      </c>
      <c r="AH529" s="119"/>
      <c r="AI529" s="27"/>
      <c r="AJ529" s="17"/>
      <c r="AK529" s="11"/>
      <c r="AL529" s="11"/>
      <c r="AM529" s="11"/>
      <c r="AN529" s="11"/>
      <c r="AO529" s="264"/>
      <c r="AP529" s="264"/>
      <c r="AR529" s="4"/>
      <c r="AS529" s="264"/>
      <c r="AT529" s="264"/>
    </row>
    <row r="530" spans="1:46" s="7" customFormat="1" ht="17.100000000000001" customHeight="1">
      <c r="A530" s="41"/>
      <c r="B530" s="80">
        <v>-28</v>
      </c>
      <c r="C530" s="80">
        <v>-33</v>
      </c>
      <c r="D530" s="80">
        <v>-28</v>
      </c>
      <c r="E530" s="80">
        <v>-33</v>
      </c>
      <c r="F530" s="6">
        <v>4.51</v>
      </c>
      <c r="G530" s="79">
        <v>1304</v>
      </c>
      <c r="H530" s="50" t="s">
        <v>1410</v>
      </c>
      <c r="I530" s="22" t="s">
        <v>64</v>
      </c>
      <c r="J530" s="73">
        <v>60.93</v>
      </c>
      <c r="K530" s="323">
        <v>34.159999999999997</v>
      </c>
      <c r="L530" s="73">
        <v>1.87</v>
      </c>
      <c r="M530" s="318"/>
      <c r="N530" s="318">
        <f t="shared" si="119"/>
        <v>1646.96</v>
      </c>
      <c r="O530" s="81">
        <f>IFERROR(VLOOKUP($G530,'321買'!A:E,3,0),"'沒有資料'")</f>
        <v>8</v>
      </c>
      <c r="P530" s="380">
        <f>IFERROR(VLOOKUP($G530,'321買'!$A:$G,7,0),"'沒有資料'")</f>
        <v>475</v>
      </c>
      <c r="Q530" s="302"/>
      <c r="R530" s="297">
        <f>IFERROR(RANK(VLOOKUP($G530,連買!$A:$D,4,0),連買!$D:$D,0),"'沒有資料'")</f>
        <v>1550</v>
      </c>
      <c r="S530" s="34">
        <v>0.3</v>
      </c>
      <c r="T530" s="354"/>
      <c r="U530" s="95">
        <f t="shared" si="120"/>
        <v>2.2058823529411766E-2</v>
      </c>
      <c r="V530" s="13">
        <v>13.6</v>
      </c>
      <c r="W530" s="66">
        <f>13.82-0.3</f>
        <v>13.52</v>
      </c>
      <c r="X530" s="15">
        <f>V530-W530</f>
        <v>8.0000000000000071E-2</v>
      </c>
      <c r="Y530" s="76">
        <f>X530/W530</f>
        <v>5.9171597633136145E-3</v>
      </c>
      <c r="Z530" s="116" t="s">
        <v>1607</v>
      </c>
      <c r="AA530" s="126"/>
      <c r="AB530" s="251"/>
      <c r="AC530" s="410"/>
      <c r="AD530" s="22" t="s">
        <v>64</v>
      </c>
      <c r="AE530" s="84">
        <v>43350</v>
      </c>
      <c r="AF530" s="83">
        <v>43724</v>
      </c>
      <c r="AG530" s="77">
        <f>AF530-AE530</f>
        <v>374</v>
      </c>
      <c r="AH530" s="119"/>
      <c r="AI530" s="27"/>
      <c r="AJ530" s="17"/>
      <c r="AK530" s="11"/>
      <c r="AL530" s="11"/>
      <c r="AM530" s="11"/>
      <c r="AN530" s="11"/>
      <c r="AO530" s="264"/>
      <c r="AP530" s="264"/>
      <c r="AR530" s="4"/>
      <c r="AS530" s="264"/>
      <c r="AT530" s="264"/>
    </row>
    <row r="531" spans="1:46" ht="16.5" customHeight="1">
      <c r="B531" s="80">
        <v>-22</v>
      </c>
      <c r="C531" s="80">
        <v>-32</v>
      </c>
      <c r="D531" s="80">
        <v>-22</v>
      </c>
      <c r="E531" s="80">
        <v>-32</v>
      </c>
      <c r="F531" s="6">
        <v>4.38</v>
      </c>
      <c r="G531" s="79">
        <v>1304</v>
      </c>
      <c r="H531" s="50" t="s">
        <v>1410</v>
      </c>
      <c r="I531" s="22" t="s">
        <v>64</v>
      </c>
      <c r="J531" s="73">
        <v>60.98</v>
      </c>
      <c r="K531" s="73">
        <v>34.229999999999997</v>
      </c>
      <c r="L531" s="323">
        <v>1.8</v>
      </c>
      <c r="N531" s="318">
        <f t="shared" si="119"/>
        <v>1647.01</v>
      </c>
      <c r="O531" s="81">
        <f>IFERROR(VLOOKUP($G531,'321買'!A:E,3,0),"'沒有資料'")</f>
        <v>8</v>
      </c>
      <c r="P531" s="380">
        <f>IFERROR(VLOOKUP($G531,'321買'!$A:$G,7,0),"'沒有資料'")</f>
        <v>475</v>
      </c>
      <c r="R531" s="297">
        <f>IFERROR(RANK(VLOOKUP($G531,連買!$A:$D,4,0),連買!$D:$D,0),"'沒有資料'")</f>
        <v>1550</v>
      </c>
      <c r="S531" s="34">
        <v>0.3</v>
      </c>
      <c r="U531" s="95">
        <f t="shared" si="120"/>
        <v>2.2058823529411766E-2</v>
      </c>
      <c r="V531" s="36">
        <v>13.6</v>
      </c>
      <c r="W531" s="66">
        <v>12.25</v>
      </c>
      <c r="X531" s="15">
        <f t="shared" ref="X531:X536" si="121">V531-W531</f>
        <v>1.3499999999999996</v>
      </c>
      <c r="Y531" s="63">
        <f t="shared" ref="Y531:Y536" si="122">X531/W531</f>
        <v>0.11020408163265304</v>
      </c>
      <c r="Z531" s="114" t="s">
        <v>1587</v>
      </c>
      <c r="AA531" s="126"/>
      <c r="AD531" s="22" t="s">
        <v>64</v>
      </c>
      <c r="AE531" s="84">
        <v>43697</v>
      </c>
      <c r="AF531" s="83">
        <v>43724</v>
      </c>
      <c r="AG531" s="33">
        <f t="shared" ref="AG531:AG536" si="123">AF531-AE531</f>
        <v>27</v>
      </c>
      <c r="AH531" s="119"/>
    </row>
    <row r="532" spans="1:46" ht="16.5" customHeight="1">
      <c r="B532" s="80">
        <v>-22</v>
      </c>
      <c r="C532" s="80">
        <v>-32</v>
      </c>
      <c r="D532" s="80">
        <v>-22</v>
      </c>
      <c r="E532" s="80">
        <v>-32</v>
      </c>
      <c r="F532" s="6">
        <v>4.38</v>
      </c>
      <c r="G532" s="79">
        <v>1304</v>
      </c>
      <c r="H532" s="50" t="s">
        <v>1410</v>
      </c>
      <c r="I532" s="22" t="s">
        <v>64</v>
      </c>
      <c r="J532" s="73">
        <v>60.98</v>
      </c>
      <c r="K532" s="73">
        <v>34.229999999999997</v>
      </c>
      <c r="L532" s="323">
        <v>1.8</v>
      </c>
      <c r="N532" s="318">
        <f t="shared" si="119"/>
        <v>1647.01</v>
      </c>
      <c r="O532" s="81">
        <f>IFERROR(VLOOKUP($G532,'321買'!A:E,3,0),"'沒有資料'")</f>
        <v>8</v>
      </c>
      <c r="P532" s="380">
        <f>IFERROR(VLOOKUP($G532,'321買'!$A:$G,7,0),"'沒有資料'")</f>
        <v>475</v>
      </c>
      <c r="R532" s="297">
        <f>IFERROR(RANK(VLOOKUP($G532,連買!$A:$D,4,0),連買!$D:$D,0),"'沒有資料'")</f>
        <v>1550</v>
      </c>
      <c r="S532" s="34">
        <v>0.3</v>
      </c>
      <c r="U532" s="95">
        <f t="shared" si="120"/>
        <v>2.2058823529411766E-2</v>
      </c>
      <c r="V532" s="36">
        <v>13.6</v>
      </c>
      <c r="W532" s="66">
        <v>12.25</v>
      </c>
      <c r="X532" s="15">
        <f t="shared" si="121"/>
        <v>1.3499999999999996</v>
      </c>
      <c r="Y532" s="63">
        <f t="shared" si="122"/>
        <v>0.11020408163265304</v>
      </c>
      <c r="Z532" s="114" t="s">
        <v>1587</v>
      </c>
      <c r="AA532" s="126"/>
      <c r="AD532" s="22" t="s">
        <v>64</v>
      </c>
      <c r="AE532" s="84">
        <v>43697</v>
      </c>
      <c r="AF532" s="83">
        <v>43724</v>
      </c>
      <c r="AG532" s="33">
        <f t="shared" si="123"/>
        <v>27</v>
      </c>
      <c r="AH532" s="119"/>
    </row>
    <row r="533" spans="1:46" ht="16.5" customHeight="1">
      <c r="A533" s="147"/>
      <c r="B533" s="80">
        <v>-22</v>
      </c>
      <c r="C533" s="80">
        <v>-32</v>
      </c>
      <c r="D533" s="80">
        <v>-22</v>
      </c>
      <c r="E533" s="80">
        <v>-32</v>
      </c>
      <c r="F533" s="6">
        <v>4.38</v>
      </c>
      <c r="G533" s="81">
        <v>1304</v>
      </c>
      <c r="H533" s="50" t="s">
        <v>1410</v>
      </c>
      <c r="I533" s="22" t="s">
        <v>64</v>
      </c>
      <c r="J533" s="73">
        <v>61.16</v>
      </c>
      <c r="K533" s="323">
        <v>34.33</v>
      </c>
      <c r="L533" s="73">
        <v>1.73</v>
      </c>
      <c r="N533" s="318">
        <f t="shared" si="119"/>
        <v>1647.22</v>
      </c>
      <c r="O533" s="81">
        <f>IFERROR(VLOOKUP($G533,'321買'!A:E,3,0),"'沒有資料'")</f>
        <v>8</v>
      </c>
      <c r="P533" s="380">
        <f>IFERROR(VLOOKUP($G533,'321買'!$A:$G,7,0),"'沒有資料'")</f>
        <v>475</v>
      </c>
      <c r="R533" s="297">
        <f>IFERROR(RANK(VLOOKUP($G533,連買!$A:$D,4,0),連買!$D:$D,0),"'沒有資料'")</f>
        <v>1550</v>
      </c>
      <c r="S533" s="34">
        <v>0.3</v>
      </c>
      <c r="U533" s="95">
        <f t="shared" si="120"/>
        <v>2.2058823529411766E-2</v>
      </c>
      <c r="V533" s="36">
        <v>13.6</v>
      </c>
      <c r="W533" s="66">
        <v>12.6</v>
      </c>
      <c r="X533" s="15">
        <f t="shared" si="121"/>
        <v>1</v>
      </c>
      <c r="Y533" s="63">
        <f t="shared" si="122"/>
        <v>7.9365079365079361E-2</v>
      </c>
      <c r="Z533" s="114" t="s">
        <v>1608</v>
      </c>
      <c r="AA533" s="126"/>
      <c r="AD533" s="22" t="s">
        <v>64</v>
      </c>
      <c r="AE533" s="84">
        <v>43704</v>
      </c>
      <c r="AF533" s="83">
        <v>43724</v>
      </c>
      <c r="AG533" s="33">
        <f t="shared" si="123"/>
        <v>20</v>
      </c>
      <c r="AH533" s="119"/>
      <c r="AI533" s="264"/>
    </row>
    <row r="534" spans="1:46" ht="16.5" customHeight="1">
      <c r="A534" s="147"/>
      <c r="B534" s="80">
        <v>-22</v>
      </c>
      <c r="C534" s="80">
        <v>-32</v>
      </c>
      <c r="D534" s="80">
        <v>-22</v>
      </c>
      <c r="E534" s="80">
        <v>-32</v>
      </c>
      <c r="F534" s="6">
        <v>4.38</v>
      </c>
      <c r="G534" s="81">
        <v>1304</v>
      </c>
      <c r="H534" s="50" t="s">
        <v>1410</v>
      </c>
      <c r="I534" s="22" t="s">
        <v>64</v>
      </c>
      <c r="J534" s="73">
        <v>61.16</v>
      </c>
      <c r="K534" s="323">
        <v>34.33</v>
      </c>
      <c r="L534" s="73">
        <v>1.73</v>
      </c>
      <c r="N534" s="318">
        <f t="shared" si="119"/>
        <v>1647.22</v>
      </c>
      <c r="O534" s="81">
        <f>IFERROR(VLOOKUP($G534,'321買'!A:E,3,0),"'沒有資料'")</f>
        <v>8</v>
      </c>
      <c r="P534" s="380">
        <f>IFERROR(VLOOKUP($G534,'321買'!$A:$G,7,0),"'沒有資料'")</f>
        <v>475</v>
      </c>
      <c r="R534" s="297">
        <f>IFERROR(RANK(VLOOKUP($G534,連買!$A:$D,4,0),連買!$D:$D,0),"'沒有資料'")</f>
        <v>1550</v>
      </c>
      <c r="S534" s="34">
        <v>0.3</v>
      </c>
      <c r="U534" s="95">
        <f t="shared" si="120"/>
        <v>2.2058823529411766E-2</v>
      </c>
      <c r="V534" s="36">
        <v>13.6</v>
      </c>
      <c r="W534" s="66">
        <v>12.6</v>
      </c>
      <c r="X534" s="15">
        <f t="shared" si="121"/>
        <v>1</v>
      </c>
      <c r="Y534" s="63">
        <f t="shared" si="122"/>
        <v>7.9365079365079361E-2</v>
      </c>
      <c r="Z534" s="114" t="s">
        <v>1608</v>
      </c>
      <c r="AA534" s="266"/>
      <c r="AD534" s="22" t="s">
        <v>64</v>
      </c>
      <c r="AE534" s="84">
        <v>43704</v>
      </c>
      <c r="AF534" s="83">
        <v>43724</v>
      </c>
      <c r="AG534" s="33">
        <f t="shared" si="123"/>
        <v>20</v>
      </c>
      <c r="AH534" s="119"/>
      <c r="AI534" s="264"/>
    </row>
    <row r="535" spans="1:46" ht="16.5" customHeight="1">
      <c r="A535" s="147"/>
      <c r="B535" s="80">
        <v>-22</v>
      </c>
      <c r="C535" s="80">
        <v>-32</v>
      </c>
      <c r="D535" s="80">
        <v>-22</v>
      </c>
      <c r="E535" s="80">
        <v>-32</v>
      </c>
      <c r="F535" s="6">
        <v>4.38</v>
      </c>
      <c r="G535" s="81">
        <v>1304</v>
      </c>
      <c r="H535" s="50" t="s">
        <v>1410</v>
      </c>
      <c r="I535" s="22" t="s">
        <v>64</v>
      </c>
      <c r="J535" s="73">
        <v>61.24</v>
      </c>
      <c r="K535" s="73">
        <v>34.409999999999997</v>
      </c>
      <c r="L535" s="73">
        <v>1.75</v>
      </c>
      <c r="N535" s="318">
        <f t="shared" si="119"/>
        <v>1647.4</v>
      </c>
      <c r="O535" s="81">
        <f>IFERROR(VLOOKUP($G535,'321買'!A:E,3,0),"'沒有資料'")</f>
        <v>8</v>
      </c>
      <c r="P535" s="380">
        <f>IFERROR(VLOOKUP($G535,'321買'!$A:$G,7,0),"'沒有資料'")</f>
        <v>475</v>
      </c>
      <c r="R535" s="297">
        <f>IFERROR(RANK(VLOOKUP($G535,連買!$A:$D,4,0),連買!$D:$D,0),"'沒有資料'")</f>
        <v>1550</v>
      </c>
      <c r="S535" s="34">
        <v>0.3</v>
      </c>
      <c r="U535" s="95">
        <f t="shared" si="120"/>
        <v>2.2058823529411766E-2</v>
      </c>
      <c r="V535" s="36">
        <v>13.6</v>
      </c>
      <c r="W535" s="66">
        <v>12.7</v>
      </c>
      <c r="X535" s="15">
        <f t="shared" si="121"/>
        <v>0.90000000000000036</v>
      </c>
      <c r="Y535" s="63">
        <f t="shared" si="122"/>
        <v>7.0866141732283491E-2</v>
      </c>
      <c r="Z535" s="114" t="s">
        <v>1609</v>
      </c>
      <c r="AA535" s="126"/>
      <c r="AD535" s="22" t="s">
        <v>64</v>
      </c>
      <c r="AE535" s="84">
        <v>43710</v>
      </c>
      <c r="AF535" s="83">
        <v>43724</v>
      </c>
      <c r="AG535" s="33">
        <f t="shared" si="123"/>
        <v>14</v>
      </c>
      <c r="AH535" s="119"/>
      <c r="AI535" s="264"/>
    </row>
    <row r="536" spans="1:46" ht="16.5" customHeight="1">
      <c r="A536" s="147"/>
      <c r="B536" s="80">
        <v>-22</v>
      </c>
      <c r="C536" s="80">
        <v>-32</v>
      </c>
      <c r="D536" s="80">
        <v>-22</v>
      </c>
      <c r="E536" s="80">
        <v>-32</v>
      </c>
      <c r="F536" s="6">
        <v>4.38</v>
      </c>
      <c r="G536" s="81">
        <v>1304</v>
      </c>
      <c r="H536" s="50" t="s">
        <v>1410</v>
      </c>
      <c r="I536" s="22" t="s">
        <v>64</v>
      </c>
      <c r="J536" s="73">
        <v>61.24</v>
      </c>
      <c r="K536" s="73">
        <v>34.409999999999997</v>
      </c>
      <c r="L536" s="73">
        <v>1.75</v>
      </c>
      <c r="N536" s="318">
        <f t="shared" si="119"/>
        <v>1647.4</v>
      </c>
      <c r="O536" s="81">
        <f>IFERROR(VLOOKUP($G536,'321買'!A:E,3,0),"'沒有資料'")</f>
        <v>8</v>
      </c>
      <c r="P536" s="380">
        <f>IFERROR(VLOOKUP($G536,'321買'!$A:$G,7,0),"'沒有資料'")</f>
        <v>475</v>
      </c>
      <c r="R536" s="297">
        <f>IFERROR(RANK(VLOOKUP($G536,連買!$A:$D,4,0),連買!$D:$D,0),"'沒有資料'")</f>
        <v>1550</v>
      </c>
      <c r="S536" s="34">
        <v>0.3</v>
      </c>
      <c r="U536" s="95">
        <f t="shared" si="120"/>
        <v>2.2058823529411766E-2</v>
      </c>
      <c r="V536" s="36">
        <v>13.6</v>
      </c>
      <c r="W536" s="66">
        <v>12.7</v>
      </c>
      <c r="X536" s="15">
        <f t="shared" si="121"/>
        <v>0.90000000000000036</v>
      </c>
      <c r="Y536" s="63">
        <f t="shared" si="122"/>
        <v>7.0866141732283491E-2</v>
      </c>
      <c r="Z536" s="114" t="s">
        <v>1610</v>
      </c>
      <c r="AA536" s="126"/>
      <c r="AD536" s="22" t="s">
        <v>64</v>
      </c>
      <c r="AE536" s="84">
        <v>43710</v>
      </c>
      <c r="AF536" s="83">
        <v>43724</v>
      </c>
      <c r="AG536" s="33">
        <f t="shared" si="123"/>
        <v>14</v>
      </c>
      <c r="AH536" s="119"/>
      <c r="AI536" s="264"/>
    </row>
    <row r="537" spans="1:46">
      <c r="B537" s="80"/>
      <c r="C537" s="80"/>
      <c r="D537" s="80"/>
      <c r="E537" s="80"/>
      <c r="F537" s="6"/>
      <c r="G537" s="41"/>
      <c r="H537" s="8"/>
      <c r="I537" s="22"/>
      <c r="J537" s="73"/>
      <c r="K537" s="323"/>
      <c r="N537" s="318"/>
      <c r="S537" s="34"/>
      <c r="U537" s="57"/>
      <c r="V537" s="13">
        <f>SUM(V527:V536)</f>
        <v>135.79999999999998</v>
      </c>
      <c r="W537" s="66">
        <f>SUM(W527:W536)</f>
        <v>133.84999999999997</v>
      </c>
      <c r="X537" s="15">
        <f>V537-W537</f>
        <v>1.9500000000000171</v>
      </c>
      <c r="Y537" s="63">
        <f>X537/W537</f>
        <v>1.4568546880836889E-2</v>
      </c>
      <c r="Z537" s="116"/>
      <c r="AA537" s="126"/>
      <c r="AD537" s="22"/>
      <c r="AG537" s="33"/>
    </row>
    <row r="538" spans="1:46">
      <c r="A538" s="130" t="s">
        <v>1732</v>
      </c>
      <c r="B538" s="91" t="s">
        <v>1588</v>
      </c>
      <c r="C538" s="91" t="s">
        <v>1589</v>
      </c>
      <c r="D538" s="91" t="s">
        <v>1590</v>
      </c>
      <c r="E538" s="91" t="s">
        <v>1591</v>
      </c>
      <c r="F538" s="8" t="s">
        <v>1066</v>
      </c>
      <c r="G538" s="25" t="s">
        <v>388</v>
      </c>
      <c r="H538" s="55" t="s">
        <v>322</v>
      </c>
      <c r="I538" s="1" t="s">
        <v>69</v>
      </c>
      <c r="J538" s="317" t="s">
        <v>1467</v>
      </c>
      <c r="K538" s="317" t="s">
        <v>1157</v>
      </c>
      <c r="L538" s="317" t="s">
        <v>284</v>
      </c>
      <c r="M538" s="317"/>
      <c r="N538" s="317" t="s">
        <v>1065</v>
      </c>
      <c r="P538" s="374" t="s">
        <v>1059</v>
      </c>
      <c r="R538" s="151" t="s">
        <v>1059</v>
      </c>
      <c r="S538" s="10" t="s">
        <v>66</v>
      </c>
      <c r="U538" s="68" t="s">
        <v>1502</v>
      </c>
      <c r="V538" s="28" t="s">
        <v>2</v>
      </c>
      <c r="W538" s="17" t="s">
        <v>1405</v>
      </c>
      <c r="X538" s="14" t="s">
        <v>5</v>
      </c>
      <c r="Y538" s="21" t="s">
        <v>3</v>
      </c>
      <c r="Z538" s="25" t="s">
        <v>105</v>
      </c>
      <c r="AA538" s="126"/>
      <c r="AD538" s="1" t="s">
        <v>69</v>
      </c>
      <c r="AE538" s="71" t="s">
        <v>1406</v>
      </c>
      <c r="AF538" s="72" t="s">
        <v>1163</v>
      </c>
      <c r="AG538" s="32" t="s">
        <v>1164</v>
      </c>
      <c r="AH538" s="46" t="s">
        <v>1586</v>
      </c>
    </row>
    <row r="539" spans="1:46" ht="16.5" customHeight="1">
      <c r="B539" s="80">
        <v>-467</v>
      </c>
      <c r="C539" s="80">
        <v>-992</v>
      </c>
      <c r="D539" s="80">
        <v>-467</v>
      </c>
      <c r="E539" s="80">
        <v>-992</v>
      </c>
      <c r="F539" s="6">
        <v>-9.84</v>
      </c>
      <c r="G539" s="79">
        <v>3545</v>
      </c>
      <c r="H539" s="50" t="s">
        <v>1410</v>
      </c>
      <c r="I539" s="22" t="s">
        <v>349</v>
      </c>
      <c r="J539" s="323">
        <v>37.770000000000003</v>
      </c>
      <c r="K539" s="73">
        <v>19.420000000000002</v>
      </c>
      <c r="L539" s="73">
        <v>22.63</v>
      </c>
      <c r="N539" s="318">
        <f>R539+K539+J539+L539</f>
        <v>131.82</v>
      </c>
      <c r="O539" s="81">
        <f>IFERROR(VLOOKUP($G539,'321買'!A:E,3,0),"'沒有資料'")</f>
        <v>56</v>
      </c>
      <c r="P539" s="380">
        <f>IFERROR(VLOOKUP($G539,'321買'!$A:$G,7,0),"'沒有資料'")</f>
        <v>53</v>
      </c>
      <c r="R539" s="297">
        <f>IFERROR(RANK(VLOOKUP($G539,連買!$A:$D,4,0),連買!$D:$D,0),"'沒有資料'")</f>
        <v>52</v>
      </c>
      <c r="S539" s="34">
        <v>0.52</v>
      </c>
      <c r="U539" s="95">
        <f>S539/V539</f>
        <v>2.2365591397849462E-2</v>
      </c>
      <c r="V539" s="36">
        <v>23.25</v>
      </c>
      <c r="W539" s="45">
        <v>22.4</v>
      </c>
      <c r="X539" s="15">
        <f>V539-W539</f>
        <v>0.85000000000000142</v>
      </c>
      <c r="Y539" s="63">
        <f>X539/W539</f>
        <v>3.7946428571428638E-2</v>
      </c>
      <c r="Z539" s="114" t="s">
        <v>1584</v>
      </c>
      <c r="AA539" s="126"/>
      <c r="AD539" s="22" t="s">
        <v>349</v>
      </c>
      <c r="AE539" s="84">
        <v>43696</v>
      </c>
      <c r="AF539" s="83">
        <v>43713</v>
      </c>
      <c r="AG539" s="33">
        <f>AF539-AE539</f>
        <v>17</v>
      </c>
      <c r="AH539" s="119"/>
    </row>
    <row r="540" spans="1:46" ht="16.5" customHeight="1">
      <c r="B540" s="80">
        <v>-467</v>
      </c>
      <c r="C540" s="80">
        <v>-992</v>
      </c>
      <c r="D540" s="80">
        <v>-467</v>
      </c>
      <c r="E540" s="80">
        <v>-992</v>
      </c>
      <c r="F540" s="6">
        <v>-9.84</v>
      </c>
      <c r="G540" s="79">
        <v>3545</v>
      </c>
      <c r="H540" s="50" t="s">
        <v>1410</v>
      </c>
      <c r="I540" s="22" t="s">
        <v>349</v>
      </c>
      <c r="J540" s="323">
        <v>37.770000000000003</v>
      </c>
      <c r="K540" s="73">
        <v>19.420000000000002</v>
      </c>
      <c r="L540" s="73">
        <v>22.63</v>
      </c>
      <c r="N540" s="318">
        <f>R540+K540+J540+L540</f>
        <v>131.82</v>
      </c>
      <c r="O540" s="81">
        <f>IFERROR(VLOOKUP($G540,'321買'!A:E,3,0),"'沒有資料'")</f>
        <v>56</v>
      </c>
      <c r="P540" s="380">
        <f>IFERROR(VLOOKUP($G540,'321買'!$A:$G,7,0),"'沒有資料'")</f>
        <v>53</v>
      </c>
      <c r="R540" s="297">
        <f>IFERROR(RANK(VLOOKUP($G540,連買!$A:$D,4,0),連買!$D:$D,0),"'沒有資料'")</f>
        <v>52</v>
      </c>
      <c r="S540" s="34">
        <v>0.52</v>
      </c>
      <c r="U540" s="95">
        <f>S540/V540</f>
        <v>2.2365591397849462E-2</v>
      </c>
      <c r="V540" s="36">
        <v>23.25</v>
      </c>
      <c r="W540" s="45">
        <v>22.4</v>
      </c>
      <c r="X540" s="15">
        <f>V540-W540</f>
        <v>0.85000000000000142</v>
      </c>
      <c r="Y540" s="63">
        <f>X540/W540</f>
        <v>3.7946428571428638E-2</v>
      </c>
      <c r="Z540" s="114" t="s">
        <v>1584</v>
      </c>
      <c r="AA540" s="126"/>
      <c r="AD540" s="22" t="s">
        <v>349</v>
      </c>
      <c r="AE540" s="84">
        <v>43696</v>
      </c>
      <c r="AF540" s="83">
        <v>43713</v>
      </c>
      <c r="AG540" s="33">
        <f>AF540-AE540</f>
        <v>17</v>
      </c>
      <c r="AH540" s="49"/>
    </row>
    <row r="541" spans="1:46" ht="16.5" customHeight="1">
      <c r="B541" s="80"/>
      <c r="C541" s="80"/>
      <c r="D541" s="80"/>
      <c r="E541" s="80"/>
      <c r="F541" s="6"/>
      <c r="G541" s="41"/>
      <c r="H541" s="50"/>
      <c r="I541" s="22"/>
      <c r="J541" s="323"/>
      <c r="K541" s="73"/>
      <c r="N541" s="318"/>
      <c r="S541" s="34"/>
      <c r="U541" s="95"/>
      <c r="V541" s="36">
        <f>SUM(V539:V540)</f>
        <v>46.5</v>
      </c>
      <c r="W541" s="45">
        <f>SUM(W539:W540)</f>
        <v>44.8</v>
      </c>
      <c r="X541" s="15">
        <f>SUM(X539:X540)</f>
        <v>1.7000000000000028</v>
      </c>
      <c r="Y541" s="63">
        <f>X541/W541</f>
        <v>3.7946428571428638E-2</v>
      </c>
      <c r="Z541" s="114"/>
      <c r="AA541" s="126"/>
      <c r="AD541" s="22"/>
      <c r="AG541" s="33"/>
      <c r="AH541" s="49"/>
    </row>
    <row r="542" spans="1:46">
      <c r="A542" s="130" t="s">
        <v>1732</v>
      </c>
      <c r="B542" s="91" t="s">
        <v>1588</v>
      </c>
      <c r="C542" s="91" t="s">
        <v>1589</v>
      </c>
      <c r="D542" s="91" t="s">
        <v>1590</v>
      </c>
      <c r="E542" s="91" t="s">
        <v>1591</v>
      </c>
      <c r="F542" s="8" t="s">
        <v>1066</v>
      </c>
      <c r="G542" s="25" t="s">
        <v>388</v>
      </c>
      <c r="H542" s="55" t="s">
        <v>322</v>
      </c>
      <c r="I542" s="1" t="s">
        <v>69</v>
      </c>
      <c r="J542" s="317" t="s">
        <v>1467</v>
      </c>
      <c r="K542" s="317" t="s">
        <v>1157</v>
      </c>
      <c r="L542" s="317" t="s">
        <v>284</v>
      </c>
      <c r="M542" s="317"/>
      <c r="N542" s="317" t="s">
        <v>1065</v>
      </c>
      <c r="P542" s="374" t="s">
        <v>1059</v>
      </c>
      <c r="R542" s="151" t="s">
        <v>1059</v>
      </c>
      <c r="S542" s="10" t="s">
        <v>66</v>
      </c>
      <c r="U542" s="68" t="s">
        <v>1502</v>
      </c>
      <c r="V542" s="28" t="s">
        <v>2</v>
      </c>
      <c r="W542" s="17" t="s">
        <v>1405</v>
      </c>
      <c r="X542" s="14" t="s">
        <v>5</v>
      </c>
      <c r="Y542" s="21" t="s">
        <v>3</v>
      </c>
      <c r="Z542" s="25" t="s">
        <v>105</v>
      </c>
      <c r="AA542" s="126"/>
      <c r="AD542" s="1" t="s">
        <v>69</v>
      </c>
      <c r="AE542" s="71" t="s">
        <v>1406</v>
      </c>
      <c r="AF542" s="72" t="s">
        <v>1163</v>
      </c>
      <c r="AG542" s="32" t="s">
        <v>1164</v>
      </c>
      <c r="AH542" s="46" t="s">
        <v>1594</v>
      </c>
    </row>
    <row r="543" spans="1:46">
      <c r="B543" s="80">
        <v>-45</v>
      </c>
      <c r="C543" s="80">
        <v>-62</v>
      </c>
      <c r="D543" s="80">
        <v>-45</v>
      </c>
      <c r="E543" s="80">
        <v>-62</v>
      </c>
      <c r="F543" s="57">
        <v>10.51</v>
      </c>
      <c r="G543" s="81">
        <v>6216</v>
      </c>
      <c r="H543" s="50" t="s">
        <v>1410</v>
      </c>
      <c r="I543" s="22" t="s">
        <v>525</v>
      </c>
      <c r="J543" s="323">
        <v>37.96</v>
      </c>
      <c r="K543" s="323">
        <v>0.8</v>
      </c>
      <c r="L543" s="73">
        <v>1.97</v>
      </c>
      <c r="N543" s="318">
        <f>R543+K543+J543+L543</f>
        <v>809.73</v>
      </c>
      <c r="O543" s="81">
        <f>IFERROR(VLOOKUP($G543,'321買'!A:E,3,0),"'沒有資料'")</f>
        <v>2</v>
      </c>
      <c r="P543" s="380">
        <f>IFERROR(VLOOKUP($G543,'321買'!$A:$G,7,0),"'沒有資料'")</f>
        <v>706</v>
      </c>
      <c r="R543" s="297">
        <f>IFERROR(RANK(VLOOKUP($G543,連買!$A:$D,4,0),連買!$D:$D,0),"'沒有資料'")</f>
        <v>769</v>
      </c>
      <c r="S543" s="34">
        <v>1.98</v>
      </c>
      <c r="U543" s="95">
        <f>S543/V543</f>
        <v>6.815834767641997E-2</v>
      </c>
      <c r="V543" s="36">
        <v>29.05</v>
      </c>
      <c r="W543" s="66">
        <f>30.34-2.06</f>
        <v>28.28</v>
      </c>
      <c r="X543" s="15">
        <f>V543-W543</f>
        <v>0.76999999999999957</v>
      </c>
      <c r="Y543" s="63">
        <f>X543/W543</f>
        <v>2.722772277227721E-2</v>
      </c>
      <c r="Z543" s="131" t="s">
        <v>1506</v>
      </c>
      <c r="AA543" s="126"/>
      <c r="AD543" s="22" t="s">
        <v>525</v>
      </c>
      <c r="AE543" s="84">
        <v>43321</v>
      </c>
      <c r="AF543" s="83">
        <v>43697</v>
      </c>
      <c r="AG543" s="77">
        <f>AF543-AE543</f>
        <v>376</v>
      </c>
      <c r="AH543" s="49"/>
    </row>
    <row r="544" spans="1:46">
      <c r="B544" s="79">
        <v>525</v>
      </c>
      <c r="C544" s="79">
        <v>8</v>
      </c>
      <c r="D544" s="79">
        <v>525</v>
      </c>
      <c r="E544" s="79">
        <v>8</v>
      </c>
      <c r="F544" s="6">
        <v>4.24</v>
      </c>
      <c r="G544" s="79">
        <v>6108</v>
      </c>
      <c r="H544" s="50" t="s">
        <v>1410</v>
      </c>
      <c r="I544" s="22" t="s">
        <v>396</v>
      </c>
      <c r="J544" s="73">
        <v>42.59</v>
      </c>
      <c r="K544" s="323">
        <v>10.37</v>
      </c>
      <c r="L544" s="323">
        <v>9.83</v>
      </c>
      <c r="N544" s="318">
        <f>R544+K544+J544+L544</f>
        <v>1062.79</v>
      </c>
      <c r="O544" s="81">
        <f>IFERROR(VLOOKUP($G544,'321買'!A:E,3,0),"'沒有資料'")</f>
        <v>2</v>
      </c>
      <c r="P544" s="380">
        <f>IFERROR(VLOOKUP($G544,'321買'!$A:$G,7,0),"'沒有資料'")</f>
        <v>706</v>
      </c>
      <c r="R544" s="297">
        <f>IFERROR(RANK(VLOOKUP($G544,連買!$A:$D,4,0),連買!$D:$D,0),"'沒有資料'")</f>
        <v>1000</v>
      </c>
      <c r="S544" s="34">
        <v>2.5</v>
      </c>
      <c r="U544" s="95">
        <f>S544/V544</f>
        <v>9.727626459143969E-2</v>
      </c>
      <c r="V544" s="36">
        <v>25.7</v>
      </c>
      <c r="W544" s="66">
        <f>27.08-2.5</f>
        <v>24.58</v>
      </c>
      <c r="X544" s="15">
        <f>V544-W544</f>
        <v>1.120000000000001</v>
      </c>
      <c r="Y544" s="63">
        <f>X544/W544</f>
        <v>4.5565500406834866E-2</v>
      </c>
      <c r="Z544" s="131" t="s">
        <v>1494</v>
      </c>
      <c r="AA544" s="126"/>
      <c r="AD544" s="22" t="s">
        <v>396</v>
      </c>
      <c r="AE544" s="84">
        <v>43335</v>
      </c>
      <c r="AF544" s="83">
        <v>43690</v>
      </c>
      <c r="AG544" s="77">
        <f>AF544-AE544</f>
        <v>355</v>
      </c>
      <c r="AH544" s="49"/>
    </row>
    <row r="545" spans="1:34">
      <c r="B545" s="79">
        <v>525</v>
      </c>
      <c r="C545" s="79">
        <v>8</v>
      </c>
      <c r="D545" s="79">
        <v>525</v>
      </c>
      <c r="E545" s="79">
        <v>8</v>
      </c>
      <c r="F545" s="6">
        <v>4.24</v>
      </c>
      <c r="G545" s="79">
        <v>6108</v>
      </c>
      <c r="H545" s="8" t="s">
        <v>1409</v>
      </c>
      <c r="I545" s="22" t="s">
        <v>396</v>
      </c>
      <c r="J545" s="73">
        <v>42.59</v>
      </c>
      <c r="K545" s="323">
        <v>10.37</v>
      </c>
      <c r="L545" s="323">
        <v>9.83</v>
      </c>
      <c r="N545" s="318">
        <f>R545+K545+J545+L545</f>
        <v>1062.79</v>
      </c>
      <c r="O545" s="81">
        <f>IFERROR(VLOOKUP($G545,'321買'!A:E,3,0),"'沒有資料'")</f>
        <v>2</v>
      </c>
      <c r="P545" s="380">
        <f>IFERROR(VLOOKUP($G545,'321買'!$A:$G,7,0),"'沒有資料'")</f>
        <v>706</v>
      </c>
      <c r="R545" s="297">
        <f>IFERROR(RANK(VLOOKUP($G545,連買!$A:$D,4,0),連買!$D:$D,0),"'沒有資料'")</f>
        <v>1000</v>
      </c>
      <c r="S545" s="34">
        <v>2.5</v>
      </c>
      <c r="U545" s="95">
        <f>S545/V545</f>
        <v>9.727626459143969E-2</v>
      </c>
      <c r="V545" s="36">
        <v>25.7</v>
      </c>
      <c r="W545" s="66">
        <f>27.03-2.5</f>
        <v>24.53</v>
      </c>
      <c r="X545" s="15">
        <f>V545-W545</f>
        <v>1.1699999999999982</v>
      </c>
      <c r="Y545" s="63">
        <f>X545/W545</f>
        <v>4.7696697920913092E-2</v>
      </c>
      <c r="Z545" s="131" t="s">
        <v>1493</v>
      </c>
      <c r="AA545" s="126"/>
      <c r="AD545" s="22" t="s">
        <v>396</v>
      </c>
      <c r="AE545" s="84">
        <v>43360</v>
      </c>
      <c r="AF545" s="83">
        <v>43690</v>
      </c>
      <c r="AG545" s="77">
        <f>AF545-AE545</f>
        <v>330</v>
      </c>
      <c r="AH545" s="49"/>
    </row>
    <row r="546" spans="1:34">
      <c r="B546" s="79"/>
      <c r="C546" s="79"/>
      <c r="D546" s="79"/>
      <c r="E546" s="79"/>
      <c r="F546" s="6"/>
      <c r="H546" s="8"/>
      <c r="I546" s="22"/>
      <c r="J546" s="323"/>
      <c r="K546" s="73"/>
      <c r="L546" s="323"/>
      <c r="N546" s="318"/>
      <c r="S546" s="34"/>
      <c r="U546" s="95"/>
      <c r="V546" s="13">
        <f>SUM(V543:V545)</f>
        <v>80.45</v>
      </c>
      <c r="W546" s="45">
        <f>SUM(W543:W545)</f>
        <v>77.39</v>
      </c>
      <c r="X546" s="15">
        <f>V546-W546</f>
        <v>3.0600000000000023</v>
      </c>
      <c r="Y546" s="63">
        <f>X546/W546</f>
        <v>3.9539992247060375E-2</v>
      </c>
      <c r="Z546" s="131"/>
      <c r="AA546" s="126"/>
      <c r="AD546" s="22"/>
      <c r="AG546" s="33"/>
      <c r="AH546" s="124"/>
    </row>
    <row r="547" spans="1:34">
      <c r="A547" s="130" t="s">
        <v>1732</v>
      </c>
      <c r="B547" s="91" t="s">
        <v>1588</v>
      </c>
      <c r="C547" s="91" t="s">
        <v>1589</v>
      </c>
      <c r="D547" s="91" t="s">
        <v>1590</v>
      </c>
      <c r="E547" s="91" t="s">
        <v>1591</v>
      </c>
      <c r="F547" s="8" t="s">
        <v>1066</v>
      </c>
      <c r="G547" s="25" t="s">
        <v>388</v>
      </c>
      <c r="H547" s="55" t="s">
        <v>322</v>
      </c>
      <c r="I547" s="1" t="s">
        <v>69</v>
      </c>
      <c r="J547" s="317" t="s">
        <v>1467</v>
      </c>
      <c r="K547" s="317" t="s">
        <v>1157</v>
      </c>
      <c r="L547" s="317" t="s">
        <v>284</v>
      </c>
      <c r="M547" s="317"/>
      <c r="N547" s="317" t="s">
        <v>1065</v>
      </c>
      <c r="P547" s="374" t="s">
        <v>1059</v>
      </c>
      <c r="R547" s="151" t="s">
        <v>1059</v>
      </c>
      <c r="S547" s="10" t="s">
        <v>66</v>
      </c>
      <c r="U547" s="68" t="s">
        <v>1502</v>
      </c>
      <c r="V547" s="28" t="s">
        <v>2</v>
      </c>
      <c r="W547" s="17" t="s">
        <v>1405</v>
      </c>
      <c r="X547" s="14" t="s">
        <v>5</v>
      </c>
      <c r="Y547" s="21" t="s">
        <v>3</v>
      </c>
      <c r="Z547" s="25" t="s">
        <v>105</v>
      </c>
      <c r="AA547" s="126"/>
      <c r="AD547" s="1" t="s">
        <v>69</v>
      </c>
      <c r="AE547" s="71" t="s">
        <v>1406</v>
      </c>
      <c r="AF547" s="72" t="s">
        <v>1163</v>
      </c>
      <c r="AG547" s="32" t="s">
        <v>1164</v>
      </c>
      <c r="AH547" s="46" t="s">
        <v>1593</v>
      </c>
    </row>
    <row r="548" spans="1:34">
      <c r="A548" s="41"/>
      <c r="B548" s="80">
        <v>-92</v>
      </c>
      <c r="C548" s="80">
        <v>-95</v>
      </c>
      <c r="D548" s="80">
        <v>-92</v>
      </c>
      <c r="E548" s="80">
        <v>-95</v>
      </c>
      <c r="F548" s="6">
        <v>1.42</v>
      </c>
      <c r="G548" s="81">
        <v>2337</v>
      </c>
      <c r="H548" s="50" t="s">
        <v>1410</v>
      </c>
      <c r="I548" s="22" t="s">
        <v>42</v>
      </c>
      <c r="J548" s="73">
        <v>41.39</v>
      </c>
      <c r="K548" s="73">
        <v>25.24</v>
      </c>
      <c r="L548" s="73">
        <v>16.68</v>
      </c>
      <c r="N548" s="318">
        <f t="shared" ref="N548:N554" si="124">R548+K548+J548+L548</f>
        <v>584.30999999999995</v>
      </c>
      <c r="O548" s="81">
        <f>IFERROR(VLOOKUP($G548,'321買'!A:E,3,0),"'沒有資料'")</f>
        <v>26</v>
      </c>
      <c r="P548" s="380">
        <f>IFERROR(VLOOKUP($G548,'321買'!$A:$G,7,0),"'沒有資料'")</f>
        <v>189</v>
      </c>
      <c r="R548" s="297">
        <f>IFERROR(RANK(VLOOKUP($G548,連買!$A:$D,4,0),連買!$D:$D,0),"'沒有資料'")</f>
        <v>501</v>
      </c>
      <c r="S548" s="34">
        <v>1.2</v>
      </c>
      <c r="U548" s="95">
        <f t="shared" ref="U548:U554" si="125">S548/V548</f>
        <v>3.8399999999999997E-2</v>
      </c>
      <c r="V548" s="36">
        <v>31.25</v>
      </c>
      <c r="W548" s="66">
        <v>21.58</v>
      </c>
      <c r="X548" s="15">
        <f t="shared" ref="X548:X554" si="126">V548-W548</f>
        <v>9.6700000000000017</v>
      </c>
      <c r="Y548" s="63">
        <f t="shared" ref="Y548:Y555" si="127">X548/W548</f>
        <v>0.44810009267840606</v>
      </c>
      <c r="Z548" s="114" t="s">
        <v>1468</v>
      </c>
      <c r="AA548" s="126"/>
      <c r="AD548" s="22" t="s">
        <v>42</v>
      </c>
      <c r="AE548" s="84">
        <v>43566</v>
      </c>
      <c r="AF548" s="83">
        <v>43676</v>
      </c>
      <c r="AG548" s="77">
        <f t="shared" ref="AG548:AG554" si="128">AF548-AE548</f>
        <v>110</v>
      </c>
      <c r="AH548" s="49"/>
    </row>
    <row r="549" spans="1:34">
      <c r="A549" s="41"/>
      <c r="B549" s="79">
        <v>249</v>
      </c>
      <c r="C549" s="79">
        <v>39</v>
      </c>
      <c r="D549" s="79">
        <v>249</v>
      </c>
      <c r="E549" s="79">
        <v>39</v>
      </c>
      <c r="F549" s="57">
        <v>12.02</v>
      </c>
      <c r="G549" s="81">
        <v>4164</v>
      </c>
      <c r="H549" s="50" t="s">
        <v>1410</v>
      </c>
      <c r="I549" s="22" t="s">
        <v>636</v>
      </c>
      <c r="J549" s="73">
        <v>63.55</v>
      </c>
      <c r="K549" s="73">
        <v>33.49</v>
      </c>
      <c r="L549" s="73">
        <v>18.34</v>
      </c>
      <c r="N549" s="73">
        <f t="shared" si="124"/>
        <v>569.38</v>
      </c>
      <c r="O549" s="81">
        <f>IFERROR(VLOOKUP($G549,'321買'!A:E,3,0),"'沒有資料'")</f>
        <v>3</v>
      </c>
      <c r="P549" s="380">
        <f>IFERROR(VLOOKUP($G549,'321買'!$A:$G,7,0),"'沒有資料'")</f>
        <v>636</v>
      </c>
      <c r="R549" s="297">
        <f>IFERROR(RANK(VLOOKUP($G549,連買!$A:$D,4,0),連買!$D:$D,0),"'沒有資料'")</f>
        <v>454</v>
      </c>
      <c r="S549" s="34">
        <v>1.8</v>
      </c>
      <c r="U549" s="57">
        <f t="shared" si="125"/>
        <v>3.7460978147762752E-2</v>
      </c>
      <c r="V549" s="13">
        <v>48.05</v>
      </c>
      <c r="W549" s="66">
        <f>35.75-1.8</f>
        <v>33.950000000000003</v>
      </c>
      <c r="X549" s="15">
        <f t="shared" si="126"/>
        <v>14.099999999999994</v>
      </c>
      <c r="Y549" s="63">
        <f t="shared" si="127"/>
        <v>0.41531664212076563</v>
      </c>
      <c r="Z549" s="131" t="s">
        <v>1480</v>
      </c>
      <c r="AA549" s="126"/>
      <c r="AD549" s="22" t="s">
        <v>636</v>
      </c>
      <c r="AE549" s="84">
        <v>43362</v>
      </c>
      <c r="AF549" s="83">
        <v>43676</v>
      </c>
      <c r="AG549" s="77">
        <f t="shared" si="128"/>
        <v>314</v>
      </c>
      <c r="AH549" s="49"/>
    </row>
    <row r="550" spans="1:34">
      <c r="A550" s="41"/>
      <c r="B550" s="79">
        <v>249</v>
      </c>
      <c r="C550" s="79">
        <v>39</v>
      </c>
      <c r="D550" s="79">
        <v>249</v>
      </c>
      <c r="E550" s="79">
        <v>39</v>
      </c>
      <c r="F550" s="57">
        <v>12.02</v>
      </c>
      <c r="G550" s="81">
        <v>4164</v>
      </c>
      <c r="H550" s="8" t="s">
        <v>1409</v>
      </c>
      <c r="I550" s="22" t="s">
        <v>636</v>
      </c>
      <c r="J550" s="73">
        <v>63.55</v>
      </c>
      <c r="K550" s="73">
        <v>33.49</v>
      </c>
      <c r="L550" s="73">
        <v>18.34</v>
      </c>
      <c r="N550" s="73">
        <f t="shared" si="124"/>
        <v>569.38</v>
      </c>
      <c r="O550" s="81">
        <f>IFERROR(VLOOKUP($G550,'321買'!A:E,3,0),"'沒有資料'")</f>
        <v>3</v>
      </c>
      <c r="P550" s="380">
        <f>IFERROR(VLOOKUP($G550,'321買'!$A:$G,7,0),"'沒有資料'")</f>
        <v>636</v>
      </c>
      <c r="R550" s="297">
        <f>IFERROR(RANK(VLOOKUP($G550,連買!$A:$D,4,0),連買!$D:$D,0),"'沒有資料'")</f>
        <v>454</v>
      </c>
      <c r="S550" s="34">
        <v>1.8</v>
      </c>
      <c r="U550" s="57">
        <f t="shared" si="125"/>
        <v>3.7460978147762752E-2</v>
      </c>
      <c r="V550" s="13">
        <v>48.05</v>
      </c>
      <c r="W550" s="66">
        <f>35.75-1.8</f>
        <v>33.950000000000003</v>
      </c>
      <c r="X550" s="15">
        <f t="shared" si="126"/>
        <v>14.099999999999994</v>
      </c>
      <c r="Y550" s="63">
        <f t="shared" si="127"/>
        <v>0.41531664212076563</v>
      </c>
      <c r="Z550" s="131" t="s">
        <v>1480</v>
      </c>
      <c r="AA550" s="126"/>
      <c r="AD550" s="22" t="s">
        <v>636</v>
      </c>
      <c r="AE550" s="84">
        <v>43362</v>
      </c>
      <c r="AF550" s="83">
        <v>43676</v>
      </c>
      <c r="AG550" s="77">
        <f t="shared" si="128"/>
        <v>314</v>
      </c>
      <c r="AH550" s="49"/>
    </row>
    <row r="551" spans="1:34">
      <c r="A551" s="41"/>
      <c r="B551" s="79">
        <v>476</v>
      </c>
      <c r="C551" s="79">
        <v>181</v>
      </c>
      <c r="D551" s="79">
        <v>476</v>
      </c>
      <c r="E551" s="79">
        <v>181</v>
      </c>
      <c r="F551" s="6">
        <v>3.5</v>
      </c>
      <c r="G551" s="81">
        <v>1813</v>
      </c>
      <c r="H551" s="50" t="s">
        <v>1410</v>
      </c>
      <c r="I551" s="16" t="s">
        <v>610</v>
      </c>
      <c r="J551" s="323">
        <v>40.26</v>
      </c>
      <c r="K551" s="323">
        <v>10.1</v>
      </c>
      <c r="L551" s="323">
        <v>4.92</v>
      </c>
      <c r="N551" s="318">
        <f t="shared" si="124"/>
        <v>1227.28</v>
      </c>
      <c r="O551" s="81">
        <f>IFERROR(VLOOKUP($G551,'321買'!A:E,3,0),"'沒有資料'")</f>
        <v>0</v>
      </c>
      <c r="P551" s="380">
        <f>IFERROR(VLOOKUP($G551,'321買'!$A:$G,7,0),"'沒有資料'")</f>
        <v>911</v>
      </c>
      <c r="R551" s="297">
        <f>IFERROR(RANK(VLOOKUP($G551,連買!$A:$D,4,0),連買!$D:$D,0),"'沒有資料'")</f>
        <v>1172</v>
      </c>
      <c r="S551" s="34">
        <v>2</v>
      </c>
      <c r="U551" s="57">
        <f t="shared" si="125"/>
        <v>8.4033613445378144E-2</v>
      </c>
      <c r="V551" s="36">
        <v>23.8</v>
      </c>
      <c r="W551" s="66">
        <f>22.33-2</f>
        <v>20.329999999999998</v>
      </c>
      <c r="X551" s="15">
        <f t="shared" si="126"/>
        <v>3.4700000000000024</v>
      </c>
      <c r="Y551" s="63">
        <f t="shared" si="127"/>
        <v>0.17068371864240053</v>
      </c>
      <c r="Z551" s="131" t="s">
        <v>1481</v>
      </c>
      <c r="AA551" s="126"/>
      <c r="AD551" s="16" t="s">
        <v>610</v>
      </c>
      <c r="AE551" s="84">
        <v>43360</v>
      </c>
      <c r="AF551" s="83">
        <v>43676</v>
      </c>
      <c r="AG551" s="77">
        <f t="shared" si="128"/>
        <v>316</v>
      </c>
      <c r="AH551" s="49"/>
    </row>
    <row r="552" spans="1:34">
      <c r="A552" s="41"/>
      <c r="B552" s="79">
        <v>476</v>
      </c>
      <c r="C552" s="79">
        <v>181</v>
      </c>
      <c r="D552" s="79">
        <v>476</v>
      </c>
      <c r="E552" s="79">
        <v>181</v>
      </c>
      <c r="F552" s="6">
        <v>3.5</v>
      </c>
      <c r="G552" s="81">
        <v>1813</v>
      </c>
      <c r="H552" s="8" t="s">
        <v>1409</v>
      </c>
      <c r="I552" s="16" t="s">
        <v>610</v>
      </c>
      <c r="J552" s="323">
        <v>40.26</v>
      </c>
      <c r="K552" s="323">
        <v>10.1</v>
      </c>
      <c r="L552" s="323">
        <v>4.92</v>
      </c>
      <c r="N552" s="318">
        <f t="shared" si="124"/>
        <v>1227.28</v>
      </c>
      <c r="O552" s="81">
        <f>IFERROR(VLOOKUP($G552,'321買'!A:E,3,0),"'沒有資料'")</f>
        <v>0</v>
      </c>
      <c r="P552" s="380">
        <f>IFERROR(VLOOKUP($G552,'321買'!$A:$G,7,0),"'沒有資料'")</f>
        <v>911</v>
      </c>
      <c r="R552" s="297">
        <f>IFERROR(RANK(VLOOKUP($G552,連買!$A:$D,4,0),連買!$D:$D,0),"'沒有資料'")</f>
        <v>1172</v>
      </c>
      <c r="S552" s="34">
        <v>2</v>
      </c>
      <c r="U552" s="57">
        <f t="shared" si="125"/>
        <v>8.4033613445378144E-2</v>
      </c>
      <c r="V552" s="36">
        <v>23.8</v>
      </c>
      <c r="W552" s="66">
        <f>21.78-2</f>
        <v>19.78</v>
      </c>
      <c r="X552" s="15">
        <f t="shared" si="126"/>
        <v>4.0199999999999996</v>
      </c>
      <c r="Y552" s="63">
        <f t="shared" si="127"/>
        <v>0.20323559150657225</v>
      </c>
      <c r="Z552" s="131" t="s">
        <v>1482</v>
      </c>
      <c r="AA552" s="126"/>
      <c r="AD552" s="16" t="s">
        <v>610</v>
      </c>
      <c r="AE552" s="84">
        <v>43354</v>
      </c>
      <c r="AF552" s="83">
        <v>43676</v>
      </c>
      <c r="AG552" s="77">
        <f t="shared" si="128"/>
        <v>322</v>
      </c>
      <c r="AH552" s="49"/>
    </row>
    <row r="553" spans="1:34">
      <c r="A553" s="41"/>
      <c r="B553" s="79">
        <v>26</v>
      </c>
      <c r="C553" s="80">
        <v>-22</v>
      </c>
      <c r="D553" s="79">
        <v>26</v>
      </c>
      <c r="E553" s="80">
        <v>-22</v>
      </c>
      <c r="F553" s="6">
        <v>6.6</v>
      </c>
      <c r="G553" s="81">
        <v>1733</v>
      </c>
      <c r="H553" s="50" t="s">
        <v>1410</v>
      </c>
      <c r="I553" s="22" t="s">
        <v>286</v>
      </c>
      <c r="J553" s="323">
        <v>20.67</v>
      </c>
      <c r="K553" s="323">
        <v>8.16</v>
      </c>
      <c r="L553" s="73">
        <v>10.37</v>
      </c>
      <c r="N553" s="318">
        <f t="shared" si="124"/>
        <v>943.19999999999993</v>
      </c>
      <c r="O553" s="81">
        <f>IFERROR(VLOOKUP($G553,'321買'!A:E,3,0),"'沒有資料'")</f>
        <v>2</v>
      </c>
      <c r="P553" s="380">
        <f>IFERROR(VLOOKUP($G553,'321買'!$A:$G,7,0),"'沒有資料'")</f>
        <v>706</v>
      </c>
      <c r="R553" s="297">
        <f>IFERROR(RANK(VLOOKUP($G553,連買!$A:$D,4,0),連買!$D:$D,0),"'沒有資料'")</f>
        <v>904</v>
      </c>
      <c r="S553" s="34">
        <v>0.85</v>
      </c>
      <c r="U553" s="95">
        <f t="shared" si="125"/>
        <v>2.8192371475953566E-2</v>
      </c>
      <c r="V553" s="36">
        <v>30.15</v>
      </c>
      <c r="W553" s="66">
        <f>31.74-1.5-0.85</f>
        <v>29.389999999999997</v>
      </c>
      <c r="X553" s="15">
        <f t="shared" si="126"/>
        <v>0.76000000000000156</v>
      </c>
      <c r="Y553" s="63">
        <f t="shared" si="127"/>
        <v>2.5859135760462799E-2</v>
      </c>
      <c r="Z553" s="131" t="s">
        <v>1483</v>
      </c>
      <c r="AA553" s="126"/>
      <c r="AD553" s="22" t="s">
        <v>286</v>
      </c>
      <c r="AE553" s="84">
        <v>43215</v>
      </c>
      <c r="AF553" s="83">
        <v>43676</v>
      </c>
      <c r="AG553" s="77">
        <f t="shared" si="128"/>
        <v>461</v>
      </c>
      <c r="AH553" s="49"/>
    </row>
    <row r="554" spans="1:34">
      <c r="A554" s="41"/>
      <c r="B554" s="79">
        <v>26</v>
      </c>
      <c r="C554" s="80">
        <v>-22</v>
      </c>
      <c r="D554" s="79">
        <v>26</v>
      </c>
      <c r="E554" s="80">
        <v>-22</v>
      </c>
      <c r="F554" s="6">
        <v>6.6</v>
      </c>
      <c r="G554" s="81">
        <v>1733</v>
      </c>
      <c r="H554" s="8" t="s">
        <v>1409</v>
      </c>
      <c r="I554" s="22" t="s">
        <v>286</v>
      </c>
      <c r="J554" s="323">
        <v>20.67</v>
      </c>
      <c r="K554" s="323">
        <v>8.16</v>
      </c>
      <c r="L554" s="73">
        <v>10.37</v>
      </c>
      <c r="N554" s="318">
        <f t="shared" si="124"/>
        <v>943.19999999999993</v>
      </c>
      <c r="O554" s="81">
        <f>IFERROR(VLOOKUP($G554,'321買'!A:E,3,0),"'沒有資料'")</f>
        <v>2</v>
      </c>
      <c r="P554" s="380">
        <f>IFERROR(VLOOKUP($G554,'321買'!$A:$G,7,0),"'沒有資料'")</f>
        <v>706</v>
      </c>
      <c r="R554" s="297">
        <f>IFERROR(RANK(VLOOKUP($G554,連買!$A:$D,4,0),連買!$D:$D,0),"'沒有資料'")</f>
        <v>904</v>
      </c>
      <c r="S554" s="34">
        <v>0.85</v>
      </c>
      <c r="U554" s="95">
        <f t="shared" si="125"/>
        <v>2.8192371475953566E-2</v>
      </c>
      <c r="V554" s="36">
        <v>30.15</v>
      </c>
      <c r="W554" s="66">
        <f>29.24-0.85</f>
        <v>28.389999999999997</v>
      </c>
      <c r="X554" s="15">
        <f t="shared" si="126"/>
        <v>1.7600000000000016</v>
      </c>
      <c r="Y554" s="63">
        <f t="shared" si="127"/>
        <v>6.1993659739344904E-2</v>
      </c>
      <c r="Z554" s="131" t="s">
        <v>1484</v>
      </c>
      <c r="AA554" s="126"/>
      <c r="AD554" s="22" t="s">
        <v>286</v>
      </c>
      <c r="AE554" s="84">
        <v>43361</v>
      </c>
      <c r="AF554" s="83">
        <v>43676</v>
      </c>
      <c r="AG554" s="77">
        <f t="shared" si="128"/>
        <v>315</v>
      </c>
      <c r="AH554" s="49"/>
    </row>
    <row r="555" spans="1:34">
      <c r="F555" s="264"/>
      <c r="H555" s="264"/>
      <c r="N555" s="327"/>
      <c r="S555" s="70"/>
      <c r="U555" s="230"/>
      <c r="V555" s="13">
        <f>SUM(V548:V554)</f>
        <v>235.25000000000003</v>
      </c>
      <c r="W555" s="45">
        <f>SUM(W548:W554)</f>
        <v>187.36999999999998</v>
      </c>
      <c r="X555" s="70">
        <f>SUM(X548:X554)</f>
        <v>47.879999999999995</v>
      </c>
      <c r="Y555" s="63">
        <f t="shared" si="127"/>
        <v>0.25553717243955809</v>
      </c>
      <c r="Z555" s="132"/>
      <c r="AA555" s="126"/>
      <c r="AD555" s="15"/>
      <c r="AE555" s="278"/>
      <c r="AF555" s="278"/>
      <c r="AG555" s="264"/>
      <c r="AH555" s="124"/>
    </row>
    <row r="556" spans="1:34">
      <c r="A556" s="130" t="s">
        <v>1732</v>
      </c>
      <c r="B556" s="91" t="s">
        <v>1588</v>
      </c>
      <c r="C556" s="91" t="s">
        <v>1589</v>
      </c>
      <c r="D556" s="91" t="s">
        <v>1590</v>
      </c>
      <c r="E556" s="91" t="s">
        <v>1591</v>
      </c>
      <c r="F556" s="8" t="s">
        <v>1066</v>
      </c>
      <c r="G556" s="25" t="s">
        <v>388</v>
      </c>
      <c r="H556" s="55" t="s">
        <v>322</v>
      </c>
      <c r="I556" s="1" t="s">
        <v>69</v>
      </c>
      <c r="J556" s="317" t="s">
        <v>1467</v>
      </c>
      <c r="K556" s="317" t="s">
        <v>1157</v>
      </c>
      <c r="L556" s="317" t="s">
        <v>284</v>
      </c>
      <c r="M556" s="317"/>
      <c r="N556" s="317" t="s">
        <v>1065</v>
      </c>
      <c r="P556" s="374" t="s">
        <v>1059</v>
      </c>
      <c r="R556" s="151" t="s">
        <v>1059</v>
      </c>
      <c r="S556" s="10" t="s">
        <v>66</v>
      </c>
      <c r="U556" s="68" t="s">
        <v>1502</v>
      </c>
      <c r="V556" s="28" t="s">
        <v>1471</v>
      </c>
      <c r="W556" s="17" t="s">
        <v>1472</v>
      </c>
      <c r="X556" s="14" t="s">
        <v>1473</v>
      </c>
      <c r="Y556" s="21" t="s">
        <v>3</v>
      </c>
      <c r="Z556" s="25" t="s">
        <v>105</v>
      </c>
      <c r="AA556" s="126"/>
      <c r="AD556" s="1" t="s">
        <v>69</v>
      </c>
      <c r="AE556" s="71" t="s">
        <v>1406</v>
      </c>
      <c r="AF556" s="72" t="s">
        <v>1163</v>
      </c>
      <c r="AG556" s="32" t="s">
        <v>1164</v>
      </c>
      <c r="AH556" s="46" t="s">
        <v>1620</v>
      </c>
    </row>
    <row r="557" spans="1:34">
      <c r="A557" s="41"/>
      <c r="B557" s="80" t="s">
        <v>285</v>
      </c>
      <c r="C557" s="79" t="s">
        <v>292</v>
      </c>
      <c r="D557" s="80" t="s">
        <v>285</v>
      </c>
      <c r="E557" s="79" t="s">
        <v>292</v>
      </c>
      <c r="F557" s="6">
        <v>-70.83</v>
      </c>
      <c r="G557" s="80">
        <v>2514</v>
      </c>
      <c r="H557" s="50" t="s">
        <v>1410</v>
      </c>
      <c r="I557" s="22" t="s">
        <v>678</v>
      </c>
      <c r="J557" s="73">
        <v>92.03</v>
      </c>
      <c r="K557" s="323">
        <v>7.93</v>
      </c>
      <c r="L557" s="73">
        <v>25.79</v>
      </c>
      <c r="N557" s="73">
        <f t="shared" ref="N557:N562" si="129">R557+K557+J557+L557</f>
        <v>1192.75</v>
      </c>
      <c r="O557" s="81">
        <f>IFERROR(VLOOKUP($G557,'321買'!A:E,3,0),"'沒有資料'")</f>
        <v>0</v>
      </c>
      <c r="P557" s="380">
        <f>IFERROR(VLOOKUP($G557,'321買'!$A:$G,7,0),"'沒有資料'")</f>
        <v>911</v>
      </c>
      <c r="R557" s="297">
        <f>IFERROR(RANK(VLOOKUP($G557,連買!$A:$D,4,0),連買!$D:$D,0),"'沒有資料'")</f>
        <v>1067</v>
      </c>
      <c r="S557" s="34">
        <v>0.5</v>
      </c>
      <c r="U557" s="95">
        <f t="shared" ref="U557:U563" si="130">S557/V557</f>
        <v>3.1446540880503145E-2</v>
      </c>
      <c r="V557" s="13">
        <v>15.9</v>
      </c>
      <c r="W557" s="148">
        <v>25</v>
      </c>
      <c r="X557" s="74">
        <f t="shared" ref="X557:X562" si="131">V557*W557</f>
        <v>397.5</v>
      </c>
      <c r="Y557" s="3">
        <f t="shared" ref="Y557:Y563" si="132">X557/W557</f>
        <v>15.9</v>
      </c>
      <c r="Z557" s="131"/>
      <c r="AA557" s="126"/>
      <c r="AD557" s="22" t="s">
        <v>678</v>
      </c>
      <c r="AG557" s="33">
        <f t="shared" ref="AG557:AG562" si="133">AF557-AE557</f>
        <v>0</v>
      </c>
      <c r="AH557" s="49"/>
    </row>
    <row r="558" spans="1:34">
      <c r="A558" s="41"/>
      <c r="B558" s="79" t="s">
        <v>285</v>
      </c>
      <c r="C558" s="79"/>
      <c r="D558" s="79" t="s">
        <v>285</v>
      </c>
      <c r="E558" s="79"/>
      <c r="F558" s="6"/>
      <c r="G558" s="81">
        <v>2834</v>
      </c>
      <c r="H558" s="50" t="s">
        <v>1410</v>
      </c>
      <c r="I558" s="22" t="s">
        <v>265</v>
      </c>
      <c r="J558" s="73">
        <v>68.61</v>
      </c>
      <c r="K558" s="323">
        <v>27.12</v>
      </c>
      <c r="L558" s="323">
        <v>1.17</v>
      </c>
      <c r="N558" s="318">
        <f t="shared" si="129"/>
        <v>1202.8999999999999</v>
      </c>
      <c r="O558" s="81">
        <f>IFERROR(VLOOKUP($G558,'321買'!A:E,3,0),"'沒有資料'")</f>
        <v>1</v>
      </c>
      <c r="P558" s="380">
        <f>IFERROR(VLOOKUP($G558,'321買'!$A:$G,7,0),"'沒有資料'")</f>
        <v>783</v>
      </c>
      <c r="R558" s="297">
        <f>IFERROR(RANK(VLOOKUP($G558,連買!$A:$D,4,0),連買!$D:$D,0),"'沒有資料'")</f>
        <v>1106</v>
      </c>
      <c r="S558" s="34">
        <v>0.8</v>
      </c>
      <c r="U558" s="95">
        <f t="shared" si="130"/>
        <v>5.9479553903345729E-2</v>
      </c>
      <c r="V558" s="13">
        <v>13.45</v>
      </c>
      <c r="W558" s="202">
        <v>31</v>
      </c>
      <c r="X558" s="74">
        <f t="shared" si="131"/>
        <v>416.95</v>
      </c>
      <c r="Y558" s="3">
        <f t="shared" si="132"/>
        <v>13.45</v>
      </c>
      <c r="Z558" s="133"/>
      <c r="AA558" s="126"/>
      <c r="AD558" s="22" t="s">
        <v>265</v>
      </c>
      <c r="AG558" s="33">
        <f t="shared" si="133"/>
        <v>0</v>
      </c>
      <c r="AH558" s="49"/>
    </row>
    <row r="559" spans="1:34">
      <c r="A559" s="41"/>
      <c r="B559" s="79" t="s">
        <v>285</v>
      </c>
      <c r="C559" s="79" t="s">
        <v>292</v>
      </c>
      <c r="D559" s="79" t="s">
        <v>285</v>
      </c>
      <c r="E559" s="79" t="s">
        <v>292</v>
      </c>
      <c r="F559" s="6">
        <v>7.08</v>
      </c>
      <c r="G559" s="81">
        <v>4927</v>
      </c>
      <c r="H559" s="50" t="s">
        <v>1410</v>
      </c>
      <c r="I559" s="22" t="s">
        <v>449</v>
      </c>
      <c r="J559" s="73">
        <v>50.16</v>
      </c>
      <c r="K559" s="73">
        <v>28.06</v>
      </c>
      <c r="L559" s="73">
        <v>35.39</v>
      </c>
      <c r="N559" s="318">
        <f t="shared" si="129"/>
        <v>928.6099999999999</v>
      </c>
      <c r="O559" s="81">
        <f>IFERROR(VLOOKUP($G559,'321買'!A:E,3,0),"'沒有資料'")</f>
        <v>65</v>
      </c>
      <c r="P559" s="380">
        <f>IFERROR(VLOOKUP($G559,'321買'!$A:$G,7,0),"'沒有資料'")</f>
        <v>38</v>
      </c>
      <c r="R559" s="297">
        <f>IFERROR(RANK(VLOOKUP($G559,連買!$A:$D,4,0),連買!$D:$D,0),"'沒有資料'")</f>
        <v>815</v>
      </c>
      <c r="S559" s="34">
        <v>2.56</v>
      </c>
      <c r="U559" s="95">
        <f t="shared" si="130"/>
        <v>4.8301886792452828E-2</v>
      </c>
      <c r="V559" s="13">
        <v>53</v>
      </c>
      <c r="W559" s="148">
        <v>32</v>
      </c>
      <c r="X559" s="74">
        <f t="shared" si="131"/>
        <v>1696</v>
      </c>
      <c r="Y559" s="3">
        <f t="shared" si="132"/>
        <v>53</v>
      </c>
      <c r="Z559" s="131"/>
      <c r="AA559" s="126"/>
      <c r="AD559" s="22" t="s">
        <v>449</v>
      </c>
      <c r="AG559" s="33">
        <f t="shared" si="133"/>
        <v>0</v>
      </c>
      <c r="AH559" s="49"/>
    </row>
    <row r="560" spans="1:34">
      <c r="A560" s="41"/>
      <c r="B560" s="79" t="s">
        <v>285</v>
      </c>
      <c r="C560" s="79" t="s">
        <v>292</v>
      </c>
      <c r="D560" s="79" t="s">
        <v>285</v>
      </c>
      <c r="E560" s="79" t="s">
        <v>292</v>
      </c>
      <c r="F560" s="6">
        <v>4.6100000000000003</v>
      </c>
      <c r="G560" s="79">
        <v>6485</v>
      </c>
      <c r="H560" s="50" t="s">
        <v>1410</v>
      </c>
      <c r="I560" s="16" t="s">
        <v>232</v>
      </c>
      <c r="J560" s="323">
        <v>39.42</v>
      </c>
      <c r="K560" s="73">
        <v>8.0500000000000007</v>
      </c>
      <c r="L560" s="323">
        <v>42.3</v>
      </c>
      <c r="N560" s="318">
        <f t="shared" si="129"/>
        <v>187.76999999999998</v>
      </c>
      <c r="O560" s="81">
        <f>IFERROR(VLOOKUP($G560,'321買'!A:E,3,0),"'沒有資料'")</f>
        <v>82</v>
      </c>
      <c r="P560" s="380">
        <f>IFERROR(VLOOKUP($G560,'321買'!$A:$G,7,0),"'沒有資料'")</f>
        <v>14</v>
      </c>
      <c r="R560" s="297">
        <f>IFERROR(RANK(VLOOKUP($G560,連買!$A:$D,4,0),連買!$D:$D,0),"'沒有資料'")</f>
        <v>98</v>
      </c>
      <c r="S560" s="34">
        <v>0</v>
      </c>
      <c r="U560" s="95">
        <f t="shared" si="130"/>
        <v>0</v>
      </c>
      <c r="V560" s="36">
        <v>38.85</v>
      </c>
      <c r="W560" s="148">
        <v>19</v>
      </c>
      <c r="X560" s="74">
        <f t="shared" si="131"/>
        <v>738.15</v>
      </c>
      <c r="Y560" s="3">
        <f t="shared" si="132"/>
        <v>38.85</v>
      </c>
      <c r="Z560" s="131"/>
      <c r="AA560" s="126"/>
      <c r="AD560" s="16" t="s">
        <v>232</v>
      </c>
      <c r="AG560" s="33">
        <f t="shared" si="133"/>
        <v>0</v>
      </c>
      <c r="AH560" s="49"/>
    </row>
    <row r="561" spans="1:47">
      <c r="A561" s="41"/>
      <c r="B561" s="79" t="s">
        <v>285</v>
      </c>
      <c r="C561" s="79" t="s">
        <v>292</v>
      </c>
      <c r="D561" s="79" t="s">
        <v>285</v>
      </c>
      <c r="E561" s="79" t="s">
        <v>292</v>
      </c>
      <c r="F561" s="6">
        <v>4.6100000000000003</v>
      </c>
      <c r="G561" s="79">
        <v>6485</v>
      </c>
      <c r="H561" s="50" t="s">
        <v>1410</v>
      </c>
      <c r="I561" s="16" t="s">
        <v>232</v>
      </c>
      <c r="J561" s="323">
        <v>39.42</v>
      </c>
      <c r="K561" s="73">
        <v>8.0500000000000007</v>
      </c>
      <c r="L561" s="323">
        <v>42.3</v>
      </c>
      <c r="N561" s="318">
        <f t="shared" si="129"/>
        <v>187.76999999999998</v>
      </c>
      <c r="O561" s="81">
        <f>IFERROR(VLOOKUP($G561,'321買'!A:E,3,0),"'沒有資料'")</f>
        <v>82</v>
      </c>
      <c r="P561" s="380">
        <f>IFERROR(VLOOKUP($G561,'321買'!$A:$G,7,0),"'沒有資料'")</f>
        <v>14</v>
      </c>
      <c r="R561" s="297">
        <f>IFERROR(RANK(VLOOKUP($G561,連買!$A:$D,4,0),連買!$D:$D,0),"'沒有資料'")</f>
        <v>98</v>
      </c>
      <c r="S561" s="34">
        <v>0</v>
      </c>
      <c r="U561" s="95">
        <f t="shared" si="130"/>
        <v>0</v>
      </c>
      <c r="V561" s="36">
        <v>37.799999999999997</v>
      </c>
      <c r="W561" s="148">
        <v>78</v>
      </c>
      <c r="X561" s="74">
        <f>V561*W561</f>
        <v>2948.3999999999996</v>
      </c>
      <c r="Y561" s="3">
        <f t="shared" si="132"/>
        <v>37.799999999999997</v>
      </c>
      <c r="Z561" s="131"/>
      <c r="AA561" s="126"/>
      <c r="AD561" s="16" t="s">
        <v>232</v>
      </c>
      <c r="AG561" s="33">
        <f>AF561-AE561</f>
        <v>0</v>
      </c>
      <c r="AH561" s="49"/>
    </row>
    <row r="562" spans="1:47">
      <c r="A562" s="41"/>
      <c r="B562" s="79" t="s">
        <v>285</v>
      </c>
      <c r="C562" s="79" t="s">
        <v>292</v>
      </c>
      <c r="D562" s="79" t="s">
        <v>285</v>
      </c>
      <c r="E562" s="79" t="s">
        <v>292</v>
      </c>
      <c r="F562" s="57">
        <v>11.06</v>
      </c>
      <c r="G562" s="79">
        <v>2027</v>
      </c>
      <c r="H562" s="8" t="s">
        <v>1409</v>
      </c>
      <c r="I562" s="22" t="s">
        <v>282</v>
      </c>
      <c r="J562" s="73">
        <v>76.849999999999994</v>
      </c>
      <c r="K562" s="323">
        <v>24.2</v>
      </c>
      <c r="L562" s="323">
        <v>8.7100000000000009</v>
      </c>
      <c r="N562" s="318">
        <f t="shared" si="129"/>
        <v>539.76</v>
      </c>
      <c r="O562" s="81">
        <f>IFERROR(VLOOKUP($G562,'321買'!A:E,3,0),"'沒有資料'")</f>
        <v>22</v>
      </c>
      <c r="P562" s="380">
        <f>IFERROR(VLOOKUP($G562,'321買'!$A:$G,7,0),"'沒有資料'")</f>
        <v>207</v>
      </c>
      <c r="R562" s="297">
        <f>IFERROR(RANK(VLOOKUP($G562,連買!$A:$D,4,0),連買!$D:$D,0),"'沒有資料'")</f>
        <v>430</v>
      </c>
      <c r="S562" s="34">
        <v>3</v>
      </c>
      <c r="U562" s="95">
        <f t="shared" si="130"/>
        <v>6.5146579804560262E-2</v>
      </c>
      <c r="V562" s="13">
        <v>46.05</v>
      </c>
      <c r="W562" s="202">
        <v>30</v>
      </c>
      <c r="X562" s="74">
        <f t="shared" si="131"/>
        <v>1381.5</v>
      </c>
      <c r="Y562" s="3">
        <f t="shared" si="132"/>
        <v>46.05</v>
      </c>
      <c r="Z562" s="133" t="s">
        <v>214</v>
      </c>
      <c r="AA562" s="126"/>
      <c r="AD562" s="22" t="s">
        <v>282</v>
      </c>
      <c r="AG562" s="33">
        <f t="shared" si="133"/>
        <v>0</v>
      </c>
      <c r="AH562" s="49"/>
    </row>
    <row r="563" spans="1:47">
      <c r="B563" s="79" t="s">
        <v>285</v>
      </c>
      <c r="C563" s="79"/>
      <c r="D563" s="79" t="s">
        <v>285</v>
      </c>
      <c r="E563" s="79"/>
      <c r="F563" s="6"/>
      <c r="G563" s="80">
        <v>2890</v>
      </c>
      <c r="H563" s="112" t="s">
        <v>1505</v>
      </c>
      <c r="I563" s="22" t="s">
        <v>1</v>
      </c>
      <c r="J563" s="73">
        <v>30.37</v>
      </c>
      <c r="K563" s="73">
        <v>80.12</v>
      </c>
      <c r="L563" s="323">
        <v>0.16</v>
      </c>
      <c r="N563" s="318">
        <f>R563+J563+K563+L563</f>
        <v>1079.6500000000001</v>
      </c>
      <c r="O563" s="81">
        <f>IFERROR(VLOOKUP($G563,'321買'!A:E,3,0),"'沒有資料'")</f>
        <v>0</v>
      </c>
      <c r="P563" s="380">
        <f>IFERROR(VLOOKUP($G563,'321買'!$A:$G,7,0),"'沒有資料'")</f>
        <v>911</v>
      </c>
      <c r="R563" s="297">
        <f>IFERROR(RANK(VLOOKUP($G563,連買!$A:$D,4,0),連買!$D:$D,0),"'沒有資料'")</f>
        <v>969</v>
      </c>
      <c r="S563" s="34">
        <v>0.64</v>
      </c>
      <c r="U563" s="95">
        <f t="shared" si="130"/>
        <v>5.245901639344263E-2</v>
      </c>
      <c r="V563" s="13">
        <v>12.2</v>
      </c>
      <c r="W563" s="202">
        <v>107</v>
      </c>
      <c r="X563" s="74">
        <f>V563*W563</f>
        <v>1305.3999999999999</v>
      </c>
      <c r="Y563" s="3">
        <f t="shared" si="132"/>
        <v>12.2</v>
      </c>
      <c r="Z563" s="133" t="s">
        <v>1403</v>
      </c>
      <c r="AA563" s="126"/>
      <c r="AD563" s="22" t="s">
        <v>1</v>
      </c>
      <c r="AH563" s="49"/>
      <c r="AU563" s="11"/>
    </row>
    <row r="564" spans="1:47">
      <c r="A564" s="41"/>
      <c r="B564" s="79"/>
      <c r="C564" s="79"/>
      <c r="D564" s="79"/>
      <c r="E564" s="79"/>
      <c r="F564" s="57"/>
      <c r="G564" s="41"/>
      <c r="H564" s="8"/>
      <c r="I564" s="22"/>
      <c r="J564" s="73"/>
      <c r="K564" s="323"/>
      <c r="L564" s="323"/>
      <c r="N564" s="318"/>
      <c r="S564" s="34"/>
      <c r="U564" s="95"/>
      <c r="V564" s="13"/>
      <c r="W564" s="202"/>
      <c r="X564" s="15">
        <f>SUM(X557:X563)/1000</f>
        <v>8.8838999999999988</v>
      </c>
      <c r="Y564" s="3"/>
      <c r="Z564" s="133"/>
      <c r="AA564" s="126"/>
      <c r="AD564" s="22"/>
      <c r="AG564" s="33"/>
      <c r="AH564" s="49"/>
    </row>
    <row r="565" spans="1:47">
      <c r="F565" s="264"/>
      <c r="H565" s="264"/>
      <c r="N565" s="327"/>
      <c r="S565" s="108"/>
      <c r="U565" s="229"/>
      <c r="V565" s="264"/>
      <c r="W565" s="199"/>
      <c r="X565" s="264"/>
      <c r="Y565" s="264"/>
      <c r="Z565" s="132"/>
      <c r="AA565" s="126"/>
      <c r="AD565" s="264"/>
      <c r="AE565" s="278"/>
      <c r="AF565" s="278"/>
      <c r="AG565" s="264"/>
    </row>
    <row r="566" spans="1:47">
      <c r="AA566" s="126"/>
    </row>
    <row r="567" spans="1:47">
      <c r="AA567" s="126"/>
    </row>
    <row r="568" spans="1:47">
      <c r="AA568" s="126"/>
    </row>
    <row r="569" spans="1:47">
      <c r="AA569" s="126"/>
    </row>
    <row r="570" spans="1:47">
      <c r="AA570" s="126"/>
    </row>
    <row r="571" spans="1:47">
      <c r="AA571" s="126"/>
    </row>
    <row r="572" spans="1:47">
      <c r="AA572" s="126"/>
    </row>
    <row r="573" spans="1:47">
      <c r="AA573" s="126"/>
    </row>
    <row r="574" spans="1:47">
      <c r="AA574" s="126"/>
    </row>
    <row r="575" spans="1:47">
      <c r="AA575" s="33"/>
    </row>
    <row r="576" spans="1:47">
      <c r="AA576" s="126"/>
    </row>
    <row r="577" spans="27:27">
      <c r="AA577" s="126"/>
    </row>
    <row r="578" spans="27:27">
      <c r="AA578" s="264"/>
    </row>
    <row r="579" spans="27:27">
      <c r="AA579" s="126"/>
    </row>
    <row r="580" spans="27:27">
      <c r="AA580" s="126"/>
    </row>
    <row r="581" spans="27:27">
      <c r="AA581" s="126"/>
    </row>
    <row r="582" spans="27:27">
      <c r="AA582" s="126"/>
    </row>
    <row r="583" spans="27:27">
      <c r="AA583" s="126"/>
    </row>
    <row r="584" spans="27:27">
      <c r="AA584" s="264"/>
    </row>
    <row r="585" spans="27:27">
      <c r="AA585" s="126"/>
    </row>
    <row r="586" spans="27:27">
      <c r="AA586" s="126"/>
    </row>
    <row r="587" spans="27:27">
      <c r="AA587" s="126"/>
    </row>
    <row r="588" spans="27:27">
      <c r="AA588" s="126"/>
    </row>
    <row r="589" spans="27:27">
      <c r="AA589" s="126"/>
    </row>
    <row r="590" spans="27:27">
      <c r="AA590" s="126"/>
    </row>
    <row r="591" spans="27:27">
      <c r="AA591" s="126"/>
    </row>
    <row r="592" spans="27:27">
      <c r="AA592" s="126"/>
    </row>
    <row r="593" spans="27:27">
      <c r="AA593" s="126"/>
    </row>
    <row r="594" spans="27:27">
      <c r="AA594" s="126"/>
    </row>
    <row r="595" spans="27:27">
      <c r="AA595" s="264"/>
    </row>
    <row r="596" spans="27:27">
      <c r="AA596" s="126"/>
    </row>
    <row r="597" spans="27:27">
      <c r="AA597" s="126"/>
    </row>
    <row r="598" spans="27:27">
      <c r="AA598" s="126"/>
    </row>
    <row r="599" spans="27:27">
      <c r="AA599" s="126"/>
    </row>
    <row r="600" spans="27:27">
      <c r="AA600" s="126"/>
    </row>
    <row r="601" spans="27:27">
      <c r="AA601" s="126"/>
    </row>
    <row r="602" spans="27:27">
      <c r="AA602" s="126"/>
    </row>
    <row r="603" spans="27:27">
      <c r="AA603" s="126"/>
    </row>
    <row r="604" spans="27:27">
      <c r="AA604" s="126"/>
    </row>
    <row r="605" spans="27:27">
      <c r="AA605" s="264"/>
    </row>
    <row r="606" spans="27:27">
      <c r="AA606" s="126"/>
    </row>
    <row r="607" spans="27:27">
      <c r="AA607" s="126"/>
    </row>
    <row r="608" spans="27:27">
      <c r="AA608" s="126"/>
    </row>
    <row r="609" spans="27:27">
      <c r="AA609" s="126"/>
    </row>
    <row r="610" spans="27:27">
      <c r="AA610" s="126"/>
    </row>
    <row r="611" spans="27:27">
      <c r="AA611" s="126"/>
    </row>
    <row r="612" spans="27:27">
      <c r="AA612" s="126"/>
    </row>
    <row r="613" spans="27:27">
      <c r="AA613" s="264"/>
    </row>
    <row r="614" spans="27:27">
      <c r="AA614" s="126"/>
    </row>
    <row r="615" spans="27:27">
      <c r="AA615" s="126"/>
    </row>
    <row r="616" spans="27:27">
      <c r="AA616" s="126"/>
    </row>
    <row r="617" spans="27:27">
      <c r="AA617" s="126"/>
    </row>
    <row r="618" spans="27:27">
      <c r="AA618" s="126"/>
    </row>
    <row r="619" spans="27:27">
      <c r="AA619" s="126"/>
    </row>
    <row r="620" spans="27:27">
      <c r="AA620" s="126"/>
    </row>
    <row r="621" spans="27:27">
      <c r="AA621" s="126"/>
    </row>
    <row r="622" spans="27:27">
      <c r="AA622" s="126"/>
    </row>
    <row r="623" spans="27:27">
      <c r="AA623" s="264"/>
    </row>
    <row r="624" spans="27:27">
      <c r="AA624" s="126"/>
    </row>
    <row r="625" spans="27:27">
      <c r="AA625" s="126"/>
    </row>
    <row r="626" spans="27:27">
      <c r="AA626" s="126"/>
    </row>
    <row r="627" spans="27:27">
      <c r="AA627" s="126"/>
    </row>
    <row r="628" spans="27:27">
      <c r="AA628" s="126"/>
    </row>
    <row r="629" spans="27:27">
      <c r="AA629" s="126"/>
    </row>
    <row r="630" spans="27:27">
      <c r="AA630" s="126"/>
    </row>
    <row r="631" spans="27:27">
      <c r="AA631" s="126"/>
    </row>
    <row r="632" spans="27:27">
      <c r="AA632" s="126"/>
    </row>
    <row r="633" spans="27:27">
      <c r="AA633" s="126"/>
    </row>
    <row r="634" spans="27:27">
      <c r="AA634" s="126"/>
    </row>
    <row r="635" spans="27:27">
      <c r="AA635" s="126"/>
    </row>
    <row r="636" spans="27:27">
      <c r="AA636" s="126"/>
    </row>
    <row r="637" spans="27:27">
      <c r="AA637" s="126"/>
    </row>
    <row r="638" spans="27:27">
      <c r="AA638" s="126"/>
    </row>
    <row r="639" spans="27:27">
      <c r="AA639" s="126"/>
    </row>
    <row r="640" spans="27:27">
      <c r="AA640" s="126"/>
    </row>
    <row r="641" spans="27:27">
      <c r="AA641" s="126"/>
    </row>
    <row r="642" spans="27:27">
      <c r="AA642" s="126"/>
    </row>
    <row r="643" spans="27:27">
      <c r="AA643" s="126"/>
    </row>
    <row r="644" spans="27:27">
      <c r="AA644" s="264"/>
    </row>
    <row r="645" spans="27:27">
      <c r="AA645" s="126"/>
    </row>
    <row r="646" spans="27:27">
      <c r="AA646" s="126"/>
    </row>
    <row r="647" spans="27:27">
      <c r="AA647" s="126"/>
    </row>
    <row r="649" spans="27:27">
      <c r="AA649" s="126"/>
    </row>
    <row r="650" spans="27:27">
      <c r="AA650" s="126"/>
    </row>
    <row r="651" spans="27:27">
      <c r="AA651" s="126"/>
    </row>
    <row r="652" spans="27:27">
      <c r="AA652" s="126"/>
    </row>
    <row r="653" spans="27:27">
      <c r="AA653" s="126"/>
    </row>
    <row r="654" spans="27:27">
      <c r="AA654" s="126"/>
    </row>
    <row r="655" spans="27:27">
      <c r="AA655" s="126"/>
    </row>
    <row r="656" spans="27:27">
      <c r="AA656" s="126"/>
    </row>
    <row r="657" spans="27:27">
      <c r="AA657" s="264"/>
    </row>
    <row r="658" spans="27:27">
      <c r="AA658" s="126"/>
    </row>
    <row r="659" spans="27:27">
      <c r="AA659" s="126"/>
    </row>
    <row r="660" spans="27:27">
      <c r="AA660" s="126"/>
    </row>
    <row r="661" spans="27:27">
      <c r="AA661" s="264"/>
    </row>
    <row r="662" spans="27:27">
      <c r="AA662" s="126"/>
    </row>
    <row r="663" spans="27:27">
      <c r="AA663" s="126"/>
    </row>
    <row r="664" spans="27:27">
      <c r="AA664" s="126"/>
    </row>
    <row r="665" spans="27:27">
      <c r="AA665" s="126"/>
    </row>
    <row r="666" spans="27:27">
      <c r="AA666" s="126"/>
    </row>
    <row r="667" spans="27:27">
      <c r="AA667" s="126"/>
    </row>
    <row r="668" spans="27:27">
      <c r="AA668" s="126"/>
    </row>
    <row r="669" spans="27:27">
      <c r="AA669" s="126"/>
    </row>
    <row r="670" spans="27:27">
      <c r="AA670" s="126"/>
    </row>
    <row r="671" spans="27:27">
      <c r="AA671" s="126"/>
    </row>
    <row r="672" spans="27:27">
      <c r="AA672" s="126"/>
    </row>
    <row r="673" spans="27:27">
      <c r="AA673" s="126"/>
    </row>
    <row r="674" spans="27:27">
      <c r="AA674" s="126"/>
    </row>
    <row r="675" spans="27:27">
      <c r="AA675" s="126"/>
    </row>
    <row r="676" spans="27:27">
      <c r="AA676" s="126"/>
    </row>
    <row r="677" spans="27:27">
      <c r="AA677" s="126"/>
    </row>
    <row r="678" spans="27:27">
      <c r="AA678" s="126"/>
    </row>
    <row r="679" spans="27:27">
      <c r="AA679" s="126"/>
    </row>
    <row r="680" spans="27:27">
      <c r="AA680" s="126"/>
    </row>
    <row r="681" spans="27:27">
      <c r="AA681" s="126"/>
    </row>
    <row r="682" spans="27:27">
      <c r="AA682" s="126"/>
    </row>
    <row r="683" spans="27:27">
      <c r="AA683" s="126"/>
    </row>
    <row r="684" spans="27:27">
      <c r="AA684" s="126"/>
    </row>
    <row r="685" spans="27:27">
      <c r="AA685" s="126"/>
    </row>
    <row r="686" spans="27:27">
      <c r="AA686" s="126"/>
    </row>
    <row r="687" spans="27:27">
      <c r="AA687" s="126"/>
    </row>
    <row r="688" spans="27:27">
      <c r="AA688" s="126"/>
    </row>
    <row r="689" spans="27:27">
      <c r="AA689" s="126"/>
    </row>
    <row r="690" spans="27:27">
      <c r="AA690" s="126"/>
    </row>
    <row r="691" spans="27:27">
      <c r="AA691" s="126"/>
    </row>
    <row r="692" spans="27:27">
      <c r="AA692" s="126"/>
    </row>
    <row r="693" spans="27:27">
      <c r="AA693" s="126"/>
    </row>
    <row r="694" spans="27:27">
      <c r="AA694" s="126"/>
    </row>
    <row r="695" spans="27:27">
      <c r="AA695" s="126"/>
    </row>
    <row r="696" spans="27:27">
      <c r="AA696" s="126"/>
    </row>
    <row r="697" spans="27:27">
      <c r="AA697" s="126"/>
    </row>
    <row r="698" spans="27:27">
      <c r="AA698" s="126"/>
    </row>
    <row r="699" spans="27:27">
      <c r="AA699" s="126"/>
    </row>
    <row r="700" spans="27:27">
      <c r="AA700" s="126"/>
    </row>
    <row r="701" spans="27:27">
      <c r="AA701" s="126"/>
    </row>
    <row r="702" spans="27:27">
      <c r="AA702" s="126"/>
    </row>
    <row r="703" spans="27:27">
      <c r="AA703" s="126"/>
    </row>
    <row r="704" spans="27:27">
      <c r="AA704" s="126"/>
    </row>
    <row r="705" spans="27:27">
      <c r="AA705" s="126"/>
    </row>
    <row r="706" spans="27:27">
      <c r="AA706" s="27"/>
    </row>
    <row r="707" spans="27:27">
      <c r="AA707" s="126"/>
    </row>
    <row r="708" spans="27:27">
      <c r="AA708" s="126"/>
    </row>
    <row r="709" spans="27:27">
      <c r="AA709" s="126"/>
    </row>
    <row r="710" spans="27:27">
      <c r="AA710" s="126"/>
    </row>
    <row r="711" spans="27:27">
      <c r="AA711" s="126"/>
    </row>
    <row r="712" spans="27:27">
      <c r="AA712" s="126"/>
    </row>
    <row r="713" spans="27:27">
      <c r="AA713" s="126"/>
    </row>
    <row r="714" spans="27:27">
      <c r="AA714" s="126"/>
    </row>
    <row r="715" spans="27:27">
      <c r="AA715" s="126"/>
    </row>
    <row r="716" spans="27:27">
      <c r="AA716" s="126"/>
    </row>
    <row r="717" spans="27:27">
      <c r="AA717" s="126"/>
    </row>
    <row r="718" spans="27:27">
      <c r="AA718" s="126"/>
    </row>
    <row r="719" spans="27:27">
      <c r="AA719" s="126"/>
    </row>
    <row r="720" spans="27:27">
      <c r="AA720" s="126"/>
    </row>
    <row r="721" spans="27:27">
      <c r="AA721" s="126"/>
    </row>
    <row r="722" spans="27:27">
      <c r="AA722" s="126"/>
    </row>
    <row r="723" spans="27:27">
      <c r="AA723" s="126"/>
    </row>
    <row r="724" spans="27:27">
      <c r="AA724" s="126"/>
    </row>
    <row r="725" spans="27:27">
      <c r="AA725" s="126"/>
    </row>
    <row r="726" spans="27:27">
      <c r="AA726" s="126"/>
    </row>
    <row r="727" spans="27:27">
      <c r="AA727" s="126"/>
    </row>
    <row r="728" spans="27:27">
      <c r="AA728" s="126"/>
    </row>
    <row r="729" spans="27:27">
      <c r="AA729" s="126"/>
    </row>
    <row r="730" spans="27:27">
      <c r="AA730" s="126"/>
    </row>
    <row r="731" spans="27:27">
      <c r="AA731" s="126"/>
    </row>
    <row r="732" spans="27:27">
      <c r="AA732" s="126"/>
    </row>
    <row r="733" spans="27:27">
      <c r="AA733" s="126"/>
    </row>
    <row r="734" spans="27:27">
      <c r="AA734" s="126"/>
    </row>
    <row r="735" spans="27:27">
      <c r="AA735" s="126"/>
    </row>
    <row r="736" spans="27:27">
      <c r="AA736" s="126"/>
    </row>
    <row r="737" spans="27:27">
      <c r="AA737" s="126"/>
    </row>
    <row r="738" spans="27:27">
      <c r="AA738" s="126"/>
    </row>
    <row r="739" spans="27:27">
      <c r="AA739" s="264"/>
    </row>
    <row r="740" spans="27:27">
      <c r="AA740" s="264"/>
    </row>
    <row r="741" spans="27:27">
      <c r="AA741" s="126"/>
    </row>
    <row r="742" spans="27:27">
      <c r="AA742" s="126"/>
    </row>
    <row r="743" spans="27:27">
      <c r="AA743" s="126"/>
    </row>
    <row r="744" spans="27:27">
      <c r="AA744" s="126"/>
    </row>
    <row r="745" spans="27:27">
      <c r="AA745" s="126"/>
    </row>
    <row r="746" spans="27:27">
      <c r="AA746" s="126"/>
    </row>
    <row r="747" spans="27:27">
      <c r="AA747" s="126"/>
    </row>
    <row r="748" spans="27:27">
      <c r="AA748" s="126"/>
    </row>
    <row r="749" spans="27:27">
      <c r="AA749" s="126"/>
    </row>
    <row r="750" spans="27:27">
      <c r="AA750" s="126"/>
    </row>
    <row r="751" spans="27:27">
      <c r="AA751" s="126"/>
    </row>
    <row r="752" spans="27:27">
      <c r="AA752" s="126"/>
    </row>
    <row r="753" spans="27:27">
      <c r="AA753" s="126"/>
    </row>
    <row r="754" spans="27:27">
      <c r="AA754" s="126"/>
    </row>
    <row r="755" spans="27:27">
      <c r="AA755" s="126"/>
    </row>
    <row r="756" spans="27:27">
      <c r="AA756" s="126"/>
    </row>
    <row r="757" spans="27:27">
      <c r="AA757" s="126"/>
    </row>
    <row r="758" spans="27:27">
      <c r="AA758" s="126"/>
    </row>
    <row r="759" spans="27:27">
      <c r="AA759" s="126"/>
    </row>
    <row r="760" spans="27:27">
      <c r="AA760" s="126"/>
    </row>
    <row r="761" spans="27:27">
      <c r="AA761" s="126"/>
    </row>
    <row r="762" spans="27:27">
      <c r="AA762" s="126"/>
    </row>
    <row r="763" spans="27:27">
      <c r="AA763" s="126"/>
    </row>
    <row r="764" spans="27:27">
      <c r="AA764" s="126"/>
    </row>
    <row r="765" spans="27:27">
      <c r="AA765" s="126"/>
    </row>
    <row r="766" spans="27:27">
      <c r="AA766" s="126"/>
    </row>
    <row r="767" spans="27:27">
      <c r="AA767" s="126"/>
    </row>
    <row r="768" spans="27:27">
      <c r="AA768" s="126"/>
    </row>
    <row r="769" spans="27:27">
      <c r="AA769" s="126"/>
    </row>
    <row r="770" spans="27:27">
      <c r="AA770" s="126"/>
    </row>
    <row r="771" spans="27:27">
      <c r="AA771" s="126"/>
    </row>
    <row r="772" spans="27:27">
      <c r="AA772" s="126"/>
    </row>
    <row r="773" spans="27:27">
      <c r="AA773" s="126"/>
    </row>
    <row r="774" spans="27:27">
      <c r="AA774" s="126"/>
    </row>
    <row r="775" spans="27:27">
      <c r="AA775" s="126"/>
    </row>
    <row r="776" spans="27:27">
      <c r="AA776" s="126"/>
    </row>
    <row r="777" spans="27:27">
      <c r="AA777" s="126"/>
    </row>
    <row r="778" spans="27:27">
      <c r="AA778" s="126"/>
    </row>
    <row r="779" spans="27:27">
      <c r="AA779" s="264"/>
    </row>
    <row r="780" spans="27:27">
      <c r="AA780" s="126"/>
    </row>
    <row r="781" spans="27:27">
      <c r="AA781" s="126"/>
    </row>
    <row r="782" spans="27:27">
      <c r="AA782" s="126"/>
    </row>
    <row r="783" spans="27:27">
      <c r="AA783" s="126"/>
    </row>
    <row r="784" spans="27:27">
      <c r="AA784" s="126"/>
    </row>
    <row r="785" spans="27:27">
      <c r="AA785" s="126"/>
    </row>
    <row r="786" spans="27:27">
      <c r="AA786" s="126"/>
    </row>
    <row r="787" spans="27:27">
      <c r="AA787" s="126"/>
    </row>
    <row r="788" spans="27:27">
      <c r="AA788" s="126"/>
    </row>
    <row r="789" spans="27:27">
      <c r="AA789" s="126"/>
    </row>
    <row r="790" spans="27:27">
      <c r="AA790" s="126"/>
    </row>
    <row r="791" spans="27:27">
      <c r="AA791" s="126"/>
    </row>
    <row r="792" spans="27:27">
      <c r="AA792" s="126"/>
    </row>
    <row r="793" spans="27:27">
      <c r="AA793" s="126"/>
    </row>
    <row r="794" spans="27:27">
      <c r="AA794" s="126"/>
    </row>
    <row r="795" spans="27:27">
      <c r="AA795" s="126"/>
    </row>
    <row r="796" spans="27:27">
      <c r="AA796" s="126"/>
    </row>
    <row r="797" spans="27:27">
      <c r="AA797" s="126"/>
    </row>
    <row r="798" spans="27:27">
      <c r="AA798" s="126"/>
    </row>
    <row r="799" spans="27:27">
      <c r="AA799" s="126"/>
    </row>
    <row r="800" spans="27:27">
      <c r="AA800" s="126"/>
    </row>
    <row r="801" spans="27:27">
      <c r="AA801" s="126"/>
    </row>
    <row r="802" spans="27:27">
      <c r="AA802" s="126"/>
    </row>
    <row r="803" spans="27:27">
      <c r="AA803" s="126"/>
    </row>
    <row r="804" spans="27:27">
      <c r="AA804" s="126"/>
    </row>
    <row r="805" spans="27:27">
      <c r="AA805" s="126"/>
    </row>
    <row r="806" spans="27:27">
      <c r="AA806" s="126"/>
    </row>
    <row r="807" spans="27:27">
      <c r="AA807" s="126"/>
    </row>
    <row r="808" spans="27:27">
      <c r="AA808" s="126"/>
    </row>
    <row r="809" spans="27:27">
      <c r="AA809" s="126"/>
    </row>
    <row r="810" spans="27:27">
      <c r="AA810" s="126"/>
    </row>
    <row r="811" spans="27:27">
      <c r="AA811" s="126"/>
    </row>
    <row r="812" spans="27:27">
      <c r="AA812" s="126"/>
    </row>
    <row r="813" spans="27:27">
      <c r="AA813" s="126"/>
    </row>
    <row r="814" spans="27:27">
      <c r="AA814" s="126"/>
    </row>
    <row r="815" spans="27:27">
      <c r="AA815" s="126"/>
    </row>
    <row r="816" spans="27:27">
      <c r="AA816" s="126"/>
    </row>
    <row r="817" spans="27:27">
      <c r="AA817" s="126"/>
    </row>
    <row r="818" spans="27:27">
      <c r="AA818" s="126"/>
    </row>
    <row r="819" spans="27:27">
      <c r="AA819" s="126"/>
    </row>
    <row r="820" spans="27:27">
      <c r="AA820" s="126"/>
    </row>
    <row r="821" spans="27:27">
      <c r="AA821" s="126"/>
    </row>
    <row r="822" spans="27:27">
      <c r="AA822" s="126"/>
    </row>
    <row r="823" spans="27:27">
      <c r="AA823" s="126"/>
    </row>
    <row r="824" spans="27:27">
      <c r="AA824" s="126"/>
    </row>
    <row r="825" spans="27:27">
      <c r="AA825" s="126"/>
    </row>
    <row r="826" spans="27:27">
      <c r="AA826" s="126"/>
    </row>
    <row r="827" spans="27:27">
      <c r="AA827" s="126"/>
    </row>
    <row r="828" spans="27:27">
      <c r="AA828" s="126"/>
    </row>
    <row r="829" spans="27:27">
      <c r="AA829" s="126"/>
    </row>
    <row r="830" spans="27:27">
      <c r="AA830" s="126"/>
    </row>
    <row r="831" spans="27:27">
      <c r="AA831" s="126"/>
    </row>
    <row r="832" spans="27:27">
      <c r="AA832" s="126"/>
    </row>
    <row r="833" spans="27:27">
      <c r="AA833" s="126"/>
    </row>
    <row r="834" spans="27:27">
      <c r="AA834" s="126"/>
    </row>
    <row r="835" spans="27:27">
      <c r="AA835" s="126"/>
    </row>
    <row r="836" spans="27:27">
      <c r="AA836" s="126"/>
    </row>
    <row r="837" spans="27:27">
      <c r="AA837" s="264"/>
    </row>
    <row r="838" spans="27:27">
      <c r="AA838" s="126"/>
    </row>
    <row r="839" spans="27:27">
      <c r="AA839" s="126"/>
    </row>
    <row r="840" spans="27:27">
      <c r="AA840" s="126"/>
    </row>
    <row r="841" spans="27:27">
      <c r="AA841" s="126"/>
    </row>
    <row r="842" spans="27:27">
      <c r="AA842" s="126"/>
    </row>
    <row r="843" spans="27:27">
      <c r="AA843" s="126"/>
    </row>
    <row r="844" spans="27:27">
      <c r="AA844" s="126"/>
    </row>
    <row r="845" spans="27:27">
      <c r="AA845" s="126"/>
    </row>
    <row r="846" spans="27:27">
      <c r="AA846" s="126"/>
    </row>
    <row r="847" spans="27:27">
      <c r="AA847" s="126"/>
    </row>
    <row r="848" spans="27:27">
      <c r="AA848" s="126"/>
    </row>
    <row r="849" spans="27:27">
      <c r="AA849" s="126"/>
    </row>
    <row r="850" spans="27:27">
      <c r="AA850" s="126"/>
    </row>
    <row r="851" spans="27:27">
      <c r="AA851" s="126"/>
    </row>
    <row r="852" spans="27:27">
      <c r="AA852" s="126"/>
    </row>
    <row r="853" spans="27:27">
      <c r="AA853" s="126"/>
    </row>
    <row r="854" spans="27:27">
      <c r="AA854" s="126"/>
    </row>
    <row r="855" spans="27:27">
      <c r="AA855" s="126"/>
    </row>
    <row r="856" spans="27:27">
      <c r="AA856" s="126"/>
    </row>
    <row r="857" spans="27:27">
      <c r="AA857" s="126"/>
    </row>
    <row r="858" spans="27:27">
      <c r="AA858" s="126"/>
    </row>
    <row r="859" spans="27:27">
      <c r="AA859" s="126"/>
    </row>
    <row r="860" spans="27:27">
      <c r="AA860" s="126"/>
    </row>
    <row r="861" spans="27:27">
      <c r="AA861" s="126"/>
    </row>
    <row r="862" spans="27:27">
      <c r="AA862" s="126"/>
    </row>
    <row r="863" spans="27:27">
      <c r="AA863" s="126"/>
    </row>
    <row r="864" spans="27:27">
      <c r="AA864" s="126"/>
    </row>
    <row r="865" spans="27:27">
      <c r="AA865" s="126"/>
    </row>
    <row r="866" spans="27:27">
      <c r="AA866" s="126"/>
    </row>
    <row r="867" spans="27:27">
      <c r="AA867" s="126"/>
    </row>
    <row r="868" spans="27:27">
      <c r="AA868" s="126"/>
    </row>
    <row r="869" spans="27:27">
      <c r="AA869" s="126"/>
    </row>
    <row r="870" spans="27:27">
      <c r="AA870" s="126"/>
    </row>
    <row r="871" spans="27:27">
      <c r="AA871" s="126"/>
    </row>
    <row r="872" spans="27:27">
      <c r="AA872" s="126"/>
    </row>
    <row r="873" spans="27:27">
      <c r="AA873" s="126"/>
    </row>
    <row r="874" spans="27:27">
      <c r="AA874" s="126"/>
    </row>
    <row r="875" spans="27:27">
      <c r="AA875" s="126"/>
    </row>
    <row r="876" spans="27:27">
      <c r="AA876" s="126"/>
    </row>
    <row r="877" spans="27:27">
      <c r="AA877" s="126"/>
    </row>
    <row r="878" spans="27:27">
      <c r="AA878" s="126"/>
    </row>
    <row r="879" spans="27:27">
      <c r="AA879" s="126"/>
    </row>
    <row r="880" spans="27:27">
      <c r="AA880" s="126"/>
    </row>
    <row r="881" spans="27:27">
      <c r="AA881" s="126"/>
    </row>
    <row r="882" spans="27:27">
      <c r="AA882" s="126"/>
    </row>
    <row r="883" spans="27:27">
      <c r="AA883" s="126"/>
    </row>
    <row r="884" spans="27:27">
      <c r="AA884" s="126"/>
    </row>
    <row r="885" spans="27:27">
      <c r="AA885" s="126"/>
    </row>
    <row r="886" spans="27:27">
      <c r="AA886" s="126"/>
    </row>
    <row r="887" spans="27:27">
      <c r="AA887" s="126"/>
    </row>
    <row r="888" spans="27:27">
      <c r="AA888" s="126"/>
    </row>
    <row r="889" spans="27:27">
      <c r="AA889" s="126"/>
    </row>
    <row r="890" spans="27:27">
      <c r="AA890" s="126"/>
    </row>
    <row r="891" spans="27:27">
      <c r="AA891" s="126"/>
    </row>
    <row r="892" spans="27:27">
      <c r="AA892" s="126"/>
    </row>
    <row r="893" spans="27:27">
      <c r="AA893" s="126"/>
    </row>
    <row r="894" spans="27:27">
      <c r="AA894" s="264"/>
    </row>
    <row r="895" spans="27:27">
      <c r="AA895" s="126"/>
    </row>
    <row r="896" spans="27:27">
      <c r="AA896" s="126"/>
    </row>
    <row r="897" spans="27:27">
      <c r="AA897" s="126"/>
    </row>
    <row r="898" spans="27:27">
      <c r="AA898" s="126"/>
    </row>
    <row r="899" spans="27:27">
      <c r="AA899" s="126"/>
    </row>
    <row r="900" spans="27:27">
      <c r="AA900" s="126"/>
    </row>
    <row r="901" spans="27:27">
      <c r="AA901" s="126"/>
    </row>
    <row r="902" spans="27:27">
      <c r="AA902" s="126"/>
    </row>
    <row r="903" spans="27:27">
      <c r="AA903" s="126"/>
    </row>
    <row r="904" spans="27:27">
      <c r="AA904" s="126"/>
    </row>
    <row r="905" spans="27:27">
      <c r="AA905" s="126"/>
    </row>
    <row r="906" spans="27:27">
      <c r="AA906" s="126"/>
    </row>
    <row r="907" spans="27:27">
      <c r="AA907" s="126"/>
    </row>
    <row r="908" spans="27:27">
      <c r="AA908" s="126"/>
    </row>
    <row r="909" spans="27:27">
      <c r="AA909" s="126"/>
    </row>
    <row r="910" spans="27:27">
      <c r="AA910" s="126"/>
    </row>
    <row r="911" spans="27:27">
      <c r="AA911" s="126"/>
    </row>
    <row r="912" spans="27:27">
      <c r="AA912" s="126"/>
    </row>
    <row r="913" spans="27:27">
      <c r="AA913" s="126"/>
    </row>
    <row r="914" spans="27:27">
      <c r="AA914" s="126"/>
    </row>
    <row r="915" spans="27:27">
      <c r="AA915" s="126"/>
    </row>
    <row r="916" spans="27:27">
      <c r="AA916" s="126"/>
    </row>
    <row r="917" spans="27:27">
      <c r="AA917" s="126"/>
    </row>
    <row r="918" spans="27:27">
      <c r="AA918" s="126"/>
    </row>
    <row r="919" spans="27:27">
      <c r="AA919" s="126"/>
    </row>
    <row r="920" spans="27:27">
      <c r="AA920" s="126"/>
    </row>
    <row r="921" spans="27:27">
      <c r="AA921" s="126"/>
    </row>
    <row r="922" spans="27:27">
      <c r="AA922" s="241"/>
    </row>
    <row r="923" spans="27:27">
      <c r="AA923" s="126"/>
    </row>
    <row r="924" spans="27:27">
      <c r="AA924" s="126"/>
    </row>
    <row r="925" spans="27:27">
      <c r="AA925" s="126"/>
    </row>
    <row r="926" spans="27:27">
      <c r="AA926" s="126"/>
    </row>
    <row r="927" spans="27:27">
      <c r="AA927" s="126"/>
    </row>
    <row r="928" spans="27:27">
      <c r="AA928" s="126"/>
    </row>
    <row r="929" spans="27:27">
      <c r="AA929" s="126"/>
    </row>
    <row r="930" spans="27:27">
      <c r="AA930" s="126"/>
    </row>
    <row r="931" spans="27:27">
      <c r="AA931" s="126"/>
    </row>
    <row r="932" spans="27:27">
      <c r="AA932" s="126"/>
    </row>
    <row r="933" spans="27:27">
      <c r="AA933" s="126"/>
    </row>
    <row r="934" spans="27:27">
      <c r="AA934" s="126"/>
    </row>
    <row r="935" spans="27:27">
      <c r="AA935" s="126"/>
    </row>
    <row r="936" spans="27:27">
      <c r="AA936" s="264"/>
    </row>
    <row r="937" spans="27:27">
      <c r="AA937" s="126"/>
    </row>
    <row r="938" spans="27:27">
      <c r="AA938" s="126"/>
    </row>
    <row r="939" spans="27:27">
      <c r="AA939" s="126"/>
    </row>
    <row r="940" spans="27:27">
      <c r="AA940" s="126"/>
    </row>
    <row r="941" spans="27:27">
      <c r="AA941" s="126"/>
    </row>
    <row r="942" spans="27:27">
      <c r="AA942" s="126"/>
    </row>
    <row r="943" spans="27:27">
      <c r="AA943" s="126"/>
    </row>
    <row r="944" spans="27:27">
      <c r="AA944" s="126"/>
    </row>
    <row r="946" spans="27:27">
      <c r="AA946" s="126"/>
    </row>
    <row r="947" spans="27:27">
      <c r="AA947" s="126"/>
    </row>
    <row r="948" spans="27:27">
      <c r="AA948" s="264"/>
    </row>
    <row r="949" spans="27:27">
      <c r="AA949" s="126"/>
    </row>
    <row r="950" spans="27:27">
      <c r="AA950" s="264"/>
    </row>
    <row r="951" spans="27:27">
      <c r="AA951" s="126"/>
    </row>
    <row r="952" spans="27:27">
      <c r="AA952" s="126"/>
    </row>
    <row r="953" spans="27:27">
      <c r="AA953" s="126"/>
    </row>
    <row r="954" spans="27:27">
      <c r="AA954" s="264"/>
    </row>
    <row r="955" spans="27:27">
      <c r="AA955" s="123"/>
    </row>
    <row r="957" spans="27:27">
      <c r="AA957" s="126"/>
    </row>
    <row r="958" spans="27:27">
      <c r="AA958" s="264"/>
    </row>
    <row r="959" spans="27:27">
      <c r="AA959" s="126"/>
    </row>
    <row r="960" spans="27:27">
      <c r="AA960" s="126"/>
    </row>
    <row r="961" spans="27:27">
      <c r="AA961" s="264"/>
    </row>
    <row r="962" spans="27:27">
      <c r="AA962" s="126"/>
    </row>
    <row r="963" spans="27:27">
      <c r="AA963" s="126"/>
    </row>
    <row r="964" spans="27:27">
      <c r="AA964" s="126"/>
    </row>
    <row r="965" spans="27:27">
      <c r="AA965" s="126"/>
    </row>
    <row r="966" spans="27:27">
      <c r="AA966" s="126"/>
    </row>
    <row r="967" spans="27:27">
      <c r="AA967" s="264"/>
    </row>
    <row r="968" spans="27:27">
      <c r="AA968" s="126"/>
    </row>
    <row r="969" spans="27:27">
      <c r="AA969" s="126"/>
    </row>
    <row r="970" spans="27:27">
      <c r="AA970" s="126"/>
    </row>
    <row r="971" spans="27:27">
      <c r="AA971" s="126"/>
    </row>
    <row r="973" spans="27:27">
      <c r="AA973" s="264"/>
    </row>
    <row r="974" spans="27:27">
      <c r="AA974" s="126"/>
    </row>
    <row r="975" spans="27:27">
      <c r="AA975" s="126"/>
    </row>
    <row r="976" spans="27:27">
      <c r="AA976" s="126"/>
    </row>
    <row r="977" spans="27:27">
      <c r="AA977" s="126"/>
    </row>
    <row r="978" spans="27:27">
      <c r="AA978" s="126"/>
    </row>
    <row r="979" spans="27:27">
      <c r="AA979" s="126"/>
    </row>
    <row r="980" spans="27:27">
      <c r="AA980" s="126"/>
    </row>
    <row r="981" spans="27:27">
      <c r="AA981" s="126"/>
    </row>
    <row r="982" spans="27:27">
      <c r="AA982" s="26"/>
    </row>
    <row r="983" spans="27:27">
      <c r="AA983" s="126"/>
    </row>
    <row r="984" spans="27:27">
      <c r="AA984" s="126"/>
    </row>
    <row r="985" spans="27:27">
      <c r="AA985" s="126"/>
    </row>
    <row r="986" spans="27:27">
      <c r="AA986" s="126"/>
    </row>
    <row r="987" spans="27:27">
      <c r="AA987" s="126"/>
    </row>
    <row r="988" spans="27:27">
      <c r="AA988" s="126"/>
    </row>
    <row r="989" spans="27:27">
      <c r="AA989" s="126"/>
    </row>
    <row r="990" spans="27:27">
      <c r="AA990" s="264"/>
    </row>
    <row r="991" spans="27:27">
      <c r="AA991" s="126"/>
    </row>
    <row r="992" spans="27:27">
      <c r="AA992" s="126"/>
    </row>
    <row r="993" spans="27:27">
      <c r="AA993" s="126"/>
    </row>
    <row r="994" spans="27:27">
      <c r="AA994" s="126"/>
    </row>
    <row r="995" spans="27:27">
      <c r="AA995" s="126"/>
    </row>
    <row r="996" spans="27:27">
      <c r="AA996" s="126"/>
    </row>
    <row r="997" spans="27:27">
      <c r="AA997" s="264"/>
    </row>
    <row r="998" spans="27:27">
      <c r="AA998" s="126"/>
    </row>
    <row r="999" spans="27:27">
      <c r="AA999" s="126"/>
    </row>
    <row r="1000" spans="27:27">
      <c r="AA1000" s="126"/>
    </row>
    <row r="1001" spans="27:27">
      <c r="AA1001" s="126"/>
    </row>
    <row r="1002" spans="27:27">
      <c r="AA1002" s="126"/>
    </row>
    <row r="1003" spans="27:27">
      <c r="AA1003" s="126"/>
    </row>
    <row r="1004" spans="27:27">
      <c r="AA1004" s="126"/>
    </row>
    <row r="1005" spans="27:27">
      <c r="AA1005" s="264"/>
    </row>
    <row r="1006" spans="27:27">
      <c r="AA1006" s="126"/>
    </row>
    <row r="1007" spans="27:27">
      <c r="AA1007" s="126"/>
    </row>
    <row r="1008" spans="27:27">
      <c r="AA1008" s="126"/>
    </row>
    <row r="1009" spans="27:27">
      <c r="AA1009" s="126"/>
    </row>
    <row r="1010" spans="27:27">
      <c r="AA1010" s="126"/>
    </row>
    <row r="1011" spans="27:27">
      <c r="AA1011" s="126"/>
    </row>
    <row r="1012" spans="27:27">
      <c r="AA1012" s="126"/>
    </row>
    <row r="1013" spans="27:27">
      <c r="AA1013" s="126"/>
    </row>
    <row r="1014" spans="27:27">
      <c r="AA1014" s="126"/>
    </row>
    <row r="1015" spans="27:27">
      <c r="AA1015" s="123"/>
    </row>
    <row r="1016" spans="27:27">
      <c r="AA1016" s="123"/>
    </row>
    <row r="1017" spans="27:27">
      <c r="AA1017" s="126"/>
    </row>
    <row r="1018" spans="27:27">
      <c r="AA1018" s="126"/>
    </row>
    <row r="1019" spans="27:27">
      <c r="AA1019" s="126"/>
    </row>
    <row r="1020" spans="27:27">
      <c r="AA1020" s="126"/>
    </row>
    <row r="1021" spans="27:27">
      <c r="AA1021" s="126"/>
    </row>
    <row r="1022" spans="27:27">
      <c r="AA1022" s="126"/>
    </row>
    <row r="1023" spans="27:27">
      <c r="AA1023" s="126"/>
    </row>
    <row r="1024" spans="27:27">
      <c r="AA1024" s="126"/>
    </row>
    <row r="1025" spans="27:27">
      <c r="AA1025" s="126"/>
    </row>
    <row r="1026" spans="27:27">
      <c r="AA1026" s="126"/>
    </row>
    <row r="1027" spans="27:27">
      <c r="AA1027" s="126"/>
    </row>
    <row r="1028" spans="27:27">
      <c r="AA1028" s="264"/>
    </row>
    <row r="1029" spans="27:27">
      <c r="AA1029" s="126"/>
    </row>
    <row r="1030" spans="27:27">
      <c r="AA1030" s="126"/>
    </row>
    <row r="1031" spans="27:27">
      <c r="AA1031" s="264"/>
    </row>
    <row r="1032" spans="27:27">
      <c r="AA1032" s="126"/>
    </row>
    <row r="1033" spans="27:27">
      <c r="AA1033" s="126"/>
    </row>
    <row r="1034" spans="27:27">
      <c r="AA1034" s="126"/>
    </row>
    <row r="1035" spans="27:27">
      <c r="AA1035" s="43"/>
    </row>
    <row r="1037" spans="27:27">
      <c r="AA1037" s="126"/>
    </row>
    <row r="1038" spans="27:27">
      <c r="AA1038" s="126"/>
    </row>
    <row r="1039" spans="27:27">
      <c r="AA1039" s="126"/>
    </row>
    <row r="1040" spans="27:27">
      <c r="AA1040" s="126"/>
    </row>
    <row r="1041" spans="27:27">
      <c r="AA1041" s="126"/>
    </row>
    <row r="1042" spans="27:27">
      <c r="AA1042" s="126"/>
    </row>
    <row r="1043" spans="27:27">
      <c r="AA1043" s="126"/>
    </row>
    <row r="1044" spans="27:27">
      <c r="AA1044" s="126"/>
    </row>
    <row r="1045" spans="27:27">
      <c r="AA1045" s="123"/>
    </row>
    <row r="1046" spans="27:27">
      <c r="AA1046" s="126"/>
    </row>
    <row r="1047" spans="27:27">
      <c r="AA1047" s="126"/>
    </row>
    <row r="1048" spans="27:27">
      <c r="AA1048" s="126"/>
    </row>
    <row r="1049" spans="27:27">
      <c r="AA1049" s="126"/>
    </row>
    <row r="1050" spans="27:27">
      <c r="AA1050" s="126"/>
    </row>
    <row r="1051" spans="27:27">
      <c r="AA1051" s="126"/>
    </row>
    <row r="1052" spans="27:27">
      <c r="AA1052" s="126"/>
    </row>
    <row r="1053" spans="27:27">
      <c r="AA1053" s="126"/>
    </row>
    <row r="1055" spans="27:27">
      <c r="AA1055" s="126"/>
    </row>
    <row r="1056" spans="27:27">
      <c r="AA1056" s="126"/>
    </row>
    <row r="1057" spans="27:27">
      <c r="AA1057" s="126"/>
    </row>
    <row r="1058" spans="27:27">
      <c r="AA1058" s="126"/>
    </row>
    <row r="1059" spans="27:27">
      <c r="AA1059" s="264"/>
    </row>
    <row r="1060" spans="27:27">
      <c r="AA1060" s="126"/>
    </row>
    <row r="1061" spans="27:27">
      <c r="AA1061" s="126"/>
    </row>
    <row r="1062" spans="27:27">
      <c r="AA1062" s="126"/>
    </row>
    <row r="1063" spans="27:27">
      <c r="AA1063" s="126"/>
    </row>
    <row r="1064" spans="27:27">
      <c r="AA1064" s="126"/>
    </row>
    <row r="1065" spans="27:27">
      <c r="AA1065" s="126"/>
    </row>
    <row r="1066" spans="27:27">
      <c r="AA1066" s="123"/>
    </row>
    <row r="1067" spans="27:27">
      <c r="AA1067" s="126"/>
    </row>
    <row r="1068" spans="27:27">
      <c r="AA1068" s="264"/>
    </row>
    <row r="1069" spans="27:27">
      <c r="AA1069" s="126"/>
    </row>
    <row r="1070" spans="27:27">
      <c r="AA1070" s="126"/>
    </row>
    <row r="1071" spans="27:27">
      <c r="AA1071" s="126"/>
    </row>
    <row r="1072" spans="27:27">
      <c r="AA1072" s="126"/>
    </row>
    <row r="1073" spans="27:27">
      <c r="AA1073" s="126"/>
    </row>
    <row r="1074" spans="27:27">
      <c r="AA1074" s="126"/>
    </row>
    <row r="1075" spans="27:27">
      <c r="AA1075" s="126"/>
    </row>
    <row r="1076" spans="27:27">
      <c r="AA1076" s="126"/>
    </row>
    <row r="1077" spans="27:27">
      <c r="AA1077" s="126"/>
    </row>
    <row r="1078" spans="27:27">
      <c r="AA1078" s="126"/>
    </row>
    <row r="1079" spans="27:27">
      <c r="AA1079" s="126"/>
    </row>
    <row r="1080" spans="27:27">
      <c r="AA1080" s="126"/>
    </row>
    <row r="1081" spans="27:27">
      <c r="AA1081" s="126"/>
    </row>
    <row r="1082" spans="27:27">
      <c r="AA1082" s="126"/>
    </row>
    <row r="1083" spans="27:27">
      <c r="AA1083" s="126"/>
    </row>
    <row r="1084" spans="27:27">
      <c r="AA1084" s="126"/>
    </row>
    <row r="1085" spans="27:27">
      <c r="AA1085" s="126"/>
    </row>
    <row r="1086" spans="27:27">
      <c r="AA1086" s="126"/>
    </row>
    <row r="1087" spans="27:27">
      <c r="AA1087" s="123"/>
    </row>
    <row r="1088" spans="27:27">
      <c r="AA1088" s="126"/>
    </row>
    <row r="1089" spans="27:27">
      <c r="AA1089" s="126"/>
    </row>
    <row r="1090" spans="27:27">
      <c r="AA1090" s="126"/>
    </row>
    <row r="1091" spans="27:27">
      <c r="AA1091" s="126"/>
    </row>
    <row r="1092" spans="27:27">
      <c r="AA1092" s="126"/>
    </row>
    <row r="1093" spans="27:27">
      <c r="AA1093" s="27"/>
    </row>
    <row r="1094" spans="27:27">
      <c r="AA1094" s="123"/>
    </row>
    <row r="1095" spans="27:27">
      <c r="AA1095" s="264"/>
    </row>
    <row r="1096" spans="27:27">
      <c r="AA1096" s="264"/>
    </row>
    <row r="1097" spans="27:27">
      <c r="AA1097" s="126"/>
    </row>
    <row r="1098" spans="27:27">
      <c r="AA1098" s="123"/>
    </row>
    <row r="1099" spans="27:27">
      <c r="AA1099" s="126"/>
    </row>
    <row r="1100" spans="27:27">
      <c r="AA1100" s="126"/>
    </row>
    <row r="1101" spans="27:27">
      <c r="AA1101" s="126"/>
    </row>
    <row r="1102" spans="27:27">
      <c r="AA1102" s="43"/>
    </row>
    <row r="1103" spans="27:27">
      <c r="AA1103" s="126"/>
    </row>
    <row r="1105" spans="27:27">
      <c r="AA1105" s="126"/>
    </row>
    <row r="1106" spans="27:27">
      <c r="AA1106" s="123"/>
    </row>
    <row r="1107" spans="27:27">
      <c r="AA1107" s="126"/>
    </row>
    <row r="1108" spans="27:27">
      <c r="AA1108" s="126"/>
    </row>
    <row r="1109" spans="27:27">
      <c r="AA1109" s="123"/>
    </row>
    <row r="1110" spans="27:27">
      <c r="AA1110" s="126"/>
    </row>
    <row r="1111" spans="27:27">
      <c r="AA1111" s="126"/>
    </row>
    <row r="1112" spans="27:27">
      <c r="AA1112" s="126"/>
    </row>
    <row r="1113" spans="27:27">
      <c r="AA1113" s="126"/>
    </row>
    <row r="1114" spans="27:27">
      <c r="AA1114" s="126"/>
    </row>
    <row r="1115" spans="27:27">
      <c r="AA1115" s="126"/>
    </row>
    <row r="1116" spans="27:27">
      <c r="AA1116" s="126"/>
    </row>
    <row r="1117" spans="27:27">
      <c r="AA1117" s="126"/>
    </row>
    <row r="1118" spans="27:27">
      <c r="AA1118" s="126"/>
    </row>
    <row r="1119" spans="27:27">
      <c r="AA1119" s="126"/>
    </row>
    <row r="1120" spans="27:27">
      <c r="AA1120" s="264"/>
    </row>
    <row r="1121" spans="27:27">
      <c r="AA1121" s="126"/>
    </row>
    <row r="1122" spans="27:27">
      <c r="AA1122" s="126"/>
    </row>
    <row r="1123" spans="27:27">
      <c r="AA1123" s="126"/>
    </row>
    <row r="1124" spans="27:27">
      <c r="AA1124" s="126"/>
    </row>
    <row r="1125" spans="27:27">
      <c r="AA1125" s="126"/>
    </row>
    <row r="1126" spans="27:27">
      <c r="AA1126" s="126"/>
    </row>
    <row r="1127" spans="27:27">
      <c r="AA1127" s="123"/>
    </row>
    <row r="1128" spans="27:27">
      <c r="AA1128" s="126"/>
    </row>
    <row r="1129" spans="27:27">
      <c r="AA1129" s="126"/>
    </row>
    <row r="1130" spans="27:27">
      <c r="AA1130" s="126"/>
    </row>
    <row r="1131" spans="27:27">
      <c r="AA1131" s="126"/>
    </row>
    <row r="1132" spans="27:27">
      <c r="AA1132" s="264"/>
    </row>
    <row r="1134" spans="27:27">
      <c r="AA1134" s="126"/>
    </row>
    <row r="1135" spans="27:27">
      <c r="AA1135" s="126"/>
    </row>
    <row r="1136" spans="27:27">
      <c r="AA1136" s="126"/>
    </row>
    <row r="1137" spans="27:27">
      <c r="AA1137" s="27"/>
    </row>
    <row r="1138" spans="27:27">
      <c r="AA1138" s="126"/>
    </row>
    <row r="1139" spans="27:27">
      <c r="AA1139" s="264"/>
    </row>
    <row r="1140" spans="27:27">
      <c r="AA1140" s="123"/>
    </row>
    <row r="1141" spans="27:27">
      <c r="AA1141" s="126"/>
    </row>
    <row r="1142" spans="27:27">
      <c r="AA1142" s="126"/>
    </row>
    <row r="1143" spans="27:27">
      <c r="AA1143" s="126"/>
    </row>
    <row r="1144" spans="27:27">
      <c r="AA1144" s="126"/>
    </row>
    <row r="1145" spans="27:27">
      <c r="AA1145" s="126"/>
    </row>
    <row r="1146" spans="27:27">
      <c r="AA1146" s="126"/>
    </row>
    <row r="1147" spans="27:27">
      <c r="AA1147" s="126"/>
    </row>
    <row r="1148" spans="27:27">
      <c r="AA1148" s="126"/>
    </row>
    <row r="1149" spans="27:27">
      <c r="AA1149" s="126"/>
    </row>
    <row r="1150" spans="27:27">
      <c r="AA1150" s="126"/>
    </row>
    <row r="1151" spans="27:27">
      <c r="AA1151" s="126"/>
    </row>
    <row r="1152" spans="27:27">
      <c r="AA1152" s="126"/>
    </row>
    <row r="1153" spans="27:27">
      <c r="AA1153" s="126"/>
    </row>
    <row r="1154" spans="27:27">
      <c r="AA1154" s="264"/>
    </row>
    <row r="1156" spans="27:27">
      <c r="AA1156" s="126"/>
    </row>
    <row r="1157" spans="27:27">
      <c r="AA1157" s="126"/>
    </row>
    <row r="1158" spans="27:27">
      <c r="AA1158" s="126"/>
    </row>
    <row r="1159" spans="27:27">
      <c r="AA1159" s="126"/>
    </row>
    <row r="1160" spans="27:27">
      <c r="AA1160" s="126"/>
    </row>
    <row r="1161" spans="27:27">
      <c r="AA1161" s="126"/>
    </row>
    <row r="1162" spans="27:27">
      <c r="AA1162" s="126"/>
    </row>
    <row r="1163" spans="27:27">
      <c r="AA1163" s="126"/>
    </row>
    <row r="1164" spans="27:27">
      <c r="AA1164" s="126"/>
    </row>
    <row r="1165" spans="27:27">
      <c r="AA1165" s="126"/>
    </row>
    <row r="1166" spans="27:27">
      <c r="AA1166" s="126"/>
    </row>
    <row r="1167" spans="27:27">
      <c r="AA1167" s="126"/>
    </row>
    <row r="1168" spans="27:27">
      <c r="AA1168" s="126"/>
    </row>
    <row r="1169" spans="27:27">
      <c r="AA1169" s="126"/>
    </row>
    <row r="1171" spans="27:27">
      <c r="AA1171" s="126"/>
    </row>
    <row r="1172" spans="27:27">
      <c r="AA1172" s="123"/>
    </row>
    <row r="1173" spans="27:27">
      <c r="AA1173" s="126"/>
    </row>
    <row r="1174" spans="27:27">
      <c r="AA1174" s="126"/>
    </row>
    <row r="1175" spans="27:27">
      <c r="AA1175" s="126"/>
    </row>
    <row r="1176" spans="27:27">
      <c r="AA1176" s="126"/>
    </row>
    <row r="1177" spans="27:27">
      <c r="AA1177" s="126"/>
    </row>
    <row r="1178" spans="27:27">
      <c r="AA1178" s="126"/>
    </row>
    <row r="1180" spans="27:27">
      <c r="AA1180" s="126"/>
    </row>
    <row r="1181" spans="27:27">
      <c r="AA1181" s="126"/>
    </row>
    <row r="1182" spans="27:27">
      <c r="AA1182" s="126"/>
    </row>
    <row r="1183" spans="27:27">
      <c r="AA1183" s="126"/>
    </row>
    <row r="1184" spans="27:27">
      <c r="AA1184" s="126"/>
    </row>
    <row r="1185" spans="27:27">
      <c r="AA1185" s="126"/>
    </row>
    <row r="1186" spans="27:27">
      <c r="AA1186" s="126"/>
    </row>
    <row r="1187" spans="27:27">
      <c r="AA1187" s="126"/>
    </row>
    <row r="1188" spans="27:27">
      <c r="AA1188" s="126"/>
    </row>
    <row r="1189" spans="27:27">
      <c r="AA1189" s="123"/>
    </row>
    <row r="1190" spans="27:27">
      <c r="AA1190" s="126"/>
    </row>
    <row r="1191" spans="27:27">
      <c r="AA1191" s="126"/>
    </row>
    <row r="1192" spans="27:27">
      <c r="AA1192" s="126"/>
    </row>
    <row r="1194" spans="27:27">
      <c r="AA1194" s="126"/>
    </row>
    <row r="1195" spans="27:27">
      <c r="AA1195" s="126"/>
    </row>
    <row r="1196" spans="27:27">
      <c r="AA1196" s="264"/>
    </row>
    <row r="1197" spans="27:27">
      <c r="AA1197" s="126"/>
    </row>
    <row r="1198" spans="27:27">
      <c r="AA1198" s="264"/>
    </row>
    <row r="1199" spans="27:27">
      <c r="AA1199" s="126"/>
    </row>
    <row r="1200" spans="27:27">
      <c r="AA1200" s="126"/>
    </row>
    <row r="1201" spans="27:27">
      <c r="AA1201" s="126"/>
    </row>
    <row r="1202" spans="27:27">
      <c r="AA1202" s="264"/>
    </row>
    <row r="1203" spans="27:27">
      <c r="AA1203" s="264"/>
    </row>
    <row r="1204" spans="27:27">
      <c r="AA1204" s="126"/>
    </row>
    <row r="1205" spans="27:27">
      <c r="AA1205" s="126"/>
    </row>
    <row r="1206" spans="27:27">
      <c r="AA1206" s="126"/>
    </row>
    <row r="1207" spans="27:27">
      <c r="AA1207" s="126"/>
    </row>
    <row r="1208" spans="27:27">
      <c r="AA1208" s="264"/>
    </row>
    <row r="1209" spans="27:27">
      <c r="AA1209" s="126"/>
    </row>
    <row r="1210" spans="27:27">
      <c r="AA1210" s="264"/>
    </row>
    <row r="1211" spans="27:27">
      <c r="AA1211" s="126"/>
    </row>
    <row r="1212" spans="27:27">
      <c r="AA1212" s="264"/>
    </row>
    <row r="1213" spans="27:27">
      <c r="AA1213" s="126"/>
    </row>
    <row r="1214" spans="27:27">
      <c r="AA1214" s="126"/>
    </row>
    <row r="1215" spans="27:27">
      <c r="AA1215" s="126"/>
    </row>
    <row r="1216" spans="27:27">
      <c r="AA1216" s="126"/>
    </row>
    <row r="1217" spans="27:27">
      <c r="AA1217" s="126"/>
    </row>
    <row r="1218" spans="27:27">
      <c r="AA1218" s="126"/>
    </row>
    <row r="1219" spans="27:27">
      <c r="AA1219" s="126"/>
    </row>
    <row r="1220" spans="27:27">
      <c r="AA1220" s="126"/>
    </row>
    <row r="1221" spans="27:27">
      <c r="AA1221" s="126"/>
    </row>
    <row r="1222" spans="27:27">
      <c r="AA1222" s="126"/>
    </row>
    <row r="1223" spans="27:27">
      <c r="AA1223" s="126"/>
    </row>
    <row r="1224" spans="27:27">
      <c r="AA1224" s="126"/>
    </row>
    <row r="1225" spans="27:27">
      <c r="AA1225" s="126"/>
    </row>
    <row r="1226" spans="27:27">
      <c r="AA1226" s="126"/>
    </row>
    <row r="1227" spans="27:27">
      <c r="AA1227" s="126"/>
    </row>
    <row r="1228" spans="27:27">
      <c r="AA1228" s="126"/>
    </row>
    <row r="1229" spans="27:27">
      <c r="AA1229" s="264"/>
    </row>
    <row r="1230" spans="27:27">
      <c r="AA1230" s="126"/>
    </row>
    <row r="1231" spans="27:27">
      <c r="AA1231" s="126"/>
    </row>
    <row r="1232" spans="27:27">
      <c r="AA1232" s="126"/>
    </row>
    <row r="1233" spans="27:27">
      <c r="AA1233" s="126"/>
    </row>
    <row r="1234" spans="27:27">
      <c r="AA1234" s="126"/>
    </row>
    <row r="1235" spans="27:27">
      <c r="AA1235" s="126"/>
    </row>
    <row r="1236" spans="27:27">
      <c r="AA1236" s="126"/>
    </row>
    <row r="1237" spans="27:27">
      <c r="AA1237" s="264"/>
    </row>
    <row r="1238" spans="27:27">
      <c r="AA1238" s="126"/>
    </row>
    <row r="1239" spans="27:27">
      <c r="AA1239" s="126"/>
    </row>
    <row r="1240" spans="27:27">
      <c r="AA1240" s="126"/>
    </row>
    <row r="1241" spans="27:27">
      <c r="AA1241" s="126"/>
    </row>
    <row r="1242" spans="27:27">
      <c r="AA1242" s="126"/>
    </row>
    <row r="1243" spans="27:27">
      <c r="AA1243" s="126"/>
    </row>
    <row r="1244" spans="27:27">
      <c r="AA1244" s="126"/>
    </row>
    <row r="1245" spans="27:27">
      <c r="AA1245" s="126"/>
    </row>
    <row r="1246" spans="27:27">
      <c r="AA1246" s="126"/>
    </row>
    <row r="1247" spans="27:27">
      <c r="AA1247" s="126"/>
    </row>
    <row r="1248" spans="27:27">
      <c r="AA1248" s="123"/>
    </row>
    <row r="1249" spans="27:27">
      <c r="AA1249" s="126"/>
    </row>
    <row r="1250" spans="27:27">
      <c r="AA1250" s="126"/>
    </row>
    <row r="1251" spans="27:27">
      <c r="AA1251" s="264"/>
    </row>
    <row r="1252" spans="27:27">
      <c r="AA1252" s="126"/>
    </row>
    <row r="1253" spans="27:27">
      <c r="AA1253" s="126"/>
    </row>
    <row r="1254" spans="27:27">
      <c r="AA1254" s="126"/>
    </row>
    <row r="1255" spans="27:27">
      <c r="AA1255" s="126"/>
    </row>
    <row r="1256" spans="27:27">
      <c r="AA1256" s="126"/>
    </row>
    <row r="1257" spans="27:27">
      <c r="AA1257" s="126"/>
    </row>
    <row r="1258" spans="27:27">
      <c r="AA1258" s="126"/>
    </row>
    <row r="1259" spans="27:27">
      <c r="AA1259" s="264"/>
    </row>
    <row r="1260" spans="27:27">
      <c r="AA1260" s="264"/>
    </row>
    <row r="1261" spans="27:27">
      <c r="AA1261" s="126"/>
    </row>
    <row r="1262" spans="27:27">
      <c r="AA1262" s="264"/>
    </row>
    <row r="1263" spans="27:27">
      <c r="AA1263" s="126"/>
    </row>
    <row r="1264" spans="27:27">
      <c r="AA1264" s="126"/>
    </row>
    <row r="1265" spans="27:27">
      <c r="AA1265" s="126"/>
    </row>
    <row r="1266" spans="27:27">
      <c r="AA1266" s="126"/>
    </row>
    <row r="1267" spans="27:27">
      <c r="AA1267" s="126"/>
    </row>
    <row r="1268" spans="27:27">
      <c r="AA1268" s="126"/>
    </row>
    <row r="1269" spans="27:27">
      <c r="AA1269" s="126"/>
    </row>
    <row r="1270" spans="27:27">
      <c r="AA1270" s="264"/>
    </row>
    <row r="1271" spans="27:27">
      <c r="AA1271" s="126"/>
    </row>
    <row r="1272" spans="27:27">
      <c r="AA1272" s="126"/>
    </row>
    <row r="1273" spans="27:27">
      <c r="AA1273" s="126"/>
    </row>
    <row r="1274" spans="27:27">
      <c r="AA1274" s="126"/>
    </row>
    <row r="1275" spans="27:27">
      <c r="AA1275" s="126"/>
    </row>
    <row r="1276" spans="27:27">
      <c r="AA1276" s="126"/>
    </row>
    <row r="1277" spans="27:27">
      <c r="AA1277" s="126"/>
    </row>
    <row r="1278" spans="27:27">
      <c r="AA1278" s="126"/>
    </row>
    <row r="1279" spans="27:27">
      <c r="AA1279" s="126"/>
    </row>
    <row r="1280" spans="27:27">
      <c r="AA1280" s="126"/>
    </row>
    <row r="1281" spans="27:27">
      <c r="AA1281" s="126"/>
    </row>
    <row r="1282" spans="27:27">
      <c r="AA1282" s="127"/>
    </row>
    <row r="1283" spans="27:27">
      <c r="AA1283" s="126"/>
    </row>
    <row r="1284" spans="27:27">
      <c r="AA1284" s="126"/>
    </row>
    <row r="1285" spans="27:27">
      <c r="AA1285" s="126"/>
    </row>
    <row r="1286" spans="27:27">
      <c r="AA1286" s="126"/>
    </row>
    <row r="1287" spans="27:27">
      <c r="AA1287" s="126"/>
    </row>
    <row r="1288" spans="27:27">
      <c r="AA1288" s="126"/>
    </row>
    <row r="1289" spans="27:27">
      <c r="AA1289" s="126"/>
    </row>
    <row r="1290" spans="27:27">
      <c r="AA1290" s="264"/>
    </row>
    <row r="1291" spans="27:27">
      <c r="AA1291" s="126"/>
    </row>
    <row r="1292" spans="27:27">
      <c r="AA1292" s="126"/>
    </row>
    <row r="1293" spans="27:27">
      <c r="AA1293" s="126"/>
    </row>
    <row r="1294" spans="27:27">
      <c r="AA1294" s="126"/>
    </row>
    <row r="1295" spans="27:27">
      <c r="AA1295" s="126"/>
    </row>
    <row r="1296" spans="27:27">
      <c r="AA1296" s="126"/>
    </row>
    <row r="1297" spans="27:27">
      <c r="AA1297" s="126"/>
    </row>
    <row r="1298" spans="27:27">
      <c r="AA1298" s="126"/>
    </row>
    <row r="1299" spans="27:27">
      <c r="AA1299" s="126"/>
    </row>
    <row r="1300" spans="27:27">
      <c r="AA1300" s="126"/>
    </row>
    <row r="1301" spans="27:27">
      <c r="AA1301" s="126"/>
    </row>
    <row r="1302" spans="27:27">
      <c r="AA1302" s="126"/>
    </row>
    <row r="1303" spans="27:27">
      <c r="AA1303" s="126"/>
    </row>
    <row r="1304" spans="27:27">
      <c r="AA1304" s="126"/>
    </row>
    <row r="1305" spans="27:27">
      <c r="AA1305" s="264"/>
    </row>
    <row r="1306" spans="27:27">
      <c r="AA1306" s="264"/>
    </row>
    <row r="1307" spans="27:27">
      <c r="AA1307" s="126"/>
    </row>
    <row r="1308" spans="27:27">
      <c r="AA1308" s="126"/>
    </row>
    <row r="1309" spans="27:27">
      <c r="AA1309" s="126"/>
    </row>
    <row r="1310" spans="27:27">
      <c r="AA1310" s="126"/>
    </row>
    <row r="1311" spans="27:27">
      <c r="AA1311" s="126"/>
    </row>
    <row r="1312" spans="27:27">
      <c r="AA1312" s="126"/>
    </row>
    <row r="1313" spans="27:27">
      <c r="AA1313" s="126"/>
    </row>
    <row r="1314" spans="27:27">
      <c r="AA1314" s="126"/>
    </row>
    <row r="1315" spans="27:27">
      <c r="AA1315" s="126"/>
    </row>
    <row r="1316" spans="27:27">
      <c r="AA1316" s="264"/>
    </row>
    <row r="1317" spans="27:27">
      <c r="AA1317" s="126"/>
    </row>
    <row r="1318" spans="27:27">
      <c r="AA1318" s="126"/>
    </row>
    <row r="1319" spans="27:27">
      <c r="AA1319" s="126"/>
    </row>
    <row r="1320" spans="27:27">
      <c r="AA1320" s="126"/>
    </row>
    <row r="1321" spans="27:27">
      <c r="AA1321" s="126"/>
    </row>
    <row r="1322" spans="27:27">
      <c r="AA1322" s="126"/>
    </row>
    <row r="1323" spans="27:27">
      <c r="AA1323" s="123"/>
    </row>
    <row r="1324" spans="27:27">
      <c r="AA1324" s="126"/>
    </row>
    <row r="1326" spans="27:27">
      <c r="AA1326" s="126"/>
    </row>
    <row r="1327" spans="27:27">
      <c r="AA1327" s="264"/>
    </row>
    <row r="1328" spans="27:27">
      <c r="AA1328" s="126"/>
    </row>
    <row r="1329" spans="27:27">
      <c r="AA1329" s="126"/>
    </row>
    <row r="1330" spans="27:27">
      <c r="AA1330" s="126"/>
    </row>
    <row r="1331" spans="27:27">
      <c r="AA1331" s="126"/>
    </row>
    <row r="1332" spans="27:27">
      <c r="AA1332" s="126"/>
    </row>
    <row r="1333" spans="27:27">
      <c r="AA1333" s="126"/>
    </row>
    <row r="1334" spans="27:27">
      <c r="AA1334" s="126"/>
    </row>
    <row r="1335" spans="27:27">
      <c r="AA1335" s="126"/>
    </row>
    <row r="1336" spans="27:27">
      <c r="AA1336" s="126"/>
    </row>
    <row r="1337" spans="27:27">
      <c r="AA1337" s="126"/>
    </row>
    <row r="1338" spans="27:27">
      <c r="AA1338" s="126"/>
    </row>
    <row r="1339" spans="27:27">
      <c r="AA1339" s="126"/>
    </row>
    <row r="1340" spans="27:27">
      <c r="AA1340" s="126"/>
    </row>
    <row r="1341" spans="27:27">
      <c r="AA1341" s="126"/>
    </row>
    <row r="1342" spans="27:27">
      <c r="AA1342" s="126"/>
    </row>
    <row r="1343" spans="27:27">
      <c r="AA1343" s="126"/>
    </row>
    <row r="1344" spans="27:27">
      <c r="AA1344" s="126"/>
    </row>
    <row r="1345" spans="27:27">
      <c r="AA1345" s="126"/>
    </row>
    <row r="1346" spans="27:27">
      <c r="AA1346" s="126"/>
    </row>
    <row r="1347" spans="27:27">
      <c r="AA1347" s="126"/>
    </row>
    <row r="1348" spans="27:27">
      <c r="AA1348" s="126"/>
    </row>
    <row r="1349" spans="27:27">
      <c r="AA1349" s="126"/>
    </row>
    <row r="1350" spans="27:27">
      <c r="AA1350" s="126"/>
    </row>
    <row r="1352" spans="27:27">
      <c r="AA1352" s="126"/>
    </row>
    <row r="1353" spans="27:27">
      <c r="AA1353" s="126"/>
    </row>
    <row r="1354" spans="27:27">
      <c r="AA1354" s="126"/>
    </row>
    <row r="1355" spans="27:27">
      <c r="AA1355" s="126"/>
    </row>
    <row r="1356" spans="27:27">
      <c r="AA1356" s="126"/>
    </row>
    <row r="1357" spans="27:27">
      <c r="AA1357" s="126"/>
    </row>
    <row r="1358" spans="27:27">
      <c r="AA1358" s="126"/>
    </row>
    <row r="1359" spans="27:27">
      <c r="AA1359" s="126"/>
    </row>
    <row r="1360" spans="27:27">
      <c r="AA1360" s="51"/>
    </row>
    <row r="1361" spans="27:27">
      <c r="AA1361" s="126"/>
    </row>
    <row r="1362" spans="27:27">
      <c r="AA1362" s="126"/>
    </row>
    <row r="1363" spans="27:27">
      <c r="AA1363" s="126"/>
    </row>
    <row r="1364" spans="27:27">
      <c r="AA1364" s="126"/>
    </row>
    <row r="1365" spans="27:27">
      <c r="AA1365" s="126"/>
    </row>
    <row r="1366" spans="27:27">
      <c r="AA1366" s="126"/>
    </row>
    <row r="1367" spans="27:27">
      <c r="AA1367" s="126"/>
    </row>
    <row r="1368" spans="27:27">
      <c r="AA1368" s="126"/>
    </row>
    <row r="1369" spans="27:27">
      <c r="AA1369" s="126"/>
    </row>
    <row r="1370" spans="27:27">
      <c r="AA1370" s="126"/>
    </row>
    <row r="1371" spans="27:27">
      <c r="AA1371" s="264"/>
    </row>
    <row r="1372" spans="27:27">
      <c r="AA1372" s="26"/>
    </row>
    <row r="1373" spans="27:27">
      <c r="AA1373" s="264"/>
    </row>
    <row r="1374" spans="27:27">
      <c r="AA1374" s="126"/>
    </row>
    <row r="1375" spans="27:27">
      <c r="AA1375" s="126"/>
    </row>
    <row r="1376" spans="27:27">
      <c r="AA1376" s="126"/>
    </row>
    <row r="1377" spans="27:27">
      <c r="AA1377" s="126"/>
    </row>
    <row r="1378" spans="27:27">
      <c r="AA1378" s="126"/>
    </row>
    <row r="1379" spans="27:27">
      <c r="AA1379" s="126"/>
    </row>
    <row r="1380" spans="27:27">
      <c r="AA1380" s="126"/>
    </row>
    <row r="1381" spans="27:27">
      <c r="AA1381" s="126"/>
    </row>
    <row r="1382" spans="27:27">
      <c r="AA1382" s="126"/>
    </row>
    <row r="1383" spans="27:27">
      <c r="AA1383" s="126"/>
    </row>
    <row r="1384" spans="27:27">
      <c r="AA1384" s="126"/>
    </row>
    <row r="1385" spans="27:27">
      <c r="AA1385" s="126"/>
    </row>
    <row r="1386" spans="27:27">
      <c r="AA1386" s="126"/>
    </row>
    <row r="1387" spans="27:27">
      <c r="AA1387" s="126"/>
    </row>
    <row r="1388" spans="27:27">
      <c r="AA1388" s="126"/>
    </row>
    <row r="1389" spans="27:27">
      <c r="AA1389" s="126"/>
    </row>
    <row r="1390" spans="27:27">
      <c r="AA1390" s="126"/>
    </row>
    <row r="1391" spans="27:27">
      <c r="AA1391" s="126"/>
    </row>
    <row r="1392" spans="27:27">
      <c r="AA1392" s="126"/>
    </row>
    <row r="1393" spans="27:27">
      <c r="AA1393" s="126"/>
    </row>
    <row r="1394" spans="27:27">
      <c r="AA1394" s="126"/>
    </row>
    <row r="1395" spans="27:27">
      <c r="AA1395" s="264"/>
    </row>
    <row r="1396" spans="27:27">
      <c r="AA1396" s="264"/>
    </row>
    <row r="1397" spans="27:27">
      <c r="AA1397" s="27"/>
    </row>
    <row r="1398" spans="27:27">
      <c r="AA1398" s="126"/>
    </row>
    <row r="1399" spans="27:27">
      <c r="AA1399" s="126"/>
    </row>
    <row r="1400" spans="27:27">
      <c r="AA1400" s="126"/>
    </row>
    <row r="1401" spans="27:27">
      <c r="AA1401" s="126"/>
    </row>
    <row r="1402" spans="27:27">
      <c r="AA1402" s="126"/>
    </row>
    <row r="1403" spans="27:27">
      <c r="AA1403" s="126"/>
    </row>
    <row r="1404" spans="27:27">
      <c r="AA1404" s="126"/>
    </row>
    <row r="1405" spans="27:27">
      <c r="AA1405" s="126"/>
    </row>
    <row r="1406" spans="27:27">
      <c r="AA1406" s="126"/>
    </row>
    <row r="1407" spans="27:27">
      <c r="AA1407" s="126"/>
    </row>
    <row r="1408" spans="27:27">
      <c r="AA1408" s="126"/>
    </row>
    <row r="1409" spans="27:27">
      <c r="AA1409" s="126"/>
    </row>
    <row r="1410" spans="27:27">
      <c r="AA1410" s="126"/>
    </row>
    <row r="1411" spans="27:27">
      <c r="AA1411" s="264"/>
    </row>
    <row r="1412" spans="27:27">
      <c r="AA1412" s="126"/>
    </row>
    <row r="1413" spans="27:27">
      <c r="AA1413" s="126"/>
    </row>
    <row r="1414" spans="27:27">
      <c r="AA1414" s="126"/>
    </row>
    <row r="1415" spans="27:27">
      <c r="AA1415" s="126"/>
    </row>
    <row r="1416" spans="27:27">
      <c r="AA1416" s="126"/>
    </row>
    <row r="1417" spans="27:27">
      <c r="AA1417" s="126"/>
    </row>
    <row r="1418" spans="27:27">
      <c r="AA1418" s="126"/>
    </row>
    <row r="1419" spans="27:27">
      <c r="AA1419" s="126"/>
    </row>
    <row r="1420" spans="27:27">
      <c r="AA1420" s="126"/>
    </row>
    <row r="1421" spans="27:27">
      <c r="AA1421" s="126"/>
    </row>
    <row r="1422" spans="27:27">
      <c r="AA1422" s="126"/>
    </row>
    <row r="1423" spans="27:27">
      <c r="AA1423" s="27"/>
    </row>
    <row r="1424" spans="27:27">
      <c r="AA1424" s="126"/>
    </row>
    <row r="1425" spans="27:27">
      <c r="AA1425" s="126"/>
    </row>
    <row r="1426" spans="27:27">
      <c r="AA1426" s="126"/>
    </row>
    <row r="1427" spans="27:27">
      <c r="AA1427" s="126"/>
    </row>
    <row r="1428" spans="27:27">
      <c r="AA1428" s="126"/>
    </row>
    <row r="1429" spans="27:27">
      <c r="AA1429" s="126"/>
    </row>
    <row r="1430" spans="27:27">
      <c r="AA1430" s="123"/>
    </row>
    <row r="1431" spans="27:27">
      <c r="AA1431" s="126"/>
    </row>
    <row r="1432" spans="27:27">
      <c r="AA1432" s="126"/>
    </row>
    <row r="1433" spans="27:27">
      <c r="AA1433" s="126"/>
    </row>
    <row r="1434" spans="27:27">
      <c r="AA1434" s="126"/>
    </row>
    <row r="1435" spans="27:27">
      <c r="AA1435" s="126"/>
    </row>
    <row r="1436" spans="27:27">
      <c r="AA1436" s="126"/>
    </row>
    <row r="1437" spans="27:27">
      <c r="AA1437" s="126"/>
    </row>
    <row r="1438" spans="27:27">
      <c r="AA1438" s="126"/>
    </row>
    <row r="1439" spans="27:27">
      <c r="AA1439" s="126"/>
    </row>
    <row r="1440" spans="27:27">
      <c r="AA1440" s="126"/>
    </row>
    <row r="1441" spans="27:27">
      <c r="AA1441" s="126"/>
    </row>
    <row r="1442" spans="27:27">
      <c r="AA1442" s="126"/>
    </row>
    <row r="1443" spans="27:27">
      <c r="AA1443" s="126"/>
    </row>
    <row r="1444" spans="27:27">
      <c r="AA1444" s="126"/>
    </row>
    <row r="1445" spans="27:27">
      <c r="AA1445" s="126"/>
    </row>
    <row r="1446" spans="27:27">
      <c r="AA1446" s="126"/>
    </row>
    <row r="1447" spans="27:27">
      <c r="AA1447" s="126"/>
    </row>
    <row r="1448" spans="27:27">
      <c r="AA1448" s="126"/>
    </row>
    <row r="1449" spans="27:27">
      <c r="AA1449" s="126"/>
    </row>
    <row r="1450" spans="27:27">
      <c r="AA1450" s="126"/>
    </row>
    <row r="1451" spans="27:27">
      <c r="AA1451" s="126"/>
    </row>
    <row r="1452" spans="27:27">
      <c r="AA1452" s="126"/>
    </row>
    <row r="1453" spans="27:27">
      <c r="AA1453" s="126"/>
    </row>
    <row r="1454" spans="27:27">
      <c r="AA1454" s="126"/>
    </row>
    <row r="1455" spans="27:27">
      <c r="AA1455" s="126"/>
    </row>
    <row r="1456" spans="27:27">
      <c r="AA1456" s="126"/>
    </row>
    <row r="1457" spans="27:27">
      <c r="AA1457" s="126"/>
    </row>
    <row r="1458" spans="27:27">
      <c r="AA1458" s="126"/>
    </row>
    <row r="1459" spans="27:27">
      <c r="AA1459" s="126"/>
    </row>
    <row r="1460" spans="27:27">
      <c r="AA1460" s="126"/>
    </row>
    <row r="1461" spans="27:27">
      <c r="AA1461" s="126"/>
    </row>
    <row r="1462" spans="27:27">
      <c r="AA1462" s="126"/>
    </row>
    <row r="1463" spans="27:27">
      <c r="AA1463" s="126"/>
    </row>
    <row r="1464" spans="27:27">
      <c r="AA1464" s="126"/>
    </row>
    <row r="1465" spans="27:27">
      <c r="AA1465" s="126"/>
    </row>
    <row r="1466" spans="27:27">
      <c r="AA1466" s="126"/>
    </row>
    <row r="1467" spans="27:27">
      <c r="AA1467" s="126"/>
    </row>
    <row r="1468" spans="27:27">
      <c r="AA1468" s="126"/>
    </row>
    <row r="1469" spans="27:27">
      <c r="AA1469" s="126"/>
    </row>
    <row r="1470" spans="27:27">
      <c r="AA1470" s="264"/>
    </row>
    <row r="1471" spans="27:27">
      <c r="AA1471" s="126"/>
    </row>
    <row r="1472" spans="27:27">
      <c r="AA1472" s="126"/>
    </row>
    <row r="1473" spans="27:27">
      <c r="AA1473" s="126"/>
    </row>
    <row r="1474" spans="27:27">
      <c r="AA1474" s="126"/>
    </row>
    <row r="1475" spans="27:27">
      <c r="AA1475" s="266"/>
    </row>
    <row r="1476" spans="27:27">
      <c r="AA1476" s="126"/>
    </row>
    <row r="1477" spans="27:27">
      <c r="AA1477" s="126"/>
    </row>
    <row r="1478" spans="27:27">
      <c r="AA1478" s="126"/>
    </row>
    <row r="1479" spans="27:27">
      <c r="AA1479" s="126"/>
    </row>
    <row r="1480" spans="27:27">
      <c r="AA1480" s="126"/>
    </row>
    <row r="1481" spans="27:27">
      <c r="AA1481" s="126"/>
    </row>
    <row r="1482" spans="27:27">
      <c r="AA1482" s="224"/>
    </row>
    <row r="1483" spans="27:27">
      <c r="AA1483" s="126"/>
    </row>
    <row r="1484" spans="27:27">
      <c r="AA1484" s="126"/>
    </row>
    <row r="1485" spans="27:27">
      <c r="AA1485" s="126"/>
    </row>
    <row r="1486" spans="27:27">
      <c r="AA1486" s="126"/>
    </row>
    <row r="1487" spans="27:27">
      <c r="AA1487" s="126"/>
    </row>
    <row r="1488" spans="27:27">
      <c r="AA1488" s="126"/>
    </row>
    <row r="1489" spans="27:27">
      <c r="AA1489" s="126"/>
    </row>
    <row r="1490" spans="27:27">
      <c r="AA1490" s="126"/>
    </row>
    <row r="1491" spans="27:27">
      <c r="AA1491" s="126"/>
    </row>
    <row r="1492" spans="27:27">
      <c r="AA1492" s="126"/>
    </row>
    <row r="1493" spans="27:27">
      <c r="AA1493" s="264"/>
    </row>
    <row r="1494" spans="27:27">
      <c r="AA1494" s="126"/>
    </row>
    <row r="1495" spans="27:27">
      <c r="AA1495" s="126"/>
    </row>
    <row r="1496" spans="27:27">
      <c r="AA1496" s="126"/>
    </row>
    <row r="1497" spans="27:27">
      <c r="AA1497" s="126"/>
    </row>
    <row r="1498" spans="27:27">
      <c r="AA1498" s="126"/>
    </row>
    <row r="1499" spans="27:27">
      <c r="AA1499" s="126"/>
    </row>
    <row r="1500" spans="27:27">
      <c r="AA1500" s="126"/>
    </row>
    <row r="1501" spans="27:27">
      <c r="AA1501" s="126"/>
    </row>
    <row r="1502" spans="27:27">
      <c r="AA1502" s="126"/>
    </row>
    <row r="1503" spans="27:27">
      <c r="AA1503" s="126"/>
    </row>
    <row r="1504" spans="27:27">
      <c r="AA1504" s="126"/>
    </row>
    <row r="1505" spans="27:27">
      <c r="AA1505" s="264"/>
    </row>
    <row r="1506" spans="27:27">
      <c r="AA1506" s="126"/>
    </row>
    <row r="1507" spans="27:27">
      <c r="AA1507" s="27"/>
    </row>
    <row r="1508" spans="27:27">
      <c r="AA1508" s="264"/>
    </row>
    <row r="1509" spans="27:27">
      <c r="AA1509" s="126"/>
    </row>
    <row r="1510" spans="27:27">
      <c r="AA1510" s="126"/>
    </row>
    <row r="1511" spans="27:27">
      <c r="AA1511" s="126"/>
    </row>
    <row r="1512" spans="27:27">
      <c r="AA1512" s="126"/>
    </row>
    <row r="1513" spans="27:27">
      <c r="AA1513" s="264"/>
    </row>
    <row r="1514" spans="27:27">
      <c r="AA1514" s="126"/>
    </row>
    <row r="1515" spans="27:27">
      <c r="AA1515" s="126"/>
    </row>
    <row r="1516" spans="27:27">
      <c r="AA1516" s="126"/>
    </row>
    <row r="1517" spans="27:27">
      <c r="AA1517" s="126"/>
    </row>
    <row r="1518" spans="27:27">
      <c r="AA1518" s="126"/>
    </row>
    <row r="1519" spans="27:27">
      <c r="AA1519" s="126"/>
    </row>
    <row r="1520" spans="27:27">
      <c r="AA1520" s="126"/>
    </row>
    <row r="1521" spans="27:27">
      <c r="AA1521" s="126"/>
    </row>
    <row r="1522" spans="27:27">
      <c r="AA1522" s="126"/>
    </row>
    <row r="1523" spans="27:27">
      <c r="AA1523" s="126"/>
    </row>
    <row r="1524" spans="27:27">
      <c r="AA1524" s="126"/>
    </row>
    <row r="1525" spans="27:27">
      <c r="AA1525" s="126"/>
    </row>
    <row r="1526" spans="27:27">
      <c r="AA1526" s="126"/>
    </row>
    <row r="1527" spans="27:27">
      <c r="AA1527" s="126"/>
    </row>
    <row r="1528" spans="27:27">
      <c r="AA1528" s="126"/>
    </row>
    <row r="1529" spans="27:27">
      <c r="AA1529" s="126"/>
    </row>
    <row r="1530" spans="27:27">
      <c r="AA1530" s="126"/>
    </row>
    <row r="1531" spans="27:27">
      <c r="AA1531" s="126"/>
    </row>
    <row r="1532" spans="27:27">
      <c r="AA1532" s="126"/>
    </row>
    <row r="1533" spans="27:27">
      <c r="AA1533" s="264"/>
    </row>
    <row r="1534" spans="27:27">
      <c r="AA1534" s="126"/>
    </row>
    <row r="1535" spans="27:27">
      <c r="AA1535" s="126"/>
    </row>
    <row r="1536" spans="27:27">
      <c r="AA1536" s="126"/>
    </row>
    <row r="1537" spans="27:27">
      <c r="AA1537" s="126"/>
    </row>
    <row r="1538" spans="27:27">
      <c r="AA1538" s="126"/>
    </row>
    <row r="1539" spans="27:27">
      <c r="AA1539" s="126"/>
    </row>
    <row r="1540" spans="27:27">
      <c r="AA1540" s="126"/>
    </row>
    <row r="1541" spans="27:27">
      <c r="AA1541" s="126"/>
    </row>
    <row r="1542" spans="27:27">
      <c r="AA1542" s="126"/>
    </row>
    <row r="1543" spans="27:27">
      <c r="AA1543" s="126"/>
    </row>
    <row r="1544" spans="27:27">
      <c r="AA1544" s="126"/>
    </row>
    <row r="1545" spans="27:27">
      <c r="AA1545" s="126"/>
    </row>
    <row r="1546" spans="27:27">
      <c r="AA1546" s="126"/>
    </row>
    <row r="1547" spans="27:27">
      <c r="AA1547" s="126"/>
    </row>
    <row r="1548" spans="27:27">
      <c r="AA1548" s="126"/>
    </row>
    <row r="1549" spans="27:27">
      <c r="AA1549" s="126"/>
    </row>
    <row r="1550" spans="27:27">
      <c r="AA1550" s="126"/>
    </row>
    <row r="1551" spans="27:27">
      <c r="AA1551" s="126"/>
    </row>
    <row r="1552" spans="27:27">
      <c r="AA1552" s="126"/>
    </row>
    <row r="1553" spans="27:27">
      <c r="AA1553" s="126"/>
    </row>
    <row r="1554" spans="27:27">
      <c r="AA1554" s="126"/>
    </row>
    <row r="1555" spans="27:27">
      <c r="AA1555" s="126"/>
    </row>
    <row r="1556" spans="27:27">
      <c r="AA1556" s="126"/>
    </row>
    <row r="1557" spans="27:27">
      <c r="AA1557" s="126"/>
    </row>
    <row r="1558" spans="27:27">
      <c r="AA1558" s="126"/>
    </row>
    <row r="1559" spans="27:27">
      <c r="AA1559" s="126"/>
    </row>
    <row r="1560" spans="27:27">
      <c r="AA1560" s="126"/>
    </row>
    <row r="1561" spans="27:27">
      <c r="AA1561" s="126"/>
    </row>
    <row r="1562" spans="27:27">
      <c r="AA1562" s="126"/>
    </row>
    <row r="1563" spans="27:27">
      <c r="AA1563" s="126"/>
    </row>
    <row r="1564" spans="27:27">
      <c r="AA1564" s="126"/>
    </row>
    <row r="1565" spans="27:27">
      <c r="AA1565" s="126"/>
    </row>
    <row r="1566" spans="27:27">
      <c r="AA1566" s="126"/>
    </row>
    <row r="1567" spans="27:27">
      <c r="AA1567" s="126"/>
    </row>
    <row r="1568" spans="27:27">
      <c r="AA1568" s="126"/>
    </row>
    <row r="1569" spans="27:27">
      <c r="AA1569" s="126"/>
    </row>
    <row r="1570" spans="27:27">
      <c r="AA1570" s="126"/>
    </row>
    <row r="1571" spans="27:27">
      <c r="AA1571" s="126"/>
    </row>
    <row r="1572" spans="27:27">
      <c r="AA1572" s="264"/>
    </row>
    <row r="1573" spans="27:27">
      <c r="AA1573" s="126"/>
    </row>
    <row r="1574" spans="27:27">
      <c r="AA1574" s="126"/>
    </row>
    <row r="1575" spans="27:27">
      <c r="AA1575" s="126"/>
    </row>
    <row r="1576" spans="27:27">
      <c r="AA1576" s="126"/>
    </row>
    <row r="1577" spans="27:27">
      <c r="AA1577" s="126"/>
    </row>
    <row r="1578" spans="27:27">
      <c r="AA1578" s="126"/>
    </row>
    <row r="1579" spans="27:27">
      <c r="AA1579" s="126"/>
    </row>
    <row r="1580" spans="27:27">
      <c r="AA1580" s="126"/>
    </row>
    <row r="1581" spans="27:27">
      <c r="AA1581" s="126"/>
    </row>
    <row r="1582" spans="27:27">
      <c r="AA1582" s="126"/>
    </row>
    <row r="1583" spans="27:27">
      <c r="AA1583" s="126"/>
    </row>
    <row r="1584" spans="27:27">
      <c r="AA1584" s="126"/>
    </row>
    <row r="1585" spans="27:27">
      <c r="AA1585" s="126"/>
    </row>
    <row r="1586" spans="27:27">
      <c r="AA1586" s="126"/>
    </row>
    <row r="1587" spans="27:27">
      <c r="AA1587" s="126"/>
    </row>
    <row r="1588" spans="27:27">
      <c r="AA1588" s="126"/>
    </row>
    <row r="1589" spans="27:27">
      <c r="AA1589" s="126"/>
    </row>
    <row r="1590" spans="27:27">
      <c r="AA1590" s="126"/>
    </row>
    <row r="1591" spans="27:27">
      <c r="AA1591" s="126"/>
    </row>
    <row r="1592" spans="27:27">
      <c r="AA1592" s="126"/>
    </row>
    <row r="1593" spans="27:27">
      <c r="AA1593" s="126"/>
    </row>
    <row r="1594" spans="27:27">
      <c r="AA1594" s="126"/>
    </row>
    <row r="1595" spans="27:27">
      <c r="AA1595" s="126"/>
    </row>
    <row r="1596" spans="27:27">
      <c r="AA1596" s="126"/>
    </row>
    <row r="1597" spans="27:27">
      <c r="AA1597" s="126"/>
    </row>
    <row r="1598" spans="27:27">
      <c r="AA1598" s="126"/>
    </row>
    <row r="1599" spans="27:27">
      <c r="AA1599" s="126"/>
    </row>
    <row r="1600" spans="27:27">
      <c r="AA1600" s="126"/>
    </row>
    <row r="1601" spans="27:27">
      <c r="AA1601" s="126"/>
    </row>
    <row r="1602" spans="27:27">
      <c r="AA1602" s="126"/>
    </row>
    <row r="1603" spans="27:27">
      <c r="AA1603" s="126"/>
    </row>
    <row r="1604" spans="27:27">
      <c r="AA1604" s="126"/>
    </row>
    <row r="1605" spans="27:27">
      <c r="AA1605" s="123"/>
    </row>
    <row r="1606" spans="27:27">
      <c r="AA1606" s="126"/>
    </row>
    <row r="1607" spans="27:27">
      <c r="AA1607" s="126"/>
    </row>
    <row r="1608" spans="27:27">
      <c r="AA1608" s="126"/>
    </row>
    <row r="1609" spans="27:27">
      <c r="AA1609" s="126"/>
    </row>
    <row r="1610" spans="27:27">
      <c r="AA1610" s="126"/>
    </row>
    <row r="1611" spans="27:27">
      <c r="AA1611" s="126"/>
    </row>
    <row r="1612" spans="27:27">
      <c r="AA1612" s="126"/>
    </row>
    <row r="1613" spans="27:27">
      <c r="AA1613" s="126"/>
    </row>
    <row r="1614" spans="27:27">
      <c r="AA1614" s="126"/>
    </row>
    <row r="1615" spans="27:27">
      <c r="AA1615" s="126"/>
    </row>
    <row r="1616" spans="27:27">
      <c r="AA1616" s="126"/>
    </row>
    <row r="1617" spans="27:27">
      <c r="AA1617" s="126"/>
    </row>
    <row r="1618" spans="27:27">
      <c r="AA1618" s="126"/>
    </row>
    <row r="1619" spans="27:27">
      <c r="AA1619" s="264"/>
    </row>
    <row r="1620" spans="27:27">
      <c r="AA1620" s="126"/>
    </row>
    <row r="1621" spans="27:27">
      <c r="AA1621" s="126"/>
    </row>
    <row r="1622" spans="27:27">
      <c r="AA1622" s="126"/>
    </row>
    <row r="1623" spans="27:27">
      <c r="AA1623" s="126"/>
    </row>
    <row r="1624" spans="27:27">
      <c r="AA1624" s="126"/>
    </row>
    <row r="1625" spans="27:27">
      <c r="AA1625" s="126"/>
    </row>
    <row r="1626" spans="27:27">
      <c r="AA1626" s="126"/>
    </row>
    <row r="1627" spans="27:27">
      <c r="AA1627" s="126"/>
    </row>
    <row r="1628" spans="27:27">
      <c r="AA1628" s="126"/>
    </row>
    <row r="1629" spans="27:27">
      <c r="AA1629" s="126"/>
    </row>
    <row r="1630" spans="27:27">
      <c r="AA1630" s="126"/>
    </row>
    <row r="1631" spans="27:27">
      <c r="AA1631" s="126"/>
    </row>
    <row r="1632" spans="27:27">
      <c r="AA1632" s="126"/>
    </row>
    <row r="1633" spans="27:27">
      <c r="AA1633" s="126"/>
    </row>
    <row r="1634" spans="27:27">
      <c r="AA1634" s="27"/>
    </row>
    <row r="1635" spans="27:27">
      <c r="AA1635" s="126"/>
    </row>
    <row r="1636" spans="27:27">
      <c r="AA1636" s="126"/>
    </row>
    <row r="1637" spans="27:27">
      <c r="AA1637" s="126"/>
    </row>
    <row r="1638" spans="27:27">
      <c r="AA1638" s="126"/>
    </row>
    <row r="1639" spans="27:27">
      <c r="AA1639" s="126"/>
    </row>
    <row r="1640" spans="27:27">
      <c r="AA1640" s="126"/>
    </row>
    <row r="1641" spans="27:27">
      <c r="AA1641" s="126"/>
    </row>
    <row r="1642" spans="27:27">
      <c r="AA1642" s="126"/>
    </row>
    <row r="1643" spans="27:27">
      <c r="AA1643" s="126"/>
    </row>
    <row r="1644" spans="27:27">
      <c r="AA1644" s="126"/>
    </row>
    <row r="1645" spans="27:27">
      <c r="AA1645" s="126"/>
    </row>
    <row r="1646" spans="27:27">
      <c r="AA1646" s="126"/>
    </row>
    <row r="1647" spans="27:27">
      <c r="AA1647" s="126"/>
    </row>
    <row r="1648" spans="27:27">
      <c r="AA1648" s="264"/>
    </row>
    <row r="1649" spans="27:27">
      <c r="AA1649" s="126"/>
    </row>
    <row r="1650" spans="27:27">
      <c r="AA1650" s="126"/>
    </row>
    <row r="1651" spans="27:27">
      <c r="AA1651" s="126"/>
    </row>
    <row r="1652" spans="27:27">
      <c r="AA1652" s="126"/>
    </row>
    <row r="1653" spans="27:27">
      <c r="AA1653" s="126"/>
    </row>
    <row r="1654" spans="27:27">
      <c r="AA1654" s="126"/>
    </row>
    <row r="1655" spans="27:27">
      <c r="AA1655" s="126"/>
    </row>
    <row r="1656" spans="27:27">
      <c r="AA1656" s="126"/>
    </row>
    <row r="1657" spans="27:27">
      <c r="AA1657" s="126"/>
    </row>
    <row r="1658" spans="27:27">
      <c r="AA1658" s="126"/>
    </row>
    <row r="1659" spans="27:27">
      <c r="AA1659" s="264"/>
    </row>
    <row r="1660" spans="27:27">
      <c r="AA1660" s="126"/>
    </row>
    <row r="1661" spans="27:27">
      <c r="AA1661" s="126"/>
    </row>
    <row r="1662" spans="27:27">
      <c r="AA1662" s="264"/>
    </row>
    <row r="1663" spans="27:27">
      <c r="AA1663" s="126"/>
    </row>
    <row r="1664" spans="27:27">
      <c r="AA1664" s="126"/>
    </row>
    <row r="1665" spans="27:27">
      <c r="AA1665" s="126"/>
    </row>
    <row r="1666" spans="27:27">
      <c r="AA1666" s="126"/>
    </row>
    <row r="1667" spans="27:27">
      <c r="AA1667" s="126"/>
    </row>
    <row r="1668" spans="27:27">
      <c r="AA1668" s="126"/>
    </row>
    <row r="1669" spans="27:27">
      <c r="AA1669" s="126"/>
    </row>
    <row r="1670" spans="27:27">
      <c r="AA1670" s="126"/>
    </row>
    <row r="1671" spans="27:27">
      <c r="AA1671" s="126"/>
    </row>
    <row r="1672" spans="27:27">
      <c r="AA1672" s="126"/>
    </row>
    <row r="1673" spans="27:27">
      <c r="AA1673" s="126"/>
    </row>
    <row r="1674" spans="27:27">
      <c r="AA1674" s="126"/>
    </row>
    <row r="1675" spans="27:27">
      <c r="AA1675" s="126"/>
    </row>
    <row r="1676" spans="27:27">
      <c r="AA1676" s="126"/>
    </row>
    <row r="1677" spans="27:27">
      <c r="AA1677" s="126"/>
    </row>
    <row r="1678" spans="27:27">
      <c r="AA1678" s="126"/>
    </row>
    <row r="1679" spans="27:27">
      <c r="AA1679" s="126"/>
    </row>
    <row r="1680" spans="27:27">
      <c r="AA1680" s="126"/>
    </row>
    <row r="1681" spans="27:27">
      <c r="AA1681" s="126"/>
    </row>
    <row r="1682" spans="27:27">
      <c r="AA1682" s="126"/>
    </row>
    <row r="1683" spans="27:27">
      <c r="AA1683" s="126"/>
    </row>
    <row r="1684" spans="27:27">
      <c r="AA1684" s="126"/>
    </row>
    <row r="1685" spans="27:27">
      <c r="AA1685" s="264"/>
    </row>
    <row r="1686" spans="27:27">
      <c r="AA1686" s="126"/>
    </row>
    <row r="1687" spans="27:27">
      <c r="AA1687" s="126"/>
    </row>
    <row r="1688" spans="27:27">
      <c r="AA1688" s="126"/>
    </row>
    <row r="1689" spans="27:27">
      <c r="AA1689" s="126"/>
    </row>
    <row r="1690" spans="27:27">
      <c r="AA1690" s="126"/>
    </row>
    <row r="1691" spans="27:27">
      <c r="AA1691" s="126"/>
    </row>
    <row r="1692" spans="27:27">
      <c r="AA1692" s="126"/>
    </row>
    <row r="1693" spans="27:27">
      <c r="AA1693" s="126"/>
    </row>
    <row r="1694" spans="27:27">
      <c r="AA1694" s="126"/>
    </row>
    <row r="1695" spans="27:27">
      <c r="AA1695" s="126"/>
    </row>
    <row r="1696" spans="27:27">
      <c r="AA1696" s="126"/>
    </row>
    <row r="1697" spans="27:27">
      <c r="AA1697" s="126"/>
    </row>
    <row r="1698" spans="27:27">
      <c r="AA1698" s="126"/>
    </row>
    <row r="1699" spans="27:27">
      <c r="AA1699" s="126"/>
    </row>
    <row r="1700" spans="27:27">
      <c r="AA1700" s="126"/>
    </row>
    <row r="1701" spans="27:27">
      <c r="AA1701" s="126"/>
    </row>
    <row r="1702" spans="27:27">
      <c r="AA1702" s="126"/>
    </row>
    <row r="1703" spans="27:27">
      <c r="AA1703" s="126"/>
    </row>
    <row r="1704" spans="27:27">
      <c r="AA1704" s="126"/>
    </row>
    <row r="1705" spans="27:27">
      <c r="AA1705" s="126"/>
    </row>
    <row r="1706" spans="27:27">
      <c r="AA1706" s="126"/>
    </row>
    <row r="1707" spans="27:27">
      <c r="AA1707" s="126"/>
    </row>
    <row r="1708" spans="27:27">
      <c r="AA1708" s="126"/>
    </row>
    <row r="1709" spans="27:27">
      <c r="AA1709" s="126"/>
    </row>
    <row r="1710" spans="27:27">
      <c r="AA1710" s="126"/>
    </row>
    <row r="1711" spans="27:27">
      <c r="AA1711" s="126"/>
    </row>
    <row r="1712" spans="27:27">
      <c r="AA1712" s="126"/>
    </row>
    <row r="1713" spans="27:27">
      <c r="AA1713" s="126"/>
    </row>
    <row r="1714" spans="27:27">
      <c r="AA1714" s="126"/>
    </row>
    <row r="1715" spans="27:27">
      <c r="AA1715" s="126"/>
    </row>
    <row r="1716" spans="27:27">
      <c r="AA1716" s="126"/>
    </row>
    <row r="1717" spans="27:27">
      <c r="AA1717" s="126"/>
    </row>
    <row r="1718" spans="27:27">
      <c r="AA1718" s="264"/>
    </row>
    <row r="1719" spans="27:27">
      <c r="AA1719" s="264"/>
    </row>
    <row r="1720" spans="27:27">
      <c r="AA1720" s="126"/>
    </row>
    <row r="1721" spans="27:27">
      <c r="AA1721" s="126"/>
    </row>
    <row r="1722" spans="27:27">
      <c r="AA1722" s="126"/>
    </row>
    <row r="1723" spans="27:27">
      <c r="AA1723" s="126"/>
    </row>
    <row r="1724" spans="27:27">
      <c r="AA1724" s="126"/>
    </row>
    <row r="1725" spans="27:27">
      <c r="AA1725" s="126"/>
    </row>
    <row r="1726" spans="27:27">
      <c r="AA1726" s="126"/>
    </row>
    <row r="1727" spans="27:27">
      <c r="AA1727" s="126"/>
    </row>
    <row r="1728" spans="27:27">
      <c r="AA1728" s="264"/>
    </row>
    <row r="1729" spans="27:27">
      <c r="AA1729" s="126"/>
    </row>
    <row r="1730" spans="27:27">
      <c r="AA1730" s="126"/>
    </row>
    <row r="1731" spans="27:27">
      <c r="AA1731" s="126"/>
    </row>
    <row r="1732" spans="27:27">
      <c r="AA1732" s="126"/>
    </row>
    <row r="1733" spans="27:27">
      <c r="AA1733" s="126"/>
    </row>
    <row r="1734" spans="27:27">
      <c r="AA1734" s="126"/>
    </row>
    <row r="1735" spans="27:27">
      <c r="AA1735" s="126"/>
    </row>
    <row r="1736" spans="27:27">
      <c r="AA1736" s="126"/>
    </row>
    <row r="1737" spans="27:27">
      <c r="AA1737" s="126"/>
    </row>
    <row r="1738" spans="27:27">
      <c r="AA1738" s="264"/>
    </row>
    <row r="1739" spans="27:27">
      <c r="AA1739" s="126"/>
    </row>
    <row r="1740" spans="27:27">
      <c r="AA1740" s="126"/>
    </row>
    <row r="1741" spans="27:27">
      <c r="AA1741" s="126"/>
    </row>
    <row r="1742" spans="27:27">
      <c r="AA1742" s="264"/>
    </row>
    <row r="1743" spans="27:27">
      <c r="AA1743" s="126"/>
    </row>
    <row r="1744" spans="27:27">
      <c r="AA1744" s="126"/>
    </row>
    <row r="1745" spans="27:27">
      <c r="AA1745" s="126"/>
    </row>
    <row r="1746" spans="27:27">
      <c r="AA1746" s="126"/>
    </row>
    <row r="1747" spans="27:27">
      <c r="AA1747" s="126"/>
    </row>
    <row r="1748" spans="27:27">
      <c r="AA1748" s="126"/>
    </row>
    <row r="1749" spans="27:27">
      <c r="AA1749" s="126"/>
    </row>
    <row r="1750" spans="27:27">
      <c r="AA1750" s="126"/>
    </row>
    <row r="1751" spans="27:27">
      <c r="AA1751" s="126"/>
    </row>
    <row r="1752" spans="27:27">
      <c r="AA1752" s="126"/>
    </row>
    <row r="1753" spans="27:27">
      <c r="AA1753" s="126"/>
    </row>
    <row r="1754" spans="27:27">
      <c r="AA1754" s="126"/>
    </row>
    <row r="1755" spans="27:27">
      <c r="AA1755" s="126"/>
    </row>
    <row r="1756" spans="27:27">
      <c r="AA1756" s="126"/>
    </row>
    <row r="1757" spans="27:27">
      <c r="AA1757" s="126"/>
    </row>
    <row r="1758" spans="27:27">
      <c r="AA1758" s="126"/>
    </row>
    <row r="1759" spans="27:27">
      <c r="AA1759" s="126"/>
    </row>
    <row r="1760" spans="27:27">
      <c r="AA1760" s="126"/>
    </row>
    <row r="1761" spans="27:27">
      <c r="AA1761" s="126"/>
    </row>
    <row r="1762" spans="27:27">
      <c r="AA1762" s="126"/>
    </row>
    <row r="1763" spans="27:27">
      <c r="AA1763" s="126"/>
    </row>
    <row r="1765" spans="27:27">
      <c r="AA1765" s="126"/>
    </row>
    <row r="1766" spans="27:27">
      <c r="AA1766" s="126"/>
    </row>
    <row r="1767" spans="27:27">
      <c r="AA1767" s="126"/>
    </row>
    <row r="1768" spans="27:27">
      <c r="AA1768" s="126"/>
    </row>
    <row r="1769" spans="27:27">
      <c r="AA1769" s="126"/>
    </row>
    <row r="1770" spans="27:27">
      <c r="AA1770" s="126"/>
    </row>
    <row r="1771" spans="27:27">
      <c r="AA1771" s="126"/>
    </row>
    <row r="1772" spans="27:27">
      <c r="AA1772" s="126"/>
    </row>
    <row r="1773" spans="27:27">
      <c r="AA1773" s="126"/>
    </row>
    <row r="1774" spans="27:27">
      <c r="AA1774" s="126"/>
    </row>
    <row r="1775" spans="27:27">
      <c r="AA1775" s="126"/>
    </row>
    <row r="1776" spans="27:27">
      <c r="AA1776" s="126"/>
    </row>
    <row r="1777" spans="27:27">
      <c r="AA1777" s="126"/>
    </row>
    <row r="1778" spans="27:27">
      <c r="AA1778" s="126"/>
    </row>
    <row r="1779" spans="27:27">
      <c r="AA1779" s="126"/>
    </row>
    <row r="1780" spans="27:27">
      <c r="AA1780" s="126"/>
    </row>
    <row r="1781" spans="27:27">
      <c r="AA1781" s="126"/>
    </row>
    <row r="1782" spans="27:27">
      <c r="AA1782" s="126"/>
    </row>
    <row r="1783" spans="27:27">
      <c r="AA1783" s="126"/>
    </row>
    <row r="1784" spans="27:27">
      <c r="AA1784" s="126"/>
    </row>
    <row r="1785" spans="27:27">
      <c r="AA1785" s="126"/>
    </row>
    <row r="1786" spans="27:27">
      <c r="AA1786" s="126"/>
    </row>
    <row r="1787" spans="27:27">
      <c r="AA1787" s="126"/>
    </row>
    <row r="1788" spans="27:27">
      <c r="AA1788" s="126"/>
    </row>
    <row r="1789" spans="27:27">
      <c r="AA1789" s="126"/>
    </row>
    <row r="1790" spans="27:27">
      <c r="AA1790" s="126"/>
    </row>
    <row r="1791" spans="27:27">
      <c r="AA1791" s="126"/>
    </row>
    <row r="1792" spans="27:27">
      <c r="AA1792" s="126"/>
    </row>
    <row r="1793" spans="27:27">
      <c r="AA1793" s="126"/>
    </row>
    <row r="1794" spans="27:27">
      <c r="AA1794" s="126"/>
    </row>
    <row r="1795" spans="27:27">
      <c r="AA1795" s="126"/>
    </row>
    <row r="1796" spans="27:27">
      <c r="AA1796" s="126"/>
    </row>
    <row r="1797" spans="27:27">
      <c r="AA1797" s="126"/>
    </row>
    <row r="1798" spans="27:27">
      <c r="AA1798" s="126"/>
    </row>
    <row r="1799" spans="27:27">
      <c r="AA1799" s="126"/>
    </row>
    <row r="1800" spans="27:27">
      <c r="AA1800" s="126"/>
    </row>
    <row r="1801" spans="27:27">
      <c r="AA1801" s="126"/>
    </row>
    <row r="1802" spans="27:27">
      <c r="AA1802" s="126"/>
    </row>
    <row r="1803" spans="27:27">
      <c r="AA1803" s="126"/>
    </row>
    <row r="1804" spans="27:27">
      <c r="AA1804" s="126"/>
    </row>
    <row r="1805" spans="27:27">
      <c r="AA1805" s="126"/>
    </row>
    <row r="1806" spans="27:27">
      <c r="AA1806" s="126"/>
    </row>
    <row r="1807" spans="27:27">
      <c r="AA1807" s="126"/>
    </row>
    <row r="1808" spans="27:27">
      <c r="AA1808" s="126"/>
    </row>
    <row r="1809" spans="27:27">
      <c r="AA1809" s="264"/>
    </row>
    <row r="1810" spans="27:27">
      <c r="AA1810" s="126"/>
    </row>
    <row r="1811" spans="27:27">
      <c r="AA1811" s="126"/>
    </row>
    <row r="1812" spans="27:27">
      <c r="AA1812" s="126"/>
    </row>
    <row r="1813" spans="27:27">
      <c r="AA1813" s="126"/>
    </row>
    <row r="1814" spans="27:27">
      <c r="AA1814" s="126"/>
    </row>
    <row r="1815" spans="27:27">
      <c r="AA1815" s="126"/>
    </row>
    <row r="1816" spans="27:27">
      <c r="AA1816" s="126"/>
    </row>
    <row r="1817" spans="27:27">
      <c r="AA1817" s="126"/>
    </row>
    <row r="1818" spans="27:27">
      <c r="AA1818" s="126"/>
    </row>
    <row r="1819" spans="27:27">
      <c r="AA1819" s="126"/>
    </row>
    <row r="1820" spans="27:27">
      <c r="AA1820" s="126"/>
    </row>
    <row r="1821" spans="27:27">
      <c r="AA1821" s="126"/>
    </row>
    <row r="1822" spans="27:27">
      <c r="AA1822" s="126"/>
    </row>
    <row r="1823" spans="27:27">
      <c r="AA1823" s="126"/>
    </row>
    <row r="1824" spans="27:27">
      <c r="AA1824" s="126"/>
    </row>
    <row r="1825" spans="27:27">
      <c r="AA1825" s="126"/>
    </row>
    <row r="1826" spans="27:27">
      <c r="AA1826" s="126"/>
    </row>
    <row r="1827" spans="27:27">
      <c r="AA1827" s="126"/>
    </row>
    <row r="1828" spans="27:27">
      <c r="AA1828" s="126"/>
    </row>
    <row r="1829" spans="27:27">
      <c r="AA1829" s="126"/>
    </row>
    <row r="1830" spans="27:27">
      <c r="AA1830" s="126"/>
    </row>
    <row r="1831" spans="27:27">
      <c r="AA1831" s="126"/>
    </row>
    <row r="1832" spans="27:27">
      <c r="AA1832" s="126"/>
    </row>
    <row r="1833" spans="27:27">
      <c r="AA1833" s="126"/>
    </row>
    <row r="1834" spans="27:27">
      <c r="AA1834" s="126"/>
    </row>
    <row r="1835" spans="27:27">
      <c r="AA1835" s="126"/>
    </row>
    <row r="1836" spans="27:27">
      <c r="AA1836" s="126"/>
    </row>
    <row r="1837" spans="27:27">
      <c r="AA1837" s="126"/>
    </row>
    <row r="1838" spans="27:27">
      <c r="AA1838" s="126"/>
    </row>
    <row r="1839" spans="27:27">
      <c r="AA1839" s="126"/>
    </row>
    <row r="1840" spans="27:27">
      <c r="AA1840" s="126"/>
    </row>
    <row r="1841" spans="27:27">
      <c r="AA1841" s="126"/>
    </row>
    <row r="1842" spans="27:27">
      <c r="AA1842" s="126"/>
    </row>
    <row r="1843" spans="27:27">
      <c r="AA1843" s="126"/>
    </row>
    <row r="1844" spans="27:27">
      <c r="AA1844" s="126"/>
    </row>
    <row r="1845" spans="27:27">
      <c r="AA1845" s="126"/>
    </row>
    <row r="1846" spans="27:27">
      <c r="AA1846" s="126"/>
    </row>
    <row r="1847" spans="27:27">
      <c r="AA1847" s="126"/>
    </row>
    <row r="1848" spans="27:27">
      <c r="AA1848" s="126"/>
    </row>
    <row r="1849" spans="27:27">
      <c r="AA1849" s="126"/>
    </row>
    <row r="1850" spans="27:27">
      <c r="AA1850" s="126"/>
    </row>
    <row r="1851" spans="27:27">
      <c r="AA1851" s="126"/>
    </row>
    <row r="1852" spans="27:27">
      <c r="AA1852" s="264"/>
    </row>
    <row r="1853" spans="27:27">
      <c r="AA1853" s="264"/>
    </row>
    <row r="1854" spans="27:27">
      <c r="AA1854" s="126"/>
    </row>
    <row r="1855" spans="27:27">
      <c r="AA1855" s="126"/>
    </row>
    <row r="1856" spans="27:27">
      <c r="AA1856" s="126"/>
    </row>
    <row r="1857" spans="27:27">
      <c r="AA1857" s="126"/>
    </row>
    <row r="1858" spans="27:27">
      <c r="AA1858" s="126"/>
    </row>
    <row r="1859" spans="27:27">
      <c r="AA1859" s="126"/>
    </row>
    <row r="1860" spans="27:27">
      <c r="AA1860" s="126"/>
    </row>
    <row r="1861" spans="27:27">
      <c r="AA1861" s="126"/>
    </row>
    <row r="1862" spans="27:27">
      <c r="AA1862" s="126"/>
    </row>
    <row r="1863" spans="27:27">
      <c r="AA1863" s="126"/>
    </row>
    <row r="1864" spans="27:27">
      <c r="AA1864" s="126"/>
    </row>
    <row r="1865" spans="27:27">
      <c r="AA1865" s="126"/>
    </row>
    <row r="1866" spans="27:27">
      <c r="AA1866" s="264"/>
    </row>
    <row r="1867" spans="27:27">
      <c r="AA1867" s="126"/>
    </row>
    <row r="1868" spans="27:27">
      <c r="AA1868" s="126"/>
    </row>
    <row r="1869" spans="27:27">
      <c r="AA1869" s="126"/>
    </row>
    <row r="1870" spans="27:27">
      <c r="AA1870" s="126"/>
    </row>
    <row r="1871" spans="27:27">
      <c r="AA1871" s="126"/>
    </row>
    <row r="1872" spans="27:27">
      <c r="AA1872" s="126"/>
    </row>
    <row r="1873" spans="27:27">
      <c r="AA1873" s="51"/>
    </row>
    <row r="1874" spans="27:27">
      <c r="AA1874" s="126"/>
    </row>
    <row r="1875" spans="27:27">
      <c r="AA1875" s="126"/>
    </row>
    <row r="1876" spans="27:27">
      <c r="AA1876" s="126"/>
    </row>
    <row r="1877" spans="27:27">
      <c r="AA1877" s="126"/>
    </row>
    <row r="1878" spans="27:27">
      <c r="AA1878" s="126"/>
    </row>
    <row r="1879" spans="27:27">
      <c r="AA1879" s="126"/>
    </row>
    <row r="1880" spans="27:27">
      <c r="AA1880" s="126"/>
    </row>
    <row r="1881" spans="27:27">
      <c r="AA1881" s="126"/>
    </row>
    <row r="1882" spans="27:27">
      <c r="AA1882" s="126"/>
    </row>
    <row r="1883" spans="27:27">
      <c r="AA1883" s="126"/>
    </row>
    <row r="1884" spans="27:27">
      <c r="AA1884" s="126"/>
    </row>
    <row r="1885" spans="27:27">
      <c r="AA1885" s="126"/>
    </row>
    <row r="1886" spans="27:27">
      <c r="AA1886" s="126"/>
    </row>
    <row r="1887" spans="27:27">
      <c r="AA1887" s="126"/>
    </row>
    <row r="1888" spans="27:27">
      <c r="AA1888" s="126"/>
    </row>
    <row r="1889" spans="27:27">
      <c r="AA1889" s="126"/>
    </row>
    <row r="1890" spans="27:27">
      <c r="AA1890" s="126"/>
    </row>
    <row r="1891" spans="27:27">
      <c r="AA1891" s="126"/>
    </row>
    <row r="1892" spans="27:27">
      <c r="AA1892" s="126"/>
    </row>
    <row r="1893" spans="27:27">
      <c r="AA1893" s="126"/>
    </row>
    <row r="1894" spans="27:27">
      <c r="AA1894" s="126"/>
    </row>
    <row r="1895" spans="27:27">
      <c r="AA1895" s="126"/>
    </row>
    <row r="1896" spans="27:27">
      <c r="AA1896" s="126"/>
    </row>
    <row r="1897" spans="27:27">
      <c r="AA1897" s="126"/>
    </row>
    <row r="1898" spans="27:27">
      <c r="AA1898" s="126"/>
    </row>
    <row r="1899" spans="27:27">
      <c r="AA1899" s="126"/>
    </row>
    <row r="1900" spans="27:27">
      <c r="AA1900" s="126"/>
    </row>
    <row r="1901" spans="27:27">
      <c r="AA1901" s="126"/>
    </row>
    <row r="1902" spans="27:27">
      <c r="AA1902" s="126"/>
    </row>
    <row r="1903" spans="27:27">
      <c r="AA1903" s="126"/>
    </row>
    <row r="1904" spans="27:27">
      <c r="AA1904" s="126"/>
    </row>
    <row r="1905" spans="27:27">
      <c r="AA1905" s="126"/>
    </row>
    <row r="1906" spans="27:27">
      <c r="AA1906" s="123"/>
    </row>
    <row r="1907" spans="27:27">
      <c r="AA1907" s="126"/>
    </row>
    <row r="1908" spans="27:27">
      <c r="AA1908" s="126"/>
    </row>
    <row r="1909" spans="27:27">
      <c r="AA1909" s="126"/>
    </row>
    <row r="1910" spans="27:27">
      <c r="AA1910" s="126"/>
    </row>
    <row r="1911" spans="27:27">
      <c r="AA1911" s="126"/>
    </row>
    <row r="1912" spans="27:27">
      <c r="AA1912" s="126"/>
    </row>
    <row r="1913" spans="27:27">
      <c r="AA1913" s="126"/>
    </row>
    <row r="1914" spans="27:27">
      <c r="AA1914" s="126"/>
    </row>
    <row r="1915" spans="27:27">
      <c r="AA1915" s="126"/>
    </row>
    <row r="1916" spans="27:27">
      <c r="AA1916" s="126"/>
    </row>
    <row r="1917" spans="27:27">
      <c r="AA1917" s="126"/>
    </row>
    <row r="1918" spans="27:27">
      <c r="AA1918" s="126"/>
    </row>
    <row r="1919" spans="27:27">
      <c r="AA1919" s="126"/>
    </row>
    <row r="1920" spans="27:27">
      <c r="AA1920" s="126"/>
    </row>
    <row r="1921" spans="27:27">
      <c r="AA1921" s="126"/>
    </row>
    <row r="1922" spans="27:27">
      <c r="AA1922" s="126"/>
    </row>
    <row r="1923" spans="27:27">
      <c r="AA1923" s="126"/>
    </row>
    <row r="1924" spans="27:27">
      <c r="AA1924" s="126"/>
    </row>
    <row r="1925" spans="27:27">
      <c r="AA1925" s="126"/>
    </row>
    <row r="1926" spans="27:27">
      <c r="AA1926" s="126"/>
    </row>
    <row r="1927" spans="27:27">
      <c r="AA1927" s="126"/>
    </row>
    <row r="1928" spans="27:27">
      <c r="AA1928" s="126"/>
    </row>
    <row r="1929" spans="27:27">
      <c r="AA1929" s="126"/>
    </row>
    <row r="1930" spans="27:27">
      <c r="AA1930" s="264"/>
    </row>
    <row r="1931" spans="27:27">
      <c r="AA1931" s="126"/>
    </row>
    <row r="1932" spans="27:27">
      <c r="AA1932" s="126"/>
    </row>
    <row r="1933" spans="27:27">
      <c r="AA1933" s="126"/>
    </row>
    <row r="1934" spans="27:27">
      <c r="AA1934" s="126"/>
    </row>
    <row r="1935" spans="27:27">
      <c r="AA1935" s="264"/>
    </row>
    <row r="1936" spans="27:27">
      <c r="AA1936" s="126"/>
    </row>
    <row r="1937" spans="27:27">
      <c r="AA1937" s="126"/>
    </row>
    <row r="1938" spans="27:27">
      <c r="AA1938" s="126"/>
    </row>
    <row r="1939" spans="27:27">
      <c r="AA1939" s="126"/>
    </row>
    <row r="1940" spans="27:27">
      <c r="AA1940" s="126"/>
    </row>
    <row r="1941" spans="27:27">
      <c r="AA1941" s="126"/>
    </row>
    <row r="1942" spans="27:27">
      <c r="AA1942" s="126"/>
    </row>
    <row r="1943" spans="27:27">
      <c r="AA1943" s="126"/>
    </row>
    <row r="1944" spans="27:27">
      <c r="AA1944" s="126"/>
    </row>
    <row r="1945" spans="27:27">
      <c r="AA1945" s="126"/>
    </row>
    <row r="1946" spans="27:27">
      <c r="AA1946" s="126"/>
    </row>
    <row r="1947" spans="27:27">
      <c r="AA1947" s="264"/>
    </row>
    <row r="1948" spans="27:27">
      <c r="AA1948" s="264"/>
    </row>
    <row r="1949" spans="27:27">
      <c r="AA1949" s="264"/>
    </row>
    <row r="1950" spans="27:27">
      <c r="AA1950" s="264"/>
    </row>
    <row r="1951" spans="27:27">
      <c r="AA1951" s="264"/>
    </row>
    <row r="1952" spans="27:27">
      <c r="AA1952" s="264"/>
    </row>
    <row r="1953" spans="27:27">
      <c r="AA1953" s="264"/>
    </row>
    <row r="1954" spans="27:27">
      <c r="AA1954" s="264"/>
    </row>
    <row r="1955" spans="27:27">
      <c r="AA1955" s="264"/>
    </row>
    <row r="1956" spans="27:27">
      <c r="AA1956" s="126"/>
    </row>
    <row r="1957" spans="27:27">
      <c r="AA1957" s="264"/>
    </row>
    <row r="1958" spans="27:27">
      <c r="AA1958" s="264"/>
    </row>
    <row r="1959" spans="27:27">
      <c r="AA1959" s="264"/>
    </row>
    <row r="1960" spans="27:27">
      <c r="AA1960" s="126"/>
    </row>
    <row r="1961" spans="27:27">
      <c r="AA1961" s="264"/>
    </row>
    <row r="1962" spans="27:27">
      <c r="AA1962" s="264"/>
    </row>
    <row r="1963" spans="27:27">
      <c r="AA1963" s="126"/>
    </row>
    <row r="1964" spans="27:27">
      <c r="AA1964" s="126"/>
    </row>
    <row r="2179" spans="19:19" ht="26.25">
      <c r="S2179" s="85" ph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工作表2">
    <tabColor rgb="FF0070C0"/>
  </sheetPr>
  <dimension ref="A1:G1511"/>
  <sheetViews>
    <sheetView workbookViewId="0"/>
  </sheetViews>
  <sheetFormatPr defaultRowHeight="15.75"/>
  <cols>
    <col min="1" max="1" width="5.5703125" customWidth="1"/>
    <col min="2" max="2" width="13.5703125" customWidth="1"/>
  </cols>
  <sheetData>
    <row r="1" spans="1:7" s="264" customFormat="1">
      <c r="A1" s="278" t="s">
        <v>6524</v>
      </c>
      <c r="B1" s="264" t="s">
        <v>6525</v>
      </c>
      <c r="C1" s="278" t="s">
        <v>6580</v>
      </c>
      <c r="D1" s="278" t="s">
        <v>6581</v>
      </c>
      <c r="E1" s="278" t="s">
        <v>6582</v>
      </c>
      <c r="F1" s="278" t="s">
        <v>8608</v>
      </c>
      <c r="G1" s="278" t="s">
        <v>8609</v>
      </c>
    </row>
    <row r="2" spans="1:7">
      <c r="A2">
        <v>4157</v>
      </c>
      <c r="B2" t="s">
        <v>5934</v>
      </c>
      <c r="C2">
        <v>169</v>
      </c>
      <c r="D2">
        <v>53</v>
      </c>
      <c r="E2">
        <v>8</v>
      </c>
      <c r="F2">
        <v>230</v>
      </c>
      <c r="G2">
        <v>1</v>
      </c>
    </row>
    <row r="3" spans="1:7">
      <c r="A3">
        <v>6104</v>
      </c>
      <c r="B3" t="s">
        <v>6153</v>
      </c>
      <c r="C3">
        <v>116</v>
      </c>
      <c r="D3">
        <v>46</v>
      </c>
      <c r="E3">
        <v>19</v>
      </c>
      <c r="F3">
        <v>181</v>
      </c>
      <c r="G3">
        <v>2</v>
      </c>
    </row>
    <row r="4" spans="1:7">
      <c r="A4">
        <v>3141</v>
      </c>
      <c r="B4" t="s">
        <v>5726</v>
      </c>
      <c r="C4">
        <v>118</v>
      </c>
      <c r="D4">
        <v>29</v>
      </c>
      <c r="E4">
        <v>9</v>
      </c>
      <c r="F4">
        <v>156</v>
      </c>
      <c r="G4">
        <v>3</v>
      </c>
    </row>
    <row r="5" spans="1:7">
      <c r="A5">
        <v>6548</v>
      </c>
      <c r="B5" t="s">
        <v>6321</v>
      </c>
      <c r="C5">
        <v>105</v>
      </c>
      <c r="D5">
        <v>34</v>
      </c>
      <c r="E5">
        <v>11</v>
      </c>
      <c r="F5">
        <v>150</v>
      </c>
      <c r="G5">
        <v>4</v>
      </c>
    </row>
    <row r="6" spans="1:7">
      <c r="A6">
        <v>3035</v>
      </c>
      <c r="B6" t="s">
        <v>5689</v>
      </c>
      <c r="C6">
        <v>125</v>
      </c>
      <c r="D6">
        <v>16</v>
      </c>
      <c r="E6">
        <v>2</v>
      </c>
      <c r="F6">
        <v>143</v>
      </c>
      <c r="G6">
        <v>5</v>
      </c>
    </row>
    <row r="7" spans="1:7">
      <c r="A7">
        <v>6411</v>
      </c>
      <c r="B7" t="s">
        <v>6275</v>
      </c>
      <c r="C7">
        <v>102</v>
      </c>
      <c r="D7">
        <v>23</v>
      </c>
      <c r="E7">
        <v>4</v>
      </c>
      <c r="F7">
        <v>129</v>
      </c>
      <c r="G7">
        <v>6</v>
      </c>
    </row>
    <row r="8" spans="1:7">
      <c r="A8">
        <v>6138</v>
      </c>
      <c r="B8" t="s">
        <v>6173</v>
      </c>
      <c r="C8">
        <v>101</v>
      </c>
      <c r="D8">
        <v>21</v>
      </c>
      <c r="E8">
        <v>4</v>
      </c>
      <c r="F8">
        <v>126</v>
      </c>
      <c r="G8">
        <v>7</v>
      </c>
    </row>
    <row r="9" spans="1:7">
      <c r="A9">
        <v>5425</v>
      </c>
      <c r="B9" t="s">
        <v>6095</v>
      </c>
      <c r="C9">
        <v>83</v>
      </c>
      <c r="D9">
        <v>25</v>
      </c>
      <c r="E9">
        <v>8</v>
      </c>
      <c r="F9">
        <v>116</v>
      </c>
      <c r="G9">
        <v>8</v>
      </c>
    </row>
    <row r="10" spans="1:7">
      <c r="A10">
        <v>8155</v>
      </c>
      <c r="B10" t="s">
        <v>6412</v>
      </c>
      <c r="C10">
        <v>86</v>
      </c>
      <c r="D10">
        <v>24</v>
      </c>
      <c r="E10">
        <v>5</v>
      </c>
      <c r="F10">
        <v>115</v>
      </c>
      <c r="G10">
        <v>9</v>
      </c>
    </row>
    <row r="11" spans="1:7">
      <c r="A11">
        <v>3707</v>
      </c>
      <c r="B11" t="s">
        <v>5903</v>
      </c>
      <c r="C11">
        <v>96</v>
      </c>
      <c r="D11">
        <v>10</v>
      </c>
      <c r="E11">
        <v>3</v>
      </c>
      <c r="F11">
        <v>109</v>
      </c>
      <c r="G11">
        <v>10</v>
      </c>
    </row>
    <row r="12" spans="1:7">
      <c r="A12">
        <v>6217</v>
      </c>
      <c r="B12" t="s">
        <v>6229</v>
      </c>
      <c r="C12">
        <v>79</v>
      </c>
      <c r="D12">
        <v>21</v>
      </c>
      <c r="E12">
        <v>8</v>
      </c>
      <c r="F12">
        <v>108</v>
      </c>
      <c r="G12">
        <v>11</v>
      </c>
    </row>
    <row r="13" spans="1:7">
      <c r="A13">
        <v>3169</v>
      </c>
      <c r="B13" t="s">
        <v>5733</v>
      </c>
      <c r="C13">
        <v>85</v>
      </c>
      <c r="D13">
        <v>18</v>
      </c>
      <c r="E13">
        <v>4</v>
      </c>
      <c r="F13">
        <v>107</v>
      </c>
      <c r="G13">
        <v>12</v>
      </c>
    </row>
    <row r="14" spans="1:7">
      <c r="A14">
        <v>3006</v>
      </c>
      <c r="B14" t="s">
        <v>5667</v>
      </c>
      <c r="C14">
        <v>78</v>
      </c>
      <c r="D14">
        <v>21</v>
      </c>
      <c r="E14">
        <v>7</v>
      </c>
      <c r="F14">
        <v>106</v>
      </c>
      <c r="G14">
        <v>13</v>
      </c>
    </row>
    <row r="15" spans="1:7">
      <c r="A15">
        <v>2436</v>
      </c>
      <c r="B15" t="s">
        <v>5507</v>
      </c>
      <c r="C15">
        <v>72</v>
      </c>
      <c r="D15">
        <v>26</v>
      </c>
      <c r="E15">
        <v>7</v>
      </c>
      <c r="F15">
        <v>105</v>
      </c>
      <c r="G15">
        <v>14</v>
      </c>
    </row>
    <row r="16" spans="1:7">
      <c r="A16">
        <v>2481</v>
      </c>
      <c r="B16" t="s">
        <v>5535</v>
      </c>
      <c r="C16">
        <v>87</v>
      </c>
      <c r="D16">
        <v>13</v>
      </c>
      <c r="E16">
        <v>5</v>
      </c>
      <c r="F16">
        <v>105</v>
      </c>
      <c r="G16">
        <v>14</v>
      </c>
    </row>
    <row r="17" spans="1:7">
      <c r="A17">
        <v>6485</v>
      </c>
      <c r="B17" t="s">
        <v>6298</v>
      </c>
      <c r="C17">
        <v>82</v>
      </c>
      <c r="D17">
        <v>21</v>
      </c>
      <c r="E17">
        <v>2</v>
      </c>
      <c r="F17">
        <v>105</v>
      </c>
      <c r="G17">
        <v>14</v>
      </c>
    </row>
    <row r="18" spans="1:7">
      <c r="A18">
        <v>6182</v>
      </c>
      <c r="B18" t="s">
        <v>6203</v>
      </c>
      <c r="C18">
        <v>79</v>
      </c>
      <c r="D18">
        <v>15</v>
      </c>
      <c r="E18">
        <v>9</v>
      </c>
      <c r="F18">
        <v>103</v>
      </c>
      <c r="G18">
        <v>17</v>
      </c>
    </row>
    <row r="19" spans="1:7">
      <c r="A19">
        <v>4739</v>
      </c>
      <c r="B19" t="s">
        <v>6000</v>
      </c>
      <c r="C19">
        <v>80</v>
      </c>
      <c r="D19">
        <v>20</v>
      </c>
      <c r="E19">
        <v>1</v>
      </c>
      <c r="F19">
        <v>101</v>
      </c>
      <c r="G19">
        <v>18</v>
      </c>
    </row>
    <row r="20" spans="1:7">
      <c r="A20">
        <v>6706</v>
      </c>
      <c r="B20" t="s">
        <v>6357</v>
      </c>
      <c r="C20">
        <v>67</v>
      </c>
      <c r="D20">
        <v>23</v>
      </c>
      <c r="E20">
        <v>10</v>
      </c>
      <c r="F20">
        <v>100</v>
      </c>
      <c r="G20">
        <v>19</v>
      </c>
    </row>
    <row r="21" spans="1:7">
      <c r="A21">
        <v>6223</v>
      </c>
      <c r="B21" t="s">
        <v>6233</v>
      </c>
      <c r="C21">
        <v>74</v>
      </c>
      <c r="D21">
        <v>17</v>
      </c>
      <c r="E21">
        <v>7</v>
      </c>
      <c r="F21">
        <v>98</v>
      </c>
      <c r="G21">
        <v>20</v>
      </c>
    </row>
    <row r="22" spans="1:7">
      <c r="A22">
        <v>4721</v>
      </c>
      <c r="B22" t="s">
        <v>5994</v>
      </c>
      <c r="C22">
        <v>66</v>
      </c>
      <c r="D22">
        <v>22</v>
      </c>
      <c r="E22">
        <v>5</v>
      </c>
      <c r="F22">
        <v>93</v>
      </c>
      <c r="G22">
        <v>21</v>
      </c>
    </row>
    <row r="23" spans="1:7">
      <c r="A23">
        <v>6271</v>
      </c>
      <c r="B23" t="s">
        <v>6258</v>
      </c>
      <c r="C23">
        <v>74</v>
      </c>
      <c r="D23">
        <v>13</v>
      </c>
      <c r="E23">
        <v>6</v>
      </c>
      <c r="F23">
        <v>93</v>
      </c>
      <c r="G23">
        <v>21</v>
      </c>
    </row>
    <row r="24" spans="1:7">
      <c r="A24">
        <v>3122</v>
      </c>
      <c r="B24" t="s">
        <v>5722</v>
      </c>
      <c r="C24">
        <v>80</v>
      </c>
      <c r="D24">
        <v>11</v>
      </c>
      <c r="E24">
        <v>1</v>
      </c>
      <c r="F24">
        <v>92</v>
      </c>
      <c r="G24">
        <v>23</v>
      </c>
    </row>
    <row r="25" spans="1:7">
      <c r="A25">
        <v>3324</v>
      </c>
      <c r="B25" t="s">
        <v>5779</v>
      </c>
      <c r="C25">
        <v>76</v>
      </c>
      <c r="D25">
        <v>10</v>
      </c>
      <c r="E25">
        <v>3</v>
      </c>
      <c r="F25">
        <v>89</v>
      </c>
      <c r="G25">
        <v>24</v>
      </c>
    </row>
    <row r="26" spans="1:7">
      <c r="A26">
        <v>4919</v>
      </c>
      <c r="B26" t="s">
        <v>6018</v>
      </c>
      <c r="C26">
        <v>76</v>
      </c>
      <c r="D26">
        <v>9</v>
      </c>
      <c r="E26">
        <v>2</v>
      </c>
      <c r="F26">
        <v>87</v>
      </c>
      <c r="G26">
        <v>25</v>
      </c>
    </row>
    <row r="27" spans="1:7">
      <c r="A27">
        <v>8255</v>
      </c>
      <c r="B27" t="s">
        <v>6425</v>
      </c>
      <c r="C27">
        <v>76</v>
      </c>
      <c r="D27">
        <v>9</v>
      </c>
      <c r="E27">
        <v>2</v>
      </c>
      <c r="F27">
        <v>87</v>
      </c>
      <c r="G27">
        <v>25</v>
      </c>
    </row>
    <row r="28" spans="1:7">
      <c r="A28">
        <v>2368</v>
      </c>
      <c r="B28" t="s">
        <v>5464</v>
      </c>
      <c r="C28">
        <v>77</v>
      </c>
      <c r="D28">
        <v>6</v>
      </c>
      <c r="E28">
        <v>3</v>
      </c>
      <c r="F28">
        <v>86</v>
      </c>
      <c r="G28">
        <v>27</v>
      </c>
    </row>
    <row r="29" spans="1:7">
      <c r="A29">
        <v>3017</v>
      </c>
      <c r="B29" t="s">
        <v>5674</v>
      </c>
      <c r="C29">
        <v>73</v>
      </c>
      <c r="D29">
        <v>9</v>
      </c>
      <c r="E29">
        <v>3</v>
      </c>
      <c r="F29">
        <v>85</v>
      </c>
      <c r="G29">
        <v>28</v>
      </c>
    </row>
    <row r="30" spans="1:7">
      <c r="A30">
        <v>6494</v>
      </c>
      <c r="B30" t="s">
        <v>6302</v>
      </c>
      <c r="C30">
        <v>73</v>
      </c>
      <c r="D30">
        <v>10</v>
      </c>
      <c r="E30">
        <v>2</v>
      </c>
      <c r="F30">
        <v>85</v>
      </c>
      <c r="G30">
        <v>28</v>
      </c>
    </row>
    <row r="31" spans="1:7">
      <c r="A31">
        <v>8261</v>
      </c>
      <c r="B31" t="s">
        <v>6426</v>
      </c>
      <c r="C31">
        <v>73</v>
      </c>
      <c r="D31">
        <v>11</v>
      </c>
      <c r="E31">
        <v>1</v>
      </c>
      <c r="F31">
        <v>85</v>
      </c>
      <c r="G31">
        <v>28</v>
      </c>
    </row>
    <row r="32" spans="1:7">
      <c r="A32">
        <v>3588</v>
      </c>
      <c r="B32" t="s">
        <v>5859</v>
      </c>
      <c r="C32">
        <v>71</v>
      </c>
      <c r="D32">
        <v>12</v>
      </c>
      <c r="E32">
        <v>1</v>
      </c>
      <c r="F32">
        <v>84</v>
      </c>
      <c r="G32">
        <v>31</v>
      </c>
    </row>
    <row r="33" spans="1:7">
      <c r="A33">
        <v>8070</v>
      </c>
      <c r="B33" t="s">
        <v>6387</v>
      </c>
      <c r="C33">
        <v>70</v>
      </c>
      <c r="D33">
        <v>11</v>
      </c>
      <c r="E33">
        <v>2</v>
      </c>
      <c r="F33">
        <v>83</v>
      </c>
      <c r="G33">
        <v>32</v>
      </c>
    </row>
    <row r="34" spans="1:7">
      <c r="A34">
        <v>2338</v>
      </c>
      <c r="B34" t="s">
        <v>5443</v>
      </c>
      <c r="C34">
        <v>66</v>
      </c>
      <c r="D34">
        <v>11</v>
      </c>
      <c r="E34">
        <v>4</v>
      </c>
      <c r="F34">
        <v>81</v>
      </c>
      <c r="G34">
        <v>33</v>
      </c>
    </row>
    <row r="35" spans="1:7">
      <c r="A35">
        <v>3317</v>
      </c>
      <c r="B35" t="s">
        <v>5777</v>
      </c>
      <c r="C35">
        <v>69</v>
      </c>
      <c r="D35">
        <v>10</v>
      </c>
      <c r="E35">
        <v>2</v>
      </c>
      <c r="F35">
        <v>81</v>
      </c>
      <c r="G35">
        <v>33</v>
      </c>
    </row>
    <row r="36" spans="1:7">
      <c r="A36">
        <v>3189</v>
      </c>
      <c r="B36" t="s">
        <v>5737</v>
      </c>
      <c r="C36">
        <v>71</v>
      </c>
      <c r="D36">
        <v>7</v>
      </c>
      <c r="E36">
        <v>1</v>
      </c>
      <c r="F36">
        <v>79</v>
      </c>
      <c r="G36">
        <v>35</v>
      </c>
    </row>
    <row r="37" spans="1:7">
      <c r="A37">
        <v>3624</v>
      </c>
      <c r="B37" t="s">
        <v>5872</v>
      </c>
      <c r="C37">
        <v>57</v>
      </c>
      <c r="D37">
        <v>15</v>
      </c>
      <c r="E37">
        <v>7</v>
      </c>
      <c r="F37">
        <v>79</v>
      </c>
      <c r="G37">
        <v>35</v>
      </c>
    </row>
    <row r="38" spans="1:7">
      <c r="A38">
        <v>6457</v>
      </c>
      <c r="B38" t="s">
        <v>6291</v>
      </c>
      <c r="C38">
        <v>56</v>
      </c>
      <c r="D38">
        <v>19</v>
      </c>
      <c r="E38">
        <v>4</v>
      </c>
      <c r="F38">
        <v>79</v>
      </c>
      <c r="G38">
        <v>35</v>
      </c>
    </row>
    <row r="39" spans="1:7">
      <c r="A39">
        <v>3491</v>
      </c>
      <c r="B39" t="s">
        <v>5820</v>
      </c>
      <c r="C39">
        <v>60</v>
      </c>
      <c r="D39">
        <v>15</v>
      </c>
      <c r="E39">
        <v>3</v>
      </c>
      <c r="F39">
        <v>78</v>
      </c>
      <c r="G39">
        <v>38</v>
      </c>
    </row>
    <row r="40" spans="1:7">
      <c r="A40">
        <v>4927</v>
      </c>
      <c r="B40" t="s">
        <v>6019</v>
      </c>
      <c r="C40">
        <v>65</v>
      </c>
      <c r="D40">
        <v>11</v>
      </c>
      <c r="E40">
        <v>2</v>
      </c>
      <c r="F40">
        <v>78</v>
      </c>
      <c r="G40">
        <v>38</v>
      </c>
    </row>
    <row r="41" spans="1:7">
      <c r="A41">
        <v>5351</v>
      </c>
      <c r="B41" t="s">
        <v>6086</v>
      </c>
      <c r="C41">
        <v>62</v>
      </c>
      <c r="D41">
        <v>14</v>
      </c>
      <c r="E41">
        <v>2</v>
      </c>
      <c r="F41">
        <v>78</v>
      </c>
      <c r="G41">
        <v>38</v>
      </c>
    </row>
    <row r="42" spans="1:7">
      <c r="A42">
        <v>3527</v>
      </c>
      <c r="B42" t="s">
        <v>5832</v>
      </c>
      <c r="C42">
        <v>58</v>
      </c>
      <c r="D42">
        <v>12</v>
      </c>
      <c r="E42">
        <v>5</v>
      </c>
      <c r="F42">
        <v>75</v>
      </c>
      <c r="G42">
        <v>41</v>
      </c>
    </row>
    <row r="43" spans="1:7">
      <c r="A43">
        <v>2636</v>
      </c>
      <c r="B43" t="s">
        <v>5594</v>
      </c>
      <c r="C43">
        <v>66</v>
      </c>
      <c r="D43">
        <v>8</v>
      </c>
      <c r="E43">
        <v>0</v>
      </c>
      <c r="F43">
        <v>74</v>
      </c>
      <c r="G43">
        <v>42</v>
      </c>
    </row>
    <row r="44" spans="1:7">
      <c r="A44">
        <v>3530</v>
      </c>
      <c r="B44" t="s">
        <v>5835</v>
      </c>
      <c r="C44">
        <v>54</v>
      </c>
      <c r="D44">
        <v>17</v>
      </c>
      <c r="E44">
        <v>3</v>
      </c>
      <c r="F44">
        <v>74</v>
      </c>
      <c r="G44">
        <v>42</v>
      </c>
    </row>
    <row r="45" spans="1:7">
      <c r="A45">
        <v>3661</v>
      </c>
      <c r="B45" t="s">
        <v>5881</v>
      </c>
      <c r="C45">
        <v>69</v>
      </c>
      <c r="D45">
        <v>3</v>
      </c>
      <c r="E45">
        <v>2</v>
      </c>
      <c r="F45">
        <v>74</v>
      </c>
      <c r="G45">
        <v>42</v>
      </c>
    </row>
    <row r="46" spans="1:7">
      <c r="A46">
        <v>6150</v>
      </c>
      <c r="B46" t="s">
        <v>6181</v>
      </c>
      <c r="C46">
        <v>61</v>
      </c>
      <c r="D46">
        <v>11</v>
      </c>
      <c r="E46">
        <v>1</v>
      </c>
      <c r="F46">
        <v>73</v>
      </c>
      <c r="G46">
        <v>45</v>
      </c>
    </row>
    <row r="47" spans="1:7">
      <c r="A47">
        <v>6187</v>
      </c>
      <c r="B47" t="s">
        <v>6208</v>
      </c>
      <c r="C47">
        <v>57</v>
      </c>
      <c r="D47">
        <v>12</v>
      </c>
      <c r="E47">
        <v>4</v>
      </c>
      <c r="F47">
        <v>73</v>
      </c>
      <c r="G47">
        <v>45</v>
      </c>
    </row>
    <row r="48" spans="1:7">
      <c r="A48">
        <v>6237</v>
      </c>
      <c r="B48" t="s">
        <v>6243</v>
      </c>
      <c r="C48">
        <v>61</v>
      </c>
      <c r="D48">
        <v>11</v>
      </c>
      <c r="E48">
        <v>1</v>
      </c>
      <c r="F48">
        <v>73</v>
      </c>
      <c r="G48">
        <v>45</v>
      </c>
    </row>
    <row r="49" spans="1:7">
      <c r="A49">
        <v>2351</v>
      </c>
      <c r="B49" t="s">
        <v>5450</v>
      </c>
      <c r="C49">
        <v>62</v>
      </c>
      <c r="D49">
        <v>8</v>
      </c>
      <c r="E49">
        <v>2</v>
      </c>
      <c r="F49">
        <v>72</v>
      </c>
      <c r="G49">
        <v>48</v>
      </c>
    </row>
    <row r="50" spans="1:7">
      <c r="A50">
        <v>3675</v>
      </c>
      <c r="B50" t="s">
        <v>5888</v>
      </c>
      <c r="C50">
        <v>60</v>
      </c>
      <c r="D50">
        <v>8</v>
      </c>
      <c r="E50">
        <v>3</v>
      </c>
      <c r="F50">
        <v>71</v>
      </c>
      <c r="G50">
        <v>49</v>
      </c>
    </row>
    <row r="51" spans="1:7">
      <c r="A51">
        <v>6509</v>
      </c>
      <c r="B51" t="s">
        <v>6308</v>
      </c>
      <c r="C51">
        <v>59</v>
      </c>
      <c r="D51">
        <v>9</v>
      </c>
      <c r="E51">
        <v>1</v>
      </c>
      <c r="F51">
        <v>69</v>
      </c>
      <c r="G51">
        <v>50</v>
      </c>
    </row>
    <row r="52" spans="1:7">
      <c r="A52">
        <v>8054</v>
      </c>
      <c r="B52" t="s">
        <v>6383</v>
      </c>
      <c r="C52">
        <v>54</v>
      </c>
      <c r="D52">
        <v>13</v>
      </c>
      <c r="E52">
        <v>1</v>
      </c>
      <c r="F52">
        <v>68</v>
      </c>
      <c r="G52">
        <v>51</v>
      </c>
    </row>
    <row r="53" spans="1:7">
      <c r="A53">
        <v>3526</v>
      </c>
      <c r="B53" t="s">
        <v>5831</v>
      </c>
      <c r="C53">
        <v>53</v>
      </c>
      <c r="D53">
        <v>11</v>
      </c>
      <c r="E53">
        <v>3</v>
      </c>
      <c r="F53">
        <v>67</v>
      </c>
      <c r="G53">
        <v>52</v>
      </c>
    </row>
    <row r="54" spans="1:7">
      <c r="A54">
        <v>2340</v>
      </c>
      <c r="B54" t="s">
        <v>5444</v>
      </c>
      <c r="C54">
        <v>56</v>
      </c>
      <c r="D54">
        <v>9</v>
      </c>
      <c r="E54">
        <v>1</v>
      </c>
      <c r="F54">
        <v>66</v>
      </c>
      <c r="G54">
        <v>53</v>
      </c>
    </row>
    <row r="55" spans="1:7">
      <c r="A55">
        <v>3545</v>
      </c>
      <c r="B55" t="s">
        <v>5843</v>
      </c>
      <c r="C55">
        <v>56</v>
      </c>
      <c r="D55">
        <v>9</v>
      </c>
      <c r="E55">
        <v>1</v>
      </c>
      <c r="F55">
        <v>66</v>
      </c>
      <c r="G55">
        <v>53</v>
      </c>
    </row>
    <row r="56" spans="1:7">
      <c r="A56">
        <v>3689</v>
      </c>
      <c r="B56" t="s">
        <v>5893</v>
      </c>
      <c r="C56">
        <v>55</v>
      </c>
      <c r="D56">
        <v>11</v>
      </c>
      <c r="E56">
        <v>0</v>
      </c>
      <c r="F56">
        <v>66</v>
      </c>
      <c r="G56">
        <v>53</v>
      </c>
    </row>
    <row r="57" spans="1:7">
      <c r="A57">
        <v>3059</v>
      </c>
      <c r="B57" t="s">
        <v>5707</v>
      </c>
      <c r="C57">
        <v>48</v>
      </c>
      <c r="D57">
        <v>15</v>
      </c>
      <c r="E57">
        <v>2</v>
      </c>
      <c r="F57">
        <v>65</v>
      </c>
      <c r="G57">
        <v>56</v>
      </c>
    </row>
    <row r="58" spans="1:7">
      <c r="A58">
        <v>3687</v>
      </c>
      <c r="B58" t="s">
        <v>5892</v>
      </c>
      <c r="C58">
        <v>59</v>
      </c>
      <c r="D58">
        <v>6</v>
      </c>
      <c r="E58">
        <v>0</v>
      </c>
      <c r="F58">
        <v>65</v>
      </c>
      <c r="G58">
        <v>56</v>
      </c>
    </row>
    <row r="59" spans="1:7">
      <c r="A59">
        <v>4961</v>
      </c>
      <c r="B59" t="s">
        <v>6033</v>
      </c>
      <c r="C59">
        <v>54</v>
      </c>
      <c r="D59">
        <v>8</v>
      </c>
      <c r="E59">
        <v>1</v>
      </c>
      <c r="F59">
        <v>63</v>
      </c>
      <c r="G59">
        <v>58</v>
      </c>
    </row>
    <row r="60" spans="1:7">
      <c r="A60">
        <v>5299</v>
      </c>
      <c r="B60" t="s">
        <v>318</v>
      </c>
      <c r="C60">
        <v>52</v>
      </c>
      <c r="D60">
        <v>10</v>
      </c>
      <c r="E60">
        <v>1</v>
      </c>
      <c r="F60">
        <v>63</v>
      </c>
      <c r="G60">
        <v>58</v>
      </c>
    </row>
    <row r="61" spans="1:7">
      <c r="A61">
        <v>6531</v>
      </c>
      <c r="B61" t="s">
        <v>6316</v>
      </c>
      <c r="C61">
        <v>54</v>
      </c>
      <c r="D61">
        <v>7</v>
      </c>
      <c r="E61">
        <v>2</v>
      </c>
      <c r="F61">
        <v>63</v>
      </c>
      <c r="G61">
        <v>58</v>
      </c>
    </row>
    <row r="62" spans="1:7">
      <c r="A62">
        <v>8016</v>
      </c>
      <c r="B62" t="s">
        <v>6369</v>
      </c>
      <c r="C62">
        <v>55</v>
      </c>
      <c r="D62">
        <v>5</v>
      </c>
      <c r="E62">
        <v>3</v>
      </c>
      <c r="F62">
        <v>63</v>
      </c>
      <c r="G62">
        <v>58</v>
      </c>
    </row>
    <row r="63" spans="1:7">
      <c r="A63">
        <v>8358</v>
      </c>
      <c r="B63" t="s">
        <v>6433</v>
      </c>
      <c r="C63">
        <v>43</v>
      </c>
      <c r="D63">
        <v>15</v>
      </c>
      <c r="E63">
        <v>4</v>
      </c>
      <c r="F63">
        <v>62</v>
      </c>
      <c r="G63">
        <v>62</v>
      </c>
    </row>
    <row r="64" spans="1:7">
      <c r="A64">
        <v>2455</v>
      </c>
      <c r="B64" t="s">
        <v>5516</v>
      </c>
      <c r="C64">
        <v>52</v>
      </c>
      <c r="D64">
        <v>8</v>
      </c>
      <c r="E64">
        <v>1</v>
      </c>
      <c r="F64">
        <v>61</v>
      </c>
      <c r="G64">
        <v>63</v>
      </c>
    </row>
    <row r="65" spans="1:7">
      <c r="A65">
        <v>3260</v>
      </c>
      <c r="B65" t="s">
        <v>5757</v>
      </c>
      <c r="C65">
        <v>42</v>
      </c>
      <c r="D65">
        <v>15</v>
      </c>
      <c r="E65">
        <v>4</v>
      </c>
      <c r="F65">
        <v>61</v>
      </c>
      <c r="G65">
        <v>63</v>
      </c>
    </row>
    <row r="66" spans="1:7">
      <c r="A66">
        <v>6679</v>
      </c>
      <c r="B66" t="s">
        <v>6355</v>
      </c>
      <c r="C66">
        <v>52</v>
      </c>
      <c r="D66">
        <v>6</v>
      </c>
      <c r="E66">
        <v>3</v>
      </c>
      <c r="F66">
        <v>61</v>
      </c>
      <c r="G66">
        <v>63</v>
      </c>
    </row>
    <row r="67" spans="1:7">
      <c r="A67">
        <v>2486</v>
      </c>
      <c r="B67" t="s">
        <v>5540</v>
      </c>
      <c r="C67">
        <v>50</v>
      </c>
      <c r="D67">
        <v>9</v>
      </c>
      <c r="E67">
        <v>0</v>
      </c>
      <c r="F67">
        <v>59</v>
      </c>
      <c r="G67">
        <v>66</v>
      </c>
    </row>
    <row r="68" spans="1:7">
      <c r="A68">
        <v>8924</v>
      </c>
      <c r="B68" t="s">
        <v>6477</v>
      </c>
      <c r="C68">
        <v>50</v>
      </c>
      <c r="D68">
        <v>6</v>
      </c>
      <c r="E68">
        <v>2</v>
      </c>
      <c r="F68">
        <v>58</v>
      </c>
      <c r="G68">
        <v>67</v>
      </c>
    </row>
    <row r="69" spans="1:7">
      <c r="A69">
        <v>5608</v>
      </c>
      <c r="B69" t="s">
        <v>6134</v>
      </c>
      <c r="C69">
        <v>52</v>
      </c>
      <c r="D69">
        <v>5</v>
      </c>
      <c r="E69">
        <v>0</v>
      </c>
      <c r="F69">
        <v>57</v>
      </c>
      <c r="G69">
        <v>68</v>
      </c>
    </row>
    <row r="70" spans="1:7">
      <c r="A70">
        <v>6443</v>
      </c>
      <c r="B70" t="s">
        <v>6287</v>
      </c>
      <c r="C70">
        <v>40</v>
      </c>
      <c r="D70">
        <v>12</v>
      </c>
      <c r="E70">
        <v>5</v>
      </c>
      <c r="F70">
        <v>57</v>
      </c>
      <c r="G70">
        <v>68</v>
      </c>
    </row>
    <row r="71" spans="1:7">
      <c r="A71">
        <v>8044</v>
      </c>
      <c r="B71" t="s">
        <v>6378</v>
      </c>
      <c r="C71">
        <v>48</v>
      </c>
      <c r="D71">
        <v>8</v>
      </c>
      <c r="E71">
        <v>1</v>
      </c>
      <c r="F71">
        <v>57</v>
      </c>
      <c r="G71">
        <v>68</v>
      </c>
    </row>
    <row r="72" spans="1:7">
      <c r="A72">
        <v>1732</v>
      </c>
      <c r="B72" t="s">
        <v>5335</v>
      </c>
      <c r="C72">
        <v>51</v>
      </c>
      <c r="D72">
        <v>5</v>
      </c>
      <c r="E72">
        <v>0</v>
      </c>
      <c r="F72">
        <v>56</v>
      </c>
      <c r="G72">
        <v>71</v>
      </c>
    </row>
    <row r="73" spans="1:7">
      <c r="A73">
        <v>3305</v>
      </c>
      <c r="B73" t="s">
        <v>5772</v>
      </c>
      <c r="C73">
        <v>47</v>
      </c>
      <c r="D73">
        <v>8</v>
      </c>
      <c r="E73">
        <v>1</v>
      </c>
      <c r="F73">
        <v>56</v>
      </c>
      <c r="G73">
        <v>71</v>
      </c>
    </row>
    <row r="74" spans="1:7">
      <c r="A74">
        <v>6477</v>
      </c>
      <c r="B74" t="s">
        <v>6297</v>
      </c>
      <c r="C74">
        <v>44</v>
      </c>
      <c r="D74">
        <v>9</v>
      </c>
      <c r="E74">
        <v>3</v>
      </c>
      <c r="F74">
        <v>56</v>
      </c>
      <c r="G74">
        <v>71</v>
      </c>
    </row>
    <row r="75" spans="1:7">
      <c r="A75">
        <v>1708</v>
      </c>
      <c r="B75" t="s">
        <v>5318</v>
      </c>
      <c r="C75">
        <v>44</v>
      </c>
      <c r="D75">
        <v>8</v>
      </c>
      <c r="E75">
        <v>3</v>
      </c>
      <c r="F75">
        <v>55</v>
      </c>
      <c r="G75">
        <v>74</v>
      </c>
    </row>
    <row r="76" spans="1:7">
      <c r="A76">
        <v>2233</v>
      </c>
      <c r="B76" t="s">
        <v>5418</v>
      </c>
      <c r="C76">
        <v>48</v>
      </c>
      <c r="D76">
        <v>7</v>
      </c>
      <c r="E76">
        <v>0</v>
      </c>
      <c r="F76">
        <v>55</v>
      </c>
      <c r="G76">
        <v>74</v>
      </c>
    </row>
    <row r="77" spans="1:7">
      <c r="A77">
        <v>6251</v>
      </c>
      <c r="B77" t="s">
        <v>6250</v>
      </c>
      <c r="C77">
        <v>52</v>
      </c>
      <c r="D77">
        <v>2</v>
      </c>
      <c r="E77">
        <v>1</v>
      </c>
      <c r="F77">
        <v>55</v>
      </c>
      <c r="G77">
        <v>74</v>
      </c>
    </row>
    <row r="78" spans="1:7">
      <c r="A78">
        <v>3232</v>
      </c>
      <c r="B78" t="s">
        <v>5752</v>
      </c>
      <c r="C78">
        <v>49</v>
      </c>
      <c r="D78">
        <v>5</v>
      </c>
      <c r="E78">
        <v>0</v>
      </c>
      <c r="F78">
        <v>54</v>
      </c>
      <c r="G78">
        <v>77</v>
      </c>
    </row>
    <row r="79" spans="1:7">
      <c r="A79">
        <v>3455</v>
      </c>
      <c r="B79" t="s">
        <v>5812</v>
      </c>
      <c r="C79">
        <v>39</v>
      </c>
      <c r="D79">
        <v>9</v>
      </c>
      <c r="E79">
        <v>6</v>
      </c>
      <c r="F79">
        <v>54</v>
      </c>
      <c r="G79">
        <v>77</v>
      </c>
    </row>
    <row r="80" spans="1:7">
      <c r="A80">
        <v>2314</v>
      </c>
      <c r="B80" t="s">
        <v>8471</v>
      </c>
      <c r="C80">
        <v>46</v>
      </c>
      <c r="D80">
        <v>4</v>
      </c>
      <c r="E80">
        <v>2</v>
      </c>
      <c r="F80">
        <v>52</v>
      </c>
      <c r="G80">
        <v>79</v>
      </c>
    </row>
    <row r="81" spans="1:7">
      <c r="A81">
        <v>2369</v>
      </c>
      <c r="B81" t="s">
        <v>5465</v>
      </c>
      <c r="C81">
        <v>50</v>
      </c>
      <c r="D81">
        <v>2</v>
      </c>
      <c r="E81">
        <v>0</v>
      </c>
      <c r="F81">
        <v>52</v>
      </c>
      <c r="G81">
        <v>79</v>
      </c>
    </row>
    <row r="82" spans="1:7">
      <c r="A82">
        <v>2641</v>
      </c>
      <c r="B82" t="s">
        <v>5597</v>
      </c>
      <c r="C82">
        <v>45</v>
      </c>
      <c r="D82">
        <v>7</v>
      </c>
      <c r="E82">
        <v>0</v>
      </c>
      <c r="F82">
        <v>52</v>
      </c>
      <c r="G82">
        <v>79</v>
      </c>
    </row>
    <row r="83" spans="1:7">
      <c r="A83">
        <v>4967</v>
      </c>
      <c r="B83" t="s">
        <v>6035</v>
      </c>
      <c r="C83">
        <v>48</v>
      </c>
      <c r="D83">
        <v>4</v>
      </c>
      <c r="E83">
        <v>0</v>
      </c>
      <c r="F83">
        <v>52</v>
      </c>
      <c r="G83">
        <v>79</v>
      </c>
    </row>
    <row r="84" spans="1:7">
      <c r="A84">
        <v>1560</v>
      </c>
      <c r="B84" t="s">
        <v>5284</v>
      </c>
      <c r="C84">
        <v>44</v>
      </c>
      <c r="D84">
        <v>7</v>
      </c>
      <c r="E84">
        <v>0</v>
      </c>
      <c r="F84">
        <v>51</v>
      </c>
      <c r="G84">
        <v>83</v>
      </c>
    </row>
    <row r="85" spans="1:7">
      <c r="A85">
        <v>2476</v>
      </c>
      <c r="B85" t="s">
        <v>5531</v>
      </c>
      <c r="C85">
        <v>44</v>
      </c>
      <c r="D85">
        <v>7</v>
      </c>
      <c r="E85">
        <v>0</v>
      </c>
      <c r="F85">
        <v>51</v>
      </c>
      <c r="G85">
        <v>83</v>
      </c>
    </row>
    <row r="86" spans="1:7">
      <c r="A86">
        <v>5285</v>
      </c>
      <c r="B86" t="s">
        <v>6075</v>
      </c>
      <c r="C86">
        <v>47</v>
      </c>
      <c r="D86">
        <v>4</v>
      </c>
      <c r="E86">
        <v>0</v>
      </c>
      <c r="F86">
        <v>51</v>
      </c>
      <c r="G86">
        <v>83</v>
      </c>
    </row>
    <row r="87" spans="1:7">
      <c r="A87">
        <v>6278</v>
      </c>
      <c r="B87" t="s">
        <v>6263</v>
      </c>
      <c r="C87">
        <v>41</v>
      </c>
      <c r="D87">
        <v>7</v>
      </c>
      <c r="E87">
        <v>3</v>
      </c>
      <c r="F87">
        <v>51</v>
      </c>
      <c r="G87">
        <v>83</v>
      </c>
    </row>
    <row r="88" spans="1:7">
      <c r="A88">
        <v>8289</v>
      </c>
      <c r="B88" t="s">
        <v>6429</v>
      </c>
      <c r="C88">
        <v>45</v>
      </c>
      <c r="D88">
        <v>6</v>
      </c>
      <c r="E88">
        <v>0</v>
      </c>
      <c r="F88">
        <v>51</v>
      </c>
      <c r="G88">
        <v>83</v>
      </c>
    </row>
    <row r="89" spans="1:7">
      <c r="A89">
        <v>2038</v>
      </c>
      <c r="B89" t="s">
        <v>5390</v>
      </c>
      <c r="C89">
        <v>45</v>
      </c>
      <c r="D89">
        <v>5</v>
      </c>
      <c r="E89">
        <v>0</v>
      </c>
      <c r="F89">
        <v>50</v>
      </c>
      <c r="G89">
        <v>88</v>
      </c>
    </row>
    <row r="90" spans="1:7">
      <c r="A90">
        <v>2342</v>
      </c>
      <c r="B90" t="s">
        <v>5445</v>
      </c>
      <c r="C90">
        <v>41</v>
      </c>
      <c r="D90">
        <v>8</v>
      </c>
      <c r="E90">
        <v>0</v>
      </c>
      <c r="F90">
        <v>49</v>
      </c>
      <c r="G90">
        <v>89</v>
      </c>
    </row>
    <row r="91" spans="1:7">
      <c r="A91">
        <v>3556</v>
      </c>
      <c r="B91" t="s">
        <v>5849</v>
      </c>
      <c r="C91">
        <v>43</v>
      </c>
      <c r="D91">
        <v>6</v>
      </c>
      <c r="E91">
        <v>0</v>
      </c>
      <c r="F91">
        <v>49</v>
      </c>
      <c r="G91">
        <v>89</v>
      </c>
    </row>
    <row r="92" spans="1:7">
      <c r="A92">
        <v>6229</v>
      </c>
      <c r="B92" t="s">
        <v>6237</v>
      </c>
      <c r="C92">
        <v>48</v>
      </c>
      <c r="D92">
        <v>1</v>
      </c>
      <c r="E92">
        <v>0</v>
      </c>
      <c r="F92">
        <v>49</v>
      </c>
      <c r="G92">
        <v>89</v>
      </c>
    </row>
    <row r="93" spans="1:7">
      <c r="A93">
        <v>3515</v>
      </c>
      <c r="B93" t="s">
        <v>5828</v>
      </c>
      <c r="C93">
        <v>42</v>
      </c>
      <c r="D93">
        <v>6</v>
      </c>
      <c r="E93">
        <v>0</v>
      </c>
      <c r="F93">
        <v>48</v>
      </c>
      <c r="G93">
        <v>92</v>
      </c>
    </row>
    <row r="94" spans="1:7">
      <c r="A94">
        <v>8103</v>
      </c>
      <c r="B94" t="s">
        <v>6401</v>
      </c>
      <c r="C94">
        <v>44</v>
      </c>
      <c r="D94">
        <v>3</v>
      </c>
      <c r="E94">
        <v>0</v>
      </c>
      <c r="F94">
        <v>47</v>
      </c>
      <c r="G94">
        <v>93</v>
      </c>
    </row>
    <row r="95" spans="1:7">
      <c r="A95">
        <v>2030</v>
      </c>
      <c r="B95" t="s">
        <v>5384</v>
      </c>
      <c r="C95">
        <v>41</v>
      </c>
      <c r="D95">
        <v>5</v>
      </c>
      <c r="E95">
        <v>0</v>
      </c>
      <c r="F95">
        <v>46</v>
      </c>
      <c r="G95">
        <v>94</v>
      </c>
    </row>
    <row r="96" spans="1:7">
      <c r="A96">
        <v>2401</v>
      </c>
      <c r="B96" t="s">
        <v>5484</v>
      </c>
      <c r="C96">
        <v>37</v>
      </c>
      <c r="D96">
        <v>8</v>
      </c>
      <c r="E96">
        <v>1</v>
      </c>
      <c r="F96">
        <v>46</v>
      </c>
      <c r="G96">
        <v>94</v>
      </c>
    </row>
    <row r="97" spans="1:7">
      <c r="A97">
        <v>3406</v>
      </c>
      <c r="B97" t="s">
        <v>5799</v>
      </c>
      <c r="C97">
        <v>39</v>
      </c>
      <c r="D97">
        <v>6</v>
      </c>
      <c r="E97">
        <v>1</v>
      </c>
      <c r="F97">
        <v>46</v>
      </c>
      <c r="G97">
        <v>94</v>
      </c>
    </row>
    <row r="98" spans="1:7">
      <c r="A98">
        <v>5014</v>
      </c>
      <c r="B98" t="s">
        <v>6050</v>
      </c>
      <c r="C98">
        <v>39</v>
      </c>
      <c r="D98">
        <v>7</v>
      </c>
      <c r="E98">
        <v>0</v>
      </c>
      <c r="F98">
        <v>46</v>
      </c>
      <c r="G98">
        <v>94</v>
      </c>
    </row>
    <row r="99" spans="1:7">
      <c r="A99">
        <v>3443</v>
      </c>
      <c r="B99" t="s">
        <v>5808</v>
      </c>
      <c r="C99">
        <v>43</v>
      </c>
      <c r="D99">
        <v>2</v>
      </c>
      <c r="E99">
        <v>0</v>
      </c>
      <c r="F99">
        <v>45</v>
      </c>
      <c r="G99">
        <v>98</v>
      </c>
    </row>
    <row r="100" spans="1:7">
      <c r="A100">
        <v>6438</v>
      </c>
      <c r="B100" t="s">
        <v>6284</v>
      </c>
      <c r="C100">
        <v>44</v>
      </c>
      <c r="D100">
        <v>1</v>
      </c>
      <c r="E100">
        <v>0</v>
      </c>
      <c r="F100">
        <v>45</v>
      </c>
      <c r="G100">
        <v>98</v>
      </c>
    </row>
    <row r="101" spans="1:7">
      <c r="A101">
        <v>2611</v>
      </c>
      <c r="B101" t="s">
        <v>5584</v>
      </c>
      <c r="C101">
        <v>41</v>
      </c>
      <c r="D101">
        <v>3</v>
      </c>
      <c r="E101">
        <v>0</v>
      </c>
      <c r="F101">
        <v>44</v>
      </c>
      <c r="G101">
        <v>100</v>
      </c>
    </row>
    <row r="102" spans="1:7">
      <c r="A102">
        <v>3483</v>
      </c>
      <c r="B102" t="s">
        <v>5816</v>
      </c>
      <c r="C102">
        <v>35</v>
      </c>
      <c r="D102">
        <v>8</v>
      </c>
      <c r="E102">
        <v>1</v>
      </c>
      <c r="F102">
        <v>44</v>
      </c>
      <c r="G102">
        <v>100</v>
      </c>
    </row>
    <row r="103" spans="1:7">
      <c r="A103">
        <v>3653</v>
      </c>
      <c r="B103" t="s">
        <v>5880</v>
      </c>
      <c r="C103">
        <v>41</v>
      </c>
      <c r="D103">
        <v>3</v>
      </c>
      <c r="E103">
        <v>0</v>
      </c>
      <c r="F103">
        <v>44</v>
      </c>
      <c r="G103">
        <v>100</v>
      </c>
    </row>
    <row r="104" spans="1:7">
      <c r="A104">
        <v>6672</v>
      </c>
      <c r="B104" t="s">
        <v>6353</v>
      </c>
      <c r="C104">
        <v>39</v>
      </c>
      <c r="D104">
        <v>3</v>
      </c>
      <c r="E104">
        <v>2</v>
      </c>
      <c r="F104">
        <v>44</v>
      </c>
      <c r="G104">
        <v>100</v>
      </c>
    </row>
    <row r="105" spans="1:7">
      <c r="A105">
        <v>1308</v>
      </c>
      <c r="B105" t="s">
        <v>5199</v>
      </c>
      <c r="C105">
        <v>41</v>
      </c>
      <c r="D105">
        <v>2</v>
      </c>
      <c r="E105">
        <v>0</v>
      </c>
      <c r="F105">
        <v>43</v>
      </c>
      <c r="G105">
        <v>104</v>
      </c>
    </row>
    <row r="106" spans="1:7">
      <c r="A106">
        <v>1316</v>
      </c>
      <c r="B106" t="s">
        <v>5206</v>
      </c>
      <c r="C106">
        <v>40</v>
      </c>
      <c r="D106">
        <v>3</v>
      </c>
      <c r="E106">
        <v>0</v>
      </c>
      <c r="F106">
        <v>43</v>
      </c>
      <c r="G106">
        <v>104</v>
      </c>
    </row>
    <row r="107" spans="1:7">
      <c r="A107">
        <v>3042</v>
      </c>
      <c r="B107" t="s">
        <v>5695</v>
      </c>
      <c r="C107">
        <v>34</v>
      </c>
      <c r="D107">
        <v>7</v>
      </c>
      <c r="E107">
        <v>2</v>
      </c>
      <c r="F107">
        <v>43</v>
      </c>
      <c r="G107">
        <v>104</v>
      </c>
    </row>
    <row r="108" spans="1:7">
      <c r="A108">
        <v>5609</v>
      </c>
      <c r="B108" t="s">
        <v>6135</v>
      </c>
      <c r="C108">
        <v>37</v>
      </c>
      <c r="D108">
        <v>5</v>
      </c>
      <c r="E108">
        <v>1</v>
      </c>
      <c r="F108">
        <v>43</v>
      </c>
      <c r="G108">
        <v>104</v>
      </c>
    </row>
    <row r="109" spans="1:7">
      <c r="A109">
        <v>6756</v>
      </c>
      <c r="B109" t="s">
        <v>6363</v>
      </c>
      <c r="C109">
        <v>35</v>
      </c>
      <c r="D109">
        <v>6</v>
      </c>
      <c r="E109">
        <v>2</v>
      </c>
      <c r="F109">
        <v>43</v>
      </c>
      <c r="G109">
        <v>104</v>
      </c>
    </row>
    <row r="110" spans="1:7">
      <c r="A110">
        <v>8183</v>
      </c>
      <c r="B110" t="s">
        <v>6416</v>
      </c>
      <c r="C110">
        <v>37</v>
      </c>
      <c r="D110">
        <v>6</v>
      </c>
      <c r="E110">
        <v>0</v>
      </c>
      <c r="F110">
        <v>43</v>
      </c>
      <c r="G110">
        <v>104</v>
      </c>
    </row>
    <row r="111" spans="1:7">
      <c r="A111">
        <v>1727</v>
      </c>
      <c r="B111" t="s">
        <v>5332</v>
      </c>
      <c r="C111">
        <v>37</v>
      </c>
      <c r="D111">
        <v>5</v>
      </c>
      <c r="E111">
        <v>0</v>
      </c>
      <c r="F111">
        <v>42</v>
      </c>
      <c r="G111">
        <v>110</v>
      </c>
    </row>
    <row r="112" spans="1:7">
      <c r="A112">
        <v>2457</v>
      </c>
      <c r="B112" t="s">
        <v>5517</v>
      </c>
      <c r="C112">
        <v>36</v>
      </c>
      <c r="D112">
        <v>6</v>
      </c>
      <c r="E112">
        <v>0</v>
      </c>
      <c r="F112">
        <v>42</v>
      </c>
      <c r="G112">
        <v>110</v>
      </c>
    </row>
    <row r="113" spans="1:7">
      <c r="A113">
        <v>3014</v>
      </c>
      <c r="B113" t="s">
        <v>5671</v>
      </c>
      <c r="C113">
        <v>32</v>
      </c>
      <c r="D113">
        <v>6</v>
      </c>
      <c r="E113">
        <v>4</v>
      </c>
      <c r="F113">
        <v>42</v>
      </c>
      <c r="G113">
        <v>110</v>
      </c>
    </row>
    <row r="114" spans="1:7">
      <c r="A114">
        <v>2358</v>
      </c>
      <c r="B114" t="s">
        <v>5457</v>
      </c>
      <c r="C114">
        <v>37</v>
      </c>
      <c r="D114">
        <v>4</v>
      </c>
      <c r="E114">
        <v>0</v>
      </c>
      <c r="F114">
        <v>41</v>
      </c>
      <c r="G114">
        <v>113</v>
      </c>
    </row>
    <row r="115" spans="1:7">
      <c r="A115">
        <v>3003</v>
      </c>
      <c r="B115" t="s">
        <v>5664</v>
      </c>
      <c r="C115">
        <v>38</v>
      </c>
      <c r="D115">
        <v>3</v>
      </c>
      <c r="E115">
        <v>0</v>
      </c>
      <c r="F115">
        <v>41</v>
      </c>
      <c r="G115">
        <v>113</v>
      </c>
    </row>
    <row r="116" spans="1:7">
      <c r="A116">
        <v>3041</v>
      </c>
      <c r="B116" t="s">
        <v>5694</v>
      </c>
      <c r="C116">
        <v>40</v>
      </c>
      <c r="D116">
        <v>1</v>
      </c>
      <c r="E116">
        <v>0</v>
      </c>
      <c r="F116">
        <v>41</v>
      </c>
      <c r="G116">
        <v>113</v>
      </c>
    </row>
    <row r="117" spans="1:7">
      <c r="A117">
        <v>3221</v>
      </c>
      <c r="B117" t="s">
        <v>5747</v>
      </c>
      <c r="C117">
        <v>40</v>
      </c>
      <c r="D117">
        <v>1</v>
      </c>
      <c r="E117">
        <v>0</v>
      </c>
      <c r="F117">
        <v>41</v>
      </c>
      <c r="G117">
        <v>113</v>
      </c>
    </row>
    <row r="118" spans="1:7">
      <c r="A118">
        <v>2642</v>
      </c>
      <c r="B118" t="s">
        <v>5598</v>
      </c>
      <c r="C118">
        <v>39</v>
      </c>
      <c r="D118">
        <v>1</v>
      </c>
      <c r="E118">
        <v>0</v>
      </c>
      <c r="F118">
        <v>40</v>
      </c>
      <c r="G118">
        <v>117</v>
      </c>
    </row>
    <row r="119" spans="1:7">
      <c r="A119">
        <v>3217</v>
      </c>
      <c r="B119" t="s">
        <v>5744</v>
      </c>
      <c r="C119">
        <v>29</v>
      </c>
      <c r="D119">
        <v>8</v>
      </c>
      <c r="E119">
        <v>3</v>
      </c>
      <c r="F119">
        <v>40</v>
      </c>
      <c r="G119">
        <v>117</v>
      </c>
    </row>
    <row r="120" spans="1:7">
      <c r="A120">
        <v>6226</v>
      </c>
      <c r="B120" t="s">
        <v>6235</v>
      </c>
      <c r="C120">
        <v>38</v>
      </c>
      <c r="D120">
        <v>2</v>
      </c>
      <c r="E120">
        <v>0</v>
      </c>
      <c r="F120">
        <v>40</v>
      </c>
      <c r="G120">
        <v>117</v>
      </c>
    </row>
    <row r="121" spans="1:7">
      <c r="A121">
        <v>6515</v>
      </c>
      <c r="B121" t="s">
        <v>6311</v>
      </c>
      <c r="C121">
        <v>37</v>
      </c>
      <c r="D121">
        <v>2</v>
      </c>
      <c r="E121">
        <v>1</v>
      </c>
      <c r="F121">
        <v>40</v>
      </c>
      <c r="G121">
        <v>117</v>
      </c>
    </row>
    <row r="122" spans="1:7">
      <c r="A122">
        <v>8086</v>
      </c>
      <c r="B122" t="s">
        <v>6394</v>
      </c>
      <c r="C122">
        <v>33</v>
      </c>
      <c r="D122">
        <v>4</v>
      </c>
      <c r="E122">
        <v>3</v>
      </c>
      <c r="F122">
        <v>40</v>
      </c>
      <c r="G122">
        <v>117</v>
      </c>
    </row>
    <row r="123" spans="1:7">
      <c r="A123">
        <v>2031</v>
      </c>
      <c r="B123" t="s">
        <v>5385</v>
      </c>
      <c r="C123">
        <v>35</v>
      </c>
      <c r="D123">
        <v>3</v>
      </c>
      <c r="E123">
        <v>1</v>
      </c>
      <c r="F123">
        <v>39</v>
      </c>
      <c r="G123">
        <v>122</v>
      </c>
    </row>
    <row r="124" spans="1:7">
      <c r="A124">
        <v>2465</v>
      </c>
      <c r="B124" t="s">
        <v>5524</v>
      </c>
      <c r="C124">
        <v>36</v>
      </c>
      <c r="D124">
        <v>3</v>
      </c>
      <c r="E124">
        <v>0</v>
      </c>
      <c r="F124">
        <v>39</v>
      </c>
      <c r="G124">
        <v>122</v>
      </c>
    </row>
    <row r="125" spans="1:7">
      <c r="A125">
        <v>3596</v>
      </c>
      <c r="B125" t="s">
        <v>5862</v>
      </c>
      <c r="C125">
        <v>30</v>
      </c>
      <c r="D125">
        <v>7</v>
      </c>
      <c r="E125">
        <v>2</v>
      </c>
      <c r="F125">
        <v>39</v>
      </c>
      <c r="G125">
        <v>122</v>
      </c>
    </row>
    <row r="126" spans="1:7">
      <c r="A126">
        <v>4760</v>
      </c>
      <c r="B126" t="s">
        <v>6005</v>
      </c>
      <c r="C126">
        <v>35</v>
      </c>
      <c r="D126">
        <v>3</v>
      </c>
      <c r="E126">
        <v>1</v>
      </c>
      <c r="F126">
        <v>39</v>
      </c>
      <c r="G126">
        <v>122</v>
      </c>
    </row>
    <row r="127" spans="1:7">
      <c r="A127">
        <v>6164</v>
      </c>
      <c r="B127" t="s">
        <v>6191</v>
      </c>
      <c r="C127">
        <v>36</v>
      </c>
      <c r="D127">
        <v>3</v>
      </c>
      <c r="E127">
        <v>0</v>
      </c>
      <c r="F127">
        <v>39</v>
      </c>
      <c r="G127">
        <v>122</v>
      </c>
    </row>
    <row r="128" spans="1:7">
      <c r="A128">
        <v>6205</v>
      </c>
      <c r="B128" t="s">
        <v>6219</v>
      </c>
      <c r="C128">
        <v>31</v>
      </c>
      <c r="D128">
        <v>6</v>
      </c>
      <c r="E128">
        <v>2</v>
      </c>
      <c r="F128">
        <v>39</v>
      </c>
      <c r="G128">
        <v>122</v>
      </c>
    </row>
    <row r="129" spans="1:7">
      <c r="A129">
        <v>6233</v>
      </c>
      <c r="B129" t="s">
        <v>6240</v>
      </c>
      <c r="C129">
        <v>32</v>
      </c>
      <c r="D129">
        <v>5</v>
      </c>
      <c r="E129">
        <v>2</v>
      </c>
      <c r="F129">
        <v>39</v>
      </c>
      <c r="G129">
        <v>122</v>
      </c>
    </row>
    <row r="130" spans="1:7">
      <c r="A130">
        <v>8040</v>
      </c>
      <c r="B130" t="s">
        <v>6376</v>
      </c>
      <c r="C130">
        <v>33</v>
      </c>
      <c r="D130">
        <v>6</v>
      </c>
      <c r="E130">
        <v>0</v>
      </c>
      <c r="F130">
        <v>39</v>
      </c>
      <c r="G130">
        <v>122</v>
      </c>
    </row>
    <row r="131" spans="1:7">
      <c r="A131">
        <v>2375</v>
      </c>
      <c r="B131" t="s">
        <v>5469</v>
      </c>
      <c r="C131">
        <v>29</v>
      </c>
      <c r="D131">
        <v>6</v>
      </c>
      <c r="E131">
        <v>3</v>
      </c>
      <c r="F131">
        <v>38</v>
      </c>
      <c r="G131">
        <v>130</v>
      </c>
    </row>
    <row r="132" spans="1:7">
      <c r="A132">
        <v>3264</v>
      </c>
      <c r="B132" t="s">
        <v>5758</v>
      </c>
      <c r="C132">
        <v>36</v>
      </c>
      <c r="D132">
        <v>2</v>
      </c>
      <c r="E132">
        <v>0</v>
      </c>
      <c r="F132">
        <v>38</v>
      </c>
      <c r="G132">
        <v>130</v>
      </c>
    </row>
    <row r="133" spans="1:7">
      <c r="A133">
        <v>3587</v>
      </c>
      <c r="B133" t="s">
        <v>5858</v>
      </c>
      <c r="C133">
        <v>34</v>
      </c>
      <c r="D133">
        <v>3</v>
      </c>
      <c r="E133">
        <v>1</v>
      </c>
      <c r="F133">
        <v>38</v>
      </c>
      <c r="G133">
        <v>130</v>
      </c>
    </row>
    <row r="134" spans="1:7">
      <c r="A134">
        <v>5009</v>
      </c>
      <c r="B134" t="s">
        <v>6047</v>
      </c>
      <c r="C134">
        <v>27</v>
      </c>
      <c r="D134">
        <v>9</v>
      </c>
      <c r="E134">
        <v>2</v>
      </c>
      <c r="F134">
        <v>38</v>
      </c>
      <c r="G134">
        <v>130</v>
      </c>
    </row>
    <row r="135" spans="1:7">
      <c r="A135">
        <v>6235</v>
      </c>
      <c r="B135" t="s">
        <v>6242</v>
      </c>
      <c r="C135">
        <v>29</v>
      </c>
      <c r="D135">
        <v>8</v>
      </c>
      <c r="E135">
        <v>1</v>
      </c>
      <c r="F135">
        <v>38</v>
      </c>
      <c r="G135">
        <v>130</v>
      </c>
    </row>
    <row r="136" spans="1:7">
      <c r="A136">
        <v>2376</v>
      </c>
      <c r="B136" t="s">
        <v>5470</v>
      </c>
      <c r="C136">
        <v>34</v>
      </c>
      <c r="D136">
        <v>2</v>
      </c>
      <c r="E136">
        <v>1</v>
      </c>
      <c r="F136">
        <v>37</v>
      </c>
      <c r="G136">
        <v>135</v>
      </c>
    </row>
    <row r="137" spans="1:7">
      <c r="A137">
        <v>2618</v>
      </c>
      <c r="B137" t="s">
        <v>5591</v>
      </c>
      <c r="C137">
        <v>31</v>
      </c>
      <c r="D137">
        <v>4</v>
      </c>
      <c r="E137">
        <v>2</v>
      </c>
      <c r="F137">
        <v>37</v>
      </c>
      <c r="G137">
        <v>135</v>
      </c>
    </row>
    <row r="138" spans="1:7">
      <c r="A138">
        <v>3552</v>
      </c>
      <c r="B138" t="s">
        <v>5848</v>
      </c>
      <c r="C138">
        <v>34</v>
      </c>
      <c r="D138">
        <v>3</v>
      </c>
      <c r="E138">
        <v>0</v>
      </c>
      <c r="F138">
        <v>37</v>
      </c>
      <c r="G138">
        <v>135</v>
      </c>
    </row>
    <row r="139" spans="1:7">
      <c r="A139">
        <v>5011</v>
      </c>
      <c r="B139" t="s">
        <v>6048</v>
      </c>
      <c r="C139">
        <v>32</v>
      </c>
      <c r="D139">
        <v>5</v>
      </c>
      <c r="E139">
        <v>0</v>
      </c>
      <c r="F139">
        <v>37</v>
      </c>
      <c r="G139">
        <v>135</v>
      </c>
    </row>
    <row r="140" spans="1:7">
      <c r="A140">
        <v>6435</v>
      </c>
      <c r="B140" t="s">
        <v>6283</v>
      </c>
      <c r="C140">
        <v>29</v>
      </c>
      <c r="D140">
        <v>8</v>
      </c>
      <c r="E140">
        <v>0</v>
      </c>
      <c r="F140">
        <v>37</v>
      </c>
      <c r="G140">
        <v>135</v>
      </c>
    </row>
    <row r="141" spans="1:7">
      <c r="A141">
        <v>9958</v>
      </c>
      <c r="B141" t="s">
        <v>6522</v>
      </c>
      <c r="C141">
        <v>30</v>
      </c>
      <c r="D141">
        <v>4</v>
      </c>
      <c r="E141">
        <v>3</v>
      </c>
      <c r="F141">
        <v>37</v>
      </c>
      <c r="G141">
        <v>135</v>
      </c>
    </row>
    <row r="142" spans="1:7">
      <c r="A142">
        <v>2605</v>
      </c>
      <c r="B142" t="s">
        <v>5578</v>
      </c>
      <c r="C142">
        <v>33</v>
      </c>
      <c r="D142">
        <v>3</v>
      </c>
      <c r="E142">
        <v>0</v>
      </c>
      <c r="F142">
        <v>36</v>
      </c>
      <c r="G142">
        <v>141</v>
      </c>
    </row>
    <row r="143" spans="1:7">
      <c r="A143">
        <v>3062</v>
      </c>
      <c r="B143" t="s">
        <v>5709</v>
      </c>
      <c r="C143">
        <v>32</v>
      </c>
      <c r="D143">
        <v>4</v>
      </c>
      <c r="E143">
        <v>0</v>
      </c>
      <c r="F143">
        <v>36</v>
      </c>
      <c r="G143">
        <v>141</v>
      </c>
    </row>
    <row r="144" spans="1:7">
      <c r="A144">
        <v>3092</v>
      </c>
      <c r="B144" t="s">
        <v>5717</v>
      </c>
      <c r="C144">
        <v>32</v>
      </c>
      <c r="D144">
        <v>3</v>
      </c>
      <c r="E144">
        <v>1</v>
      </c>
      <c r="F144">
        <v>36</v>
      </c>
      <c r="G144">
        <v>141</v>
      </c>
    </row>
    <row r="145" spans="1:7">
      <c r="A145">
        <v>3508</v>
      </c>
      <c r="B145" t="s">
        <v>5826</v>
      </c>
      <c r="C145">
        <v>32</v>
      </c>
      <c r="D145">
        <v>4</v>
      </c>
      <c r="E145">
        <v>0</v>
      </c>
      <c r="F145">
        <v>36</v>
      </c>
      <c r="G145">
        <v>141</v>
      </c>
    </row>
    <row r="146" spans="1:7">
      <c r="A146">
        <v>6261</v>
      </c>
      <c r="B146" t="s">
        <v>6252</v>
      </c>
      <c r="C146">
        <v>26</v>
      </c>
      <c r="D146">
        <v>9</v>
      </c>
      <c r="E146">
        <v>1</v>
      </c>
      <c r="F146">
        <v>36</v>
      </c>
      <c r="G146">
        <v>141</v>
      </c>
    </row>
    <row r="147" spans="1:7">
      <c r="A147">
        <v>6533</v>
      </c>
      <c r="B147" t="s">
        <v>6318</v>
      </c>
      <c r="C147">
        <v>35</v>
      </c>
      <c r="D147">
        <v>1</v>
      </c>
      <c r="E147">
        <v>0</v>
      </c>
      <c r="F147">
        <v>36</v>
      </c>
      <c r="G147">
        <v>141</v>
      </c>
    </row>
    <row r="148" spans="1:7">
      <c r="A148">
        <v>1570</v>
      </c>
      <c r="B148" t="s">
        <v>5288</v>
      </c>
      <c r="C148">
        <v>29</v>
      </c>
      <c r="D148">
        <v>5</v>
      </c>
      <c r="E148">
        <v>1</v>
      </c>
      <c r="F148">
        <v>35</v>
      </c>
      <c r="G148">
        <v>147</v>
      </c>
    </row>
    <row r="149" spans="1:7">
      <c r="A149">
        <v>2014</v>
      </c>
      <c r="B149" t="s">
        <v>5375</v>
      </c>
      <c r="C149">
        <v>33</v>
      </c>
      <c r="D149">
        <v>2</v>
      </c>
      <c r="E149">
        <v>0</v>
      </c>
      <c r="F149">
        <v>35</v>
      </c>
      <c r="G149">
        <v>147</v>
      </c>
    </row>
    <row r="150" spans="1:7">
      <c r="A150">
        <v>2498</v>
      </c>
      <c r="B150" t="s">
        <v>5549</v>
      </c>
      <c r="C150">
        <v>34</v>
      </c>
      <c r="D150">
        <v>1</v>
      </c>
      <c r="E150">
        <v>0</v>
      </c>
      <c r="F150">
        <v>35</v>
      </c>
      <c r="G150">
        <v>147</v>
      </c>
    </row>
    <row r="151" spans="1:7">
      <c r="A151">
        <v>3094</v>
      </c>
      <c r="B151" t="s">
        <v>5718</v>
      </c>
      <c r="C151">
        <v>33</v>
      </c>
      <c r="D151">
        <v>2</v>
      </c>
      <c r="E151">
        <v>0</v>
      </c>
      <c r="F151">
        <v>35</v>
      </c>
      <c r="G151">
        <v>147</v>
      </c>
    </row>
    <row r="152" spans="1:7">
      <c r="A152">
        <v>1760</v>
      </c>
      <c r="B152" t="s">
        <v>5343</v>
      </c>
      <c r="C152">
        <v>29</v>
      </c>
      <c r="D152">
        <v>4</v>
      </c>
      <c r="E152">
        <v>1</v>
      </c>
      <c r="F152">
        <v>34</v>
      </c>
      <c r="G152">
        <v>151</v>
      </c>
    </row>
    <row r="153" spans="1:7">
      <c r="A153">
        <v>3504</v>
      </c>
      <c r="B153" t="s">
        <v>5825</v>
      </c>
      <c r="C153">
        <v>31</v>
      </c>
      <c r="D153">
        <v>2</v>
      </c>
      <c r="E153">
        <v>1</v>
      </c>
      <c r="F153">
        <v>34</v>
      </c>
      <c r="G153">
        <v>151</v>
      </c>
    </row>
    <row r="154" spans="1:7">
      <c r="A154">
        <v>4968</v>
      </c>
      <c r="B154" t="s">
        <v>6036</v>
      </c>
      <c r="C154">
        <v>33</v>
      </c>
      <c r="D154">
        <v>1</v>
      </c>
      <c r="E154">
        <v>0</v>
      </c>
      <c r="F154">
        <v>34</v>
      </c>
      <c r="G154">
        <v>151</v>
      </c>
    </row>
    <row r="155" spans="1:7">
      <c r="A155">
        <v>8024</v>
      </c>
      <c r="B155" t="s">
        <v>6371</v>
      </c>
      <c r="C155">
        <v>31</v>
      </c>
      <c r="D155">
        <v>3</v>
      </c>
      <c r="E155">
        <v>0</v>
      </c>
      <c r="F155">
        <v>34</v>
      </c>
      <c r="G155">
        <v>151</v>
      </c>
    </row>
    <row r="156" spans="1:7">
      <c r="A156">
        <v>8440</v>
      </c>
      <c r="B156" t="s">
        <v>6452</v>
      </c>
      <c r="C156">
        <v>30</v>
      </c>
      <c r="D156">
        <v>4</v>
      </c>
      <c r="E156">
        <v>0</v>
      </c>
      <c r="F156">
        <v>34</v>
      </c>
      <c r="G156">
        <v>151</v>
      </c>
    </row>
    <row r="157" spans="1:7">
      <c r="A157">
        <v>2069</v>
      </c>
      <c r="B157" t="s">
        <v>5395</v>
      </c>
      <c r="C157">
        <v>31</v>
      </c>
      <c r="D157">
        <v>2</v>
      </c>
      <c r="E157">
        <v>0</v>
      </c>
      <c r="F157">
        <v>33</v>
      </c>
      <c r="G157">
        <v>156</v>
      </c>
    </row>
    <row r="158" spans="1:7">
      <c r="A158">
        <v>2313</v>
      </c>
      <c r="B158" t="s">
        <v>5431</v>
      </c>
      <c r="C158">
        <v>27</v>
      </c>
      <c r="D158">
        <v>5</v>
      </c>
      <c r="E158">
        <v>1</v>
      </c>
      <c r="F158">
        <v>33</v>
      </c>
      <c r="G158">
        <v>156</v>
      </c>
    </row>
    <row r="159" spans="1:7">
      <c r="A159">
        <v>2497</v>
      </c>
      <c r="B159" t="s">
        <v>5548</v>
      </c>
      <c r="C159">
        <v>28</v>
      </c>
      <c r="D159">
        <v>5</v>
      </c>
      <c r="E159">
        <v>0</v>
      </c>
      <c r="F159">
        <v>33</v>
      </c>
      <c r="G159">
        <v>156</v>
      </c>
    </row>
    <row r="160" spans="1:7">
      <c r="A160">
        <v>2614</v>
      </c>
      <c r="B160" t="s">
        <v>5587</v>
      </c>
      <c r="C160">
        <v>29</v>
      </c>
      <c r="D160">
        <v>4</v>
      </c>
      <c r="E160">
        <v>0</v>
      </c>
      <c r="F160">
        <v>33</v>
      </c>
      <c r="G160">
        <v>156</v>
      </c>
    </row>
    <row r="161" spans="1:7">
      <c r="A161">
        <v>3033</v>
      </c>
      <c r="B161" t="s">
        <v>5687</v>
      </c>
      <c r="C161">
        <v>31</v>
      </c>
      <c r="D161">
        <v>2</v>
      </c>
      <c r="E161">
        <v>0</v>
      </c>
      <c r="F161">
        <v>33</v>
      </c>
      <c r="G161">
        <v>156</v>
      </c>
    </row>
    <row r="162" spans="1:7">
      <c r="A162">
        <v>3714</v>
      </c>
      <c r="B162" t="s">
        <v>5907</v>
      </c>
      <c r="C162">
        <v>26</v>
      </c>
      <c r="D162">
        <v>6</v>
      </c>
      <c r="E162">
        <v>1</v>
      </c>
      <c r="F162">
        <v>33</v>
      </c>
      <c r="G162">
        <v>156</v>
      </c>
    </row>
    <row r="163" spans="1:7">
      <c r="A163">
        <v>4976</v>
      </c>
      <c r="B163" t="s">
        <v>6040</v>
      </c>
      <c r="C163">
        <v>31</v>
      </c>
      <c r="D163">
        <v>2</v>
      </c>
      <c r="E163">
        <v>0</v>
      </c>
      <c r="F163">
        <v>33</v>
      </c>
      <c r="G163">
        <v>156</v>
      </c>
    </row>
    <row r="164" spans="1:7">
      <c r="A164">
        <v>1455</v>
      </c>
      <c r="B164" t="s">
        <v>5242</v>
      </c>
      <c r="C164">
        <v>29</v>
      </c>
      <c r="D164">
        <v>3</v>
      </c>
      <c r="E164">
        <v>0</v>
      </c>
      <c r="F164">
        <v>32</v>
      </c>
      <c r="G164">
        <v>163</v>
      </c>
    </row>
    <row r="165" spans="1:7">
      <c r="A165">
        <v>1762</v>
      </c>
      <c r="B165" t="s">
        <v>5344</v>
      </c>
      <c r="C165">
        <v>27</v>
      </c>
      <c r="D165">
        <v>4</v>
      </c>
      <c r="E165">
        <v>1</v>
      </c>
      <c r="F165">
        <v>32</v>
      </c>
      <c r="G165">
        <v>163</v>
      </c>
    </row>
    <row r="166" spans="1:7">
      <c r="A166">
        <v>4133</v>
      </c>
      <c r="B166" t="s">
        <v>5925</v>
      </c>
      <c r="C166">
        <v>30</v>
      </c>
      <c r="D166">
        <v>2</v>
      </c>
      <c r="E166">
        <v>0</v>
      </c>
      <c r="F166">
        <v>32</v>
      </c>
      <c r="G166">
        <v>163</v>
      </c>
    </row>
    <row r="167" spans="1:7">
      <c r="A167">
        <v>4513</v>
      </c>
      <c r="B167" t="s">
        <v>5962</v>
      </c>
      <c r="C167">
        <v>30</v>
      </c>
      <c r="D167">
        <v>2</v>
      </c>
      <c r="E167">
        <v>0</v>
      </c>
      <c r="F167">
        <v>32</v>
      </c>
      <c r="G167">
        <v>163</v>
      </c>
    </row>
    <row r="168" spans="1:7">
      <c r="A168">
        <v>5258</v>
      </c>
      <c r="B168" t="s">
        <v>6067</v>
      </c>
      <c r="C168">
        <v>31</v>
      </c>
      <c r="D168">
        <v>1</v>
      </c>
      <c r="E168">
        <v>0</v>
      </c>
      <c r="F168">
        <v>32</v>
      </c>
      <c r="G168">
        <v>163</v>
      </c>
    </row>
    <row r="169" spans="1:7">
      <c r="A169">
        <v>5321</v>
      </c>
      <c r="B169" t="s">
        <v>6083</v>
      </c>
      <c r="C169">
        <v>28</v>
      </c>
      <c r="D169">
        <v>4</v>
      </c>
      <c r="E169">
        <v>0</v>
      </c>
      <c r="F169">
        <v>32</v>
      </c>
      <c r="G169">
        <v>163</v>
      </c>
    </row>
    <row r="170" spans="1:7">
      <c r="A170">
        <v>6224</v>
      </c>
      <c r="B170" t="s">
        <v>6234</v>
      </c>
      <c r="C170">
        <v>26</v>
      </c>
      <c r="D170">
        <v>4</v>
      </c>
      <c r="E170">
        <v>2</v>
      </c>
      <c r="F170">
        <v>32</v>
      </c>
      <c r="G170">
        <v>163</v>
      </c>
    </row>
    <row r="171" spans="1:7">
      <c r="A171">
        <v>6282</v>
      </c>
      <c r="B171" t="s">
        <v>6266</v>
      </c>
      <c r="C171">
        <v>21</v>
      </c>
      <c r="D171">
        <v>7</v>
      </c>
      <c r="E171">
        <v>4</v>
      </c>
      <c r="F171">
        <v>32</v>
      </c>
      <c r="G171">
        <v>163</v>
      </c>
    </row>
    <row r="172" spans="1:7">
      <c r="A172">
        <v>8215</v>
      </c>
      <c r="B172" t="s">
        <v>6420</v>
      </c>
      <c r="C172">
        <v>26</v>
      </c>
      <c r="D172">
        <v>6</v>
      </c>
      <c r="E172">
        <v>0</v>
      </c>
      <c r="F172">
        <v>32</v>
      </c>
      <c r="G172">
        <v>163</v>
      </c>
    </row>
    <row r="173" spans="1:7">
      <c r="A173">
        <v>1711</v>
      </c>
      <c r="B173" t="s">
        <v>5321</v>
      </c>
      <c r="C173">
        <v>24</v>
      </c>
      <c r="D173">
        <v>6</v>
      </c>
      <c r="E173">
        <v>1</v>
      </c>
      <c r="F173">
        <v>31</v>
      </c>
      <c r="G173">
        <v>172</v>
      </c>
    </row>
    <row r="174" spans="1:7">
      <c r="A174">
        <v>1721</v>
      </c>
      <c r="B174" t="s">
        <v>5328</v>
      </c>
      <c r="C174">
        <v>27</v>
      </c>
      <c r="D174">
        <v>4</v>
      </c>
      <c r="E174">
        <v>0</v>
      </c>
      <c r="F174">
        <v>31</v>
      </c>
      <c r="G174">
        <v>172</v>
      </c>
    </row>
    <row r="175" spans="1:7">
      <c r="A175">
        <v>2393</v>
      </c>
      <c r="B175" t="s">
        <v>5480</v>
      </c>
      <c r="C175">
        <v>29</v>
      </c>
      <c r="D175">
        <v>2</v>
      </c>
      <c r="E175">
        <v>0</v>
      </c>
      <c r="F175">
        <v>31</v>
      </c>
      <c r="G175">
        <v>172</v>
      </c>
    </row>
    <row r="176" spans="1:7">
      <c r="A176">
        <v>2484</v>
      </c>
      <c r="B176" t="s">
        <v>5538</v>
      </c>
      <c r="C176">
        <v>29</v>
      </c>
      <c r="D176">
        <v>2</v>
      </c>
      <c r="E176">
        <v>0</v>
      </c>
      <c r="F176">
        <v>31</v>
      </c>
      <c r="G176">
        <v>172</v>
      </c>
    </row>
    <row r="177" spans="1:7">
      <c r="A177">
        <v>3605</v>
      </c>
      <c r="B177" t="s">
        <v>5864</v>
      </c>
      <c r="C177">
        <v>29</v>
      </c>
      <c r="D177">
        <v>2</v>
      </c>
      <c r="E177">
        <v>0</v>
      </c>
      <c r="F177">
        <v>31</v>
      </c>
      <c r="G177">
        <v>172</v>
      </c>
    </row>
    <row r="178" spans="1:7">
      <c r="A178">
        <v>6269</v>
      </c>
      <c r="B178" t="s">
        <v>6256</v>
      </c>
      <c r="C178">
        <v>26</v>
      </c>
      <c r="D178">
        <v>3</v>
      </c>
      <c r="E178">
        <v>2</v>
      </c>
      <c r="F178">
        <v>31</v>
      </c>
      <c r="G178">
        <v>172</v>
      </c>
    </row>
    <row r="179" spans="1:7">
      <c r="A179">
        <v>8081</v>
      </c>
      <c r="B179" t="s">
        <v>6392</v>
      </c>
      <c r="C179">
        <v>27</v>
      </c>
      <c r="D179">
        <v>3</v>
      </c>
      <c r="E179">
        <v>1</v>
      </c>
      <c r="F179">
        <v>31</v>
      </c>
      <c r="G179">
        <v>172</v>
      </c>
    </row>
    <row r="180" spans="1:7">
      <c r="A180">
        <v>9962</v>
      </c>
      <c r="B180" t="s">
        <v>6523</v>
      </c>
      <c r="C180">
        <v>27</v>
      </c>
      <c r="D180">
        <v>4</v>
      </c>
      <c r="E180">
        <v>0</v>
      </c>
      <c r="F180">
        <v>31</v>
      </c>
      <c r="G180">
        <v>172</v>
      </c>
    </row>
    <row r="181" spans="1:7">
      <c r="A181">
        <v>1529</v>
      </c>
      <c r="B181" t="s">
        <v>5272</v>
      </c>
      <c r="C181">
        <v>26</v>
      </c>
      <c r="D181">
        <v>4</v>
      </c>
      <c r="E181">
        <v>0</v>
      </c>
      <c r="F181">
        <v>30</v>
      </c>
      <c r="G181">
        <v>180</v>
      </c>
    </row>
    <row r="182" spans="1:7">
      <c r="A182">
        <v>1795</v>
      </c>
      <c r="B182" t="s">
        <v>5353</v>
      </c>
      <c r="C182">
        <v>25</v>
      </c>
      <c r="D182">
        <v>4</v>
      </c>
      <c r="E182">
        <v>1</v>
      </c>
      <c r="F182">
        <v>30</v>
      </c>
      <c r="G182">
        <v>180</v>
      </c>
    </row>
    <row r="183" spans="1:7">
      <c r="A183">
        <v>2329</v>
      </c>
      <c r="B183" t="s">
        <v>5438</v>
      </c>
      <c r="C183">
        <v>30</v>
      </c>
      <c r="D183">
        <v>0</v>
      </c>
      <c r="E183">
        <v>0</v>
      </c>
      <c r="F183">
        <v>30</v>
      </c>
      <c r="G183">
        <v>180</v>
      </c>
    </row>
    <row r="184" spans="1:7">
      <c r="A184">
        <v>2606</v>
      </c>
      <c r="B184" t="s">
        <v>5579</v>
      </c>
      <c r="C184">
        <v>28</v>
      </c>
      <c r="D184">
        <v>2</v>
      </c>
      <c r="E184">
        <v>0</v>
      </c>
      <c r="F184">
        <v>30</v>
      </c>
      <c r="G184">
        <v>180</v>
      </c>
    </row>
    <row r="185" spans="1:7">
      <c r="A185">
        <v>2637</v>
      </c>
      <c r="B185" t="s">
        <v>5595</v>
      </c>
      <c r="C185">
        <v>28</v>
      </c>
      <c r="D185">
        <v>2</v>
      </c>
      <c r="E185">
        <v>0</v>
      </c>
      <c r="F185">
        <v>30</v>
      </c>
      <c r="G185">
        <v>180</v>
      </c>
    </row>
    <row r="186" spans="1:7">
      <c r="A186">
        <v>5272</v>
      </c>
      <c r="B186" t="s">
        <v>6070</v>
      </c>
      <c r="C186">
        <v>29</v>
      </c>
      <c r="D186">
        <v>1</v>
      </c>
      <c r="E186">
        <v>0</v>
      </c>
      <c r="F186">
        <v>30</v>
      </c>
      <c r="G186">
        <v>180</v>
      </c>
    </row>
    <row r="187" spans="1:7">
      <c r="A187">
        <v>5603</v>
      </c>
      <c r="B187" t="s">
        <v>6131</v>
      </c>
      <c r="C187">
        <v>27</v>
      </c>
      <c r="D187">
        <v>3</v>
      </c>
      <c r="E187">
        <v>0</v>
      </c>
      <c r="F187">
        <v>30</v>
      </c>
      <c r="G187">
        <v>180</v>
      </c>
    </row>
    <row r="188" spans="1:7">
      <c r="A188">
        <v>6168</v>
      </c>
      <c r="B188" t="s">
        <v>6194</v>
      </c>
      <c r="C188">
        <v>27</v>
      </c>
      <c r="D188">
        <v>3</v>
      </c>
      <c r="E188">
        <v>0</v>
      </c>
      <c r="F188">
        <v>30</v>
      </c>
      <c r="G188">
        <v>180</v>
      </c>
    </row>
    <row r="189" spans="1:7">
      <c r="A189">
        <v>6170</v>
      </c>
      <c r="B189" t="s">
        <v>6195</v>
      </c>
      <c r="C189">
        <v>30</v>
      </c>
      <c r="D189">
        <v>0</v>
      </c>
      <c r="E189">
        <v>0</v>
      </c>
      <c r="F189">
        <v>30</v>
      </c>
      <c r="G189">
        <v>180</v>
      </c>
    </row>
    <row r="190" spans="1:7">
      <c r="A190">
        <v>2337</v>
      </c>
      <c r="B190" t="s">
        <v>5442</v>
      </c>
      <c r="C190">
        <v>26</v>
      </c>
      <c r="D190">
        <v>2</v>
      </c>
      <c r="E190">
        <v>1</v>
      </c>
      <c r="F190">
        <v>29</v>
      </c>
      <c r="G190">
        <v>189</v>
      </c>
    </row>
    <row r="191" spans="1:7">
      <c r="A191">
        <v>2363</v>
      </c>
      <c r="B191" t="s">
        <v>5461</v>
      </c>
      <c r="C191">
        <v>23</v>
      </c>
      <c r="D191">
        <v>4</v>
      </c>
      <c r="E191">
        <v>2</v>
      </c>
      <c r="F191">
        <v>29</v>
      </c>
      <c r="G191">
        <v>189</v>
      </c>
    </row>
    <row r="192" spans="1:7">
      <c r="A192">
        <v>2610</v>
      </c>
      <c r="B192" t="s">
        <v>5583</v>
      </c>
      <c r="C192">
        <v>26</v>
      </c>
      <c r="D192">
        <v>2</v>
      </c>
      <c r="E192">
        <v>1</v>
      </c>
      <c r="F192">
        <v>29</v>
      </c>
      <c r="G192">
        <v>189</v>
      </c>
    </row>
    <row r="193" spans="1:7">
      <c r="A193">
        <v>3511</v>
      </c>
      <c r="B193" t="s">
        <v>5827</v>
      </c>
      <c r="C193">
        <v>26</v>
      </c>
      <c r="D193">
        <v>3</v>
      </c>
      <c r="E193">
        <v>0</v>
      </c>
      <c r="F193">
        <v>29</v>
      </c>
      <c r="G193">
        <v>189</v>
      </c>
    </row>
    <row r="194" spans="1:7">
      <c r="A194">
        <v>3551</v>
      </c>
      <c r="B194" t="s">
        <v>5847</v>
      </c>
      <c r="C194">
        <v>25</v>
      </c>
      <c r="D194">
        <v>3</v>
      </c>
      <c r="E194">
        <v>1</v>
      </c>
      <c r="F194">
        <v>29</v>
      </c>
      <c r="G194">
        <v>189</v>
      </c>
    </row>
    <row r="195" spans="1:7">
      <c r="A195">
        <v>6143</v>
      </c>
      <c r="B195" t="s">
        <v>6177</v>
      </c>
      <c r="C195">
        <v>24</v>
      </c>
      <c r="D195">
        <v>5</v>
      </c>
      <c r="E195">
        <v>0</v>
      </c>
      <c r="F195">
        <v>29</v>
      </c>
      <c r="G195">
        <v>189</v>
      </c>
    </row>
    <row r="196" spans="1:7">
      <c r="A196">
        <v>8021</v>
      </c>
      <c r="B196" t="s">
        <v>6370</v>
      </c>
      <c r="C196">
        <v>29</v>
      </c>
      <c r="D196">
        <v>0</v>
      </c>
      <c r="E196">
        <v>0</v>
      </c>
      <c r="F196">
        <v>29</v>
      </c>
      <c r="G196">
        <v>189</v>
      </c>
    </row>
    <row r="197" spans="1:7">
      <c r="A197">
        <v>2406</v>
      </c>
      <c r="B197" t="s">
        <v>5487</v>
      </c>
      <c r="C197">
        <v>24</v>
      </c>
      <c r="D197">
        <v>3</v>
      </c>
      <c r="E197">
        <v>1</v>
      </c>
      <c r="F197">
        <v>28</v>
      </c>
      <c r="G197">
        <v>196</v>
      </c>
    </row>
    <row r="198" spans="1:7">
      <c r="A198">
        <v>2601</v>
      </c>
      <c r="B198" t="s">
        <v>5576</v>
      </c>
      <c r="C198">
        <v>27</v>
      </c>
      <c r="D198">
        <v>1</v>
      </c>
      <c r="E198">
        <v>0</v>
      </c>
      <c r="F198">
        <v>28</v>
      </c>
      <c r="G198">
        <v>196</v>
      </c>
    </row>
    <row r="199" spans="1:7">
      <c r="A199">
        <v>2617</v>
      </c>
      <c r="B199" t="s">
        <v>5590</v>
      </c>
      <c r="C199">
        <v>26</v>
      </c>
      <c r="D199">
        <v>2</v>
      </c>
      <c r="E199">
        <v>0</v>
      </c>
      <c r="F199">
        <v>28</v>
      </c>
      <c r="G199">
        <v>196</v>
      </c>
    </row>
    <row r="200" spans="1:7">
      <c r="A200">
        <v>3207</v>
      </c>
      <c r="B200" t="s">
        <v>5740</v>
      </c>
      <c r="C200">
        <v>26</v>
      </c>
      <c r="D200">
        <v>2</v>
      </c>
      <c r="E200">
        <v>0</v>
      </c>
      <c r="F200">
        <v>28</v>
      </c>
      <c r="G200">
        <v>196</v>
      </c>
    </row>
    <row r="201" spans="1:7">
      <c r="A201">
        <v>3546</v>
      </c>
      <c r="B201" t="s">
        <v>5844</v>
      </c>
      <c r="C201">
        <v>26</v>
      </c>
      <c r="D201">
        <v>2</v>
      </c>
      <c r="E201">
        <v>0</v>
      </c>
      <c r="F201">
        <v>28</v>
      </c>
      <c r="G201">
        <v>196</v>
      </c>
    </row>
    <row r="202" spans="1:7">
      <c r="A202">
        <v>6118</v>
      </c>
      <c r="B202" t="s">
        <v>6161</v>
      </c>
      <c r="C202">
        <v>25</v>
      </c>
      <c r="D202">
        <v>3</v>
      </c>
      <c r="E202">
        <v>0</v>
      </c>
      <c r="F202">
        <v>28</v>
      </c>
      <c r="G202">
        <v>196</v>
      </c>
    </row>
    <row r="203" spans="1:7">
      <c r="A203">
        <v>6491</v>
      </c>
      <c r="B203" t="s">
        <v>6301</v>
      </c>
      <c r="C203">
        <v>28</v>
      </c>
      <c r="D203">
        <v>0</v>
      </c>
      <c r="E203">
        <v>0</v>
      </c>
      <c r="F203">
        <v>28</v>
      </c>
      <c r="G203">
        <v>196</v>
      </c>
    </row>
    <row r="204" spans="1:7">
      <c r="A204">
        <v>6643</v>
      </c>
      <c r="B204" t="s">
        <v>6342</v>
      </c>
      <c r="C204">
        <v>24</v>
      </c>
      <c r="D204">
        <v>4</v>
      </c>
      <c r="E204">
        <v>0</v>
      </c>
      <c r="F204">
        <v>28</v>
      </c>
      <c r="G204">
        <v>196</v>
      </c>
    </row>
    <row r="205" spans="1:7">
      <c r="A205">
        <v>8064</v>
      </c>
      <c r="B205" t="s">
        <v>6385</v>
      </c>
      <c r="C205">
        <v>24</v>
      </c>
      <c r="D205">
        <v>3</v>
      </c>
      <c r="E205">
        <v>1</v>
      </c>
      <c r="F205">
        <v>28</v>
      </c>
      <c r="G205">
        <v>196</v>
      </c>
    </row>
    <row r="206" spans="1:7">
      <c r="A206">
        <v>8104</v>
      </c>
      <c r="B206" t="s">
        <v>6402</v>
      </c>
      <c r="C206">
        <v>25</v>
      </c>
      <c r="D206">
        <v>2</v>
      </c>
      <c r="E206">
        <v>1</v>
      </c>
      <c r="F206">
        <v>28</v>
      </c>
      <c r="G206">
        <v>196</v>
      </c>
    </row>
    <row r="207" spans="1:7">
      <c r="A207">
        <v>8431</v>
      </c>
      <c r="B207" t="s">
        <v>6447</v>
      </c>
      <c r="C207">
        <v>23</v>
      </c>
      <c r="D207">
        <v>4</v>
      </c>
      <c r="E207">
        <v>1</v>
      </c>
      <c r="F207">
        <v>28</v>
      </c>
      <c r="G207">
        <v>196</v>
      </c>
    </row>
    <row r="208" spans="1:7">
      <c r="A208">
        <v>2027</v>
      </c>
      <c r="B208" t="s">
        <v>5381</v>
      </c>
      <c r="C208">
        <v>22</v>
      </c>
      <c r="D208">
        <v>4</v>
      </c>
      <c r="E208">
        <v>1</v>
      </c>
      <c r="F208">
        <v>27</v>
      </c>
      <c r="G208">
        <v>207</v>
      </c>
    </row>
    <row r="209" spans="1:7">
      <c r="A209">
        <v>2034</v>
      </c>
      <c r="B209" t="s">
        <v>5388</v>
      </c>
      <c r="C209">
        <v>25</v>
      </c>
      <c r="D209">
        <v>2</v>
      </c>
      <c r="E209">
        <v>0</v>
      </c>
      <c r="F209">
        <v>27</v>
      </c>
      <c r="G209">
        <v>207</v>
      </c>
    </row>
    <row r="210" spans="1:7">
      <c r="A210">
        <v>3413</v>
      </c>
      <c r="B210" t="s">
        <v>5800</v>
      </c>
      <c r="C210">
        <v>22</v>
      </c>
      <c r="D210">
        <v>4</v>
      </c>
      <c r="E210">
        <v>1</v>
      </c>
      <c r="F210">
        <v>27</v>
      </c>
      <c r="G210">
        <v>207</v>
      </c>
    </row>
    <row r="211" spans="1:7">
      <c r="A211">
        <v>3434</v>
      </c>
      <c r="B211" t="s">
        <v>5804</v>
      </c>
      <c r="C211">
        <v>26</v>
      </c>
      <c r="D211">
        <v>1</v>
      </c>
      <c r="E211">
        <v>0</v>
      </c>
      <c r="F211">
        <v>27</v>
      </c>
      <c r="G211">
        <v>207</v>
      </c>
    </row>
    <row r="212" spans="1:7">
      <c r="A212">
        <v>3583</v>
      </c>
      <c r="B212" t="s">
        <v>5857</v>
      </c>
      <c r="C212">
        <v>23</v>
      </c>
      <c r="D212">
        <v>4</v>
      </c>
      <c r="E212">
        <v>0</v>
      </c>
      <c r="F212">
        <v>27</v>
      </c>
      <c r="G212">
        <v>207</v>
      </c>
    </row>
    <row r="213" spans="1:7">
      <c r="A213">
        <v>4121</v>
      </c>
      <c r="B213" t="s">
        <v>5919</v>
      </c>
      <c r="C213">
        <v>21</v>
      </c>
      <c r="D213">
        <v>5</v>
      </c>
      <c r="E213">
        <v>1</v>
      </c>
      <c r="F213">
        <v>27</v>
      </c>
      <c r="G213">
        <v>207</v>
      </c>
    </row>
    <row r="214" spans="1:7">
      <c r="A214">
        <v>6279</v>
      </c>
      <c r="B214" t="s">
        <v>6264</v>
      </c>
      <c r="C214">
        <v>23</v>
      </c>
      <c r="D214">
        <v>3</v>
      </c>
      <c r="E214">
        <v>1</v>
      </c>
      <c r="F214">
        <v>27</v>
      </c>
      <c r="G214">
        <v>207</v>
      </c>
    </row>
    <row r="215" spans="1:7">
      <c r="A215">
        <v>8436</v>
      </c>
      <c r="B215" t="s">
        <v>6450</v>
      </c>
      <c r="C215">
        <v>23</v>
      </c>
      <c r="D215">
        <v>4</v>
      </c>
      <c r="E215">
        <v>0</v>
      </c>
      <c r="F215">
        <v>27</v>
      </c>
      <c r="G215">
        <v>207</v>
      </c>
    </row>
    <row r="216" spans="1:7">
      <c r="A216">
        <v>2032</v>
      </c>
      <c r="B216" t="s">
        <v>5386</v>
      </c>
      <c r="C216">
        <v>23</v>
      </c>
      <c r="D216">
        <v>3</v>
      </c>
      <c r="E216">
        <v>0</v>
      </c>
      <c r="F216">
        <v>26</v>
      </c>
      <c r="G216">
        <v>215</v>
      </c>
    </row>
    <row r="217" spans="1:7">
      <c r="A217">
        <v>2328</v>
      </c>
      <c r="B217" t="s">
        <v>5437</v>
      </c>
      <c r="C217">
        <v>20</v>
      </c>
      <c r="D217">
        <v>5</v>
      </c>
      <c r="E217">
        <v>1</v>
      </c>
      <c r="F217">
        <v>26</v>
      </c>
      <c r="G217">
        <v>215</v>
      </c>
    </row>
    <row r="218" spans="1:7">
      <c r="A218">
        <v>3016</v>
      </c>
      <c r="B218" t="s">
        <v>5673</v>
      </c>
      <c r="C218">
        <v>23</v>
      </c>
      <c r="D218">
        <v>3</v>
      </c>
      <c r="E218">
        <v>0</v>
      </c>
      <c r="F218">
        <v>26</v>
      </c>
      <c r="G218">
        <v>215</v>
      </c>
    </row>
    <row r="219" spans="1:7">
      <c r="A219">
        <v>3227</v>
      </c>
      <c r="B219" t="s">
        <v>5749</v>
      </c>
      <c r="C219">
        <v>19</v>
      </c>
      <c r="D219">
        <v>5</v>
      </c>
      <c r="E219">
        <v>2</v>
      </c>
      <c r="F219">
        <v>26</v>
      </c>
      <c r="G219">
        <v>215</v>
      </c>
    </row>
    <row r="220" spans="1:7">
      <c r="A220">
        <v>3484</v>
      </c>
      <c r="B220" t="s">
        <v>5817</v>
      </c>
      <c r="C220">
        <v>19</v>
      </c>
      <c r="D220">
        <v>6</v>
      </c>
      <c r="E220">
        <v>1</v>
      </c>
      <c r="F220">
        <v>26</v>
      </c>
      <c r="G220">
        <v>215</v>
      </c>
    </row>
    <row r="221" spans="1:7">
      <c r="A221">
        <v>5439</v>
      </c>
      <c r="B221" t="s">
        <v>6100</v>
      </c>
      <c r="C221">
        <v>22</v>
      </c>
      <c r="D221">
        <v>4</v>
      </c>
      <c r="E221">
        <v>0</v>
      </c>
      <c r="F221">
        <v>26</v>
      </c>
      <c r="G221">
        <v>215</v>
      </c>
    </row>
    <row r="222" spans="1:7">
      <c r="A222">
        <v>6190</v>
      </c>
      <c r="B222" t="s">
        <v>6211</v>
      </c>
      <c r="C222">
        <v>24</v>
      </c>
      <c r="D222">
        <v>2</v>
      </c>
      <c r="E222">
        <v>0</v>
      </c>
      <c r="F222">
        <v>26</v>
      </c>
      <c r="G222">
        <v>215</v>
      </c>
    </row>
    <row r="223" spans="1:7">
      <c r="A223">
        <v>2383</v>
      </c>
      <c r="B223" t="s">
        <v>5474</v>
      </c>
      <c r="C223">
        <v>25</v>
      </c>
      <c r="D223">
        <v>0</v>
      </c>
      <c r="E223">
        <v>0</v>
      </c>
      <c r="F223">
        <v>25</v>
      </c>
      <c r="G223">
        <v>222</v>
      </c>
    </row>
    <row r="224" spans="1:7">
      <c r="A224">
        <v>2390</v>
      </c>
      <c r="B224" t="s">
        <v>5478</v>
      </c>
      <c r="C224">
        <v>23</v>
      </c>
      <c r="D224">
        <v>2</v>
      </c>
      <c r="E224">
        <v>0</v>
      </c>
      <c r="F224">
        <v>25</v>
      </c>
      <c r="G224">
        <v>222</v>
      </c>
    </row>
    <row r="225" spans="1:7">
      <c r="A225">
        <v>3019</v>
      </c>
      <c r="B225" t="s">
        <v>5675</v>
      </c>
      <c r="C225">
        <v>18</v>
      </c>
      <c r="D225">
        <v>6</v>
      </c>
      <c r="E225">
        <v>1</v>
      </c>
      <c r="F225">
        <v>25</v>
      </c>
      <c r="G225">
        <v>222</v>
      </c>
    </row>
    <row r="226" spans="1:7">
      <c r="A226">
        <v>3374</v>
      </c>
      <c r="B226" t="s">
        <v>5792</v>
      </c>
      <c r="C226">
        <v>20</v>
      </c>
      <c r="D226">
        <v>4</v>
      </c>
      <c r="E226">
        <v>1</v>
      </c>
      <c r="F226">
        <v>25</v>
      </c>
      <c r="G226">
        <v>222</v>
      </c>
    </row>
    <row r="227" spans="1:7">
      <c r="A227">
        <v>4746</v>
      </c>
      <c r="B227" t="s">
        <v>6003</v>
      </c>
      <c r="C227">
        <v>23</v>
      </c>
      <c r="D227">
        <v>2</v>
      </c>
      <c r="E227">
        <v>0</v>
      </c>
      <c r="F227">
        <v>25</v>
      </c>
      <c r="G227">
        <v>222</v>
      </c>
    </row>
    <row r="228" spans="1:7">
      <c r="A228">
        <v>4956</v>
      </c>
      <c r="B228" t="s">
        <v>6030</v>
      </c>
      <c r="C228">
        <v>23</v>
      </c>
      <c r="D228">
        <v>2</v>
      </c>
      <c r="E228">
        <v>0</v>
      </c>
      <c r="F228">
        <v>25</v>
      </c>
      <c r="G228">
        <v>222</v>
      </c>
    </row>
    <row r="229" spans="1:7">
      <c r="A229">
        <v>5471</v>
      </c>
      <c r="B229" t="s">
        <v>6108</v>
      </c>
      <c r="C229">
        <v>21</v>
      </c>
      <c r="D229">
        <v>4</v>
      </c>
      <c r="E229">
        <v>0</v>
      </c>
      <c r="F229">
        <v>25</v>
      </c>
      <c r="G229">
        <v>222</v>
      </c>
    </row>
    <row r="230" spans="1:7">
      <c r="A230">
        <v>6196</v>
      </c>
      <c r="B230" t="s">
        <v>6214</v>
      </c>
      <c r="C230">
        <v>21</v>
      </c>
      <c r="D230">
        <v>4</v>
      </c>
      <c r="E230">
        <v>0</v>
      </c>
      <c r="F230">
        <v>25</v>
      </c>
      <c r="G230">
        <v>222</v>
      </c>
    </row>
    <row r="231" spans="1:7">
      <c r="A231">
        <v>6243</v>
      </c>
      <c r="B231" t="s">
        <v>6246</v>
      </c>
      <c r="C231">
        <v>24</v>
      </c>
      <c r="D231">
        <v>1</v>
      </c>
      <c r="E231">
        <v>0</v>
      </c>
      <c r="F231">
        <v>25</v>
      </c>
      <c r="G231">
        <v>222</v>
      </c>
    </row>
    <row r="232" spans="1:7">
      <c r="A232">
        <v>6603</v>
      </c>
      <c r="B232" t="s">
        <v>6335</v>
      </c>
      <c r="C232">
        <v>22</v>
      </c>
      <c r="D232">
        <v>3</v>
      </c>
      <c r="E232">
        <v>0</v>
      </c>
      <c r="F232">
        <v>25</v>
      </c>
      <c r="G232">
        <v>222</v>
      </c>
    </row>
    <row r="233" spans="1:7">
      <c r="A233">
        <v>8938</v>
      </c>
      <c r="B233" t="s">
        <v>6484</v>
      </c>
      <c r="C233">
        <v>22</v>
      </c>
      <c r="D233">
        <v>2</v>
      </c>
      <c r="E233">
        <v>1</v>
      </c>
      <c r="F233">
        <v>25</v>
      </c>
      <c r="G233">
        <v>222</v>
      </c>
    </row>
    <row r="234" spans="1:7">
      <c r="A234">
        <v>1609</v>
      </c>
      <c r="B234" t="s">
        <v>5307</v>
      </c>
      <c r="C234">
        <v>20</v>
      </c>
      <c r="D234">
        <v>3</v>
      </c>
      <c r="E234">
        <v>1</v>
      </c>
      <c r="F234">
        <v>24</v>
      </c>
      <c r="G234">
        <v>233</v>
      </c>
    </row>
    <row r="235" spans="1:7">
      <c r="A235">
        <v>1815</v>
      </c>
      <c r="B235" t="s">
        <v>5359</v>
      </c>
      <c r="C235">
        <v>18</v>
      </c>
      <c r="D235">
        <v>5</v>
      </c>
      <c r="E235">
        <v>1</v>
      </c>
      <c r="F235">
        <v>24</v>
      </c>
      <c r="G235">
        <v>233</v>
      </c>
    </row>
    <row r="236" spans="1:7">
      <c r="A236">
        <v>2399</v>
      </c>
      <c r="B236" t="s">
        <v>5483</v>
      </c>
      <c r="C236">
        <v>24</v>
      </c>
      <c r="D236">
        <v>0</v>
      </c>
      <c r="E236">
        <v>0</v>
      </c>
      <c r="F236">
        <v>24</v>
      </c>
      <c r="G236">
        <v>233</v>
      </c>
    </row>
    <row r="237" spans="1:7">
      <c r="A237">
        <v>4503</v>
      </c>
      <c r="B237" t="s">
        <v>5959</v>
      </c>
      <c r="C237">
        <v>21</v>
      </c>
      <c r="D237">
        <v>3</v>
      </c>
      <c r="E237">
        <v>0</v>
      </c>
      <c r="F237">
        <v>24</v>
      </c>
      <c r="G237">
        <v>233</v>
      </c>
    </row>
    <row r="238" spans="1:7">
      <c r="A238">
        <v>4906</v>
      </c>
      <c r="B238" t="s">
        <v>6012</v>
      </c>
      <c r="C238">
        <v>23</v>
      </c>
      <c r="D238">
        <v>1</v>
      </c>
      <c r="E238">
        <v>0</v>
      </c>
      <c r="F238">
        <v>24</v>
      </c>
      <c r="G238">
        <v>233</v>
      </c>
    </row>
    <row r="239" spans="1:7">
      <c r="A239">
        <v>4952</v>
      </c>
      <c r="B239" t="s">
        <v>6028</v>
      </c>
      <c r="C239">
        <v>22</v>
      </c>
      <c r="D239">
        <v>2</v>
      </c>
      <c r="E239">
        <v>0</v>
      </c>
      <c r="F239">
        <v>24</v>
      </c>
      <c r="G239">
        <v>233</v>
      </c>
    </row>
    <row r="240" spans="1:7">
      <c r="A240">
        <v>6215</v>
      </c>
      <c r="B240" t="s">
        <v>6227</v>
      </c>
      <c r="C240">
        <v>20</v>
      </c>
      <c r="D240">
        <v>4</v>
      </c>
      <c r="E240">
        <v>0</v>
      </c>
      <c r="F240">
        <v>24</v>
      </c>
      <c r="G240">
        <v>233</v>
      </c>
    </row>
    <row r="241" spans="1:7">
      <c r="A241">
        <v>6257</v>
      </c>
      <c r="B241" t="s">
        <v>6251</v>
      </c>
      <c r="C241">
        <v>23</v>
      </c>
      <c r="D241">
        <v>1</v>
      </c>
      <c r="E241">
        <v>0</v>
      </c>
      <c r="F241">
        <v>24</v>
      </c>
      <c r="G241">
        <v>233</v>
      </c>
    </row>
    <row r="242" spans="1:7">
      <c r="A242">
        <v>1709</v>
      </c>
      <c r="B242" t="s">
        <v>5319</v>
      </c>
      <c r="C242">
        <v>21</v>
      </c>
      <c r="D242">
        <v>1</v>
      </c>
      <c r="E242">
        <v>1</v>
      </c>
      <c r="F242">
        <v>23</v>
      </c>
      <c r="G242">
        <v>241</v>
      </c>
    </row>
    <row r="243" spans="1:7">
      <c r="A243">
        <v>2426</v>
      </c>
      <c r="B243" t="s">
        <v>5500</v>
      </c>
      <c r="C243">
        <v>21</v>
      </c>
      <c r="D243">
        <v>2</v>
      </c>
      <c r="E243">
        <v>0</v>
      </c>
      <c r="F243">
        <v>23</v>
      </c>
      <c r="G243">
        <v>241</v>
      </c>
    </row>
    <row r="244" spans="1:7">
      <c r="A244">
        <v>2612</v>
      </c>
      <c r="B244" t="s">
        <v>5585</v>
      </c>
      <c r="C244">
        <v>21</v>
      </c>
      <c r="D244">
        <v>2</v>
      </c>
      <c r="E244">
        <v>0</v>
      </c>
      <c r="F244">
        <v>23</v>
      </c>
      <c r="G244">
        <v>241</v>
      </c>
    </row>
    <row r="245" spans="1:7">
      <c r="A245">
        <v>2643</v>
      </c>
      <c r="B245" t="s">
        <v>5599</v>
      </c>
      <c r="C245">
        <v>19</v>
      </c>
      <c r="D245">
        <v>4</v>
      </c>
      <c r="E245">
        <v>0</v>
      </c>
      <c r="F245">
        <v>23</v>
      </c>
      <c r="G245">
        <v>241</v>
      </c>
    </row>
    <row r="246" spans="1:7">
      <c r="A246">
        <v>4736</v>
      </c>
      <c r="B246" t="s">
        <v>5998</v>
      </c>
      <c r="C246">
        <v>17</v>
      </c>
      <c r="D246">
        <v>4</v>
      </c>
      <c r="E246">
        <v>2</v>
      </c>
      <c r="F246">
        <v>23</v>
      </c>
      <c r="G246">
        <v>241</v>
      </c>
    </row>
    <row r="247" spans="1:7">
      <c r="A247">
        <v>5269</v>
      </c>
      <c r="B247" t="s">
        <v>6069</v>
      </c>
      <c r="C247">
        <v>23</v>
      </c>
      <c r="D247">
        <v>0</v>
      </c>
      <c r="E247">
        <v>0</v>
      </c>
      <c r="F247">
        <v>23</v>
      </c>
      <c r="G247">
        <v>241</v>
      </c>
    </row>
    <row r="248" spans="1:7">
      <c r="A248">
        <v>5457</v>
      </c>
      <c r="B248" t="s">
        <v>6104</v>
      </c>
      <c r="C248">
        <v>19</v>
      </c>
      <c r="D248">
        <v>4</v>
      </c>
      <c r="E248">
        <v>0</v>
      </c>
      <c r="F248">
        <v>23</v>
      </c>
      <c r="G248">
        <v>241</v>
      </c>
    </row>
    <row r="249" spans="1:7">
      <c r="A249">
        <v>6732</v>
      </c>
      <c r="B249" t="s">
        <v>6359</v>
      </c>
      <c r="C249">
        <v>21</v>
      </c>
      <c r="D249">
        <v>2</v>
      </c>
      <c r="E249">
        <v>0</v>
      </c>
      <c r="F249">
        <v>23</v>
      </c>
      <c r="G249">
        <v>241</v>
      </c>
    </row>
    <row r="250" spans="1:7">
      <c r="A250">
        <v>8097</v>
      </c>
      <c r="B250" t="s">
        <v>6399</v>
      </c>
      <c r="C250">
        <v>23</v>
      </c>
      <c r="D250">
        <v>0</v>
      </c>
      <c r="E250">
        <v>0</v>
      </c>
      <c r="F250">
        <v>23</v>
      </c>
      <c r="G250">
        <v>241</v>
      </c>
    </row>
    <row r="251" spans="1:7">
      <c r="A251">
        <v>2013</v>
      </c>
      <c r="B251" t="s">
        <v>5374</v>
      </c>
      <c r="C251">
        <v>19</v>
      </c>
      <c r="D251">
        <v>3</v>
      </c>
      <c r="E251">
        <v>0</v>
      </c>
      <c r="F251">
        <v>22</v>
      </c>
      <c r="G251">
        <v>250</v>
      </c>
    </row>
    <row r="252" spans="1:7">
      <c r="A252">
        <v>2344</v>
      </c>
      <c r="B252" t="s">
        <v>5446</v>
      </c>
      <c r="C252">
        <v>20</v>
      </c>
      <c r="D252">
        <v>1</v>
      </c>
      <c r="E252">
        <v>1</v>
      </c>
      <c r="F252">
        <v>22</v>
      </c>
      <c r="G252">
        <v>250</v>
      </c>
    </row>
    <row r="253" spans="1:7">
      <c r="A253">
        <v>2603</v>
      </c>
      <c r="B253" t="s">
        <v>5577</v>
      </c>
      <c r="C253">
        <v>20</v>
      </c>
      <c r="D253">
        <v>2</v>
      </c>
      <c r="E253">
        <v>0</v>
      </c>
      <c r="F253">
        <v>22</v>
      </c>
      <c r="G253">
        <v>250</v>
      </c>
    </row>
    <row r="254" spans="1:7">
      <c r="A254">
        <v>3128</v>
      </c>
      <c r="B254" t="s">
        <v>5723</v>
      </c>
      <c r="C254">
        <v>22</v>
      </c>
      <c r="D254">
        <v>0</v>
      </c>
      <c r="E254">
        <v>0</v>
      </c>
      <c r="F254">
        <v>22</v>
      </c>
      <c r="G254">
        <v>250</v>
      </c>
    </row>
    <row r="255" spans="1:7">
      <c r="A255">
        <v>5243</v>
      </c>
      <c r="B255" t="s">
        <v>6064</v>
      </c>
      <c r="C255">
        <v>16</v>
      </c>
      <c r="D255">
        <v>6</v>
      </c>
      <c r="E255">
        <v>0</v>
      </c>
      <c r="F255">
        <v>22</v>
      </c>
      <c r="G255">
        <v>250</v>
      </c>
    </row>
    <row r="256" spans="1:7">
      <c r="A256">
        <v>5309</v>
      </c>
      <c r="B256" t="s">
        <v>8527</v>
      </c>
      <c r="C256">
        <v>22</v>
      </c>
      <c r="D256">
        <v>0</v>
      </c>
      <c r="E256">
        <v>0</v>
      </c>
      <c r="F256">
        <v>22</v>
      </c>
      <c r="G256">
        <v>250</v>
      </c>
    </row>
    <row r="257" spans="1:7">
      <c r="A257">
        <v>8182</v>
      </c>
      <c r="B257" t="s">
        <v>6415</v>
      </c>
      <c r="C257">
        <v>19</v>
      </c>
      <c r="D257">
        <v>3</v>
      </c>
      <c r="E257">
        <v>0</v>
      </c>
      <c r="F257">
        <v>22</v>
      </c>
      <c r="G257">
        <v>250</v>
      </c>
    </row>
    <row r="258" spans="1:7">
      <c r="A258">
        <v>8299</v>
      </c>
      <c r="B258" t="s">
        <v>6430</v>
      </c>
      <c r="C258">
        <v>21</v>
      </c>
      <c r="D258">
        <v>1</v>
      </c>
      <c r="E258">
        <v>0</v>
      </c>
      <c r="F258">
        <v>22</v>
      </c>
      <c r="G258">
        <v>250</v>
      </c>
    </row>
    <row r="259" spans="1:7">
      <c r="A259">
        <v>2461</v>
      </c>
      <c r="B259" t="s">
        <v>5521</v>
      </c>
      <c r="C259">
        <v>21</v>
      </c>
      <c r="D259">
        <v>0</v>
      </c>
      <c r="E259">
        <v>0</v>
      </c>
      <c r="F259">
        <v>21</v>
      </c>
      <c r="G259">
        <v>258</v>
      </c>
    </row>
    <row r="260" spans="1:7">
      <c r="A260">
        <v>3363</v>
      </c>
      <c r="B260" t="s">
        <v>5789</v>
      </c>
      <c r="C260">
        <v>21</v>
      </c>
      <c r="D260">
        <v>0</v>
      </c>
      <c r="E260">
        <v>0</v>
      </c>
      <c r="F260">
        <v>21</v>
      </c>
      <c r="G260">
        <v>258</v>
      </c>
    </row>
    <row r="261" spans="1:7">
      <c r="A261">
        <v>5483</v>
      </c>
      <c r="B261" t="s">
        <v>6112</v>
      </c>
      <c r="C261">
        <v>19</v>
      </c>
      <c r="D261">
        <v>2</v>
      </c>
      <c r="E261">
        <v>0</v>
      </c>
      <c r="F261">
        <v>21</v>
      </c>
      <c r="G261">
        <v>258</v>
      </c>
    </row>
    <row r="262" spans="1:7">
      <c r="A262">
        <v>6015</v>
      </c>
      <c r="B262" t="s">
        <v>6149</v>
      </c>
      <c r="C262">
        <v>18</v>
      </c>
      <c r="D262">
        <v>3</v>
      </c>
      <c r="E262">
        <v>0</v>
      </c>
      <c r="F262">
        <v>21</v>
      </c>
      <c r="G262">
        <v>258</v>
      </c>
    </row>
    <row r="263" spans="1:7">
      <c r="A263">
        <v>6175</v>
      </c>
      <c r="B263" t="s">
        <v>6198</v>
      </c>
      <c r="C263">
        <v>15</v>
      </c>
      <c r="D263">
        <v>5</v>
      </c>
      <c r="E263">
        <v>1</v>
      </c>
      <c r="F263">
        <v>21</v>
      </c>
      <c r="G263">
        <v>258</v>
      </c>
    </row>
    <row r="264" spans="1:7">
      <c r="A264">
        <v>6231</v>
      </c>
      <c r="B264" t="s">
        <v>6239</v>
      </c>
      <c r="C264">
        <v>17</v>
      </c>
      <c r="D264">
        <v>4</v>
      </c>
      <c r="E264">
        <v>0</v>
      </c>
      <c r="F264">
        <v>21</v>
      </c>
      <c r="G264">
        <v>258</v>
      </c>
    </row>
    <row r="265" spans="1:7">
      <c r="A265">
        <v>8071</v>
      </c>
      <c r="B265" t="s">
        <v>6388</v>
      </c>
      <c r="C265">
        <v>18</v>
      </c>
      <c r="D265">
        <v>2</v>
      </c>
      <c r="E265">
        <v>1</v>
      </c>
      <c r="F265">
        <v>21</v>
      </c>
      <c r="G265">
        <v>258</v>
      </c>
    </row>
    <row r="266" spans="1:7">
      <c r="A266">
        <v>1565</v>
      </c>
      <c r="B266" t="s">
        <v>5285</v>
      </c>
      <c r="C266">
        <v>16</v>
      </c>
      <c r="D266">
        <v>3</v>
      </c>
      <c r="E266">
        <v>1</v>
      </c>
      <c r="F266">
        <v>20</v>
      </c>
      <c r="G266">
        <v>265</v>
      </c>
    </row>
    <row r="267" spans="1:7">
      <c r="A267">
        <v>2009</v>
      </c>
      <c r="B267" t="s">
        <v>5371</v>
      </c>
      <c r="C267">
        <v>18</v>
      </c>
      <c r="D267">
        <v>2</v>
      </c>
      <c r="E267">
        <v>0</v>
      </c>
      <c r="F267">
        <v>20</v>
      </c>
      <c r="G267">
        <v>265</v>
      </c>
    </row>
    <row r="268" spans="1:7">
      <c r="A268">
        <v>2609</v>
      </c>
      <c r="B268" t="s">
        <v>5582</v>
      </c>
      <c r="C268">
        <v>19</v>
      </c>
      <c r="D268">
        <v>1</v>
      </c>
      <c r="E268">
        <v>0</v>
      </c>
      <c r="F268">
        <v>20</v>
      </c>
      <c r="G268">
        <v>265</v>
      </c>
    </row>
    <row r="269" spans="1:7">
      <c r="A269">
        <v>2727</v>
      </c>
      <c r="B269" t="s">
        <v>5609</v>
      </c>
      <c r="C269">
        <v>16</v>
      </c>
      <c r="D269">
        <v>4</v>
      </c>
      <c r="E269">
        <v>0</v>
      </c>
      <c r="F269">
        <v>20</v>
      </c>
      <c r="G269">
        <v>265</v>
      </c>
    </row>
    <row r="270" spans="1:7">
      <c r="A270">
        <v>3672</v>
      </c>
      <c r="B270" t="s">
        <v>5886</v>
      </c>
      <c r="C270">
        <v>18</v>
      </c>
      <c r="D270">
        <v>2</v>
      </c>
      <c r="E270">
        <v>0</v>
      </c>
      <c r="F270">
        <v>20</v>
      </c>
      <c r="G270">
        <v>265</v>
      </c>
    </row>
    <row r="271" spans="1:7">
      <c r="A271">
        <v>6161</v>
      </c>
      <c r="B271" t="s">
        <v>6189</v>
      </c>
      <c r="C271">
        <v>18</v>
      </c>
      <c r="D271">
        <v>2</v>
      </c>
      <c r="E271">
        <v>0</v>
      </c>
      <c r="F271">
        <v>20</v>
      </c>
      <c r="G271">
        <v>265</v>
      </c>
    </row>
    <row r="272" spans="1:7">
      <c r="A272">
        <v>6265</v>
      </c>
      <c r="B272" t="s">
        <v>6254</v>
      </c>
      <c r="C272">
        <v>18</v>
      </c>
      <c r="D272">
        <v>2</v>
      </c>
      <c r="E272">
        <v>0</v>
      </c>
      <c r="F272">
        <v>20</v>
      </c>
      <c r="G272">
        <v>265</v>
      </c>
    </row>
    <row r="273" spans="1:7">
      <c r="A273">
        <v>8112</v>
      </c>
      <c r="B273" t="s">
        <v>6407</v>
      </c>
      <c r="C273">
        <v>19</v>
      </c>
      <c r="D273">
        <v>1</v>
      </c>
      <c r="E273">
        <v>0</v>
      </c>
      <c r="F273">
        <v>20</v>
      </c>
      <c r="G273">
        <v>265</v>
      </c>
    </row>
    <row r="274" spans="1:7">
      <c r="A274">
        <v>1312</v>
      </c>
      <c r="B274" t="s">
        <v>5202</v>
      </c>
      <c r="C274">
        <v>15</v>
      </c>
      <c r="D274">
        <v>4</v>
      </c>
      <c r="E274">
        <v>0</v>
      </c>
      <c r="F274">
        <v>19</v>
      </c>
      <c r="G274">
        <v>273</v>
      </c>
    </row>
    <row r="275" spans="1:7">
      <c r="A275">
        <v>1325</v>
      </c>
      <c r="B275" t="s">
        <v>5211</v>
      </c>
      <c r="C275">
        <v>16</v>
      </c>
      <c r="D275">
        <v>3</v>
      </c>
      <c r="E275">
        <v>0</v>
      </c>
      <c r="F275">
        <v>19</v>
      </c>
      <c r="G275">
        <v>273</v>
      </c>
    </row>
    <row r="276" spans="1:7">
      <c r="A276">
        <v>1452</v>
      </c>
      <c r="B276" t="s">
        <v>5239</v>
      </c>
      <c r="C276">
        <v>17</v>
      </c>
      <c r="D276">
        <v>2</v>
      </c>
      <c r="E276">
        <v>0</v>
      </c>
      <c r="F276">
        <v>19</v>
      </c>
      <c r="G276">
        <v>273</v>
      </c>
    </row>
    <row r="277" spans="1:7">
      <c r="A277">
        <v>1906</v>
      </c>
      <c r="B277" t="s">
        <v>5364</v>
      </c>
      <c r="C277">
        <v>19</v>
      </c>
      <c r="D277">
        <v>0</v>
      </c>
      <c r="E277">
        <v>0</v>
      </c>
      <c r="F277">
        <v>19</v>
      </c>
      <c r="G277">
        <v>273</v>
      </c>
    </row>
    <row r="278" spans="1:7">
      <c r="A278">
        <v>2108</v>
      </c>
      <c r="B278" t="s">
        <v>5404</v>
      </c>
      <c r="C278">
        <v>17</v>
      </c>
      <c r="D278">
        <v>1</v>
      </c>
      <c r="E278">
        <v>1</v>
      </c>
      <c r="F278">
        <v>19</v>
      </c>
      <c r="G278">
        <v>273</v>
      </c>
    </row>
    <row r="279" spans="1:7">
      <c r="A279">
        <v>2415</v>
      </c>
      <c r="B279" t="s">
        <v>5493</v>
      </c>
      <c r="C279">
        <v>19</v>
      </c>
      <c r="D279">
        <v>0</v>
      </c>
      <c r="E279">
        <v>0</v>
      </c>
      <c r="F279">
        <v>19</v>
      </c>
      <c r="G279">
        <v>273</v>
      </c>
    </row>
    <row r="280" spans="1:7">
      <c r="A280">
        <v>3290</v>
      </c>
      <c r="B280" t="s">
        <v>5766</v>
      </c>
      <c r="C280">
        <v>17</v>
      </c>
      <c r="D280">
        <v>2</v>
      </c>
      <c r="E280">
        <v>0</v>
      </c>
      <c r="F280">
        <v>19</v>
      </c>
      <c r="G280">
        <v>273</v>
      </c>
    </row>
    <row r="281" spans="1:7">
      <c r="A281">
        <v>3312</v>
      </c>
      <c r="B281" t="s">
        <v>5776</v>
      </c>
      <c r="C281">
        <v>19</v>
      </c>
      <c r="D281">
        <v>0</v>
      </c>
      <c r="E281">
        <v>0</v>
      </c>
      <c r="F281">
        <v>19</v>
      </c>
      <c r="G281">
        <v>273</v>
      </c>
    </row>
    <row r="282" spans="1:7">
      <c r="A282">
        <v>3490</v>
      </c>
      <c r="B282" t="s">
        <v>5819</v>
      </c>
      <c r="C282">
        <v>19</v>
      </c>
      <c r="D282">
        <v>0</v>
      </c>
      <c r="E282">
        <v>0</v>
      </c>
      <c r="F282">
        <v>19</v>
      </c>
      <c r="G282">
        <v>273</v>
      </c>
    </row>
    <row r="283" spans="1:7">
      <c r="A283">
        <v>3665</v>
      </c>
      <c r="B283" t="s">
        <v>5883</v>
      </c>
      <c r="C283">
        <v>19</v>
      </c>
      <c r="D283">
        <v>0</v>
      </c>
      <c r="E283">
        <v>0</v>
      </c>
      <c r="F283">
        <v>19</v>
      </c>
      <c r="G283">
        <v>273</v>
      </c>
    </row>
    <row r="284" spans="1:7">
      <c r="A284">
        <v>3708</v>
      </c>
      <c r="B284" t="s">
        <v>5904</v>
      </c>
      <c r="C284">
        <v>17</v>
      </c>
      <c r="D284">
        <v>2</v>
      </c>
      <c r="E284">
        <v>0</v>
      </c>
      <c r="F284">
        <v>19</v>
      </c>
      <c r="G284">
        <v>273</v>
      </c>
    </row>
    <row r="285" spans="1:7">
      <c r="A285">
        <v>6158</v>
      </c>
      <c r="B285" t="s">
        <v>6187</v>
      </c>
      <c r="C285">
        <v>15</v>
      </c>
      <c r="D285">
        <v>3</v>
      </c>
      <c r="E285">
        <v>1</v>
      </c>
      <c r="F285">
        <v>19</v>
      </c>
      <c r="G285">
        <v>273</v>
      </c>
    </row>
    <row r="286" spans="1:7">
      <c r="A286">
        <v>6174</v>
      </c>
      <c r="B286" t="s">
        <v>6197</v>
      </c>
      <c r="C286">
        <v>16</v>
      </c>
      <c r="D286">
        <v>3</v>
      </c>
      <c r="E286">
        <v>0</v>
      </c>
      <c r="F286">
        <v>19</v>
      </c>
      <c r="G286">
        <v>273</v>
      </c>
    </row>
    <row r="287" spans="1:7">
      <c r="A287">
        <v>6275</v>
      </c>
      <c r="B287" t="s">
        <v>6260</v>
      </c>
      <c r="C287">
        <v>18</v>
      </c>
      <c r="D287">
        <v>1</v>
      </c>
      <c r="E287">
        <v>0</v>
      </c>
      <c r="F287">
        <v>19</v>
      </c>
      <c r="G287">
        <v>273</v>
      </c>
    </row>
    <row r="288" spans="1:7">
      <c r="A288">
        <v>8111</v>
      </c>
      <c r="B288" t="s">
        <v>6406</v>
      </c>
      <c r="C288">
        <v>18</v>
      </c>
      <c r="D288">
        <v>1</v>
      </c>
      <c r="E288">
        <v>0</v>
      </c>
      <c r="F288">
        <v>19</v>
      </c>
      <c r="G288">
        <v>273</v>
      </c>
    </row>
    <row r="289" spans="1:7">
      <c r="A289">
        <v>8150</v>
      </c>
      <c r="B289" t="s">
        <v>6411</v>
      </c>
      <c r="C289">
        <v>18</v>
      </c>
      <c r="D289">
        <v>1</v>
      </c>
      <c r="E289">
        <v>0</v>
      </c>
      <c r="F289">
        <v>19</v>
      </c>
      <c r="G289">
        <v>273</v>
      </c>
    </row>
    <row r="290" spans="1:7">
      <c r="A290">
        <v>8996</v>
      </c>
      <c r="B290" t="s">
        <v>6486</v>
      </c>
      <c r="C290">
        <v>15</v>
      </c>
      <c r="D290">
        <v>4</v>
      </c>
      <c r="E290">
        <v>0</v>
      </c>
      <c r="F290">
        <v>19</v>
      </c>
      <c r="G290">
        <v>273</v>
      </c>
    </row>
    <row r="291" spans="1:7">
      <c r="A291">
        <v>1305</v>
      </c>
      <c r="B291" t="s">
        <v>5197</v>
      </c>
      <c r="C291">
        <v>15</v>
      </c>
      <c r="D291">
        <v>2</v>
      </c>
      <c r="E291">
        <v>1</v>
      </c>
      <c r="F291">
        <v>18</v>
      </c>
      <c r="G291">
        <v>290</v>
      </c>
    </row>
    <row r="292" spans="1:7">
      <c r="A292">
        <v>1526</v>
      </c>
      <c r="B292" t="s">
        <v>5269</v>
      </c>
      <c r="C292">
        <v>15</v>
      </c>
      <c r="D292">
        <v>3</v>
      </c>
      <c r="E292">
        <v>0</v>
      </c>
      <c r="F292">
        <v>18</v>
      </c>
      <c r="G292">
        <v>290</v>
      </c>
    </row>
    <row r="293" spans="1:7">
      <c r="A293">
        <v>1783</v>
      </c>
      <c r="B293" t="s">
        <v>5347</v>
      </c>
      <c r="C293">
        <v>17</v>
      </c>
      <c r="D293">
        <v>1</v>
      </c>
      <c r="E293">
        <v>0</v>
      </c>
      <c r="F293">
        <v>18</v>
      </c>
      <c r="G293">
        <v>290</v>
      </c>
    </row>
    <row r="294" spans="1:7">
      <c r="A294">
        <v>3034</v>
      </c>
      <c r="B294" t="s">
        <v>5688</v>
      </c>
      <c r="C294">
        <v>16</v>
      </c>
      <c r="D294">
        <v>1</v>
      </c>
      <c r="E294">
        <v>1</v>
      </c>
      <c r="F294">
        <v>18</v>
      </c>
      <c r="G294">
        <v>290</v>
      </c>
    </row>
    <row r="295" spans="1:7">
      <c r="A295">
        <v>3037</v>
      </c>
      <c r="B295" t="s">
        <v>5691</v>
      </c>
      <c r="C295">
        <v>18</v>
      </c>
      <c r="D295">
        <v>0</v>
      </c>
      <c r="E295">
        <v>0</v>
      </c>
      <c r="F295">
        <v>18</v>
      </c>
      <c r="G295">
        <v>290</v>
      </c>
    </row>
    <row r="296" spans="1:7">
      <c r="A296">
        <v>3419</v>
      </c>
      <c r="B296" t="s">
        <v>5802</v>
      </c>
      <c r="C296">
        <v>18</v>
      </c>
      <c r="D296">
        <v>0</v>
      </c>
      <c r="E296">
        <v>0</v>
      </c>
      <c r="F296">
        <v>18</v>
      </c>
      <c r="G296">
        <v>290</v>
      </c>
    </row>
    <row r="297" spans="1:7">
      <c r="A297">
        <v>3499</v>
      </c>
      <c r="B297" t="s">
        <v>5823</v>
      </c>
      <c r="C297">
        <v>16</v>
      </c>
      <c r="D297">
        <v>2</v>
      </c>
      <c r="E297">
        <v>0</v>
      </c>
      <c r="F297">
        <v>18</v>
      </c>
      <c r="G297">
        <v>290</v>
      </c>
    </row>
    <row r="298" spans="1:7">
      <c r="A298">
        <v>3535</v>
      </c>
      <c r="B298" t="s">
        <v>5838</v>
      </c>
      <c r="C298">
        <v>16</v>
      </c>
      <c r="D298">
        <v>2</v>
      </c>
      <c r="E298">
        <v>0</v>
      </c>
      <c r="F298">
        <v>18</v>
      </c>
      <c r="G298">
        <v>290</v>
      </c>
    </row>
    <row r="299" spans="1:7">
      <c r="A299">
        <v>3548</v>
      </c>
      <c r="B299" t="s">
        <v>5845</v>
      </c>
      <c r="C299">
        <v>16</v>
      </c>
      <c r="D299">
        <v>2</v>
      </c>
      <c r="E299">
        <v>0</v>
      </c>
      <c r="F299">
        <v>18</v>
      </c>
      <c r="G299">
        <v>290</v>
      </c>
    </row>
    <row r="300" spans="1:7">
      <c r="A300">
        <v>3558</v>
      </c>
      <c r="B300" t="s">
        <v>5851</v>
      </c>
      <c r="C300">
        <v>11</v>
      </c>
      <c r="D300">
        <v>6</v>
      </c>
      <c r="E300">
        <v>1</v>
      </c>
      <c r="F300">
        <v>18</v>
      </c>
      <c r="G300">
        <v>290</v>
      </c>
    </row>
    <row r="301" spans="1:7">
      <c r="A301">
        <v>3691</v>
      </c>
      <c r="B301" t="s">
        <v>5894</v>
      </c>
      <c r="C301">
        <v>17</v>
      </c>
      <c r="D301">
        <v>1</v>
      </c>
      <c r="E301">
        <v>0</v>
      </c>
      <c r="F301">
        <v>18</v>
      </c>
      <c r="G301">
        <v>290</v>
      </c>
    </row>
    <row r="302" spans="1:7">
      <c r="A302">
        <v>4162</v>
      </c>
      <c r="B302" t="s">
        <v>5936</v>
      </c>
      <c r="C302">
        <v>15</v>
      </c>
      <c r="D302">
        <v>3</v>
      </c>
      <c r="E302">
        <v>0</v>
      </c>
      <c r="F302">
        <v>18</v>
      </c>
      <c r="G302">
        <v>290</v>
      </c>
    </row>
    <row r="303" spans="1:7">
      <c r="A303">
        <v>4714</v>
      </c>
      <c r="B303" t="s">
        <v>5991</v>
      </c>
      <c r="C303">
        <v>18</v>
      </c>
      <c r="D303">
        <v>0</v>
      </c>
      <c r="E303">
        <v>0</v>
      </c>
      <c r="F303">
        <v>18</v>
      </c>
      <c r="G303">
        <v>290</v>
      </c>
    </row>
    <row r="304" spans="1:7">
      <c r="A304">
        <v>5386</v>
      </c>
      <c r="B304" t="s">
        <v>6090</v>
      </c>
      <c r="C304">
        <v>18</v>
      </c>
      <c r="D304">
        <v>0</v>
      </c>
      <c r="E304">
        <v>0</v>
      </c>
      <c r="F304">
        <v>18</v>
      </c>
      <c r="G304">
        <v>290</v>
      </c>
    </row>
    <row r="305" spans="1:7">
      <c r="A305">
        <v>5388</v>
      </c>
      <c r="B305" t="s">
        <v>6091</v>
      </c>
      <c r="C305">
        <v>17</v>
      </c>
      <c r="D305">
        <v>1</v>
      </c>
      <c r="E305">
        <v>0</v>
      </c>
      <c r="F305">
        <v>18</v>
      </c>
      <c r="G305">
        <v>290</v>
      </c>
    </row>
    <row r="306" spans="1:7">
      <c r="A306">
        <v>6510</v>
      </c>
      <c r="B306" t="s">
        <v>6309</v>
      </c>
      <c r="C306">
        <v>17</v>
      </c>
      <c r="D306">
        <v>1</v>
      </c>
      <c r="E306">
        <v>0</v>
      </c>
      <c r="F306">
        <v>18</v>
      </c>
      <c r="G306">
        <v>290</v>
      </c>
    </row>
    <row r="307" spans="1:7">
      <c r="A307">
        <v>8110</v>
      </c>
      <c r="B307" t="s">
        <v>6405</v>
      </c>
      <c r="C307">
        <v>17</v>
      </c>
      <c r="D307">
        <v>1</v>
      </c>
      <c r="E307">
        <v>0</v>
      </c>
      <c r="F307">
        <v>18</v>
      </c>
      <c r="G307">
        <v>290</v>
      </c>
    </row>
    <row r="308" spans="1:7">
      <c r="A308">
        <v>2409</v>
      </c>
      <c r="B308" t="s">
        <v>5489</v>
      </c>
      <c r="C308">
        <v>16</v>
      </c>
      <c r="D308">
        <v>1</v>
      </c>
      <c r="E308">
        <v>0</v>
      </c>
      <c r="F308">
        <v>17</v>
      </c>
      <c r="G308">
        <v>307</v>
      </c>
    </row>
    <row r="309" spans="1:7">
      <c r="A309">
        <v>3293</v>
      </c>
      <c r="B309" t="s">
        <v>5767</v>
      </c>
      <c r="C309">
        <v>12</v>
      </c>
      <c r="D309">
        <v>3</v>
      </c>
      <c r="E309">
        <v>2</v>
      </c>
      <c r="F309">
        <v>17</v>
      </c>
      <c r="G309">
        <v>307</v>
      </c>
    </row>
    <row r="310" spans="1:7">
      <c r="A310">
        <v>3532</v>
      </c>
      <c r="B310" t="s">
        <v>5836</v>
      </c>
      <c r="C310">
        <v>17</v>
      </c>
      <c r="D310">
        <v>0</v>
      </c>
      <c r="E310">
        <v>0</v>
      </c>
      <c r="F310">
        <v>17</v>
      </c>
      <c r="G310">
        <v>307</v>
      </c>
    </row>
    <row r="311" spans="1:7">
      <c r="A311">
        <v>3533</v>
      </c>
      <c r="B311" t="s">
        <v>5837</v>
      </c>
      <c r="C311">
        <v>17</v>
      </c>
      <c r="D311">
        <v>0</v>
      </c>
      <c r="E311">
        <v>0</v>
      </c>
      <c r="F311">
        <v>17</v>
      </c>
      <c r="G311">
        <v>307</v>
      </c>
    </row>
    <row r="312" spans="1:7">
      <c r="A312">
        <v>4989</v>
      </c>
      <c r="B312" t="s">
        <v>6043</v>
      </c>
      <c r="C312">
        <v>15</v>
      </c>
      <c r="D312">
        <v>2</v>
      </c>
      <c r="E312">
        <v>0</v>
      </c>
      <c r="F312">
        <v>17</v>
      </c>
      <c r="G312">
        <v>307</v>
      </c>
    </row>
    <row r="313" spans="1:7">
      <c r="A313">
        <v>5291</v>
      </c>
      <c r="B313" t="s">
        <v>6079</v>
      </c>
      <c r="C313">
        <v>16</v>
      </c>
      <c r="D313">
        <v>1</v>
      </c>
      <c r="E313">
        <v>0</v>
      </c>
      <c r="F313">
        <v>17</v>
      </c>
      <c r="G313">
        <v>307</v>
      </c>
    </row>
    <row r="314" spans="1:7">
      <c r="A314">
        <v>5475</v>
      </c>
      <c r="B314" t="s">
        <v>8532</v>
      </c>
      <c r="C314">
        <v>17</v>
      </c>
      <c r="D314">
        <v>0</v>
      </c>
      <c r="E314">
        <v>0</v>
      </c>
      <c r="F314">
        <v>17</v>
      </c>
      <c r="G314">
        <v>307</v>
      </c>
    </row>
    <row r="315" spans="1:7">
      <c r="A315">
        <v>6111</v>
      </c>
      <c r="B315" t="s">
        <v>6155</v>
      </c>
      <c r="C315">
        <v>14</v>
      </c>
      <c r="D315">
        <v>2</v>
      </c>
      <c r="E315">
        <v>1</v>
      </c>
      <c r="F315">
        <v>17</v>
      </c>
      <c r="G315">
        <v>307</v>
      </c>
    </row>
    <row r="316" spans="1:7">
      <c r="A316">
        <v>6125</v>
      </c>
      <c r="B316" t="s">
        <v>6166</v>
      </c>
      <c r="C316">
        <v>16</v>
      </c>
      <c r="D316">
        <v>1</v>
      </c>
      <c r="E316">
        <v>0</v>
      </c>
      <c r="F316">
        <v>17</v>
      </c>
      <c r="G316">
        <v>307</v>
      </c>
    </row>
    <row r="317" spans="1:7">
      <c r="A317">
        <v>6127</v>
      </c>
      <c r="B317" t="s">
        <v>6168</v>
      </c>
      <c r="C317">
        <v>15</v>
      </c>
      <c r="D317">
        <v>1</v>
      </c>
      <c r="E317">
        <v>1</v>
      </c>
      <c r="F317">
        <v>17</v>
      </c>
      <c r="G317">
        <v>307</v>
      </c>
    </row>
    <row r="318" spans="1:7">
      <c r="A318">
        <v>6191</v>
      </c>
      <c r="B318" t="s">
        <v>6212</v>
      </c>
      <c r="C318">
        <v>15</v>
      </c>
      <c r="D318">
        <v>2</v>
      </c>
      <c r="E318">
        <v>0</v>
      </c>
      <c r="F318">
        <v>17</v>
      </c>
      <c r="G318">
        <v>307</v>
      </c>
    </row>
    <row r="319" spans="1:7">
      <c r="A319">
        <v>6266</v>
      </c>
      <c r="B319" t="s">
        <v>6255</v>
      </c>
      <c r="C319">
        <v>17</v>
      </c>
      <c r="D319">
        <v>0</v>
      </c>
      <c r="E319">
        <v>0</v>
      </c>
      <c r="F319">
        <v>17</v>
      </c>
      <c r="G319">
        <v>307</v>
      </c>
    </row>
    <row r="320" spans="1:7">
      <c r="A320">
        <v>6284</v>
      </c>
      <c r="B320" t="s">
        <v>6268</v>
      </c>
      <c r="C320">
        <v>14</v>
      </c>
      <c r="D320">
        <v>3</v>
      </c>
      <c r="E320">
        <v>0</v>
      </c>
      <c r="F320">
        <v>17</v>
      </c>
      <c r="G320">
        <v>307</v>
      </c>
    </row>
    <row r="321" spans="1:7">
      <c r="A321">
        <v>8201</v>
      </c>
      <c r="B321" t="s">
        <v>6417</v>
      </c>
      <c r="C321">
        <v>14</v>
      </c>
      <c r="D321">
        <v>3</v>
      </c>
      <c r="E321">
        <v>0</v>
      </c>
      <c r="F321">
        <v>17</v>
      </c>
      <c r="G321">
        <v>307</v>
      </c>
    </row>
    <row r="322" spans="1:7">
      <c r="A322">
        <v>1474</v>
      </c>
      <c r="B322" t="s">
        <v>5253</v>
      </c>
      <c r="C322">
        <v>16</v>
      </c>
      <c r="D322">
        <v>0</v>
      </c>
      <c r="E322">
        <v>0</v>
      </c>
      <c r="F322">
        <v>16</v>
      </c>
      <c r="G322">
        <v>321</v>
      </c>
    </row>
    <row r="323" spans="1:7">
      <c r="A323">
        <v>2442</v>
      </c>
      <c r="B323" t="s">
        <v>5510</v>
      </c>
      <c r="C323">
        <v>15</v>
      </c>
      <c r="D323">
        <v>1</v>
      </c>
      <c r="E323">
        <v>0</v>
      </c>
      <c r="F323">
        <v>16</v>
      </c>
      <c r="G323">
        <v>321</v>
      </c>
    </row>
    <row r="324" spans="1:7">
      <c r="A324">
        <v>3060</v>
      </c>
      <c r="B324" t="s">
        <v>5708</v>
      </c>
      <c r="C324">
        <v>15</v>
      </c>
      <c r="D324">
        <v>1</v>
      </c>
      <c r="E324">
        <v>0</v>
      </c>
      <c r="F324">
        <v>16</v>
      </c>
      <c r="G324">
        <v>321</v>
      </c>
    </row>
    <row r="325" spans="1:7">
      <c r="A325">
        <v>3306</v>
      </c>
      <c r="B325" t="s">
        <v>5773</v>
      </c>
      <c r="C325">
        <v>15</v>
      </c>
      <c r="D325">
        <v>1</v>
      </c>
      <c r="E325">
        <v>0</v>
      </c>
      <c r="F325">
        <v>16</v>
      </c>
      <c r="G325">
        <v>321</v>
      </c>
    </row>
    <row r="326" spans="1:7">
      <c r="A326">
        <v>3322</v>
      </c>
      <c r="B326" t="s">
        <v>8503</v>
      </c>
      <c r="C326">
        <v>16</v>
      </c>
      <c r="D326">
        <v>0</v>
      </c>
      <c r="E326">
        <v>0</v>
      </c>
      <c r="F326">
        <v>16</v>
      </c>
      <c r="G326">
        <v>321</v>
      </c>
    </row>
    <row r="327" spans="1:7">
      <c r="A327">
        <v>3323</v>
      </c>
      <c r="B327" t="s">
        <v>5778</v>
      </c>
      <c r="C327">
        <v>13</v>
      </c>
      <c r="D327">
        <v>2</v>
      </c>
      <c r="E327">
        <v>1</v>
      </c>
      <c r="F327">
        <v>16</v>
      </c>
      <c r="G327">
        <v>321</v>
      </c>
    </row>
    <row r="328" spans="1:7">
      <c r="A328">
        <v>3481</v>
      </c>
      <c r="B328" t="s">
        <v>5815</v>
      </c>
      <c r="C328">
        <v>16</v>
      </c>
      <c r="D328">
        <v>0</v>
      </c>
      <c r="E328">
        <v>0</v>
      </c>
      <c r="F328">
        <v>16</v>
      </c>
      <c r="G328">
        <v>321</v>
      </c>
    </row>
    <row r="329" spans="1:7">
      <c r="A329">
        <v>4971</v>
      </c>
      <c r="B329" t="s">
        <v>6037</v>
      </c>
      <c r="C329">
        <v>14</v>
      </c>
      <c r="D329">
        <v>2</v>
      </c>
      <c r="E329">
        <v>0</v>
      </c>
      <c r="F329">
        <v>16</v>
      </c>
      <c r="G329">
        <v>321</v>
      </c>
    </row>
    <row r="330" spans="1:7">
      <c r="A330">
        <v>5706</v>
      </c>
      <c r="B330" t="s">
        <v>6136</v>
      </c>
      <c r="C330">
        <v>14</v>
      </c>
      <c r="D330">
        <v>2</v>
      </c>
      <c r="E330">
        <v>0</v>
      </c>
      <c r="F330">
        <v>16</v>
      </c>
      <c r="G330">
        <v>321</v>
      </c>
    </row>
    <row r="331" spans="1:7">
      <c r="A331">
        <v>5905</v>
      </c>
      <c r="B331" t="s">
        <v>6145</v>
      </c>
      <c r="C331">
        <v>14</v>
      </c>
      <c r="D331">
        <v>2</v>
      </c>
      <c r="E331">
        <v>0</v>
      </c>
      <c r="F331">
        <v>16</v>
      </c>
      <c r="G331">
        <v>321</v>
      </c>
    </row>
    <row r="332" spans="1:7">
      <c r="A332">
        <v>6116</v>
      </c>
      <c r="B332" t="s">
        <v>6159</v>
      </c>
      <c r="C332">
        <v>14</v>
      </c>
      <c r="D332">
        <v>2</v>
      </c>
      <c r="E332">
        <v>0</v>
      </c>
      <c r="F332">
        <v>16</v>
      </c>
      <c r="G332">
        <v>321</v>
      </c>
    </row>
    <row r="333" spans="1:7">
      <c r="A333">
        <v>6202</v>
      </c>
      <c r="B333" t="s">
        <v>6217</v>
      </c>
      <c r="C333">
        <v>15</v>
      </c>
      <c r="D333">
        <v>1</v>
      </c>
      <c r="E333">
        <v>0</v>
      </c>
      <c r="F333">
        <v>16</v>
      </c>
      <c r="G333">
        <v>321</v>
      </c>
    </row>
    <row r="334" spans="1:7">
      <c r="A334">
        <v>6414</v>
      </c>
      <c r="B334" t="s">
        <v>6277</v>
      </c>
      <c r="C334">
        <v>15</v>
      </c>
      <c r="D334">
        <v>1</v>
      </c>
      <c r="E334">
        <v>0</v>
      </c>
      <c r="F334">
        <v>16</v>
      </c>
      <c r="G334">
        <v>321</v>
      </c>
    </row>
    <row r="335" spans="1:7">
      <c r="A335">
        <v>8091</v>
      </c>
      <c r="B335" t="s">
        <v>6397</v>
      </c>
      <c r="C335">
        <v>14</v>
      </c>
      <c r="D335">
        <v>2</v>
      </c>
      <c r="E335">
        <v>0</v>
      </c>
      <c r="F335">
        <v>16</v>
      </c>
      <c r="G335">
        <v>321</v>
      </c>
    </row>
    <row r="336" spans="1:7">
      <c r="A336">
        <v>8406</v>
      </c>
      <c r="B336" t="s">
        <v>6441</v>
      </c>
      <c r="C336">
        <v>15</v>
      </c>
      <c r="D336">
        <v>1</v>
      </c>
      <c r="E336">
        <v>0</v>
      </c>
      <c r="F336">
        <v>16</v>
      </c>
      <c r="G336">
        <v>321</v>
      </c>
    </row>
    <row r="337" spans="1:7">
      <c r="A337">
        <v>2022</v>
      </c>
      <c r="B337" t="s">
        <v>8468</v>
      </c>
      <c r="C337">
        <v>15</v>
      </c>
      <c r="D337">
        <v>0</v>
      </c>
      <c r="E337">
        <v>0</v>
      </c>
      <c r="F337">
        <v>15</v>
      </c>
      <c r="G337">
        <v>336</v>
      </c>
    </row>
    <row r="338" spans="1:7">
      <c r="A338">
        <v>2221</v>
      </c>
      <c r="B338" t="s">
        <v>5414</v>
      </c>
      <c r="C338">
        <v>13</v>
      </c>
      <c r="D338">
        <v>2</v>
      </c>
      <c r="E338">
        <v>0</v>
      </c>
      <c r="F338">
        <v>15</v>
      </c>
      <c r="G338">
        <v>336</v>
      </c>
    </row>
    <row r="339" spans="1:7">
      <c r="A339">
        <v>2430</v>
      </c>
      <c r="B339" t="s">
        <v>5503</v>
      </c>
      <c r="C339">
        <v>15</v>
      </c>
      <c r="D339">
        <v>0</v>
      </c>
      <c r="E339">
        <v>0</v>
      </c>
      <c r="F339">
        <v>15</v>
      </c>
      <c r="G339">
        <v>336</v>
      </c>
    </row>
    <row r="340" spans="1:7">
      <c r="A340">
        <v>3563</v>
      </c>
      <c r="B340" t="s">
        <v>5852</v>
      </c>
      <c r="C340">
        <v>11</v>
      </c>
      <c r="D340">
        <v>3</v>
      </c>
      <c r="E340">
        <v>1</v>
      </c>
      <c r="F340">
        <v>15</v>
      </c>
      <c r="G340">
        <v>336</v>
      </c>
    </row>
    <row r="341" spans="1:7">
      <c r="A341">
        <v>4141</v>
      </c>
      <c r="B341" t="s">
        <v>5928</v>
      </c>
      <c r="C341">
        <v>14</v>
      </c>
      <c r="D341">
        <v>1</v>
      </c>
      <c r="E341">
        <v>0</v>
      </c>
      <c r="F341">
        <v>15</v>
      </c>
      <c r="G341">
        <v>336</v>
      </c>
    </row>
    <row r="342" spans="1:7">
      <c r="A342">
        <v>4171</v>
      </c>
      <c r="B342" t="s">
        <v>5941</v>
      </c>
      <c r="C342">
        <v>10</v>
      </c>
      <c r="D342">
        <v>4</v>
      </c>
      <c r="E342">
        <v>1</v>
      </c>
      <c r="F342">
        <v>15</v>
      </c>
      <c r="G342">
        <v>336</v>
      </c>
    </row>
    <row r="343" spans="1:7">
      <c r="A343">
        <v>4931</v>
      </c>
      <c r="B343" t="s">
        <v>6020</v>
      </c>
      <c r="C343">
        <v>12</v>
      </c>
      <c r="D343">
        <v>3</v>
      </c>
      <c r="E343">
        <v>0</v>
      </c>
      <c r="F343">
        <v>15</v>
      </c>
      <c r="G343">
        <v>336</v>
      </c>
    </row>
    <row r="344" spans="1:7">
      <c r="A344">
        <v>6213</v>
      </c>
      <c r="B344" t="s">
        <v>6225</v>
      </c>
      <c r="C344">
        <v>15</v>
      </c>
      <c r="D344">
        <v>0</v>
      </c>
      <c r="E344">
        <v>0</v>
      </c>
      <c r="F344">
        <v>15</v>
      </c>
      <c r="G344">
        <v>336</v>
      </c>
    </row>
    <row r="345" spans="1:7">
      <c r="A345">
        <v>6244</v>
      </c>
      <c r="B345" t="s">
        <v>8547</v>
      </c>
      <c r="C345">
        <v>12</v>
      </c>
      <c r="D345">
        <v>2</v>
      </c>
      <c r="E345">
        <v>1</v>
      </c>
      <c r="F345">
        <v>15</v>
      </c>
      <c r="G345">
        <v>336</v>
      </c>
    </row>
    <row r="346" spans="1:7">
      <c r="A346">
        <v>6290</v>
      </c>
      <c r="B346" t="s">
        <v>6271</v>
      </c>
      <c r="C346">
        <v>13</v>
      </c>
      <c r="D346">
        <v>1</v>
      </c>
      <c r="E346">
        <v>1</v>
      </c>
      <c r="F346">
        <v>15</v>
      </c>
      <c r="G346">
        <v>336</v>
      </c>
    </row>
    <row r="347" spans="1:7">
      <c r="A347">
        <v>8028</v>
      </c>
      <c r="B347" t="s">
        <v>6373</v>
      </c>
      <c r="C347">
        <v>12</v>
      </c>
      <c r="D347">
        <v>2</v>
      </c>
      <c r="E347">
        <v>1</v>
      </c>
      <c r="F347">
        <v>15</v>
      </c>
      <c r="G347">
        <v>336</v>
      </c>
    </row>
    <row r="348" spans="1:7">
      <c r="A348">
        <v>8271</v>
      </c>
      <c r="B348" t="s">
        <v>6427</v>
      </c>
      <c r="C348">
        <v>13</v>
      </c>
      <c r="D348">
        <v>1</v>
      </c>
      <c r="E348">
        <v>1</v>
      </c>
      <c r="F348">
        <v>15</v>
      </c>
      <c r="G348">
        <v>336</v>
      </c>
    </row>
    <row r="349" spans="1:7">
      <c r="A349">
        <v>1414</v>
      </c>
      <c r="B349" t="s">
        <v>5222</v>
      </c>
      <c r="C349">
        <v>11</v>
      </c>
      <c r="D349">
        <v>3</v>
      </c>
      <c r="E349">
        <v>0</v>
      </c>
      <c r="F349">
        <v>14</v>
      </c>
      <c r="G349">
        <v>348</v>
      </c>
    </row>
    <row r="350" spans="1:7">
      <c r="A350">
        <v>2017</v>
      </c>
      <c r="B350" t="s">
        <v>5377</v>
      </c>
      <c r="C350">
        <v>14</v>
      </c>
      <c r="D350">
        <v>0</v>
      </c>
      <c r="E350">
        <v>0</v>
      </c>
      <c r="F350">
        <v>14</v>
      </c>
      <c r="G350">
        <v>348</v>
      </c>
    </row>
    <row r="351" spans="1:7">
      <c r="A351">
        <v>2033</v>
      </c>
      <c r="B351" t="s">
        <v>5387</v>
      </c>
      <c r="C351">
        <v>14</v>
      </c>
      <c r="D351">
        <v>0</v>
      </c>
      <c r="E351">
        <v>0</v>
      </c>
      <c r="F351">
        <v>14</v>
      </c>
      <c r="G351">
        <v>348</v>
      </c>
    </row>
    <row r="352" spans="1:7">
      <c r="A352">
        <v>2353</v>
      </c>
      <c r="B352" t="s">
        <v>5452</v>
      </c>
      <c r="C352">
        <v>12</v>
      </c>
      <c r="D352">
        <v>1</v>
      </c>
      <c r="E352">
        <v>1</v>
      </c>
      <c r="F352">
        <v>14</v>
      </c>
      <c r="G352">
        <v>348</v>
      </c>
    </row>
    <row r="353" spans="1:7">
      <c r="A353">
        <v>2441</v>
      </c>
      <c r="B353" t="s">
        <v>5509</v>
      </c>
      <c r="C353">
        <v>13</v>
      </c>
      <c r="D353">
        <v>1</v>
      </c>
      <c r="E353">
        <v>0</v>
      </c>
      <c r="F353">
        <v>14</v>
      </c>
      <c r="G353">
        <v>348</v>
      </c>
    </row>
    <row r="354" spans="1:7">
      <c r="A354">
        <v>2613</v>
      </c>
      <c r="B354" t="s">
        <v>5586</v>
      </c>
      <c r="C354">
        <v>14</v>
      </c>
      <c r="D354">
        <v>0</v>
      </c>
      <c r="E354">
        <v>0</v>
      </c>
      <c r="F354">
        <v>14</v>
      </c>
      <c r="G354">
        <v>348</v>
      </c>
    </row>
    <row r="355" spans="1:7">
      <c r="A355">
        <v>3050</v>
      </c>
      <c r="B355" t="s">
        <v>5701</v>
      </c>
      <c r="C355">
        <v>14</v>
      </c>
      <c r="D355">
        <v>0</v>
      </c>
      <c r="E355">
        <v>0</v>
      </c>
      <c r="F355">
        <v>14</v>
      </c>
      <c r="G355">
        <v>348</v>
      </c>
    </row>
    <row r="356" spans="1:7">
      <c r="A356">
        <v>3058</v>
      </c>
      <c r="B356" t="s">
        <v>5706</v>
      </c>
      <c r="C356">
        <v>12</v>
      </c>
      <c r="D356">
        <v>2</v>
      </c>
      <c r="E356">
        <v>0</v>
      </c>
      <c r="F356">
        <v>14</v>
      </c>
      <c r="G356">
        <v>348</v>
      </c>
    </row>
    <row r="357" spans="1:7">
      <c r="A357">
        <v>3138</v>
      </c>
      <c r="B357" t="s">
        <v>5725</v>
      </c>
      <c r="C357">
        <v>13</v>
      </c>
      <c r="D357">
        <v>1</v>
      </c>
      <c r="E357">
        <v>0</v>
      </c>
      <c r="F357">
        <v>14</v>
      </c>
      <c r="G357">
        <v>348</v>
      </c>
    </row>
    <row r="358" spans="1:7">
      <c r="A358">
        <v>3437</v>
      </c>
      <c r="B358" t="s">
        <v>5805</v>
      </c>
      <c r="C358">
        <v>13</v>
      </c>
      <c r="D358">
        <v>1</v>
      </c>
      <c r="E358">
        <v>0</v>
      </c>
      <c r="F358">
        <v>14</v>
      </c>
      <c r="G358">
        <v>348</v>
      </c>
    </row>
    <row r="359" spans="1:7">
      <c r="A359">
        <v>3680</v>
      </c>
      <c r="B359" t="s">
        <v>5890</v>
      </c>
      <c r="C359">
        <v>12</v>
      </c>
      <c r="D359">
        <v>2</v>
      </c>
      <c r="E359">
        <v>0</v>
      </c>
      <c r="F359">
        <v>14</v>
      </c>
      <c r="G359">
        <v>348</v>
      </c>
    </row>
    <row r="360" spans="1:7">
      <c r="A360">
        <v>4960</v>
      </c>
      <c r="B360" t="s">
        <v>6032</v>
      </c>
      <c r="C360">
        <v>13</v>
      </c>
      <c r="D360">
        <v>1</v>
      </c>
      <c r="E360">
        <v>0</v>
      </c>
      <c r="F360">
        <v>14</v>
      </c>
      <c r="G360">
        <v>348</v>
      </c>
    </row>
    <row r="361" spans="1:7">
      <c r="A361">
        <v>5263</v>
      </c>
      <c r="B361" t="s">
        <v>6068</v>
      </c>
      <c r="C361">
        <v>13</v>
      </c>
      <c r="D361">
        <v>1</v>
      </c>
      <c r="E361">
        <v>0</v>
      </c>
      <c r="F361">
        <v>14</v>
      </c>
      <c r="G361">
        <v>348</v>
      </c>
    </row>
    <row r="362" spans="1:7">
      <c r="A362">
        <v>6026</v>
      </c>
      <c r="B362" t="s">
        <v>6152</v>
      </c>
      <c r="C362">
        <v>14</v>
      </c>
      <c r="D362">
        <v>0</v>
      </c>
      <c r="E362">
        <v>0</v>
      </c>
      <c r="F362">
        <v>14</v>
      </c>
      <c r="G362">
        <v>348</v>
      </c>
    </row>
    <row r="363" spans="1:7">
      <c r="A363">
        <v>6441</v>
      </c>
      <c r="B363" t="s">
        <v>6285</v>
      </c>
      <c r="C363">
        <v>13</v>
      </c>
      <c r="D363">
        <v>1</v>
      </c>
      <c r="E363">
        <v>0</v>
      </c>
      <c r="F363">
        <v>14</v>
      </c>
      <c r="G363">
        <v>348</v>
      </c>
    </row>
    <row r="364" spans="1:7">
      <c r="A364">
        <v>6525</v>
      </c>
      <c r="B364" t="s">
        <v>6314</v>
      </c>
      <c r="C364">
        <v>14</v>
      </c>
      <c r="D364">
        <v>0</v>
      </c>
      <c r="E364">
        <v>0</v>
      </c>
      <c r="F364">
        <v>14</v>
      </c>
      <c r="G364">
        <v>348</v>
      </c>
    </row>
    <row r="365" spans="1:7">
      <c r="A365">
        <v>6667</v>
      </c>
      <c r="B365" t="s">
        <v>6348</v>
      </c>
      <c r="C365">
        <v>13</v>
      </c>
      <c r="D365">
        <v>1</v>
      </c>
      <c r="E365">
        <v>0</v>
      </c>
      <c r="F365">
        <v>14</v>
      </c>
      <c r="G365">
        <v>348</v>
      </c>
    </row>
    <row r="366" spans="1:7">
      <c r="A366">
        <v>6741</v>
      </c>
      <c r="B366" t="s">
        <v>6360</v>
      </c>
      <c r="C366">
        <v>14</v>
      </c>
      <c r="D366">
        <v>0</v>
      </c>
      <c r="E366">
        <v>0</v>
      </c>
      <c r="F366">
        <v>14</v>
      </c>
      <c r="G366">
        <v>348</v>
      </c>
    </row>
    <row r="367" spans="1:7">
      <c r="A367">
        <v>8069</v>
      </c>
      <c r="B367" t="s">
        <v>6386</v>
      </c>
      <c r="C367">
        <v>14</v>
      </c>
      <c r="D367">
        <v>0</v>
      </c>
      <c r="E367">
        <v>0</v>
      </c>
      <c r="F367">
        <v>14</v>
      </c>
      <c r="G367">
        <v>348</v>
      </c>
    </row>
    <row r="368" spans="1:7">
      <c r="A368">
        <v>8367</v>
      </c>
      <c r="B368" t="s">
        <v>6434</v>
      </c>
      <c r="C368">
        <v>13</v>
      </c>
      <c r="D368">
        <v>1</v>
      </c>
      <c r="E368">
        <v>0</v>
      </c>
      <c r="F368">
        <v>14</v>
      </c>
      <c r="G368">
        <v>348</v>
      </c>
    </row>
    <row r="369" spans="1:7">
      <c r="A369">
        <v>1517</v>
      </c>
      <c r="B369" t="s">
        <v>5263</v>
      </c>
      <c r="C369">
        <v>12</v>
      </c>
      <c r="D369">
        <v>1</v>
      </c>
      <c r="E369">
        <v>0</v>
      </c>
      <c r="F369">
        <v>13</v>
      </c>
      <c r="G369">
        <v>368</v>
      </c>
    </row>
    <row r="370" spans="1:7">
      <c r="A370">
        <v>1785</v>
      </c>
      <c r="B370" t="s">
        <v>5349</v>
      </c>
      <c r="C370">
        <v>12</v>
      </c>
      <c r="D370">
        <v>1</v>
      </c>
      <c r="E370">
        <v>0</v>
      </c>
      <c r="F370">
        <v>13</v>
      </c>
      <c r="G370">
        <v>368</v>
      </c>
    </row>
    <row r="371" spans="1:7">
      <c r="A371">
        <v>1809</v>
      </c>
      <c r="B371" t="s">
        <v>5357</v>
      </c>
      <c r="C371">
        <v>13</v>
      </c>
      <c r="D371">
        <v>0</v>
      </c>
      <c r="E371">
        <v>0</v>
      </c>
      <c r="F371">
        <v>13</v>
      </c>
      <c r="G371">
        <v>368</v>
      </c>
    </row>
    <row r="372" spans="1:7">
      <c r="A372">
        <v>2371</v>
      </c>
      <c r="B372" t="s">
        <v>5466</v>
      </c>
      <c r="C372">
        <v>12</v>
      </c>
      <c r="D372">
        <v>1</v>
      </c>
      <c r="E372">
        <v>0</v>
      </c>
      <c r="F372">
        <v>13</v>
      </c>
      <c r="G372">
        <v>368</v>
      </c>
    </row>
    <row r="373" spans="1:7">
      <c r="A373">
        <v>2374</v>
      </c>
      <c r="B373" t="s">
        <v>5468</v>
      </c>
      <c r="C373">
        <v>11</v>
      </c>
      <c r="D373">
        <v>2</v>
      </c>
      <c r="E373">
        <v>0</v>
      </c>
      <c r="F373">
        <v>13</v>
      </c>
      <c r="G373">
        <v>368</v>
      </c>
    </row>
    <row r="374" spans="1:7">
      <c r="A374">
        <v>2743</v>
      </c>
      <c r="B374" t="s">
        <v>5614</v>
      </c>
      <c r="C374">
        <v>13</v>
      </c>
      <c r="D374">
        <v>0</v>
      </c>
      <c r="E374">
        <v>0</v>
      </c>
      <c r="F374">
        <v>13</v>
      </c>
      <c r="G374">
        <v>368</v>
      </c>
    </row>
    <row r="375" spans="1:7">
      <c r="A375">
        <v>3257</v>
      </c>
      <c r="B375" t="s">
        <v>5756</v>
      </c>
      <c r="C375">
        <v>9</v>
      </c>
      <c r="D375">
        <v>3</v>
      </c>
      <c r="E375">
        <v>1</v>
      </c>
      <c r="F375">
        <v>13</v>
      </c>
      <c r="G375">
        <v>368</v>
      </c>
    </row>
    <row r="376" spans="1:7">
      <c r="A376">
        <v>3338</v>
      </c>
      <c r="B376" t="s">
        <v>5781</v>
      </c>
      <c r="C376">
        <v>13</v>
      </c>
      <c r="D376">
        <v>0</v>
      </c>
      <c r="E376">
        <v>0</v>
      </c>
      <c r="F376">
        <v>13</v>
      </c>
      <c r="G376">
        <v>368</v>
      </c>
    </row>
    <row r="377" spans="1:7">
      <c r="A377">
        <v>3580</v>
      </c>
      <c r="B377" t="s">
        <v>5855</v>
      </c>
      <c r="C377">
        <v>13</v>
      </c>
      <c r="D377">
        <v>0</v>
      </c>
      <c r="E377">
        <v>0</v>
      </c>
      <c r="F377">
        <v>13</v>
      </c>
      <c r="G377">
        <v>368</v>
      </c>
    </row>
    <row r="378" spans="1:7">
      <c r="A378">
        <v>4755</v>
      </c>
      <c r="B378" t="s">
        <v>6004</v>
      </c>
      <c r="C378">
        <v>13</v>
      </c>
      <c r="D378">
        <v>0</v>
      </c>
      <c r="E378">
        <v>0</v>
      </c>
      <c r="F378">
        <v>13</v>
      </c>
      <c r="G378">
        <v>368</v>
      </c>
    </row>
    <row r="379" spans="1:7">
      <c r="A379">
        <v>4804</v>
      </c>
      <c r="B379" t="s">
        <v>6009</v>
      </c>
      <c r="C379">
        <v>13</v>
      </c>
      <c r="D379">
        <v>0</v>
      </c>
      <c r="E379">
        <v>0</v>
      </c>
      <c r="F379">
        <v>13</v>
      </c>
      <c r="G379">
        <v>368</v>
      </c>
    </row>
    <row r="380" spans="1:7">
      <c r="A380">
        <v>5234</v>
      </c>
      <c r="B380" t="s">
        <v>6062</v>
      </c>
      <c r="C380">
        <v>13</v>
      </c>
      <c r="D380">
        <v>0</v>
      </c>
      <c r="E380">
        <v>0</v>
      </c>
      <c r="F380">
        <v>13</v>
      </c>
      <c r="G380">
        <v>368</v>
      </c>
    </row>
    <row r="381" spans="1:7">
      <c r="A381">
        <v>5245</v>
      </c>
      <c r="B381" t="s">
        <v>6065</v>
      </c>
      <c r="C381">
        <v>13</v>
      </c>
      <c r="D381">
        <v>0</v>
      </c>
      <c r="E381">
        <v>0</v>
      </c>
      <c r="F381">
        <v>13</v>
      </c>
      <c r="G381">
        <v>368</v>
      </c>
    </row>
    <row r="382" spans="1:7">
      <c r="A382">
        <v>5289</v>
      </c>
      <c r="B382" t="s">
        <v>6078</v>
      </c>
      <c r="C382">
        <v>13</v>
      </c>
      <c r="D382">
        <v>0</v>
      </c>
      <c r="E382">
        <v>0</v>
      </c>
      <c r="F382">
        <v>13</v>
      </c>
      <c r="G382">
        <v>368</v>
      </c>
    </row>
    <row r="383" spans="1:7">
      <c r="A383">
        <v>5607</v>
      </c>
      <c r="B383" t="s">
        <v>6133</v>
      </c>
      <c r="C383">
        <v>13</v>
      </c>
      <c r="D383">
        <v>0</v>
      </c>
      <c r="E383">
        <v>0</v>
      </c>
      <c r="F383">
        <v>13</v>
      </c>
      <c r="G383">
        <v>368</v>
      </c>
    </row>
    <row r="384" spans="1:7">
      <c r="A384">
        <v>6147</v>
      </c>
      <c r="B384" t="s">
        <v>6179</v>
      </c>
      <c r="C384">
        <v>12</v>
      </c>
      <c r="D384">
        <v>1</v>
      </c>
      <c r="E384">
        <v>0</v>
      </c>
      <c r="F384">
        <v>13</v>
      </c>
      <c r="G384">
        <v>368</v>
      </c>
    </row>
    <row r="385" spans="1:7">
      <c r="A385">
        <v>6163</v>
      </c>
      <c r="B385" t="s">
        <v>6190</v>
      </c>
      <c r="C385">
        <v>13</v>
      </c>
      <c r="D385">
        <v>0</v>
      </c>
      <c r="E385">
        <v>0</v>
      </c>
      <c r="F385">
        <v>13</v>
      </c>
      <c r="G385">
        <v>368</v>
      </c>
    </row>
    <row r="386" spans="1:7">
      <c r="A386">
        <v>6418</v>
      </c>
      <c r="B386" t="s">
        <v>6280</v>
      </c>
      <c r="C386">
        <v>13</v>
      </c>
      <c r="D386">
        <v>0</v>
      </c>
      <c r="E386">
        <v>0</v>
      </c>
      <c r="F386">
        <v>13</v>
      </c>
      <c r="G386">
        <v>368</v>
      </c>
    </row>
    <row r="387" spans="1:7">
      <c r="A387">
        <v>8034</v>
      </c>
      <c r="B387" t="s">
        <v>6374</v>
      </c>
      <c r="C387">
        <v>12</v>
      </c>
      <c r="D387">
        <v>1</v>
      </c>
      <c r="E387">
        <v>0</v>
      </c>
      <c r="F387">
        <v>13</v>
      </c>
      <c r="G387">
        <v>368</v>
      </c>
    </row>
    <row r="388" spans="1:7">
      <c r="A388">
        <v>1513</v>
      </c>
      <c r="B388" t="s">
        <v>5259</v>
      </c>
      <c r="C388">
        <v>9</v>
      </c>
      <c r="D388">
        <v>3</v>
      </c>
      <c r="E388">
        <v>0</v>
      </c>
      <c r="F388">
        <v>12</v>
      </c>
      <c r="G388">
        <v>387</v>
      </c>
    </row>
    <row r="389" spans="1:7">
      <c r="A389">
        <v>1714</v>
      </c>
      <c r="B389" t="s">
        <v>5324</v>
      </c>
      <c r="C389">
        <v>12</v>
      </c>
      <c r="D389">
        <v>0</v>
      </c>
      <c r="E389">
        <v>0</v>
      </c>
      <c r="F389">
        <v>12</v>
      </c>
      <c r="G389">
        <v>387</v>
      </c>
    </row>
    <row r="390" spans="1:7">
      <c r="A390">
        <v>2006</v>
      </c>
      <c r="B390" t="s">
        <v>5368</v>
      </c>
      <c r="C390">
        <v>10</v>
      </c>
      <c r="D390">
        <v>2</v>
      </c>
      <c r="E390">
        <v>0</v>
      </c>
      <c r="F390">
        <v>12</v>
      </c>
      <c r="G390">
        <v>387</v>
      </c>
    </row>
    <row r="391" spans="1:7">
      <c r="A391">
        <v>2020</v>
      </c>
      <c r="B391" t="s">
        <v>5378</v>
      </c>
      <c r="C391">
        <v>11</v>
      </c>
      <c r="D391">
        <v>1</v>
      </c>
      <c r="E391">
        <v>0</v>
      </c>
      <c r="F391">
        <v>12</v>
      </c>
      <c r="G391">
        <v>387</v>
      </c>
    </row>
    <row r="392" spans="1:7">
      <c r="A392">
        <v>2029</v>
      </c>
      <c r="B392" t="s">
        <v>5383</v>
      </c>
      <c r="C392">
        <v>10</v>
      </c>
      <c r="D392">
        <v>2</v>
      </c>
      <c r="E392">
        <v>0</v>
      </c>
      <c r="F392">
        <v>12</v>
      </c>
      <c r="G392">
        <v>387</v>
      </c>
    </row>
    <row r="393" spans="1:7">
      <c r="A393">
        <v>2323</v>
      </c>
      <c r="B393" t="s">
        <v>5434</v>
      </c>
      <c r="C393">
        <v>11</v>
      </c>
      <c r="D393">
        <v>1</v>
      </c>
      <c r="E393">
        <v>0</v>
      </c>
      <c r="F393">
        <v>12</v>
      </c>
      <c r="G393">
        <v>387</v>
      </c>
    </row>
    <row r="394" spans="1:7">
      <c r="A394">
        <v>2388</v>
      </c>
      <c r="B394" t="s">
        <v>5477</v>
      </c>
      <c r="C394">
        <v>11</v>
      </c>
      <c r="D394">
        <v>1</v>
      </c>
      <c r="E394">
        <v>0</v>
      </c>
      <c r="F394">
        <v>12</v>
      </c>
      <c r="G394">
        <v>387</v>
      </c>
    </row>
    <row r="395" spans="1:7">
      <c r="A395">
        <v>2489</v>
      </c>
      <c r="B395" t="s">
        <v>5542</v>
      </c>
      <c r="C395">
        <v>12</v>
      </c>
      <c r="D395">
        <v>0</v>
      </c>
      <c r="E395">
        <v>0</v>
      </c>
      <c r="F395">
        <v>12</v>
      </c>
      <c r="G395">
        <v>387</v>
      </c>
    </row>
    <row r="396" spans="1:7">
      <c r="A396">
        <v>2607</v>
      </c>
      <c r="B396" t="s">
        <v>5580</v>
      </c>
      <c r="C396">
        <v>12</v>
      </c>
      <c r="D396">
        <v>0</v>
      </c>
      <c r="E396">
        <v>0</v>
      </c>
      <c r="F396">
        <v>12</v>
      </c>
      <c r="G396">
        <v>387</v>
      </c>
    </row>
    <row r="397" spans="1:7">
      <c r="A397">
        <v>3031</v>
      </c>
      <c r="B397" t="s">
        <v>5685</v>
      </c>
      <c r="C397">
        <v>12</v>
      </c>
      <c r="D397">
        <v>0</v>
      </c>
      <c r="E397">
        <v>0</v>
      </c>
      <c r="F397">
        <v>12</v>
      </c>
      <c r="G397">
        <v>387</v>
      </c>
    </row>
    <row r="398" spans="1:7">
      <c r="A398">
        <v>3354</v>
      </c>
      <c r="B398" t="s">
        <v>5784</v>
      </c>
      <c r="C398">
        <v>12</v>
      </c>
      <c r="D398">
        <v>0</v>
      </c>
      <c r="E398">
        <v>0</v>
      </c>
      <c r="F398">
        <v>12</v>
      </c>
      <c r="G398">
        <v>387</v>
      </c>
    </row>
    <row r="399" spans="1:7">
      <c r="A399">
        <v>3372</v>
      </c>
      <c r="B399" t="s">
        <v>5790</v>
      </c>
      <c r="C399">
        <v>11</v>
      </c>
      <c r="D399">
        <v>1</v>
      </c>
      <c r="E399">
        <v>0</v>
      </c>
      <c r="F399">
        <v>12</v>
      </c>
      <c r="G399">
        <v>387</v>
      </c>
    </row>
    <row r="400" spans="1:7">
      <c r="A400">
        <v>3373</v>
      </c>
      <c r="B400" t="s">
        <v>5791</v>
      </c>
      <c r="C400">
        <v>12</v>
      </c>
      <c r="D400">
        <v>0</v>
      </c>
      <c r="E400">
        <v>0</v>
      </c>
      <c r="F400">
        <v>12</v>
      </c>
      <c r="G400">
        <v>387</v>
      </c>
    </row>
    <row r="401" spans="1:7">
      <c r="A401">
        <v>3441</v>
      </c>
      <c r="B401" t="s">
        <v>5807</v>
      </c>
      <c r="C401">
        <v>12</v>
      </c>
      <c r="D401">
        <v>0</v>
      </c>
      <c r="E401">
        <v>0</v>
      </c>
      <c r="F401">
        <v>12</v>
      </c>
      <c r="G401">
        <v>387</v>
      </c>
    </row>
    <row r="402" spans="1:7">
      <c r="A402">
        <v>3444</v>
      </c>
      <c r="B402" t="s">
        <v>5809</v>
      </c>
      <c r="C402">
        <v>12</v>
      </c>
      <c r="D402">
        <v>0</v>
      </c>
      <c r="E402">
        <v>0</v>
      </c>
      <c r="F402">
        <v>12</v>
      </c>
      <c r="G402">
        <v>387</v>
      </c>
    </row>
    <row r="403" spans="1:7">
      <c r="A403">
        <v>3666</v>
      </c>
      <c r="B403" t="s">
        <v>5884</v>
      </c>
      <c r="C403">
        <v>12</v>
      </c>
      <c r="D403">
        <v>0</v>
      </c>
      <c r="E403">
        <v>0</v>
      </c>
      <c r="F403">
        <v>12</v>
      </c>
      <c r="G403">
        <v>387</v>
      </c>
    </row>
    <row r="404" spans="1:7">
      <c r="A404">
        <v>4106</v>
      </c>
      <c r="B404" t="s">
        <v>632</v>
      </c>
      <c r="C404">
        <v>11</v>
      </c>
      <c r="D404">
        <v>1</v>
      </c>
      <c r="E404">
        <v>0</v>
      </c>
      <c r="F404">
        <v>12</v>
      </c>
      <c r="G404">
        <v>387</v>
      </c>
    </row>
    <row r="405" spans="1:7">
      <c r="A405">
        <v>5274</v>
      </c>
      <c r="B405" t="s">
        <v>6071</v>
      </c>
      <c r="C405">
        <v>12</v>
      </c>
      <c r="D405">
        <v>0</v>
      </c>
      <c r="E405">
        <v>0</v>
      </c>
      <c r="F405">
        <v>12</v>
      </c>
      <c r="G405">
        <v>387</v>
      </c>
    </row>
    <row r="406" spans="1:7">
      <c r="A406">
        <v>6126</v>
      </c>
      <c r="B406" t="s">
        <v>6167</v>
      </c>
      <c r="C406">
        <v>12</v>
      </c>
      <c r="D406">
        <v>0</v>
      </c>
      <c r="E406">
        <v>0</v>
      </c>
      <c r="F406">
        <v>12</v>
      </c>
      <c r="G406">
        <v>387</v>
      </c>
    </row>
    <row r="407" spans="1:7">
      <c r="A407">
        <v>6173</v>
      </c>
      <c r="B407" t="s">
        <v>6196</v>
      </c>
      <c r="C407">
        <v>9</v>
      </c>
      <c r="D407">
        <v>2</v>
      </c>
      <c r="E407">
        <v>1</v>
      </c>
      <c r="F407">
        <v>12</v>
      </c>
      <c r="G407">
        <v>387</v>
      </c>
    </row>
    <row r="408" spans="1:7">
      <c r="A408">
        <v>6781</v>
      </c>
      <c r="B408" t="s">
        <v>6366</v>
      </c>
      <c r="C408">
        <v>12</v>
      </c>
      <c r="D408">
        <v>0</v>
      </c>
      <c r="E408">
        <v>0</v>
      </c>
      <c r="F408">
        <v>12</v>
      </c>
      <c r="G408">
        <v>387</v>
      </c>
    </row>
    <row r="409" spans="1:7">
      <c r="A409">
        <v>1440</v>
      </c>
      <c r="B409" t="s">
        <v>5232</v>
      </c>
      <c r="C409">
        <v>10</v>
      </c>
      <c r="D409">
        <v>1</v>
      </c>
      <c r="E409">
        <v>0</v>
      </c>
      <c r="F409">
        <v>11</v>
      </c>
      <c r="G409">
        <v>408</v>
      </c>
    </row>
    <row r="410" spans="1:7">
      <c r="A410">
        <v>1477</v>
      </c>
      <c r="B410" t="s">
        <v>5255</v>
      </c>
      <c r="C410">
        <v>11</v>
      </c>
      <c r="D410">
        <v>0</v>
      </c>
      <c r="E410">
        <v>0</v>
      </c>
      <c r="F410">
        <v>11</v>
      </c>
      <c r="G410">
        <v>408</v>
      </c>
    </row>
    <row r="411" spans="1:7">
      <c r="A411">
        <v>1608</v>
      </c>
      <c r="B411" t="s">
        <v>5306</v>
      </c>
      <c r="C411">
        <v>10</v>
      </c>
      <c r="D411">
        <v>1</v>
      </c>
      <c r="E411">
        <v>0</v>
      </c>
      <c r="F411">
        <v>11</v>
      </c>
      <c r="G411">
        <v>408</v>
      </c>
    </row>
    <row r="412" spans="1:7">
      <c r="A412">
        <v>1612</v>
      </c>
      <c r="B412" t="s">
        <v>5309</v>
      </c>
      <c r="C412">
        <v>11</v>
      </c>
      <c r="D412">
        <v>0</v>
      </c>
      <c r="E412">
        <v>0</v>
      </c>
      <c r="F412">
        <v>11</v>
      </c>
      <c r="G412">
        <v>408</v>
      </c>
    </row>
    <row r="413" spans="1:7">
      <c r="A413">
        <v>1909</v>
      </c>
      <c r="B413" t="s">
        <v>5366</v>
      </c>
      <c r="C413">
        <v>10</v>
      </c>
      <c r="D413">
        <v>1</v>
      </c>
      <c r="E413">
        <v>0</v>
      </c>
      <c r="F413">
        <v>11</v>
      </c>
      <c r="G413">
        <v>408</v>
      </c>
    </row>
    <row r="414" spans="1:7">
      <c r="A414">
        <v>2103</v>
      </c>
      <c r="B414" t="s">
        <v>5399</v>
      </c>
      <c r="C414">
        <v>11</v>
      </c>
      <c r="D414">
        <v>0</v>
      </c>
      <c r="E414">
        <v>0</v>
      </c>
      <c r="F414">
        <v>11</v>
      </c>
      <c r="G414">
        <v>408</v>
      </c>
    </row>
    <row r="415" spans="1:7">
      <c r="A415">
        <v>2355</v>
      </c>
      <c r="B415" t="s">
        <v>5454</v>
      </c>
      <c r="C415">
        <v>8</v>
      </c>
      <c r="D415">
        <v>3</v>
      </c>
      <c r="E415">
        <v>0</v>
      </c>
      <c r="F415">
        <v>11</v>
      </c>
      <c r="G415">
        <v>408</v>
      </c>
    </row>
    <row r="416" spans="1:7">
      <c r="A416">
        <v>2359</v>
      </c>
      <c r="B416" t="s">
        <v>5458</v>
      </c>
      <c r="C416">
        <v>10</v>
      </c>
      <c r="D416">
        <v>1</v>
      </c>
      <c r="E416">
        <v>0</v>
      </c>
      <c r="F416">
        <v>11</v>
      </c>
      <c r="G416">
        <v>408</v>
      </c>
    </row>
    <row r="417" spans="1:7">
      <c r="A417">
        <v>3025</v>
      </c>
      <c r="B417" t="s">
        <v>5679</v>
      </c>
      <c r="C417">
        <v>11</v>
      </c>
      <c r="D417">
        <v>0</v>
      </c>
      <c r="E417">
        <v>0</v>
      </c>
      <c r="F417">
        <v>11</v>
      </c>
      <c r="G417">
        <v>408</v>
      </c>
    </row>
    <row r="418" spans="1:7">
      <c r="A418">
        <v>3049</v>
      </c>
      <c r="B418" t="s">
        <v>5700</v>
      </c>
      <c r="C418">
        <v>9</v>
      </c>
      <c r="D418">
        <v>2</v>
      </c>
      <c r="E418">
        <v>0</v>
      </c>
      <c r="F418">
        <v>11</v>
      </c>
      <c r="G418">
        <v>408</v>
      </c>
    </row>
    <row r="419" spans="1:7">
      <c r="A419">
        <v>3105</v>
      </c>
      <c r="B419" t="s">
        <v>5719</v>
      </c>
      <c r="C419">
        <v>10</v>
      </c>
      <c r="D419">
        <v>1</v>
      </c>
      <c r="E419">
        <v>0</v>
      </c>
      <c r="F419">
        <v>11</v>
      </c>
      <c r="G419">
        <v>408</v>
      </c>
    </row>
    <row r="420" spans="1:7">
      <c r="A420">
        <v>3218</v>
      </c>
      <c r="B420" t="s">
        <v>5745</v>
      </c>
      <c r="C420">
        <v>11</v>
      </c>
      <c r="D420">
        <v>0</v>
      </c>
      <c r="E420">
        <v>0</v>
      </c>
      <c r="F420">
        <v>11</v>
      </c>
      <c r="G420">
        <v>408</v>
      </c>
    </row>
    <row r="421" spans="1:7">
      <c r="A421">
        <v>3438</v>
      </c>
      <c r="B421" t="s">
        <v>5806</v>
      </c>
      <c r="C421">
        <v>10</v>
      </c>
      <c r="D421">
        <v>1</v>
      </c>
      <c r="E421">
        <v>0</v>
      </c>
      <c r="F421">
        <v>11</v>
      </c>
      <c r="G421">
        <v>408</v>
      </c>
    </row>
    <row r="422" spans="1:7">
      <c r="A422">
        <v>3625</v>
      </c>
      <c r="B422" t="s">
        <v>5873</v>
      </c>
      <c r="C422">
        <v>9</v>
      </c>
      <c r="D422">
        <v>2</v>
      </c>
      <c r="E422">
        <v>0</v>
      </c>
      <c r="F422">
        <v>11</v>
      </c>
      <c r="G422">
        <v>408</v>
      </c>
    </row>
    <row r="423" spans="1:7">
      <c r="A423">
        <v>3663</v>
      </c>
      <c r="B423" t="s">
        <v>5882</v>
      </c>
      <c r="C423">
        <v>11</v>
      </c>
      <c r="D423">
        <v>0</v>
      </c>
      <c r="E423">
        <v>0</v>
      </c>
      <c r="F423">
        <v>11</v>
      </c>
      <c r="G423">
        <v>408</v>
      </c>
    </row>
    <row r="424" spans="1:7">
      <c r="A424">
        <v>4105</v>
      </c>
      <c r="B424" t="s">
        <v>5910</v>
      </c>
      <c r="C424">
        <v>7</v>
      </c>
      <c r="D424">
        <v>3</v>
      </c>
      <c r="E424">
        <v>1</v>
      </c>
      <c r="F424">
        <v>11</v>
      </c>
      <c r="G424">
        <v>408</v>
      </c>
    </row>
    <row r="425" spans="1:7">
      <c r="A425">
        <v>4711</v>
      </c>
      <c r="B425" t="s">
        <v>5990</v>
      </c>
      <c r="C425">
        <v>11</v>
      </c>
      <c r="D425">
        <v>0</v>
      </c>
      <c r="E425">
        <v>0</v>
      </c>
      <c r="F425">
        <v>11</v>
      </c>
      <c r="G425">
        <v>408</v>
      </c>
    </row>
    <row r="426" spans="1:7">
      <c r="A426">
        <v>4722</v>
      </c>
      <c r="B426" t="s">
        <v>5995</v>
      </c>
      <c r="C426">
        <v>11</v>
      </c>
      <c r="D426">
        <v>0</v>
      </c>
      <c r="E426">
        <v>0</v>
      </c>
      <c r="F426">
        <v>11</v>
      </c>
      <c r="G426">
        <v>408</v>
      </c>
    </row>
    <row r="427" spans="1:7">
      <c r="A427">
        <v>4945</v>
      </c>
      <c r="B427" t="s">
        <v>6027</v>
      </c>
      <c r="C427">
        <v>11</v>
      </c>
      <c r="D427">
        <v>0</v>
      </c>
      <c r="E427">
        <v>0</v>
      </c>
      <c r="F427">
        <v>11</v>
      </c>
      <c r="G427">
        <v>408</v>
      </c>
    </row>
    <row r="428" spans="1:7">
      <c r="A428">
        <v>6129</v>
      </c>
      <c r="B428" t="s">
        <v>8540</v>
      </c>
      <c r="C428">
        <v>11</v>
      </c>
      <c r="D428">
        <v>0</v>
      </c>
      <c r="E428">
        <v>0</v>
      </c>
      <c r="F428">
        <v>11</v>
      </c>
      <c r="G428">
        <v>408</v>
      </c>
    </row>
    <row r="429" spans="1:7">
      <c r="A429">
        <v>6432</v>
      </c>
      <c r="B429" t="s">
        <v>6282</v>
      </c>
      <c r="C429">
        <v>11</v>
      </c>
      <c r="D429">
        <v>0</v>
      </c>
      <c r="E429">
        <v>0</v>
      </c>
      <c r="F429">
        <v>11</v>
      </c>
      <c r="G429">
        <v>408</v>
      </c>
    </row>
    <row r="430" spans="1:7">
      <c r="A430">
        <v>6514</v>
      </c>
      <c r="B430" t="s">
        <v>6310</v>
      </c>
      <c r="C430">
        <v>11</v>
      </c>
      <c r="D430">
        <v>0</v>
      </c>
      <c r="E430">
        <v>0</v>
      </c>
      <c r="F430">
        <v>11</v>
      </c>
      <c r="G430">
        <v>408</v>
      </c>
    </row>
    <row r="431" spans="1:7">
      <c r="A431">
        <v>8088</v>
      </c>
      <c r="B431" t="s">
        <v>6395</v>
      </c>
      <c r="C431">
        <v>11</v>
      </c>
      <c r="D431">
        <v>0</v>
      </c>
      <c r="E431">
        <v>0</v>
      </c>
      <c r="F431">
        <v>11</v>
      </c>
      <c r="G431">
        <v>408</v>
      </c>
    </row>
    <row r="432" spans="1:7">
      <c r="A432">
        <v>8249</v>
      </c>
      <c r="B432" t="s">
        <v>6424</v>
      </c>
      <c r="C432">
        <v>10</v>
      </c>
      <c r="D432">
        <v>1</v>
      </c>
      <c r="E432">
        <v>0</v>
      </c>
      <c r="F432">
        <v>11</v>
      </c>
      <c r="G432">
        <v>408</v>
      </c>
    </row>
    <row r="433" spans="1:7">
      <c r="A433">
        <v>8390</v>
      </c>
      <c r="B433" t="s">
        <v>6437</v>
      </c>
      <c r="C433">
        <v>10</v>
      </c>
      <c r="D433">
        <v>1</v>
      </c>
      <c r="E433">
        <v>0</v>
      </c>
      <c r="F433">
        <v>11</v>
      </c>
      <c r="G433">
        <v>408</v>
      </c>
    </row>
    <row r="434" spans="1:7">
      <c r="A434">
        <v>1309</v>
      </c>
      <c r="B434" t="s">
        <v>5200</v>
      </c>
      <c r="C434">
        <v>9</v>
      </c>
      <c r="D434">
        <v>1</v>
      </c>
      <c r="E434">
        <v>0</v>
      </c>
      <c r="F434">
        <v>10</v>
      </c>
      <c r="G434">
        <v>433</v>
      </c>
    </row>
    <row r="435" spans="1:7">
      <c r="A435">
        <v>1611</v>
      </c>
      <c r="B435" t="s">
        <v>5308</v>
      </c>
      <c r="C435">
        <v>10</v>
      </c>
      <c r="D435">
        <v>0</v>
      </c>
      <c r="E435">
        <v>0</v>
      </c>
      <c r="F435">
        <v>10</v>
      </c>
      <c r="G435">
        <v>433</v>
      </c>
    </row>
    <row r="436" spans="1:7">
      <c r="A436">
        <v>2010</v>
      </c>
      <c r="B436" t="s">
        <v>5372</v>
      </c>
      <c r="C436">
        <v>9</v>
      </c>
      <c r="D436">
        <v>1</v>
      </c>
      <c r="E436">
        <v>0</v>
      </c>
      <c r="F436">
        <v>10</v>
      </c>
      <c r="G436">
        <v>433</v>
      </c>
    </row>
    <row r="437" spans="1:7">
      <c r="A437">
        <v>2023</v>
      </c>
      <c r="B437" t="s">
        <v>5379</v>
      </c>
      <c r="C437">
        <v>8</v>
      </c>
      <c r="D437">
        <v>2</v>
      </c>
      <c r="E437">
        <v>0</v>
      </c>
      <c r="F437">
        <v>10</v>
      </c>
      <c r="G437">
        <v>433</v>
      </c>
    </row>
    <row r="438" spans="1:7">
      <c r="A438">
        <v>2331</v>
      </c>
      <c r="B438" t="s">
        <v>5440</v>
      </c>
      <c r="C438">
        <v>9</v>
      </c>
      <c r="D438">
        <v>1</v>
      </c>
      <c r="E438">
        <v>0</v>
      </c>
      <c r="F438">
        <v>10</v>
      </c>
      <c r="G438">
        <v>433</v>
      </c>
    </row>
    <row r="439" spans="1:7">
      <c r="A439">
        <v>3402</v>
      </c>
      <c r="B439" t="s">
        <v>5798</v>
      </c>
      <c r="C439">
        <v>10</v>
      </c>
      <c r="D439">
        <v>0</v>
      </c>
      <c r="E439">
        <v>0</v>
      </c>
      <c r="F439">
        <v>10</v>
      </c>
      <c r="G439">
        <v>433</v>
      </c>
    </row>
    <row r="440" spans="1:7">
      <c r="A440">
        <v>3537</v>
      </c>
      <c r="B440" t="s">
        <v>5839</v>
      </c>
      <c r="C440">
        <v>10</v>
      </c>
      <c r="D440">
        <v>0</v>
      </c>
      <c r="E440">
        <v>0</v>
      </c>
      <c r="F440">
        <v>10</v>
      </c>
      <c r="G440">
        <v>433</v>
      </c>
    </row>
    <row r="441" spans="1:7">
      <c r="A441">
        <v>3550</v>
      </c>
      <c r="B441" t="s">
        <v>5846</v>
      </c>
      <c r="C441">
        <v>10</v>
      </c>
      <c r="D441">
        <v>0</v>
      </c>
      <c r="E441">
        <v>0</v>
      </c>
      <c r="F441">
        <v>10</v>
      </c>
      <c r="G441">
        <v>433</v>
      </c>
    </row>
    <row r="442" spans="1:7">
      <c r="A442">
        <v>3704</v>
      </c>
      <c r="B442" t="s">
        <v>5900</v>
      </c>
      <c r="C442">
        <v>9</v>
      </c>
      <c r="D442">
        <v>1</v>
      </c>
      <c r="E442">
        <v>0</v>
      </c>
      <c r="F442">
        <v>10</v>
      </c>
      <c r="G442">
        <v>433</v>
      </c>
    </row>
    <row r="443" spans="1:7">
      <c r="A443">
        <v>4564</v>
      </c>
      <c r="B443" t="s">
        <v>5980</v>
      </c>
      <c r="C443">
        <v>9</v>
      </c>
      <c r="D443">
        <v>1</v>
      </c>
      <c r="E443">
        <v>0</v>
      </c>
      <c r="F443">
        <v>10</v>
      </c>
      <c r="G443">
        <v>433</v>
      </c>
    </row>
    <row r="444" spans="1:7">
      <c r="A444">
        <v>5210</v>
      </c>
      <c r="B444" t="s">
        <v>8523</v>
      </c>
      <c r="C444">
        <v>10</v>
      </c>
      <c r="D444">
        <v>0</v>
      </c>
      <c r="E444">
        <v>0</v>
      </c>
      <c r="F444">
        <v>10</v>
      </c>
      <c r="G444">
        <v>433</v>
      </c>
    </row>
    <row r="445" spans="1:7">
      <c r="A445">
        <v>6134</v>
      </c>
      <c r="B445" t="s">
        <v>6171</v>
      </c>
      <c r="C445">
        <v>10</v>
      </c>
      <c r="D445">
        <v>0</v>
      </c>
      <c r="E445">
        <v>0</v>
      </c>
      <c r="F445">
        <v>10</v>
      </c>
      <c r="G445">
        <v>433</v>
      </c>
    </row>
    <row r="446" spans="1:7">
      <c r="A446">
        <v>6274</v>
      </c>
      <c r="B446" t="s">
        <v>6259</v>
      </c>
      <c r="C446">
        <v>10</v>
      </c>
      <c r="D446">
        <v>0</v>
      </c>
      <c r="E446">
        <v>0</v>
      </c>
      <c r="F446">
        <v>10</v>
      </c>
      <c r="G446">
        <v>433</v>
      </c>
    </row>
    <row r="447" spans="1:7">
      <c r="A447">
        <v>6508</v>
      </c>
      <c r="B447" t="s">
        <v>6307</v>
      </c>
      <c r="C447">
        <v>8</v>
      </c>
      <c r="D447">
        <v>2</v>
      </c>
      <c r="E447">
        <v>0</v>
      </c>
      <c r="F447">
        <v>10</v>
      </c>
      <c r="G447">
        <v>433</v>
      </c>
    </row>
    <row r="448" spans="1:7">
      <c r="A448">
        <v>8450</v>
      </c>
      <c r="B448" t="s">
        <v>6457</v>
      </c>
      <c r="C448">
        <v>10</v>
      </c>
      <c r="D448">
        <v>0</v>
      </c>
      <c r="E448">
        <v>0</v>
      </c>
      <c r="F448">
        <v>10</v>
      </c>
      <c r="G448">
        <v>433</v>
      </c>
    </row>
    <row r="449" spans="1:7">
      <c r="A449">
        <v>1466</v>
      </c>
      <c r="B449" t="s">
        <v>5249</v>
      </c>
      <c r="C449">
        <v>8</v>
      </c>
      <c r="D449">
        <v>1</v>
      </c>
      <c r="E449">
        <v>0</v>
      </c>
      <c r="F449">
        <v>9</v>
      </c>
      <c r="G449">
        <v>448</v>
      </c>
    </row>
    <row r="450" spans="1:7">
      <c r="A450">
        <v>1533</v>
      </c>
      <c r="B450" t="s">
        <v>5276</v>
      </c>
      <c r="C450">
        <v>7</v>
      </c>
      <c r="D450">
        <v>1</v>
      </c>
      <c r="E450">
        <v>1</v>
      </c>
      <c r="F450">
        <v>9</v>
      </c>
      <c r="G450">
        <v>448</v>
      </c>
    </row>
    <row r="451" spans="1:7">
      <c r="A451">
        <v>1784</v>
      </c>
      <c r="B451" t="s">
        <v>5348</v>
      </c>
      <c r="C451">
        <v>8</v>
      </c>
      <c r="D451">
        <v>1</v>
      </c>
      <c r="E451">
        <v>0</v>
      </c>
      <c r="F451">
        <v>9</v>
      </c>
      <c r="G451">
        <v>448</v>
      </c>
    </row>
    <row r="452" spans="1:7">
      <c r="A452">
        <v>2312</v>
      </c>
      <c r="B452" t="s">
        <v>5430</v>
      </c>
      <c r="C452">
        <v>7</v>
      </c>
      <c r="D452">
        <v>2</v>
      </c>
      <c r="E452">
        <v>0</v>
      </c>
      <c r="F452">
        <v>9</v>
      </c>
      <c r="G452">
        <v>448</v>
      </c>
    </row>
    <row r="453" spans="1:7">
      <c r="A453">
        <v>2449</v>
      </c>
      <c r="B453" t="s">
        <v>5511</v>
      </c>
      <c r="C453">
        <v>8</v>
      </c>
      <c r="D453">
        <v>1</v>
      </c>
      <c r="E453">
        <v>0</v>
      </c>
      <c r="F453">
        <v>9</v>
      </c>
      <c r="G453">
        <v>448</v>
      </c>
    </row>
    <row r="454" spans="1:7">
      <c r="A454">
        <v>2482</v>
      </c>
      <c r="B454" t="s">
        <v>5536</v>
      </c>
      <c r="C454">
        <v>8</v>
      </c>
      <c r="D454">
        <v>1</v>
      </c>
      <c r="E454">
        <v>0</v>
      </c>
      <c r="F454">
        <v>9</v>
      </c>
      <c r="G454">
        <v>448</v>
      </c>
    </row>
    <row r="455" spans="1:7">
      <c r="A455">
        <v>2491</v>
      </c>
      <c r="B455" t="s">
        <v>5543</v>
      </c>
      <c r="C455">
        <v>8</v>
      </c>
      <c r="D455">
        <v>1</v>
      </c>
      <c r="E455">
        <v>0</v>
      </c>
      <c r="F455">
        <v>9</v>
      </c>
      <c r="G455">
        <v>448</v>
      </c>
    </row>
    <row r="456" spans="1:7">
      <c r="A456">
        <v>2615</v>
      </c>
      <c r="B456" t="s">
        <v>5588</v>
      </c>
      <c r="C456">
        <v>9</v>
      </c>
      <c r="D456">
        <v>0</v>
      </c>
      <c r="E456">
        <v>0</v>
      </c>
      <c r="F456">
        <v>9</v>
      </c>
      <c r="G456">
        <v>448</v>
      </c>
    </row>
    <row r="457" spans="1:7">
      <c r="A457">
        <v>3027</v>
      </c>
      <c r="B457" t="s">
        <v>5681</v>
      </c>
      <c r="C457">
        <v>9</v>
      </c>
      <c r="D457">
        <v>0</v>
      </c>
      <c r="E457">
        <v>0</v>
      </c>
      <c r="F457">
        <v>9</v>
      </c>
      <c r="G457">
        <v>448</v>
      </c>
    </row>
    <row r="458" spans="1:7">
      <c r="A458">
        <v>3047</v>
      </c>
      <c r="B458" t="s">
        <v>5698</v>
      </c>
      <c r="C458">
        <v>9</v>
      </c>
      <c r="D458">
        <v>0</v>
      </c>
      <c r="E458">
        <v>0</v>
      </c>
      <c r="F458">
        <v>9</v>
      </c>
      <c r="G458">
        <v>448</v>
      </c>
    </row>
    <row r="459" spans="1:7">
      <c r="A459">
        <v>3048</v>
      </c>
      <c r="B459" t="s">
        <v>5699</v>
      </c>
      <c r="C459">
        <v>9</v>
      </c>
      <c r="D459">
        <v>0</v>
      </c>
      <c r="E459">
        <v>0</v>
      </c>
      <c r="F459">
        <v>9</v>
      </c>
      <c r="G459">
        <v>448</v>
      </c>
    </row>
    <row r="460" spans="1:7">
      <c r="A460">
        <v>3114</v>
      </c>
      <c r="B460" t="s">
        <v>5720</v>
      </c>
      <c r="C460">
        <v>8</v>
      </c>
      <c r="D460">
        <v>1</v>
      </c>
      <c r="E460">
        <v>0</v>
      </c>
      <c r="F460">
        <v>9</v>
      </c>
      <c r="G460">
        <v>448</v>
      </c>
    </row>
    <row r="461" spans="1:7">
      <c r="A461">
        <v>3152</v>
      </c>
      <c r="B461" t="s">
        <v>5728</v>
      </c>
      <c r="C461">
        <v>9</v>
      </c>
      <c r="D461">
        <v>0</v>
      </c>
      <c r="E461">
        <v>0</v>
      </c>
      <c r="F461">
        <v>9</v>
      </c>
      <c r="G461">
        <v>448</v>
      </c>
    </row>
    <row r="462" spans="1:7">
      <c r="A462">
        <v>3178</v>
      </c>
      <c r="B462" t="s">
        <v>5735</v>
      </c>
      <c r="C462">
        <v>9</v>
      </c>
      <c r="D462">
        <v>0</v>
      </c>
      <c r="E462">
        <v>0</v>
      </c>
      <c r="F462">
        <v>9</v>
      </c>
      <c r="G462">
        <v>448</v>
      </c>
    </row>
    <row r="463" spans="1:7">
      <c r="A463">
        <v>3230</v>
      </c>
      <c r="B463" t="s">
        <v>5750</v>
      </c>
      <c r="C463">
        <v>9</v>
      </c>
      <c r="D463">
        <v>0</v>
      </c>
      <c r="E463">
        <v>0</v>
      </c>
      <c r="F463">
        <v>9</v>
      </c>
      <c r="G463">
        <v>448</v>
      </c>
    </row>
    <row r="464" spans="1:7">
      <c r="A464">
        <v>3466</v>
      </c>
      <c r="B464" t="s">
        <v>5813</v>
      </c>
      <c r="C464">
        <v>9</v>
      </c>
      <c r="D464">
        <v>0</v>
      </c>
      <c r="E464">
        <v>0</v>
      </c>
      <c r="F464">
        <v>9</v>
      </c>
      <c r="G464">
        <v>448</v>
      </c>
    </row>
    <row r="465" spans="1:7">
      <c r="A465">
        <v>3591</v>
      </c>
      <c r="B465" t="s">
        <v>5860</v>
      </c>
      <c r="C465">
        <v>9</v>
      </c>
      <c r="D465">
        <v>0</v>
      </c>
      <c r="E465">
        <v>0</v>
      </c>
      <c r="F465">
        <v>9</v>
      </c>
      <c r="G465">
        <v>448</v>
      </c>
    </row>
    <row r="466" spans="1:7">
      <c r="A466">
        <v>3645</v>
      </c>
      <c r="B466" t="s">
        <v>5877</v>
      </c>
      <c r="C466">
        <v>7</v>
      </c>
      <c r="D466">
        <v>2</v>
      </c>
      <c r="E466">
        <v>0</v>
      </c>
      <c r="F466">
        <v>9</v>
      </c>
      <c r="G466">
        <v>448</v>
      </c>
    </row>
    <row r="467" spans="1:7">
      <c r="A467">
        <v>6165</v>
      </c>
      <c r="B467" t="s">
        <v>6192</v>
      </c>
      <c r="C467">
        <v>8</v>
      </c>
      <c r="D467">
        <v>1</v>
      </c>
      <c r="E467">
        <v>0</v>
      </c>
      <c r="F467">
        <v>9</v>
      </c>
      <c r="G467">
        <v>448</v>
      </c>
    </row>
    <row r="468" spans="1:7">
      <c r="A468">
        <v>6188</v>
      </c>
      <c r="B468" t="s">
        <v>6209</v>
      </c>
      <c r="C468">
        <v>8</v>
      </c>
      <c r="D468">
        <v>1</v>
      </c>
      <c r="E468">
        <v>0</v>
      </c>
      <c r="F468">
        <v>9</v>
      </c>
      <c r="G468">
        <v>448</v>
      </c>
    </row>
    <row r="469" spans="1:7">
      <c r="A469">
        <v>6207</v>
      </c>
      <c r="B469" t="s">
        <v>6221</v>
      </c>
      <c r="C469">
        <v>9</v>
      </c>
      <c r="D469">
        <v>0</v>
      </c>
      <c r="E469">
        <v>0</v>
      </c>
      <c r="F469">
        <v>9</v>
      </c>
      <c r="G469">
        <v>448</v>
      </c>
    </row>
    <row r="470" spans="1:7">
      <c r="A470">
        <v>6552</v>
      </c>
      <c r="B470" t="s">
        <v>6322</v>
      </c>
      <c r="C470">
        <v>6</v>
      </c>
      <c r="D470">
        <v>2</v>
      </c>
      <c r="E470">
        <v>1</v>
      </c>
      <c r="F470">
        <v>9</v>
      </c>
      <c r="G470">
        <v>448</v>
      </c>
    </row>
    <row r="471" spans="1:7">
      <c r="A471">
        <v>6651</v>
      </c>
      <c r="B471" t="s">
        <v>6343</v>
      </c>
      <c r="C471">
        <v>9</v>
      </c>
      <c r="D471">
        <v>0</v>
      </c>
      <c r="E471">
        <v>0</v>
      </c>
      <c r="F471">
        <v>9</v>
      </c>
      <c r="G471">
        <v>448</v>
      </c>
    </row>
    <row r="472" spans="1:7">
      <c r="A472">
        <v>8027</v>
      </c>
      <c r="B472" t="s">
        <v>6372</v>
      </c>
      <c r="C472">
        <v>8</v>
      </c>
      <c r="D472">
        <v>1</v>
      </c>
      <c r="E472">
        <v>0</v>
      </c>
      <c r="F472">
        <v>9</v>
      </c>
      <c r="G472">
        <v>448</v>
      </c>
    </row>
    <row r="473" spans="1:7">
      <c r="A473">
        <v>8046</v>
      </c>
      <c r="B473" t="s">
        <v>6379</v>
      </c>
      <c r="C473">
        <v>9</v>
      </c>
      <c r="D473">
        <v>0</v>
      </c>
      <c r="E473">
        <v>0</v>
      </c>
      <c r="F473">
        <v>9</v>
      </c>
      <c r="G473">
        <v>448</v>
      </c>
    </row>
    <row r="474" spans="1:7">
      <c r="A474">
        <v>8096</v>
      </c>
      <c r="B474" t="s">
        <v>6398</v>
      </c>
      <c r="C474">
        <v>9</v>
      </c>
      <c r="D474">
        <v>0</v>
      </c>
      <c r="E474">
        <v>0</v>
      </c>
      <c r="F474">
        <v>9</v>
      </c>
      <c r="G474">
        <v>448</v>
      </c>
    </row>
    <row r="475" spans="1:7">
      <c r="A475">
        <v>9919</v>
      </c>
      <c r="B475" t="s">
        <v>6499</v>
      </c>
      <c r="C475">
        <v>8</v>
      </c>
      <c r="D475">
        <v>1</v>
      </c>
      <c r="E475">
        <v>0</v>
      </c>
      <c r="F475">
        <v>9</v>
      </c>
      <c r="G475">
        <v>448</v>
      </c>
    </row>
    <row r="476" spans="1:7">
      <c r="A476">
        <v>1304</v>
      </c>
      <c r="B476" t="s">
        <v>5196</v>
      </c>
      <c r="C476">
        <v>8</v>
      </c>
      <c r="D476">
        <v>0</v>
      </c>
      <c r="E476">
        <v>0</v>
      </c>
      <c r="F476">
        <v>8</v>
      </c>
      <c r="G476">
        <v>475</v>
      </c>
    </row>
    <row r="477" spans="1:7">
      <c r="A477">
        <v>1584</v>
      </c>
      <c r="B477" t="s">
        <v>5292</v>
      </c>
      <c r="C477">
        <v>8</v>
      </c>
      <c r="D477">
        <v>0</v>
      </c>
      <c r="E477">
        <v>0</v>
      </c>
      <c r="F477">
        <v>8</v>
      </c>
      <c r="G477">
        <v>475</v>
      </c>
    </row>
    <row r="478" spans="1:7">
      <c r="A478">
        <v>1712</v>
      </c>
      <c r="B478" t="s">
        <v>5322</v>
      </c>
      <c r="C478">
        <v>8</v>
      </c>
      <c r="D478">
        <v>0</v>
      </c>
      <c r="E478">
        <v>0</v>
      </c>
      <c r="F478">
        <v>8</v>
      </c>
      <c r="G478">
        <v>475</v>
      </c>
    </row>
    <row r="479" spans="1:7">
      <c r="A479">
        <v>1734</v>
      </c>
      <c r="B479" t="s">
        <v>5337</v>
      </c>
      <c r="C479">
        <v>8</v>
      </c>
      <c r="D479">
        <v>0</v>
      </c>
      <c r="E479">
        <v>0</v>
      </c>
      <c r="F479">
        <v>8</v>
      </c>
      <c r="G479">
        <v>475</v>
      </c>
    </row>
    <row r="480" spans="1:7">
      <c r="A480">
        <v>2002</v>
      </c>
      <c r="B480" t="s">
        <v>5367</v>
      </c>
      <c r="C480">
        <v>8</v>
      </c>
      <c r="D480">
        <v>0</v>
      </c>
      <c r="E480">
        <v>0</v>
      </c>
      <c r="F480">
        <v>8</v>
      </c>
      <c r="G480">
        <v>475</v>
      </c>
    </row>
    <row r="481" spans="1:7">
      <c r="A481">
        <v>2007</v>
      </c>
      <c r="B481" t="s">
        <v>5369</v>
      </c>
      <c r="C481">
        <v>5</v>
      </c>
      <c r="D481">
        <v>3</v>
      </c>
      <c r="E481">
        <v>0</v>
      </c>
      <c r="F481">
        <v>8</v>
      </c>
      <c r="G481">
        <v>475</v>
      </c>
    </row>
    <row r="482" spans="1:7">
      <c r="A482">
        <v>2347</v>
      </c>
      <c r="B482" t="s">
        <v>5448</v>
      </c>
      <c r="C482">
        <v>8</v>
      </c>
      <c r="D482">
        <v>0</v>
      </c>
      <c r="E482">
        <v>0</v>
      </c>
      <c r="F482">
        <v>8</v>
      </c>
      <c r="G482">
        <v>475</v>
      </c>
    </row>
    <row r="483" spans="1:7">
      <c r="A483">
        <v>2421</v>
      </c>
      <c r="B483" t="s">
        <v>5497</v>
      </c>
      <c r="C483">
        <v>7</v>
      </c>
      <c r="D483">
        <v>1</v>
      </c>
      <c r="E483">
        <v>0</v>
      </c>
      <c r="F483">
        <v>8</v>
      </c>
      <c r="G483">
        <v>475</v>
      </c>
    </row>
    <row r="484" spans="1:7">
      <c r="A484">
        <v>2453</v>
      </c>
      <c r="B484" t="s">
        <v>5514</v>
      </c>
      <c r="C484">
        <v>7</v>
      </c>
      <c r="D484">
        <v>1</v>
      </c>
      <c r="E484">
        <v>0</v>
      </c>
      <c r="F484">
        <v>8</v>
      </c>
      <c r="G484">
        <v>475</v>
      </c>
    </row>
    <row r="485" spans="1:7">
      <c r="A485">
        <v>2458</v>
      </c>
      <c r="B485" t="s">
        <v>5518</v>
      </c>
      <c r="C485">
        <v>8</v>
      </c>
      <c r="D485">
        <v>0</v>
      </c>
      <c r="E485">
        <v>0</v>
      </c>
      <c r="F485">
        <v>8</v>
      </c>
      <c r="G485">
        <v>475</v>
      </c>
    </row>
    <row r="486" spans="1:7">
      <c r="A486">
        <v>3026</v>
      </c>
      <c r="B486" t="s">
        <v>5680</v>
      </c>
      <c r="C486">
        <v>7</v>
      </c>
      <c r="D486">
        <v>1</v>
      </c>
      <c r="E486">
        <v>0</v>
      </c>
      <c r="F486">
        <v>8</v>
      </c>
      <c r="G486">
        <v>475</v>
      </c>
    </row>
    <row r="487" spans="1:7">
      <c r="A487">
        <v>3297</v>
      </c>
      <c r="B487" t="s">
        <v>5770</v>
      </c>
      <c r="C487">
        <v>8</v>
      </c>
      <c r="D487">
        <v>0</v>
      </c>
      <c r="E487">
        <v>0</v>
      </c>
      <c r="F487">
        <v>8</v>
      </c>
      <c r="G487">
        <v>475</v>
      </c>
    </row>
    <row r="488" spans="1:7">
      <c r="A488">
        <v>3339</v>
      </c>
      <c r="B488" t="s">
        <v>5782</v>
      </c>
      <c r="C488">
        <v>7</v>
      </c>
      <c r="D488">
        <v>1</v>
      </c>
      <c r="E488">
        <v>0</v>
      </c>
      <c r="F488">
        <v>8</v>
      </c>
      <c r="G488">
        <v>475</v>
      </c>
    </row>
    <row r="489" spans="1:7">
      <c r="A489">
        <v>4142</v>
      </c>
      <c r="B489" t="s">
        <v>5929</v>
      </c>
      <c r="C489">
        <v>8</v>
      </c>
      <c r="D489">
        <v>0</v>
      </c>
      <c r="E489">
        <v>0</v>
      </c>
      <c r="F489">
        <v>8</v>
      </c>
      <c r="G489">
        <v>475</v>
      </c>
    </row>
    <row r="490" spans="1:7">
      <c r="A490">
        <v>4916</v>
      </c>
      <c r="B490" t="s">
        <v>6017</v>
      </c>
      <c r="C490">
        <v>8</v>
      </c>
      <c r="D490">
        <v>0</v>
      </c>
      <c r="E490">
        <v>0</v>
      </c>
      <c r="F490">
        <v>8</v>
      </c>
      <c r="G490">
        <v>475</v>
      </c>
    </row>
    <row r="491" spans="1:7">
      <c r="A491">
        <v>4939</v>
      </c>
      <c r="B491" t="s">
        <v>6024</v>
      </c>
      <c r="C491">
        <v>8</v>
      </c>
      <c r="D491">
        <v>0</v>
      </c>
      <c r="E491">
        <v>0</v>
      </c>
      <c r="F491">
        <v>8</v>
      </c>
      <c r="G491">
        <v>475</v>
      </c>
    </row>
    <row r="492" spans="1:7">
      <c r="A492">
        <v>4966</v>
      </c>
      <c r="B492" t="s">
        <v>6034</v>
      </c>
      <c r="C492">
        <v>8</v>
      </c>
      <c r="D492">
        <v>0</v>
      </c>
      <c r="E492">
        <v>0</v>
      </c>
      <c r="F492">
        <v>8</v>
      </c>
      <c r="G492">
        <v>475</v>
      </c>
    </row>
    <row r="493" spans="1:7">
      <c r="A493">
        <v>5211</v>
      </c>
      <c r="B493" t="s">
        <v>6056</v>
      </c>
      <c r="C493">
        <v>8</v>
      </c>
      <c r="D493">
        <v>0</v>
      </c>
      <c r="E493">
        <v>0</v>
      </c>
      <c r="F493">
        <v>8</v>
      </c>
      <c r="G493">
        <v>475</v>
      </c>
    </row>
    <row r="494" spans="1:7">
      <c r="A494">
        <v>6156</v>
      </c>
      <c r="B494" t="s">
        <v>6186</v>
      </c>
      <c r="C494">
        <v>8</v>
      </c>
      <c r="D494">
        <v>0</v>
      </c>
      <c r="E494">
        <v>0</v>
      </c>
      <c r="F494">
        <v>8</v>
      </c>
      <c r="G494">
        <v>475</v>
      </c>
    </row>
    <row r="495" spans="1:7">
      <c r="A495">
        <v>6208</v>
      </c>
      <c r="B495" t="s">
        <v>6222</v>
      </c>
      <c r="C495">
        <v>7</v>
      </c>
      <c r="D495">
        <v>1</v>
      </c>
      <c r="E495">
        <v>0</v>
      </c>
      <c r="F495">
        <v>8</v>
      </c>
      <c r="G495">
        <v>475</v>
      </c>
    </row>
    <row r="496" spans="1:7">
      <c r="A496">
        <v>6405</v>
      </c>
      <c r="B496" t="s">
        <v>6273</v>
      </c>
      <c r="C496">
        <v>6</v>
      </c>
      <c r="D496">
        <v>2</v>
      </c>
      <c r="E496">
        <v>0</v>
      </c>
      <c r="F496">
        <v>8</v>
      </c>
      <c r="G496">
        <v>475</v>
      </c>
    </row>
    <row r="497" spans="1:7">
      <c r="A497">
        <v>6538</v>
      </c>
      <c r="B497" t="s">
        <v>6319</v>
      </c>
      <c r="C497">
        <v>8</v>
      </c>
      <c r="D497">
        <v>0</v>
      </c>
      <c r="E497">
        <v>0</v>
      </c>
      <c r="F497">
        <v>8</v>
      </c>
      <c r="G497">
        <v>475</v>
      </c>
    </row>
    <row r="498" spans="1:7">
      <c r="A498">
        <v>6591</v>
      </c>
      <c r="B498" t="s">
        <v>6332</v>
      </c>
      <c r="C498">
        <v>8</v>
      </c>
      <c r="D498">
        <v>0</v>
      </c>
      <c r="E498">
        <v>0</v>
      </c>
      <c r="F498">
        <v>8</v>
      </c>
      <c r="G498">
        <v>475</v>
      </c>
    </row>
    <row r="499" spans="1:7">
      <c r="A499">
        <v>9802</v>
      </c>
      <c r="B499" t="s">
        <v>6487</v>
      </c>
      <c r="C499">
        <v>8</v>
      </c>
      <c r="D499">
        <v>0</v>
      </c>
      <c r="E499">
        <v>0</v>
      </c>
      <c r="F499">
        <v>8</v>
      </c>
      <c r="G499">
        <v>475</v>
      </c>
    </row>
    <row r="500" spans="1:7">
      <c r="A500">
        <v>1516</v>
      </c>
      <c r="B500" t="s">
        <v>5262</v>
      </c>
      <c r="C500">
        <v>6</v>
      </c>
      <c r="D500">
        <v>1</v>
      </c>
      <c r="E500">
        <v>0</v>
      </c>
      <c r="F500">
        <v>7</v>
      </c>
      <c r="G500">
        <v>499</v>
      </c>
    </row>
    <row r="501" spans="1:7">
      <c r="A501">
        <v>1597</v>
      </c>
      <c r="B501" t="s">
        <v>5300</v>
      </c>
      <c r="C501">
        <v>6</v>
      </c>
      <c r="D501">
        <v>1</v>
      </c>
      <c r="E501">
        <v>0</v>
      </c>
      <c r="F501">
        <v>7</v>
      </c>
      <c r="G501">
        <v>499</v>
      </c>
    </row>
    <row r="502" spans="1:7">
      <c r="A502">
        <v>1718</v>
      </c>
      <c r="B502" t="s">
        <v>5326</v>
      </c>
      <c r="C502">
        <v>6</v>
      </c>
      <c r="D502">
        <v>1</v>
      </c>
      <c r="E502">
        <v>0</v>
      </c>
      <c r="F502">
        <v>7</v>
      </c>
      <c r="G502">
        <v>499</v>
      </c>
    </row>
    <row r="503" spans="1:7">
      <c r="A503">
        <v>1802</v>
      </c>
      <c r="B503" t="s">
        <v>5354</v>
      </c>
      <c r="C503">
        <v>6</v>
      </c>
      <c r="D503">
        <v>1</v>
      </c>
      <c r="E503">
        <v>0</v>
      </c>
      <c r="F503">
        <v>7</v>
      </c>
      <c r="G503">
        <v>499</v>
      </c>
    </row>
    <row r="504" spans="1:7">
      <c r="A504">
        <v>2231</v>
      </c>
      <c r="B504" t="s">
        <v>5417</v>
      </c>
      <c r="C504">
        <v>6</v>
      </c>
      <c r="D504">
        <v>1</v>
      </c>
      <c r="E504">
        <v>0</v>
      </c>
      <c r="F504">
        <v>7</v>
      </c>
      <c r="G504">
        <v>499</v>
      </c>
    </row>
    <row r="505" spans="1:7">
      <c r="A505">
        <v>2303</v>
      </c>
      <c r="B505" t="s">
        <v>5427</v>
      </c>
      <c r="C505">
        <v>6</v>
      </c>
      <c r="D505">
        <v>1</v>
      </c>
      <c r="E505">
        <v>0</v>
      </c>
      <c r="F505">
        <v>7</v>
      </c>
      <c r="G505">
        <v>499</v>
      </c>
    </row>
    <row r="506" spans="1:7">
      <c r="A506">
        <v>2431</v>
      </c>
      <c r="B506" t="s">
        <v>5504</v>
      </c>
      <c r="C506">
        <v>7</v>
      </c>
      <c r="D506">
        <v>0</v>
      </c>
      <c r="E506">
        <v>0</v>
      </c>
      <c r="F506">
        <v>7</v>
      </c>
      <c r="G506">
        <v>499</v>
      </c>
    </row>
    <row r="507" spans="1:7">
      <c r="A507">
        <v>2915</v>
      </c>
      <c r="B507" t="s">
        <v>5657</v>
      </c>
      <c r="C507">
        <v>6</v>
      </c>
      <c r="D507">
        <v>1</v>
      </c>
      <c r="E507">
        <v>0</v>
      </c>
      <c r="F507">
        <v>7</v>
      </c>
      <c r="G507">
        <v>499</v>
      </c>
    </row>
    <row r="508" spans="1:7">
      <c r="A508">
        <v>3011</v>
      </c>
      <c r="B508" t="s">
        <v>8488</v>
      </c>
      <c r="C508">
        <v>7</v>
      </c>
      <c r="D508">
        <v>0</v>
      </c>
      <c r="E508">
        <v>0</v>
      </c>
      <c r="F508">
        <v>7</v>
      </c>
      <c r="G508">
        <v>499</v>
      </c>
    </row>
    <row r="509" spans="1:7">
      <c r="A509">
        <v>3209</v>
      </c>
      <c r="B509" t="s">
        <v>5741</v>
      </c>
      <c r="C509">
        <v>7</v>
      </c>
      <c r="D509">
        <v>0</v>
      </c>
      <c r="E509">
        <v>0</v>
      </c>
      <c r="F509">
        <v>7</v>
      </c>
      <c r="G509">
        <v>499</v>
      </c>
    </row>
    <row r="510" spans="1:7">
      <c r="A510">
        <v>3231</v>
      </c>
      <c r="B510" t="s">
        <v>5751</v>
      </c>
      <c r="C510">
        <v>7</v>
      </c>
      <c r="D510">
        <v>0</v>
      </c>
      <c r="E510">
        <v>0</v>
      </c>
      <c r="F510">
        <v>7</v>
      </c>
      <c r="G510">
        <v>499</v>
      </c>
    </row>
    <row r="511" spans="1:7">
      <c r="A511">
        <v>3276</v>
      </c>
      <c r="B511" t="s">
        <v>5763</v>
      </c>
      <c r="C511">
        <v>7</v>
      </c>
      <c r="D511">
        <v>0</v>
      </c>
      <c r="E511">
        <v>0</v>
      </c>
      <c r="F511">
        <v>7</v>
      </c>
      <c r="G511">
        <v>499</v>
      </c>
    </row>
    <row r="512" spans="1:7">
      <c r="A512">
        <v>3356</v>
      </c>
      <c r="B512" t="s">
        <v>5785</v>
      </c>
      <c r="C512">
        <v>7</v>
      </c>
      <c r="D512">
        <v>0</v>
      </c>
      <c r="E512">
        <v>0</v>
      </c>
      <c r="F512">
        <v>7</v>
      </c>
      <c r="G512">
        <v>499</v>
      </c>
    </row>
    <row r="513" spans="1:7">
      <c r="A513">
        <v>3362</v>
      </c>
      <c r="B513" t="s">
        <v>5788</v>
      </c>
      <c r="C513">
        <v>6</v>
      </c>
      <c r="D513">
        <v>1</v>
      </c>
      <c r="E513">
        <v>0</v>
      </c>
      <c r="F513">
        <v>7</v>
      </c>
      <c r="G513">
        <v>499</v>
      </c>
    </row>
    <row r="514" spans="1:7">
      <c r="A514">
        <v>3701</v>
      </c>
      <c r="B514" t="s">
        <v>5897</v>
      </c>
      <c r="C514">
        <v>7</v>
      </c>
      <c r="D514">
        <v>0</v>
      </c>
      <c r="E514">
        <v>0</v>
      </c>
      <c r="F514">
        <v>7</v>
      </c>
      <c r="G514">
        <v>499</v>
      </c>
    </row>
    <row r="515" spans="1:7">
      <c r="A515">
        <v>4702</v>
      </c>
      <c r="B515" t="s">
        <v>5987</v>
      </c>
      <c r="C515">
        <v>7</v>
      </c>
      <c r="D515">
        <v>0</v>
      </c>
      <c r="E515">
        <v>0</v>
      </c>
      <c r="F515">
        <v>7</v>
      </c>
      <c r="G515">
        <v>499</v>
      </c>
    </row>
    <row r="516" spans="1:7">
      <c r="A516">
        <v>5443</v>
      </c>
      <c r="B516" t="s">
        <v>6101</v>
      </c>
      <c r="C516">
        <v>4</v>
      </c>
      <c r="D516">
        <v>3</v>
      </c>
      <c r="E516">
        <v>0</v>
      </c>
      <c r="F516">
        <v>7</v>
      </c>
      <c r="G516">
        <v>499</v>
      </c>
    </row>
    <row r="517" spans="1:7">
      <c r="A517">
        <v>6180</v>
      </c>
      <c r="B517" t="s">
        <v>6202</v>
      </c>
      <c r="C517">
        <v>7</v>
      </c>
      <c r="D517">
        <v>0</v>
      </c>
      <c r="E517">
        <v>0</v>
      </c>
      <c r="F517">
        <v>7</v>
      </c>
      <c r="G517">
        <v>499</v>
      </c>
    </row>
    <row r="518" spans="1:7">
      <c r="A518">
        <v>6219</v>
      </c>
      <c r="B518" t="s">
        <v>6231</v>
      </c>
      <c r="C518">
        <v>7</v>
      </c>
      <c r="D518">
        <v>0</v>
      </c>
      <c r="E518">
        <v>0</v>
      </c>
      <c r="F518">
        <v>7</v>
      </c>
      <c r="G518">
        <v>499</v>
      </c>
    </row>
    <row r="519" spans="1:7">
      <c r="A519">
        <v>6472</v>
      </c>
      <c r="B519" t="s">
        <v>6296</v>
      </c>
      <c r="C519">
        <v>7</v>
      </c>
      <c r="D519">
        <v>0</v>
      </c>
      <c r="E519">
        <v>0</v>
      </c>
      <c r="F519">
        <v>7</v>
      </c>
      <c r="G519">
        <v>499</v>
      </c>
    </row>
    <row r="520" spans="1:7">
      <c r="A520">
        <v>6523</v>
      </c>
      <c r="B520" t="s">
        <v>6313</v>
      </c>
      <c r="C520">
        <v>7</v>
      </c>
      <c r="D520">
        <v>0</v>
      </c>
      <c r="E520">
        <v>0</v>
      </c>
      <c r="F520">
        <v>7</v>
      </c>
      <c r="G520">
        <v>499</v>
      </c>
    </row>
    <row r="521" spans="1:7">
      <c r="A521">
        <v>6698</v>
      </c>
      <c r="B521" t="s">
        <v>6356</v>
      </c>
      <c r="C521">
        <v>7</v>
      </c>
      <c r="D521">
        <v>0</v>
      </c>
      <c r="E521">
        <v>0</v>
      </c>
      <c r="F521">
        <v>7</v>
      </c>
      <c r="G521">
        <v>499</v>
      </c>
    </row>
    <row r="522" spans="1:7">
      <c r="A522">
        <v>1217</v>
      </c>
      <c r="B522" t="s">
        <v>5177</v>
      </c>
      <c r="C522">
        <v>4</v>
      </c>
      <c r="D522">
        <v>2</v>
      </c>
      <c r="E522">
        <v>0</v>
      </c>
      <c r="F522">
        <v>6</v>
      </c>
      <c r="G522">
        <v>521</v>
      </c>
    </row>
    <row r="523" spans="1:7">
      <c r="A523">
        <v>1310</v>
      </c>
      <c r="B523" t="s">
        <v>5201</v>
      </c>
      <c r="C523">
        <v>5</v>
      </c>
      <c r="D523">
        <v>1</v>
      </c>
      <c r="E523">
        <v>0</v>
      </c>
      <c r="F523">
        <v>6</v>
      </c>
      <c r="G523">
        <v>521</v>
      </c>
    </row>
    <row r="524" spans="1:7">
      <c r="A524">
        <v>1447</v>
      </c>
      <c r="B524" t="s">
        <v>5237</v>
      </c>
      <c r="C524">
        <v>5</v>
      </c>
      <c r="D524">
        <v>1</v>
      </c>
      <c r="E524">
        <v>0</v>
      </c>
      <c r="F524">
        <v>6</v>
      </c>
      <c r="G524">
        <v>521</v>
      </c>
    </row>
    <row r="525" spans="1:7">
      <c r="A525">
        <v>1710</v>
      </c>
      <c r="B525" t="s">
        <v>5320</v>
      </c>
      <c r="C525">
        <v>5</v>
      </c>
      <c r="D525">
        <v>1</v>
      </c>
      <c r="E525">
        <v>0</v>
      </c>
      <c r="F525">
        <v>6</v>
      </c>
      <c r="G525">
        <v>521</v>
      </c>
    </row>
    <row r="526" spans="1:7">
      <c r="A526">
        <v>1905</v>
      </c>
      <c r="B526" t="s">
        <v>5363</v>
      </c>
      <c r="C526">
        <v>6</v>
      </c>
      <c r="D526">
        <v>0</v>
      </c>
      <c r="E526">
        <v>0</v>
      </c>
      <c r="F526">
        <v>6</v>
      </c>
      <c r="G526">
        <v>521</v>
      </c>
    </row>
    <row r="527" spans="1:7">
      <c r="A527">
        <v>2028</v>
      </c>
      <c r="B527" t="s">
        <v>5382</v>
      </c>
      <c r="C527">
        <v>5</v>
      </c>
      <c r="D527">
        <v>1</v>
      </c>
      <c r="E527">
        <v>0</v>
      </c>
      <c r="F527">
        <v>6</v>
      </c>
      <c r="G527">
        <v>521</v>
      </c>
    </row>
    <row r="528" spans="1:7">
      <c r="A528">
        <v>2327</v>
      </c>
      <c r="B528" t="s">
        <v>5436</v>
      </c>
      <c r="C528">
        <v>6</v>
      </c>
      <c r="D528">
        <v>0</v>
      </c>
      <c r="E528">
        <v>0</v>
      </c>
      <c r="F528">
        <v>6</v>
      </c>
      <c r="G528">
        <v>521</v>
      </c>
    </row>
    <row r="529" spans="1:7">
      <c r="A529">
        <v>2404</v>
      </c>
      <c r="B529" t="s">
        <v>5486</v>
      </c>
      <c r="C529">
        <v>6</v>
      </c>
      <c r="D529">
        <v>0</v>
      </c>
      <c r="E529">
        <v>0</v>
      </c>
      <c r="F529">
        <v>6</v>
      </c>
      <c r="G529">
        <v>521</v>
      </c>
    </row>
    <row r="530" spans="1:7">
      <c r="A530">
        <v>2439</v>
      </c>
      <c r="B530" t="s">
        <v>5508</v>
      </c>
      <c r="C530">
        <v>5</v>
      </c>
      <c r="D530">
        <v>1</v>
      </c>
      <c r="E530">
        <v>0</v>
      </c>
      <c r="F530">
        <v>6</v>
      </c>
      <c r="G530">
        <v>521</v>
      </c>
    </row>
    <row r="531" spans="1:7">
      <c r="A531">
        <v>2460</v>
      </c>
      <c r="B531" t="s">
        <v>5520</v>
      </c>
      <c r="C531">
        <v>6</v>
      </c>
      <c r="D531">
        <v>0</v>
      </c>
      <c r="E531">
        <v>0</v>
      </c>
      <c r="F531">
        <v>6</v>
      </c>
      <c r="G531">
        <v>521</v>
      </c>
    </row>
    <row r="532" spans="1:7">
      <c r="A532">
        <v>2472</v>
      </c>
      <c r="B532" t="s">
        <v>5529</v>
      </c>
      <c r="C532">
        <v>6</v>
      </c>
      <c r="D532">
        <v>0</v>
      </c>
      <c r="E532">
        <v>0</v>
      </c>
      <c r="F532">
        <v>6</v>
      </c>
      <c r="G532">
        <v>521</v>
      </c>
    </row>
    <row r="533" spans="1:7">
      <c r="A533">
        <v>2485</v>
      </c>
      <c r="B533" t="s">
        <v>5539</v>
      </c>
      <c r="C533">
        <v>6</v>
      </c>
      <c r="D533">
        <v>0</v>
      </c>
      <c r="E533">
        <v>0</v>
      </c>
      <c r="F533">
        <v>6</v>
      </c>
      <c r="G533">
        <v>521</v>
      </c>
    </row>
    <row r="534" spans="1:7">
      <c r="A534">
        <v>2608</v>
      </c>
      <c r="B534" t="s">
        <v>5581</v>
      </c>
      <c r="C534">
        <v>5</v>
      </c>
      <c r="D534">
        <v>1</v>
      </c>
      <c r="E534">
        <v>0</v>
      </c>
      <c r="F534">
        <v>6</v>
      </c>
      <c r="G534">
        <v>521</v>
      </c>
    </row>
    <row r="535" spans="1:7">
      <c r="A535">
        <v>2732</v>
      </c>
      <c r="B535" t="s">
        <v>5611</v>
      </c>
      <c r="C535">
        <v>6</v>
      </c>
      <c r="D535">
        <v>0</v>
      </c>
      <c r="E535">
        <v>0</v>
      </c>
      <c r="F535">
        <v>6</v>
      </c>
      <c r="G535">
        <v>521</v>
      </c>
    </row>
    <row r="536" spans="1:7">
      <c r="A536">
        <v>3211</v>
      </c>
      <c r="B536" t="s">
        <v>5742</v>
      </c>
      <c r="C536">
        <v>6</v>
      </c>
      <c r="D536">
        <v>0</v>
      </c>
      <c r="E536">
        <v>0</v>
      </c>
      <c r="F536">
        <v>6</v>
      </c>
      <c r="G536">
        <v>521</v>
      </c>
    </row>
    <row r="537" spans="1:7">
      <c r="A537">
        <v>3224</v>
      </c>
      <c r="B537" t="s">
        <v>5748</v>
      </c>
      <c r="C537">
        <v>5</v>
      </c>
      <c r="D537">
        <v>1</v>
      </c>
      <c r="E537">
        <v>0</v>
      </c>
      <c r="F537">
        <v>6</v>
      </c>
      <c r="G537">
        <v>521</v>
      </c>
    </row>
    <row r="538" spans="1:7">
      <c r="A538">
        <v>3609</v>
      </c>
      <c r="B538" t="s">
        <v>5866</v>
      </c>
      <c r="C538">
        <v>6</v>
      </c>
      <c r="D538">
        <v>0</v>
      </c>
      <c r="E538">
        <v>0</v>
      </c>
      <c r="F538">
        <v>6</v>
      </c>
      <c r="G538">
        <v>521</v>
      </c>
    </row>
    <row r="539" spans="1:7">
      <c r="A539">
        <v>3615</v>
      </c>
      <c r="B539" t="s">
        <v>5868</v>
      </c>
      <c r="C539">
        <v>6</v>
      </c>
      <c r="D539">
        <v>0</v>
      </c>
      <c r="E539">
        <v>0</v>
      </c>
      <c r="F539">
        <v>6</v>
      </c>
      <c r="G539">
        <v>521</v>
      </c>
    </row>
    <row r="540" spans="1:7">
      <c r="A540">
        <v>3628</v>
      </c>
      <c r="B540" t="s">
        <v>5874</v>
      </c>
      <c r="C540">
        <v>6</v>
      </c>
      <c r="D540">
        <v>0</v>
      </c>
      <c r="E540">
        <v>0</v>
      </c>
      <c r="F540">
        <v>6</v>
      </c>
      <c r="G540">
        <v>521</v>
      </c>
    </row>
    <row r="541" spans="1:7">
      <c r="A541">
        <v>3669</v>
      </c>
      <c r="B541" t="s">
        <v>5885</v>
      </c>
      <c r="C541">
        <v>6</v>
      </c>
      <c r="D541">
        <v>0</v>
      </c>
      <c r="E541">
        <v>0</v>
      </c>
      <c r="F541">
        <v>6</v>
      </c>
      <c r="G541">
        <v>521</v>
      </c>
    </row>
    <row r="542" spans="1:7">
      <c r="A542">
        <v>4306</v>
      </c>
      <c r="B542" t="s">
        <v>5948</v>
      </c>
      <c r="C542">
        <v>6</v>
      </c>
      <c r="D542">
        <v>0</v>
      </c>
      <c r="E542">
        <v>0</v>
      </c>
      <c r="F542">
        <v>6</v>
      </c>
      <c r="G542">
        <v>521</v>
      </c>
    </row>
    <row r="543" spans="1:7">
      <c r="A543">
        <v>4909</v>
      </c>
      <c r="B543" t="s">
        <v>6014</v>
      </c>
      <c r="C543">
        <v>6</v>
      </c>
      <c r="D543">
        <v>0</v>
      </c>
      <c r="E543">
        <v>0</v>
      </c>
      <c r="F543">
        <v>6</v>
      </c>
      <c r="G543">
        <v>521</v>
      </c>
    </row>
    <row r="544" spans="1:7">
      <c r="A544">
        <v>4915</v>
      </c>
      <c r="B544" t="s">
        <v>6016</v>
      </c>
      <c r="C544">
        <v>5</v>
      </c>
      <c r="D544">
        <v>1</v>
      </c>
      <c r="E544">
        <v>0</v>
      </c>
      <c r="F544">
        <v>6</v>
      </c>
      <c r="G544">
        <v>521</v>
      </c>
    </row>
    <row r="545" spans="1:7">
      <c r="A545">
        <v>4973</v>
      </c>
      <c r="B545" t="s">
        <v>6038</v>
      </c>
      <c r="C545">
        <v>5</v>
      </c>
      <c r="D545">
        <v>1</v>
      </c>
      <c r="E545">
        <v>0</v>
      </c>
      <c r="F545">
        <v>6</v>
      </c>
      <c r="G545">
        <v>521</v>
      </c>
    </row>
    <row r="546" spans="1:7">
      <c r="A546">
        <v>4974</v>
      </c>
      <c r="B546" t="s">
        <v>6039</v>
      </c>
      <c r="C546">
        <v>6</v>
      </c>
      <c r="D546">
        <v>0</v>
      </c>
      <c r="E546">
        <v>0</v>
      </c>
      <c r="F546">
        <v>6</v>
      </c>
      <c r="G546">
        <v>521</v>
      </c>
    </row>
    <row r="547" spans="1:7">
      <c r="A547">
        <v>5438</v>
      </c>
      <c r="B547" t="s">
        <v>6099</v>
      </c>
      <c r="C547">
        <v>6</v>
      </c>
      <c r="D547">
        <v>0</v>
      </c>
      <c r="E547">
        <v>0</v>
      </c>
      <c r="F547">
        <v>6</v>
      </c>
      <c r="G547">
        <v>521</v>
      </c>
    </row>
    <row r="548" spans="1:7">
      <c r="A548">
        <v>5536</v>
      </c>
      <c r="B548" t="s">
        <v>6127</v>
      </c>
      <c r="C548">
        <v>6</v>
      </c>
      <c r="D548">
        <v>0</v>
      </c>
      <c r="E548">
        <v>0</v>
      </c>
      <c r="F548">
        <v>6</v>
      </c>
      <c r="G548">
        <v>521</v>
      </c>
    </row>
    <row r="549" spans="1:7">
      <c r="A549">
        <v>6283</v>
      </c>
      <c r="B549" t="s">
        <v>6267</v>
      </c>
      <c r="C549">
        <v>6</v>
      </c>
      <c r="D549">
        <v>0</v>
      </c>
      <c r="E549">
        <v>0</v>
      </c>
      <c r="F549">
        <v>6</v>
      </c>
      <c r="G549">
        <v>521</v>
      </c>
    </row>
    <row r="550" spans="1:7">
      <c r="A550">
        <v>6530</v>
      </c>
      <c r="B550" t="s">
        <v>6315</v>
      </c>
      <c r="C550">
        <v>6</v>
      </c>
      <c r="D550">
        <v>0</v>
      </c>
      <c r="E550">
        <v>0</v>
      </c>
      <c r="F550">
        <v>6</v>
      </c>
      <c r="G550">
        <v>521</v>
      </c>
    </row>
    <row r="551" spans="1:7">
      <c r="A551">
        <v>6582</v>
      </c>
      <c r="B551" t="s">
        <v>6331</v>
      </c>
      <c r="C551">
        <v>6</v>
      </c>
      <c r="D551">
        <v>0</v>
      </c>
      <c r="E551">
        <v>0</v>
      </c>
      <c r="F551">
        <v>6</v>
      </c>
      <c r="G551">
        <v>521</v>
      </c>
    </row>
    <row r="552" spans="1:7">
      <c r="A552">
        <v>6642</v>
      </c>
      <c r="B552" t="s">
        <v>8601</v>
      </c>
      <c r="C552">
        <v>6</v>
      </c>
      <c r="D552">
        <v>0</v>
      </c>
      <c r="E552">
        <v>0</v>
      </c>
      <c r="F552">
        <v>6</v>
      </c>
      <c r="G552">
        <v>521</v>
      </c>
    </row>
    <row r="553" spans="1:7">
      <c r="A553">
        <v>8114</v>
      </c>
      <c r="B553" t="s">
        <v>6408</v>
      </c>
      <c r="C553">
        <v>6</v>
      </c>
      <c r="D553">
        <v>0</v>
      </c>
      <c r="E553">
        <v>0</v>
      </c>
      <c r="F553">
        <v>6</v>
      </c>
      <c r="G553">
        <v>521</v>
      </c>
    </row>
    <row r="554" spans="1:7">
      <c r="A554">
        <v>8121</v>
      </c>
      <c r="B554" t="s">
        <v>8560</v>
      </c>
      <c r="C554">
        <v>6</v>
      </c>
      <c r="D554">
        <v>0</v>
      </c>
      <c r="E554">
        <v>0</v>
      </c>
      <c r="F554">
        <v>6</v>
      </c>
      <c r="G554">
        <v>521</v>
      </c>
    </row>
    <row r="555" spans="1:7">
      <c r="A555">
        <v>8163</v>
      </c>
      <c r="B555" t="s">
        <v>6413</v>
      </c>
      <c r="C555">
        <v>6</v>
      </c>
      <c r="D555">
        <v>0</v>
      </c>
      <c r="E555">
        <v>0</v>
      </c>
      <c r="F555">
        <v>6</v>
      </c>
      <c r="G555">
        <v>521</v>
      </c>
    </row>
    <row r="556" spans="1:7">
      <c r="A556">
        <v>8349</v>
      </c>
      <c r="B556" t="s">
        <v>6432</v>
      </c>
      <c r="C556">
        <v>6</v>
      </c>
      <c r="D556">
        <v>0</v>
      </c>
      <c r="E556">
        <v>0</v>
      </c>
      <c r="F556">
        <v>6</v>
      </c>
      <c r="G556">
        <v>521</v>
      </c>
    </row>
    <row r="557" spans="1:7">
      <c r="A557">
        <v>8930</v>
      </c>
      <c r="B557" t="s">
        <v>6616</v>
      </c>
      <c r="C557">
        <v>6</v>
      </c>
      <c r="D557">
        <v>0</v>
      </c>
      <c r="E557">
        <v>0</v>
      </c>
      <c r="F557">
        <v>6</v>
      </c>
      <c r="G557">
        <v>521</v>
      </c>
    </row>
    <row r="558" spans="1:7">
      <c r="A558">
        <v>8936</v>
      </c>
      <c r="B558" t="s">
        <v>6483</v>
      </c>
      <c r="C558">
        <v>6</v>
      </c>
      <c r="D558">
        <v>0</v>
      </c>
      <c r="E558">
        <v>0</v>
      </c>
      <c r="F558">
        <v>6</v>
      </c>
      <c r="G558">
        <v>521</v>
      </c>
    </row>
    <row r="559" spans="1:7">
      <c r="A559">
        <v>1102</v>
      </c>
      <c r="B559" t="s">
        <v>5166</v>
      </c>
      <c r="C559">
        <v>5</v>
      </c>
      <c r="D559">
        <v>0</v>
      </c>
      <c r="E559">
        <v>0</v>
      </c>
      <c r="F559">
        <v>5</v>
      </c>
      <c r="G559">
        <v>558</v>
      </c>
    </row>
    <row r="560" spans="1:7">
      <c r="A560">
        <v>1417</v>
      </c>
      <c r="B560" t="s">
        <v>5224</v>
      </c>
      <c r="C560">
        <v>5</v>
      </c>
      <c r="D560">
        <v>0</v>
      </c>
      <c r="E560">
        <v>0</v>
      </c>
      <c r="F560">
        <v>5</v>
      </c>
      <c r="G560">
        <v>558</v>
      </c>
    </row>
    <row r="561" spans="1:7">
      <c r="A561">
        <v>1476</v>
      </c>
      <c r="B561" t="s">
        <v>5254</v>
      </c>
      <c r="C561">
        <v>5</v>
      </c>
      <c r="D561">
        <v>0</v>
      </c>
      <c r="E561">
        <v>0</v>
      </c>
      <c r="F561">
        <v>5</v>
      </c>
      <c r="G561">
        <v>558</v>
      </c>
    </row>
    <row r="562" spans="1:7">
      <c r="A562">
        <v>2208</v>
      </c>
      <c r="B562" t="s">
        <v>5412</v>
      </c>
      <c r="C562">
        <v>5</v>
      </c>
      <c r="D562">
        <v>0</v>
      </c>
      <c r="E562">
        <v>0</v>
      </c>
      <c r="F562">
        <v>5</v>
      </c>
      <c r="G562">
        <v>558</v>
      </c>
    </row>
    <row r="563" spans="1:7">
      <c r="A563">
        <v>2483</v>
      </c>
      <c r="B563" t="s">
        <v>5537</v>
      </c>
      <c r="C563">
        <v>4</v>
      </c>
      <c r="D563">
        <v>1</v>
      </c>
      <c r="E563">
        <v>0</v>
      </c>
      <c r="F563">
        <v>5</v>
      </c>
      <c r="G563">
        <v>558</v>
      </c>
    </row>
    <row r="564" spans="1:7">
      <c r="A564">
        <v>2906</v>
      </c>
      <c r="B564" t="s">
        <v>5651</v>
      </c>
      <c r="C564">
        <v>5</v>
      </c>
      <c r="D564">
        <v>0</v>
      </c>
      <c r="E564">
        <v>0</v>
      </c>
      <c r="F564">
        <v>5</v>
      </c>
      <c r="G564">
        <v>558</v>
      </c>
    </row>
    <row r="565" spans="1:7">
      <c r="A565">
        <v>3038</v>
      </c>
      <c r="B565" t="s">
        <v>5692</v>
      </c>
      <c r="C565">
        <v>5</v>
      </c>
      <c r="D565">
        <v>0</v>
      </c>
      <c r="E565">
        <v>0</v>
      </c>
      <c r="F565">
        <v>5</v>
      </c>
      <c r="G565">
        <v>558</v>
      </c>
    </row>
    <row r="566" spans="1:7">
      <c r="A566">
        <v>3088</v>
      </c>
      <c r="B566" t="s">
        <v>5715</v>
      </c>
      <c r="C566">
        <v>5</v>
      </c>
      <c r="D566">
        <v>0</v>
      </c>
      <c r="E566">
        <v>0</v>
      </c>
      <c r="F566">
        <v>5</v>
      </c>
      <c r="G566">
        <v>558</v>
      </c>
    </row>
    <row r="567" spans="1:7">
      <c r="A567">
        <v>3167</v>
      </c>
      <c r="B567" t="s">
        <v>5732</v>
      </c>
      <c r="C567">
        <v>5</v>
      </c>
      <c r="D567">
        <v>0</v>
      </c>
      <c r="E567">
        <v>0</v>
      </c>
      <c r="F567">
        <v>5</v>
      </c>
      <c r="G567">
        <v>558</v>
      </c>
    </row>
    <row r="568" spans="1:7">
      <c r="A568">
        <v>3234</v>
      </c>
      <c r="B568" t="s">
        <v>5753</v>
      </c>
      <c r="C568">
        <v>5</v>
      </c>
      <c r="D568">
        <v>0</v>
      </c>
      <c r="E568">
        <v>0</v>
      </c>
      <c r="F568">
        <v>5</v>
      </c>
      <c r="G568">
        <v>558</v>
      </c>
    </row>
    <row r="569" spans="1:7">
      <c r="A569">
        <v>3294</v>
      </c>
      <c r="B569" t="s">
        <v>5768</v>
      </c>
      <c r="C569">
        <v>5</v>
      </c>
      <c r="D569">
        <v>0</v>
      </c>
      <c r="E569">
        <v>0</v>
      </c>
      <c r="F569">
        <v>5</v>
      </c>
      <c r="G569">
        <v>558</v>
      </c>
    </row>
    <row r="570" spans="1:7">
      <c r="A570">
        <v>3346</v>
      </c>
      <c r="B570" t="s">
        <v>5783</v>
      </c>
      <c r="C570">
        <v>5</v>
      </c>
      <c r="D570">
        <v>0</v>
      </c>
      <c r="E570">
        <v>0</v>
      </c>
      <c r="F570">
        <v>5</v>
      </c>
      <c r="G570">
        <v>558</v>
      </c>
    </row>
    <row r="571" spans="1:7">
      <c r="A571">
        <v>3529</v>
      </c>
      <c r="B571" t="s">
        <v>5834</v>
      </c>
      <c r="C571">
        <v>5</v>
      </c>
      <c r="D571">
        <v>0</v>
      </c>
      <c r="E571">
        <v>0</v>
      </c>
      <c r="F571">
        <v>5</v>
      </c>
      <c r="G571">
        <v>558</v>
      </c>
    </row>
    <row r="572" spans="1:7">
      <c r="A572">
        <v>3567</v>
      </c>
      <c r="B572" t="s">
        <v>5853</v>
      </c>
      <c r="C572">
        <v>4</v>
      </c>
      <c r="D572">
        <v>1</v>
      </c>
      <c r="E572">
        <v>0</v>
      </c>
      <c r="F572">
        <v>5</v>
      </c>
      <c r="G572">
        <v>558</v>
      </c>
    </row>
    <row r="573" spans="1:7">
      <c r="A573">
        <v>3607</v>
      </c>
      <c r="B573" t="s">
        <v>5865</v>
      </c>
      <c r="C573">
        <v>5</v>
      </c>
      <c r="D573">
        <v>0</v>
      </c>
      <c r="E573">
        <v>0</v>
      </c>
      <c r="F573">
        <v>5</v>
      </c>
      <c r="G573">
        <v>558</v>
      </c>
    </row>
    <row r="574" spans="1:7">
      <c r="A574">
        <v>3686</v>
      </c>
      <c r="B574" t="s">
        <v>8515</v>
      </c>
      <c r="C574">
        <v>5</v>
      </c>
      <c r="D574">
        <v>0</v>
      </c>
      <c r="E574">
        <v>0</v>
      </c>
      <c r="F574">
        <v>5</v>
      </c>
      <c r="G574">
        <v>558</v>
      </c>
    </row>
    <row r="575" spans="1:7">
      <c r="A575">
        <v>5328</v>
      </c>
      <c r="B575" t="s">
        <v>6084</v>
      </c>
      <c r="C575">
        <v>5</v>
      </c>
      <c r="D575">
        <v>0</v>
      </c>
      <c r="E575">
        <v>0</v>
      </c>
      <c r="F575">
        <v>5</v>
      </c>
      <c r="G575">
        <v>558</v>
      </c>
    </row>
    <row r="576" spans="1:7">
      <c r="A576">
        <v>5340</v>
      </c>
      <c r="B576" t="s">
        <v>8528</v>
      </c>
      <c r="C576">
        <v>5</v>
      </c>
      <c r="D576">
        <v>0</v>
      </c>
      <c r="E576">
        <v>0</v>
      </c>
      <c r="F576">
        <v>5</v>
      </c>
      <c r="G576">
        <v>558</v>
      </c>
    </row>
    <row r="577" spans="1:7">
      <c r="A577">
        <v>5371</v>
      </c>
      <c r="B577" t="s">
        <v>6089</v>
      </c>
      <c r="C577">
        <v>5</v>
      </c>
      <c r="D577">
        <v>0</v>
      </c>
      <c r="E577">
        <v>0</v>
      </c>
      <c r="F577">
        <v>5</v>
      </c>
      <c r="G577">
        <v>558</v>
      </c>
    </row>
    <row r="578" spans="1:7">
      <c r="A578">
        <v>5452</v>
      </c>
      <c r="B578" t="s">
        <v>6103</v>
      </c>
      <c r="C578">
        <v>5</v>
      </c>
      <c r="D578">
        <v>0</v>
      </c>
      <c r="E578">
        <v>0</v>
      </c>
      <c r="F578">
        <v>5</v>
      </c>
      <c r="G578">
        <v>558</v>
      </c>
    </row>
    <row r="579" spans="1:7">
      <c r="A579">
        <v>6016</v>
      </c>
      <c r="B579" t="s">
        <v>6150</v>
      </c>
      <c r="C579">
        <v>4</v>
      </c>
      <c r="D579">
        <v>1</v>
      </c>
      <c r="E579">
        <v>0</v>
      </c>
      <c r="F579">
        <v>5</v>
      </c>
      <c r="G579">
        <v>558</v>
      </c>
    </row>
    <row r="580" spans="1:7">
      <c r="A580">
        <v>6148</v>
      </c>
      <c r="B580" t="s">
        <v>6180</v>
      </c>
      <c r="C580">
        <v>5</v>
      </c>
      <c r="D580">
        <v>0</v>
      </c>
      <c r="E580">
        <v>0</v>
      </c>
      <c r="F580">
        <v>5</v>
      </c>
      <c r="G580">
        <v>558</v>
      </c>
    </row>
    <row r="581" spans="1:7">
      <c r="A581">
        <v>6160</v>
      </c>
      <c r="B581" t="s">
        <v>6188</v>
      </c>
      <c r="C581">
        <v>4</v>
      </c>
      <c r="D581">
        <v>1</v>
      </c>
      <c r="E581">
        <v>0</v>
      </c>
      <c r="F581">
        <v>5</v>
      </c>
      <c r="G581">
        <v>558</v>
      </c>
    </row>
    <row r="582" spans="1:7">
      <c r="A582">
        <v>6209</v>
      </c>
      <c r="B582" t="s">
        <v>6223</v>
      </c>
      <c r="C582">
        <v>5</v>
      </c>
      <c r="D582">
        <v>0</v>
      </c>
      <c r="E582">
        <v>0</v>
      </c>
      <c r="F582">
        <v>5</v>
      </c>
      <c r="G582">
        <v>558</v>
      </c>
    </row>
    <row r="583" spans="1:7">
      <c r="A583">
        <v>6227</v>
      </c>
      <c r="B583" t="s">
        <v>6236</v>
      </c>
      <c r="C583">
        <v>5</v>
      </c>
      <c r="D583">
        <v>0</v>
      </c>
      <c r="E583">
        <v>0</v>
      </c>
      <c r="F583">
        <v>5</v>
      </c>
      <c r="G583">
        <v>558</v>
      </c>
    </row>
    <row r="584" spans="1:7">
      <c r="A584">
        <v>6668</v>
      </c>
      <c r="B584" t="s">
        <v>6349</v>
      </c>
      <c r="C584">
        <v>5</v>
      </c>
      <c r="D584">
        <v>0</v>
      </c>
      <c r="E584">
        <v>0</v>
      </c>
      <c r="F584">
        <v>5</v>
      </c>
      <c r="G584">
        <v>558</v>
      </c>
    </row>
    <row r="585" spans="1:7">
      <c r="A585">
        <v>6669</v>
      </c>
      <c r="B585" t="s">
        <v>6350</v>
      </c>
      <c r="C585">
        <v>5</v>
      </c>
      <c r="D585">
        <v>0</v>
      </c>
      <c r="E585">
        <v>0</v>
      </c>
      <c r="F585">
        <v>5</v>
      </c>
      <c r="G585">
        <v>558</v>
      </c>
    </row>
    <row r="586" spans="1:7">
      <c r="A586">
        <v>8011</v>
      </c>
      <c r="B586" t="s">
        <v>6368</v>
      </c>
      <c r="C586">
        <v>5</v>
      </c>
      <c r="D586">
        <v>0</v>
      </c>
      <c r="E586">
        <v>0</v>
      </c>
      <c r="F586">
        <v>5</v>
      </c>
      <c r="G586">
        <v>558</v>
      </c>
    </row>
    <row r="587" spans="1:7">
      <c r="A587">
        <v>8043</v>
      </c>
      <c r="B587" t="s">
        <v>6377</v>
      </c>
      <c r="C587">
        <v>4</v>
      </c>
      <c r="D587">
        <v>1</v>
      </c>
      <c r="E587">
        <v>0</v>
      </c>
      <c r="F587">
        <v>5</v>
      </c>
      <c r="G587">
        <v>558</v>
      </c>
    </row>
    <row r="588" spans="1:7">
      <c r="A588">
        <v>8147</v>
      </c>
      <c r="B588" t="s">
        <v>6410</v>
      </c>
      <c r="C588">
        <v>5</v>
      </c>
      <c r="D588">
        <v>0</v>
      </c>
      <c r="E588">
        <v>0</v>
      </c>
      <c r="F588">
        <v>5</v>
      </c>
      <c r="G588">
        <v>558</v>
      </c>
    </row>
    <row r="589" spans="1:7">
      <c r="A589">
        <v>8171</v>
      </c>
      <c r="B589" t="s">
        <v>6414</v>
      </c>
      <c r="C589">
        <v>5</v>
      </c>
      <c r="D589">
        <v>0</v>
      </c>
      <c r="E589">
        <v>0</v>
      </c>
      <c r="F589">
        <v>5</v>
      </c>
      <c r="G589">
        <v>558</v>
      </c>
    </row>
    <row r="590" spans="1:7">
      <c r="A590">
        <v>8222</v>
      </c>
      <c r="B590" t="s">
        <v>6421</v>
      </c>
      <c r="C590">
        <v>5</v>
      </c>
      <c r="D590">
        <v>0</v>
      </c>
      <c r="E590">
        <v>0</v>
      </c>
      <c r="F590">
        <v>5</v>
      </c>
      <c r="G590">
        <v>558</v>
      </c>
    </row>
    <row r="591" spans="1:7">
      <c r="A591">
        <v>8478</v>
      </c>
      <c r="B591" t="s">
        <v>6466</v>
      </c>
      <c r="C591">
        <v>5</v>
      </c>
      <c r="D591">
        <v>0</v>
      </c>
      <c r="E591">
        <v>0</v>
      </c>
      <c r="F591">
        <v>5</v>
      </c>
      <c r="G591">
        <v>558</v>
      </c>
    </row>
    <row r="592" spans="1:7">
      <c r="A592">
        <v>8932</v>
      </c>
      <c r="B592" t="s">
        <v>6617</v>
      </c>
      <c r="C592">
        <v>5</v>
      </c>
      <c r="D592">
        <v>0</v>
      </c>
      <c r="E592">
        <v>0</v>
      </c>
      <c r="F592">
        <v>5</v>
      </c>
      <c r="G592">
        <v>558</v>
      </c>
    </row>
    <row r="593" spans="1:7">
      <c r="A593">
        <v>1314</v>
      </c>
      <c r="B593" t="s">
        <v>5204</v>
      </c>
      <c r="C593">
        <v>3</v>
      </c>
      <c r="D593">
        <v>1</v>
      </c>
      <c r="E593">
        <v>0</v>
      </c>
      <c r="F593">
        <v>4</v>
      </c>
      <c r="G593">
        <v>592</v>
      </c>
    </row>
    <row r="594" spans="1:7">
      <c r="A594">
        <v>1591</v>
      </c>
      <c r="B594" t="s">
        <v>5297</v>
      </c>
      <c r="C594">
        <v>3</v>
      </c>
      <c r="D594">
        <v>1</v>
      </c>
      <c r="E594">
        <v>0</v>
      </c>
      <c r="F594">
        <v>4</v>
      </c>
      <c r="G594">
        <v>592</v>
      </c>
    </row>
    <row r="595" spans="1:7">
      <c r="A595">
        <v>1598</v>
      </c>
      <c r="B595" t="s">
        <v>5301</v>
      </c>
      <c r="C595">
        <v>4</v>
      </c>
      <c r="D595">
        <v>0</v>
      </c>
      <c r="E595">
        <v>0</v>
      </c>
      <c r="F595">
        <v>4</v>
      </c>
      <c r="G595">
        <v>592</v>
      </c>
    </row>
    <row r="596" spans="1:7">
      <c r="A596">
        <v>1618</v>
      </c>
      <c r="B596" t="s">
        <v>5313</v>
      </c>
      <c r="C596">
        <v>4</v>
      </c>
      <c r="D596">
        <v>0</v>
      </c>
      <c r="E596">
        <v>0</v>
      </c>
      <c r="F596">
        <v>4</v>
      </c>
      <c r="G596">
        <v>592</v>
      </c>
    </row>
    <row r="597" spans="1:7">
      <c r="A597">
        <v>1806</v>
      </c>
      <c r="B597" t="s">
        <v>5355</v>
      </c>
      <c r="C597">
        <v>4</v>
      </c>
      <c r="D597">
        <v>0</v>
      </c>
      <c r="E597">
        <v>0</v>
      </c>
      <c r="F597">
        <v>4</v>
      </c>
      <c r="G597">
        <v>592</v>
      </c>
    </row>
    <row r="598" spans="1:7">
      <c r="A598">
        <v>2024</v>
      </c>
      <c r="B598" t="s">
        <v>5380</v>
      </c>
      <c r="C598">
        <v>3</v>
      </c>
      <c r="D598">
        <v>1</v>
      </c>
      <c r="E598">
        <v>0</v>
      </c>
      <c r="F598">
        <v>4</v>
      </c>
      <c r="G598">
        <v>592</v>
      </c>
    </row>
    <row r="599" spans="1:7">
      <c r="A599">
        <v>2201</v>
      </c>
      <c r="B599" t="s">
        <v>5408</v>
      </c>
      <c r="C599">
        <v>3</v>
      </c>
      <c r="D599">
        <v>1</v>
      </c>
      <c r="E599">
        <v>0</v>
      </c>
      <c r="F599">
        <v>4</v>
      </c>
      <c r="G599">
        <v>592</v>
      </c>
    </row>
    <row r="600" spans="1:7">
      <c r="A600">
        <v>2324</v>
      </c>
      <c r="B600" t="s">
        <v>5435</v>
      </c>
      <c r="C600">
        <v>4</v>
      </c>
      <c r="D600">
        <v>0</v>
      </c>
      <c r="E600">
        <v>0</v>
      </c>
      <c r="F600">
        <v>4</v>
      </c>
      <c r="G600">
        <v>592</v>
      </c>
    </row>
    <row r="601" spans="1:7">
      <c r="A601">
        <v>2367</v>
      </c>
      <c r="B601" t="s">
        <v>5463</v>
      </c>
      <c r="C601">
        <v>4</v>
      </c>
      <c r="D601">
        <v>0</v>
      </c>
      <c r="E601">
        <v>0</v>
      </c>
      <c r="F601">
        <v>4</v>
      </c>
      <c r="G601">
        <v>592</v>
      </c>
    </row>
    <row r="602" spans="1:7">
      <c r="A602">
        <v>2402</v>
      </c>
      <c r="B602" t="s">
        <v>5485</v>
      </c>
      <c r="C602">
        <v>4</v>
      </c>
      <c r="D602">
        <v>0</v>
      </c>
      <c r="E602">
        <v>0</v>
      </c>
      <c r="F602">
        <v>4</v>
      </c>
      <c r="G602">
        <v>592</v>
      </c>
    </row>
    <row r="603" spans="1:7">
      <c r="A603">
        <v>2405</v>
      </c>
      <c r="B603" t="s">
        <v>8476</v>
      </c>
      <c r="C603">
        <v>4</v>
      </c>
      <c r="D603">
        <v>0</v>
      </c>
      <c r="E603">
        <v>0</v>
      </c>
      <c r="F603">
        <v>4</v>
      </c>
      <c r="G603">
        <v>592</v>
      </c>
    </row>
    <row r="604" spans="1:7">
      <c r="A604">
        <v>2417</v>
      </c>
      <c r="B604" t="s">
        <v>5494</v>
      </c>
      <c r="C604">
        <v>4</v>
      </c>
      <c r="D604">
        <v>0</v>
      </c>
      <c r="E604">
        <v>0</v>
      </c>
      <c r="F604">
        <v>4</v>
      </c>
      <c r="G604">
        <v>592</v>
      </c>
    </row>
    <row r="605" spans="1:7">
      <c r="A605">
        <v>2527</v>
      </c>
      <c r="B605" t="s">
        <v>5560</v>
      </c>
      <c r="C605">
        <v>4</v>
      </c>
      <c r="D605">
        <v>0</v>
      </c>
      <c r="E605">
        <v>0</v>
      </c>
      <c r="F605">
        <v>4</v>
      </c>
      <c r="G605">
        <v>592</v>
      </c>
    </row>
    <row r="606" spans="1:7">
      <c r="A606">
        <v>2538</v>
      </c>
      <c r="B606" t="s">
        <v>5567</v>
      </c>
      <c r="C606">
        <v>4</v>
      </c>
      <c r="D606">
        <v>0</v>
      </c>
      <c r="E606">
        <v>0</v>
      </c>
      <c r="F606">
        <v>4</v>
      </c>
      <c r="G606">
        <v>592</v>
      </c>
    </row>
    <row r="607" spans="1:7">
      <c r="A607">
        <v>3029</v>
      </c>
      <c r="B607" t="s">
        <v>5683</v>
      </c>
      <c r="C607">
        <v>4</v>
      </c>
      <c r="D607">
        <v>0</v>
      </c>
      <c r="E607">
        <v>0</v>
      </c>
      <c r="F607">
        <v>4</v>
      </c>
      <c r="G607">
        <v>592</v>
      </c>
    </row>
    <row r="608" spans="1:7">
      <c r="A608">
        <v>3083</v>
      </c>
      <c r="B608" t="s">
        <v>5713</v>
      </c>
      <c r="C608">
        <v>4</v>
      </c>
      <c r="D608">
        <v>0</v>
      </c>
      <c r="E608">
        <v>0</v>
      </c>
      <c r="F608">
        <v>4</v>
      </c>
      <c r="G608">
        <v>592</v>
      </c>
    </row>
    <row r="609" spans="1:7">
      <c r="A609">
        <v>3086</v>
      </c>
      <c r="B609" t="s">
        <v>5714</v>
      </c>
      <c r="C609">
        <v>3</v>
      </c>
      <c r="D609">
        <v>1</v>
      </c>
      <c r="E609">
        <v>0</v>
      </c>
      <c r="F609">
        <v>4</v>
      </c>
      <c r="G609">
        <v>592</v>
      </c>
    </row>
    <row r="610" spans="1:7">
      <c r="A610">
        <v>3149</v>
      </c>
      <c r="B610" t="s">
        <v>8497</v>
      </c>
      <c r="C610">
        <v>4</v>
      </c>
      <c r="D610">
        <v>0</v>
      </c>
      <c r="E610">
        <v>0</v>
      </c>
      <c r="F610">
        <v>4</v>
      </c>
      <c r="G610">
        <v>592</v>
      </c>
    </row>
    <row r="611" spans="1:7">
      <c r="A611">
        <v>3390</v>
      </c>
      <c r="B611" t="s">
        <v>5797</v>
      </c>
      <c r="C611">
        <v>4</v>
      </c>
      <c r="D611">
        <v>0</v>
      </c>
      <c r="E611">
        <v>0</v>
      </c>
      <c r="F611">
        <v>4</v>
      </c>
      <c r="G611">
        <v>592</v>
      </c>
    </row>
    <row r="612" spans="1:7">
      <c r="A612">
        <v>3541</v>
      </c>
      <c r="B612" t="s">
        <v>5841</v>
      </c>
      <c r="C612">
        <v>4</v>
      </c>
      <c r="D612">
        <v>0</v>
      </c>
      <c r="E612">
        <v>0</v>
      </c>
      <c r="F612">
        <v>4</v>
      </c>
      <c r="G612">
        <v>592</v>
      </c>
    </row>
    <row r="613" spans="1:7">
      <c r="A613">
        <v>3710</v>
      </c>
      <c r="B613" t="s">
        <v>8516</v>
      </c>
      <c r="C613">
        <v>4</v>
      </c>
      <c r="D613">
        <v>0</v>
      </c>
      <c r="E613">
        <v>0</v>
      </c>
      <c r="F613">
        <v>4</v>
      </c>
      <c r="G613">
        <v>592</v>
      </c>
    </row>
    <row r="614" spans="1:7">
      <c r="A614">
        <v>4551</v>
      </c>
      <c r="B614" t="s">
        <v>5974</v>
      </c>
      <c r="C614">
        <v>4</v>
      </c>
      <c r="D614">
        <v>0</v>
      </c>
      <c r="E614">
        <v>0</v>
      </c>
      <c r="F614">
        <v>4</v>
      </c>
      <c r="G614">
        <v>592</v>
      </c>
    </row>
    <row r="615" spans="1:7">
      <c r="A615">
        <v>4720</v>
      </c>
      <c r="B615" t="s">
        <v>5993</v>
      </c>
      <c r="C615">
        <v>4</v>
      </c>
      <c r="D615">
        <v>0</v>
      </c>
      <c r="E615">
        <v>0</v>
      </c>
      <c r="F615">
        <v>4</v>
      </c>
      <c r="G615">
        <v>592</v>
      </c>
    </row>
    <row r="616" spans="1:7">
      <c r="A616">
        <v>4735</v>
      </c>
      <c r="B616" t="s">
        <v>5997</v>
      </c>
      <c r="C616">
        <v>4</v>
      </c>
      <c r="D616">
        <v>0</v>
      </c>
      <c r="E616">
        <v>0</v>
      </c>
      <c r="F616">
        <v>4</v>
      </c>
      <c r="G616">
        <v>592</v>
      </c>
    </row>
    <row r="617" spans="1:7">
      <c r="A617">
        <v>4744</v>
      </c>
      <c r="B617" t="s">
        <v>6001</v>
      </c>
      <c r="C617">
        <v>4</v>
      </c>
      <c r="D617">
        <v>0</v>
      </c>
      <c r="E617">
        <v>0</v>
      </c>
      <c r="F617">
        <v>4</v>
      </c>
      <c r="G617">
        <v>592</v>
      </c>
    </row>
    <row r="618" spans="1:7">
      <c r="A618">
        <v>4912</v>
      </c>
      <c r="B618" t="s">
        <v>6015</v>
      </c>
      <c r="C618">
        <v>3</v>
      </c>
      <c r="D618">
        <v>1</v>
      </c>
      <c r="E618">
        <v>0</v>
      </c>
      <c r="F618">
        <v>4</v>
      </c>
      <c r="G618">
        <v>592</v>
      </c>
    </row>
    <row r="619" spans="1:7">
      <c r="A619">
        <v>4934</v>
      </c>
      <c r="B619" t="s">
        <v>8522</v>
      </c>
      <c r="C619">
        <v>4</v>
      </c>
      <c r="D619">
        <v>0</v>
      </c>
      <c r="E619">
        <v>0</v>
      </c>
      <c r="F619">
        <v>4</v>
      </c>
      <c r="G619">
        <v>592</v>
      </c>
    </row>
    <row r="620" spans="1:7">
      <c r="A620">
        <v>5202</v>
      </c>
      <c r="B620" t="s">
        <v>6601</v>
      </c>
      <c r="C620">
        <v>4</v>
      </c>
      <c r="D620">
        <v>0</v>
      </c>
      <c r="E620">
        <v>0</v>
      </c>
      <c r="F620">
        <v>4</v>
      </c>
      <c r="G620">
        <v>592</v>
      </c>
    </row>
    <row r="621" spans="1:7">
      <c r="A621">
        <v>6122</v>
      </c>
      <c r="B621" t="s">
        <v>6164</v>
      </c>
      <c r="C621">
        <v>3</v>
      </c>
      <c r="D621">
        <v>1</v>
      </c>
      <c r="E621">
        <v>0</v>
      </c>
      <c r="F621">
        <v>4</v>
      </c>
      <c r="G621">
        <v>592</v>
      </c>
    </row>
    <row r="622" spans="1:7">
      <c r="A622">
        <v>6248</v>
      </c>
      <c r="B622" t="s">
        <v>6249</v>
      </c>
      <c r="C622">
        <v>4</v>
      </c>
      <c r="D622">
        <v>0</v>
      </c>
      <c r="E622">
        <v>0</v>
      </c>
      <c r="F622">
        <v>4</v>
      </c>
      <c r="G622">
        <v>592</v>
      </c>
    </row>
    <row r="623" spans="1:7">
      <c r="A623">
        <v>6285</v>
      </c>
      <c r="B623" t="s">
        <v>6269</v>
      </c>
      <c r="C623">
        <v>4</v>
      </c>
      <c r="D623">
        <v>0</v>
      </c>
      <c r="E623">
        <v>0</v>
      </c>
      <c r="F623">
        <v>4</v>
      </c>
      <c r="G623">
        <v>592</v>
      </c>
    </row>
    <row r="624" spans="1:7">
      <c r="A624">
        <v>6416</v>
      </c>
      <c r="B624" t="s">
        <v>6279</v>
      </c>
      <c r="C624">
        <v>4</v>
      </c>
      <c r="D624">
        <v>0</v>
      </c>
      <c r="E624">
        <v>0</v>
      </c>
      <c r="F624">
        <v>4</v>
      </c>
      <c r="G624">
        <v>592</v>
      </c>
    </row>
    <row r="625" spans="1:7">
      <c r="A625">
        <v>6462</v>
      </c>
      <c r="B625" t="s">
        <v>6293</v>
      </c>
      <c r="C625">
        <v>4</v>
      </c>
      <c r="D625">
        <v>0</v>
      </c>
      <c r="E625">
        <v>0</v>
      </c>
      <c r="F625">
        <v>4</v>
      </c>
      <c r="G625">
        <v>592</v>
      </c>
    </row>
    <row r="626" spans="1:7">
      <c r="A626">
        <v>6654</v>
      </c>
      <c r="B626" t="s">
        <v>6344</v>
      </c>
      <c r="C626">
        <v>4</v>
      </c>
      <c r="D626">
        <v>0</v>
      </c>
      <c r="E626">
        <v>0</v>
      </c>
      <c r="F626">
        <v>4</v>
      </c>
      <c r="G626">
        <v>592</v>
      </c>
    </row>
    <row r="627" spans="1:7">
      <c r="A627">
        <v>8099</v>
      </c>
      <c r="B627" t="s">
        <v>6400</v>
      </c>
      <c r="C627">
        <v>4</v>
      </c>
      <c r="D627">
        <v>0</v>
      </c>
      <c r="E627">
        <v>0</v>
      </c>
      <c r="F627">
        <v>4</v>
      </c>
      <c r="G627">
        <v>592</v>
      </c>
    </row>
    <row r="628" spans="1:7">
      <c r="A628">
        <v>8210</v>
      </c>
      <c r="B628" t="s">
        <v>6418</v>
      </c>
      <c r="C628">
        <v>4</v>
      </c>
      <c r="D628">
        <v>0</v>
      </c>
      <c r="E628">
        <v>0</v>
      </c>
      <c r="F628">
        <v>4</v>
      </c>
      <c r="G628">
        <v>592</v>
      </c>
    </row>
    <row r="629" spans="1:7">
      <c r="A629">
        <v>8213</v>
      </c>
      <c r="B629" t="s">
        <v>6419</v>
      </c>
      <c r="C629">
        <v>4</v>
      </c>
      <c r="D629">
        <v>0</v>
      </c>
      <c r="E629">
        <v>0</v>
      </c>
      <c r="F629">
        <v>4</v>
      </c>
      <c r="G629">
        <v>592</v>
      </c>
    </row>
    <row r="630" spans="1:7">
      <c r="A630">
        <v>8277</v>
      </c>
      <c r="B630" t="s">
        <v>8562</v>
      </c>
      <c r="C630">
        <v>4</v>
      </c>
      <c r="D630">
        <v>0</v>
      </c>
      <c r="E630">
        <v>0</v>
      </c>
      <c r="F630">
        <v>4</v>
      </c>
      <c r="G630">
        <v>592</v>
      </c>
    </row>
    <row r="631" spans="1:7">
      <c r="A631">
        <v>8415</v>
      </c>
      <c r="B631" t="s">
        <v>6443</v>
      </c>
      <c r="C631">
        <v>4</v>
      </c>
      <c r="D631">
        <v>0</v>
      </c>
      <c r="E631">
        <v>0</v>
      </c>
      <c r="F631">
        <v>4</v>
      </c>
      <c r="G631">
        <v>592</v>
      </c>
    </row>
    <row r="632" spans="1:7">
      <c r="A632">
        <v>8429</v>
      </c>
      <c r="B632" t="s">
        <v>6446</v>
      </c>
      <c r="C632">
        <v>4</v>
      </c>
      <c r="D632">
        <v>0</v>
      </c>
      <c r="E632">
        <v>0</v>
      </c>
      <c r="F632">
        <v>4</v>
      </c>
      <c r="G632">
        <v>592</v>
      </c>
    </row>
    <row r="633" spans="1:7">
      <c r="A633">
        <v>8905</v>
      </c>
      <c r="B633" t="s">
        <v>6473</v>
      </c>
      <c r="C633">
        <v>4</v>
      </c>
      <c r="D633">
        <v>0</v>
      </c>
      <c r="E633">
        <v>0</v>
      </c>
      <c r="F633">
        <v>4</v>
      </c>
      <c r="G633">
        <v>592</v>
      </c>
    </row>
    <row r="634" spans="1:7">
      <c r="A634">
        <v>9914</v>
      </c>
      <c r="B634" t="s">
        <v>6496</v>
      </c>
      <c r="C634">
        <v>4</v>
      </c>
      <c r="D634">
        <v>0</v>
      </c>
      <c r="E634">
        <v>0</v>
      </c>
      <c r="F634">
        <v>4</v>
      </c>
      <c r="G634">
        <v>592</v>
      </c>
    </row>
    <row r="635" spans="1:7">
      <c r="A635">
        <v>9939</v>
      </c>
      <c r="B635" t="s">
        <v>6512</v>
      </c>
      <c r="C635">
        <v>4</v>
      </c>
      <c r="D635">
        <v>0</v>
      </c>
      <c r="E635">
        <v>0</v>
      </c>
      <c r="F635">
        <v>4</v>
      </c>
      <c r="G635">
        <v>592</v>
      </c>
    </row>
    <row r="636" spans="1:7">
      <c r="A636">
        <v>9955</v>
      </c>
      <c r="B636" t="s">
        <v>6521</v>
      </c>
      <c r="C636">
        <v>4</v>
      </c>
      <c r="D636">
        <v>0</v>
      </c>
      <c r="E636">
        <v>0</v>
      </c>
      <c r="F636">
        <v>4</v>
      </c>
      <c r="G636">
        <v>592</v>
      </c>
    </row>
    <row r="637" spans="1:7">
      <c r="A637">
        <v>1409</v>
      </c>
      <c r="B637" t="s">
        <v>5220</v>
      </c>
      <c r="C637">
        <v>3</v>
      </c>
      <c r="D637">
        <v>0</v>
      </c>
      <c r="E637">
        <v>0</v>
      </c>
      <c r="F637">
        <v>3</v>
      </c>
      <c r="G637">
        <v>636</v>
      </c>
    </row>
    <row r="638" spans="1:7">
      <c r="A638">
        <v>1444</v>
      </c>
      <c r="B638" t="s">
        <v>5234</v>
      </c>
      <c r="C638">
        <v>3</v>
      </c>
      <c r="D638">
        <v>0</v>
      </c>
      <c r="E638">
        <v>0</v>
      </c>
      <c r="F638">
        <v>3</v>
      </c>
      <c r="G638">
        <v>636</v>
      </c>
    </row>
    <row r="639" spans="1:7">
      <c r="A639">
        <v>1456</v>
      </c>
      <c r="B639" t="s">
        <v>5243</v>
      </c>
      <c r="C639">
        <v>3</v>
      </c>
      <c r="D639">
        <v>0</v>
      </c>
      <c r="E639">
        <v>0</v>
      </c>
      <c r="F639">
        <v>3</v>
      </c>
      <c r="G639">
        <v>636</v>
      </c>
    </row>
    <row r="640" spans="1:7">
      <c r="A640">
        <v>1471</v>
      </c>
      <c r="B640" t="s">
        <v>8458</v>
      </c>
      <c r="C640">
        <v>3</v>
      </c>
      <c r="D640">
        <v>0</v>
      </c>
      <c r="E640">
        <v>0</v>
      </c>
      <c r="F640">
        <v>3</v>
      </c>
      <c r="G640">
        <v>636</v>
      </c>
    </row>
    <row r="641" spans="1:7">
      <c r="A641">
        <v>1527</v>
      </c>
      <c r="B641" t="s">
        <v>5270</v>
      </c>
      <c r="C641">
        <v>3</v>
      </c>
      <c r="D641">
        <v>0</v>
      </c>
      <c r="E641">
        <v>0</v>
      </c>
      <c r="F641">
        <v>3</v>
      </c>
      <c r="G641">
        <v>636</v>
      </c>
    </row>
    <row r="642" spans="1:7">
      <c r="A642">
        <v>1568</v>
      </c>
      <c r="B642" t="s">
        <v>5286</v>
      </c>
      <c r="C642">
        <v>3</v>
      </c>
      <c r="D642">
        <v>0</v>
      </c>
      <c r="E642">
        <v>0</v>
      </c>
      <c r="F642">
        <v>3</v>
      </c>
      <c r="G642">
        <v>636</v>
      </c>
    </row>
    <row r="643" spans="1:7">
      <c r="A643">
        <v>1569</v>
      </c>
      <c r="B643" t="s">
        <v>5287</v>
      </c>
      <c r="C643">
        <v>3</v>
      </c>
      <c r="D643">
        <v>0</v>
      </c>
      <c r="E643">
        <v>0</v>
      </c>
      <c r="F643">
        <v>3</v>
      </c>
      <c r="G643">
        <v>636</v>
      </c>
    </row>
    <row r="644" spans="1:7">
      <c r="A644">
        <v>1722</v>
      </c>
      <c r="B644" t="s">
        <v>5329</v>
      </c>
      <c r="C644">
        <v>3</v>
      </c>
      <c r="D644">
        <v>0</v>
      </c>
      <c r="E644">
        <v>0</v>
      </c>
      <c r="F644">
        <v>3</v>
      </c>
      <c r="G644">
        <v>636</v>
      </c>
    </row>
    <row r="645" spans="1:7">
      <c r="A645">
        <v>1731</v>
      </c>
      <c r="B645" t="s">
        <v>5334</v>
      </c>
      <c r="C645">
        <v>3</v>
      </c>
      <c r="D645">
        <v>0</v>
      </c>
      <c r="E645">
        <v>0</v>
      </c>
      <c r="F645">
        <v>3</v>
      </c>
      <c r="G645">
        <v>636</v>
      </c>
    </row>
    <row r="646" spans="1:7">
      <c r="A646">
        <v>1776</v>
      </c>
      <c r="B646" t="s">
        <v>5346</v>
      </c>
      <c r="C646">
        <v>3</v>
      </c>
      <c r="D646">
        <v>0</v>
      </c>
      <c r="E646">
        <v>0</v>
      </c>
      <c r="F646">
        <v>3</v>
      </c>
      <c r="G646">
        <v>636</v>
      </c>
    </row>
    <row r="647" spans="1:7">
      <c r="A647">
        <v>1810</v>
      </c>
      <c r="B647" t="s">
        <v>5358</v>
      </c>
      <c r="C647">
        <v>3</v>
      </c>
      <c r="D647">
        <v>0</v>
      </c>
      <c r="E647">
        <v>0</v>
      </c>
      <c r="F647">
        <v>3</v>
      </c>
      <c r="G647">
        <v>636</v>
      </c>
    </row>
    <row r="648" spans="1:7">
      <c r="A648">
        <v>1904</v>
      </c>
      <c r="B648" t="s">
        <v>5362</v>
      </c>
      <c r="C648">
        <v>3</v>
      </c>
      <c r="D648">
        <v>0</v>
      </c>
      <c r="E648">
        <v>0</v>
      </c>
      <c r="F648">
        <v>3</v>
      </c>
      <c r="G648">
        <v>636</v>
      </c>
    </row>
    <row r="649" spans="1:7">
      <c r="A649">
        <v>2064</v>
      </c>
      <c r="B649" t="s">
        <v>5393</v>
      </c>
      <c r="C649">
        <v>3</v>
      </c>
      <c r="D649">
        <v>0</v>
      </c>
      <c r="E649">
        <v>0</v>
      </c>
      <c r="F649">
        <v>3</v>
      </c>
      <c r="G649">
        <v>636</v>
      </c>
    </row>
    <row r="650" spans="1:7">
      <c r="A650">
        <v>2230</v>
      </c>
      <c r="B650" t="s">
        <v>5416</v>
      </c>
      <c r="C650">
        <v>3</v>
      </c>
      <c r="D650">
        <v>0</v>
      </c>
      <c r="E650">
        <v>0</v>
      </c>
      <c r="F650">
        <v>3</v>
      </c>
      <c r="G650">
        <v>636</v>
      </c>
    </row>
    <row r="651" spans="1:7">
      <c r="A651">
        <v>2241</v>
      </c>
      <c r="B651" t="s">
        <v>5421</v>
      </c>
      <c r="C651">
        <v>3</v>
      </c>
      <c r="D651">
        <v>0</v>
      </c>
      <c r="E651">
        <v>0</v>
      </c>
      <c r="F651">
        <v>3</v>
      </c>
      <c r="G651">
        <v>636</v>
      </c>
    </row>
    <row r="652" spans="1:7">
      <c r="A652">
        <v>2243</v>
      </c>
      <c r="B652" t="s">
        <v>5422</v>
      </c>
      <c r="C652">
        <v>3</v>
      </c>
      <c r="D652">
        <v>0</v>
      </c>
      <c r="E652">
        <v>0</v>
      </c>
      <c r="F652">
        <v>3</v>
      </c>
      <c r="G652">
        <v>636</v>
      </c>
    </row>
    <row r="653" spans="1:7">
      <c r="A653">
        <v>2305</v>
      </c>
      <c r="B653" t="s">
        <v>5428</v>
      </c>
      <c r="C653">
        <v>3</v>
      </c>
      <c r="D653">
        <v>0</v>
      </c>
      <c r="E653">
        <v>0</v>
      </c>
      <c r="F653">
        <v>3</v>
      </c>
      <c r="G653">
        <v>636</v>
      </c>
    </row>
    <row r="654" spans="1:7">
      <c r="A654">
        <v>2332</v>
      </c>
      <c r="B654" t="s">
        <v>5441</v>
      </c>
      <c r="C654">
        <v>3</v>
      </c>
      <c r="D654">
        <v>0</v>
      </c>
      <c r="E654">
        <v>0</v>
      </c>
      <c r="F654">
        <v>3</v>
      </c>
      <c r="G654">
        <v>636</v>
      </c>
    </row>
    <row r="655" spans="1:7">
      <c r="A655">
        <v>2365</v>
      </c>
      <c r="B655" t="s">
        <v>5462</v>
      </c>
      <c r="C655">
        <v>3</v>
      </c>
      <c r="D655">
        <v>0</v>
      </c>
      <c r="E655">
        <v>0</v>
      </c>
      <c r="F655">
        <v>3</v>
      </c>
      <c r="G655">
        <v>636</v>
      </c>
    </row>
    <row r="656" spans="1:7">
      <c r="A656">
        <v>2377</v>
      </c>
      <c r="B656" t="s">
        <v>5471</v>
      </c>
      <c r="C656">
        <v>3</v>
      </c>
      <c r="D656">
        <v>0</v>
      </c>
      <c r="E656">
        <v>0</v>
      </c>
      <c r="F656">
        <v>3</v>
      </c>
      <c r="G656">
        <v>636</v>
      </c>
    </row>
    <row r="657" spans="1:7">
      <c r="A657">
        <v>2387</v>
      </c>
      <c r="B657" t="s">
        <v>5476</v>
      </c>
      <c r="C657">
        <v>3</v>
      </c>
      <c r="D657">
        <v>0</v>
      </c>
      <c r="E657">
        <v>0</v>
      </c>
      <c r="F657">
        <v>3</v>
      </c>
      <c r="G657">
        <v>636</v>
      </c>
    </row>
    <row r="658" spans="1:7">
      <c r="A658">
        <v>2408</v>
      </c>
      <c r="B658" t="s">
        <v>5488</v>
      </c>
      <c r="C658">
        <v>3</v>
      </c>
      <c r="D658">
        <v>0</v>
      </c>
      <c r="E658">
        <v>0</v>
      </c>
      <c r="F658">
        <v>3</v>
      </c>
      <c r="G658">
        <v>636</v>
      </c>
    </row>
    <row r="659" spans="1:7">
      <c r="A659">
        <v>2462</v>
      </c>
      <c r="B659" t="s">
        <v>5522</v>
      </c>
      <c r="C659">
        <v>3</v>
      </c>
      <c r="D659">
        <v>0</v>
      </c>
      <c r="E659">
        <v>0</v>
      </c>
      <c r="F659">
        <v>3</v>
      </c>
      <c r="G659">
        <v>636</v>
      </c>
    </row>
    <row r="660" spans="1:7">
      <c r="A660">
        <v>2515</v>
      </c>
      <c r="B660" t="s">
        <v>5557</v>
      </c>
      <c r="C660">
        <v>2</v>
      </c>
      <c r="D660">
        <v>1</v>
      </c>
      <c r="E660">
        <v>0</v>
      </c>
      <c r="F660">
        <v>3</v>
      </c>
      <c r="G660">
        <v>636</v>
      </c>
    </row>
    <row r="661" spans="1:7">
      <c r="A661">
        <v>2520</v>
      </c>
      <c r="B661" t="s">
        <v>5558</v>
      </c>
      <c r="C661">
        <v>3</v>
      </c>
      <c r="D661">
        <v>0</v>
      </c>
      <c r="E661">
        <v>0</v>
      </c>
      <c r="F661">
        <v>3</v>
      </c>
      <c r="G661">
        <v>636</v>
      </c>
    </row>
    <row r="662" spans="1:7">
      <c r="A662">
        <v>2537</v>
      </c>
      <c r="B662" t="s">
        <v>5566</v>
      </c>
      <c r="C662">
        <v>3</v>
      </c>
      <c r="D662">
        <v>0</v>
      </c>
      <c r="E662">
        <v>0</v>
      </c>
      <c r="F662">
        <v>3</v>
      </c>
      <c r="G662">
        <v>636</v>
      </c>
    </row>
    <row r="663" spans="1:7">
      <c r="A663">
        <v>2731</v>
      </c>
      <c r="B663" t="s">
        <v>5610</v>
      </c>
      <c r="C663">
        <v>3</v>
      </c>
      <c r="D663">
        <v>0</v>
      </c>
      <c r="E663">
        <v>0</v>
      </c>
      <c r="F663">
        <v>3</v>
      </c>
      <c r="G663">
        <v>636</v>
      </c>
    </row>
    <row r="664" spans="1:7">
      <c r="A664">
        <v>2888</v>
      </c>
      <c r="B664" t="s">
        <v>5641</v>
      </c>
      <c r="C664">
        <v>3</v>
      </c>
      <c r="D664">
        <v>0</v>
      </c>
      <c r="E664">
        <v>0</v>
      </c>
      <c r="F664">
        <v>3</v>
      </c>
      <c r="G664">
        <v>636</v>
      </c>
    </row>
    <row r="665" spans="1:7">
      <c r="A665">
        <v>2936</v>
      </c>
      <c r="B665" t="s">
        <v>5661</v>
      </c>
      <c r="C665">
        <v>3</v>
      </c>
      <c r="D665">
        <v>0</v>
      </c>
      <c r="E665">
        <v>0</v>
      </c>
      <c r="F665">
        <v>3</v>
      </c>
      <c r="G665">
        <v>636</v>
      </c>
    </row>
    <row r="666" spans="1:7">
      <c r="A666">
        <v>3021</v>
      </c>
      <c r="B666" t="s">
        <v>5676</v>
      </c>
      <c r="C666">
        <v>3</v>
      </c>
      <c r="D666">
        <v>0</v>
      </c>
      <c r="E666">
        <v>0</v>
      </c>
      <c r="F666">
        <v>3</v>
      </c>
      <c r="G666">
        <v>636</v>
      </c>
    </row>
    <row r="667" spans="1:7">
      <c r="A667">
        <v>3028</v>
      </c>
      <c r="B667" t="s">
        <v>5682</v>
      </c>
      <c r="C667">
        <v>3</v>
      </c>
      <c r="D667">
        <v>0</v>
      </c>
      <c r="E667">
        <v>0</v>
      </c>
      <c r="F667">
        <v>3</v>
      </c>
      <c r="G667">
        <v>636</v>
      </c>
    </row>
    <row r="668" spans="1:7">
      <c r="A668">
        <v>3051</v>
      </c>
      <c r="B668" t="s">
        <v>8493</v>
      </c>
      <c r="C668">
        <v>3</v>
      </c>
      <c r="D668">
        <v>0</v>
      </c>
      <c r="E668">
        <v>0</v>
      </c>
      <c r="F668">
        <v>3</v>
      </c>
      <c r="G668">
        <v>636</v>
      </c>
    </row>
    <row r="669" spans="1:7">
      <c r="A669">
        <v>3078</v>
      </c>
      <c r="B669" t="s">
        <v>5711</v>
      </c>
      <c r="C669">
        <v>3</v>
      </c>
      <c r="D669">
        <v>0</v>
      </c>
      <c r="E669">
        <v>0</v>
      </c>
      <c r="F669">
        <v>3</v>
      </c>
      <c r="G669">
        <v>636</v>
      </c>
    </row>
    <row r="670" spans="1:7">
      <c r="A670">
        <v>3147</v>
      </c>
      <c r="B670" t="s">
        <v>5727</v>
      </c>
      <c r="C670">
        <v>3</v>
      </c>
      <c r="D670">
        <v>0</v>
      </c>
      <c r="E670">
        <v>0</v>
      </c>
      <c r="F670">
        <v>3</v>
      </c>
      <c r="G670">
        <v>636</v>
      </c>
    </row>
    <row r="671" spans="1:7">
      <c r="A671">
        <v>3213</v>
      </c>
      <c r="B671" t="s">
        <v>5743</v>
      </c>
      <c r="C671">
        <v>3</v>
      </c>
      <c r="D671">
        <v>0</v>
      </c>
      <c r="E671">
        <v>0</v>
      </c>
      <c r="F671">
        <v>3</v>
      </c>
      <c r="G671">
        <v>636</v>
      </c>
    </row>
    <row r="672" spans="1:7">
      <c r="A672">
        <v>3576</v>
      </c>
      <c r="B672" t="s">
        <v>8510</v>
      </c>
      <c r="C672">
        <v>3</v>
      </c>
      <c r="D672">
        <v>0</v>
      </c>
      <c r="E672">
        <v>0</v>
      </c>
      <c r="F672">
        <v>3</v>
      </c>
      <c r="G672">
        <v>636</v>
      </c>
    </row>
    <row r="673" spans="1:7">
      <c r="A673">
        <v>3702</v>
      </c>
      <c r="B673" t="s">
        <v>5898</v>
      </c>
      <c r="C673">
        <v>3</v>
      </c>
      <c r="D673">
        <v>0</v>
      </c>
      <c r="E673">
        <v>0</v>
      </c>
      <c r="F673">
        <v>3</v>
      </c>
      <c r="G673">
        <v>636</v>
      </c>
    </row>
    <row r="674" spans="1:7">
      <c r="A674">
        <v>4102</v>
      </c>
      <c r="B674" t="s">
        <v>5908</v>
      </c>
      <c r="C674">
        <v>2</v>
      </c>
      <c r="D674">
        <v>1</v>
      </c>
      <c r="E674">
        <v>0</v>
      </c>
      <c r="F674">
        <v>3</v>
      </c>
      <c r="G674">
        <v>636</v>
      </c>
    </row>
    <row r="675" spans="1:7">
      <c r="A675">
        <v>4164</v>
      </c>
      <c r="B675" t="s">
        <v>5938</v>
      </c>
      <c r="C675">
        <v>3</v>
      </c>
      <c r="D675">
        <v>0</v>
      </c>
      <c r="E675">
        <v>0</v>
      </c>
      <c r="F675">
        <v>3</v>
      </c>
      <c r="G675">
        <v>636</v>
      </c>
    </row>
    <row r="676" spans="1:7">
      <c r="A676">
        <v>4168</v>
      </c>
      <c r="B676" t="s">
        <v>5940</v>
      </c>
      <c r="C676">
        <v>3</v>
      </c>
      <c r="D676">
        <v>0</v>
      </c>
      <c r="E676">
        <v>0</v>
      </c>
      <c r="F676">
        <v>3</v>
      </c>
      <c r="G676">
        <v>636</v>
      </c>
    </row>
    <row r="677" spans="1:7">
      <c r="A677">
        <v>4173</v>
      </c>
      <c r="B677" t="s">
        <v>5942</v>
      </c>
      <c r="C677">
        <v>3</v>
      </c>
      <c r="D677">
        <v>0</v>
      </c>
      <c r="E677">
        <v>0</v>
      </c>
      <c r="F677">
        <v>3</v>
      </c>
      <c r="G677">
        <v>636</v>
      </c>
    </row>
    <row r="678" spans="1:7">
      <c r="A678">
        <v>4534</v>
      </c>
      <c r="B678" t="s">
        <v>5967</v>
      </c>
      <c r="C678">
        <v>3</v>
      </c>
      <c r="D678">
        <v>0</v>
      </c>
      <c r="E678">
        <v>0</v>
      </c>
      <c r="F678">
        <v>3</v>
      </c>
      <c r="G678">
        <v>636</v>
      </c>
    </row>
    <row r="679" spans="1:7">
      <c r="A679">
        <v>4908</v>
      </c>
      <c r="B679" t="s">
        <v>6013</v>
      </c>
      <c r="C679">
        <v>3</v>
      </c>
      <c r="D679">
        <v>0</v>
      </c>
      <c r="E679">
        <v>0</v>
      </c>
      <c r="F679">
        <v>3</v>
      </c>
      <c r="G679">
        <v>636</v>
      </c>
    </row>
    <row r="680" spans="1:7">
      <c r="A680">
        <v>4935</v>
      </c>
      <c r="B680" t="s">
        <v>6022</v>
      </c>
      <c r="C680">
        <v>3</v>
      </c>
      <c r="D680">
        <v>0</v>
      </c>
      <c r="E680">
        <v>0</v>
      </c>
      <c r="F680">
        <v>3</v>
      </c>
      <c r="G680">
        <v>636</v>
      </c>
    </row>
    <row r="681" spans="1:7">
      <c r="A681">
        <v>4942</v>
      </c>
      <c r="B681" t="s">
        <v>6025</v>
      </c>
      <c r="C681">
        <v>3</v>
      </c>
      <c r="D681">
        <v>0</v>
      </c>
      <c r="E681">
        <v>0</v>
      </c>
      <c r="F681">
        <v>3</v>
      </c>
      <c r="G681">
        <v>636</v>
      </c>
    </row>
    <row r="682" spans="1:7">
      <c r="A682">
        <v>4958</v>
      </c>
      <c r="B682" t="s">
        <v>6031</v>
      </c>
      <c r="C682">
        <v>3</v>
      </c>
      <c r="D682">
        <v>0</v>
      </c>
      <c r="E682">
        <v>0</v>
      </c>
      <c r="F682">
        <v>3</v>
      </c>
      <c r="G682">
        <v>636</v>
      </c>
    </row>
    <row r="683" spans="1:7">
      <c r="A683">
        <v>5223</v>
      </c>
      <c r="B683" t="s">
        <v>6059</v>
      </c>
      <c r="C683">
        <v>3</v>
      </c>
      <c r="D683">
        <v>0</v>
      </c>
      <c r="E683">
        <v>0</v>
      </c>
      <c r="F683">
        <v>3</v>
      </c>
      <c r="G683">
        <v>636</v>
      </c>
    </row>
    <row r="684" spans="1:7">
      <c r="A684">
        <v>5356</v>
      </c>
      <c r="B684" t="s">
        <v>6088</v>
      </c>
      <c r="C684">
        <v>3</v>
      </c>
      <c r="D684">
        <v>0</v>
      </c>
      <c r="E684">
        <v>0</v>
      </c>
      <c r="F684">
        <v>3</v>
      </c>
      <c r="G684">
        <v>636</v>
      </c>
    </row>
    <row r="685" spans="1:7">
      <c r="A685">
        <v>5392</v>
      </c>
      <c r="B685" t="s">
        <v>6092</v>
      </c>
      <c r="C685">
        <v>3</v>
      </c>
      <c r="D685">
        <v>0</v>
      </c>
      <c r="E685">
        <v>0</v>
      </c>
      <c r="F685">
        <v>3</v>
      </c>
      <c r="G685">
        <v>636</v>
      </c>
    </row>
    <row r="686" spans="1:7">
      <c r="A686">
        <v>6121</v>
      </c>
      <c r="B686" t="s">
        <v>6163</v>
      </c>
      <c r="C686">
        <v>3</v>
      </c>
      <c r="D686">
        <v>0</v>
      </c>
      <c r="E686">
        <v>0</v>
      </c>
      <c r="F686">
        <v>3</v>
      </c>
      <c r="G686">
        <v>636</v>
      </c>
    </row>
    <row r="687" spans="1:7">
      <c r="A687">
        <v>6140</v>
      </c>
      <c r="B687" t="s">
        <v>6175</v>
      </c>
      <c r="C687">
        <v>3</v>
      </c>
      <c r="D687">
        <v>0</v>
      </c>
      <c r="E687">
        <v>0</v>
      </c>
      <c r="F687">
        <v>3</v>
      </c>
      <c r="G687">
        <v>636</v>
      </c>
    </row>
    <row r="688" spans="1:7">
      <c r="A688">
        <v>6167</v>
      </c>
      <c r="B688" t="s">
        <v>8544</v>
      </c>
      <c r="C688">
        <v>3</v>
      </c>
      <c r="D688">
        <v>0</v>
      </c>
      <c r="E688">
        <v>0</v>
      </c>
      <c r="F688">
        <v>3</v>
      </c>
      <c r="G688">
        <v>636</v>
      </c>
    </row>
    <row r="689" spans="1:7">
      <c r="A689">
        <v>6203</v>
      </c>
      <c r="B689" t="s">
        <v>6218</v>
      </c>
      <c r="C689">
        <v>2</v>
      </c>
      <c r="D689">
        <v>1</v>
      </c>
      <c r="E689">
        <v>0</v>
      </c>
      <c r="F689">
        <v>3</v>
      </c>
      <c r="G689">
        <v>636</v>
      </c>
    </row>
    <row r="690" spans="1:7">
      <c r="A690">
        <v>6246</v>
      </c>
      <c r="B690" t="s">
        <v>6248</v>
      </c>
      <c r="C690">
        <v>3</v>
      </c>
      <c r="D690">
        <v>0</v>
      </c>
      <c r="E690">
        <v>0</v>
      </c>
      <c r="F690">
        <v>3</v>
      </c>
      <c r="G690">
        <v>636</v>
      </c>
    </row>
    <row r="691" spans="1:7">
      <c r="A691">
        <v>6288</v>
      </c>
      <c r="B691" t="s">
        <v>6270</v>
      </c>
      <c r="C691">
        <v>2</v>
      </c>
      <c r="D691">
        <v>1</v>
      </c>
      <c r="E691">
        <v>0</v>
      </c>
      <c r="F691">
        <v>3</v>
      </c>
      <c r="G691">
        <v>636</v>
      </c>
    </row>
    <row r="692" spans="1:7">
      <c r="A692">
        <v>6425</v>
      </c>
      <c r="B692" t="s">
        <v>8599</v>
      </c>
      <c r="C692">
        <v>3</v>
      </c>
      <c r="D692">
        <v>0</v>
      </c>
      <c r="E692">
        <v>0</v>
      </c>
      <c r="F692">
        <v>3</v>
      </c>
      <c r="G692">
        <v>636</v>
      </c>
    </row>
    <row r="693" spans="1:7">
      <c r="A693">
        <v>6456</v>
      </c>
      <c r="B693" t="s">
        <v>6290</v>
      </c>
      <c r="C693">
        <v>3</v>
      </c>
      <c r="D693">
        <v>0</v>
      </c>
      <c r="E693">
        <v>0</v>
      </c>
      <c r="F693">
        <v>3</v>
      </c>
      <c r="G693">
        <v>636</v>
      </c>
    </row>
    <row r="694" spans="1:7">
      <c r="A694">
        <v>6506</v>
      </c>
      <c r="B694" t="s">
        <v>6306</v>
      </c>
      <c r="C694">
        <v>3</v>
      </c>
      <c r="D694">
        <v>0</v>
      </c>
      <c r="E694">
        <v>0</v>
      </c>
      <c r="F694">
        <v>3</v>
      </c>
      <c r="G694">
        <v>636</v>
      </c>
    </row>
    <row r="695" spans="1:7">
      <c r="A695">
        <v>6532</v>
      </c>
      <c r="B695" t="s">
        <v>6317</v>
      </c>
      <c r="C695">
        <v>3</v>
      </c>
      <c r="D695">
        <v>0</v>
      </c>
      <c r="E695">
        <v>0</v>
      </c>
      <c r="F695">
        <v>3</v>
      </c>
      <c r="G695">
        <v>636</v>
      </c>
    </row>
    <row r="696" spans="1:7">
      <c r="A696">
        <v>6573</v>
      </c>
      <c r="B696" t="s">
        <v>6326</v>
      </c>
      <c r="C696">
        <v>3</v>
      </c>
      <c r="D696">
        <v>0</v>
      </c>
      <c r="E696">
        <v>0</v>
      </c>
      <c r="F696">
        <v>3</v>
      </c>
      <c r="G696">
        <v>636</v>
      </c>
    </row>
    <row r="697" spans="1:7">
      <c r="A697">
        <v>6664</v>
      </c>
      <c r="B697" t="s">
        <v>6346</v>
      </c>
      <c r="C697">
        <v>3</v>
      </c>
      <c r="D697">
        <v>0</v>
      </c>
      <c r="E697">
        <v>0</v>
      </c>
      <c r="F697">
        <v>3</v>
      </c>
      <c r="G697">
        <v>636</v>
      </c>
    </row>
    <row r="698" spans="1:7">
      <c r="A698">
        <v>8033</v>
      </c>
      <c r="B698" t="s">
        <v>8554</v>
      </c>
      <c r="C698">
        <v>3</v>
      </c>
      <c r="D698">
        <v>0</v>
      </c>
      <c r="E698">
        <v>0</v>
      </c>
      <c r="F698">
        <v>3</v>
      </c>
      <c r="G698">
        <v>636</v>
      </c>
    </row>
    <row r="699" spans="1:7">
      <c r="A699">
        <v>8039</v>
      </c>
      <c r="B699" t="s">
        <v>6375</v>
      </c>
      <c r="C699">
        <v>3</v>
      </c>
      <c r="D699">
        <v>0</v>
      </c>
      <c r="E699">
        <v>0</v>
      </c>
      <c r="F699">
        <v>3</v>
      </c>
      <c r="G699">
        <v>636</v>
      </c>
    </row>
    <row r="700" spans="1:7">
      <c r="A700">
        <v>8076</v>
      </c>
      <c r="B700" t="s">
        <v>6391</v>
      </c>
      <c r="C700">
        <v>3</v>
      </c>
      <c r="D700">
        <v>0</v>
      </c>
      <c r="E700">
        <v>0</v>
      </c>
      <c r="F700">
        <v>3</v>
      </c>
      <c r="G700">
        <v>636</v>
      </c>
    </row>
    <row r="701" spans="1:7">
      <c r="A701">
        <v>8089</v>
      </c>
      <c r="B701" t="s">
        <v>6396</v>
      </c>
      <c r="C701">
        <v>3</v>
      </c>
      <c r="D701">
        <v>0</v>
      </c>
      <c r="E701">
        <v>0</v>
      </c>
      <c r="F701">
        <v>3</v>
      </c>
      <c r="G701">
        <v>636</v>
      </c>
    </row>
    <row r="702" spans="1:7">
      <c r="A702">
        <v>8401</v>
      </c>
      <c r="B702" t="s">
        <v>6438</v>
      </c>
      <c r="C702">
        <v>3</v>
      </c>
      <c r="D702">
        <v>0</v>
      </c>
      <c r="E702">
        <v>0</v>
      </c>
      <c r="F702">
        <v>3</v>
      </c>
      <c r="G702">
        <v>636</v>
      </c>
    </row>
    <row r="703" spans="1:7">
      <c r="A703">
        <v>8422</v>
      </c>
      <c r="B703" t="s">
        <v>6445</v>
      </c>
      <c r="C703">
        <v>3</v>
      </c>
      <c r="D703">
        <v>0</v>
      </c>
      <c r="E703">
        <v>0</v>
      </c>
      <c r="F703">
        <v>3</v>
      </c>
      <c r="G703">
        <v>636</v>
      </c>
    </row>
    <row r="704" spans="1:7">
      <c r="A704">
        <v>9927</v>
      </c>
      <c r="B704" t="s">
        <v>6504</v>
      </c>
      <c r="C704">
        <v>3</v>
      </c>
      <c r="D704">
        <v>0</v>
      </c>
      <c r="E704">
        <v>0</v>
      </c>
      <c r="F704">
        <v>3</v>
      </c>
      <c r="G704">
        <v>636</v>
      </c>
    </row>
    <row r="705" spans="1:7">
      <c r="A705">
        <v>9938</v>
      </c>
      <c r="B705" t="s">
        <v>6511</v>
      </c>
      <c r="C705">
        <v>3</v>
      </c>
      <c r="D705">
        <v>0</v>
      </c>
      <c r="E705">
        <v>0</v>
      </c>
      <c r="F705">
        <v>3</v>
      </c>
      <c r="G705">
        <v>636</v>
      </c>
    </row>
    <row r="706" spans="1:7">
      <c r="A706">
        <v>9942</v>
      </c>
      <c r="B706" t="s">
        <v>6515</v>
      </c>
      <c r="C706">
        <v>3</v>
      </c>
      <c r="D706">
        <v>0</v>
      </c>
      <c r="E706">
        <v>0</v>
      </c>
      <c r="F706">
        <v>3</v>
      </c>
      <c r="G706">
        <v>636</v>
      </c>
    </row>
    <row r="707" spans="1:7">
      <c r="A707">
        <v>1236</v>
      </c>
      <c r="B707" t="s">
        <v>5189</v>
      </c>
      <c r="C707">
        <v>2</v>
      </c>
      <c r="D707">
        <v>0</v>
      </c>
      <c r="E707">
        <v>0</v>
      </c>
      <c r="F707">
        <v>2</v>
      </c>
      <c r="G707">
        <v>706</v>
      </c>
    </row>
    <row r="708" spans="1:7">
      <c r="A708">
        <v>1313</v>
      </c>
      <c r="B708" t="s">
        <v>5203</v>
      </c>
      <c r="C708">
        <v>2</v>
      </c>
      <c r="D708">
        <v>0</v>
      </c>
      <c r="E708">
        <v>0</v>
      </c>
      <c r="F708">
        <v>2</v>
      </c>
      <c r="G708">
        <v>706</v>
      </c>
    </row>
    <row r="709" spans="1:7">
      <c r="A709">
        <v>1434</v>
      </c>
      <c r="B709" t="s">
        <v>5227</v>
      </c>
      <c r="C709">
        <v>2</v>
      </c>
      <c r="D709">
        <v>0</v>
      </c>
      <c r="E709">
        <v>0</v>
      </c>
      <c r="F709">
        <v>2</v>
      </c>
      <c r="G709">
        <v>706</v>
      </c>
    </row>
    <row r="710" spans="1:7">
      <c r="A710">
        <v>1467</v>
      </c>
      <c r="B710" t="s">
        <v>5250</v>
      </c>
      <c r="C710">
        <v>2</v>
      </c>
      <c r="D710">
        <v>0</v>
      </c>
      <c r="E710">
        <v>0</v>
      </c>
      <c r="F710">
        <v>2</v>
      </c>
      <c r="G710">
        <v>706</v>
      </c>
    </row>
    <row r="711" spans="1:7">
      <c r="A711">
        <v>1515</v>
      </c>
      <c r="B711" t="s">
        <v>5261</v>
      </c>
      <c r="C711">
        <v>2</v>
      </c>
      <c r="D711">
        <v>0</v>
      </c>
      <c r="E711">
        <v>0</v>
      </c>
      <c r="F711">
        <v>2</v>
      </c>
      <c r="G711">
        <v>706</v>
      </c>
    </row>
    <row r="712" spans="1:7">
      <c r="A712">
        <v>1528</v>
      </c>
      <c r="B712" t="s">
        <v>5271</v>
      </c>
      <c r="C712">
        <v>2</v>
      </c>
      <c r="D712">
        <v>0</v>
      </c>
      <c r="E712">
        <v>0</v>
      </c>
      <c r="F712">
        <v>2</v>
      </c>
      <c r="G712">
        <v>706</v>
      </c>
    </row>
    <row r="713" spans="1:7">
      <c r="A713">
        <v>1536</v>
      </c>
      <c r="B713" t="s">
        <v>5278</v>
      </c>
      <c r="C713">
        <v>2</v>
      </c>
      <c r="D713">
        <v>0</v>
      </c>
      <c r="E713">
        <v>0</v>
      </c>
      <c r="F713">
        <v>2</v>
      </c>
      <c r="G713">
        <v>706</v>
      </c>
    </row>
    <row r="714" spans="1:7">
      <c r="A714">
        <v>1586</v>
      </c>
      <c r="B714" t="s">
        <v>5293</v>
      </c>
      <c r="C714">
        <v>2</v>
      </c>
      <c r="D714">
        <v>0</v>
      </c>
      <c r="E714">
        <v>0</v>
      </c>
      <c r="F714">
        <v>2</v>
      </c>
      <c r="G714">
        <v>706</v>
      </c>
    </row>
    <row r="715" spans="1:7">
      <c r="A715">
        <v>1733</v>
      </c>
      <c r="B715" t="s">
        <v>5336</v>
      </c>
      <c r="C715">
        <v>2</v>
      </c>
      <c r="D715">
        <v>0</v>
      </c>
      <c r="E715">
        <v>0</v>
      </c>
      <c r="F715">
        <v>2</v>
      </c>
      <c r="G715">
        <v>706</v>
      </c>
    </row>
    <row r="716" spans="1:7">
      <c r="A716">
        <v>1736</v>
      </c>
      <c r="B716" t="s">
        <v>5339</v>
      </c>
      <c r="C716">
        <v>2</v>
      </c>
      <c r="D716">
        <v>0</v>
      </c>
      <c r="E716">
        <v>0</v>
      </c>
      <c r="F716">
        <v>2</v>
      </c>
      <c r="G716">
        <v>706</v>
      </c>
    </row>
    <row r="717" spans="1:7">
      <c r="A717">
        <v>2008</v>
      </c>
      <c r="B717" t="s">
        <v>5370</v>
      </c>
      <c r="C717">
        <v>2</v>
      </c>
      <c r="D717">
        <v>0</v>
      </c>
      <c r="E717">
        <v>0</v>
      </c>
      <c r="F717">
        <v>2</v>
      </c>
      <c r="G717">
        <v>706</v>
      </c>
    </row>
    <row r="718" spans="1:7">
      <c r="A718">
        <v>2012</v>
      </c>
      <c r="B718" t="s">
        <v>5373</v>
      </c>
      <c r="C718">
        <v>2</v>
      </c>
      <c r="D718">
        <v>0</v>
      </c>
      <c r="E718">
        <v>0</v>
      </c>
      <c r="F718">
        <v>2</v>
      </c>
      <c r="G718">
        <v>706</v>
      </c>
    </row>
    <row r="719" spans="1:7">
      <c r="A719">
        <v>2062</v>
      </c>
      <c r="B719" t="s">
        <v>675</v>
      </c>
      <c r="C719">
        <v>2</v>
      </c>
      <c r="D719">
        <v>0</v>
      </c>
      <c r="E719">
        <v>0</v>
      </c>
      <c r="F719">
        <v>2</v>
      </c>
      <c r="G719">
        <v>706</v>
      </c>
    </row>
    <row r="720" spans="1:7">
      <c r="A720">
        <v>2102</v>
      </c>
      <c r="B720" t="s">
        <v>5398</v>
      </c>
      <c r="C720">
        <v>2</v>
      </c>
      <c r="D720">
        <v>0</v>
      </c>
      <c r="E720">
        <v>0</v>
      </c>
      <c r="F720">
        <v>2</v>
      </c>
      <c r="G720">
        <v>706</v>
      </c>
    </row>
    <row r="721" spans="1:7">
      <c r="A721">
        <v>2204</v>
      </c>
      <c r="B721" t="s">
        <v>5409</v>
      </c>
      <c r="C721">
        <v>2</v>
      </c>
      <c r="D721">
        <v>0</v>
      </c>
      <c r="E721">
        <v>0</v>
      </c>
      <c r="F721">
        <v>2</v>
      </c>
      <c r="G721">
        <v>706</v>
      </c>
    </row>
    <row r="722" spans="1:7">
      <c r="A722">
        <v>2250</v>
      </c>
      <c r="B722" t="s">
        <v>5424</v>
      </c>
      <c r="C722">
        <v>2</v>
      </c>
      <c r="D722">
        <v>0</v>
      </c>
      <c r="E722">
        <v>0</v>
      </c>
      <c r="F722">
        <v>2</v>
      </c>
      <c r="G722">
        <v>706</v>
      </c>
    </row>
    <row r="723" spans="1:7">
      <c r="A723">
        <v>2302</v>
      </c>
      <c r="B723" t="s">
        <v>5426</v>
      </c>
      <c r="C723">
        <v>2</v>
      </c>
      <c r="D723">
        <v>0</v>
      </c>
      <c r="E723">
        <v>0</v>
      </c>
      <c r="F723">
        <v>2</v>
      </c>
      <c r="G723">
        <v>706</v>
      </c>
    </row>
    <row r="724" spans="1:7">
      <c r="A724">
        <v>2316</v>
      </c>
      <c r="B724" t="s">
        <v>5432</v>
      </c>
      <c r="C724">
        <v>2</v>
      </c>
      <c r="D724">
        <v>0</v>
      </c>
      <c r="E724">
        <v>0</v>
      </c>
      <c r="F724">
        <v>2</v>
      </c>
      <c r="G724">
        <v>706</v>
      </c>
    </row>
    <row r="725" spans="1:7">
      <c r="A725">
        <v>2345</v>
      </c>
      <c r="B725" t="s">
        <v>5447</v>
      </c>
      <c r="C725">
        <v>2</v>
      </c>
      <c r="D725">
        <v>0</v>
      </c>
      <c r="E725">
        <v>0</v>
      </c>
      <c r="F725">
        <v>2</v>
      </c>
      <c r="G725">
        <v>706</v>
      </c>
    </row>
    <row r="726" spans="1:7">
      <c r="A726">
        <v>2356</v>
      </c>
      <c r="B726" t="s">
        <v>5455</v>
      </c>
      <c r="C726">
        <v>2</v>
      </c>
      <c r="D726">
        <v>0</v>
      </c>
      <c r="E726">
        <v>0</v>
      </c>
      <c r="F726">
        <v>2</v>
      </c>
      <c r="G726">
        <v>706</v>
      </c>
    </row>
    <row r="727" spans="1:7">
      <c r="A727">
        <v>2414</v>
      </c>
      <c r="B727" t="s">
        <v>5492</v>
      </c>
      <c r="C727">
        <v>2</v>
      </c>
      <c r="D727">
        <v>0</v>
      </c>
      <c r="E727">
        <v>0</v>
      </c>
      <c r="F727">
        <v>2</v>
      </c>
      <c r="G727">
        <v>706</v>
      </c>
    </row>
    <row r="728" spans="1:7">
      <c r="A728">
        <v>2467</v>
      </c>
      <c r="B728" t="s">
        <v>5526</v>
      </c>
      <c r="C728">
        <v>2</v>
      </c>
      <c r="D728">
        <v>0</v>
      </c>
      <c r="E728">
        <v>0</v>
      </c>
      <c r="F728">
        <v>2</v>
      </c>
      <c r="G728">
        <v>706</v>
      </c>
    </row>
    <row r="729" spans="1:7">
      <c r="A729">
        <v>2471</v>
      </c>
      <c r="B729" t="s">
        <v>5528</v>
      </c>
      <c r="C729">
        <v>2</v>
      </c>
      <c r="D729">
        <v>0</v>
      </c>
      <c r="E729">
        <v>0</v>
      </c>
      <c r="F729">
        <v>2</v>
      </c>
      <c r="G729">
        <v>706</v>
      </c>
    </row>
    <row r="730" spans="1:7">
      <c r="A730">
        <v>2477</v>
      </c>
      <c r="B730" t="s">
        <v>5532</v>
      </c>
      <c r="C730">
        <v>2</v>
      </c>
      <c r="D730">
        <v>0</v>
      </c>
      <c r="E730">
        <v>0</v>
      </c>
      <c r="F730">
        <v>2</v>
      </c>
      <c r="G730">
        <v>706</v>
      </c>
    </row>
    <row r="731" spans="1:7">
      <c r="A731">
        <v>2478</v>
      </c>
      <c r="B731" t="s">
        <v>5533</v>
      </c>
      <c r="C731">
        <v>2</v>
      </c>
      <c r="D731">
        <v>0</v>
      </c>
      <c r="E731">
        <v>0</v>
      </c>
      <c r="F731">
        <v>2</v>
      </c>
      <c r="G731">
        <v>706</v>
      </c>
    </row>
    <row r="732" spans="1:7">
      <c r="A732">
        <v>2492</v>
      </c>
      <c r="B732" t="s">
        <v>5544</v>
      </c>
      <c r="C732">
        <v>2</v>
      </c>
      <c r="D732">
        <v>0</v>
      </c>
      <c r="E732">
        <v>0</v>
      </c>
      <c r="F732">
        <v>2</v>
      </c>
      <c r="G732">
        <v>706</v>
      </c>
    </row>
    <row r="733" spans="1:7">
      <c r="A733">
        <v>2495</v>
      </c>
      <c r="B733" t="s">
        <v>5546</v>
      </c>
      <c r="C733">
        <v>2</v>
      </c>
      <c r="D733">
        <v>0</v>
      </c>
      <c r="E733">
        <v>0</v>
      </c>
      <c r="F733">
        <v>2</v>
      </c>
      <c r="G733">
        <v>706</v>
      </c>
    </row>
    <row r="734" spans="1:7">
      <c r="A734">
        <v>2723</v>
      </c>
      <c r="B734" t="s">
        <v>5607</v>
      </c>
      <c r="C734">
        <v>2</v>
      </c>
      <c r="D734">
        <v>0</v>
      </c>
      <c r="E734">
        <v>0</v>
      </c>
      <c r="F734">
        <v>2</v>
      </c>
      <c r="G734">
        <v>706</v>
      </c>
    </row>
    <row r="735" spans="1:7">
      <c r="A735">
        <v>2726</v>
      </c>
      <c r="B735" t="s">
        <v>5608</v>
      </c>
      <c r="C735">
        <v>2</v>
      </c>
      <c r="D735">
        <v>0</v>
      </c>
      <c r="E735">
        <v>0</v>
      </c>
      <c r="F735">
        <v>2</v>
      </c>
      <c r="G735">
        <v>706</v>
      </c>
    </row>
    <row r="736" spans="1:7">
      <c r="A736">
        <v>2809</v>
      </c>
      <c r="B736" t="s">
        <v>5618</v>
      </c>
      <c r="C736">
        <v>2</v>
      </c>
      <c r="D736">
        <v>0</v>
      </c>
      <c r="E736">
        <v>0</v>
      </c>
      <c r="F736">
        <v>2</v>
      </c>
      <c r="G736">
        <v>706</v>
      </c>
    </row>
    <row r="737" spans="1:7">
      <c r="A737">
        <v>2883</v>
      </c>
      <c r="B737" t="s">
        <v>5636</v>
      </c>
      <c r="C737">
        <v>2</v>
      </c>
      <c r="D737">
        <v>0</v>
      </c>
      <c r="E737">
        <v>0</v>
      </c>
      <c r="F737">
        <v>2</v>
      </c>
      <c r="G737">
        <v>706</v>
      </c>
    </row>
    <row r="738" spans="1:7">
      <c r="A738">
        <v>3005</v>
      </c>
      <c r="B738" t="s">
        <v>5666</v>
      </c>
      <c r="C738">
        <v>2</v>
      </c>
      <c r="D738">
        <v>0</v>
      </c>
      <c r="E738">
        <v>0</v>
      </c>
      <c r="F738">
        <v>2</v>
      </c>
      <c r="G738">
        <v>706</v>
      </c>
    </row>
    <row r="739" spans="1:7">
      <c r="A739">
        <v>3036</v>
      </c>
      <c r="B739" t="s">
        <v>5690</v>
      </c>
      <c r="C739">
        <v>2</v>
      </c>
      <c r="D739">
        <v>0</v>
      </c>
      <c r="E739">
        <v>0</v>
      </c>
      <c r="F739">
        <v>2</v>
      </c>
      <c r="G739">
        <v>706</v>
      </c>
    </row>
    <row r="740" spans="1:7">
      <c r="A740">
        <v>3081</v>
      </c>
      <c r="B740" t="s">
        <v>5712</v>
      </c>
      <c r="C740">
        <v>2</v>
      </c>
      <c r="D740">
        <v>0</v>
      </c>
      <c r="E740">
        <v>0</v>
      </c>
      <c r="F740">
        <v>2</v>
      </c>
      <c r="G740">
        <v>706</v>
      </c>
    </row>
    <row r="741" spans="1:7">
      <c r="A741">
        <v>3090</v>
      </c>
      <c r="B741" t="s">
        <v>5716</v>
      </c>
      <c r="C741">
        <v>1</v>
      </c>
      <c r="D741">
        <v>1</v>
      </c>
      <c r="E741">
        <v>0</v>
      </c>
      <c r="F741">
        <v>2</v>
      </c>
      <c r="G741">
        <v>706</v>
      </c>
    </row>
    <row r="742" spans="1:7">
      <c r="A742">
        <v>3163</v>
      </c>
      <c r="B742" t="s">
        <v>5730</v>
      </c>
      <c r="C742">
        <v>2</v>
      </c>
      <c r="D742">
        <v>0</v>
      </c>
      <c r="E742">
        <v>0</v>
      </c>
      <c r="F742">
        <v>2</v>
      </c>
      <c r="G742">
        <v>706</v>
      </c>
    </row>
    <row r="743" spans="1:7">
      <c r="A743">
        <v>3205</v>
      </c>
      <c r="B743" t="s">
        <v>5739</v>
      </c>
      <c r="C743">
        <v>2</v>
      </c>
      <c r="D743">
        <v>0</v>
      </c>
      <c r="E743">
        <v>0</v>
      </c>
      <c r="F743">
        <v>2</v>
      </c>
      <c r="G743">
        <v>706</v>
      </c>
    </row>
    <row r="744" spans="1:7">
      <c r="A744">
        <v>3236</v>
      </c>
      <c r="B744" t="s">
        <v>5754</v>
      </c>
      <c r="C744">
        <v>2</v>
      </c>
      <c r="D744">
        <v>0</v>
      </c>
      <c r="E744">
        <v>0</v>
      </c>
      <c r="F744">
        <v>2</v>
      </c>
      <c r="G744">
        <v>706</v>
      </c>
    </row>
    <row r="745" spans="1:7">
      <c r="A745">
        <v>3310</v>
      </c>
      <c r="B745" t="s">
        <v>5774</v>
      </c>
      <c r="C745">
        <v>2</v>
      </c>
      <c r="D745">
        <v>0</v>
      </c>
      <c r="E745">
        <v>0</v>
      </c>
      <c r="F745">
        <v>2</v>
      </c>
      <c r="G745">
        <v>706</v>
      </c>
    </row>
    <row r="746" spans="1:7">
      <c r="A746">
        <v>3357</v>
      </c>
      <c r="B746" t="s">
        <v>5786</v>
      </c>
      <c r="C746">
        <v>2</v>
      </c>
      <c r="D746">
        <v>0</v>
      </c>
      <c r="E746">
        <v>0</v>
      </c>
      <c r="F746">
        <v>2</v>
      </c>
      <c r="G746">
        <v>706</v>
      </c>
    </row>
    <row r="747" spans="1:7">
      <c r="A747">
        <v>3432</v>
      </c>
      <c r="B747" t="s">
        <v>5803</v>
      </c>
      <c r="C747">
        <v>2</v>
      </c>
      <c r="D747">
        <v>0</v>
      </c>
      <c r="E747">
        <v>0</v>
      </c>
      <c r="F747">
        <v>2</v>
      </c>
      <c r="G747">
        <v>706</v>
      </c>
    </row>
    <row r="748" spans="1:7">
      <c r="A748">
        <v>3479</v>
      </c>
      <c r="B748" t="s">
        <v>5814</v>
      </c>
      <c r="C748">
        <v>2</v>
      </c>
      <c r="D748">
        <v>0</v>
      </c>
      <c r="E748">
        <v>0</v>
      </c>
      <c r="F748">
        <v>2</v>
      </c>
      <c r="G748">
        <v>706</v>
      </c>
    </row>
    <row r="749" spans="1:7">
      <c r="A749">
        <v>3492</v>
      </c>
      <c r="B749" t="s">
        <v>5821</v>
      </c>
      <c r="C749">
        <v>2</v>
      </c>
      <c r="D749">
        <v>0</v>
      </c>
      <c r="E749">
        <v>0</v>
      </c>
      <c r="F749">
        <v>2</v>
      </c>
      <c r="G749">
        <v>706</v>
      </c>
    </row>
    <row r="750" spans="1:7">
      <c r="A750">
        <v>3521</v>
      </c>
      <c r="B750" t="s">
        <v>5830</v>
      </c>
      <c r="C750">
        <v>2</v>
      </c>
      <c r="D750">
        <v>0</v>
      </c>
      <c r="E750">
        <v>0</v>
      </c>
      <c r="F750">
        <v>2</v>
      </c>
      <c r="G750">
        <v>706</v>
      </c>
    </row>
    <row r="751" spans="1:7">
      <c r="A751">
        <v>3597</v>
      </c>
      <c r="B751" t="s">
        <v>5863</v>
      </c>
      <c r="C751">
        <v>2</v>
      </c>
      <c r="D751">
        <v>0</v>
      </c>
      <c r="E751">
        <v>0</v>
      </c>
      <c r="F751">
        <v>2</v>
      </c>
      <c r="G751">
        <v>706</v>
      </c>
    </row>
    <row r="752" spans="1:7">
      <c r="A752">
        <v>3623</v>
      </c>
      <c r="B752" t="s">
        <v>5871</v>
      </c>
      <c r="C752">
        <v>2</v>
      </c>
      <c r="D752">
        <v>0</v>
      </c>
      <c r="E752">
        <v>0</v>
      </c>
      <c r="F752">
        <v>2</v>
      </c>
      <c r="G752">
        <v>706</v>
      </c>
    </row>
    <row r="753" spans="1:7">
      <c r="A753">
        <v>3646</v>
      </c>
      <c r="B753" t="s">
        <v>5878</v>
      </c>
      <c r="C753">
        <v>2</v>
      </c>
      <c r="D753">
        <v>0</v>
      </c>
      <c r="E753">
        <v>0</v>
      </c>
      <c r="F753">
        <v>2</v>
      </c>
      <c r="G753">
        <v>706</v>
      </c>
    </row>
    <row r="754" spans="1:7">
      <c r="A754">
        <v>3652</v>
      </c>
      <c r="B754" t="s">
        <v>5879</v>
      </c>
      <c r="C754">
        <v>2</v>
      </c>
      <c r="D754">
        <v>0</v>
      </c>
      <c r="E754">
        <v>0</v>
      </c>
      <c r="F754">
        <v>2</v>
      </c>
      <c r="G754">
        <v>706</v>
      </c>
    </row>
    <row r="755" spans="1:7">
      <c r="A755">
        <v>3706</v>
      </c>
      <c r="B755" t="s">
        <v>5902</v>
      </c>
      <c r="C755">
        <v>2</v>
      </c>
      <c r="D755">
        <v>0</v>
      </c>
      <c r="E755">
        <v>0</v>
      </c>
      <c r="F755">
        <v>2</v>
      </c>
      <c r="G755">
        <v>706</v>
      </c>
    </row>
    <row r="756" spans="1:7">
      <c r="A756">
        <v>4128</v>
      </c>
      <c r="B756" t="s">
        <v>5922</v>
      </c>
      <c r="C756">
        <v>2</v>
      </c>
      <c r="D756">
        <v>0</v>
      </c>
      <c r="E756">
        <v>0</v>
      </c>
      <c r="F756">
        <v>2</v>
      </c>
      <c r="G756">
        <v>706</v>
      </c>
    </row>
    <row r="757" spans="1:7">
      <c r="A757">
        <v>4137</v>
      </c>
      <c r="B757" t="s">
        <v>5926</v>
      </c>
      <c r="C757">
        <v>2</v>
      </c>
      <c r="D757">
        <v>0</v>
      </c>
      <c r="E757">
        <v>0</v>
      </c>
      <c r="F757">
        <v>2</v>
      </c>
      <c r="G757">
        <v>706</v>
      </c>
    </row>
    <row r="758" spans="1:7">
      <c r="A758">
        <v>4153</v>
      </c>
      <c r="B758" t="s">
        <v>5932</v>
      </c>
      <c r="C758">
        <v>2</v>
      </c>
      <c r="D758">
        <v>0</v>
      </c>
      <c r="E758">
        <v>0</v>
      </c>
      <c r="F758">
        <v>2</v>
      </c>
      <c r="G758">
        <v>706</v>
      </c>
    </row>
    <row r="759" spans="1:7">
      <c r="A759">
        <v>4401</v>
      </c>
      <c r="B759" t="s">
        <v>5949</v>
      </c>
      <c r="C759">
        <v>2</v>
      </c>
      <c r="D759">
        <v>0</v>
      </c>
      <c r="E759">
        <v>0</v>
      </c>
      <c r="F759">
        <v>2</v>
      </c>
      <c r="G759">
        <v>706</v>
      </c>
    </row>
    <row r="760" spans="1:7">
      <c r="A760">
        <v>5212</v>
      </c>
      <c r="B760" t="s">
        <v>8593</v>
      </c>
      <c r="C760">
        <v>2</v>
      </c>
      <c r="D760">
        <v>0</v>
      </c>
      <c r="E760">
        <v>0</v>
      </c>
      <c r="F760">
        <v>2</v>
      </c>
      <c r="G760">
        <v>706</v>
      </c>
    </row>
    <row r="761" spans="1:7">
      <c r="A761">
        <v>5230</v>
      </c>
      <c r="B761" t="s">
        <v>6061</v>
      </c>
      <c r="C761">
        <v>2</v>
      </c>
      <c r="D761">
        <v>0</v>
      </c>
      <c r="E761">
        <v>0</v>
      </c>
      <c r="F761">
        <v>2</v>
      </c>
      <c r="G761">
        <v>706</v>
      </c>
    </row>
    <row r="762" spans="1:7">
      <c r="A762">
        <v>5315</v>
      </c>
      <c r="B762" t="s">
        <v>6082</v>
      </c>
      <c r="C762">
        <v>2</v>
      </c>
      <c r="D762">
        <v>0</v>
      </c>
      <c r="E762">
        <v>0</v>
      </c>
      <c r="F762">
        <v>2</v>
      </c>
      <c r="G762">
        <v>706</v>
      </c>
    </row>
    <row r="763" spans="1:7">
      <c r="A763">
        <v>5347</v>
      </c>
      <c r="B763" t="s">
        <v>6085</v>
      </c>
      <c r="C763">
        <v>2</v>
      </c>
      <c r="D763">
        <v>0</v>
      </c>
      <c r="E763">
        <v>0</v>
      </c>
      <c r="F763">
        <v>2</v>
      </c>
      <c r="G763">
        <v>706</v>
      </c>
    </row>
    <row r="764" spans="1:7">
      <c r="A764">
        <v>5410</v>
      </c>
      <c r="B764" t="s">
        <v>6094</v>
      </c>
      <c r="C764">
        <v>2</v>
      </c>
      <c r="D764">
        <v>0</v>
      </c>
      <c r="E764">
        <v>0</v>
      </c>
      <c r="F764">
        <v>2</v>
      </c>
      <c r="G764">
        <v>706</v>
      </c>
    </row>
    <row r="765" spans="1:7">
      <c r="A765">
        <v>5474</v>
      </c>
      <c r="B765" t="s">
        <v>6109</v>
      </c>
      <c r="C765">
        <v>2</v>
      </c>
      <c r="D765">
        <v>0</v>
      </c>
      <c r="E765">
        <v>0</v>
      </c>
      <c r="F765">
        <v>2</v>
      </c>
      <c r="G765">
        <v>706</v>
      </c>
    </row>
    <row r="766" spans="1:7">
      <c r="A766">
        <v>5498</v>
      </c>
      <c r="B766" t="s">
        <v>6114</v>
      </c>
      <c r="C766">
        <v>2</v>
      </c>
      <c r="D766">
        <v>0</v>
      </c>
      <c r="E766">
        <v>0</v>
      </c>
      <c r="F766">
        <v>2</v>
      </c>
      <c r="G766">
        <v>706</v>
      </c>
    </row>
    <row r="767" spans="1:7">
      <c r="A767">
        <v>5864</v>
      </c>
      <c r="B767" t="s">
        <v>6138</v>
      </c>
      <c r="C767">
        <v>2</v>
      </c>
      <c r="D767">
        <v>0</v>
      </c>
      <c r="E767">
        <v>0</v>
      </c>
      <c r="F767">
        <v>2</v>
      </c>
      <c r="G767">
        <v>706</v>
      </c>
    </row>
    <row r="768" spans="1:7">
      <c r="A768">
        <v>6108</v>
      </c>
      <c r="B768" t="s">
        <v>6154</v>
      </c>
      <c r="C768">
        <v>2</v>
      </c>
      <c r="D768">
        <v>0</v>
      </c>
      <c r="E768">
        <v>0</v>
      </c>
      <c r="F768">
        <v>2</v>
      </c>
      <c r="G768">
        <v>706</v>
      </c>
    </row>
    <row r="769" spans="1:7">
      <c r="A769">
        <v>6136</v>
      </c>
      <c r="B769" t="s">
        <v>6172</v>
      </c>
      <c r="C769">
        <v>2</v>
      </c>
      <c r="D769">
        <v>0</v>
      </c>
      <c r="E769">
        <v>0</v>
      </c>
      <c r="F769">
        <v>2</v>
      </c>
      <c r="G769">
        <v>706</v>
      </c>
    </row>
    <row r="770" spans="1:7">
      <c r="A770">
        <v>6151</v>
      </c>
      <c r="B770" t="s">
        <v>6182</v>
      </c>
      <c r="C770">
        <v>2</v>
      </c>
      <c r="D770">
        <v>0</v>
      </c>
      <c r="E770">
        <v>0</v>
      </c>
      <c r="F770">
        <v>2</v>
      </c>
      <c r="G770">
        <v>706</v>
      </c>
    </row>
    <row r="771" spans="1:7">
      <c r="A771">
        <v>6155</v>
      </c>
      <c r="B771" t="s">
        <v>6185</v>
      </c>
      <c r="C771">
        <v>2</v>
      </c>
      <c r="D771">
        <v>0</v>
      </c>
      <c r="E771">
        <v>0</v>
      </c>
      <c r="F771">
        <v>2</v>
      </c>
      <c r="G771">
        <v>706</v>
      </c>
    </row>
    <row r="772" spans="1:7">
      <c r="A772">
        <v>6176</v>
      </c>
      <c r="B772" t="s">
        <v>6199</v>
      </c>
      <c r="C772">
        <v>2</v>
      </c>
      <c r="D772">
        <v>0</v>
      </c>
      <c r="E772">
        <v>0</v>
      </c>
      <c r="F772">
        <v>2</v>
      </c>
      <c r="G772">
        <v>706</v>
      </c>
    </row>
    <row r="773" spans="1:7">
      <c r="A773">
        <v>6216</v>
      </c>
      <c r="B773" t="s">
        <v>6228</v>
      </c>
      <c r="C773">
        <v>2</v>
      </c>
      <c r="D773">
        <v>0</v>
      </c>
      <c r="E773">
        <v>0</v>
      </c>
      <c r="F773">
        <v>2</v>
      </c>
      <c r="G773">
        <v>706</v>
      </c>
    </row>
    <row r="774" spans="1:7">
      <c r="A774">
        <v>6230</v>
      </c>
      <c r="B774" t="s">
        <v>6238</v>
      </c>
      <c r="C774">
        <v>2</v>
      </c>
      <c r="D774">
        <v>0</v>
      </c>
      <c r="E774">
        <v>0</v>
      </c>
      <c r="F774">
        <v>2</v>
      </c>
      <c r="G774">
        <v>706</v>
      </c>
    </row>
    <row r="775" spans="1:7">
      <c r="A775">
        <v>6469</v>
      </c>
      <c r="B775" t="s">
        <v>6295</v>
      </c>
      <c r="C775">
        <v>2</v>
      </c>
      <c r="D775">
        <v>0</v>
      </c>
      <c r="E775">
        <v>0</v>
      </c>
      <c r="F775">
        <v>2</v>
      </c>
      <c r="G775">
        <v>706</v>
      </c>
    </row>
    <row r="776" spans="1:7">
      <c r="A776">
        <v>6594</v>
      </c>
      <c r="B776" t="s">
        <v>8553</v>
      </c>
      <c r="C776">
        <v>2</v>
      </c>
      <c r="D776">
        <v>0</v>
      </c>
      <c r="E776">
        <v>0</v>
      </c>
      <c r="F776">
        <v>2</v>
      </c>
      <c r="G776">
        <v>706</v>
      </c>
    </row>
    <row r="777" spans="1:7">
      <c r="A777">
        <v>6612</v>
      </c>
      <c r="B777" t="s">
        <v>6338</v>
      </c>
      <c r="C777">
        <v>2</v>
      </c>
      <c r="D777">
        <v>0</v>
      </c>
      <c r="E777">
        <v>0</v>
      </c>
      <c r="F777">
        <v>2</v>
      </c>
      <c r="G777">
        <v>706</v>
      </c>
    </row>
    <row r="778" spans="1:7">
      <c r="A778">
        <v>8085</v>
      </c>
      <c r="B778" t="s">
        <v>8557</v>
      </c>
      <c r="C778">
        <v>2</v>
      </c>
      <c r="D778">
        <v>0</v>
      </c>
      <c r="E778">
        <v>0</v>
      </c>
      <c r="F778">
        <v>2</v>
      </c>
      <c r="G778">
        <v>706</v>
      </c>
    </row>
    <row r="779" spans="1:7">
      <c r="A779">
        <v>8284</v>
      </c>
      <c r="B779" t="s">
        <v>6428</v>
      </c>
      <c r="C779">
        <v>2</v>
      </c>
      <c r="D779">
        <v>0</v>
      </c>
      <c r="E779">
        <v>0</v>
      </c>
      <c r="F779">
        <v>2</v>
      </c>
      <c r="G779">
        <v>706</v>
      </c>
    </row>
    <row r="780" spans="1:7">
      <c r="A780">
        <v>8454</v>
      </c>
      <c r="B780" t="s">
        <v>6458</v>
      </c>
      <c r="C780">
        <v>2</v>
      </c>
      <c r="D780">
        <v>0</v>
      </c>
      <c r="E780">
        <v>0</v>
      </c>
      <c r="F780">
        <v>2</v>
      </c>
      <c r="G780">
        <v>706</v>
      </c>
    </row>
    <row r="781" spans="1:7">
      <c r="A781">
        <v>8942</v>
      </c>
      <c r="B781" t="s">
        <v>6485</v>
      </c>
      <c r="C781">
        <v>2</v>
      </c>
      <c r="D781">
        <v>0</v>
      </c>
      <c r="E781">
        <v>0</v>
      </c>
      <c r="F781">
        <v>2</v>
      </c>
      <c r="G781">
        <v>706</v>
      </c>
    </row>
    <row r="782" spans="1:7">
      <c r="A782">
        <v>9902</v>
      </c>
      <c r="B782" t="s">
        <v>6488</v>
      </c>
      <c r="C782">
        <v>2</v>
      </c>
      <c r="D782">
        <v>0</v>
      </c>
      <c r="E782">
        <v>0</v>
      </c>
      <c r="F782">
        <v>2</v>
      </c>
      <c r="G782">
        <v>706</v>
      </c>
    </row>
    <row r="783" spans="1:7">
      <c r="A783">
        <v>9951</v>
      </c>
      <c r="B783" t="s">
        <v>6520</v>
      </c>
      <c r="C783">
        <v>2</v>
      </c>
      <c r="D783">
        <v>0</v>
      </c>
      <c r="E783">
        <v>0</v>
      </c>
      <c r="F783">
        <v>2</v>
      </c>
      <c r="G783">
        <v>706</v>
      </c>
    </row>
    <row r="784" spans="1:7">
      <c r="A784">
        <v>1101</v>
      </c>
      <c r="B784" t="s">
        <v>5165</v>
      </c>
      <c r="C784">
        <v>1</v>
      </c>
      <c r="D784">
        <v>0</v>
      </c>
      <c r="E784">
        <v>0</v>
      </c>
      <c r="F784">
        <v>1</v>
      </c>
      <c r="G784">
        <v>783</v>
      </c>
    </row>
    <row r="785" spans="1:7">
      <c r="A785">
        <v>1215</v>
      </c>
      <c r="B785" t="s">
        <v>5175</v>
      </c>
      <c r="C785">
        <v>1</v>
      </c>
      <c r="D785">
        <v>0</v>
      </c>
      <c r="E785">
        <v>0</v>
      </c>
      <c r="F785">
        <v>1</v>
      </c>
      <c r="G785">
        <v>783</v>
      </c>
    </row>
    <row r="786" spans="1:7">
      <c r="A786">
        <v>1219</v>
      </c>
      <c r="B786" t="s">
        <v>5179</v>
      </c>
      <c r="C786">
        <v>1</v>
      </c>
      <c r="D786">
        <v>0</v>
      </c>
      <c r="E786">
        <v>0</v>
      </c>
      <c r="F786">
        <v>1</v>
      </c>
      <c r="G786">
        <v>783</v>
      </c>
    </row>
    <row r="787" spans="1:7">
      <c r="A787">
        <v>1258</v>
      </c>
      <c r="B787" t="s">
        <v>5192</v>
      </c>
      <c r="C787">
        <v>1</v>
      </c>
      <c r="D787">
        <v>0</v>
      </c>
      <c r="E787">
        <v>0</v>
      </c>
      <c r="F787">
        <v>1</v>
      </c>
      <c r="G787">
        <v>783</v>
      </c>
    </row>
    <row r="788" spans="1:7">
      <c r="A788">
        <v>1337</v>
      </c>
      <c r="B788" t="s">
        <v>5214</v>
      </c>
      <c r="C788">
        <v>1</v>
      </c>
      <c r="D788">
        <v>0</v>
      </c>
      <c r="E788">
        <v>0</v>
      </c>
      <c r="F788">
        <v>1</v>
      </c>
      <c r="G788">
        <v>783</v>
      </c>
    </row>
    <row r="789" spans="1:7">
      <c r="A789">
        <v>1416</v>
      </c>
      <c r="B789" t="s">
        <v>5223</v>
      </c>
      <c r="C789">
        <v>1</v>
      </c>
      <c r="D789">
        <v>0</v>
      </c>
      <c r="E789">
        <v>0</v>
      </c>
      <c r="F789">
        <v>1</v>
      </c>
      <c r="G789">
        <v>783</v>
      </c>
    </row>
    <row r="790" spans="1:7">
      <c r="A790">
        <v>1442</v>
      </c>
      <c r="B790" t="s">
        <v>5233</v>
      </c>
      <c r="C790">
        <v>1</v>
      </c>
      <c r="D790">
        <v>0</v>
      </c>
      <c r="E790">
        <v>0</v>
      </c>
      <c r="F790">
        <v>1</v>
      </c>
      <c r="G790">
        <v>783</v>
      </c>
    </row>
    <row r="791" spans="1:7">
      <c r="A791">
        <v>1453</v>
      </c>
      <c r="B791" t="s">
        <v>5240</v>
      </c>
      <c r="C791">
        <v>1</v>
      </c>
      <c r="D791">
        <v>0</v>
      </c>
      <c r="E791">
        <v>0</v>
      </c>
      <c r="F791">
        <v>1</v>
      </c>
      <c r="G791">
        <v>783</v>
      </c>
    </row>
    <row r="792" spans="1:7">
      <c r="A792">
        <v>1457</v>
      </c>
      <c r="B792" t="s">
        <v>5244</v>
      </c>
      <c r="C792">
        <v>1</v>
      </c>
      <c r="D792">
        <v>0</v>
      </c>
      <c r="E792">
        <v>0</v>
      </c>
      <c r="F792">
        <v>1</v>
      </c>
      <c r="G792">
        <v>783</v>
      </c>
    </row>
    <row r="793" spans="1:7">
      <c r="A793">
        <v>1463</v>
      </c>
      <c r="B793" t="s">
        <v>5246</v>
      </c>
      <c r="C793">
        <v>1</v>
      </c>
      <c r="D793">
        <v>0</v>
      </c>
      <c r="E793">
        <v>0</v>
      </c>
      <c r="F793">
        <v>1</v>
      </c>
      <c r="G793">
        <v>783</v>
      </c>
    </row>
    <row r="794" spans="1:7">
      <c r="A794">
        <v>1514</v>
      </c>
      <c r="B794" t="s">
        <v>5260</v>
      </c>
      <c r="C794">
        <v>1</v>
      </c>
      <c r="D794">
        <v>0</v>
      </c>
      <c r="E794">
        <v>0</v>
      </c>
      <c r="F794">
        <v>1</v>
      </c>
      <c r="G794">
        <v>783</v>
      </c>
    </row>
    <row r="795" spans="1:7">
      <c r="A795">
        <v>1539</v>
      </c>
      <c r="B795" t="s">
        <v>5280</v>
      </c>
      <c r="C795">
        <v>1</v>
      </c>
      <c r="D795">
        <v>0</v>
      </c>
      <c r="E795">
        <v>0</v>
      </c>
      <c r="F795">
        <v>1</v>
      </c>
      <c r="G795">
        <v>783</v>
      </c>
    </row>
    <row r="796" spans="1:7">
      <c r="A796">
        <v>1558</v>
      </c>
      <c r="B796" t="s">
        <v>5283</v>
      </c>
      <c r="C796">
        <v>1</v>
      </c>
      <c r="D796">
        <v>0</v>
      </c>
      <c r="E796">
        <v>0</v>
      </c>
      <c r="F796">
        <v>1</v>
      </c>
      <c r="G796">
        <v>783</v>
      </c>
    </row>
    <row r="797" spans="1:7">
      <c r="A797">
        <v>1589</v>
      </c>
      <c r="B797" t="s">
        <v>5295</v>
      </c>
      <c r="C797">
        <v>1</v>
      </c>
      <c r="D797">
        <v>0</v>
      </c>
      <c r="E797">
        <v>0</v>
      </c>
      <c r="F797">
        <v>1</v>
      </c>
      <c r="G797">
        <v>783</v>
      </c>
    </row>
    <row r="798" spans="1:7">
      <c r="A798">
        <v>1595</v>
      </c>
      <c r="B798" t="s">
        <v>5299</v>
      </c>
      <c r="C798">
        <v>1</v>
      </c>
      <c r="D798">
        <v>0</v>
      </c>
      <c r="E798">
        <v>0</v>
      </c>
      <c r="F798">
        <v>1</v>
      </c>
      <c r="G798">
        <v>783</v>
      </c>
    </row>
    <row r="799" spans="1:7">
      <c r="A799">
        <v>1599</v>
      </c>
      <c r="B799" t="s">
        <v>5302</v>
      </c>
      <c r="C799">
        <v>1</v>
      </c>
      <c r="D799">
        <v>0</v>
      </c>
      <c r="E799">
        <v>0</v>
      </c>
      <c r="F799">
        <v>1</v>
      </c>
      <c r="G799">
        <v>783</v>
      </c>
    </row>
    <row r="800" spans="1:7">
      <c r="A800">
        <v>1603</v>
      </c>
      <c r="B800" t="s">
        <v>5303</v>
      </c>
      <c r="C800">
        <v>1</v>
      </c>
      <c r="D800">
        <v>0</v>
      </c>
      <c r="E800">
        <v>0</v>
      </c>
      <c r="F800">
        <v>1</v>
      </c>
      <c r="G800">
        <v>783</v>
      </c>
    </row>
    <row r="801" spans="1:7">
      <c r="A801">
        <v>1605</v>
      </c>
      <c r="B801" t="s">
        <v>5305</v>
      </c>
      <c r="C801">
        <v>1</v>
      </c>
      <c r="D801">
        <v>0</v>
      </c>
      <c r="E801">
        <v>0</v>
      </c>
      <c r="F801">
        <v>1</v>
      </c>
      <c r="G801">
        <v>783</v>
      </c>
    </row>
    <row r="802" spans="1:7">
      <c r="A802">
        <v>1742</v>
      </c>
      <c r="B802" t="s">
        <v>5341</v>
      </c>
      <c r="C802">
        <v>1</v>
      </c>
      <c r="D802">
        <v>0</v>
      </c>
      <c r="E802">
        <v>0</v>
      </c>
      <c r="F802">
        <v>1</v>
      </c>
      <c r="G802">
        <v>783</v>
      </c>
    </row>
    <row r="803" spans="1:7">
      <c r="A803">
        <v>1773</v>
      </c>
      <c r="B803" t="s">
        <v>5345</v>
      </c>
      <c r="C803">
        <v>1</v>
      </c>
      <c r="D803">
        <v>0</v>
      </c>
      <c r="E803">
        <v>0</v>
      </c>
      <c r="F803">
        <v>1</v>
      </c>
      <c r="G803">
        <v>783</v>
      </c>
    </row>
    <row r="804" spans="1:7">
      <c r="A804">
        <v>1777</v>
      </c>
      <c r="B804" t="s">
        <v>8465</v>
      </c>
      <c r="C804">
        <v>1</v>
      </c>
      <c r="D804">
        <v>0</v>
      </c>
      <c r="E804">
        <v>0</v>
      </c>
      <c r="F804">
        <v>1</v>
      </c>
      <c r="G804">
        <v>783</v>
      </c>
    </row>
    <row r="805" spans="1:7">
      <c r="A805">
        <v>1817</v>
      </c>
      <c r="B805" t="s">
        <v>5360</v>
      </c>
      <c r="C805">
        <v>1</v>
      </c>
      <c r="D805">
        <v>0</v>
      </c>
      <c r="E805">
        <v>0</v>
      </c>
      <c r="F805">
        <v>1</v>
      </c>
      <c r="G805">
        <v>783</v>
      </c>
    </row>
    <row r="806" spans="1:7">
      <c r="A806">
        <v>1903</v>
      </c>
      <c r="B806" t="s">
        <v>5361</v>
      </c>
      <c r="C806">
        <v>1</v>
      </c>
      <c r="D806">
        <v>0</v>
      </c>
      <c r="E806">
        <v>0</v>
      </c>
      <c r="F806">
        <v>1</v>
      </c>
      <c r="G806">
        <v>783</v>
      </c>
    </row>
    <row r="807" spans="1:7">
      <c r="A807">
        <v>2049</v>
      </c>
      <c r="B807" t="s">
        <v>5391</v>
      </c>
      <c r="C807">
        <v>1</v>
      </c>
      <c r="D807">
        <v>0</v>
      </c>
      <c r="E807">
        <v>0</v>
      </c>
      <c r="F807">
        <v>1</v>
      </c>
      <c r="G807">
        <v>783</v>
      </c>
    </row>
    <row r="808" spans="1:7">
      <c r="A808">
        <v>2059</v>
      </c>
      <c r="B808" t="s">
        <v>5392</v>
      </c>
      <c r="C808">
        <v>1</v>
      </c>
      <c r="D808">
        <v>0</v>
      </c>
      <c r="E808">
        <v>0</v>
      </c>
      <c r="F808">
        <v>1</v>
      </c>
      <c r="G808">
        <v>783</v>
      </c>
    </row>
    <row r="809" spans="1:7">
      <c r="A809">
        <v>2070</v>
      </c>
      <c r="B809" t="s">
        <v>5396</v>
      </c>
      <c r="C809">
        <v>1</v>
      </c>
      <c r="D809">
        <v>0</v>
      </c>
      <c r="E809">
        <v>0</v>
      </c>
      <c r="F809">
        <v>1</v>
      </c>
      <c r="G809">
        <v>783</v>
      </c>
    </row>
    <row r="810" spans="1:7">
      <c r="A810">
        <v>2114</v>
      </c>
      <c r="B810" t="s">
        <v>5406</v>
      </c>
      <c r="C810">
        <v>1</v>
      </c>
      <c r="D810">
        <v>0</v>
      </c>
      <c r="E810">
        <v>0</v>
      </c>
      <c r="F810">
        <v>1</v>
      </c>
      <c r="G810">
        <v>783</v>
      </c>
    </row>
    <row r="811" spans="1:7">
      <c r="A811">
        <v>2239</v>
      </c>
      <c r="B811" t="s">
        <v>5420</v>
      </c>
      <c r="C811">
        <v>1</v>
      </c>
      <c r="D811">
        <v>0</v>
      </c>
      <c r="E811">
        <v>0</v>
      </c>
      <c r="F811">
        <v>1</v>
      </c>
      <c r="G811">
        <v>783</v>
      </c>
    </row>
    <row r="812" spans="1:7">
      <c r="A812">
        <v>2301</v>
      </c>
      <c r="B812" t="s">
        <v>5425</v>
      </c>
      <c r="C812">
        <v>1</v>
      </c>
      <c r="D812">
        <v>0</v>
      </c>
      <c r="E812">
        <v>0</v>
      </c>
      <c r="F812">
        <v>1</v>
      </c>
      <c r="G812">
        <v>783</v>
      </c>
    </row>
    <row r="813" spans="1:7">
      <c r="A813">
        <v>2360</v>
      </c>
      <c r="B813" t="s">
        <v>5459</v>
      </c>
      <c r="C813">
        <v>1</v>
      </c>
      <c r="D813">
        <v>0</v>
      </c>
      <c r="E813">
        <v>0</v>
      </c>
      <c r="F813">
        <v>1</v>
      </c>
      <c r="G813">
        <v>783</v>
      </c>
    </row>
    <row r="814" spans="1:7">
      <c r="A814">
        <v>2379</v>
      </c>
      <c r="B814" t="s">
        <v>5472</v>
      </c>
      <c r="C814">
        <v>1</v>
      </c>
      <c r="D814">
        <v>0</v>
      </c>
      <c r="E814">
        <v>0</v>
      </c>
      <c r="F814">
        <v>1</v>
      </c>
      <c r="G814">
        <v>783</v>
      </c>
    </row>
    <row r="815" spans="1:7">
      <c r="A815">
        <v>2385</v>
      </c>
      <c r="B815" t="s">
        <v>5475</v>
      </c>
      <c r="C815">
        <v>1</v>
      </c>
      <c r="D815">
        <v>0</v>
      </c>
      <c r="E815">
        <v>0</v>
      </c>
      <c r="F815">
        <v>1</v>
      </c>
      <c r="G815">
        <v>783</v>
      </c>
    </row>
    <row r="816" spans="1:7">
      <c r="A816">
        <v>2395</v>
      </c>
      <c r="B816" t="s">
        <v>5481</v>
      </c>
      <c r="C816">
        <v>1</v>
      </c>
      <c r="D816">
        <v>0</v>
      </c>
      <c r="E816">
        <v>0</v>
      </c>
      <c r="F816">
        <v>1</v>
      </c>
      <c r="G816">
        <v>783</v>
      </c>
    </row>
    <row r="817" spans="1:7">
      <c r="A817">
        <v>2413</v>
      </c>
      <c r="B817" t="s">
        <v>5491</v>
      </c>
      <c r="C817">
        <v>1</v>
      </c>
      <c r="D817">
        <v>0</v>
      </c>
      <c r="E817">
        <v>0</v>
      </c>
      <c r="F817">
        <v>1</v>
      </c>
      <c r="G817">
        <v>783</v>
      </c>
    </row>
    <row r="818" spans="1:7">
      <c r="A818">
        <v>2420</v>
      </c>
      <c r="B818" t="s">
        <v>5496</v>
      </c>
      <c r="C818">
        <v>1</v>
      </c>
      <c r="D818">
        <v>0</v>
      </c>
      <c r="E818">
        <v>0</v>
      </c>
      <c r="F818">
        <v>1</v>
      </c>
      <c r="G818">
        <v>783</v>
      </c>
    </row>
    <row r="819" spans="1:7">
      <c r="A819">
        <v>2425</v>
      </c>
      <c r="B819" t="s">
        <v>5499</v>
      </c>
      <c r="C819">
        <v>1</v>
      </c>
      <c r="D819">
        <v>0</v>
      </c>
      <c r="E819">
        <v>0</v>
      </c>
      <c r="F819">
        <v>1</v>
      </c>
      <c r="G819">
        <v>783</v>
      </c>
    </row>
    <row r="820" spans="1:7">
      <c r="A820">
        <v>2427</v>
      </c>
      <c r="B820" t="s">
        <v>5501</v>
      </c>
      <c r="C820">
        <v>1</v>
      </c>
      <c r="D820">
        <v>0</v>
      </c>
      <c r="E820">
        <v>0</v>
      </c>
      <c r="F820">
        <v>1</v>
      </c>
      <c r="G820">
        <v>783</v>
      </c>
    </row>
    <row r="821" spans="1:7">
      <c r="A821">
        <v>2428</v>
      </c>
      <c r="B821" t="s">
        <v>5502</v>
      </c>
      <c r="C821">
        <v>1</v>
      </c>
      <c r="D821">
        <v>0</v>
      </c>
      <c r="E821">
        <v>0</v>
      </c>
      <c r="F821">
        <v>1</v>
      </c>
      <c r="G821">
        <v>783</v>
      </c>
    </row>
    <row r="822" spans="1:7">
      <c r="A822">
        <v>2451</v>
      </c>
      <c r="B822" t="s">
        <v>5513</v>
      </c>
      <c r="C822">
        <v>1</v>
      </c>
      <c r="D822">
        <v>0</v>
      </c>
      <c r="E822">
        <v>0</v>
      </c>
      <c r="F822">
        <v>1</v>
      </c>
      <c r="G822">
        <v>783</v>
      </c>
    </row>
    <row r="823" spans="1:7">
      <c r="A823">
        <v>2474</v>
      </c>
      <c r="B823" t="s">
        <v>5530</v>
      </c>
      <c r="C823">
        <v>1</v>
      </c>
      <c r="D823">
        <v>0</v>
      </c>
      <c r="E823">
        <v>0</v>
      </c>
      <c r="F823">
        <v>1</v>
      </c>
      <c r="G823">
        <v>783</v>
      </c>
    </row>
    <row r="824" spans="1:7">
      <c r="A824">
        <v>2504</v>
      </c>
      <c r="B824" t="s">
        <v>5551</v>
      </c>
      <c r="C824">
        <v>1</v>
      </c>
      <c r="D824">
        <v>0</v>
      </c>
      <c r="E824">
        <v>0</v>
      </c>
      <c r="F824">
        <v>1</v>
      </c>
      <c r="G824">
        <v>783</v>
      </c>
    </row>
    <row r="825" spans="1:7">
      <c r="A825">
        <v>2535</v>
      </c>
      <c r="B825" t="s">
        <v>5564</v>
      </c>
      <c r="C825">
        <v>1</v>
      </c>
      <c r="D825">
        <v>0</v>
      </c>
      <c r="E825">
        <v>0</v>
      </c>
      <c r="F825">
        <v>1</v>
      </c>
      <c r="G825">
        <v>783</v>
      </c>
    </row>
    <row r="826" spans="1:7">
      <c r="A826">
        <v>2548</v>
      </c>
      <c r="B826" t="s">
        <v>5573</v>
      </c>
      <c r="C826">
        <v>1</v>
      </c>
      <c r="D826">
        <v>0</v>
      </c>
      <c r="E826">
        <v>0</v>
      </c>
      <c r="F826">
        <v>1</v>
      </c>
      <c r="G826">
        <v>783</v>
      </c>
    </row>
    <row r="827" spans="1:7">
      <c r="A827">
        <v>2634</v>
      </c>
      <c r="B827" t="s">
        <v>5593</v>
      </c>
      <c r="C827">
        <v>1</v>
      </c>
      <c r="D827">
        <v>0</v>
      </c>
      <c r="E827">
        <v>0</v>
      </c>
      <c r="F827">
        <v>1</v>
      </c>
      <c r="G827">
        <v>783</v>
      </c>
    </row>
    <row r="828" spans="1:7">
      <c r="A828">
        <v>2640</v>
      </c>
      <c r="B828" t="s">
        <v>5596</v>
      </c>
      <c r="C828">
        <v>1</v>
      </c>
      <c r="D828">
        <v>0</v>
      </c>
      <c r="E828">
        <v>0</v>
      </c>
      <c r="F828">
        <v>1</v>
      </c>
      <c r="G828">
        <v>783</v>
      </c>
    </row>
    <row r="829" spans="1:7">
      <c r="A829">
        <v>2707</v>
      </c>
      <c r="B829" t="s">
        <v>5604</v>
      </c>
      <c r="C829">
        <v>1</v>
      </c>
      <c r="D829">
        <v>0</v>
      </c>
      <c r="E829">
        <v>0</v>
      </c>
      <c r="F829">
        <v>1</v>
      </c>
      <c r="G829">
        <v>783</v>
      </c>
    </row>
    <row r="830" spans="1:7">
      <c r="A830">
        <v>2734</v>
      </c>
      <c r="B830" t="s">
        <v>8487</v>
      </c>
      <c r="C830">
        <v>1</v>
      </c>
      <c r="D830">
        <v>0</v>
      </c>
      <c r="E830">
        <v>0</v>
      </c>
      <c r="F830">
        <v>1</v>
      </c>
      <c r="G830">
        <v>783</v>
      </c>
    </row>
    <row r="831" spans="1:7">
      <c r="A831">
        <v>2753</v>
      </c>
      <c r="B831" t="s">
        <v>6590</v>
      </c>
      <c r="C831">
        <v>1</v>
      </c>
      <c r="D831">
        <v>0</v>
      </c>
      <c r="E831">
        <v>0</v>
      </c>
      <c r="F831">
        <v>1</v>
      </c>
      <c r="G831">
        <v>783</v>
      </c>
    </row>
    <row r="832" spans="1:7">
      <c r="A832">
        <v>2801</v>
      </c>
      <c r="B832" t="s">
        <v>5617</v>
      </c>
      <c r="C832">
        <v>1</v>
      </c>
      <c r="D832">
        <v>0</v>
      </c>
      <c r="E832">
        <v>0</v>
      </c>
      <c r="F832">
        <v>1</v>
      </c>
      <c r="G832">
        <v>783</v>
      </c>
    </row>
    <row r="833" spans="1:7">
      <c r="A833">
        <v>2834</v>
      </c>
      <c r="B833" t="s">
        <v>5623</v>
      </c>
      <c r="C833">
        <v>1</v>
      </c>
      <c r="D833">
        <v>0</v>
      </c>
      <c r="E833">
        <v>0</v>
      </c>
      <c r="F833">
        <v>1</v>
      </c>
      <c r="G833">
        <v>783</v>
      </c>
    </row>
    <row r="834" spans="1:7">
      <c r="A834">
        <v>2897</v>
      </c>
      <c r="B834" t="s">
        <v>5646</v>
      </c>
      <c r="C834">
        <v>1</v>
      </c>
      <c r="D834">
        <v>0</v>
      </c>
      <c r="E834">
        <v>0</v>
      </c>
      <c r="F834">
        <v>1</v>
      </c>
      <c r="G834">
        <v>783</v>
      </c>
    </row>
    <row r="835" spans="1:7">
      <c r="A835">
        <v>2911</v>
      </c>
      <c r="B835" t="s">
        <v>5654</v>
      </c>
      <c r="C835">
        <v>1</v>
      </c>
      <c r="D835">
        <v>0</v>
      </c>
      <c r="E835">
        <v>0</v>
      </c>
      <c r="F835">
        <v>1</v>
      </c>
      <c r="G835">
        <v>783</v>
      </c>
    </row>
    <row r="836" spans="1:7">
      <c r="A836">
        <v>2913</v>
      </c>
      <c r="B836" t="s">
        <v>5656</v>
      </c>
      <c r="C836">
        <v>1</v>
      </c>
      <c r="D836">
        <v>0</v>
      </c>
      <c r="E836">
        <v>0</v>
      </c>
      <c r="F836">
        <v>1</v>
      </c>
      <c r="G836">
        <v>783</v>
      </c>
    </row>
    <row r="837" spans="1:7">
      <c r="A837">
        <v>3002</v>
      </c>
      <c r="B837" t="s">
        <v>5663</v>
      </c>
      <c r="C837">
        <v>1</v>
      </c>
      <c r="D837">
        <v>0</v>
      </c>
      <c r="E837">
        <v>0</v>
      </c>
      <c r="F837">
        <v>1</v>
      </c>
      <c r="G837">
        <v>783</v>
      </c>
    </row>
    <row r="838" spans="1:7">
      <c r="A838">
        <v>3004</v>
      </c>
      <c r="B838" t="s">
        <v>5665</v>
      </c>
      <c r="C838">
        <v>1</v>
      </c>
      <c r="D838">
        <v>0</v>
      </c>
      <c r="E838">
        <v>0</v>
      </c>
      <c r="F838">
        <v>1</v>
      </c>
      <c r="G838">
        <v>783</v>
      </c>
    </row>
    <row r="839" spans="1:7">
      <c r="A839">
        <v>3008</v>
      </c>
      <c r="B839" t="s">
        <v>5668</v>
      </c>
      <c r="C839">
        <v>1</v>
      </c>
      <c r="D839">
        <v>0</v>
      </c>
      <c r="E839">
        <v>0</v>
      </c>
      <c r="F839">
        <v>1</v>
      </c>
      <c r="G839">
        <v>783</v>
      </c>
    </row>
    <row r="840" spans="1:7">
      <c r="A840">
        <v>3023</v>
      </c>
      <c r="B840" t="s">
        <v>5678</v>
      </c>
      <c r="C840">
        <v>1</v>
      </c>
      <c r="D840">
        <v>0</v>
      </c>
      <c r="E840">
        <v>0</v>
      </c>
      <c r="F840">
        <v>1</v>
      </c>
      <c r="G840">
        <v>783</v>
      </c>
    </row>
    <row r="841" spans="1:7">
      <c r="A841">
        <v>3030</v>
      </c>
      <c r="B841" t="s">
        <v>5684</v>
      </c>
      <c r="C841">
        <v>1</v>
      </c>
      <c r="D841">
        <v>0</v>
      </c>
      <c r="E841">
        <v>0</v>
      </c>
      <c r="F841">
        <v>1</v>
      </c>
      <c r="G841">
        <v>783</v>
      </c>
    </row>
    <row r="842" spans="1:7">
      <c r="A842">
        <v>3071</v>
      </c>
      <c r="B842" t="s">
        <v>5710</v>
      </c>
      <c r="C842">
        <v>1</v>
      </c>
      <c r="D842">
        <v>0</v>
      </c>
      <c r="E842">
        <v>0</v>
      </c>
      <c r="F842">
        <v>1</v>
      </c>
      <c r="G842">
        <v>783</v>
      </c>
    </row>
    <row r="843" spans="1:7">
      <c r="A843">
        <v>3093</v>
      </c>
      <c r="B843" t="s">
        <v>8496</v>
      </c>
      <c r="C843">
        <v>1</v>
      </c>
      <c r="D843">
        <v>0</v>
      </c>
      <c r="E843">
        <v>0</v>
      </c>
      <c r="F843">
        <v>1</v>
      </c>
      <c r="G843">
        <v>783</v>
      </c>
    </row>
    <row r="844" spans="1:7">
      <c r="A844">
        <v>3265</v>
      </c>
      <c r="B844" t="s">
        <v>5759</v>
      </c>
      <c r="C844">
        <v>1</v>
      </c>
      <c r="D844">
        <v>0</v>
      </c>
      <c r="E844">
        <v>0</v>
      </c>
      <c r="F844">
        <v>1</v>
      </c>
      <c r="G844">
        <v>783</v>
      </c>
    </row>
    <row r="845" spans="1:7">
      <c r="A845">
        <v>3287</v>
      </c>
      <c r="B845" t="s">
        <v>8499</v>
      </c>
      <c r="C845">
        <v>1</v>
      </c>
      <c r="D845">
        <v>0</v>
      </c>
      <c r="E845">
        <v>0</v>
      </c>
      <c r="F845">
        <v>1</v>
      </c>
      <c r="G845">
        <v>783</v>
      </c>
    </row>
    <row r="846" spans="1:7">
      <c r="A846">
        <v>3296</v>
      </c>
      <c r="B846" t="s">
        <v>5769</v>
      </c>
      <c r="C846">
        <v>1</v>
      </c>
      <c r="D846">
        <v>0</v>
      </c>
      <c r="E846">
        <v>0</v>
      </c>
      <c r="F846">
        <v>1</v>
      </c>
      <c r="G846">
        <v>783</v>
      </c>
    </row>
    <row r="847" spans="1:7">
      <c r="A847">
        <v>3360</v>
      </c>
      <c r="B847" t="s">
        <v>5787</v>
      </c>
      <c r="C847">
        <v>1</v>
      </c>
      <c r="D847">
        <v>0</v>
      </c>
      <c r="E847">
        <v>0</v>
      </c>
      <c r="F847">
        <v>1</v>
      </c>
      <c r="G847">
        <v>783</v>
      </c>
    </row>
    <row r="848" spans="1:7">
      <c r="A848">
        <v>3450</v>
      </c>
      <c r="B848" t="s">
        <v>5810</v>
      </c>
      <c r="C848">
        <v>1</v>
      </c>
      <c r="D848">
        <v>0</v>
      </c>
      <c r="E848">
        <v>0</v>
      </c>
      <c r="F848">
        <v>1</v>
      </c>
      <c r="G848">
        <v>783</v>
      </c>
    </row>
    <row r="849" spans="1:7">
      <c r="A849">
        <v>3518</v>
      </c>
      <c r="B849" t="s">
        <v>5829</v>
      </c>
      <c r="C849">
        <v>1</v>
      </c>
      <c r="D849">
        <v>0</v>
      </c>
      <c r="E849">
        <v>0</v>
      </c>
      <c r="F849">
        <v>1</v>
      </c>
      <c r="G849">
        <v>783</v>
      </c>
    </row>
    <row r="850" spans="1:7">
      <c r="A850">
        <v>3522</v>
      </c>
      <c r="B850" t="s">
        <v>8507</v>
      </c>
      <c r="C850">
        <v>1</v>
      </c>
      <c r="D850">
        <v>0</v>
      </c>
      <c r="E850">
        <v>0</v>
      </c>
      <c r="F850">
        <v>1</v>
      </c>
      <c r="G850">
        <v>783</v>
      </c>
    </row>
    <row r="851" spans="1:7">
      <c r="A851">
        <v>3528</v>
      </c>
      <c r="B851" t="s">
        <v>5833</v>
      </c>
      <c r="C851">
        <v>1</v>
      </c>
      <c r="D851">
        <v>0</v>
      </c>
      <c r="E851">
        <v>0</v>
      </c>
      <c r="F851">
        <v>1</v>
      </c>
      <c r="G851">
        <v>783</v>
      </c>
    </row>
    <row r="852" spans="1:7">
      <c r="A852">
        <v>3540</v>
      </c>
      <c r="B852" t="s">
        <v>5840</v>
      </c>
      <c r="C852">
        <v>1</v>
      </c>
      <c r="D852">
        <v>0</v>
      </c>
      <c r="E852">
        <v>0</v>
      </c>
      <c r="F852">
        <v>1</v>
      </c>
      <c r="G852">
        <v>783</v>
      </c>
    </row>
    <row r="853" spans="1:7">
      <c r="A853">
        <v>3594</v>
      </c>
      <c r="B853" t="s">
        <v>5861</v>
      </c>
      <c r="C853">
        <v>1</v>
      </c>
      <c r="D853">
        <v>0</v>
      </c>
      <c r="E853">
        <v>0</v>
      </c>
      <c r="F853">
        <v>1</v>
      </c>
      <c r="G853">
        <v>783</v>
      </c>
    </row>
    <row r="854" spans="1:7">
      <c r="A854">
        <v>3685</v>
      </c>
      <c r="B854" t="s">
        <v>5891</v>
      </c>
      <c r="C854">
        <v>1</v>
      </c>
      <c r="D854">
        <v>0</v>
      </c>
      <c r="E854">
        <v>0</v>
      </c>
      <c r="F854">
        <v>1</v>
      </c>
      <c r="G854">
        <v>783</v>
      </c>
    </row>
    <row r="855" spans="1:7">
      <c r="A855">
        <v>3693</v>
      </c>
      <c r="B855" t="s">
        <v>5895</v>
      </c>
      <c r="C855">
        <v>1</v>
      </c>
      <c r="D855">
        <v>0</v>
      </c>
      <c r="E855">
        <v>0</v>
      </c>
      <c r="F855">
        <v>1</v>
      </c>
      <c r="G855">
        <v>783</v>
      </c>
    </row>
    <row r="856" spans="1:7">
      <c r="A856">
        <v>3709</v>
      </c>
      <c r="B856" t="s">
        <v>6592</v>
      </c>
      <c r="C856">
        <v>1</v>
      </c>
      <c r="D856">
        <v>0</v>
      </c>
      <c r="E856">
        <v>0</v>
      </c>
      <c r="F856">
        <v>1</v>
      </c>
      <c r="G856">
        <v>783</v>
      </c>
    </row>
    <row r="857" spans="1:7">
      <c r="A857">
        <v>4126</v>
      </c>
      <c r="B857" t="s">
        <v>5921</v>
      </c>
      <c r="C857">
        <v>1</v>
      </c>
      <c r="D857">
        <v>0</v>
      </c>
      <c r="E857">
        <v>0</v>
      </c>
      <c r="F857">
        <v>1</v>
      </c>
      <c r="G857">
        <v>783</v>
      </c>
    </row>
    <row r="858" spans="1:7">
      <c r="A858">
        <v>4148</v>
      </c>
      <c r="B858" t="s">
        <v>5931</v>
      </c>
      <c r="C858">
        <v>1</v>
      </c>
      <c r="D858">
        <v>0</v>
      </c>
      <c r="E858">
        <v>0</v>
      </c>
      <c r="F858">
        <v>1</v>
      </c>
      <c r="G858">
        <v>783</v>
      </c>
    </row>
    <row r="859" spans="1:7">
      <c r="A859">
        <v>4174</v>
      </c>
      <c r="B859" t="s">
        <v>5943</v>
      </c>
      <c r="C859">
        <v>1</v>
      </c>
      <c r="D859">
        <v>0</v>
      </c>
      <c r="E859">
        <v>0</v>
      </c>
      <c r="F859">
        <v>1</v>
      </c>
      <c r="G859">
        <v>783</v>
      </c>
    </row>
    <row r="860" spans="1:7">
      <c r="A860">
        <v>4303</v>
      </c>
      <c r="B860" t="s">
        <v>5947</v>
      </c>
      <c r="C860">
        <v>1</v>
      </c>
      <c r="D860">
        <v>0</v>
      </c>
      <c r="E860">
        <v>0</v>
      </c>
      <c r="F860">
        <v>1</v>
      </c>
      <c r="G860">
        <v>783</v>
      </c>
    </row>
    <row r="861" spans="1:7">
      <c r="A861">
        <v>4543</v>
      </c>
      <c r="B861" t="s">
        <v>5971</v>
      </c>
      <c r="C861">
        <v>1</v>
      </c>
      <c r="D861">
        <v>0</v>
      </c>
      <c r="E861">
        <v>0</v>
      </c>
      <c r="F861">
        <v>1</v>
      </c>
      <c r="G861">
        <v>783</v>
      </c>
    </row>
    <row r="862" spans="1:7">
      <c r="A862">
        <v>4566</v>
      </c>
      <c r="B862" t="s">
        <v>5981</v>
      </c>
      <c r="C862">
        <v>1</v>
      </c>
      <c r="D862">
        <v>0</v>
      </c>
      <c r="E862">
        <v>0</v>
      </c>
      <c r="F862">
        <v>1</v>
      </c>
      <c r="G862">
        <v>783</v>
      </c>
    </row>
    <row r="863" spans="1:7">
      <c r="A863">
        <v>4572</v>
      </c>
      <c r="B863" t="s">
        <v>5983</v>
      </c>
      <c r="C863">
        <v>1</v>
      </c>
      <c r="D863">
        <v>0</v>
      </c>
      <c r="E863">
        <v>0</v>
      </c>
      <c r="F863">
        <v>1</v>
      </c>
      <c r="G863">
        <v>783</v>
      </c>
    </row>
    <row r="864" spans="1:7">
      <c r="A864">
        <v>4745</v>
      </c>
      <c r="B864" t="s">
        <v>6002</v>
      </c>
      <c r="C864">
        <v>1</v>
      </c>
      <c r="D864">
        <v>0</v>
      </c>
      <c r="E864">
        <v>0</v>
      </c>
      <c r="F864">
        <v>1</v>
      </c>
      <c r="G864">
        <v>783</v>
      </c>
    </row>
    <row r="865" spans="1:7">
      <c r="A865">
        <v>4930</v>
      </c>
      <c r="B865" t="s">
        <v>8521</v>
      </c>
      <c r="C865">
        <v>1</v>
      </c>
      <c r="D865">
        <v>0</v>
      </c>
      <c r="E865">
        <v>0</v>
      </c>
      <c r="F865">
        <v>1</v>
      </c>
      <c r="G865">
        <v>783</v>
      </c>
    </row>
    <row r="866" spans="1:7">
      <c r="A866">
        <v>4938</v>
      </c>
      <c r="B866" t="s">
        <v>6023</v>
      </c>
      <c r="C866">
        <v>1</v>
      </c>
      <c r="D866">
        <v>0</v>
      </c>
      <c r="E866">
        <v>0</v>
      </c>
      <c r="F866">
        <v>1</v>
      </c>
      <c r="G866">
        <v>783</v>
      </c>
    </row>
    <row r="867" spans="1:7">
      <c r="A867">
        <v>4943</v>
      </c>
      <c r="B867" t="s">
        <v>6026</v>
      </c>
      <c r="C867">
        <v>1</v>
      </c>
      <c r="D867">
        <v>0</v>
      </c>
      <c r="E867">
        <v>0</v>
      </c>
      <c r="F867">
        <v>1</v>
      </c>
      <c r="G867">
        <v>783</v>
      </c>
    </row>
    <row r="868" spans="1:7">
      <c r="A868">
        <v>4953</v>
      </c>
      <c r="B868" t="s">
        <v>6029</v>
      </c>
      <c r="C868">
        <v>1</v>
      </c>
      <c r="D868">
        <v>0</v>
      </c>
      <c r="E868">
        <v>0</v>
      </c>
      <c r="F868">
        <v>1</v>
      </c>
      <c r="G868">
        <v>783</v>
      </c>
    </row>
    <row r="869" spans="1:7">
      <c r="A869">
        <v>4979</v>
      </c>
      <c r="B869" t="s">
        <v>6042</v>
      </c>
      <c r="C869">
        <v>1</v>
      </c>
      <c r="D869">
        <v>0</v>
      </c>
      <c r="E869">
        <v>0</v>
      </c>
      <c r="F869">
        <v>1</v>
      </c>
      <c r="G869">
        <v>783</v>
      </c>
    </row>
    <row r="870" spans="1:7">
      <c r="A870">
        <v>4994</v>
      </c>
      <c r="B870" t="s">
        <v>6044</v>
      </c>
      <c r="C870">
        <v>1</v>
      </c>
      <c r="D870">
        <v>0</v>
      </c>
      <c r="E870">
        <v>0</v>
      </c>
      <c r="F870">
        <v>1</v>
      </c>
      <c r="G870">
        <v>783</v>
      </c>
    </row>
    <row r="871" spans="1:7">
      <c r="A871">
        <v>4995</v>
      </c>
      <c r="B871" t="s">
        <v>8592</v>
      </c>
      <c r="C871">
        <v>1</v>
      </c>
      <c r="D871">
        <v>0</v>
      </c>
      <c r="E871">
        <v>0</v>
      </c>
      <c r="F871">
        <v>1</v>
      </c>
      <c r="G871">
        <v>783</v>
      </c>
    </row>
    <row r="872" spans="1:7">
      <c r="A872">
        <v>5013</v>
      </c>
      <c r="B872" t="s">
        <v>6049</v>
      </c>
      <c r="C872">
        <v>1</v>
      </c>
      <c r="D872">
        <v>0</v>
      </c>
      <c r="E872">
        <v>0</v>
      </c>
      <c r="F872">
        <v>1</v>
      </c>
      <c r="G872">
        <v>783</v>
      </c>
    </row>
    <row r="873" spans="1:7">
      <c r="A873">
        <v>5016</v>
      </c>
      <c r="B873" t="s">
        <v>6600</v>
      </c>
      <c r="C873">
        <v>1</v>
      </c>
      <c r="D873">
        <v>0</v>
      </c>
      <c r="E873">
        <v>0</v>
      </c>
      <c r="F873">
        <v>1</v>
      </c>
      <c r="G873">
        <v>783</v>
      </c>
    </row>
    <row r="874" spans="1:7">
      <c r="A874">
        <v>5203</v>
      </c>
      <c r="B874" t="s">
        <v>6054</v>
      </c>
      <c r="C874">
        <v>1</v>
      </c>
      <c r="D874">
        <v>0</v>
      </c>
      <c r="E874">
        <v>0</v>
      </c>
      <c r="F874">
        <v>1</v>
      </c>
      <c r="G874">
        <v>783</v>
      </c>
    </row>
    <row r="875" spans="1:7">
      <c r="A875">
        <v>5215</v>
      </c>
      <c r="B875" t="s">
        <v>6058</v>
      </c>
      <c r="C875">
        <v>1</v>
      </c>
      <c r="D875">
        <v>0</v>
      </c>
      <c r="E875">
        <v>0</v>
      </c>
      <c r="F875">
        <v>1</v>
      </c>
      <c r="G875">
        <v>783</v>
      </c>
    </row>
    <row r="876" spans="1:7">
      <c r="A876">
        <v>5236</v>
      </c>
      <c r="B876" t="s">
        <v>6063</v>
      </c>
      <c r="C876">
        <v>1</v>
      </c>
      <c r="D876">
        <v>0</v>
      </c>
      <c r="E876">
        <v>0</v>
      </c>
      <c r="F876">
        <v>1</v>
      </c>
      <c r="G876">
        <v>783</v>
      </c>
    </row>
    <row r="877" spans="1:7">
      <c r="A877">
        <v>5383</v>
      </c>
      <c r="B877" t="s">
        <v>8530</v>
      </c>
      <c r="C877">
        <v>1</v>
      </c>
      <c r="D877">
        <v>0</v>
      </c>
      <c r="E877">
        <v>0</v>
      </c>
      <c r="F877">
        <v>1</v>
      </c>
      <c r="G877">
        <v>783</v>
      </c>
    </row>
    <row r="878" spans="1:7">
      <c r="A878">
        <v>5426</v>
      </c>
      <c r="B878" t="s">
        <v>6096</v>
      </c>
      <c r="C878">
        <v>1</v>
      </c>
      <c r="D878">
        <v>0</v>
      </c>
      <c r="E878">
        <v>0</v>
      </c>
      <c r="F878">
        <v>1</v>
      </c>
      <c r="G878">
        <v>783</v>
      </c>
    </row>
    <row r="879" spans="1:7">
      <c r="A879">
        <v>5434</v>
      </c>
      <c r="B879" t="s">
        <v>6098</v>
      </c>
      <c r="C879">
        <v>1</v>
      </c>
      <c r="D879">
        <v>0</v>
      </c>
      <c r="E879">
        <v>0</v>
      </c>
      <c r="F879">
        <v>1</v>
      </c>
      <c r="G879">
        <v>783</v>
      </c>
    </row>
    <row r="880" spans="1:7">
      <c r="A880">
        <v>5478</v>
      </c>
      <c r="B880" t="s">
        <v>6110</v>
      </c>
      <c r="C880">
        <v>1</v>
      </c>
      <c r="D880">
        <v>0</v>
      </c>
      <c r="E880">
        <v>0</v>
      </c>
      <c r="F880">
        <v>1</v>
      </c>
      <c r="G880">
        <v>783</v>
      </c>
    </row>
    <row r="881" spans="1:7">
      <c r="A881">
        <v>5529</v>
      </c>
      <c r="B881" t="s">
        <v>8596</v>
      </c>
      <c r="C881">
        <v>1</v>
      </c>
      <c r="D881">
        <v>0</v>
      </c>
      <c r="E881">
        <v>0</v>
      </c>
      <c r="F881">
        <v>1</v>
      </c>
      <c r="G881">
        <v>783</v>
      </c>
    </row>
    <row r="882" spans="1:7">
      <c r="A882">
        <v>5543</v>
      </c>
      <c r="B882" t="s">
        <v>6129</v>
      </c>
      <c r="C882">
        <v>1</v>
      </c>
      <c r="D882">
        <v>0</v>
      </c>
      <c r="E882">
        <v>0</v>
      </c>
      <c r="F882">
        <v>1</v>
      </c>
      <c r="G882">
        <v>783</v>
      </c>
    </row>
    <row r="883" spans="1:7">
      <c r="A883">
        <v>5604</v>
      </c>
      <c r="B883" t="s">
        <v>6132</v>
      </c>
      <c r="C883">
        <v>1</v>
      </c>
      <c r="D883">
        <v>0</v>
      </c>
      <c r="E883">
        <v>0</v>
      </c>
      <c r="F883">
        <v>1</v>
      </c>
      <c r="G883">
        <v>783</v>
      </c>
    </row>
    <row r="884" spans="1:7">
      <c r="A884">
        <v>5907</v>
      </c>
      <c r="B884" t="s">
        <v>6147</v>
      </c>
      <c r="C884">
        <v>1</v>
      </c>
      <c r="D884">
        <v>0</v>
      </c>
      <c r="E884">
        <v>0</v>
      </c>
      <c r="F884">
        <v>1</v>
      </c>
      <c r="G884">
        <v>783</v>
      </c>
    </row>
    <row r="885" spans="1:7">
      <c r="A885">
        <v>6114</v>
      </c>
      <c r="B885" t="s">
        <v>6157</v>
      </c>
      <c r="C885">
        <v>1</v>
      </c>
      <c r="D885">
        <v>0</v>
      </c>
      <c r="E885">
        <v>0</v>
      </c>
      <c r="F885">
        <v>1</v>
      </c>
      <c r="G885">
        <v>783</v>
      </c>
    </row>
    <row r="886" spans="1:7">
      <c r="A886">
        <v>6179</v>
      </c>
      <c r="B886" t="s">
        <v>6201</v>
      </c>
      <c r="C886">
        <v>1</v>
      </c>
      <c r="D886">
        <v>0</v>
      </c>
      <c r="E886">
        <v>0</v>
      </c>
      <c r="F886">
        <v>1</v>
      </c>
      <c r="G886">
        <v>783</v>
      </c>
    </row>
    <row r="887" spans="1:7">
      <c r="A887">
        <v>6186</v>
      </c>
      <c r="B887" t="s">
        <v>6207</v>
      </c>
      <c r="C887">
        <v>1</v>
      </c>
      <c r="D887">
        <v>0</v>
      </c>
      <c r="E887">
        <v>0</v>
      </c>
      <c r="F887">
        <v>1</v>
      </c>
      <c r="G887">
        <v>783</v>
      </c>
    </row>
    <row r="888" spans="1:7">
      <c r="A888">
        <v>6197</v>
      </c>
      <c r="B888" t="s">
        <v>6215</v>
      </c>
      <c r="C888">
        <v>1</v>
      </c>
      <c r="D888">
        <v>0</v>
      </c>
      <c r="E888">
        <v>0</v>
      </c>
      <c r="F888">
        <v>1</v>
      </c>
      <c r="G888">
        <v>783</v>
      </c>
    </row>
    <row r="889" spans="1:7">
      <c r="A889">
        <v>6206</v>
      </c>
      <c r="B889" t="s">
        <v>6220</v>
      </c>
      <c r="C889">
        <v>1</v>
      </c>
      <c r="D889">
        <v>0</v>
      </c>
      <c r="E889">
        <v>0</v>
      </c>
      <c r="F889">
        <v>1</v>
      </c>
      <c r="G889">
        <v>783</v>
      </c>
    </row>
    <row r="890" spans="1:7">
      <c r="A890">
        <v>6218</v>
      </c>
      <c r="B890" t="s">
        <v>6230</v>
      </c>
      <c r="C890">
        <v>1</v>
      </c>
      <c r="D890">
        <v>0</v>
      </c>
      <c r="E890">
        <v>0</v>
      </c>
      <c r="F890">
        <v>1</v>
      </c>
      <c r="G890">
        <v>783</v>
      </c>
    </row>
    <row r="891" spans="1:7">
      <c r="A891">
        <v>6234</v>
      </c>
      <c r="B891" t="s">
        <v>6241</v>
      </c>
      <c r="C891">
        <v>1</v>
      </c>
      <c r="D891">
        <v>0</v>
      </c>
      <c r="E891">
        <v>0</v>
      </c>
      <c r="F891">
        <v>1</v>
      </c>
      <c r="G891">
        <v>783</v>
      </c>
    </row>
    <row r="892" spans="1:7">
      <c r="A892">
        <v>6270</v>
      </c>
      <c r="B892" t="s">
        <v>6257</v>
      </c>
      <c r="C892">
        <v>1</v>
      </c>
      <c r="D892">
        <v>0</v>
      </c>
      <c r="E892">
        <v>0</v>
      </c>
      <c r="F892">
        <v>1</v>
      </c>
      <c r="G892">
        <v>783</v>
      </c>
    </row>
    <row r="893" spans="1:7">
      <c r="A893">
        <v>6292</v>
      </c>
      <c r="B893" t="s">
        <v>6272</v>
      </c>
      <c r="C893">
        <v>1</v>
      </c>
      <c r="D893">
        <v>0</v>
      </c>
      <c r="E893">
        <v>0</v>
      </c>
      <c r="F893">
        <v>1</v>
      </c>
      <c r="G893">
        <v>783</v>
      </c>
    </row>
    <row r="894" spans="1:7">
      <c r="A894">
        <v>6426</v>
      </c>
      <c r="B894" t="s">
        <v>6281</v>
      </c>
      <c r="C894">
        <v>1</v>
      </c>
      <c r="D894">
        <v>0</v>
      </c>
      <c r="E894">
        <v>0</v>
      </c>
      <c r="F894">
        <v>1</v>
      </c>
      <c r="G894">
        <v>783</v>
      </c>
    </row>
    <row r="895" spans="1:7">
      <c r="A895">
        <v>6465</v>
      </c>
      <c r="B895" t="s">
        <v>8551</v>
      </c>
      <c r="C895">
        <v>1</v>
      </c>
      <c r="D895">
        <v>0</v>
      </c>
      <c r="E895">
        <v>0</v>
      </c>
      <c r="F895">
        <v>1</v>
      </c>
      <c r="G895">
        <v>783</v>
      </c>
    </row>
    <row r="896" spans="1:7">
      <c r="A896">
        <v>6488</v>
      </c>
      <c r="B896" t="s">
        <v>6300</v>
      </c>
      <c r="C896">
        <v>1</v>
      </c>
      <c r="D896">
        <v>0</v>
      </c>
      <c r="E896">
        <v>0</v>
      </c>
      <c r="F896">
        <v>1</v>
      </c>
      <c r="G896">
        <v>783</v>
      </c>
    </row>
    <row r="897" spans="1:7">
      <c r="A897">
        <v>6504</v>
      </c>
      <c r="B897" t="s">
        <v>6304</v>
      </c>
      <c r="C897">
        <v>1</v>
      </c>
      <c r="D897">
        <v>0</v>
      </c>
      <c r="E897">
        <v>0</v>
      </c>
      <c r="F897">
        <v>1</v>
      </c>
      <c r="G897">
        <v>783</v>
      </c>
    </row>
    <row r="898" spans="1:7">
      <c r="A898">
        <v>6715</v>
      </c>
      <c r="B898" t="s">
        <v>6358</v>
      </c>
      <c r="C898">
        <v>1</v>
      </c>
      <c r="D898">
        <v>0</v>
      </c>
      <c r="E898">
        <v>0</v>
      </c>
      <c r="F898">
        <v>1</v>
      </c>
      <c r="G898">
        <v>783</v>
      </c>
    </row>
    <row r="899" spans="1:7">
      <c r="A899">
        <v>6754</v>
      </c>
      <c r="B899" t="s">
        <v>6362</v>
      </c>
      <c r="C899">
        <v>1</v>
      </c>
      <c r="D899">
        <v>0</v>
      </c>
      <c r="E899">
        <v>0</v>
      </c>
      <c r="F899">
        <v>1</v>
      </c>
      <c r="G899">
        <v>783</v>
      </c>
    </row>
    <row r="900" spans="1:7">
      <c r="A900">
        <v>8047</v>
      </c>
      <c r="B900" t="s">
        <v>6612</v>
      </c>
      <c r="C900">
        <v>1</v>
      </c>
      <c r="D900">
        <v>0</v>
      </c>
      <c r="E900">
        <v>0</v>
      </c>
      <c r="F900">
        <v>1</v>
      </c>
      <c r="G900">
        <v>783</v>
      </c>
    </row>
    <row r="901" spans="1:7">
      <c r="A901">
        <v>8050</v>
      </c>
      <c r="B901" t="s">
        <v>6382</v>
      </c>
      <c r="C901">
        <v>1</v>
      </c>
      <c r="D901">
        <v>0</v>
      </c>
      <c r="E901">
        <v>0</v>
      </c>
      <c r="F901">
        <v>1</v>
      </c>
      <c r="G901">
        <v>783</v>
      </c>
    </row>
    <row r="902" spans="1:7">
      <c r="A902">
        <v>8066</v>
      </c>
      <c r="B902" t="s">
        <v>8555</v>
      </c>
      <c r="C902">
        <v>1</v>
      </c>
      <c r="D902">
        <v>0</v>
      </c>
      <c r="E902">
        <v>0</v>
      </c>
      <c r="F902">
        <v>1</v>
      </c>
      <c r="G902">
        <v>783</v>
      </c>
    </row>
    <row r="903" spans="1:7">
      <c r="A903">
        <v>8383</v>
      </c>
      <c r="B903" t="s">
        <v>6436</v>
      </c>
      <c r="C903">
        <v>1</v>
      </c>
      <c r="D903">
        <v>0</v>
      </c>
      <c r="E903">
        <v>0</v>
      </c>
      <c r="F903">
        <v>1</v>
      </c>
      <c r="G903">
        <v>783</v>
      </c>
    </row>
    <row r="904" spans="1:7">
      <c r="A904">
        <v>8410</v>
      </c>
      <c r="B904" t="s">
        <v>8563</v>
      </c>
      <c r="C904">
        <v>1</v>
      </c>
      <c r="D904">
        <v>0</v>
      </c>
      <c r="E904">
        <v>0</v>
      </c>
      <c r="F904">
        <v>1</v>
      </c>
      <c r="G904">
        <v>783</v>
      </c>
    </row>
    <row r="905" spans="1:7">
      <c r="A905">
        <v>8420</v>
      </c>
      <c r="B905" t="s">
        <v>6444</v>
      </c>
      <c r="C905">
        <v>1</v>
      </c>
      <c r="D905">
        <v>0</v>
      </c>
      <c r="E905">
        <v>0</v>
      </c>
      <c r="F905">
        <v>1</v>
      </c>
      <c r="G905">
        <v>783</v>
      </c>
    </row>
    <row r="906" spans="1:7">
      <c r="A906">
        <v>8426</v>
      </c>
      <c r="B906" t="s">
        <v>8605</v>
      </c>
      <c r="C906">
        <v>1</v>
      </c>
      <c r="D906">
        <v>0</v>
      </c>
      <c r="E906">
        <v>0</v>
      </c>
      <c r="F906">
        <v>1</v>
      </c>
      <c r="G906">
        <v>783</v>
      </c>
    </row>
    <row r="907" spans="1:7">
      <c r="A907">
        <v>8906</v>
      </c>
      <c r="B907" t="s">
        <v>6474</v>
      </c>
      <c r="C907">
        <v>1</v>
      </c>
      <c r="D907">
        <v>0</v>
      </c>
      <c r="E907">
        <v>0</v>
      </c>
      <c r="F907">
        <v>1</v>
      </c>
      <c r="G907">
        <v>783</v>
      </c>
    </row>
    <row r="908" spans="1:7">
      <c r="A908">
        <v>8935</v>
      </c>
      <c r="B908" t="s">
        <v>8567</v>
      </c>
      <c r="C908">
        <v>1</v>
      </c>
      <c r="D908">
        <v>0</v>
      </c>
      <c r="E908">
        <v>0</v>
      </c>
      <c r="F908">
        <v>1</v>
      </c>
      <c r="G908">
        <v>783</v>
      </c>
    </row>
    <row r="909" spans="1:7">
      <c r="A909">
        <v>8940</v>
      </c>
      <c r="B909" t="s">
        <v>8569</v>
      </c>
      <c r="C909">
        <v>1</v>
      </c>
      <c r="D909">
        <v>0</v>
      </c>
      <c r="E909">
        <v>0</v>
      </c>
      <c r="F909">
        <v>1</v>
      </c>
      <c r="G909">
        <v>783</v>
      </c>
    </row>
    <row r="910" spans="1:7">
      <c r="A910">
        <v>9924</v>
      </c>
      <c r="B910" t="s">
        <v>6501</v>
      </c>
      <c r="C910">
        <v>1</v>
      </c>
      <c r="D910">
        <v>0</v>
      </c>
      <c r="E910">
        <v>0</v>
      </c>
      <c r="F910">
        <v>1</v>
      </c>
      <c r="G910">
        <v>783</v>
      </c>
    </row>
    <row r="911" spans="1:7">
      <c r="A911">
        <v>9933</v>
      </c>
      <c r="B911" t="s">
        <v>6507</v>
      </c>
      <c r="C911">
        <v>1</v>
      </c>
      <c r="D911">
        <v>0</v>
      </c>
      <c r="E911">
        <v>0</v>
      </c>
      <c r="F911">
        <v>1</v>
      </c>
      <c r="G911">
        <v>783</v>
      </c>
    </row>
    <row r="912" spans="1:7">
      <c r="A912">
        <v>1103</v>
      </c>
      <c r="B912" t="s">
        <v>5167</v>
      </c>
      <c r="C912">
        <v>0</v>
      </c>
      <c r="D912">
        <v>0</v>
      </c>
      <c r="E912">
        <v>0</v>
      </c>
      <c r="F912">
        <v>0</v>
      </c>
      <c r="G912">
        <v>911</v>
      </c>
    </row>
    <row r="913" spans="1:7">
      <c r="A913">
        <v>1104</v>
      </c>
      <c r="B913" t="s">
        <v>5168</v>
      </c>
      <c r="C913">
        <v>0</v>
      </c>
      <c r="D913">
        <v>0</v>
      </c>
      <c r="E913">
        <v>0</v>
      </c>
      <c r="F913">
        <v>0</v>
      </c>
      <c r="G913">
        <v>911</v>
      </c>
    </row>
    <row r="914" spans="1:7">
      <c r="A914">
        <v>1108</v>
      </c>
      <c r="B914" t="s">
        <v>5169</v>
      </c>
      <c r="C914">
        <v>0</v>
      </c>
      <c r="D914">
        <v>0</v>
      </c>
      <c r="E914">
        <v>0</v>
      </c>
      <c r="F914">
        <v>0</v>
      </c>
      <c r="G914">
        <v>911</v>
      </c>
    </row>
    <row r="915" spans="1:7">
      <c r="A915">
        <v>1109</v>
      </c>
      <c r="B915" t="s">
        <v>5170</v>
      </c>
      <c r="C915">
        <v>0</v>
      </c>
      <c r="D915">
        <v>0</v>
      </c>
      <c r="E915">
        <v>0</v>
      </c>
      <c r="F915">
        <v>0</v>
      </c>
      <c r="G915">
        <v>911</v>
      </c>
    </row>
    <row r="916" spans="1:7">
      <c r="A916">
        <v>1110</v>
      </c>
      <c r="B916" t="s">
        <v>5171</v>
      </c>
      <c r="C916">
        <v>0</v>
      </c>
      <c r="D916">
        <v>0</v>
      </c>
      <c r="E916">
        <v>0</v>
      </c>
      <c r="F916">
        <v>0</v>
      </c>
      <c r="G916">
        <v>911</v>
      </c>
    </row>
    <row r="917" spans="1:7">
      <c r="A917">
        <v>1201</v>
      </c>
      <c r="B917" t="s">
        <v>5172</v>
      </c>
      <c r="C917">
        <v>0</v>
      </c>
      <c r="D917">
        <v>0</v>
      </c>
      <c r="E917">
        <v>0</v>
      </c>
      <c r="F917">
        <v>0</v>
      </c>
      <c r="G917">
        <v>911</v>
      </c>
    </row>
    <row r="918" spans="1:7">
      <c r="A918">
        <v>1203</v>
      </c>
      <c r="B918" t="s">
        <v>5173</v>
      </c>
      <c r="C918">
        <v>0</v>
      </c>
      <c r="D918">
        <v>0</v>
      </c>
      <c r="E918">
        <v>0</v>
      </c>
      <c r="F918">
        <v>0</v>
      </c>
      <c r="G918">
        <v>911</v>
      </c>
    </row>
    <row r="919" spans="1:7">
      <c r="A919">
        <v>1210</v>
      </c>
      <c r="B919" t="s">
        <v>5174</v>
      </c>
      <c r="C919">
        <v>0</v>
      </c>
      <c r="D919">
        <v>0</v>
      </c>
      <c r="E919">
        <v>0</v>
      </c>
      <c r="F919">
        <v>0</v>
      </c>
      <c r="G919">
        <v>911</v>
      </c>
    </row>
    <row r="920" spans="1:7">
      <c r="A920">
        <v>1213</v>
      </c>
      <c r="B920" t="s">
        <v>8448</v>
      </c>
      <c r="C920">
        <v>0</v>
      </c>
      <c r="D920">
        <v>0</v>
      </c>
      <c r="E920">
        <v>0</v>
      </c>
      <c r="F920">
        <v>0</v>
      </c>
      <c r="G920">
        <v>911</v>
      </c>
    </row>
    <row r="921" spans="1:7">
      <c r="A921">
        <v>1216</v>
      </c>
      <c r="B921" t="s">
        <v>5176</v>
      </c>
      <c r="C921">
        <v>0</v>
      </c>
      <c r="D921">
        <v>0</v>
      </c>
      <c r="E921">
        <v>0</v>
      </c>
      <c r="F921">
        <v>0</v>
      </c>
      <c r="G921">
        <v>911</v>
      </c>
    </row>
    <row r="922" spans="1:7">
      <c r="A922">
        <v>1218</v>
      </c>
      <c r="B922" t="s">
        <v>5178</v>
      </c>
      <c r="C922">
        <v>0</v>
      </c>
      <c r="D922">
        <v>0</v>
      </c>
      <c r="E922">
        <v>0</v>
      </c>
      <c r="F922">
        <v>0</v>
      </c>
      <c r="G922">
        <v>911</v>
      </c>
    </row>
    <row r="923" spans="1:7">
      <c r="A923">
        <v>1220</v>
      </c>
      <c r="B923" t="s">
        <v>5180</v>
      </c>
      <c r="C923">
        <v>0</v>
      </c>
      <c r="D923">
        <v>0</v>
      </c>
      <c r="E923">
        <v>0</v>
      </c>
      <c r="F923">
        <v>0</v>
      </c>
      <c r="G923">
        <v>911</v>
      </c>
    </row>
    <row r="924" spans="1:7">
      <c r="A924">
        <v>1225</v>
      </c>
      <c r="B924" t="s">
        <v>5181</v>
      </c>
      <c r="C924">
        <v>0</v>
      </c>
      <c r="D924">
        <v>0</v>
      </c>
      <c r="E924">
        <v>0</v>
      </c>
      <c r="F924">
        <v>0</v>
      </c>
      <c r="G924">
        <v>911</v>
      </c>
    </row>
    <row r="925" spans="1:7">
      <c r="A925">
        <v>1227</v>
      </c>
      <c r="B925" t="s">
        <v>5182</v>
      </c>
      <c r="C925">
        <v>0</v>
      </c>
      <c r="D925">
        <v>0</v>
      </c>
      <c r="E925">
        <v>0</v>
      </c>
      <c r="F925">
        <v>0</v>
      </c>
      <c r="G925">
        <v>911</v>
      </c>
    </row>
    <row r="926" spans="1:7">
      <c r="A926">
        <v>1229</v>
      </c>
      <c r="B926" t="s">
        <v>5183</v>
      </c>
      <c r="C926">
        <v>0</v>
      </c>
      <c r="D926">
        <v>0</v>
      </c>
      <c r="E926">
        <v>0</v>
      </c>
      <c r="F926">
        <v>0</v>
      </c>
      <c r="G926">
        <v>911</v>
      </c>
    </row>
    <row r="927" spans="1:7">
      <c r="A927">
        <v>1231</v>
      </c>
      <c r="B927" t="s">
        <v>5184</v>
      </c>
      <c r="C927">
        <v>0</v>
      </c>
      <c r="D927">
        <v>0</v>
      </c>
      <c r="E927">
        <v>0</v>
      </c>
      <c r="F927">
        <v>0</v>
      </c>
      <c r="G927">
        <v>911</v>
      </c>
    </row>
    <row r="928" spans="1:7">
      <c r="A928">
        <v>1232</v>
      </c>
      <c r="B928" t="s">
        <v>5185</v>
      </c>
      <c r="C928">
        <v>0</v>
      </c>
      <c r="D928">
        <v>0</v>
      </c>
      <c r="E928">
        <v>0</v>
      </c>
      <c r="F928">
        <v>0</v>
      </c>
      <c r="G928">
        <v>911</v>
      </c>
    </row>
    <row r="929" spans="1:7">
      <c r="A929">
        <v>1233</v>
      </c>
      <c r="B929" t="s">
        <v>5186</v>
      </c>
      <c r="C929">
        <v>0</v>
      </c>
      <c r="D929">
        <v>0</v>
      </c>
      <c r="E929">
        <v>0</v>
      </c>
      <c r="F929">
        <v>0</v>
      </c>
      <c r="G929">
        <v>911</v>
      </c>
    </row>
    <row r="930" spans="1:7">
      <c r="A930">
        <v>1234</v>
      </c>
      <c r="B930" t="s">
        <v>5187</v>
      </c>
      <c r="C930">
        <v>0</v>
      </c>
      <c r="D930">
        <v>0</v>
      </c>
      <c r="E930">
        <v>0</v>
      </c>
      <c r="F930">
        <v>0</v>
      </c>
      <c r="G930">
        <v>911</v>
      </c>
    </row>
    <row r="931" spans="1:7">
      <c r="A931">
        <v>1235</v>
      </c>
      <c r="B931" t="s">
        <v>5188</v>
      </c>
      <c r="C931">
        <v>0</v>
      </c>
      <c r="D931">
        <v>0</v>
      </c>
      <c r="E931">
        <v>0</v>
      </c>
      <c r="F931">
        <v>0</v>
      </c>
      <c r="G931">
        <v>911</v>
      </c>
    </row>
    <row r="932" spans="1:7">
      <c r="A932">
        <v>1256</v>
      </c>
      <c r="B932" t="s">
        <v>5191</v>
      </c>
      <c r="C932">
        <v>0</v>
      </c>
      <c r="D932">
        <v>0</v>
      </c>
      <c r="E932">
        <v>0</v>
      </c>
      <c r="F932">
        <v>0</v>
      </c>
      <c r="G932">
        <v>911</v>
      </c>
    </row>
    <row r="933" spans="1:7">
      <c r="A933">
        <v>1264</v>
      </c>
      <c r="B933" t="s">
        <v>5193</v>
      </c>
      <c r="C933">
        <v>0</v>
      </c>
      <c r="D933">
        <v>0</v>
      </c>
      <c r="E933">
        <v>0</v>
      </c>
      <c r="F933">
        <v>0</v>
      </c>
      <c r="G933">
        <v>911</v>
      </c>
    </row>
    <row r="934" spans="1:7">
      <c r="A934">
        <v>1301</v>
      </c>
      <c r="B934" t="s">
        <v>5194</v>
      </c>
      <c r="C934">
        <v>0</v>
      </c>
      <c r="D934">
        <v>0</v>
      </c>
      <c r="E934">
        <v>0</v>
      </c>
      <c r="F934">
        <v>0</v>
      </c>
      <c r="G934">
        <v>911</v>
      </c>
    </row>
    <row r="935" spans="1:7">
      <c r="A935">
        <v>1303</v>
      </c>
      <c r="B935" t="s">
        <v>5195</v>
      </c>
      <c r="C935">
        <v>0</v>
      </c>
      <c r="D935">
        <v>0</v>
      </c>
      <c r="E935">
        <v>0</v>
      </c>
      <c r="F935">
        <v>0</v>
      </c>
      <c r="G935">
        <v>911</v>
      </c>
    </row>
    <row r="936" spans="1:7">
      <c r="A936">
        <v>1307</v>
      </c>
      <c r="B936" t="s">
        <v>5198</v>
      </c>
      <c r="C936">
        <v>0</v>
      </c>
      <c r="D936">
        <v>0</v>
      </c>
      <c r="E936">
        <v>0</v>
      </c>
      <c r="F936">
        <v>0</v>
      </c>
      <c r="G936">
        <v>911</v>
      </c>
    </row>
    <row r="937" spans="1:7">
      <c r="A937">
        <v>1315</v>
      </c>
      <c r="B937" t="s">
        <v>5205</v>
      </c>
      <c r="C937">
        <v>0</v>
      </c>
      <c r="D937">
        <v>0</v>
      </c>
      <c r="E937">
        <v>0</v>
      </c>
      <c r="F937">
        <v>0</v>
      </c>
      <c r="G937">
        <v>911</v>
      </c>
    </row>
    <row r="938" spans="1:7">
      <c r="A938">
        <v>1319</v>
      </c>
      <c r="B938" t="s">
        <v>5207</v>
      </c>
      <c r="C938">
        <v>0</v>
      </c>
      <c r="D938">
        <v>0</v>
      </c>
      <c r="E938">
        <v>0</v>
      </c>
      <c r="F938">
        <v>0</v>
      </c>
      <c r="G938">
        <v>911</v>
      </c>
    </row>
    <row r="939" spans="1:7">
      <c r="A939">
        <v>1321</v>
      </c>
      <c r="B939" t="s">
        <v>5208</v>
      </c>
      <c r="C939">
        <v>0</v>
      </c>
      <c r="D939">
        <v>0</v>
      </c>
      <c r="E939">
        <v>0</v>
      </c>
      <c r="F939">
        <v>0</v>
      </c>
      <c r="G939">
        <v>911</v>
      </c>
    </row>
    <row r="940" spans="1:7">
      <c r="A940">
        <v>1323</v>
      </c>
      <c r="B940" t="s">
        <v>5209</v>
      </c>
      <c r="C940">
        <v>0</v>
      </c>
      <c r="D940">
        <v>0</v>
      </c>
      <c r="E940">
        <v>0</v>
      </c>
      <c r="F940">
        <v>0</v>
      </c>
      <c r="G940">
        <v>911</v>
      </c>
    </row>
    <row r="941" spans="1:7">
      <c r="A941">
        <v>1324</v>
      </c>
      <c r="B941" t="s">
        <v>5210</v>
      </c>
      <c r="C941">
        <v>0</v>
      </c>
      <c r="D941">
        <v>0</v>
      </c>
      <c r="E941">
        <v>0</v>
      </c>
      <c r="F941">
        <v>0</v>
      </c>
      <c r="G941">
        <v>911</v>
      </c>
    </row>
    <row r="942" spans="1:7">
      <c r="A942">
        <v>1326</v>
      </c>
      <c r="B942" t="s">
        <v>5212</v>
      </c>
      <c r="C942">
        <v>0</v>
      </c>
      <c r="D942">
        <v>0</v>
      </c>
      <c r="E942">
        <v>0</v>
      </c>
      <c r="F942">
        <v>0</v>
      </c>
      <c r="G942">
        <v>911</v>
      </c>
    </row>
    <row r="943" spans="1:7">
      <c r="A943">
        <v>1338</v>
      </c>
      <c r="B943" t="s">
        <v>5215</v>
      </c>
      <c r="C943">
        <v>0</v>
      </c>
      <c r="D943">
        <v>0</v>
      </c>
      <c r="E943">
        <v>0</v>
      </c>
      <c r="F943">
        <v>0</v>
      </c>
      <c r="G943">
        <v>911</v>
      </c>
    </row>
    <row r="944" spans="1:7">
      <c r="A944">
        <v>1339</v>
      </c>
      <c r="B944" t="s">
        <v>5216</v>
      </c>
      <c r="C944">
        <v>0</v>
      </c>
      <c r="D944">
        <v>0</v>
      </c>
      <c r="E944">
        <v>0</v>
      </c>
      <c r="F944">
        <v>0</v>
      </c>
      <c r="G944">
        <v>911</v>
      </c>
    </row>
    <row r="945" spans="1:7">
      <c r="A945">
        <v>1340</v>
      </c>
      <c r="B945" t="s">
        <v>5217</v>
      </c>
      <c r="C945">
        <v>0</v>
      </c>
      <c r="D945">
        <v>0</v>
      </c>
      <c r="E945">
        <v>0</v>
      </c>
      <c r="F945">
        <v>0</v>
      </c>
      <c r="G945">
        <v>911</v>
      </c>
    </row>
    <row r="946" spans="1:7">
      <c r="A946">
        <v>1342</v>
      </c>
      <c r="B946" t="s">
        <v>5218</v>
      </c>
      <c r="C946">
        <v>0</v>
      </c>
      <c r="D946">
        <v>0</v>
      </c>
      <c r="E946">
        <v>0</v>
      </c>
      <c r="F946">
        <v>0</v>
      </c>
      <c r="G946">
        <v>911</v>
      </c>
    </row>
    <row r="947" spans="1:7">
      <c r="A947">
        <v>1402</v>
      </c>
      <c r="B947" t="s">
        <v>5219</v>
      </c>
      <c r="C947">
        <v>0</v>
      </c>
      <c r="D947">
        <v>0</v>
      </c>
      <c r="E947">
        <v>0</v>
      </c>
      <c r="F947">
        <v>0</v>
      </c>
      <c r="G947">
        <v>911</v>
      </c>
    </row>
    <row r="948" spans="1:7">
      <c r="A948">
        <v>1410</v>
      </c>
      <c r="B948" t="s">
        <v>5221</v>
      </c>
      <c r="C948">
        <v>0</v>
      </c>
      <c r="D948">
        <v>0</v>
      </c>
      <c r="E948">
        <v>0</v>
      </c>
      <c r="F948">
        <v>0</v>
      </c>
      <c r="G948">
        <v>911</v>
      </c>
    </row>
    <row r="949" spans="1:7">
      <c r="A949">
        <v>1413</v>
      </c>
      <c r="B949" t="s">
        <v>8449</v>
      </c>
      <c r="C949">
        <v>0</v>
      </c>
      <c r="D949">
        <v>0</v>
      </c>
      <c r="E949">
        <v>0</v>
      </c>
      <c r="F949">
        <v>0</v>
      </c>
      <c r="G949">
        <v>911</v>
      </c>
    </row>
    <row r="950" spans="1:7">
      <c r="A950">
        <v>1418</v>
      </c>
      <c r="B950" t="s">
        <v>8450</v>
      </c>
      <c r="C950">
        <v>0</v>
      </c>
      <c r="D950">
        <v>0</v>
      </c>
      <c r="E950">
        <v>0</v>
      </c>
      <c r="F950">
        <v>0</v>
      </c>
      <c r="G950">
        <v>911</v>
      </c>
    </row>
    <row r="951" spans="1:7">
      <c r="A951">
        <v>1419</v>
      </c>
      <c r="B951" t="s">
        <v>5225</v>
      </c>
      <c r="C951">
        <v>0</v>
      </c>
      <c r="D951">
        <v>0</v>
      </c>
      <c r="E951">
        <v>0</v>
      </c>
      <c r="F951">
        <v>0</v>
      </c>
      <c r="G951">
        <v>911</v>
      </c>
    </row>
    <row r="952" spans="1:7">
      <c r="A952">
        <v>1423</v>
      </c>
      <c r="B952" t="s">
        <v>5226</v>
      </c>
      <c r="C952">
        <v>0</v>
      </c>
      <c r="D952">
        <v>0</v>
      </c>
      <c r="E952">
        <v>0</v>
      </c>
      <c r="F952">
        <v>0</v>
      </c>
      <c r="G952">
        <v>911</v>
      </c>
    </row>
    <row r="953" spans="1:7">
      <c r="A953">
        <v>1432</v>
      </c>
      <c r="B953" t="s">
        <v>8451</v>
      </c>
      <c r="C953">
        <v>0</v>
      </c>
      <c r="D953">
        <v>0</v>
      </c>
      <c r="E953">
        <v>0</v>
      </c>
      <c r="F953">
        <v>0</v>
      </c>
      <c r="G953">
        <v>911</v>
      </c>
    </row>
    <row r="954" spans="1:7">
      <c r="A954">
        <v>1435</v>
      </c>
      <c r="B954" t="s">
        <v>8452</v>
      </c>
      <c r="C954">
        <v>0</v>
      </c>
      <c r="D954">
        <v>0</v>
      </c>
      <c r="E954">
        <v>0</v>
      </c>
      <c r="F954">
        <v>0</v>
      </c>
      <c r="G954">
        <v>911</v>
      </c>
    </row>
    <row r="955" spans="1:7">
      <c r="A955">
        <v>1436</v>
      </c>
      <c r="B955" t="s">
        <v>5228</v>
      </c>
      <c r="C955">
        <v>0</v>
      </c>
      <c r="D955">
        <v>0</v>
      </c>
      <c r="E955">
        <v>0</v>
      </c>
      <c r="F955">
        <v>0</v>
      </c>
      <c r="G955">
        <v>911</v>
      </c>
    </row>
    <row r="956" spans="1:7">
      <c r="A956">
        <v>1437</v>
      </c>
      <c r="B956" t="s">
        <v>5229</v>
      </c>
      <c r="C956">
        <v>0</v>
      </c>
      <c r="D956">
        <v>0</v>
      </c>
      <c r="E956">
        <v>0</v>
      </c>
      <c r="F956">
        <v>0</v>
      </c>
      <c r="G956">
        <v>911</v>
      </c>
    </row>
    <row r="957" spans="1:7">
      <c r="A957">
        <v>1438</v>
      </c>
      <c r="B957" t="s">
        <v>5230</v>
      </c>
      <c r="C957">
        <v>0</v>
      </c>
      <c r="D957">
        <v>0</v>
      </c>
      <c r="E957">
        <v>0</v>
      </c>
      <c r="F957">
        <v>0</v>
      </c>
      <c r="G957">
        <v>911</v>
      </c>
    </row>
    <row r="958" spans="1:7">
      <c r="A958">
        <v>1439</v>
      </c>
      <c r="B958" t="s">
        <v>5231</v>
      </c>
      <c r="C958">
        <v>0</v>
      </c>
      <c r="D958">
        <v>0</v>
      </c>
      <c r="E958">
        <v>0</v>
      </c>
      <c r="F958">
        <v>0</v>
      </c>
      <c r="G958">
        <v>911</v>
      </c>
    </row>
    <row r="959" spans="1:7">
      <c r="A959">
        <v>1441</v>
      </c>
      <c r="B959" t="s">
        <v>8453</v>
      </c>
      <c r="C959">
        <v>0</v>
      </c>
      <c r="D959">
        <v>0</v>
      </c>
      <c r="E959">
        <v>0</v>
      </c>
      <c r="F959">
        <v>0</v>
      </c>
      <c r="G959">
        <v>911</v>
      </c>
    </row>
    <row r="960" spans="1:7">
      <c r="A960">
        <v>1443</v>
      </c>
      <c r="B960" t="s">
        <v>8454</v>
      </c>
      <c r="C960">
        <v>0</v>
      </c>
      <c r="D960">
        <v>0</v>
      </c>
      <c r="E960">
        <v>0</v>
      </c>
      <c r="F960">
        <v>0</v>
      </c>
      <c r="G960">
        <v>911</v>
      </c>
    </row>
    <row r="961" spans="1:7">
      <c r="A961">
        <v>1445</v>
      </c>
      <c r="B961" t="s">
        <v>5235</v>
      </c>
      <c r="C961">
        <v>0</v>
      </c>
      <c r="D961">
        <v>0</v>
      </c>
      <c r="E961">
        <v>0</v>
      </c>
      <c r="F961">
        <v>0</v>
      </c>
      <c r="G961">
        <v>911</v>
      </c>
    </row>
    <row r="962" spans="1:7">
      <c r="A962">
        <v>1446</v>
      </c>
      <c r="B962" t="s">
        <v>5236</v>
      </c>
      <c r="C962">
        <v>0</v>
      </c>
      <c r="D962">
        <v>0</v>
      </c>
      <c r="E962">
        <v>0</v>
      </c>
      <c r="F962">
        <v>0</v>
      </c>
      <c r="G962">
        <v>911</v>
      </c>
    </row>
    <row r="963" spans="1:7">
      <c r="A963">
        <v>1449</v>
      </c>
      <c r="B963" t="s">
        <v>8455</v>
      </c>
      <c r="C963">
        <v>0</v>
      </c>
      <c r="D963">
        <v>0</v>
      </c>
      <c r="E963">
        <v>0</v>
      </c>
      <c r="F963">
        <v>0</v>
      </c>
      <c r="G963">
        <v>911</v>
      </c>
    </row>
    <row r="964" spans="1:7">
      <c r="A964">
        <v>1451</v>
      </c>
      <c r="B964" t="s">
        <v>5238</v>
      </c>
      <c r="C964">
        <v>0</v>
      </c>
      <c r="D964">
        <v>0</v>
      </c>
      <c r="E964">
        <v>0</v>
      </c>
      <c r="F964">
        <v>0</v>
      </c>
      <c r="G964">
        <v>911</v>
      </c>
    </row>
    <row r="965" spans="1:7">
      <c r="A965">
        <v>1454</v>
      </c>
      <c r="B965" t="s">
        <v>5241</v>
      </c>
      <c r="C965">
        <v>0</v>
      </c>
      <c r="D965">
        <v>0</v>
      </c>
      <c r="E965">
        <v>0</v>
      </c>
      <c r="F965">
        <v>0</v>
      </c>
      <c r="G965">
        <v>911</v>
      </c>
    </row>
    <row r="966" spans="1:7">
      <c r="A966">
        <v>1459</v>
      </c>
      <c r="B966" t="s">
        <v>5245</v>
      </c>
      <c r="C966">
        <v>0</v>
      </c>
      <c r="D966">
        <v>0</v>
      </c>
      <c r="E966">
        <v>0</v>
      </c>
      <c r="F966">
        <v>0</v>
      </c>
      <c r="G966">
        <v>911</v>
      </c>
    </row>
    <row r="967" spans="1:7">
      <c r="A967">
        <v>1460</v>
      </c>
      <c r="B967" t="s">
        <v>8456</v>
      </c>
      <c r="C967">
        <v>0</v>
      </c>
      <c r="D967">
        <v>0</v>
      </c>
      <c r="E967">
        <v>0</v>
      </c>
      <c r="F967">
        <v>0</v>
      </c>
      <c r="G967">
        <v>911</v>
      </c>
    </row>
    <row r="968" spans="1:7">
      <c r="A968">
        <v>1464</v>
      </c>
      <c r="B968" t="s">
        <v>5247</v>
      </c>
      <c r="C968">
        <v>0</v>
      </c>
      <c r="D968">
        <v>0</v>
      </c>
      <c r="E968">
        <v>0</v>
      </c>
      <c r="F968">
        <v>0</v>
      </c>
      <c r="G968">
        <v>911</v>
      </c>
    </row>
    <row r="969" spans="1:7">
      <c r="A969">
        <v>1465</v>
      </c>
      <c r="B969" t="s">
        <v>5248</v>
      </c>
      <c r="C969">
        <v>0</v>
      </c>
      <c r="D969">
        <v>0</v>
      </c>
      <c r="E969">
        <v>0</v>
      </c>
      <c r="F969">
        <v>0</v>
      </c>
      <c r="G969">
        <v>911</v>
      </c>
    </row>
    <row r="970" spans="1:7">
      <c r="A970">
        <v>1468</v>
      </c>
      <c r="B970" t="s">
        <v>8457</v>
      </c>
      <c r="C970">
        <v>0</v>
      </c>
      <c r="D970">
        <v>0</v>
      </c>
      <c r="E970">
        <v>0</v>
      </c>
      <c r="F970">
        <v>0</v>
      </c>
      <c r="G970">
        <v>911</v>
      </c>
    </row>
    <row r="971" spans="1:7">
      <c r="A971">
        <v>1470</v>
      </c>
      <c r="B971" t="s">
        <v>5251</v>
      </c>
      <c r="C971">
        <v>0</v>
      </c>
      <c r="D971">
        <v>0</v>
      </c>
      <c r="E971">
        <v>0</v>
      </c>
      <c r="F971">
        <v>0</v>
      </c>
      <c r="G971">
        <v>911</v>
      </c>
    </row>
    <row r="972" spans="1:7">
      <c r="A972">
        <v>1472</v>
      </c>
      <c r="B972" t="s">
        <v>8459</v>
      </c>
      <c r="C972">
        <v>0</v>
      </c>
      <c r="D972">
        <v>0</v>
      </c>
      <c r="E972">
        <v>0</v>
      </c>
      <c r="F972">
        <v>0</v>
      </c>
      <c r="G972">
        <v>911</v>
      </c>
    </row>
    <row r="973" spans="1:7">
      <c r="A973">
        <v>1473</v>
      </c>
      <c r="B973" t="s">
        <v>5252</v>
      </c>
      <c r="C973">
        <v>0</v>
      </c>
      <c r="D973">
        <v>0</v>
      </c>
      <c r="E973">
        <v>0</v>
      </c>
      <c r="F973">
        <v>0</v>
      </c>
      <c r="G973">
        <v>911</v>
      </c>
    </row>
    <row r="974" spans="1:7">
      <c r="A974">
        <v>1475</v>
      </c>
      <c r="B974" t="s">
        <v>8460</v>
      </c>
      <c r="C974">
        <v>0</v>
      </c>
      <c r="D974">
        <v>0</v>
      </c>
      <c r="E974">
        <v>0</v>
      </c>
      <c r="F974">
        <v>0</v>
      </c>
      <c r="G974">
        <v>911</v>
      </c>
    </row>
    <row r="975" spans="1:7">
      <c r="A975">
        <v>1503</v>
      </c>
      <c r="B975" t="s">
        <v>5256</v>
      </c>
      <c r="C975">
        <v>0</v>
      </c>
      <c r="D975">
        <v>0</v>
      </c>
      <c r="E975">
        <v>0</v>
      </c>
      <c r="F975">
        <v>0</v>
      </c>
      <c r="G975">
        <v>911</v>
      </c>
    </row>
    <row r="976" spans="1:7">
      <c r="A976">
        <v>1504</v>
      </c>
      <c r="B976" t="s">
        <v>5257</v>
      </c>
      <c r="C976">
        <v>0</v>
      </c>
      <c r="D976">
        <v>0</v>
      </c>
      <c r="E976">
        <v>0</v>
      </c>
      <c r="F976">
        <v>0</v>
      </c>
      <c r="G976">
        <v>911</v>
      </c>
    </row>
    <row r="977" spans="1:7">
      <c r="A977">
        <v>1506</v>
      </c>
      <c r="B977" t="s">
        <v>8461</v>
      </c>
      <c r="C977">
        <v>0</v>
      </c>
      <c r="D977">
        <v>0</v>
      </c>
      <c r="E977">
        <v>0</v>
      </c>
      <c r="F977">
        <v>0</v>
      </c>
      <c r="G977">
        <v>911</v>
      </c>
    </row>
    <row r="978" spans="1:7">
      <c r="A978">
        <v>1507</v>
      </c>
      <c r="B978" t="s">
        <v>5258</v>
      </c>
      <c r="C978">
        <v>0</v>
      </c>
      <c r="D978">
        <v>0</v>
      </c>
      <c r="E978">
        <v>0</v>
      </c>
      <c r="F978">
        <v>0</v>
      </c>
      <c r="G978">
        <v>911</v>
      </c>
    </row>
    <row r="979" spans="1:7">
      <c r="A979">
        <v>1512</v>
      </c>
      <c r="B979" t="s">
        <v>8462</v>
      </c>
      <c r="C979">
        <v>0</v>
      </c>
      <c r="D979">
        <v>0</v>
      </c>
      <c r="E979">
        <v>0</v>
      </c>
      <c r="F979">
        <v>0</v>
      </c>
      <c r="G979">
        <v>911</v>
      </c>
    </row>
    <row r="980" spans="1:7">
      <c r="A980">
        <v>1519</v>
      </c>
      <c r="B980" t="s">
        <v>5264</v>
      </c>
      <c r="C980">
        <v>0</v>
      </c>
      <c r="D980">
        <v>0</v>
      </c>
      <c r="E980">
        <v>0</v>
      </c>
      <c r="F980">
        <v>0</v>
      </c>
      <c r="G980">
        <v>911</v>
      </c>
    </row>
    <row r="981" spans="1:7">
      <c r="A981">
        <v>1521</v>
      </c>
      <c r="B981" t="s">
        <v>5265</v>
      </c>
      <c r="C981">
        <v>0</v>
      </c>
      <c r="D981">
        <v>0</v>
      </c>
      <c r="E981">
        <v>0</v>
      </c>
      <c r="F981">
        <v>0</v>
      </c>
      <c r="G981">
        <v>911</v>
      </c>
    </row>
    <row r="982" spans="1:7">
      <c r="A982">
        <v>1522</v>
      </c>
      <c r="B982" t="s">
        <v>5266</v>
      </c>
      <c r="C982">
        <v>0</v>
      </c>
      <c r="D982">
        <v>0</v>
      </c>
      <c r="E982">
        <v>0</v>
      </c>
      <c r="F982">
        <v>0</v>
      </c>
      <c r="G982">
        <v>911</v>
      </c>
    </row>
    <row r="983" spans="1:7">
      <c r="A983">
        <v>1524</v>
      </c>
      <c r="B983" t="s">
        <v>5267</v>
      </c>
      <c r="C983">
        <v>0</v>
      </c>
      <c r="D983">
        <v>0</v>
      </c>
      <c r="E983">
        <v>0</v>
      </c>
      <c r="F983">
        <v>0</v>
      </c>
      <c r="G983">
        <v>911</v>
      </c>
    </row>
    <row r="984" spans="1:7">
      <c r="A984">
        <v>1525</v>
      </c>
      <c r="B984" t="s">
        <v>5268</v>
      </c>
      <c r="C984">
        <v>0</v>
      </c>
      <c r="D984">
        <v>0</v>
      </c>
      <c r="E984">
        <v>0</v>
      </c>
      <c r="F984">
        <v>0</v>
      </c>
      <c r="G984">
        <v>911</v>
      </c>
    </row>
    <row r="985" spans="1:7">
      <c r="A985">
        <v>1530</v>
      </c>
      <c r="B985" t="s">
        <v>5273</v>
      </c>
      <c r="C985">
        <v>0</v>
      </c>
      <c r="D985">
        <v>0</v>
      </c>
      <c r="E985">
        <v>0</v>
      </c>
      <c r="F985">
        <v>0</v>
      </c>
      <c r="G985">
        <v>911</v>
      </c>
    </row>
    <row r="986" spans="1:7">
      <c r="A986">
        <v>1531</v>
      </c>
      <c r="B986" t="s">
        <v>5274</v>
      </c>
      <c r="C986">
        <v>0</v>
      </c>
      <c r="D986">
        <v>0</v>
      </c>
      <c r="E986">
        <v>0</v>
      </c>
      <c r="F986">
        <v>0</v>
      </c>
      <c r="G986">
        <v>911</v>
      </c>
    </row>
    <row r="987" spans="1:7">
      <c r="A987">
        <v>1532</v>
      </c>
      <c r="B987" t="s">
        <v>5275</v>
      </c>
      <c r="C987">
        <v>0</v>
      </c>
      <c r="D987">
        <v>0</v>
      </c>
      <c r="E987">
        <v>0</v>
      </c>
      <c r="F987">
        <v>0</v>
      </c>
      <c r="G987">
        <v>911</v>
      </c>
    </row>
    <row r="988" spans="1:7">
      <c r="A988">
        <v>1535</v>
      </c>
      <c r="B988" t="s">
        <v>5277</v>
      </c>
      <c r="C988">
        <v>0</v>
      </c>
      <c r="D988">
        <v>0</v>
      </c>
      <c r="E988">
        <v>0</v>
      </c>
      <c r="F988">
        <v>0</v>
      </c>
      <c r="G988">
        <v>911</v>
      </c>
    </row>
    <row r="989" spans="1:7">
      <c r="A989">
        <v>1537</v>
      </c>
      <c r="B989" t="s">
        <v>5279</v>
      </c>
      <c r="C989">
        <v>0</v>
      </c>
      <c r="D989">
        <v>0</v>
      </c>
      <c r="E989">
        <v>0</v>
      </c>
      <c r="F989">
        <v>0</v>
      </c>
      <c r="G989">
        <v>911</v>
      </c>
    </row>
    <row r="990" spans="1:7">
      <c r="A990">
        <v>1538</v>
      </c>
      <c r="B990" t="s">
        <v>8463</v>
      </c>
      <c r="C990">
        <v>0</v>
      </c>
      <c r="D990">
        <v>0</v>
      </c>
      <c r="E990">
        <v>0</v>
      </c>
      <c r="F990">
        <v>0</v>
      </c>
      <c r="G990">
        <v>911</v>
      </c>
    </row>
    <row r="991" spans="1:7">
      <c r="A991">
        <v>1540</v>
      </c>
      <c r="B991" t="s">
        <v>5281</v>
      </c>
      <c r="C991">
        <v>0</v>
      </c>
      <c r="D991">
        <v>0</v>
      </c>
      <c r="E991">
        <v>0</v>
      </c>
      <c r="F991">
        <v>0</v>
      </c>
      <c r="G991">
        <v>911</v>
      </c>
    </row>
    <row r="992" spans="1:7">
      <c r="A992">
        <v>1541</v>
      </c>
      <c r="B992" t="s">
        <v>5282</v>
      </c>
      <c r="C992">
        <v>0</v>
      </c>
      <c r="D992">
        <v>0</v>
      </c>
      <c r="E992">
        <v>0</v>
      </c>
      <c r="F992">
        <v>0</v>
      </c>
      <c r="G992">
        <v>911</v>
      </c>
    </row>
    <row r="993" spans="1:7">
      <c r="A993">
        <v>1580</v>
      </c>
      <c r="B993" t="s">
        <v>5289</v>
      </c>
      <c r="C993">
        <v>0</v>
      </c>
      <c r="D993">
        <v>0</v>
      </c>
      <c r="E993">
        <v>0</v>
      </c>
      <c r="F993">
        <v>0</v>
      </c>
      <c r="G993">
        <v>911</v>
      </c>
    </row>
    <row r="994" spans="1:7">
      <c r="A994">
        <v>1582</v>
      </c>
      <c r="B994" t="s">
        <v>5290</v>
      </c>
      <c r="C994">
        <v>0</v>
      </c>
      <c r="D994">
        <v>0</v>
      </c>
      <c r="E994">
        <v>0</v>
      </c>
      <c r="F994">
        <v>0</v>
      </c>
      <c r="G994">
        <v>911</v>
      </c>
    </row>
    <row r="995" spans="1:7">
      <c r="A995">
        <v>1583</v>
      </c>
      <c r="B995" t="s">
        <v>5291</v>
      </c>
      <c r="C995">
        <v>0</v>
      </c>
      <c r="D995">
        <v>0</v>
      </c>
      <c r="E995">
        <v>0</v>
      </c>
      <c r="F995">
        <v>0</v>
      </c>
      <c r="G995">
        <v>911</v>
      </c>
    </row>
    <row r="996" spans="1:7">
      <c r="A996">
        <v>1587</v>
      </c>
      <c r="B996" t="s">
        <v>5294</v>
      </c>
      <c r="C996">
        <v>0</v>
      </c>
      <c r="D996">
        <v>0</v>
      </c>
      <c r="E996">
        <v>0</v>
      </c>
      <c r="F996">
        <v>0</v>
      </c>
      <c r="G996">
        <v>911</v>
      </c>
    </row>
    <row r="997" spans="1:7">
      <c r="A997">
        <v>1590</v>
      </c>
      <c r="B997" t="s">
        <v>5296</v>
      </c>
      <c r="C997">
        <v>0</v>
      </c>
      <c r="D997">
        <v>0</v>
      </c>
      <c r="E997">
        <v>0</v>
      </c>
      <c r="F997">
        <v>0</v>
      </c>
      <c r="G997">
        <v>911</v>
      </c>
    </row>
    <row r="998" spans="1:7">
      <c r="A998">
        <v>1604</v>
      </c>
      <c r="B998" t="s">
        <v>5304</v>
      </c>
      <c r="C998">
        <v>0</v>
      </c>
      <c r="D998">
        <v>0</v>
      </c>
      <c r="E998">
        <v>0</v>
      </c>
      <c r="F998">
        <v>0</v>
      </c>
      <c r="G998">
        <v>911</v>
      </c>
    </row>
    <row r="999" spans="1:7">
      <c r="A999">
        <v>1614</v>
      </c>
      <c r="B999" t="s">
        <v>5310</v>
      </c>
      <c r="C999">
        <v>0</v>
      </c>
      <c r="D999">
        <v>0</v>
      </c>
      <c r="E999">
        <v>0</v>
      </c>
      <c r="F999">
        <v>0</v>
      </c>
      <c r="G999">
        <v>911</v>
      </c>
    </row>
    <row r="1000" spans="1:7">
      <c r="A1000">
        <v>1615</v>
      </c>
      <c r="B1000" t="s">
        <v>5311</v>
      </c>
      <c r="C1000">
        <v>0</v>
      </c>
      <c r="D1000">
        <v>0</v>
      </c>
      <c r="E1000">
        <v>0</v>
      </c>
      <c r="F1000">
        <v>0</v>
      </c>
      <c r="G1000">
        <v>911</v>
      </c>
    </row>
    <row r="1001" spans="1:7">
      <c r="A1001">
        <v>1616</v>
      </c>
      <c r="B1001" t="s">
        <v>8464</v>
      </c>
      <c r="C1001">
        <v>0</v>
      </c>
      <c r="D1001">
        <v>0</v>
      </c>
      <c r="E1001">
        <v>0</v>
      </c>
      <c r="F1001">
        <v>0</v>
      </c>
      <c r="G1001">
        <v>911</v>
      </c>
    </row>
    <row r="1002" spans="1:7">
      <c r="A1002">
        <v>1617</v>
      </c>
      <c r="B1002" t="s">
        <v>5312</v>
      </c>
      <c r="C1002">
        <v>0</v>
      </c>
      <c r="D1002">
        <v>0</v>
      </c>
      <c r="E1002">
        <v>0</v>
      </c>
      <c r="F1002">
        <v>0</v>
      </c>
      <c r="G1002">
        <v>911</v>
      </c>
    </row>
    <row r="1003" spans="1:7">
      <c r="A1003">
        <v>1626</v>
      </c>
      <c r="B1003" t="s">
        <v>5314</v>
      </c>
      <c r="C1003">
        <v>0</v>
      </c>
      <c r="D1003">
        <v>0</v>
      </c>
      <c r="E1003">
        <v>0</v>
      </c>
      <c r="F1003">
        <v>0</v>
      </c>
      <c r="G1003">
        <v>911</v>
      </c>
    </row>
    <row r="1004" spans="1:7">
      <c r="A1004">
        <v>1701</v>
      </c>
      <c r="B1004" t="s">
        <v>5315</v>
      </c>
      <c r="C1004">
        <v>0</v>
      </c>
      <c r="D1004">
        <v>0</v>
      </c>
      <c r="E1004">
        <v>0</v>
      </c>
      <c r="F1004">
        <v>0</v>
      </c>
      <c r="G1004">
        <v>911</v>
      </c>
    </row>
    <row r="1005" spans="1:7">
      <c r="A1005">
        <v>1702</v>
      </c>
      <c r="B1005" t="s">
        <v>5316</v>
      </c>
      <c r="C1005">
        <v>0</v>
      </c>
      <c r="D1005">
        <v>0</v>
      </c>
      <c r="E1005">
        <v>0</v>
      </c>
      <c r="F1005">
        <v>0</v>
      </c>
      <c r="G1005">
        <v>911</v>
      </c>
    </row>
    <row r="1006" spans="1:7">
      <c r="A1006">
        <v>1707</v>
      </c>
      <c r="B1006" t="s">
        <v>5317</v>
      </c>
      <c r="C1006">
        <v>0</v>
      </c>
      <c r="D1006">
        <v>0</v>
      </c>
      <c r="E1006">
        <v>0</v>
      </c>
      <c r="F1006">
        <v>0</v>
      </c>
      <c r="G1006">
        <v>911</v>
      </c>
    </row>
    <row r="1007" spans="1:7">
      <c r="A1007">
        <v>1713</v>
      </c>
      <c r="B1007" t="s">
        <v>5323</v>
      </c>
      <c r="C1007">
        <v>0</v>
      </c>
      <c r="D1007">
        <v>0</v>
      </c>
      <c r="E1007">
        <v>0</v>
      </c>
      <c r="F1007">
        <v>0</v>
      </c>
      <c r="G1007">
        <v>911</v>
      </c>
    </row>
    <row r="1008" spans="1:7">
      <c r="A1008">
        <v>1717</v>
      </c>
      <c r="B1008" t="s">
        <v>5325</v>
      </c>
      <c r="C1008">
        <v>0</v>
      </c>
      <c r="D1008">
        <v>0</v>
      </c>
      <c r="E1008">
        <v>0</v>
      </c>
      <c r="F1008">
        <v>0</v>
      </c>
      <c r="G1008">
        <v>911</v>
      </c>
    </row>
    <row r="1009" spans="1:7">
      <c r="A1009">
        <v>1720</v>
      </c>
      <c r="B1009" t="s">
        <v>5327</v>
      </c>
      <c r="C1009">
        <v>0</v>
      </c>
      <c r="D1009">
        <v>0</v>
      </c>
      <c r="E1009">
        <v>0</v>
      </c>
      <c r="F1009">
        <v>0</v>
      </c>
      <c r="G1009">
        <v>911</v>
      </c>
    </row>
    <row r="1010" spans="1:7">
      <c r="A1010">
        <v>1723</v>
      </c>
      <c r="B1010" t="s">
        <v>5330</v>
      </c>
      <c r="C1010">
        <v>0</v>
      </c>
      <c r="D1010">
        <v>0</v>
      </c>
      <c r="E1010">
        <v>0</v>
      </c>
      <c r="F1010">
        <v>0</v>
      </c>
      <c r="G1010">
        <v>911</v>
      </c>
    </row>
    <row r="1011" spans="1:7">
      <c r="A1011">
        <v>1725</v>
      </c>
      <c r="B1011" t="s">
        <v>768</v>
      </c>
      <c r="C1011">
        <v>0</v>
      </c>
      <c r="D1011">
        <v>0</v>
      </c>
      <c r="E1011">
        <v>0</v>
      </c>
      <c r="F1011">
        <v>0</v>
      </c>
      <c r="G1011">
        <v>911</v>
      </c>
    </row>
    <row r="1012" spans="1:7">
      <c r="A1012">
        <v>1726</v>
      </c>
      <c r="B1012" t="s">
        <v>5331</v>
      </c>
      <c r="C1012">
        <v>0</v>
      </c>
      <c r="D1012">
        <v>0</v>
      </c>
      <c r="E1012">
        <v>0</v>
      </c>
      <c r="F1012">
        <v>0</v>
      </c>
      <c r="G1012">
        <v>911</v>
      </c>
    </row>
    <row r="1013" spans="1:7">
      <c r="A1013">
        <v>1730</v>
      </c>
      <c r="B1013" t="s">
        <v>5333</v>
      </c>
      <c r="C1013">
        <v>0</v>
      </c>
      <c r="D1013">
        <v>0</v>
      </c>
      <c r="E1013">
        <v>0</v>
      </c>
      <c r="F1013">
        <v>0</v>
      </c>
      <c r="G1013">
        <v>911</v>
      </c>
    </row>
    <row r="1014" spans="1:7">
      <c r="A1014">
        <v>1735</v>
      </c>
      <c r="B1014" t="s">
        <v>5338</v>
      </c>
      <c r="C1014">
        <v>0</v>
      </c>
      <c r="D1014">
        <v>0</v>
      </c>
      <c r="E1014">
        <v>0</v>
      </c>
      <c r="F1014">
        <v>0</v>
      </c>
      <c r="G1014">
        <v>911</v>
      </c>
    </row>
    <row r="1015" spans="1:7">
      <c r="A1015">
        <v>1737</v>
      </c>
      <c r="B1015" t="s">
        <v>5340</v>
      </c>
      <c r="C1015">
        <v>0</v>
      </c>
      <c r="D1015">
        <v>0</v>
      </c>
      <c r="E1015">
        <v>0</v>
      </c>
      <c r="F1015">
        <v>0</v>
      </c>
      <c r="G1015">
        <v>911</v>
      </c>
    </row>
    <row r="1016" spans="1:7">
      <c r="A1016">
        <v>1752</v>
      </c>
      <c r="B1016" t="s">
        <v>5342</v>
      </c>
      <c r="C1016">
        <v>0</v>
      </c>
      <c r="D1016">
        <v>0</v>
      </c>
      <c r="E1016">
        <v>0</v>
      </c>
      <c r="F1016">
        <v>0</v>
      </c>
      <c r="G1016">
        <v>911</v>
      </c>
    </row>
    <row r="1017" spans="1:7">
      <c r="A1017">
        <v>1781</v>
      </c>
      <c r="B1017" t="s">
        <v>8466</v>
      </c>
      <c r="C1017">
        <v>0</v>
      </c>
      <c r="D1017">
        <v>0</v>
      </c>
      <c r="E1017">
        <v>0</v>
      </c>
      <c r="F1017">
        <v>0</v>
      </c>
      <c r="G1017">
        <v>911</v>
      </c>
    </row>
    <row r="1018" spans="1:7">
      <c r="A1018">
        <v>1786</v>
      </c>
      <c r="B1018" t="s">
        <v>5350</v>
      </c>
      <c r="C1018">
        <v>0</v>
      </c>
      <c r="D1018">
        <v>0</v>
      </c>
      <c r="E1018">
        <v>0</v>
      </c>
      <c r="F1018">
        <v>0</v>
      </c>
      <c r="G1018">
        <v>911</v>
      </c>
    </row>
    <row r="1019" spans="1:7">
      <c r="A1019">
        <v>1788</v>
      </c>
      <c r="B1019" t="s">
        <v>5351</v>
      </c>
      <c r="C1019">
        <v>0</v>
      </c>
      <c r="D1019">
        <v>0</v>
      </c>
      <c r="E1019">
        <v>0</v>
      </c>
      <c r="F1019">
        <v>0</v>
      </c>
      <c r="G1019">
        <v>911</v>
      </c>
    </row>
    <row r="1020" spans="1:7">
      <c r="A1020">
        <v>1789</v>
      </c>
      <c r="B1020" t="s">
        <v>5352</v>
      </c>
      <c r="C1020">
        <v>0</v>
      </c>
      <c r="D1020">
        <v>0</v>
      </c>
      <c r="E1020">
        <v>0</v>
      </c>
      <c r="F1020">
        <v>0</v>
      </c>
      <c r="G1020">
        <v>911</v>
      </c>
    </row>
    <row r="1021" spans="1:7">
      <c r="A1021">
        <v>1805</v>
      </c>
      <c r="B1021" t="s">
        <v>8467</v>
      </c>
      <c r="C1021">
        <v>0</v>
      </c>
      <c r="D1021">
        <v>0</v>
      </c>
      <c r="E1021">
        <v>0</v>
      </c>
      <c r="F1021">
        <v>0</v>
      </c>
      <c r="G1021">
        <v>911</v>
      </c>
    </row>
    <row r="1022" spans="1:7">
      <c r="A1022">
        <v>1808</v>
      </c>
      <c r="B1022" t="s">
        <v>5356</v>
      </c>
      <c r="C1022">
        <v>0</v>
      </c>
      <c r="D1022">
        <v>0</v>
      </c>
      <c r="E1022">
        <v>0</v>
      </c>
      <c r="F1022">
        <v>0</v>
      </c>
      <c r="G1022">
        <v>911</v>
      </c>
    </row>
    <row r="1023" spans="1:7">
      <c r="A1023">
        <v>1813</v>
      </c>
      <c r="B1023" t="s">
        <v>6588</v>
      </c>
      <c r="C1023">
        <v>0</v>
      </c>
      <c r="D1023">
        <v>0</v>
      </c>
      <c r="E1023">
        <v>0</v>
      </c>
      <c r="F1023">
        <v>0</v>
      </c>
      <c r="G1023">
        <v>911</v>
      </c>
    </row>
    <row r="1024" spans="1:7">
      <c r="A1024">
        <v>1907</v>
      </c>
      <c r="B1024" t="s">
        <v>5365</v>
      </c>
      <c r="C1024">
        <v>0</v>
      </c>
      <c r="D1024">
        <v>0</v>
      </c>
      <c r="E1024">
        <v>0</v>
      </c>
      <c r="F1024">
        <v>0</v>
      </c>
      <c r="G1024">
        <v>911</v>
      </c>
    </row>
    <row r="1025" spans="1:7">
      <c r="A1025">
        <v>2015</v>
      </c>
      <c r="B1025" t="s">
        <v>5376</v>
      </c>
      <c r="C1025">
        <v>0</v>
      </c>
      <c r="D1025">
        <v>0</v>
      </c>
      <c r="E1025">
        <v>0</v>
      </c>
      <c r="F1025">
        <v>0</v>
      </c>
      <c r="G1025">
        <v>911</v>
      </c>
    </row>
    <row r="1026" spans="1:7">
      <c r="A1026">
        <v>2025</v>
      </c>
      <c r="B1026" t="s">
        <v>8469</v>
      </c>
      <c r="C1026">
        <v>0</v>
      </c>
      <c r="D1026">
        <v>0</v>
      </c>
      <c r="E1026">
        <v>0</v>
      </c>
      <c r="F1026">
        <v>0</v>
      </c>
      <c r="G1026">
        <v>911</v>
      </c>
    </row>
    <row r="1027" spans="1:7">
      <c r="A1027">
        <v>2035</v>
      </c>
      <c r="B1027" t="s">
        <v>5389</v>
      </c>
      <c r="C1027">
        <v>0</v>
      </c>
      <c r="D1027">
        <v>0</v>
      </c>
      <c r="E1027">
        <v>0</v>
      </c>
      <c r="F1027">
        <v>0</v>
      </c>
      <c r="G1027">
        <v>911</v>
      </c>
    </row>
    <row r="1028" spans="1:7">
      <c r="A1028">
        <v>2063</v>
      </c>
      <c r="B1028" t="s">
        <v>8470</v>
      </c>
      <c r="C1028">
        <v>0</v>
      </c>
      <c r="D1028">
        <v>0</v>
      </c>
      <c r="E1028">
        <v>0</v>
      </c>
      <c r="F1028">
        <v>0</v>
      </c>
      <c r="G1028">
        <v>911</v>
      </c>
    </row>
    <row r="1029" spans="1:7">
      <c r="A1029">
        <v>2065</v>
      </c>
      <c r="B1029" t="s">
        <v>5394</v>
      </c>
      <c r="C1029">
        <v>0</v>
      </c>
      <c r="D1029">
        <v>0</v>
      </c>
      <c r="E1029">
        <v>0</v>
      </c>
      <c r="F1029">
        <v>0</v>
      </c>
      <c r="G1029">
        <v>911</v>
      </c>
    </row>
    <row r="1030" spans="1:7">
      <c r="A1030">
        <v>2066</v>
      </c>
      <c r="B1030" t="s">
        <v>8584</v>
      </c>
      <c r="C1030">
        <v>0</v>
      </c>
      <c r="D1030">
        <v>0</v>
      </c>
      <c r="E1030">
        <v>0</v>
      </c>
      <c r="F1030">
        <v>0</v>
      </c>
      <c r="G1030">
        <v>911</v>
      </c>
    </row>
    <row r="1031" spans="1:7">
      <c r="A1031">
        <v>2101</v>
      </c>
      <c r="B1031" t="s">
        <v>5397</v>
      </c>
      <c r="C1031">
        <v>0</v>
      </c>
      <c r="D1031">
        <v>0</v>
      </c>
      <c r="E1031">
        <v>0</v>
      </c>
      <c r="F1031">
        <v>0</v>
      </c>
      <c r="G1031">
        <v>911</v>
      </c>
    </row>
    <row r="1032" spans="1:7">
      <c r="A1032">
        <v>2104</v>
      </c>
      <c r="B1032" t="s">
        <v>5400</v>
      </c>
      <c r="C1032">
        <v>0</v>
      </c>
      <c r="D1032">
        <v>0</v>
      </c>
      <c r="E1032">
        <v>0</v>
      </c>
      <c r="F1032">
        <v>0</v>
      </c>
      <c r="G1032">
        <v>911</v>
      </c>
    </row>
    <row r="1033" spans="1:7">
      <c r="A1033">
        <v>2105</v>
      </c>
      <c r="B1033" t="s">
        <v>5401</v>
      </c>
      <c r="C1033">
        <v>0</v>
      </c>
      <c r="D1033">
        <v>0</v>
      </c>
      <c r="E1033">
        <v>0</v>
      </c>
      <c r="F1033">
        <v>0</v>
      </c>
      <c r="G1033">
        <v>911</v>
      </c>
    </row>
    <row r="1034" spans="1:7">
      <c r="A1034">
        <v>2106</v>
      </c>
      <c r="B1034" t="s">
        <v>5402</v>
      </c>
      <c r="C1034">
        <v>0</v>
      </c>
      <c r="D1034">
        <v>0</v>
      </c>
      <c r="E1034">
        <v>0</v>
      </c>
      <c r="F1034">
        <v>0</v>
      </c>
      <c r="G1034">
        <v>911</v>
      </c>
    </row>
    <row r="1035" spans="1:7">
      <c r="A1035">
        <v>2107</v>
      </c>
      <c r="B1035" t="s">
        <v>5403</v>
      </c>
      <c r="C1035">
        <v>0</v>
      </c>
      <c r="D1035">
        <v>0</v>
      </c>
      <c r="E1035">
        <v>0</v>
      </c>
      <c r="F1035">
        <v>0</v>
      </c>
      <c r="G1035">
        <v>911</v>
      </c>
    </row>
    <row r="1036" spans="1:7">
      <c r="A1036">
        <v>2109</v>
      </c>
      <c r="B1036" t="s">
        <v>5405</v>
      </c>
      <c r="C1036">
        <v>0</v>
      </c>
      <c r="D1036">
        <v>0</v>
      </c>
      <c r="E1036">
        <v>0</v>
      </c>
      <c r="F1036">
        <v>0</v>
      </c>
      <c r="G1036">
        <v>911</v>
      </c>
    </row>
    <row r="1037" spans="1:7">
      <c r="A1037">
        <v>2115</v>
      </c>
      <c r="B1037" t="s">
        <v>5407</v>
      </c>
      <c r="C1037">
        <v>0</v>
      </c>
      <c r="D1037">
        <v>0</v>
      </c>
      <c r="E1037">
        <v>0</v>
      </c>
      <c r="F1037">
        <v>0</v>
      </c>
      <c r="G1037">
        <v>911</v>
      </c>
    </row>
    <row r="1038" spans="1:7">
      <c r="A1038">
        <v>2206</v>
      </c>
      <c r="B1038" t="s">
        <v>5410</v>
      </c>
      <c r="C1038">
        <v>0</v>
      </c>
      <c r="D1038">
        <v>0</v>
      </c>
      <c r="E1038">
        <v>0</v>
      </c>
      <c r="F1038">
        <v>0</v>
      </c>
      <c r="G1038">
        <v>911</v>
      </c>
    </row>
    <row r="1039" spans="1:7">
      <c r="A1039">
        <v>2207</v>
      </c>
      <c r="B1039" t="s">
        <v>5411</v>
      </c>
      <c r="C1039">
        <v>0</v>
      </c>
      <c r="D1039">
        <v>0</v>
      </c>
      <c r="E1039">
        <v>0</v>
      </c>
      <c r="F1039">
        <v>0</v>
      </c>
      <c r="G1039">
        <v>911</v>
      </c>
    </row>
    <row r="1040" spans="1:7">
      <c r="A1040">
        <v>2211</v>
      </c>
      <c r="B1040" t="s">
        <v>5413</v>
      </c>
      <c r="C1040">
        <v>0</v>
      </c>
      <c r="D1040">
        <v>0</v>
      </c>
      <c r="E1040">
        <v>0</v>
      </c>
      <c r="F1040">
        <v>0</v>
      </c>
      <c r="G1040">
        <v>911</v>
      </c>
    </row>
    <row r="1041" spans="1:7">
      <c r="A1041">
        <v>2228</v>
      </c>
      <c r="B1041" t="s">
        <v>5415</v>
      </c>
      <c r="C1041">
        <v>0</v>
      </c>
      <c r="D1041">
        <v>0</v>
      </c>
      <c r="E1041">
        <v>0</v>
      </c>
      <c r="F1041">
        <v>0</v>
      </c>
      <c r="G1041">
        <v>911</v>
      </c>
    </row>
    <row r="1042" spans="1:7">
      <c r="A1042">
        <v>2236</v>
      </c>
      <c r="B1042" t="s">
        <v>5419</v>
      </c>
      <c r="C1042">
        <v>0</v>
      </c>
      <c r="D1042">
        <v>0</v>
      </c>
      <c r="E1042">
        <v>0</v>
      </c>
      <c r="F1042">
        <v>0</v>
      </c>
      <c r="G1042">
        <v>911</v>
      </c>
    </row>
    <row r="1043" spans="1:7">
      <c r="A1043">
        <v>2247</v>
      </c>
      <c r="B1043" t="s">
        <v>5423</v>
      </c>
      <c r="C1043">
        <v>0</v>
      </c>
      <c r="D1043">
        <v>0</v>
      </c>
      <c r="E1043">
        <v>0</v>
      </c>
      <c r="F1043">
        <v>0</v>
      </c>
      <c r="G1043">
        <v>911</v>
      </c>
    </row>
    <row r="1044" spans="1:7">
      <c r="A1044">
        <v>2308</v>
      </c>
      <c r="B1044" t="s">
        <v>5429</v>
      </c>
      <c r="C1044">
        <v>0</v>
      </c>
      <c r="D1044">
        <v>0</v>
      </c>
      <c r="E1044">
        <v>0</v>
      </c>
      <c r="F1044">
        <v>0</v>
      </c>
      <c r="G1044">
        <v>911</v>
      </c>
    </row>
    <row r="1045" spans="1:7">
      <c r="A1045">
        <v>2317</v>
      </c>
      <c r="B1045" t="s">
        <v>5433</v>
      </c>
      <c r="C1045">
        <v>0</v>
      </c>
      <c r="D1045">
        <v>0</v>
      </c>
      <c r="E1045">
        <v>0</v>
      </c>
      <c r="F1045">
        <v>0</v>
      </c>
      <c r="G1045">
        <v>911</v>
      </c>
    </row>
    <row r="1046" spans="1:7">
      <c r="A1046">
        <v>2321</v>
      </c>
      <c r="B1046" t="s">
        <v>8472</v>
      </c>
      <c r="C1046">
        <v>0</v>
      </c>
      <c r="D1046">
        <v>0</v>
      </c>
      <c r="E1046">
        <v>0</v>
      </c>
      <c r="F1046">
        <v>0</v>
      </c>
      <c r="G1046">
        <v>911</v>
      </c>
    </row>
    <row r="1047" spans="1:7">
      <c r="A1047">
        <v>2330</v>
      </c>
      <c r="B1047" t="s">
        <v>5439</v>
      </c>
      <c r="C1047">
        <v>0</v>
      </c>
      <c r="D1047">
        <v>0</v>
      </c>
      <c r="E1047">
        <v>0</v>
      </c>
      <c r="F1047">
        <v>0</v>
      </c>
      <c r="G1047">
        <v>911</v>
      </c>
    </row>
    <row r="1048" spans="1:7">
      <c r="A1048">
        <v>2348</v>
      </c>
      <c r="B1048" t="s">
        <v>5449</v>
      </c>
      <c r="C1048">
        <v>0</v>
      </c>
      <c r="D1048">
        <v>0</v>
      </c>
      <c r="E1048">
        <v>0</v>
      </c>
      <c r="F1048">
        <v>0</v>
      </c>
      <c r="G1048">
        <v>911</v>
      </c>
    </row>
    <row r="1049" spans="1:7">
      <c r="A1049">
        <v>2349</v>
      </c>
      <c r="B1049" t="s">
        <v>8473</v>
      </c>
      <c r="C1049">
        <v>0</v>
      </c>
      <c r="D1049">
        <v>0</v>
      </c>
      <c r="E1049">
        <v>0</v>
      </c>
      <c r="F1049">
        <v>0</v>
      </c>
      <c r="G1049">
        <v>911</v>
      </c>
    </row>
    <row r="1050" spans="1:7">
      <c r="A1050">
        <v>2352</v>
      </c>
      <c r="B1050" t="s">
        <v>5451</v>
      </c>
      <c r="C1050">
        <v>0</v>
      </c>
      <c r="D1050">
        <v>0</v>
      </c>
      <c r="E1050">
        <v>0</v>
      </c>
      <c r="F1050">
        <v>0</v>
      </c>
      <c r="G1050">
        <v>911</v>
      </c>
    </row>
    <row r="1051" spans="1:7">
      <c r="A1051">
        <v>2354</v>
      </c>
      <c r="B1051" t="s">
        <v>5453</v>
      </c>
      <c r="C1051">
        <v>0</v>
      </c>
      <c r="D1051">
        <v>0</v>
      </c>
      <c r="E1051">
        <v>0</v>
      </c>
      <c r="F1051">
        <v>0</v>
      </c>
      <c r="G1051">
        <v>911</v>
      </c>
    </row>
    <row r="1052" spans="1:7">
      <c r="A1052">
        <v>2357</v>
      </c>
      <c r="B1052" t="s">
        <v>5456</v>
      </c>
      <c r="C1052">
        <v>0</v>
      </c>
      <c r="D1052">
        <v>0</v>
      </c>
      <c r="E1052">
        <v>0</v>
      </c>
      <c r="F1052">
        <v>0</v>
      </c>
      <c r="G1052">
        <v>911</v>
      </c>
    </row>
    <row r="1053" spans="1:7">
      <c r="A1053">
        <v>2362</v>
      </c>
      <c r="B1053" t="s">
        <v>5460</v>
      </c>
      <c r="C1053">
        <v>0</v>
      </c>
      <c r="D1053">
        <v>0</v>
      </c>
      <c r="E1053">
        <v>0</v>
      </c>
      <c r="F1053">
        <v>0</v>
      </c>
      <c r="G1053">
        <v>911</v>
      </c>
    </row>
    <row r="1054" spans="1:7">
      <c r="A1054">
        <v>2364</v>
      </c>
      <c r="B1054" t="s">
        <v>8474</v>
      </c>
      <c r="C1054">
        <v>0</v>
      </c>
      <c r="D1054">
        <v>0</v>
      </c>
      <c r="E1054">
        <v>0</v>
      </c>
      <c r="F1054">
        <v>0</v>
      </c>
      <c r="G1054">
        <v>911</v>
      </c>
    </row>
    <row r="1055" spans="1:7">
      <c r="A1055">
        <v>2373</v>
      </c>
      <c r="B1055" t="s">
        <v>5467</v>
      </c>
      <c r="C1055">
        <v>0</v>
      </c>
      <c r="D1055">
        <v>0</v>
      </c>
      <c r="E1055">
        <v>0</v>
      </c>
      <c r="F1055">
        <v>0</v>
      </c>
      <c r="G1055">
        <v>911</v>
      </c>
    </row>
    <row r="1056" spans="1:7">
      <c r="A1056">
        <v>2380</v>
      </c>
      <c r="B1056" t="s">
        <v>8475</v>
      </c>
      <c r="C1056">
        <v>0</v>
      </c>
      <c r="D1056">
        <v>0</v>
      </c>
      <c r="E1056">
        <v>0</v>
      </c>
      <c r="F1056">
        <v>0</v>
      </c>
      <c r="G1056">
        <v>911</v>
      </c>
    </row>
    <row r="1057" spans="1:7">
      <c r="A1057">
        <v>2382</v>
      </c>
      <c r="B1057" t="s">
        <v>5473</v>
      </c>
      <c r="C1057">
        <v>0</v>
      </c>
      <c r="D1057">
        <v>0</v>
      </c>
      <c r="E1057">
        <v>0</v>
      </c>
      <c r="F1057">
        <v>0</v>
      </c>
      <c r="G1057">
        <v>911</v>
      </c>
    </row>
    <row r="1058" spans="1:7">
      <c r="A1058">
        <v>2392</v>
      </c>
      <c r="B1058" t="s">
        <v>5479</v>
      </c>
      <c r="C1058">
        <v>0</v>
      </c>
      <c r="D1058">
        <v>0</v>
      </c>
      <c r="E1058">
        <v>0</v>
      </c>
      <c r="F1058">
        <v>0</v>
      </c>
      <c r="G1058">
        <v>911</v>
      </c>
    </row>
    <row r="1059" spans="1:7">
      <c r="A1059">
        <v>2397</v>
      </c>
      <c r="B1059" t="s">
        <v>5482</v>
      </c>
      <c r="C1059">
        <v>0</v>
      </c>
      <c r="D1059">
        <v>0</v>
      </c>
      <c r="E1059">
        <v>0</v>
      </c>
      <c r="F1059">
        <v>0</v>
      </c>
      <c r="G1059">
        <v>911</v>
      </c>
    </row>
    <row r="1060" spans="1:7">
      <c r="A1060">
        <v>2412</v>
      </c>
      <c r="B1060" t="s">
        <v>5490</v>
      </c>
      <c r="C1060">
        <v>0</v>
      </c>
      <c r="D1060">
        <v>0</v>
      </c>
      <c r="E1060">
        <v>0</v>
      </c>
      <c r="F1060">
        <v>0</v>
      </c>
      <c r="G1060">
        <v>911</v>
      </c>
    </row>
    <row r="1061" spans="1:7">
      <c r="A1061">
        <v>2419</v>
      </c>
      <c r="B1061" t="s">
        <v>5495</v>
      </c>
      <c r="C1061">
        <v>0</v>
      </c>
      <c r="D1061">
        <v>0</v>
      </c>
      <c r="E1061">
        <v>0</v>
      </c>
      <c r="F1061">
        <v>0</v>
      </c>
      <c r="G1061">
        <v>911</v>
      </c>
    </row>
    <row r="1062" spans="1:7">
      <c r="A1062">
        <v>2423</v>
      </c>
      <c r="B1062" t="s">
        <v>5498</v>
      </c>
      <c r="C1062">
        <v>0</v>
      </c>
      <c r="D1062">
        <v>0</v>
      </c>
      <c r="E1062">
        <v>0</v>
      </c>
      <c r="F1062">
        <v>0</v>
      </c>
      <c r="G1062">
        <v>911</v>
      </c>
    </row>
    <row r="1063" spans="1:7">
      <c r="A1063">
        <v>2424</v>
      </c>
      <c r="B1063" t="s">
        <v>8477</v>
      </c>
      <c r="C1063">
        <v>0</v>
      </c>
      <c r="D1063">
        <v>0</v>
      </c>
      <c r="E1063">
        <v>0</v>
      </c>
      <c r="F1063">
        <v>0</v>
      </c>
      <c r="G1063">
        <v>911</v>
      </c>
    </row>
    <row r="1064" spans="1:7">
      <c r="A1064">
        <v>2429</v>
      </c>
      <c r="B1064" t="s">
        <v>8478</v>
      </c>
      <c r="C1064">
        <v>0</v>
      </c>
      <c r="D1064">
        <v>0</v>
      </c>
      <c r="E1064">
        <v>0</v>
      </c>
      <c r="F1064">
        <v>0</v>
      </c>
      <c r="G1064">
        <v>911</v>
      </c>
    </row>
    <row r="1065" spans="1:7">
      <c r="A1065">
        <v>2433</v>
      </c>
      <c r="B1065" t="s">
        <v>5505</v>
      </c>
      <c r="C1065">
        <v>0</v>
      </c>
      <c r="D1065">
        <v>0</v>
      </c>
      <c r="E1065">
        <v>0</v>
      </c>
      <c r="F1065">
        <v>0</v>
      </c>
      <c r="G1065">
        <v>911</v>
      </c>
    </row>
    <row r="1066" spans="1:7">
      <c r="A1066">
        <v>2434</v>
      </c>
      <c r="B1066" t="s">
        <v>5506</v>
      </c>
      <c r="C1066">
        <v>0</v>
      </c>
      <c r="D1066">
        <v>0</v>
      </c>
      <c r="E1066">
        <v>0</v>
      </c>
      <c r="F1066">
        <v>0</v>
      </c>
      <c r="G1066">
        <v>911</v>
      </c>
    </row>
    <row r="1067" spans="1:7">
      <c r="A1067">
        <v>2438</v>
      </c>
      <c r="B1067" t="s">
        <v>8479</v>
      </c>
      <c r="C1067">
        <v>0</v>
      </c>
      <c r="D1067">
        <v>0</v>
      </c>
      <c r="E1067">
        <v>0</v>
      </c>
      <c r="F1067">
        <v>0</v>
      </c>
      <c r="G1067">
        <v>911</v>
      </c>
    </row>
    <row r="1068" spans="1:7">
      <c r="A1068">
        <v>2440</v>
      </c>
      <c r="B1068" t="s">
        <v>8480</v>
      </c>
      <c r="C1068">
        <v>0</v>
      </c>
      <c r="D1068">
        <v>0</v>
      </c>
      <c r="E1068">
        <v>0</v>
      </c>
      <c r="F1068">
        <v>0</v>
      </c>
      <c r="G1068">
        <v>911</v>
      </c>
    </row>
    <row r="1069" spans="1:7">
      <c r="A1069">
        <v>2443</v>
      </c>
      <c r="B1069" t="s">
        <v>8481</v>
      </c>
      <c r="C1069">
        <v>0</v>
      </c>
      <c r="D1069">
        <v>0</v>
      </c>
      <c r="E1069">
        <v>0</v>
      </c>
      <c r="F1069">
        <v>0</v>
      </c>
      <c r="G1069">
        <v>911</v>
      </c>
    </row>
    <row r="1070" spans="1:7">
      <c r="A1070">
        <v>2444</v>
      </c>
      <c r="B1070" t="s">
        <v>8482</v>
      </c>
      <c r="C1070">
        <v>0</v>
      </c>
      <c r="D1070">
        <v>0</v>
      </c>
      <c r="E1070">
        <v>0</v>
      </c>
      <c r="F1070">
        <v>0</v>
      </c>
      <c r="G1070">
        <v>911</v>
      </c>
    </row>
    <row r="1071" spans="1:7">
      <c r="A1071">
        <v>2450</v>
      </c>
      <c r="B1071" t="s">
        <v>5512</v>
      </c>
      <c r="C1071">
        <v>0</v>
      </c>
      <c r="D1071">
        <v>0</v>
      </c>
      <c r="E1071">
        <v>0</v>
      </c>
      <c r="F1071">
        <v>0</v>
      </c>
      <c r="G1071">
        <v>911</v>
      </c>
    </row>
    <row r="1072" spans="1:7">
      <c r="A1072">
        <v>2454</v>
      </c>
      <c r="B1072" t="s">
        <v>5515</v>
      </c>
      <c r="C1072">
        <v>0</v>
      </c>
      <c r="D1072">
        <v>0</v>
      </c>
      <c r="E1072">
        <v>0</v>
      </c>
      <c r="F1072">
        <v>0</v>
      </c>
      <c r="G1072">
        <v>911</v>
      </c>
    </row>
    <row r="1073" spans="1:7">
      <c r="A1073">
        <v>2459</v>
      </c>
      <c r="B1073" t="s">
        <v>5519</v>
      </c>
      <c r="C1073">
        <v>0</v>
      </c>
      <c r="D1073">
        <v>0</v>
      </c>
      <c r="E1073">
        <v>0</v>
      </c>
      <c r="F1073">
        <v>0</v>
      </c>
      <c r="G1073">
        <v>911</v>
      </c>
    </row>
    <row r="1074" spans="1:7">
      <c r="A1074">
        <v>2464</v>
      </c>
      <c r="B1074" t="s">
        <v>5523</v>
      </c>
      <c r="C1074">
        <v>0</v>
      </c>
      <c r="D1074">
        <v>0</v>
      </c>
      <c r="E1074">
        <v>0</v>
      </c>
      <c r="F1074">
        <v>0</v>
      </c>
      <c r="G1074">
        <v>911</v>
      </c>
    </row>
    <row r="1075" spans="1:7">
      <c r="A1075">
        <v>2466</v>
      </c>
      <c r="B1075" t="s">
        <v>5525</v>
      </c>
      <c r="C1075">
        <v>0</v>
      </c>
      <c r="D1075">
        <v>0</v>
      </c>
      <c r="E1075">
        <v>0</v>
      </c>
      <c r="F1075">
        <v>0</v>
      </c>
      <c r="G1075">
        <v>911</v>
      </c>
    </row>
    <row r="1076" spans="1:7">
      <c r="A1076">
        <v>2468</v>
      </c>
      <c r="B1076" t="s">
        <v>5527</v>
      </c>
      <c r="C1076">
        <v>0</v>
      </c>
      <c r="D1076">
        <v>0</v>
      </c>
      <c r="E1076">
        <v>0</v>
      </c>
      <c r="F1076">
        <v>0</v>
      </c>
      <c r="G1076">
        <v>911</v>
      </c>
    </row>
    <row r="1077" spans="1:7">
      <c r="A1077">
        <v>2480</v>
      </c>
      <c r="B1077" t="s">
        <v>5534</v>
      </c>
      <c r="C1077">
        <v>0</v>
      </c>
      <c r="D1077">
        <v>0</v>
      </c>
      <c r="E1077">
        <v>0</v>
      </c>
      <c r="F1077">
        <v>0</v>
      </c>
      <c r="G1077">
        <v>911</v>
      </c>
    </row>
    <row r="1078" spans="1:7">
      <c r="A1078">
        <v>2488</v>
      </c>
      <c r="B1078" t="s">
        <v>5541</v>
      </c>
      <c r="C1078">
        <v>0</v>
      </c>
      <c r="D1078">
        <v>0</v>
      </c>
      <c r="E1078">
        <v>0</v>
      </c>
      <c r="F1078">
        <v>0</v>
      </c>
      <c r="G1078">
        <v>911</v>
      </c>
    </row>
    <row r="1079" spans="1:7">
      <c r="A1079">
        <v>2493</v>
      </c>
      <c r="B1079" t="s">
        <v>5545</v>
      </c>
      <c r="C1079">
        <v>0</v>
      </c>
      <c r="D1079">
        <v>0</v>
      </c>
      <c r="E1079">
        <v>0</v>
      </c>
      <c r="F1079">
        <v>0</v>
      </c>
      <c r="G1079">
        <v>911</v>
      </c>
    </row>
    <row r="1080" spans="1:7">
      <c r="A1080">
        <v>2496</v>
      </c>
      <c r="B1080" t="s">
        <v>5547</v>
      </c>
      <c r="C1080">
        <v>0</v>
      </c>
      <c r="D1080">
        <v>0</v>
      </c>
      <c r="E1080">
        <v>0</v>
      </c>
      <c r="F1080">
        <v>0</v>
      </c>
      <c r="G1080">
        <v>911</v>
      </c>
    </row>
    <row r="1081" spans="1:7">
      <c r="A1081">
        <v>2501</v>
      </c>
      <c r="B1081" t="s">
        <v>5550</v>
      </c>
      <c r="C1081">
        <v>0</v>
      </c>
      <c r="D1081">
        <v>0</v>
      </c>
      <c r="E1081">
        <v>0</v>
      </c>
      <c r="F1081">
        <v>0</v>
      </c>
      <c r="G1081">
        <v>911</v>
      </c>
    </row>
    <row r="1082" spans="1:7">
      <c r="A1082">
        <v>2505</v>
      </c>
      <c r="B1082" t="s">
        <v>5552</v>
      </c>
      <c r="C1082">
        <v>0</v>
      </c>
      <c r="D1082">
        <v>0</v>
      </c>
      <c r="E1082">
        <v>0</v>
      </c>
      <c r="F1082">
        <v>0</v>
      </c>
      <c r="G1082">
        <v>911</v>
      </c>
    </row>
    <row r="1083" spans="1:7">
      <c r="A1083">
        <v>2506</v>
      </c>
      <c r="B1083" t="s">
        <v>5553</v>
      </c>
      <c r="C1083">
        <v>0</v>
      </c>
      <c r="D1083">
        <v>0</v>
      </c>
      <c r="E1083">
        <v>0</v>
      </c>
      <c r="F1083">
        <v>0</v>
      </c>
      <c r="G1083">
        <v>911</v>
      </c>
    </row>
    <row r="1084" spans="1:7">
      <c r="A1084">
        <v>2509</v>
      </c>
      <c r="B1084" t="s">
        <v>5554</v>
      </c>
      <c r="C1084">
        <v>0</v>
      </c>
      <c r="D1084">
        <v>0</v>
      </c>
      <c r="E1084">
        <v>0</v>
      </c>
      <c r="F1084">
        <v>0</v>
      </c>
      <c r="G1084">
        <v>911</v>
      </c>
    </row>
    <row r="1085" spans="1:7">
      <c r="A1085">
        <v>2511</v>
      </c>
      <c r="B1085" t="s">
        <v>5555</v>
      </c>
      <c r="C1085">
        <v>0</v>
      </c>
      <c r="D1085">
        <v>0</v>
      </c>
      <c r="E1085">
        <v>0</v>
      </c>
      <c r="F1085">
        <v>0</v>
      </c>
      <c r="G1085">
        <v>911</v>
      </c>
    </row>
    <row r="1086" spans="1:7">
      <c r="A1086">
        <v>2514</v>
      </c>
      <c r="B1086" t="s">
        <v>5556</v>
      </c>
      <c r="C1086">
        <v>0</v>
      </c>
      <c r="D1086">
        <v>0</v>
      </c>
      <c r="E1086">
        <v>0</v>
      </c>
      <c r="F1086">
        <v>0</v>
      </c>
      <c r="G1086">
        <v>911</v>
      </c>
    </row>
    <row r="1087" spans="1:7">
      <c r="A1087">
        <v>2516</v>
      </c>
      <c r="B1087" t="s">
        <v>8483</v>
      </c>
      <c r="C1087">
        <v>0</v>
      </c>
      <c r="D1087">
        <v>0</v>
      </c>
      <c r="E1087">
        <v>0</v>
      </c>
      <c r="F1087">
        <v>0</v>
      </c>
      <c r="G1087">
        <v>911</v>
      </c>
    </row>
    <row r="1088" spans="1:7">
      <c r="A1088">
        <v>2524</v>
      </c>
      <c r="B1088" t="s">
        <v>5559</v>
      </c>
      <c r="C1088">
        <v>0</v>
      </c>
      <c r="D1088">
        <v>0</v>
      </c>
      <c r="E1088">
        <v>0</v>
      </c>
      <c r="F1088">
        <v>0</v>
      </c>
      <c r="G1088">
        <v>911</v>
      </c>
    </row>
    <row r="1089" spans="1:7">
      <c r="A1089">
        <v>2528</v>
      </c>
      <c r="B1089" t="s">
        <v>5561</v>
      </c>
      <c r="C1089">
        <v>0</v>
      </c>
      <c r="D1089">
        <v>0</v>
      </c>
      <c r="E1089">
        <v>0</v>
      </c>
      <c r="F1089">
        <v>0</v>
      </c>
      <c r="G1089">
        <v>911</v>
      </c>
    </row>
    <row r="1090" spans="1:7">
      <c r="A1090">
        <v>2530</v>
      </c>
      <c r="B1090" t="s">
        <v>5562</v>
      </c>
      <c r="C1090">
        <v>0</v>
      </c>
      <c r="D1090">
        <v>0</v>
      </c>
      <c r="E1090">
        <v>0</v>
      </c>
      <c r="F1090">
        <v>0</v>
      </c>
      <c r="G1090">
        <v>911</v>
      </c>
    </row>
    <row r="1091" spans="1:7">
      <c r="A1091">
        <v>2534</v>
      </c>
      <c r="B1091" t="s">
        <v>5563</v>
      </c>
      <c r="C1091">
        <v>0</v>
      </c>
      <c r="D1091">
        <v>0</v>
      </c>
      <c r="E1091">
        <v>0</v>
      </c>
      <c r="F1091">
        <v>0</v>
      </c>
      <c r="G1091">
        <v>911</v>
      </c>
    </row>
    <row r="1092" spans="1:7">
      <c r="A1092">
        <v>2536</v>
      </c>
      <c r="B1092" t="s">
        <v>5565</v>
      </c>
      <c r="C1092">
        <v>0</v>
      </c>
      <c r="D1092">
        <v>0</v>
      </c>
      <c r="E1092">
        <v>0</v>
      </c>
      <c r="F1092">
        <v>0</v>
      </c>
      <c r="G1092">
        <v>911</v>
      </c>
    </row>
    <row r="1093" spans="1:7">
      <c r="A1093">
        <v>2539</v>
      </c>
      <c r="B1093" t="s">
        <v>5568</v>
      </c>
      <c r="C1093">
        <v>0</v>
      </c>
      <c r="D1093">
        <v>0</v>
      </c>
      <c r="E1093">
        <v>0</v>
      </c>
      <c r="F1093">
        <v>0</v>
      </c>
      <c r="G1093">
        <v>911</v>
      </c>
    </row>
    <row r="1094" spans="1:7">
      <c r="A1094">
        <v>2540</v>
      </c>
      <c r="B1094" t="s">
        <v>5569</v>
      </c>
      <c r="C1094">
        <v>0</v>
      </c>
      <c r="D1094">
        <v>0</v>
      </c>
      <c r="E1094">
        <v>0</v>
      </c>
      <c r="F1094">
        <v>0</v>
      </c>
      <c r="G1094">
        <v>911</v>
      </c>
    </row>
    <row r="1095" spans="1:7">
      <c r="A1095">
        <v>2542</v>
      </c>
      <c r="B1095" t="s">
        <v>8484</v>
      </c>
      <c r="C1095">
        <v>0</v>
      </c>
      <c r="D1095">
        <v>0</v>
      </c>
      <c r="E1095">
        <v>0</v>
      </c>
      <c r="F1095">
        <v>0</v>
      </c>
      <c r="G1095">
        <v>911</v>
      </c>
    </row>
    <row r="1096" spans="1:7">
      <c r="A1096">
        <v>2543</v>
      </c>
      <c r="B1096" t="s">
        <v>8485</v>
      </c>
      <c r="C1096">
        <v>0</v>
      </c>
      <c r="D1096">
        <v>0</v>
      </c>
      <c r="E1096">
        <v>0</v>
      </c>
      <c r="F1096">
        <v>0</v>
      </c>
      <c r="G1096">
        <v>911</v>
      </c>
    </row>
    <row r="1097" spans="1:7">
      <c r="A1097">
        <v>2545</v>
      </c>
      <c r="B1097" t="s">
        <v>5570</v>
      </c>
      <c r="C1097">
        <v>0</v>
      </c>
      <c r="D1097">
        <v>0</v>
      </c>
      <c r="E1097">
        <v>0</v>
      </c>
      <c r="F1097">
        <v>0</v>
      </c>
      <c r="G1097">
        <v>911</v>
      </c>
    </row>
    <row r="1098" spans="1:7">
      <c r="A1098">
        <v>2546</v>
      </c>
      <c r="B1098" t="s">
        <v>5571</v>
      </c>
      <c r="C1098">
        <v>0</v>
      </c>
      <c r="D1098">
        <v>0</v>
      </c>
      <c r="E1098">
        <v>0</v>
      </c>
      <c r="F1098">
        <v>0</v>
      </c>
      <c r="G1098">
        <v>911</v>
      </c>
    </row>
    <row r="1099" spans="1:7">
      <c r="A1099">
        <v>2547</v>
      </c>
      <c r="B1099" t="s">
        <v>5572</v>
      </c>
      <c r="C1099">
        <v>0</v>
      </c>
      <c r="D1099">
        <v>0</v>
      </c>
      <c r="E1099">
        <v>0</v>
      </c>
      <c r="F1099">
        <v>0</v>
      </c>
      <c r="G1099">
        <v>911</v>
      </c>
    </row>
    <row r="1100" spans="1:7">
      <c r="A1100">
        <v>2596</v>
      </c>
      <c r="B1100" t="s">
        <v>5574</v>
      </c>
      <c r="C1100">
        <v>0</v>
      </c>
      <c r="D1100">
        <v>0</v>
      </c>
      <c r="E1100">
        <v>0</v>
      </c>
      <c r="F1100">
        <v>0</v>
      </c>
      <c r="G1100">
        <v>911</v>
      </c>
    </row>
    <row r="1101" spans="1:7">
      <c r="A1101">
        <v>2597</v>
      </c>
      <c r="B1101" t="s">
        <v>5575</v>
      </c>
      <c r="C1101">
        <v>0</v>
      </c>
      <c r="D1101">
        <v>0</v>
      </c>
      <c r="E1101">
        <v>0</v>
      </c>
      <c r="F1101">
        <v>0</v>
      </c>
      <c r="G1101">
        <v>911</v>
      </c>
    </row>
    <row r="1102" spans="1:7">
      <c r="A1102">
        <v>2616</v>
      </c>
      <c r="B1102" t="s">
        <v>5589</v>
      </c>
      <c r="C1102">
        <v>0</v>
      </c>
      <c r="D1102">
        <v>0</v>
      </c>
      <c r="E1102">
        <v>0</v>
      </c>
      <c r="F1102">
        <v>0</v>
      </c>
      <c r="G1102">
        <v>911</v>
      </c>
    </row>
    <row r="1103" spans="1:7">
      <c r="A1103">
        <v>2633</v>
      </c>
      <c r="B1103" t="s">
        <v>5592</v>
      </c>
      <c r="C1103">
        <v>0</v>
      </c>
      <c r="D1103">
        <v>0</v>
      </c>
      <c r="E1103">
        <v>0</v>
      </c>
      <c r="F1103">
        <v>0</v>
      </c>
      <c r="G1103">
        <v>911</v>
      </c>
    </row>
    <row r="1104" spans="1:7">
      <c r="A1104">
        <v>2701</v>
      </c>
      <c r="B1104" t="s">
        <v>5600</v>
      </c>
      <c r="C1104">
        <v>0</v>
      </c>
      <c r="D1104">
        <v>0</v>
      </c>
      <c r="E1104">
        <v>0</v>
      </c>
      <c r="F1104">
        <v>0</v>
      </c>
      <c r="G1104">
        <v>911</v>
      </c>
    </row>
    <row r="1105" spans="1:7">
      <c r="A1105">
        <v>2702</v>
      </c>
      <c r="B1105" t="s">
        <v>8486</v>
      </c>
      <c r="C1105">
        <v>0</v>
      </c>
      <c r="D1105">
        <v>0</v>
      </c>
      <c r="E1105">
        <v>0</v>
      </c>
      <c r="F1105">
        <v>0</v>
      </c>
      <c r="G1105">
        <v>911</v>
      </c>
    </row>
    <row r="1106" spans="1:7">
      <c r="A1106">
        <v>2704</v>
      </c>
      <c r="B1106" t="s">
        <v>5601</v>
      </c>
      <c r="C1106">
        <v>0</v>
      </c>
      <c r="D1106">
        <v>0</v>
      </c>
      <c r="E1106">
        <v>0</v>
      </c>
      <c r="F1106">
        <v>0</v>
      </c>
      <c r="G1106">
        <v>911</v>
      </c>
    </row>
    <row r="1107" spans="1:7">
      <c r="A1107">
        <v>2705</v>
      </c>
      <c r="B1107" t="s">
        <v>5602</v>
      </c>
      <c r="C1107">
        <v>0</v>
      </c>
      <c r="D1107">
        <v>0</v>
      </c>
      <c r="E1107">
        <v>0</v>
      </c>
      <c r="F1107">
        <v>0</v>
      </c>
      <c r="G1107">
        <v>911</v>
      </c>
    </row>
    <row r="1108" spans="1:7">
      <c r="A1108">
        <v>2706</v>
      </c>
      <c r="B1108" t="s">
        <v>5603</v>
      </c>
      <c r="C1108">
        <v>0</v>
      </c>
      <c r="D1108">
        <v>0</v>
      </c>
      <c r="E1108">
        <v>0</v>
      </c>
      <c r="F1108">
        <v>0</v>
      </c>
      <c r="G1108">
        <v>911</v>
      </c>
    </row>
    <row r="1109" spans="1:7">
      <c r="A1109">
        <v>2712</v>
      </c>
      <c r="B1109" t="s">
        <v>5605</v>
      </c>
      <c r="C1109">
        <v>0</v>
      </c>
      <c r="D1109">
        <v>0</v>
      </c>
      <c r="E1109">
        <v>0</v>
      </c>
      <c r="F1109">
        <v>0</v>
      </c>
      <c r="G1109">
        <v>911</v>
      </c>
    </row>
    <row r="1110" spans="1:7">
      <c r="A1110">
        <v>2722</v>
      </c>
      <c r="B1110" t="s">
        <v>5606</v>
      </c>
      <c r="C1110">
        <v>0</v>
      </c>
      <c r="D1110">
        <v>0</v>
      </c>
      <c r="E1110">
        <v>0</v>
      </c>
      <c r="F1110">
        <v>0</v>
      </c>
      <c r="G1110">
        <v>911</v>
      </c>
    </row>
    <row r="1111" spans="1:7">
      <c r="A1111">
        <v>2736</v>
      </c>
      <c r="B1111" t="s">
        <v>5612</v>
      </c>
      <c r="C1111">
        <v>0</v>
      </c>
      <c r="D1111">
        <v>0</v>
      </c>
      <c r="E1111">
        <v>0</v>
      </c>
      <c r="F1111">
        <v>0</v>
      </c>
      <c r="G1111">
        <v>911</v>
      </c>
    </row>
    <row r="1112" spans="1:7">
      <c r="A1112">
        <v>2739</v>
      </c>
      <c r="B1112" t="s">
        <v>5613</v>
      </c>
      <c r="C1112">
        <v>0</v>
      </c>
      <c r="D1112">
        <v>0</v>
      </c>
      <c r="E1112">
        <v>0</v>
      </c>
      <c r="F1112">
        <v>0</v>
      </c>
      <c r="G1112">
        <v>911</v>
      </c>
    </row>
    <row r="1113" spans="1:7">
      <c r="A1113">
        <v>2748</v>
      </c>
      <c r="B1113" t="s">
        <v>5615</v>
      </c>
      <c r="C1113">
        <v>0</v>
      </c>
      <c r="D1113">
        <v>0</v>
      </c>
      <c r="E1113">
        <v>0</v>
      </c>
      <c r="F1113">
        <v>0</v>
      </c>
      <c r="G1113">
        <v>911</v>
      </c>
    </row>
    <row r="1114" spans="1:7">
      <c r="A1114">
        <v>2754</v>
      </c>
      <c r="B1114" t="s">
        <v>5616</v>
      </c>
      <c r="C1114">
        <v>0</v>
      </c>
      <c r="D1114">
        <v>0</v>
      </c>
      <c r="E1114">
        <v>0</v>
      </c>
      <c r="F1114">
        <v>0</v>
      </c>
      <c r="G1114">
        <v>911</v>
      </c>
    </row>
    <row r="1115" spans="1:7">
      <c r="A1115">
        <v>2812</v>
      </c>
      <c r="B1115" t="s">
        <v>5619</v>
      </c>
      <c r="C1115">
        <v>0</v>
      </c>
      <c r="D1115">
        <v>0</v>
      </c>
      <c r="E1115">
        <v>0</v>
      </c>
      <c r="F1115">
        <v>0</v>
      </c>
      <c r="G1115">
        <v>911</v>
      </c>
    </row>
    <row r="1116" spans="1:7">
      <c r="A1116">
        <v>2816</v>
      </c>
      <c r="B1116" t="s">
        <v>5620</v>
      </c>
      <c r="C1116">
        <v>0</v>
      </c>
      <c r="D1116">
        <v>0</v>
      </c>
      <c r="E1116">
        <v>0</v>
      </c>
      <c r="F1116">
        <v>0</v>
      </c>
      <c r="G1116">
        <v>911</v>
      </c>
    </row>
    <row r="1117" spans="1:7">
      <c r="A1117">
        <v>2820</v>
      </c>
      <c r="B1117" t="s">
        <v>5621</v>
      </c>
      <c r="C1117">
        <v>0</v>
      </c>
      <c r="D1117">
        <v>0</v>
      </c>
      <c r="E1117">
        <v>0</v>
      </c>
      <c r="F1117">
        <v>0</v>
      </c>
      <c r="G1117">
        <v>911</v>
      </c>
    </row>
    <row r="1118" spans="1:7">
      <c r="A1118">
        <v>2832</v>
      </c>
      <c r="B1118" t="s">
        <v>5622</v>
      </c>
      <c r="C1118">
        <v>0</v>
      </c>
      <c r="D1118">
        <v>0</v>
      </c>
      <c r="E1118">
        <v>0</v>
      </c>
      <c r="F1118">
        <v>0</v>
      </c>
      <c r="G1118">
        <v>911</v>
      </c>
    </row>
    <row r="1119" spans="1:7">
      <c r="A1119">
        <v>2836</v>
      </c>
      <c r="B1119" t="s">
        <v>5624</v>
      </c>
      <c r="C1119">
        <v>0</v>
      </c>
      <c r="D1119">
        <v>0</v>
      </c>
      <c r="E1119">
        <v>0</v>
      </c>
      <c r="F1119">
        <v>0</v>
      </c>
      <c r="G1119">
        <v>911</v>
      </c>
    </row>
    <row r="1120" spans="1:7">
      <c r="A1120">
        <v>2838</v>
      </c>
      <c r="B1120" t="s">
        <v>5625</v>
      </c>
      <c r="C1120">
        <v>0</v>
      </c>
      <c r="D1120">
        <v>0</v>
      </c>
      <c r="E1120">
        <v>0</v>
      </c>
      <c r="F1120">
        <v>0</v>
      </c>
      <c r="G1120">
        <v>911</v>
      </c>
    </row>
    <row r="1121" spans="1:7">
      <c r="A1121">
        <v>2845</v>
      </c>
      <c r="B1121" t="s">
        <v>5626</v>
      </c>
      <c r="C1121">
        <v>0</v>
      </c>
      <c r="D1121">
        <v>0</v>
      </c>
      <c r="E1121">
        <v>0</v>
      </c>
      <c r="F1121">
        <v>0</v>
      </c>
      <c r="G1121">
        <v>911</v>
      </c>
    </row>
    <row r="1122" spans="1:7">
      <c r="A1122">
        <v>2849</v>
      </c>
      <c r="B1122" t="s">
        <v>5627</v>
      </c>
      <c r="C1122">
        <v>0</v>
      </c>
      <c r="D1122">
        <v>0</v>
      </c>
      <c r="E1122">
        <v>0</v>
      </c>
      <c r="F1122">
        <v>0</v>
      </c>
      <c r="G1122">
        <v>911</v>
      </c>
    </row>
    <row r="1123" spans="1:7">
      <c r="A1123">
        <v>2850</v>
      </c>
      <c r="B1123" t="s">
        <v>5628</v>
      </c>
      <c r="C1123">
        <v>0</v>
      </c>
      <c r="D1123">
        <v>0</v>
      </c>
      <c r="E1123">
        <v>0</v>
      </c>
      <c r="F1123">
        <v>0</v>
      </c>
      <c r="G1123">
        <v>911</v>
      </c>
    </row>
    <row r="1124" spans="1:7">
      <c r="A1124">
        <v>2851</v>
      </c>
      <c r="B1124" t="s">
        <v>5629</v>
      </c>
      <c r="C1124">
        <v>0</v>
      </c>
      <c r="D1124">
        <v>0</v>
      </c>
      <c r="E1124">
        <v>0</v>
      </c>
      <c r="F1124">
        <v>0</v>
      </c>
      <c r="G1124">
        <v>911</v>
      </c>
    </row>
    <row r="1125" spans="1:7">
      <c r="A1125">
        <v>2852</v>
      </c>
      <c r="B1125" t="s">
        <v>5630</v>
      </c>
      <c r="C1125">
        <v>0</v>
      </c>
      <c r="D1125">
        <v>0</v>
      </c>
      <c r="E1125">
        <v>0</v>
      </c>
      <c r="F1125">
        <v>0</v>
      </c>
      <c r="G1125">
        <v>911</v>
      </c>
    </row>
    <row r="1126" spans="1:7">
      <c r="A1126">
        <v>2855</v>
      </c>
      <c r="B1126" t="s">
        <v>5631</v>
      </c>
      <c r="C1126">
        <v>0</v>
      </c>
      <c r="D1126">
        <v>0</v>
      </c>
      <c r="E1126">
        <v>0</v>
      </c>
      <c r="F1126">
        <v>0</v>
      </c>
      <c r="G1126">
        <v>911</v>
      </c>
    </row>
    <row r="1127" spans="1:7">
      <c r="A1127">
        <v>2867</v>
      </c>
      <c r="B1127" t="s">
        <v>5632</v>
      </c>
      <c r="C1127">
        <v>0</v>
      </c>
      <c r="D1127">
        <v>0</v>
      </c>
      <c r="E1127">
        <v>0</v>
      </c>
      <c r="F1127">
        <v>0</v>
      </c>
      <c r="G1127">
        <v>911</v>
      </c>
    </row>
    <row r="1128" spans="1:7">
      <c r="A1128">
        <v>2880</v>
      </c>
      <c r="B1128" t="s">
        <v>5633</v>
      </c>
      <c r="C1128">
        <v>0</v>
      </c>
      <c r="D1128">
        <v>0</v>
      </c>
      <c r="E1128">
        <v>0</v>
      </c>
      <c r="F1128">
        <v>0</v>
      </c>
      <c r="G1128">
        <v>911</v>
      </c>
    </row>
    <row r="1129" spans="1:7">
      <c r="A1129">
        <v>2881</v>
      </c>
      <c r="B1129" t="s">
        <v>5634</v>
      </c>
      <c r="C1129">
        <v>0</v>
      </c>
      <c r="D1129">
        <v>0</v>
      </c>
      <c r="E1129">
        <v>0</v>
      </c>
      <c r="F1129">
        <v>0</v>
      </c>
      <c r="G1129">
        <v>911</v>
      </c>
    </row>
    <row r="1130" spans="1:7">
      <c r="A1130">
        <v>2882</v>
      </c>
      <c r="B1130" t="s">
        <v>5635</v>
      </c>
      <c r="C1130">
        <v>0</v>
      </c>
      <c r="D1130">
        <v>0</v>
      </c>
      <c r="E1130">
        <v>0</v>
      </c>
      <c r="F1130">
        <v>0</v>
      </c>
      <c r="G1130">
        <v>911</v>
      </c>
    </row>
    <row r="1131" spans="1:7">
      <c r="A1131">
        <v>2884</v>
      </c>
      <c r="B1131" t="s">
        <v>5637</v>
      </c>
      <c r="C1131">
        <v>0</v>
      </c>
      <c r="D1131">
        <v>0</v>
      </c>
      <c r="E1131">
        <v>0</v>
      </c>
      <c r="F1131">
        <v>0</v>
      </c>
      <c r="G1131">
        <v>911</v>
      </c>
    </row>
    <row r="1132" spans="1:7">
      <c r="A1132">
        <v>2885</v>
      </c>
      <c r="B1132" t="s">
        <v>5638</v>
      </c>
      <c r="C1132">
        <v>0</v>
      </c>
      <c r="D1132">
        <v>0</v>
      </c>
      <c r="E1132">
        <v>0</v>
      </c>
      <c r="F1132">
        <v>0</v>
      </c>
      <c r="G1132">
        <v>911</v>
      </c>
    </row>
    <row r="1133" spans="1:7">
      <c r="A1133">
        <v>2886</v>
      </c>
      <c r="B1133" t="s">
        <v>5639</v>
      </c>
      <c r="C1133">
        <v>0</v>
      </c>
      <c r="D1133">
        <v>0</v>
      </c>
      <c r="E1133">
        <v>0</v>
      </c>
      <c r="F1133">
        <v>0</v>
      </c>
      <c r="G1133">
        <v>911</v>
      </c>
    </row>
    <row r="1134" spans="1:7">
      <c r="A1134">
        <v>2887</v>
      </c>
      <c r="B1134" t="s">
        <v>5640</v>
      </c>
      <c r="C1134">
        <v>0</v>
      </c>
      <c r="D1134">
        <v>0</v>
      </c>
      <c r="E1134">
        <v>0</v>
      </c>
      <c r="F1134">
        <v>0</v>
      </c>
      <c r="G1134">
        <v>911</v>
      </c>
    </row>
    <row r="1135" spans="1:7">
      <c r="A1135">
        <v>2889</v>
      </c>
      <c r="B1135" t="s">
        <v>5642</v>
      </c>
      <c r="C1135">
        <v>0</v>
      </c>
      <c r="D1135">
        <v>0</v>
      </c>
      <c r="E1135">
        <v>0</v>
      </c>
      <c r="F1135">
        <v>0</v>
      </c>
      <c r="G1135">
        <v>911</v>
      </c>
    </row>
    <row r="1136" spans="1:7">
      <c r="A1136">
        <v>2890</v>
      </c>
      <c r="B1136" t="s">
        <v>5643</v>
      </c>
      <c r="C1136">
        <v>0</v>
      </c>
      <c r="D1136">
        <v>0</v>
      </c>
      <c r="E1136">
        <v>0</v>
      </c>
      <c r="F1136">
        <v>0</v>
      </c>
      <c r="G1136">
        <v>911</v>
      </c>
    </row>
    <row r="1137" spans="1:7">
      <c r="A1137">
        <v>2891</v>
      </c>
      <c r="B1137" t="s">
        <v>5644</v>
      </c>
      <c r="C1137">
        <v>0</v>
      </c>
      <c r="D1137">
        <v>0</v>
      </c>
      <c r="E1137">
        <v>0</v>
      </c>
      <c r="F1137">
        <v>0</v>
      </c>
      <c r="G1137">
        <v>911</v>
      </c>
    </row>
    <row r="1138" spans="1:7">
      <c r="A1138">
        <v>2892</v>
      </c>
      <c r="B1138" t="s">
        <v>5645</v>
      </c>
      <c r="C1138">
        <v>0</v>
      </c>
      <c r="D1138">
        <v>0</v>
      </c>
      <c r="E1138">
        <v>0</v>
      </c>
      <c r="F1138">
        <v>0</v>
      </c>
      <c r="G1138">
        <v>911</v>
      </c>
    </row>
    <row r="1139" spans="1:7">
      <c r="A1139">
        <v>2901</v>
      </c>
      <c r="B1139" t="s">
        <v>5647</v>
      </c>
      <c r="C1139">
        <v>0</v>
      </c>
      <c r="D1139">
        <v>0</v>
      </c>
      <c r="E1139">
        <v>0</v>
      </c>
      <c r="F1139">
        <v>0</v>
      </c>
      <c r="G1139">
        <v>911</v>
      </c>
    </row>
    <row r="1140" spans="1:7">
      <c r="A1140">
        <v>2903</v>
      </c>
      <c r="B1140" t="s">
        <v>5648</v>
      </c>
      <c r="C1140">
        <v>0</v>
      </c>
      <c r="D1140">
        <v>0</v>
      </c>
      <c r="E1140">
        <v>0</v>
      </c>
      <c r="F1140">
        <v>0</v>
      </c>
      <c r="G1140">
        <v>911</v>
      </c>
    </row>
    <row r="1141" spans="1:7">
      <c r="A1141">
        <v>2904</v>
      </c>
      <c r="B1141" t="s">
        <v>5649</v>
      </c>
      <c r="C1141">
        <v>0</v>
      </c>
      <c r="D1141">
        <v>0</v>
      </c>
      <c r="E1141">
        <v>0</v>
      </c>
      <c r="F1141">
        <v>0</v>
      </c>
      <c r="G1141">
        <v>911</v>
      </c>
    </row>
    <row r="1142" spans="1:7">
      <c r="A1142">
        <v>2905</v>
      </c>
      <c r="B1142" t="s">
        <v>5650</v>
      </c>
      <c r="C1142">
        <v>0</v>
      </c>
      <c r="D1142">
        <v>0</v>
      </c>
      <c r="E1142">
        <v>0</v>
      </c>
      <c r="F1142">
        <v>0</v>
      </c>
      <c r="G1142">
        <v>911</v>
      </c>
    </row>
    <row r="1143" spans="1:7">
      <c r="A1143">
        <v>2908</v>
      </c>
      <c r="B1143" t="s">
        <v>5652</v>
      </c>
      <c r="C1143">
        <v>0</v>
      </c>
      <c r="D1143">
        <v>0</v>
      </c>
      <c r="E1143">
        <v>0</v>
      </c>
      <c r="F1143">
        <v>0</v>
      </c>
      <c r="G1143">
        <v>911</v>
      </c>
    </row>
    <row r="1144" spans="1:7">
      <c r="A1144">
        <v>2910</v>
      </c>
      <c r="B1144" t="s">
        <v>5653</v>
      </c>
      <c r="C1144">
        <v>0</v>
      </c>
      <c r="D1144">
        <v>0</v>
      </c>
      <c r="E1144">
        <v>0</v>
      </c>
      <c r="F1144">
        <v>0</v>
      </c>
      <c r="G1144">
        <v>911</v>
      </c>
    </row>
    <row r="1145" spans="1:7">
      <c r="A1145">
        <v>2912</v>
      </c>
      <c r="B1145" t="s">
        <v>5655</v>
      </c>
      <c r="C1145">
        <v>0</v>
      </c>
      <c r="D1145">
        <v>0</v>
      </c>
      <c r="E1145">
        <v>0</v>
      </c>
      <c r="F1145">
        <v>0</v>
      </c>
      <c r="G1145">
        <v>911</v>
      </c>
    </row>
    <row r="1146" spans="1:7">
      <c r="A1146">
        <v>2916</v>
      </c>
      <c r="B1146" t="s">
        <v>5658</v>
      </c>
      <c r="C1146">
        <v>0</v>
      </c>
      <c r="D1146">
        <v>0</v>
      </c>
      <c r="E1146">
        <v>0</v>
      </c>
      <c r="F1146">
        <v>0</v>
      </c>
      <c r="G1146">
        <v>911</v>
      </c>
    </row>
    <row r="1147" spans="1:7">
      <c r="A1147">
        <v>2926</v>
      </c>
      <c r="B1147" t="s">
        <v>5659</v>
      </c>
      <c r="C1147">
        <v>0</v>
      </c>
      <c r="D1147">
        <v>0</v>
      </c>
      <c r="E1147">
        <v>0</v>
      </c>
      <c r="F1147">
        <v>0</v>
      </c>
      <c r="G1147">
        <v>911</v>
      </c>
    </row>
    <row r="1148" spans="1:7">
      <c r="A1148">
        <v>2929</v>
      </c>
      <c r="B1148" t="s">
        <v>5660</v>
      </c>
      <c r="C1148">
        <v>0</v>
      </c>
      <c r="D1148">
        <v>0</v>
      </c>
      <c r="E1148">
        <v>0</v>
      </c>
      <c r="F1148">
        <v>0</v>
      </c>
      <c r="G1148">
        <v>911</v>
      </c>
    </row>
    <row r="1149" spans="1:7">
      <c r="A1149">
        <v>2939</v>
      </c>
      <c r="B1149" t="s">
        <v>5662</v>
      </c>
      <c r="C1149">
        <v>0</v>
      </c>
      <c r="D1149">
        <v>0</v>
      </c>
      <c r="E1149">
        <v>0</v>
      </c>
      <c r="F1149">
        <v>0</v>
      </c>
      <c r="G1149">
        <v>911</v>
      </c>
    </row>
    <row r="1150" spans="1:7">
      <c r="A1150">
        <v>3010</v>
      </c>
      <c r="B1150" t="s">
        <v>5669</v>
      </c>
      <c r="C1150">
        <v>0</v>
      </c>
      <c r="D1150">
        <v>0</v>
      </c>
      <c r="E1150">
        <v>0</v>
      </c>
      <c r="F1150">
        <v>0</v>
      </c>
      <c r="G1150">
        <v>911</v>
      </c>
    </row>
    <row r="1151" spans="1:7">
      <c r="A1151">
        <v>3013</v>
      </c>
      <c r="B1151" t="s">
        <v>5670</v>
      </c>
      <c r="C1151">
        <v>0</v>
      </c>
      <c r="D1151">
        <v>0</v>
      </c>
      <c r="E1151">
        <v>0</v>
      </c>
      <c r="F1151">
        <v>0</v>
      </c>
      <c r="G1151">
        <v>911</v>
      </c>
    </row>
    <row r="1152" spans="1:7">
      <c r="A1152">
        <v>3015</v>
      </c>
      <c r="B1152" t="s">
        <v>5672</v>
      </c>
      <c r="C1152">
        <v>0</v>
      </c>
      <c r="D1152">
        <v>0</v>
      </c>
      <c r="E1152">
        <v>0</v>
      </c>
      <c r="F1152">
        <v>0</v>
      </c>
      <c r="G1152">
        <v>911</v>
      </c>
    </row>
    <row r="1153" spans="1:7">
      <c r="A1153">
        <v>3018</v>
      </c>
      <c r="B1153" t="s">
        <v>8489</v>
      </c>
      <c r="C1153">
        <v>0</v>
      </c>
      <c r="D1153">
        <v>0</v>
      </c>
      <c r="E1153">
        <v>0</v>
      </c>
      <c r="F1153">
        <v>0</v>
      </c>
      <c r="G1153">
        <v>911</v>
      </c>
    </row>
    <row r="1154" spans="1:7">
      <c r="A1154">
        <v>3022</v>
      </c>
      <c r="B1154" t="s">
        <v>5677</v>
      </c>
      <c r="C1154">
        <v>0</v>
      </c>
      <c r="D1154">
        <v>0</v>
      </c>
      <c r="E1154">
        <v>0</v>
      </c>
      <c r="F1154">
        <v>0</v>
      </c>
      <c r="G1154">
        <v>911</v>
      </c>
    </row>
    <row r="1155" spans="1:7">
      <c r="A1155">
        <v>3024</v>
      </c>
      <c r="B1155" t="s">
        <v>8490</v>
      </c>
      <c r="C1155">
        <v>0</v>
      </c>
      <c r="D1155">
        <v>0</v>
      </c>
      <c r="E1155">
        <v>0</v>
      </c>
      <c r="F1155">
        <v>0</v>
      </c>
      <c r="G1155">
        <v>911</v>
      </c>
    </row>
    <row r="1156" spans="1:7">
      <c r="A1156">
        <v>3032</v>
      </c>
      <c r="B1156" t="s">
        <v>5686</v>
      </c>
      <c r="C1156">
        <v>0</v>
      </c>
      <c r="D1156">
        <v>0</v>
      </c>
      <c r="E1156">
        <v>0</v>
      </c>
      <c r="F1156">
        <v>0</v>
      </c>
      <c r="G1156">
        <v>911</v>
      </c>
    </row>
    <row r="1157" spans="1:7">
      <c r="A1157">
        <v>3040</v>
      </c>
      <c r="B1157" t="s">
        <v>5693</v>
      </c>
      <c r="C1157">
        <v>0</v>
      </c>
      <c r="D1157">
        <v>0</v>
      </c>
      <c r="E1157">
        <v>0</v>
      </c>
      <c r="F1157">
        <v>0</v>
      </c>
      <c r="G1157">
        <v>911</v>
      </c>
    </row>
    <row r="1158" spans="1:7">
      <c r="A1158">
        <v>3043</v>
      </c>
      <c r="B1158" t="s">
        <v>8491</v>
      </c>
      <c r="C1158">
        <v>0</v>
      </c>
      <c r="D1158">
        <v>0</v>
      </c>
      <c r="E1158">
        <v>0</v>
      </c>
      <c r="F1158">
        <v>0</v>
      </c>
      <c r="G1158">
        <v>911</v>
      </c>
    </row>
    <row r="1159" spans="1:7">
      <c r="A1159">
        <v>3044</v>
      </c>
      <c r="B1159" t="s">
        <v>5696</v>
      </c>
      <c r="C1159">
        <v>0</v>
      </c>
      <c r="D1159">
        <v>0</v>
      </c>
      <c r="E1159">
        <v>0</v>
      </c>
      <c r="F1159">
        <v>0</v>
      </c>
      <c r="G1159">
        <v>911</v>
      </c>
    </row>
    <row r="1160" spans="1:7">
      <c r="A1160">
        <v>3045</v>
      </c>
      <c r="B1160" t="s">
        <v>5697</v>
      </c>
      <c r="C1160">
        <v>0</v>
      </c>
      <c r="D1160">
        <v>0</v>
      </c>
      <c r="E1160">
        <v>0</v>
      </c>
      <c r="F1160">
        <v>0</v>
      </c>
      <c r="G1160">
        <v>911</v>
      </c>
    </row>
    <row r="1161" spans="1:7">
      <c r="A1161">
        <v>3046</v>
      </c>
      <c r="B1161" t="s">
        <v>8492</v>
      </c>
      <c r="C1161">
        <v>0</v>
      </c>
      <c r="D1161">
        <v>0</v>
      </c>
      <c r="E1161">
        <v>0</v>
      </c>
      <c r="F1161">
        <v>0</v>
      </c>
      <c r="G1161">
        <v>911</v>
      </c>
    </row>
    <row r="1162" spans="1:7">
      <c r="A1162">
        <v>3052</v>
      </c>
      <c r="B1162" t="s">
        <v>5702</v>
      </c>
      <c r="C1162">
        <v>0</v>
      </c>
      <c r="D1162">
        <v>0</v>
      </c>
      <c r="E1162">
        <v>0</v>
      </c>
      <c r="F1162">
        <v>0</v>
      </c>
      <c r="G1162">
        <v>911</v>
      </c>
    </row>
    <row r="1163" spans="1:7">
      <c r="A1163">
        <v>3054</v>
      </c>
      <c r="B1163" t="s">
        <v>5703</v>
      </c>
      <c r="C1163">
        <v>0</v>
      </c>
      <c r="D1163">
        <v>0</v>
      </c>
      <c r="E1163">
        <v>0</v>
      </c>
      <c r="F1163">
        <v>0</v>
      </c>
      <c r="G1163">
        <v>911</v>
      </c>
    </row>
    <row r="1164" spans="1:7">
      <c r="A1164">
        <v>3055</v>
      </c>
      <c r="B1164" t="s">
        <v>5704</v>
      </c>
      <c r="C1164">
        <v>0</v>
      </c>
      <c r="D1164">
        <v>0</v>
      </c>
      <c r="E1164">
        <v>0</v>
      </c>
      <c r="F1164">
        <v>0</v>
      </c>
      <c r="G1164">
        <v>911</v>
      </c>
    </row>
    <row r="1165" spans="1:7">
      <c r="A1165">
        <v>3056</v>
      </c>
      <c r="B1165" t="s">
        <v>5705</v>
      </c>
      <c r="C1165">
        <v>0</v>
      </c>
      <c r="D1165">
        <v>0</v>
      </c>
      <c r="E1165">
        <v>0</v>
      </c>
      <c r="F1165">
        <v>0</v>
      </c>
      <c r="G1165">
        <v>911</v>
      </c>
    </row>
    <row r="1166" spans="1:7">
      <c r="A1166">
        <v>3057</v>
      </c>
      <c r="B1166" t="s">
        <v>8494</v>
      </c>
      <c r="C1166">
        <v>0</v>
      </c>
      <c r="D1166">
        <v>0</v>
      </c>
      <c r="E1166">
        <v>0</v>
      </c>
      <c r="F1166">
        <v>0</v>
      </c>
      <c r="G1166">
        <v>911</v>
      </c>
    </row>
    <row r="1167" spans="1:7">
      <c r="A1167">
        <v>3066</v>
      </c>
      <c r="B1167" t="s">
        <v>8495</v>
      </c>
      <c r="C1167">
        <v>0</v>
      </c>
      <c r="D1167">
        <v>0</v>
      </c>
      <c r="E1167">
        <v>0</v>
      </c>
      <c r="F1167">
        <v>0</v>
      </c>
      <c r="G1167">
        <v>911</v>
      </c>
    </row>
    <row r="1168" spans="1:7">
      <c r="A1168">
        <v>3130</v>
      </c>
      <c r="B1168" t="s">
        <v>5724</v>
      </c>
      <c r="C1168">
        <v>0</v>
      </c>
      <c r="D1168">
        <v>0</v>
      </c>
      <c r="E1168">
        <v>0</v>
      </c>
      <c r="F1168">
        <v>0</v>
      </c>
      <c r="G1168">
        <v>911</v>
      </c>
    </row>
    <row r="1169" spans="1:7">
      <c r="A1169">
        <v>3162</v>
      </c>
      <c r="B1169" t="s">
        <v>5729</v>
      </c>
      <c r="C1169">
        <v>0</v>
      </c>
      <c r="D1169">
        <v>0</v>
      </c>
      <c r="E1169">
        <v>0</v>
      </c>
      <c r="F1169">
        <v>0</v>
      </c>
      <c r="G1169">
        <v>911</v>
      </c>
    </row>
    <row r="1170" spans="1:7">
      <c r="A1170">
        <v>3164</v>
      </c>
      <c r="B1170" t="s">
        <v>5731</v>
      </c>
      <c r="C1170">
        <v>0</v>
      </c>
      <c r="D1170">
        <v>0</v>
      </c>
      <c r="E1170">
        <v>0</v>
      </c>
      <c r="F1170">
        <v>0</v>
      </c>
      <c r="G1170">
        <v>911</v>
      </c>
    </row>
    <row r="1171" spans="1:7">
      <c r="A1171">
        <v>3188</v>
      </c>
      <c r="B1171" t="s">
        <v>5736</v>
      </c>
      <c r="C1171">
        <v>0</v>
      </c>
      <c r="D1171">
        <v>0</v>
      </c>
      <c r="E1171">
        <v>0</v>
      </c>
      <c r="F1171">
        <v>0</v>
      </c>
      <c r="G1171">
        <v>911</v>
      </c>
    </row>
    <row r="1172" spans="1:7">
      <c r="A1172">
        <v>3202</v>
      </c>
      <c r="B1172" t="s">
        <v>5738</v>
      </c>
      <c r="C1172">
        <v>0</v>
      </c>
      <c r="D1172">
        <v>0</v>
      </c>
      <c r="E1172">
        <v>0</v>
      </c>
      <c r="F1172">
        <v>0</v>
      </c>
      <c r="G1172">
        <v>911</v>
      </c>
    </row>
    <row r="1173" spans="1:7">
      <c r="A1173">
        <v>3206</v>
      </c>
      <c r="B1173" t="s">
        <v>8585</v>
      </c>
      <c r="C1173">
        <v>0</v>
      </c>
      <c r="D1173">
        <v>0</v>
      </c>
      <c r="E1173">
        <v>0</v>
      </c>
      <c r="F1173">
        <v>0</v>
      </c>
      <c r="G1173">
        <v>911</v>
      </c>
    </row>
    <row r="1174" spans="1:7">
      <c r="A1174">
        <v>3219</v>
      </c>
      <c r="B1174" t="s">
        <v>5746</v>
      </c>
      <c r="C1174">
        <v>0</v>
      </c>
      <c r="D1174">
        <v>0</v>
      </c>
      <c r="E1174">
        <v>0</v>
      </c>
      <c r="F1174">
        <v>0</v>
      </c>
      <c r="G1174">
        <v>911</v>
      </c>
    </row>
    <row r="1175" spans="1:7">
      <c r="A1175">
        <v>3229</v>
      </c>
      <c r="B1175" t="s">
        <v>8498</v>
      </c>
      <c r="C1175">
        <v>0</v>
      </c>
      <c r="D1175">
        <v>0</v>
      </c>
      <c r="E1175">
        <v>0</v>
      </c>
      <c r="F1175">
        <v>0</v>
      </c>
      <c r="G1175">
        <v>911</v>
      </c>
    </row>
    <row r="1176" spans="1:7">
      <c r="A1176">
        <v>3252</v>
      </c>
      <c r="B1176" t="s">
        <v>5755</v>
      </c>
      <c r="C1176">
        <v>0</v>
      </c>
      <c r="D1176">
        <v>0</v>
      </c>
      <c r="E1176">
        <v>0</v>
      </c>
      <c r="F1176">
        <v>0</v>
      </c>
      <c r="G1176">
        <v>911</v>
      </c>
    </row>
    <row r="1177" spans="1:7">
      <c r="A1177">
        <v>3266</v>
      </c>
      <c r="B1177" t="s">
        <v>5760</v>
      </c>
      <c r="C1177">
        <v>0</v>
      </c>
      <c r="D1177">
        <v>0</v>
      </c>
      <c r="E1177">
        <v>0</v>
      </c>
      <c r="F1177">
        <v>0</v>
      </c>
      <c r="G1177">
        <v>911</v>
      </c>
    </row>
    <row r="1178" spans="1:7">
      <c r="A1178">
        <v>3272</v>
      </c>
      <c r="B1178" t="s">
        <v>5762</v>
      </c>
      <c r="C1178">
        <v>0</v>
      </c>
      <c r="D1178">
        <v>0</v>
      </c>
      <c r="E1178">
        <v>0</v>
      </c>
      <c r="F1178">
        <v>0</v>
      </c>
      <c r="G1178">
        <v>911</v>
      </c>
    </row>
    <row r="1179" spans="1:7">
      <c r="A1179">
        <v>3288</v>
      </c>
      <c r="B1179" t="s">
        <v>8586</v>
      </c>
      <c r="C1179">
        <v>0</v>
      </c>
      <c r="D1179">
        <v>0</v>
      </c>
      <c r="E1179">
        <v>0</v>
      </c>
      <c r="F1179">
        <v>0</v>
      </c>
      <c r="G1179">
        <v>911</v>
      </c>
    </row>
    <row r="1180" spans="1:7">
      <c r="A1180">
        <v>3289</v>
      </c>
      <c r="B1180" t="s">
        <v>5765</v>
      </c>
      <c r="C1180">
        <v>0</v>
      </c>
      <c r="D1180">
        <v>0</v>
      </c>
      <c r="E1180">
        <v>0</v>
      </c>
      <c r="F1180">
        <v>0</v>
      </c>
      <c r="G1180">
        <v>911</v>
      </c>
    </row>
    <row r="1181" spans="1:7">
      <c r="A1181">
        <v>3303</v>
      </c>
      <c r="B1181" t="s">
        <v>5771</v>
      </c>
      <c r="C1181">
        <v>0</v>
      </c>
      <c r="D1181">
        <v>0</v>
      </c>
      <c r="E1181">
        <v>0</v>
      </c>
      <c r="F1181">
        <v>0</v>
      </c>
      <c r="G1181">
        <v>911</v>
      </c>
    </row>
    <row r="1182" spans="1:7">
      <c r="A1182">
        <v>3308</v>
      </c>
      <c r="B1182" t="s">
        <v>8500</v>
      </c>
      <c r="C1182">
        <v>0</v>
      </c>
      <c r="D1182">
        <v>0</v>
      </c>
      <c r="E1182">
        <v>0</v>
      </c>
      <c r="F1182">
        <v>0</v>
      </c>
      <c r="G1182">
        <v>911</v>
      </c>
    </row>
    <row r="1183" spans="1:7">
      <c r="A1183">
        <v>3311</v>
      </c>
      <c r="B1183" t="s">
        <v>5775</v>
      </c>
      <c r="C1183">
        <v>0</v>
      </c>
      <c r="D1183">
        <v>0</v>
      </c>
      <c r="E1183">
        <v>0</v>
      </c>
      <c r="F1183">
        <v>0</v>
      </c>
      <c r="G1183">
        <v>911</v>
      </c>
    </row>
    <row r="1184" spans="1:7">
      <c r="A1184">
        <v>3313</v>
      </c>
      <c r="B1184" t="s">
        <v>8501</v>
      </c>
      <c r="C1184">
        <v>0</v>
      </c>
      <c r="D1184">
        <v>0</v>
      </c>
      <c r="E1184">
        <v>0</v>
      </c>
      <c r="F1184">
        <v>0</v>
      </c>
      <c r="G1184">
        <v>911</v>
      </c>
    </row>
    <row r="1185" spans="1:7">
      <c r="A1185">
        <v>3321</v>
      </c>
      <c r="B1185" t="s">
        <v>8502</v>
      </c>
      <c r="C1185">
        <v>0</v>
      </c>
      <c r="D1185">
        <v>0</v>
      </c>
      <c r="E1185">
        <v>0</v>
      </c>
      <c r="F1185">
        <v>0</v>
      </c>
      <c r="G1185">
        <v>911</v>
      </c>
    </row>
    <row r="1186" spans="1:7">
      <c r="A1186">
        <v>3325</v>
      </c>
      <c r="B1186" t="s">
        <v>5780</v>
      </c>
      <c r="C1186">
        <v>0</v>
      </c>
      <c r="D1186">
        <v>0</v>
      </c>
      <c r="E1186">
        <v>0</v>
      </c>
      <c r="F1186">
        <v>0</v>
      </c>
      <c r="G1186">
        <v>911</v>
      </c>
    </row>
    <row r="1187" spans="1:7">
      <c r="A1187">
        <v>3376</v>
      </c>
      <c r="B1187" t="s">
        <v>5793</v>
      </c>
      <c r="C1187">
        <v>0</v>
      </c>
      <c r="D1187">
        <v>0</v>
      </c>
      <c r="E1187">
        <v>0</v>
      </c>
      <c r="F1187">
        <v>0</v>
      </c>
      <c r="G1187">
        <v>911</v>
      </c>
    </row>
    <row r="1188" spans="1:7">
      <c r="A1188">
        <v>3379</v>
      </c>
      <c r="B1188" t="s">
        <v>5794</v>
      </c>
      <c r="C1188">
        <v>0</v>
      </c>
      <c r="D1188">
        <v>0</v>
      </c>
      <c r="E1188">
        <v>0</v>
      </c>
      <c r="F1188">
        <v>0</v>
      </c>
      <c r="G1188">
        <v>911</v>
      </c>
    </row>
    <row r="1189" spans="1:7">
      <c r="A1189">
        <v>3380</v>
      </c>
      <c r="B1189" t="s">
        <v>5795</v>
      </c>
      <c r="C1189">
        <v>0</v>
      </c>
      <c r="D1189">
        <v>0</v>
      </c>
      <c r="E1189">
        <v>0</v>
      </c>
      <c r="F1189">
        <v>0</v>
      </c>
      <c r="G1189">
        <v>911</v>
      </c>
    </row>
    <row r="1190" spans="1:7">
      <c r="A1190">
        <v>3383</v>
      </c>
      <c r="B1190" t="s">
        <v>8504</v>
      </c>
      <c r="C1190">
        <v>0</v>
      </c>
      <c r="D1190">
        <v>0</v>
      </c>
      <c r="E1190">
        <v>0</v>
      </c>
      <c r="F1190">
        <v>0</v>
      </c>
      <c r="G1190">
        <v>911</v>
      </c>
    </row>
    <row r="1191" spans="1:7">
      <c r="A1191">
        <v>3388</v>
      </c>
      <c r="B1191" t="s">
        <v>5796</v>
      </c>
      <c r="C1191">
        <v>0</v>
      </c>
      <c r="D1191">
        <v>0</v>
      </c>
      <c r="E1191">
        <v>0</v>
      </c>
      <c r="F1191">
        <v>0</v>
      </c>
      <c r="G1191">
        <v>911</v>
      </c>
    </row>
    <row r="1192" spans="1:7">
      <c r="A1192">
        <v>3416</v>
      </c>
      <c r="B1192" t="s">
        <v>5801</v>
      </c>
      <c r="C1192">
        <v>0</v>
      </c>
      <c r="D1192">
        <v>0</v>
      </c>
      <c r="E1192">
        <v>0</v>
      </c>
      <c r="F1192">
        <v>0</v>
      </c>
      <c r="G1192">
        <v>911</v>
      </c>
    </row>
    <row r="1193" spans="1:7">
      <c r="A1193">
        <v>3454</v>
      </c>
      <c r="B1193" t="s">
        <v>5811</v>
      </c>
      <c r="C1193">
        <v>0</v>
      </c>
      <c r="D1193">
        <v>0</v>
      </c>
      <c r="E1193">
        <v>0</v>
      </c>
      <c r="F1193">
        <v>0</v>
      </c>
      <c r="G1193">
        <v>911</v>
      </c>
    </row>
    <row r="1194" spans="1:7">
      <c r="A1194">
        <v>3489</v>
      </c>
      <c r="B1194" t="s">
        <v>5818</v>
      </c>
      <c r="C1194">
        <v>0</v>
      </c>
      <c r="D1194">
        <v>0</v>
      </c>
      <c r="E1194">
        <v>0</v>
      </c>
      <c r="F1194">
        <v>0</v>
      </c>
      <c r="G1194">
        <v>911</v>
      </c>
    </row>
    <row r="1195" spans="1:7">
      <c r="A1195">
        <v>3494</v>
      </c>
      <c r="B1195" t="s">
        <v>8505</v>
      </c>
      <c r="C1195">
        <v>0</v>
      </c>
      <c r="D1195">
        <v>0</v>
      </c>
      <c r="E1195">
        <v>0</v>
      </c>
      <c r="F1195">
        <v>0</v>
      </c>
      <c r="G1195">
        <v>911</v>
      </c>
    </row>
    <row r="1196" spans="1:7">
      <c r="A1196">
        <v>3498</v>
      </c>
      <c r="B1196" t="s">
        <v>5822</v>
      </c>
      <c r="C1196">
        <v>0</v>
      </c>
      <c r="D1196">
        <v>0</v>
      </c>
      <c r="E1196">
        <v>0</v>
      </c>
      <c r="F1196">
        <v>0</v>
      </c>
      <c r="G1196">
        <v>911</v>
      </c>
    </row>
    <row r="1197" spans="1:7">
      <c r="A1197">
        <v>3501</v>
      </c>
      <c r="B1197" t="s">
        <v>5824</v>
      </c>
      <c r="C1197">
        <v>0</v>
      </c>
      <c r="D1197">
        <v>0</v>
      </c>
      <c r="E1197">
        <v>0</v>
      </c>
      <c r="F1197">
        <v>0</v>
      </c>
      <c r="G1197">
        <v>911</v>
      </c>
    </row>
    <row r="1198" spans="1:7">
      <c r="A1198">
        <v>3512</v>
      </c>
      <c r="B1198" t="s">
        <v>6591</v>
      </c>
      <c r="C1198">
        <v>0</v>
      </c>
      <c r="D1198">
        <v>0</v>
      </c>
      <c r="E1198">
        <v>0</v>
      </c>
      <c r="F1198">
        <v>0</v>
      </c>
      <c r="G1198">
        <v>911</v>
      </c>
    </row>
    <row r="1199" spans="1:7">
      <c r="A1199">
        <v>3520</v>
      </c>
      <c r="B1199" t="s">
        <v>8506</v>
      </c>
      <c r="C1199">
        <v>0</v>
      </c>
      <c r="D1199">
        <v>0</v>
      </c>
      <c r="E1199">
        <v>0</v>
      </c>
      <c r="F1199">
        <v>0</v>
      </c>
      <c r="G1199">
        <v>911</v>
      </c>
    </row>
    <row r="1200" spans="1:7">
      <c r="A1200">
        <v>3523</v>
      </c>
      <c r="B1200" t="s">
        <v>8587</v>
      </c>
      <c r="C1200">
        <v>0</v>
      </c>
      <c r="D1200">
        <v>0</v>
      </c>
      <c r="E1200">
        <v>0</v>
      </c>
      <c r="F1200">
        <v>0</v>
      </c>
      <c r="G1200">
        <v>911</v>
      </c>
    </row>
    <row r="1201" spans="1:7">
      <c r="A1201">
        <v>3536</v>
      </c>
      <c r="B1201" t="s">
        <v>8508</v>
      </c>
      <c r="C1201">
        <v>0</v>
      </c>
      <c r="D1201">
        <v>0</v>
      </c>
      <c r="E1201">
        <v>0</v>
      </c>
      <c r="F1201">
        <v>0</v>
      </c>
      <c r="G1201">
        <v>911</v>
      </c>
    </row>
    <row r="1202" spans="1:7">
      <c r="A1202">
        <v>3543</v>
      </c>
      <c r="B1202" t="s">
        <v>5842</v>
      </c>
      <c r="C1202">
        <v>0</v>
      </c>
      <c r="D1202">
        <v>0</v>
      </c>
      <c r="E1202">
        <v>0</v>
      </c>
      <c r="F1202">
        <v>0</v>
      </c>
      <c r="G1202">
        <v>911</v>
      </c>
    </row>
    <row r="1203" spans="1:7">
      <c r="A1203">
        <v>3555</v>
      </c>
      <c r="B1203" t="s">
        <v>8509</v>
      </c>
      <c r="C1203">
        <v>0</v>
      </c>
      <c r="D1203">
        <v>0</v>
      </c>
      <c r="E1203">
        <v>0</v>
      </c>
      <c r="F1203">
        <v>0</v>
      </c>
      <c r="G1203">
        <v>911</v>
      </c>
    </row>
    <row r="1204" spans="1:7">
      <c r="A1204">
        <v>3557</v>
      </c>
      <c r="B1204" t="s">
        <v>5850</v>
      </c>
      <c r="C1204">
        <v>0</v>
      </c>
      <c r="D1204">
        <v>0</v>
      </c>
      <c r="E1204">
        <v>0</v>
      </c>
      <c r="F1204">
        <v>0</v>
      </c>
      <c r="G1204">
        <v>911</v>
      </c>
    </row>
    <row r="1205" spans="1:7">
      <c r="A1205">
        <v>3577</v>
      </c>
      <c r="B1205" t="s">
        <v>5854</v>
      </c>
      <c r="C1205">
        <v>0</v>
      </c>
      <c r="D1205">
        <v>0</v>
      </c>
      <c r="E1205">
        <v>0</v>
      </c>
      <c r="F1205">
        <v>0</v>
      </c>
      <c r="G1205">
        <v>911</v>
      </c>
    </row>
    <row r="1206" spans="1:7">
      <c r="A1206">
        <v>3593</v>
      </c>
      <c r="B1206" t="s">
        <v>8511</v>
      </c>
      <c r="C1206">
        <v>0</v>
      </c>
      <c r="D1206">
        <v>0</v>
      </c>
      <c r="E1206">
        <v>0</v>
      </c>
      <c r="F1206">
        <v>0</v>
      </c>
      <c r="G1206">
        <v>911</v>
      </c>
    </row>
    <row r="1207" spans="1:7">
      <c r="A1207">
        <v>3611</v>
      </c>
      <c r="B1207" t="s">
        <v>5867</v>
      </c>
      <c r="C1207">
        <v>0</v>
      </c>
      <c r="D1207">
        <v>0</v>
      </c>
      <c r="E1207">
        <v>0</v>
      </c>
      <c r="F1207">
        <v>0</v>
      </c>
      <c r="G1207">
        <v>911</v>
      </c>
    </row>
    <row r="1208" spans="1:7">
      <c r="A1208">
        <v>3617</v>
      </c>
      <c r="B1208" t="s">
        <v>5869</v>
      </c>
      <c r="C1208">
        <v>0</v>
      </c>
      <c r="D1208">
        <v>0</v>
      </c>
      <c r="E1208">
        <v>0</v>
      </c>
      <c r="F1208">
        <v>0</v>
      </c>
      <c r="G1208">
        <v>911</v>
      </c>
    </row>
    <row r="1209" spans="1:7">
      <c r="A1209">
        <v>3622</v>
      </c>
      <c r="B1209" t="s">
        <v>5870</v>
      </c>
      <c r="C1209">
        <v>0</v>
      </c>
      <c r="D1209">
        <v>0</v>
      </c>
      <c r="E1209">
        <v>0</v>
      </c>
      <c r="F1209">
        <v>0</v>
      </c>
      <c r="G1209">
        <v>911</v>
      </c>
    </row>
    <row r="1210" spans="1:7">
      <c r="A1210">
        <v>3630</v>
      </c>
      <c r="B1210" t="s">
        <v>5875</v>
      </c>
      <c r="C1210">
        <v>0</v>
      </c>
      <c r="D1210">
        <v>0</v>
      </c>
      <c r="E1210">
        <v>0</v>
      </c>
      <c r="F1210">
        <v>0</v>
      </c>
      <c r="G1210">
        <v>911</v>
      </c>
    </row>
    <row r="1211" spans="1:7">
      <c r="A1211">
        <v>3642</v>
      </c>
      <c r="B1211" t="s">
        <v>8512</v>
      </c>
      <c r="C1211">
        <v>0</v>
      </c>
      <c r="D1211">
        <v>0</v>
      </c>
      <c r="E1211">
        <v>0</v>
      </c>
      <c r="F1211">
        <v>0</v>
      </c>
      <c r="G1211">
        <v>911</v>
      </c>
    </row>
    <row r="1212" spans="1:7">
      <c r="A1212">
        <v>3664</v>
      </c>
      <c r="B1212" t="s">
        <v>8513</v>
      </c>
      <c r="C1212">
        <v>0</v>
      </c>
      <c r="D1212">
        <v>0</v>
      </c>
      <c r="E1212">
        <v>0</v>
      </c>
      <c r="F1212">
        <v>0</v>
      </c>
      <c r="G1212">
        <v>911</v>
      </c>
    </row>
    <row r="1213" spans="1:7">
      <c r="A1213">
        <v>3673</v>
      </c>
      <c r="B1213" t="s">
        <v>5887</v>
      </c>
      <c r="C1213">
        <v>0</v>
      </c>
      <c r="D1213">
        <v>0</v>
      </c>
      <c r="E1213">
        <v>0</v>
      </c>
      <c r="F1213">
        <v>0</v>
      </c>
      <c r="G1213">
        <v>911</v>
      </c>
    </row>
    <row r="1214" spans="1:7">
      <c r="A1214">
        <v>3679</v>
      </c>
      <c r="B1214" t="s">
        <v>5889</v>
      </c>
      <c r="C1214">
        <v>0</v>
      </c>
      <c r="D1214">
        <v>0</v>
      </c>
      <c r="E1214">
        <v>0</v>
      </c>
      <c r="F1214">
        <v>0</v>
      </c>
      <c r="G1214">
        <v>911</v>
      </c>
    </row>
    <row r="1215" spans="1:7">
      <c r="A1215">
        <v>3682</v>
      </c>
      <c r="B1215" t="s">
        <v>8514</v>
      </c>
      <c r="C1215">
        <v>0</v>
      </c>
      <c r="D1215">
        <v>0</v>
      </c>
      <c r="E1215">
        <v>0</v>
      </c>
      <c r="F1215">
        <v>0</v>
      </c>
      <c r="G1215">
        <v>911</v>
      </c>
    </row>
    <row r="1216" spans="1:7">
      <c r="A1216">
        <v>3694</v>
      </c>
      <c r="B1216" t="s">
        <v>5896</v>
      </c>
      <c r="C1216">
        <v>0</v>
      </c>
      <c r="D1216">
        <v>0</v>
      </c>
      <c r="E1216">
        <v>0</v>
      </c>
      <c r="F1216">
        <v>0</v>
      </c>
      <c r="G1216">
        <v>911</v>
      </c>
    </row>
    <row r="1217" spans="1:7">
      <c r="A1217">
        <v>3703</v>
      </c>
      <c r="B1217" t="s">
        <v>5899</v>
      </c>
      <c r="C1217">
        <v>0</v>
      </c>
      <c r="D1217">
        <v>0</v>
      </c>
      <c r="E1217">
        <v>0</v>
      </c>
      <c r="F1217">
        <v>0</v>
      </c>
      <c r="G1217">
        <v>911</v>
      </c>
    </row>
    <row r="1218" spans="1:7">
      <c r="A1218">
        <v>3705</v>
      </c>
      <c r="B1218" t="s">
        <v>5901</v>
      </c>
      <c r="C1218">
        <v>0</v>
      </c>
      <c r="D1218">
        <v>0</v>
      </c>
      <c r="E1218">
        <v>0</v>
      </c>
      <c r="F1218">
        <v>0</v>
      </c>
      <c r="G1218">
        <v>911</v>
      </c>
    </row>
    <row r="1219" spans="1:7">
      <c r="A1219">
        <v>3711</v>
      </c>
      <c r="B1219" t="s">
        <v>5905</v>
      </c>
      <c r="C1219">
        <v>0</v>
      </c>
      <c r="D1219">
        <v>0</v>
      </c>
      <c r="E1219">
        <v>0</v>
      </c>
      <c r="F1219">
        <v>0</v>
      </c>
      <c r="G1219">
        <v>911</v>
      </c>
    </row>
    <row r="1220" spans="1:7">
      <c r="A1220">
        <v>3712</v>
      </c>
      <c r="B1220" t="s">
        <v>5906</v>
      </c>
      <c r="C1220">
        <v>0</v>
      </c>
      <c r="D1220">
        <v>0</v>
      </c>
      <c r="E1220">
        <v>0</v>
      </c>
      <c r="F1220">
        <v>0</v>
      </c>
      <c r="G1220">
        <v>911</v>
      </c>
    </row>
    <row r="1221" spans="1:7">
      <c r="A1221">
        <v>4104</v>
      </c>
      <c r="B1221" t="s">
        <v>5909</v>
      </c>
      <c r="C1221">
        <v>0</v>
      </c>
      <c r="D1221">
        <v>0</v>
      </c>
      <c r="E1221">
        <v>0</v>
      </c>
      <c r="F1221">
        <v>0</v>
      </c>
      <c r="G1221">
        <v>911</v>
      </c>
    </row>
    <row r="1222" spans="1:7">
      <c r="A1222">
        <v>4107</v>
      </c>
      <c r="B1222" t="s">
        <v>5911</v>
      </c>
      <c r="C1222">
        <v>0</v>
      </c>
      <c r="D1222">
        <v>0</v>
      </c>
      <c r="E1222">
        <v>0</v>
      </c>
      <c r="F1222">
        <v>0</v>
      </c>
      <c r="G1222">
        <v>911</v>
      </c>
    </row>
    <row r="1223" spans="1:7">
      <c r="A1223">
        <v>4108</v>
      </c>
      <c r="B1223" t="s">
        <v>5912</v>
      </c>
      <c r="C1223">
        <v>0</v>
      </c>
      <c r="D1223">
        <v>0</v>
      </c>
      <c r="E1223">
        <v>0</v>
      </c>
      <c r="F1223">
        <v>0</v>
      </c>
      <c r="G1223">
        <v>911</v>
      </c>
    </row>
    <row r="1224" spans="1:7">
      <c r="A1224">
        <v>4109</v>
      </c>
      <c r="B1224" t="s">
        <v>5913</v>
      </c>
      <c r="C1224">
        <v>0</v>
      </c>
      <c r="D1224">
        <v>0</v>
      </c>
      <c r="E1224">
        <v>0</v>
      </c>
      <c r="F1224">
        <v>0</v>
      </c>
      <c r="G1224">
        <v>911</v>
      </c>
    </row>
    <row r="1225" spans="1:7">
      <c r="A1225">
        <v>4111</v>
      </c>
      <c r="B1225" t="s">
        <v>6593</v>
      </c>
      <c r="C1225">
        <v>0</v>
      </c>
      <c r="D1225">
        <v>0</v>
      </c>
      <c r="E1225">
        <v>0</v>
      </c>
      <c r="F1225">
        <v>0</v>
      </c>
      <c r="G1225">
        <v>911</v>
      </c>
    </row>
    <row r="1226" spans="1:7">
      <c r="A1226">
        <v>4113</v>
      </c>
      <c r="B1226" t="s">
        <v>5914</v>
      </c>
      <c r="C1226">
        <v>0</v>
      </c>
      <c r="D1226">
        <v>0</v>
      </c>
      <c r="E1226">
        <v>0</v>
      </c>
      <c r="F1226">
        <v>0</v>
      </c>
      <c r="G1226">
        <v>911</v>
      </c>
    </row>
    <row r="1227" spans="1:7">
      <c r="A1227">
        <v>4114</v>
      </c>
      <c r="B1227" t="s">
        <v>5915</v>
      </c>
      <c r="C1227">
        <v>0</v>
      </c>
      <c r="D1227">
        <v>0</v>
      </c>
      <c r="E1227">
        <v>0</v>
      </c>
      <c r="F1227">
        <v>0</v>
      </c>
      <c r="G1227">
        <v>911</v>
      </c>
    </row>
    <row r="1228" spans="1:7">
      <c r="A1228">
        <v>4116</v>
      </c>
      <c r="B1228" t="s">
        <v>5916</v>
      </c>
      <c r="C1228">
        <v>0</v>
      </c>
      <c r="D1228">
        <v>0</v>
      </c>
      <c r="E1228">
        <v>0</v>
      </c>
      <c r="F1228">
        <v>0</v>
      </c>
      <c r="G1228">
        <v>911</v>
      </c>
    </row>
    <row r="1229" spans="1:7">
      <c r="A1229">
        <v>4119</v>
      </c>
      <c r="B1229" t="s">
        <v>5917</v>
      </c>
      <c r="C1229">
        <v>0</v>
      </c>
      <c r="D1229">
        <v>0</v>
      </c>
      <c r="E1229">
        <v>0</v>
      </c>
      <c r="F1229">
        <v>0</v>
      </c>
      <c r="G1229">
        <v>911</v>
      </c>
    </row>
    <row r="1230" spans="1:7">
      <c r="A1230">
        <v>4120</v>
      </c>
      <c r="B1230" t="s">
        <v>5918</v>
      </c>
      <c r="C1230">
        <v>0</v>
      </c>
      <c r="D1230">
        <v>0</v>
      </c>
      <c r="E1230">
        <v>0</v>
      </c>
      <c r="F1230">
        <v>0</v>
      </c>
      <c r="G1230">
        <v>911</v>
      </c>
    </row>
    <row r="1231" spans="1:7">
      <c r="A1231">
        <v>4123</v>
      </c>
      <c r="B1231" t="s">
        <v>5920</v>
      </c>
      <c r="C1231">
        <v>0</v>
      </c>
      <c r="D1231">
        <v>0</v>
      </c>
      <c r="E1231">
        <v>0</v>
      </c>
      <c r="F1231">
        <v>0</v>
      </c>
      <c r="G1231">
        <v>911</v>
      </c>
    </row>
    <row r="1232" spans="1:7">
      <c r="A1232">
        <v>4127</v>
      </c>
      <c r="B1232" t="s">
        <v>8517</v>
      </c>
      <c r="C1232">
        <v>0</v>
      </c>
      <c r="D1232">
        <v>0</v>
      </c>
      <c r="E1232">
        <v>0</v>
      </c>
      <c r="F1232">
        <v>0</v>
      </c>
      <c r="G1232">
        <v>911</v>
      </c>
    </row>
    <row r="1233" spans="1:7">
      <c r="A1233">
        <v>4130</v>
      </c>
      <c r="B1233" t="s">
        <v>5924</v>
      </c>
      <c r="C1233">
        <v>0</v>
      </c>
      <c r="D1233">
        <v>0</v>
      </c>
      <c r="E1233">
        <v>0</v>
      </c>
      <c r="F1233">
        <v>0</v>
      </c>
      <c r="G1233">
        <v>911</v>
      </c>
    </row>
    <row r="1234" spans="1:7">
      <c r="A1234">
        <v>4139</v>
      </c>
      <c r="B1234" t="s">
        <v>5927</v>
      </c>
      <c r="C1234">
        <v>0</v>
      </c>
      <c r="D1234">
        <v>0</v>
      </c>
      <c r="E1234">
        <v>0</v>
      </c>
      <c r="F1234">
        <v>0</v>
      </c>
      <c r="G1234">
        <v>911</v>
      </c>
    </row>
    <row r="1235" spans="1:7">
      <c r="A1235">
        <v>4147</v>
      </c>
      <c r="B1235" t="s">
        <v>5930</v>
      </c>
      <c r="C1235">
        <v>0</v>
      </c>
      <c r="D1235">
        <v>0</v>
      </c>
      <c r="E1235">
        <v>0</v>
      </c>
      <c r="F1235">
        <v>0</v>
      </c>
      <c r="G1235">
        <v>911</v>
      </c>
    </row>
    <row r="1236" spans="1:7">
      <c r="A1236">
        <v>4155</v>
      </c>
      <c r="B1236" t="s">
        <v>5933</v>
      </c>
      <c r="C1236">
        <v>0</v>
      </c>
      <c r="D1236">
        <v>0</v>
      </c>
      <c r="E1236">
        <v>0</v>
      </c>
      <c r="F1236">
        <v>0</v>
      </c>
      <c r="G1236">
        <v>911</v>
      </c>
    </row>
    <row r="1237" spans="1:7">
      <c r="A1237">
        <v>4161</v>
      </c>
      <c r="B1237" t="s">
        <v>5935</v>
      </c>
      <c r="C1237">
        <v>0</v>
      </c>
      <c r="D1237">
        <v>0</v>
      </c>
      <c r="E1237">
        <v>0</v>
      </c>
      <c r="F1237">
        <v>0</v>
      </c>
      <c r="G1237">
        <v>911</v>
      </c>
    </row>
    <row r="1238" spans="1:7">
      <c r="A1238">
        <v>4163</v>
      </c>
      <c r="B1238" t="s">
        <v>5937</v>
      </c>
      <c r="C1238">
        <v>0</v>
      </c>
      <c r="D1238">
        <v>0</v>
      </c>
      <c r="E1238">
        <v>0</v>
      </c>
      <c r="F1238">
        <v>0</v>
      </c>
      <c r="G1238">
        <v>911</v>
      </c>
    </row>
    <row r="1239" spans="1:7">
      <c r="A1239">
        <v>4167</v>
      </c>
      <c r="B1239" t="s">
        <v>5939</v>
      </c>
      <c r="C1239">
        <v>0</v>
      </c>
      <c r="D1239">
        <v>0</v>
      </c>
      <c r="E1239">
        <v>0</v>
      </c>
      <c r="F1239">
        <v>0</v>
      </c>
      <c r="G1239">
        <v>911</v>
      </c>
    </row>
    <row r="1240" spans="1:7">
      <c r="A1240">
        <v>4190</v>
      </c>
      <c r="B1240" t="s">
        <v>5945</v>
      </c>
      <c r="C1240">
        <v>0</v>
      </c>
      <c r="D1240">
        <v>0</v>
      </c>
      <c r="E1240">
        <v>0</v>
      </c>
      <c r="F1240">
        <v>0</v>
      </c>
      <c r="G1240">
        <v>911</v>
      </c>
    </row>
    <row r="1241" spans="1:7">
      <c r="A1241">
        <v>4205</v>
      </c>
      <c r="B1241" t="s">
        <v>6594</v>
      </c>
      <c r="C1241">
        <v>0</v>
      </c>
      <c r="D1241">
        <v>0</v>
      </c>
      <c r="E1241">
        <v>0</v>
      </c>
      <c r="F1241">
        <v>0</v>
      </c>
      <c r="G1241">
        <v>911</v>
      </c>
    </row>
    <row r="1242" spans="1:7">
      <c r="A1242">
        <v>4207</v>
      </c>
      <c r="B1242" t="s">
        <v>5946</v>
      </c>
      <c r="C1242">
        <v>0</v>
      </c>
      <c r="D1242">
        <v>0</v>
      </c>
      <c r="E1242">
        <v>0</v>
      </c>
      <c r="F1242">
        <v>0</v>
      </c>
      <c r="G1242">
        <v>911</v>
      </c>
    </row>
    <row r="1243" spans="1:7">
      <c r="A1243">
        <v>4304</v>
      </c>
      <c r="B1243" t="s">
        <v>8588</v>
      </c>
      <c r="C1243">
        <v>0</v>
      </c>
      <c r="D1243">
        <v>0</v>
      </c>
      <c r="E1243">
        <v>0</v>
      </c>
      <c r="F1243">
        <v>0</v>
      </c>
      <c r="G1243">
        <v>911</v>
      </c>
    </row>
    <row r="1244" spans="1:7">
      <c r="A1244">
        <v>4414</v>
      </c>
      <c r="B1244" t="s">
        <v>5951</v>
      </c>
      <c r="C1244">
        <v>0</v>
      </c>
      <c r="D1244">
        <v>0</v>
      </c>
      <c r="E1244">
        <v>0</v>
      </c>
      <c r="F1244">
        <v>0</v>
      </c>
      <c r="G1244">
        <v>911</v>
      </c>
    </row>
    <row r="1245" spans="1:7">
      <c r="A1245">
        <v>4426</v>
      </c>
      <c r="B1245" t="s">
        <v>5953</v>
      </c>
      <c r="C1245">
        <v>0</v>
      </c>
      <c r="D1245">
        <v>0</v>
      </c>
      <c r="E1245">
        <v>0</v>
      </c>
      <c r="F1245">
        <v>0</v>
      </c>
      <c r="G1245">
        <v>911</v>
      </c>
    </row>
    <row r="1246" spans="1:7">
      <c r="A1246">
        <v>4432</v>
      </c>
      <c r="B1246" t="s">
        <v>5955</v>
      </c>
      <c r="C1246">
        <v>0</v>
      </c>
      <c r="D1246">
        <v>0</v>
      </c>
      <c r="E1246">
        <v>0</v>
      </c>
      <c r="F1246">
        <v>0</v>
      </c>
      <c r="G1246">
        <v>911</v>
      </c>
    </row>
    <row r="1247" spans="1:7">
      <c r="A1247">
        <v>4433</v>
      </c>
      <c r="B1247" t="s">
        <v>5956</v>
      </c>
      <c r="C1247">
        <v>0</v>
      </c>
      <c r="D1247">
        <v>0</v>
      </c>
      <c r="E1247">
        <v>0</v>
      </c>
      <c r="F1247">
        <v>0</v>
      </c>
      <c r="G1247">
        <v>911</v>
      </c>
    </row>
    <row r="1248" spans="1:7">
      <c r="A1248">
        <v>4438</v>
      </c>
      <c r="B1248" t="s">
        <v>5957</v>
      </c>
      <c r="C1248">
        <v>0</v>
      </c>
      <c r="D1248">
        <v>0</v>
      </c>
      <c r="E1248">
        <v>0</v>
      </c>
      <c r="F1248">
        <v>0</v>
      </c>
      <c r="G1248">
        <v>911</v>
      </c>
    </row>
    <row r="1249" spans="1:7">
      <c r="A1249">
        <v>4439</v>
      </c>
      <c r="B1249" t="s">
        <v>5958</v>
      </c>
      <c r="C1249">
        <v>0</v>
      </c>
      <c r="D1249">
        <v>0</v>
      </c>
      <c r="E1249">
        <v>0</v>
      </c>
      <c r="F1249">
        <v>0</v>
      </c>
      <c r="G1249">
        <v>911</v>
      </c>
    </row>
    <row r="1250" spans="1:7">
      <c r="A1250">
        <v>4502</v>
      </c>
      <c r="B1250" t="s">
        <v>8518</v>
      </c>
      <c r="C1250">
        <v>0</v>
      </c>
      <c r="D1250">
        <v>0</v>
      </c>
      <c r="E1250">
        <v>0</v>
      </c>
      <c r="F1250">
        <v>0</v>
      </c>
      <c r="G1250">
        <v>911</v>
      </c>
    </row>
    <row r="1251" spans="1:7">
      <c r="A1251">
        <v>4506</v>
      </c>
      <c r="B1251" t="s">
        <v>5960</v>
      </c>
      <c r="C1251">
        <v>0</v>
      </c>
      <c r="D1251">
        <v>0</v>
      </c>
      <c r="E1251">
        <v>0</v>
      </c>
      <c r="F1251">
        <v>0</v>
      </c>
      <c r="G1251">
        <v>911</v>
      </c>
    </row>
    <row r="1252" spans="1:7">
      <c r="A1252">
        <v>4510</v>
      </c>
      <c r="B1252" t="s">
        <v>5961</v>
      </c>
      <c r="C1252">
        <v>0</v>
      </c>
      <c r="D1252">
        <v>0</v>
      </c>
      <c r="E1252">
        <v>0</v>
      </c>
      <c r="F1252">
        <v>0</v>
      </c>
      <c r="G1252">
        <v>911</v>
      </c>
    </row>
    <row r="1253" spans="1:7">
      <c r="A1253">
        <v>4526</v>
      </c>
      <c r="B1253" t="s">
        <v>5963</v>
      </c>
      <c r="C1253">
        <v>0</v>
      </c>
      <c r="D1253">
        <v>0</v>
      </c>
      <c r="E1253">
        <v>0</v>
      </c>
      <c r="F1253">
        <v>0</v>
      </c>
      <c r="G1253">
        <v>911</v>
      </c>
    </row>
    <row r="1254" spans="1:7">
      <c r="A1254">
        <v>4529</v>
      </c>
      <c r="B1254" t="s">
        <v>5964</v>
      </c>
      <c r="C1254">
        <v>0</v>
      </c>
      <c r="D1254">
        <v>0</v>
      </c>
      <c r="E1254">
        <v>0</v>
      </c>
      <c r="F1254">
        <v>0</v>
      </c>
      <c r="G1254">
        <v>911</v>
      </c>
    </row>
    <row r="1255" spans="1:7">
      <c r="A1255">
        <v>4532</v>
      </c>
      <c r="B1255" t="s">
        <v>5965</v>
      </c>
      <c r="C1255">
        <v>0</v>
      </c>
      <c r="D1255">
        <v>0</v>
      </c>
      <c r="E1255">
        <v>0</v>
      </c>
      <c r="F1255">
        <v>0</v>
      </c>
      <c r="G1255">
        <v>911</v>
      </c>
    </row>
    <row r="1256" spans="1:7">
      <c r="A1256">
        <v>4533</v>
      </c>
      <c r="B1256" t="s">
        <v>5966</v>
      </c>
      <c r="C1256">
        <v>0</v>
      </c>
      <c r="D1256">
        <v>0</v>
      </c>
      <c r="E1256">
        <v>0</v>
      </c>
      <c r="F1256">
        <v>0</v>
      </c>
      <c r="G1256">
        <v>911</v>
      </c>
    </row>
    <row r="1257" spans="1:7">
      <c r="A1257">
        <v>4535</v>
      </c>
      <c r="B1257" t="s">
        <v>8589</v>
      </c>
      <c r="C1257">
        <v>0</v>
      </c>
      <c r="D1257">
        <v>0</v>
      </c>
      <c r="E1257">
        <v>0</v>
      </c>
      <c r="F1257">
        <v>0</v>
      </c>
      <c r="G1257">
        <v>911</v>
      </c>
    </row>
    <row r="1258" spans="1:7">
      <c r="A1258">
        <v>4536</v>
      </c>
      <c r="B1258" t="s">
        <v>5968</v>
      </c>
      <c r="C1258">
        <v>0</v>
      </c>
      <c r="D1258">
        <v>0</v>
      </c>
      <c r="E1258">
        <v>0</v>
      </c>
      <c r="F1258">
        <v>0</v>
      </c>
      <c r="G1258">
        <v>911</v>
      </c>
    </row>
    <row r="1259" spans="1:7">
      <c r="A1259">
        <v>4540</v>
      </c>
      <c r="B1259" t="s">
        <v>5969</v>
      </c>
      <c r="C1259">
        <v>0</v>
      </c>
      <c r="D1259">
        <v>0</v>
      </c>
      <c r="E1259">
        <v>0</v>
      </c>
      <c r="F1259">
        <v>0</v>
      </c>
      <c r="G1259">
        <v>911</v>
      </c>
    </row>
    <row r="1260" spans="1:7">
      <c r="A1260">
        <v>4541</v>
      </c>
      <c r="B1260" t="s">
        <v>5970</v>
      </c>
      <c r="C1260">
        <v>0</v>
      </c>
      <c r="D1260">
        <v>0</v>
      </c>
      <c r="E1260">
        <v>0</v>
      </c>
      <c r="F1260">
        <v>0</v>
      </c>
      <c r="G1260">
        <v>911</v>
      </c>
    </row>
    <row r="1261" spans="1:7">
      <c r="A1261">
        <v>4542</v>
      </c>
      <c r="B1261" t="s">
        <v>8590</v>
      </c>
      <c r="C1261">
        <v>0</v>
      </c>
      <c r="D1261">
        <v>0</v>
      </c>
      <c r="E1261">
        <v>0</v>
      </c>
      <c r="F1261">
        <v>0</v>
      </c>
      <c r="G1261">
        <v>911</v>
      </c>
    </row>
    <row r="1262" spans="1:7">
      <c r="A1262">
        <v>4545</v>
      </c>
      <c r="B1262" t="s">
        <v>5972</v>
      </c>
      <c r="C1262">
        <v>0</v>
      </c>
      <c r="D1262">
        <v>0</v>
      </c>
      <c r="E1262">
        <v>0</v>
      </c>
      <c r="F1262">
        <v>0</v>
      </c>
      <c r="G1262">
        <v>911</v>
      </c>
    </row>
    <row r="1263" spans="1:7">
      <c r="A1263">
        <v>4549</v>
      </c>
      <c r="B1263" t="s">
        <v>5973</v>
      </c>
      <c r="C1263">
        <v>0</v>
      </c>
      <c r="D1263">
        <v>0</v>
      </c>
      <c r="E1263">
        <v>0</v>
      </c>
      <c r="F1263">
        <v>0</v>
      </c>
      <c r="G1263">
        <v>911</v>
      </c>
    </row>
    <row r="1264" spans="1:7">
      <c r="A1264">
        <v>4552</v>
      </c>
      <c r="B1264" t="s">
        <v>5975</v>
      </c>
      <c r="C1264">
        <v>0</v>
      </c>
      <c r="D1264">
        <v>0</v>
      </c>
      <c r="E1264">
        <v>0</v>
      </c>
      <c r="F1264">
        <v>0</v>
      </c>
      <c r="G1264">
        <v>911</v>
      </c>
    </row>
    <row r="1265" spans="1:7">
      <c r="A1265">
        <v>4555</v>
      </c>
      <c r="B1265" t="s">
        <v>5976</v>
      </c>
      <c r="C1265">
        <v>0</v>
      </c>
      <c r="D1265">
        <v>0</v>
      </c>
      <c r="E1265">
        <v>0</v>
      </c>
      <c r="F1265">
        <v>0</v>
      </c>
      <c r="G1265">
        <v>911</v>
      </c>
    </row>
    <row r="1266" spans="1:7">
      <c r="A1266">
        <v>4557</v>
      </c>
      <c r="B1266" t="s">
        <v>5977</v>
      </c>
      <c r="C1266">
        <v>0</v>
      </c>
      <c r="D1266">
        <v>0</v>
      </c>
      <c r="E1266">
        <v>0</v>
      </c>
      <c r="F1266">
        <v>0</v>
      </c>
      <c r="G1266">
        <v>911</v>
      </c>
    </row>
    <row r="1267" spans="1:7">
      <c r="A1267">
        <v>4560</v>
      </c>
      <c r="B1267" t="s">
        <v>5978</v>
      </c>
      <c r="C1267">
        <v>0</v>
      </c>
      <c r="D1267">
        <v>0</v>
      </c>
      <c r="E1267">
        <v>0</v>
      </c>
      <c r="F1267">
        <v>0</v>
      </c>
      <c r="G1267">
        <v>911</v>
      </c>
    </row>
    <row r="1268" spans="1:7">
      <c r="A1268">
        <v>4562</v>
      </c>
      <c r="B1268" t="s">
        <v>5979</v>
      </c>
      <c r="C1268">
        <v>0</v>
      </c>
      <c r="D1268">
        <v>0</v>
      </c>
      <c r="E1268">
        <v>0</v>
      </c>
      <c r="F1268">
        <v>0</v>
      </c>
      <c r="G1268">
        <v>911</v>
      </c>
    </row>
    <row r="1269" spans="1:7">
      <c r="A1269">
        <v>4563</v>
      </c>
      <c r="B1269" t="s">
        <v>8519</v>
      </c>
      <c r="C1269">
        <v>0</v>
      </c>
      <c r="D1269">
        <v>0</v>
      </c>
      <c r="E1269">
        <v>0</v>
      </c>
      <c r="F1269">
        <v>0</v>
      </c>
      <c r="G1269">
        <v>911</v>
      </c>
    </row>
    <row r="1270" spans="1:7">
      <c r="A1270">
        <v>4568</v>
      </c>
      <c r="B1270" t="s">
        <v>6597</v>
      </c>
      <c r="C1270">
        <v>0</v>
      </c>
      <c r="D1270">
        <v>0</v>
      </c>
      <c r="E1270">
        <v>0</v>
      </c>
      <c r="F1270">
        <v>0</v>
      </c>
      <c r="G1270">
        <v>911</v>
      </c>
    </row>
    <row r="1271" spans="1:7">
      <c r="A1271">
        <v>4571</v>
      </c>
      <c r="B1271" t="s">
        <v>5982</v>
      </c>
      <c r="C1271">
        <v>0</v>
      </c>
      <c r="D1271">
        <v>0</v>
      </c>
      <c r="E1271">
        <v>0</v>
      </c>
      <c r="F1271">
        <v>0</v>
      </c>
      <c r="G1271">
        <v>911</v>
      </c>
    </row>
    <row r="1272" spans="1:7">
      <c r="A1272">
        <v>4576</v>
      </c>
      <c r="B1272" t="s">
        <v>5984</v>
      </c>
      <c r="C1272">
        <v>0</v>
      </c>
      <c r="D1272">
        <v>0</v>
      </c>
      <c r="E1272">
        <v>0</v>
      </c>
      <c r="F1272">
        <v>0</v>
      </c>
      <c r="G1272">
        <v>911</v>
      </c>
    </row>
    <row r="1273" spans="1:7">
      <c r="A1273">
        <v>4580</v>
      </c>
      <c r="B1273" t="s">
        <v>5985</v>
      </c>
      <c r="C1273">
        <v>0</v>
      </c>
      <c r="D1273">
        <v>0</v>
      </c>
      <c r="E1273">
        <v>0</v>
      </c>
      <c r="F1273">
        <v>0</v>
      </c>
      <c r="G1273">
        <v>911</v>
      </c>
    </row>
    <row r="1274" spans="1:7">
      <c r="A1274">
        <v>4581</v>
      </c>
      <c r="B1274" t="s">
        <v>5986</v>
      </c>
      <c r="C1274">
        <v>0</v>
      </c>
      <c r="D1274">
        <v>0</v>
      </c>
      <c r="E1274">
        <v>0</v>
      </c>
      <c r="F1274">
        <v>0</v>
      </c>
      <c r="G1274">
        <v>911</v>
      </c>
    </row>
    <row r="1275" spans="1:7">
      <c r="A1275">
        <v>4707</v>
      </c>
      <c r="B1275" t="s">
        <v>5989</v>
      </c>
      <c r="C1275">
        <v>0</v>
      </c>
      <c r="D1275">
        <v>0</v>
      </c>
      <c r="E1275">
        <v>0</v>
      </c>
      <c r="F1275">
        <v>0</v>
      </c>
      <c r="G1275">
        <v>911</v>
      </c>
    </row>
    <row r="1276" spans="1:7">
      <c r="A1276">
        <v>4716</v>
      </c>
      <c r="B1276" t="s">
        <v>5992</v>
      </c>
      <c r="C1276">
        <v>0</v>
      </c>
      <c r="D1276">
        <v>0</v>
      </c>
      <c r="E1276">
        <v>0</v>
      </c>
      <c r="F1276">
        <v>0</v>
      </c>
      <c r="G1276">
        <v>911</v>
      </c>
    </row>
    <row r="1277" spans="1:7">
      <c r="A1277">
        <v>4728</v>
      </c>
      <c r="B1277" t="s">
        <v>5996</v>
      </c>
      <c r="C1277">
        <v>0</v>
      </c>
      <c r="D1277">
        <v>0</v>
      </c>
      <c r="E1277">
        <v>0</v>
      </c>
      <c r="F1277">
        <v>0</v>
      </c>
      <c r="G1277">
        <v>911</v>
      </c>
    </row>
    <row r="1278" spans="1:7">
      <c r="A1278">
        <v>4737</v>
      </c>
      <c r="B1278" t="s">
        <v>5999</v>
      </c>
      <c r="C1278">
        <v>0</v>
      </c>
      <c r="D1278">
        <v>0</v>
      </c>
      <c r="E1278">
        <v>0</v>
      </c>
      <c r="F1278">
        <v>0</v>
      </c>
      <c r="G1278">
        <v>911</v>
      </c>
    </row>
    <row r="1279" spans="1:7">
      <c r="A1279">
        <v>4763</v>
      </c>
      <c r="B1279" t="s">
        <v>6006</v>
      </c>
      <c r="C1279">
        <v>0</v>
      </c>
      <c r="D1279">
        <v>0</v>
      </c>
      <c r="E1279">
        <v>0</v>
      </c>
      <c r="F1279">
        <v>0</v>
      </c>
      <c r="G1279">
        <v>911</v>
      </c>
    </row>
    <row r="1280" spans="1:7">
      <c r="A1280">
        <v>4764</v>
      </c>
      <c r="B1280" t="s">
        <v>6007</v>
      </c>
      <c r="C1280">
        <v>0</v>
      </c>
      <c r="D1280">
        <v>0</v>
      </c>
      <c r="E1280">
        <v>0</v>
      </c>
      <c r="F1280">
        <v>0</v>
      </c>
      <c r="G1280">
        <v>911</v>
      </c>
    </row>
    <row r="1281" spans="1:7">
      <c r="A1281">
        <v>4766</v>
      </c>
      <c r="B1281" t="s">
        <v>6008</v>
      </c>
      <c r="C1281">
        <v>0</v>
      </c>
      <c r="D1281">
        <v>0</v>
      </c>
      <c r="E1281">
        <v>0</v>
      </c>
      <c r="F1281">
        <v>0</v>
      </c>
      <c r="G1281">
        <v>911</v>
      </c>
    </row>
    <row r="1282" spans="1:7">
      <c r="A1282">
        <v>4807</v>
      </c>
      <c r="B1282" t="s">
        <v>6010</v>
      </c>
      <c r="C1282">
        <v>0</v>
      </c>
      <c r="D1282">
        <v>0</v>
      </c>
      <c r="E1282">
        <v>0</v>
      </c>
      <c r="F1282">
        <v>0</v>
      </c>
      <c r="G1282">
        <v>911</v>
      </c>
    </row>
    <row r="1283" spans="1:7">
      <c r="A1283">
        <v>4903</v>
      </c>
      <c r="B1283" t="s">
        <v>8520</v>
      </c>
      <c r="C1283">
        <v>0</v>
      </c>
      <c r="D1283">
        <v>0</v>
      </c>
      <c r="E1283">
        <v>0</v>
      </c>
      <c r="F1283">
        <v>0</v>
      </c>
      <c r="G1283">
        <v>911</v>
      </c>
    </row>
    <row r="1284" spans="1:7">
      <c r="A1284">
        <v>4904</v>
      </c>
      <c r="B1284" t="s">
        <v>6011</v>
      </c>
      <c r="C1284">
        <v>0</v>
      </c>
      <c r="D1284">
        <v>0</v>
      </c>
      <c r="E1284">
        <v>0</v>
      </c>
      <c r="F1284">
        <v>0</v>
      </c>
      <c r="G1284">
        <v>911</v>
      </c>
    </row>
    <row r="1285" spans="1:7">
      <c r="A1285">
        <v>4933</v>
      </c>
      <c r="B1285" t="s">
        <v>6021</v>
      </c>
      <c r="C1285">
        <v>0</v>
      </c>
      <c r="D1285">
        <v>0</v>
      </c>
      <c r="E1285">
        <v>0</v>
      </c>
      <c r="F1285">
        <v>0</v>
      </c>
      <c r="G1285">
        <v>911</v>
      </c>
    </row>
    <row r="1286" spans="1:7">
      <c r="A1286">
        <v>4944</v>
      </c>
      <c r="B1286" t="s">
        <v>8591</v>
      </c>
      <c r="C1286">
        <v>0</v>
      </c>
      <c r="D1286">
        <v>0</v>
      </c>
      <c r="E1286">
        <v>0</v>
      </c>
      <c r="F1286">
        <v>0</v>
      </c>
      <c r="G1286">
        <v>911</v>
      </c>
    </row>
    <row r="1287" spans="1:7">
      <c r="A1287">
        <v>4977</v>
      </c>
      <c r="B1287" t="s">
        <v>6041</v>
      </c>
      <c r="C1287">
        <v>0</v>
      </c>
      <c r="D1287">
        <v>0</v>
      </c>
      <c r="E1287">
        <v>0</v>
      </c>
      <c r="F1287">
        <v>0</v>
      </c>
      <c r="G1287">
        <v>911</v>
      </c>
    </row>
    <row r="1288" spans="1:7">
      <c r="A1288">
        <v>4999</v>
      </c>
      <c r="B1288" t="s">
        <v>6045</v>
      </c>
      <c r="C1288">
        <v>0</v>
      </c>
      <c r="D1288">
        <v>0</v>
      </c>
      <c r="E1288">
        <v>0</v>
      </c>
      <c r="F1288">
        <v>0</v>
      </c>
      <c r="G1288">
        <v>911</v>
      </c>
    </row>
    <row r="1289" spans="1:7">
      <c r="A1289">
        <v>5007</v>
      </c>
      <c r="B1289" t="s">
        <v>6046</v>
      </c>
      <c r="C1289">
        <v>0</v>
      </c>
      <c r="D1289">
        <v>0</v>
      </c>
      <c r="E1289">
        <v>0</v>
      </c>
      <c r="F1289">
        <v>0</v>
      </c>
      <c r="G1289">
        <v>911</v>
      </c>
    </row>
    <row r="1290" spans="1:7">
      <c r="A1290">
        <v>5015</v>
      </c>
      <c r="B1290" t="s">
        <v>6051</v>
      </c>
      <c r="C1290">
        <v>0</v>
      </c>
      <c r="D1290">
        <v>0</v>
      </c>
      <c r="E1290">
        <v>0</v>
      </c>
      <c r="F1290">
        <v>0</v>
      </c>
      <c r="G1290">
        <v>911</v>
      </c>
    </row>
    <row r="1291" spans="1:7">
      <c r="A1291">
        <v>5201</v>
      </c>
      <c r="B1291" t="s">
        <v>6053</v>
      </c>
      <c r="C1291">
        <v>0</v>
      </c>
      <c r="D1291">
        <v>0</v>
      </c>
      <c r="E1291">
        <v>0</v>
      </c>
      <c r="F1291">
        <v>0</v>
      </c>
      <c r="G1291">
        <v>911</v>
      </c>
    </row>
    <row r="1292" spans="1:7">
      <c r="A1292">
        <v>5206</v>
      </c>
      <c r="B1292" t="s">
        <v>6055</v>
      </c>
      <c r="C1292">
        <v>0</v>
      </c>
      <c r="D1292">
        <v>0</v>
      </c>
      <c r="E1292">
        <v>0</v>
      </c>
      <c r="F1292">
        <v>0</v>
      </c>
      <c r="G1292">
        <v>911</v>
      </c>
    </row>
    <row r="1293" spans="1:7">
      <c r="A1293">
        <v>5213</v>
      </c>
      <c r="B1293" t="s">
        <v>6057</v>
      </c>
      <c r="C1293">
        <v>0</v>
      </c>
      <c r="D1293">
        <v>0</v>
      </c>
      <c r="E1293">
        <v>0</v>
      </c>
      <c r="F1293">
        <v>0</v>
      </c>
      <c r="G1293">
        <v>911</v>
      </c>
    </row>
    <row r="1294" spans="1:7">
      <c r="A1294">
        <v>5220</v>
      </c>
      <c r="B1294" t="s">
        <v>8524</v>
      </c>
      <c r="C1294">
        <v>0</v>
      </c>
      <c r="D1294">
        <v>0</v>
      </c>
      <c r="E1294">
        <v>0</v>
      </c>
      <c r="F1294">
        <v>0</v>
      </c>
      <c r="G1294">
        <v>911</v>
      </c>
    </row>
    <row r="1295" spans="1:7">
      <c r="A1295">
        <v>5225</v>
      </c>
      <c r="B1295" t="s">
        <v>6060</v>
      </c>
      <c r="C1295">
        <v>0</v>
      </c>
      <c r="D1295">
        <v>0</v>
      </c>
      <c r="E1295">
        <v>0</v>
      </c>
      <c r="F1295">
        <v>0</v>
      </c>
      <c r="G1295">
        <v>911</v>
      </c>
    </row>
    <row r="1296" spans="1:7">
      <c r="A1296">
        <v>5251</v>
      </c>
      <c r="B1296" t="s">
        <v>6066</v>
      </c>
      <c r="C1296">
        <v>0</v>
      </c>
      <c r="D1296">
        <v>0</v>
      </c>
      <c r="E1296">
        <v>0</v>
      </c>
      <c r="F1296">
        <v>0</v>
      </c>
      <c r="G1296">
        <v>911</v>
      </c>
    </row>
    <row r="1297" spans="1:7">
      <c r="A1297">
        <v>5283</v>
      </c>
      <c r="B1297" t="s">
        <v>6073</v>
      </c>
      <c r="C1297">
        <v>0</v>
      </c>
      <c r="D1297">
        <v>0</v>
      </c>
      <c r="E1297">
        <v>0</v>
      </c>
      <c r="F1297">
        <v>0</v>
      </c>
      <c r="G1297">
        <v>911</v>
      </c>
    </row>
    <row r="1298" spans="1:7">
      <c r="A1298">
        <v>5284</v>
      </c>
      <c r="B1298" t="s">
        <v>6074</v>
      </c>
      <c r="C1298">
        <v>0</v>
      </c>
      <c r="D1298">
        <v>0</v>
      </c>
      <c r="E1298">
        <v>0</v>
      </c>
      <c r="F1298">
        <v>0</v>
      </c>
      <c r="G1298">
        <v>911</v>
      </c>
    </row>
    <row r="1299" spans="1:7">
      <c r="A1299">
        <v>5287</v>
      </c>
      <c r="B1299" t="s">
        <v>6076</v>
      </c>
      <c r="C1299">
        <v>0</v>
      </c>
      <c r="D1299">
        <v>0</v>
      </c>
      <c r="E1299">
        <v>0</v>
      </c>
      <c r="F1299">
        <v>0</v>
      </c>
      <c r="G1299">
        <v>911</v>
      </c>
    </row>
    <row r="1300" spans="1:7">
      <c r="A1300">
        <v>5288</v>
      </c>
      <c r="B1300" t="s">
        <v>6077</v>
      </c>
      <c r="C1300">
        <v>0</v>
      </c>
      <c r="D1300">
        <v>0</v>
      </c>
      <c r="E1300">
        <v>0</v>
      </c>
      <c r="F1300">
        <v>0</v>
      </c>
      <c r="G1300">
        <v>911</v>
      </c>
    </row>
    <row r="1301" spans="1:7">
      <c r="A1301">
        <v>5301</v>
      </c>
      <c r="B1301" t="s">
        <v>8525</v>
      </c>
      <c r="C1301">
        <v>0</v>
      </c>
      <c r="D1301">
        <v>0</v>
      </c>
      <c r="E1301">
        <v>0</v>
      </c>
      <c r="F1301">
        <v>0</v>
      </c>
      <c r="G1301">
        <v>911</v>
      </c>
    </row>
    <row r="1302" spans="1:7">
      <c r="A1302">
        <v>5302</v>
      </c>
      <c r="B1302" t="s">
        <v>8526</v>
      </c>
      <c r="C1302">
        <v>0</v>
      </c>
      <c r="D1302">
        <v>0</v>
      </c>
      <c r="E1302">
        <v>0</v>
      </c>
      <c r="F1302">
        <v>0</v>
      </c>
      <c r="G1302">
        <v>911</v>
      </c>
    </row>
    <row r="1303" spans="1:7">
      <c r="A1303">
        <v>5306</v>
      </c>
      <c r="B1303" t="s">
        <v>6080</v>
      </c>
      <c r="C1303">
        <v>0</v>
      </c>
      <c r="D1303">
        <v>0</v>
      </c>
      <c r="E1303">
        <v>0</v>
      </c>
      <c r="F1303">
        <v>0</v>
      </c>
      <c r="G1303">
        <v>911</v>
      </c>
    </row>
    <row r="1304" spans="1:7">
      <c r="A1304">
        <v>5310</v>
      </c>
      <c r="B1304" t="s">
        <v>8594</v>
      </c>
      <c r="C1304">
        <v>0</v>
      </c>
      <c r="D1304">
        <v>0</v>
      </c>
      <c r="E1304">
        <v>0</v>
      </c>
      <c r="F1304">
        <v>0</v>
      </c>
      <c r="G1304">
        <v>911</v>
      </c>
    </row>
    <row r="1305" spans="1:7">
      <c r="A1305">
        <v>5312</v>
      </c>
      <c r="B1305" t="s">
        <v>6081</v>
      </c>
      <c r="C1305">
        <v>0</v>
      </c>
      <c r="D1305">
        <v>0</v>
      </c>
      <c r="E1305">
        <v>0</v>
      </c>
      <c r="F1305">
        <v>0</v>
      </c>
      <c r="G1305">
        <v>911</v>
      </c>
    </row>
    <row r="1306" spans="1:7">
      <c r="A1306">
        <v>5344</v>
      </c>
      <c r="B1306" t="s">
        <v>8529</v>
      </c>
      <c r="C1306">
        <v>0</v>
      </c>
      <c r="D1306">
        <v>0</v>
      </c>
      <c r="E1306">
        <v>0</v>
      </c>
      <c r="F1306">
        <v>0</v>
      </c>
      <c r="G1306">
        <v>911</v>
      </c>
    </row>
    <row r="1307" spans="1:7">
      <c r="A1307">
        <v>5355</v>
      </c>
      <c r="B1307" t="s">
        <v>8595</v>
      </c>
      <c r="C1307">
        <v>0</v>
      </c>
      <c r="D1307">
        <v>0</v>
      </c>
      <c r="E1307">
        <v>0</v>
      </c>
      <c r="F1307">
        <v>0</v>
      </c>
      <c r="G1307">
        <v>911</v>
      </c>
    </row>
    <row r="1308" spans="1:7">
      <c r="A1308">
        <v>5398</v>
      </c>
      <c r="B1308" t="s">
        <v>6602</v>
      </c>
      <c r="C1308">
        <v>0</v>
      </c>
      <c r="D1308">
        <v>0</v>
      </c>
      <c r="E1308">
        <v>0</v>
      </c>
      <c r="F1308">
        <v>0</v>
      </c>
      <c r="G1308">
        <v>911</v>
      </c>
    </row>
    <row r="1309" spans="1:7">
      <c r="A1309">
        <v>5403</v>
      </c>
      <c r="B1309" t="s">
        <v>6093</v>
      </c>
      <c r="C1309">
        <v>0</v>
      </c>
      <c r="D1309">
        <v>0</v>
      </c>
      <c r="E1309">
        <v>0</v>
      </c>
      <c r="F1309">
        <v>0</v>
      </c>
      <c r="G1309">
        <v>911</v>
      </c>
    </row>
    <row r="1310" spans="1:7">
      <c r="A1310">
        <v>5432</v>
      </c>
      <c r="B1310" t="s">
        <v>6097</v>
      </c>
      <c r="C1310">
        <v>0</v>
      </c>
      <c r="D1310">
        <v>0</v>
      </c>
      <c r="E1310">
        <v>0</v>
      </c>
      <c r="F1310">
        <v>0</v>
      </c>
      <c r="G1310">
        <v>911</v>
      </c>
    </row>
    <row r="1311" spans="1:7">
      <c r="A1311">
        <v>5450</v>
      </c>
      <c r="B1311" t="s">
        <v>6102</v>
      </c>
      <c r="C1311">
        <v>0</v>
      </c>
      <c r="D1311">
        <v>0</v>
      </c>
      <c r="E1311">
        <v>0</v>
      </c>
      <c r="F1311">
        <v>0</v>
      </c>
      <c r="G1311">
        <v>911</v>
      </c>
    </row>
    <row r="1312" spans="1:7">
      <c r="A1312">
        <v>5468</v>
      </c>
      <c r="B1312" t="s">
        <v>8531</v>
      </c>
      <c r="C1312">
        <v>0</v>
      </c>
      <c r="D1312">
        <v>0</v>
      </c>
      <c r="E1312">
        <v>0</v>
      </c>
      <c r="F1312">
        <v>0</v>
      </c>
      <c r="G1312">
        <v>911</v>
      </c>
    </row>
    <row r="1313" spans="1:7">
      <c r="A1313">
        <v>5469</v>
      </c>
      <c r="B1313" t="s">
        <v>6107</v>
      </c>
      <c r="C1313">
        <v>0</v>
      </c>
      <c r="D1313">
        <v>0</v>
      </c>
      <c r="E1313">
        <v>0</v>
      </c>
      <c r="F1313">
        <v>0</v>
      </c>
      <c r="G1313">
        <v>911</v>
      </c>
    </row>
    <row r="1314" spans="1:7">
      <c r="A1314">
        <v>5484</v>
      </c>
      <c r="B1314" t="s">
        <v>8533</v>
      </c>
      <c r="C1314">
        <v>0</v>
      </c>
      <c r="D1314">
        <v>0</v>
      </c>
      <c r="E1314">
        <v>0</v>
      </c>
      <c r="F1314">
        <v>0</v>
      </c>
      <c r="G1314">
        <v>911</v>
      </c>
    </row>
    <row r="1315" spans="1:7">
      <c r="A1315">
        <v>5488</v>
      </c>
      <c r="B1315" t="s">
        <v>8534</v>
      </c>
      <c r="C1315">
        <v>0</v>
      </c>
      <c r="D1315">
        <v>0</v>
      </c>
      <c r="E1315">
        <v>0</v>
      </c>
      <c r="F1315">
        <v>0</v>
      </c>
      <c r="G1315">
        <v>911</v>
      </c>
    </row>
    <row r="1316" spans="1:7">
      <c r="A1316">
        <v>5490</v>
      </c>
      <c r="B1316" t="s">
        <v>6603</v>
      </c>
      <c r="C1316">
        <v>0</v>
      </c>
      <c r="D1316">
        <v>0</v>
      </c>
      <c r="E1316">
        <v>0</v>
      </c>
      <c r="F1316">
        <v>0</v>
      </c>
      <c r="G1316">
        <v>911</v>
      </c>
    </row>
    <row r="1317" spans="1:7">
      <c r="A1317">
        <v>5493</v>
      </c>
      <c r="B1317" t="s">
        <v>6113</v>
      </c>
      <c r="C1317">
        <v>0</v>
      </c>
      <c r="D1317">
        <v>0</v>
      </c>
      <c r="E1317">
        <v>0</v>
      </c>
      <c r="F1317">
        <v>0</v>
      </c>
      <c r="G1317">
        <v>911</v>
      </c>
    </row>
    <row r="1318" spans="1:7">
      <c r="A1318">
        <v>5508</v>
      </c>
      <c r="B1318" t="s">
        <v>6115</v>
      </c>
      <c r="C1318">
        <v>0</v>
      </c>
      <c r="D1318">
        <v>0</v>
      </c>
      <c r="E1318">
        <v>0</v>
      </c>
      <c r="F1318">
        <v>0</v>
      </c>
      <c r="G1318">
        <v>911</v>
      </c>
    </row>
    <row r="1319" spans="1:7">
      <c r="A1319">
        <v>5511</v>
      </c>
      <c r="B1319" t="s">
        <v>6604</v>
      </c>
      <c r="C1319">
        <v>0</v>
      </c>
      <c r="D1319">
        <v>0</v>
      </c>
      <c r="E1319">
        <v>0</v>
      </c>
      <c r="F1319">
        <v>0</v>
      </c>
      <c r="G1319">
        <v>911</v>
      </c>
    </row>
    <row r="1320" spans="1:7">
      <c r="A1320">
        <v>5512</v>
      </c>
      <c r="B1320" t="s">
        <v>6116</v>
      </c>
      <c r="C1320">
        <v>0</v>
      </c>
      <c r="D1320">
        <v>0</v>
      </c>
      <c r="E1320">
        <v>0</v>
      </c>
      <c r="F1320">
        <v>0</v>
      </c>
      <c r="G1320">
        <v>911</v>
      </c>
    </row>
    <row r="1321" spans="1:7">
      <c r="A1321">
        <v>5515</v>
      </c>
      <c r="B1321" t="s">
        <v>6117</v>
      </c>
      <c r="C1321">
        <v>0</v>
      </c>
      <c r="D1321">
        <v>0</v>
      </c>
      <c r="E1321">
        <v>0</v>
      </c>
      <c r="F1321">
        <v>0</v>
      </c>
      <c r="G1321">
        <v>911</v>
      </c>
    </row>
    <row r="1322" spans="1:7">
      <c r="A1322">
        <v>5516</v>
      </c>
      <c r="B1322" t="s">
        <v>8535</v>
      </c>
      <c r="C1322">
        <v>0</v>
      </c>
      <c r="D1322">
        <v>0</v>
      </c>
      <c r="E1322">
        <v>0</v>
      </c>
      <c r="F1322">
        <v>0</v>
      </c>
      <c r="G1322">
        <v>911</v>
      </c>
    </row>
    <row r="1323" spans="1:7">
      <c r="A1323">
        <v>5519</v>
      </c>
      <c r="B1323" t="s">
        <v>6118</v>
      </c>
      <c r="C1323">
        <v>0</v>
      </c>
      <c r="D1323">
        <v>0</v>
      </c>
      <c r="E1323">
        <v>0</v>
      </c>
      <c r="F1323">
        <v>0</v>
      </c>
      <c r="G1323">
        <v>911</v>
      </c>
    </row>
    <row r="1324" spans="1:7">
      <c r="A1324">
        <v>5521</v>
      </c>
      <c r="B1324" t="s">
        <v>6119</v>
      </c>
      <c r="C1324">
        <v>0</v>
      </c>
      <c r="D1324">
        <v>0</v>
      </c>
      <c r="E1324">
        <v>0</v>
      </c>
      <c r="F1324">
        <v>0</v>
      </c>
      <c r="G1324">
        <v>911</v>
      </c>
    </row>
    <row r="1325" spans="1:7">
      <c r="A1325">
        <v>5522</v>
      </c>
      <c r="B1325" t="s">
        <v>6120</v>
      </c>
      <c r="C1325">
        <v>0</v>
      </c>
      <c r="D1325">
        <v>0</v>
      </c>
      <c r="E1325">
        <v>0</v>
      </c>
      <c r="F1325">
        <v>0</v>
      </c>
      <c r="G1325">
        <v>911</v>
      </c>
    </row>
    <row r="1326" spans="1:7">
      <c r="A1326">
        <v>5525</v>
      </c>
      <c r="B1326" t="s">
        <v>6122</v>
      </c>
      <c r="C1326">
        <v>0</v>
      </c>
      <c r="D1326">
        <v>0</v>
      </c>
      <c r="E1326">
        <v>0</v>
      </c>
      <c r="F1326">
        <v>0</v>
      </c>
      <c r="G1326">
        <v>911</v>
      </c>
    </row>
    <row r="1327" spans="1:7">
      <c r="A1327">
        <v>5530</v>
      </c>
      <c r="B1327" t="s">
        <v>6123</v>
      </c>
      <c r="C1327">
        <v>0</v>
      </c>
      <c r="D1327">
        <v>0</v>
      </c>
      <c r="E1327">
        <v>0</v>
      </c>
      <c r="F1327">
        <v>0</v>
      </c>
      <c r="G1327">
        <v>911</v>
      </c>
    </row>
    <row r="1328" spans="1:7">
      <c r="A1328">
        <v>5531</v>
      </c>
      <c r="B1328" t="s">
        <v>6124</v>
      </c>
      <c r="C1328">
        <v>0</v>
      </c>
      <c r="D1328">
        <v>0</v>
      </c>
      <c r="E1328">
        <v>0</v>
      </c>
      <c r="F1328">
        <v>0</v>
      </c>
      <c r="G1328">
        <v>911</v>
      </c>
    </row>
    <row r="1329" spans="1:7">
      <c r="A1329">
        <v>5533</v>
      </c>
      <c r="B1329" t="s">
        <v>6125</v>
      </c>
      <c r="C1329">
        <v>0</v>
      </c>
      <c r="D1329">
        <v>0</v>
      </c>
      <c r="E1329">
        <v>0</v>
      </c>
      <c r="F1329">
        <v>0</v>
      </c>
      <c r="G1329">
        <v>911</v>
      </c>
    </row>
    <row r="1330" spans="1:7">
      <c r="A1330">
        <v>5534</v>
      </c>
      <c r="B1330" t="s">
        <v>6126</v>
      </c>
      <c r="C1330">
        <v>0</v>
      </c>
      <c r="D1330">
        <v>0</v>
      </c>
      <c r="E1330">
        <v>0</v>
      </c>
      <c r="F1330">
        <v>0</v>
      </c>
      <c r="G1330">
        <v>911</v>
      </c>
    </row>
    <row r="1331" spans="1:7">
      <c r="A1331">
        <v>5538</v>
      </c>
      <c r="B1331" t="s">
        <v>6128</v>
      </c>
      <c r="C1331">
        <v>0</v>
      </c>
      <c r="D1331">
        <v>0</v>
      </c>
      <c r="E1331">
        <v>0</v>
      </c>
      <c r="F1331">
        <v>0</v>
      </c>
      <c r="G1331">
        <v>911</v>
      </c>
    </row>
    <row r="1332" spans="1:7">
      <c r="A1332">
        <v>5546</v>
      </c>
      <c r="B1332" t="s">
        <v>6130</v>
      </c>
      <c r="C1332">
        <v>0</v>
      </c>
      <c r="D1332">
        <v>0</v>
      </c>
      <c r="E1332">
        <v>0</v>
      </c>
      <c r="F1332">
        <v>0</v>
      </c>
      <c r="G1332">
        <v>911</v>
      </c>
    </row>
    <row r="1333" spans="1:7">
      <c r="A1333">
        <v>5820</v>
      </c>
      <c r="B1333" t="s">
        <v>6137</v>
      </c>
      <c r="C1333">
        <v>0</v>
      </c>
      <c r="D1333">
        <v>0</v>
      </c>
      <c r="E1333">
        <v>0</v>
      </c>
      <c r="F1333">
        <v>0</v>
      </c>
      <c r="G1333">
        <v>911</v>
      </c>
    </row>
    <row r="1334" spans="1:7">
      <c r="A1334">
        <v>5871</v>
      </c>
      <c r="B1334" t="s">
        <v>6139</v>
      </c>
      <c r="C1334">
        <v>0</v>
      </c>
      <c r="D1334">
        <v>0</v>
      </c>
      <c r="E1334">
        <v>0</v>
      </c>
      <c r="F1334">
        <v>0</v>
      </c>
      <c r="G1334">
        <v>911</v>
      </c>
    </row>
    <row r="1335" spans="1:7">
      <c r="A1335">
        <v>5876</v>
      </c>
      <c r="B1335" t="s">
        <v>6140</v>
      </c>
      <c r="C1335">
        <v>0</v>
      </c>
      <c r="D1335">
        <v>0</v>
      </c>
      <c r="E1335">
        <v>0</v>
      </c>
      <c r="F1335">
        <v>0</v>
      </c>
      <c r="G1335">
        <v>911</v>
      </c>
    </row>
    <row r="1336" spans="1:7">
      <c r="A1336">
        <v>5880</v>
      </c>
      <c r="B1336" t="s">
        <v>6141</v>
      </c>
      <c r="C1336">
        <v>0</v>
      </c>
      <c r="D1336">
        <v>0</v>
      </c>
      <c r="E1336">
        <v>0</v>
      </c>
      <c r="F1336">
        <v>0</v>
      </c>
      <c r="G1336">
        <v>911</v>
      </c>
    </row>
    <row r="1337" spans="1:7">
      <c r="A1337">
        <v>5902</v>
      </c>
      <c r="B1337" t="s">
        <v>6142</v>
      </c>
      <c r="C1337">
        <v>0</v>
      </c>
      <c r="D1337">
        <v>0</v>
      </c>
      <c r="E1337">
        <v>0</v>
      </c>
      <c r="F1337">
        <v>0</v>
      </c>
      <c r="G1337">
        <v>911</v>
      </c>
    </row>
    <row r="1338" spans="1:7">
      <c r="A1338">
        <v>5903</v>
      </c>
      <c r="B1338" t="s">
        <v>6143</v>
      </c>
      <c r="C1338">
        <v>0</v>
      </c>
      <c r="D1338">
        <v>0</v>
      </c>
      <c r="E1338">
        <v>0</v>
      </c>
      <c r="F1338">
        <v>0</v>
      </c>
      <c r="G1338">
        <v>911</v>
      </c>
    </row>
    <row r="1339" spans="1:7">
      <c r="A1339">
        <v>5904</v>
      </c>
      <c r="B1339" t="s">
        <v>6144</v>
      </c>
      <c r="C1339">
        <v>0</v>
      </c>
      <c r="D1339">
        <v>0</v>
      </c>
      <c r="E1339">
        <v>0</v>
      </c>
      <c r="F1339">
        <v>0</v>
      </c>
      <c r="G1339">
        <v>911</v>
      </c>
    </row>
    <row r="1340" spans="1:7">
      <c r="A1340">
        <v>5906</v>
      </c>
      <c r="B1340" t="s">
        <v>6146</v>
      </c>
      <c r="C1340">
        <v>0</v>
      </c>
      <c r="D1340">
        <v>0</v>
      </c>
      <c r="E1340">
        <v>0</v>
      </c>
      <c r="F1340">
        <v>0</v>
      </c>
      <c r="G1340">
        <v>911</v>
      </c>
    </row>
    <row r="1341" spans="1:7">
      <c r="A1341">
        <v>6005</v>
      </c>
      <c r="B1341" t="s">
        <v>6148</v>
      </c>
      <c r="C1341">
        <v>0</v>
      </c>
      <c r="D1341">
        <v>0</v>
      </c>
      <c r="E1341">
        <v>0</v>
      </c>
      <c r="F1341">
        <v>0</v>
      </c>
      <c r="G1341">
        <v>911</v>
      </c>
    </row>
    <row r="1342" spans="1:7">
      <c r="A1342">
        <v>6020</v>
      </c>
      <c r="B1342" t="s">
        <v>8536</v>
      </c>
      <c r="C1342">
        <v>0</v>
      </c>
      <c r="D1342">
        <v>0</v>
      </c>
      <c r="E1342">
        <v>0</v>
      </c>
      <c r="F1342">
        <v>0</v>
      </c>
      <c r="G1342">
        <v>911</v>
      </c>
    </row>
    <row r="1343" spans="1:7">
      <c r="A1343">
        <v>6023</v>
      </c>
      <c r="B1343" t="s">
        <v>8537</v>
      </c>
      <c r="C1343">
        <v>0</v>
      </c>
      <c r="D1343">
        <v>0</v>
      </c>
      <c r="E1343">
        <v>0</v>
      </c>
      <c r="F1343">
        <v>0</v>
      </c>
      <c r="G1343">
        <v>911</v>
      </c>
    </row>
    <row r="1344" spans="1:7">
      <c r="A1344">
        <v>6024</v>
      </c>
      <c r="B1344" t="s">
        <v>6151</v>
      </c>
      <c r="C1344">
        <v>0</v>
      </c>
      <c r="D1344">
        <v>0</v>
      </c>
      <c r="E1344">
        <v>0</v>
      </c>
      <c r="F1344">
        <v>0</v>
      </c>
      <c r="G1344">
        <v>911</v>
      </c>
    </row>
    <row r="1345" spans="1:7">
      <c r="A1345">
        <v>6101</v>
      </c>
      <c r="B1345" t="s">
        <v>8538</v>
      </c>
      <c r="C1345">
        <v>0</v>
      </c>
      <c r="D1345">
        <v>0</v>
      </c>
      <c r="E1345">
        <v>0</v>
      </c>
      <c r="F1345">
        <v>0</v>
      </c>
      <c r="G1345">
        <v>911</v>
      </c>
    </row>
    <row r="1346" spans="1:7">
      <c r="A1346">
        <v>6109</v>
      </c>
      <c r="B1346" t="s">
        <v>8539</v>
      </c>
      <c r="C1346">
        <v>0</v>
      </c>
      <c r="D1346">
        <v>0</v>
      </c>
      <c r="E1346">
        <v>0</v>
      </c>
      <c r="F1346">
        <v>0</v>
      </c>
      <c r="G1346">
        <v>911</v>
      </c>
    </row>
    <row r="1347" spans="1:7">
      <c r="A1347">
        <v>6112</v>
      </c>
      <c r="B1347" t="s">
        <v>6156</v>
      </c>
      <c r="C1347">
        <v>0</v>
      </c>
      <c r="D1347">
        <v>0</v>
      </c>
      <c r="E1347">
        <v>0</v>
      </c>
      <c r="F1347">
        <v>0</v>
      </c>
      <c r="G1347">
        <v>911</v>
      </c>
    </row>
    <row r="1348" spans="1:7">
      <c r="A1348">
        <v>6113</v>
      </c>
      <c r="B1348" t="s">
        <v>8597</v>
      </c>
      <c r="C1348">
        <v>0</v>
      </c>
      <c r="D1348">
        <v>0</v>
      </c>
      <c r="E1348">
        <v>0</v>
      </c>
      <c r="F1348">
        <v>0</v>
      </c>
      <c r="G1348">
        <v>911</v>
      </c>
    </row>
    <row r="1349" spans="1:7">
      <c r="A1349">
        <v>6115</v>
      </c>
      <c r="B1349" t="s">
        <v>6158</v>
      </c>
      <c r="C1349">
        <v>0</v>
      </c>
      <c r="D1349">
        <v>0</v>
      </c>
      <c r="E1349">
        <v>0</v>
      </c>
      <c r="F1349">
        <v>0</v>
      </c>
      <c r="G1349">
        <v>911</v>
      </c>
    </row>
    <row r="1350" spans="1:7">
      <c r="A1350">
        <v>6117</v>
      </c>
      <c r="B1350" t="s">
        <v>6160</v>
      </c>
      <c r="C1350">
        <v>0</v>
      </c>
      <c r="D1350">
        <v>0</v>
      </c>
      <c r="E1350">
        <v>0</v>
      </c>
      <c r="F1350">
        <v>0</v>
      </c>
      <c r="G1350">
        <v>911</v>
      </c>
    </row>
    <row r="1351" spans="1:7">
      <c r="A1351">
        <v>6120</v>
      </c>
      <c r="B1351" t="s">
        <v>6162</v>
      </c>
      <c r="C1351">
        <v>0</v>
      </c>
      <c r="D1351">
        <v>0</v>
      </c>
      <c r="E1351">
        <v>0</v>
      </c>
      <c r="F1351">
        <v>0</v>
      </c>
      <c r="G1351">
        <v>911</v>
      </c>
    </row>
    <row r="1352" spans="1:7">
      <c r="A1352">
        <v>6123</v>
      </c>
      <c r="B1352" t="s">
        <v>6165</v>
      </c>
      <c r="C1352">
        <v>0</v>
      </c>
      <c r="D1352">
        <v>0</v>
      </c>
      <c r="E1352">
        <v>0</v>
      </c>
      <c r="F1352">
        <v>0</v>
      </c>
      <c r="G1352">
        <v>911</v>
      </c>
    </row>
    <row r="1353" spans="1:7">
      <c r="A1353">
        <v>6128</v>
      </c>
      <c r="B1353" t="s">
        <v>6169</v>
      </c>
      <c r="C1353">
        <v>0</v>
      </c>
      <c r="D1353">
        <v>0</v>
      </c>
      <c r="E1353">
        <v>0</v>
      </c>
      <c r="F1353">
        <v>0</v>
      </c>
      <c r="G1353">
        <v>911</v>
      </c>
    </row>
    <row r="1354" spans="1:7">
      <c r="A1354">
        <v>6133</v>
      </c>
      <c r="B1354" t="s">
        <v>6170</v>
      </c>
      <c r="C1354">
        <v>0</v>
      </c>
      <c r="D1354">
        <v>0</v>
      </c>
      <c r="E1354">
        <v>0</v>
      </c>
      <c r="F1354">
        <v>0</v>
      </c>
      <c r="G1354">
        <v>911</v>
      </c>
    </row>
    <row r="1355" spans="1:7">
      <c r="A1355">
        <v>6139</v>
      </c>
      <c r="B1355" t="s">
        <v>6174</v>
      </c>
      <c r="C1355">
        <v>0</v>
      </c>
      <c r="D1355">
        <v>0</v>
      </c>
      <c r="E1355">
        <v>0</v>
      </c>
      <c r="F1355">
        <v>0</v>
      </c>
      <c r="G1355">
        <v>911</v>
      </c>
    </row>
    <row r="1356" spans="1:7">
      <c r="A1356">
        <v>6141</v>
      </c>
      <c r="B1356" t="s">
        <v>6176</v>
      </c>
      <c r="C1356">
        <v>0</v>
      </c>
      <c r="D1356">
        <v>0</v>
      </c>
      <c r="E1356">
        <v>0</v>
      </c>
      <c r="F1356">
        <v>0</v>
      </c>
      <c r="G1356">
        <v>911</v>
      </c>
    </row>
    <row r="1357" spans="1:7">
      <c r="A1357">
        <v>6142</v>
      </c>
      <c r="B1357" t="s">
        <v>8541</v>
      </c>
      <c r="C1357">
        <v>0</v>
      </c>
      <c r="D1357">
        <v>0</v>
      </c>
      <c r="E1357">
        <v>0</v>
      </c>
      <c r="F1357">
        <v>0</v>
      </c>
      <c r="G1357">
        <v>911</v>
      </c>
    </row>
    <row r="1358" spans="1:7">
      <c r="A1358">
        <v>6144</v>
      </c>
      <c r="B1358" t="s">
        <v>8542</v>
      </c>
      <c r="C1358">
        <v>0</v>
      </c>
      <c r="D1358">
        <v>0</v>
      </c>
      <c r="E1358">
        <v>0</v>
      </c>
      <c r="F1358">
        <v>0</v>
      </c>
      <c r="G1358">
        <v>911</v>
      </c>
    </row>
    <row r="1359" spans="1:7">
      <c r="A1359">
        <v>6146</v>
      </c>
      <c r="B1359" t="s">
        <v>6178</v>
      </c>
      <c r="C1359">
        <v>0</v>
      </c>
      <c r="D1359">
        <v>0</v>
      </c>
      <c r="E1359">
        <v>0</v>
      </c>
      <c r="F1359">
        <v>0</v>
      </c>
      <c r="G1359">
        <v>911</v>
      </c>
    </row>
    <row r="1360" spans="1:7">
      <c r="A1360">
        <v>6152</v>
      </c>
      <c r="B1360" t="s">
        <v>8543</v>
      </c>
      <c r="C1360">
        <v>0</v>
      </c>
      <c r="D1360">
        <v>0</v>
      </c>
      <c r="E1360">
        <v>0</v>
      </c>
      <c r="F1360">
        <v>0</v>
      </c>
      <c r="G1360">
        <v>911</v>
      </c>
    </row>
    <row r="1361" spans="1:7">
      <c r="A1361">
        <v>6153</v>
      </c>
      <c r="B1361" t="s">
        <v>6183</v>
      </c>
      <c r="C1361">
        <v>0</v>
      </c>
      <c r="D1361">
        <v>0</v>
      </c>
      <c r="E1361">
        <v>0</v>
      </c>
      <c r="F1361">
        <v>0</v>
      </c>
      <c r="G1361">
        <v>911</v>
      </c>
    </row>
    <row r="1362" spans="1:7">
      <c r="A1362">
        <v>6166</v>
      </c>
      <c r="B1362" t="s">
        <v>6193</v>
      </c>
      <c r="C1362">
        <v>0</v>
      </c>
      <c r="D1362">
        <v>0</v>
      </c>
      <c r="E1362">
        <v>0</v>
      </c>
      <c r="F1362">
        <v>0</v>
      </c>
      <c r="G1362">
        <v>911</v>
      </c>
    </row>
    <row r="1363" spans="1:7">
      <c r="A1363">
        <v>6171</v>
      </c>
      <c r="B1363" t="s">
        <v>6605</v>
      </c>
      <c r="C1363">
        <v>0</v>
      </c>
      <c r="D1363">
        <v>0</v>
      </c>
      <c r="E1363">
        <v>0</v>
      </c>
      <c r="F1363">
        <v>0</v>
      </c>
      <c r="G1363">
        <v>911</v>
      </c>
    </row>
    <row r="1364" spans="1:7">
      <c r="A1364">
        <v>6177</v>
      </c>
      <c r="B1364" t="s">
        <v>6200</v>
      </c>
      <c r="C1364">
        <v>0</v>
      </c>
      <c r="D1364">
        <v>0</v>
      </c>
      <c r="E1364">
        <v>0</v>
      </c>
      <c r="F1364">
        <v>0</v>
      </c>
      <c r="G1364">
        <v>911</v>
      </c>
    </row>
    <row r="1365" spans="1:7">
      <c r="A1365">
        <v>6183</v>
      </c>
      <c r="B1365" t="s">
        <v>6204</v>
      </c>
      <c r="C1365">
        <v>0</v>
      </c>
      <c r="D1365">
        <v>0</v>
      </c>
      <c r="E1365">
        <v>0</v>
      </c>
      <c r="F1365">
        <v>0</v>
      </c>
      <c r="G1365">
        <v>911</v>
      </c>
    </row>
    <row r="1366" spans="1:7">
      <c r="A1366">
        <v>6184</v>
      </c>
      <c r="B1366" t="s">
        <v>6205</v>
      </c>
      <c r="C1366">
        <v>0</v>
      </c>
      <c r="D1366">
        <v>0</v>
      </c>
      <c r="E1366">
        <v>0</v>
      </c>
      <c r="F1366">
        <v>0</v>
      </c>
      <c r="G1366">
        <v>911</v>
      </c>
    </row>
    <row r="1367" spans="1:7">
      <c r="A1367">
        <v>6185</v>
      </c>
      <c r="B1367" t="s">
        <v>6206</v>
      </c>
      <c r="C1367">
        <v>0</v>
      </c>
      <c r="D1367">
        <v>0</v>
      </c>
      <c r="E1367">
        <v>0</v>
      </c>
      <c r="F1367">
        <v>0</v>
      </c>
      <c r="G1367">
        <v>911</v>
      </c>
    </row>
    <row r="1368" spans="1:7">
      <c r="A1368">
        <v>6189</v>
      </c>
      <c r="B1368" t="s">
        <v>6210</v>
      </c>
      <c r="C1368">
        <v>0</v>
      </c>
      <c r="D1368">
        <v>0</v>
      </c>
      <c r="E1368">
        <v>0</v>
      </c>
      <c r="F1368">
        <v>0</v>
      </c>
      <c r="G1368">
        <v>911</v>
      </c>
    </row>
    <row r="1369" spans="1:7">
      <c r="A1369">
        <v>6192</v>
      </c>
      <c r="B1369" t="s">
        <v>6213</v>
      </c>
      <c r="C1369">
        <v>0</v>
      </c>
      <c r="D1369">
        <v>0</v>
      </c>
      <c r="E1369">
        <v>0</v>
      </c>
      <c r="F1369">
        <v>0</v>
      </c>
      <c r="G1369">
        <v>911</v>
      </c>
    </row>
    <row r="1370" spans="1:7">
      <c r="A1370">
        <v>6195</v>
      </c>
      <c r="B1370" t="s">
        <v>6606</v>
      </c>
      <c r="C1370">
        <v>0</v>
      </c>
      <c r="D1370">
        <v>0</v>
      </c>
      <c r="E1370">
        <v>0</v>
      </c>
      <c r="F1370">
        <v>0</v>
      </c>
      <c r="G1370">
        <v>911</v>
      </c>
    </row>
    <row r="1371" spans="1:7">
      <c r="A1371">
        <v>6201</v>
      </c>
      <c r="B1371" t="s">
        <v>6216</v>
      </c>
      <c r="C1371">
        <v>0</v>
      </c>
      <c r="D1371">
        <v>0</v>
      </c>
      <c r="E1371">
        <v>0</v>
      </c>
      <c r="F1371">
        <v>0</v>
      </c>
      <c r="G1371">
        <v>911</v>
      </c>
    </row>
    <row r="1372" spans="1:7">
      <c r="A1372">
        <v>6210</v>
      </c>
      <c r="B1372" t="s">
        <v>6224</v>
      </c>
      <c r="C1372">
        <v>0</v>
      </c>
      <c r="D1372">
        <v>0</v>
      </c>
      <c r="E1372">
        <v>0</v>
      </c>
      <c r="F1372">
        <v>0</v>
      </c>
      <c r="G1372">
        <v>911</v>
      </c>
    </row>
    <row r="1373" spans="1:7">
      <c r="A1373">
        <v>6214</v>
      </c>
      <c r="B1373" t="s">
        <v>6226</v>
      </c>
      <c r="C1373">
        <v>0</v>
      </c>
      <c r="D1373">
        <v>0</v>
      </c>
      <c r="E1373">
        <v>0</v>
      </c>
      <c r="F1373">
        <v>0</v>
      </c>
      <c r="G1373">
        <v>911</v>
      </c>
    </row>
    <row r="1374" spans="1:7">
      <c r="A1374">
        <v>6220</v>
      </c>
      <c r="B1374" t="s">
        <v>6232</v>
      </c>
      <c r="C1374">
        <v>0</v>
      </c>
      <c r="D1374">
        <v>0</v>
      </c>
      <c r="E1374">
        <v>0</v>
      </c>
      <c r="F1374">
        <v>0</v>
      </c>
      <c r="G1374">
        <v>911</v>
      </c>
    </row>
    <row r="1375" spans="1:7">
      <c r="A1375">
        <v>6225</v>
      </c>
      <c r="B1375" t="s">
        <v>8545</v>
      </c>
      <c r="C1375">
        <v>0</v>
      </c>
      <c r="D1375">
        <v>0</v>
      </c>
      <c r="E1375">
        <v>0</v>
      </c>
      <c r="F1375">
        <v>0</v>
      </c>
      <c r="G1375">
        <v>911</v>
      </c>
    </row>
    <row r="1376" spans="1:7">
      <c r="A1376">
        <v>6228</v>
      </c>
      <c r="B1376" t="s">
        <v>8546</v>
      </c>
      <c r="C1376">
        <v>0</v>
      </c>
      <c r="D1376">
        <v>0</v>
      </c>
      <c r="E1376">
        <v>0</v>
      </c>
      <c r="F1376">
        <v>0</v>
      </c>
      <c r="G1376">
        <v>911</v>
      </c>
    </row>
    <row r="1377" spans="1:7">
      <c r="A1377">
        <v>6239</v>
      </c>
      <c r="B1377" t="s">
        <v>6244</v>
      </c>
      <c r="C1377">
        <v>0</v>
      </c>
      <c r="D1377">
        <v>0</v>
      </c>
      <c r="E1377">
        <v>0</v>
      </c>
      <c r="F1377">
        <v>0</v>
      </c>
      <c r="G1377">
        <v>911</v>
      </c>
    </row>
    <row r="1378" spans="1:7">
      <c r="A1378">
        <v>6241</v>
      </c>
      <c r="B1378" t="s">
        <v>8598</v>
      </c>
      <c r="C1378">
        <v>0</v>
      </c>
      <c r="D1378">
        <v>0</v>
      </c>
      <c r="E1378">
        <v>0</v>
      </c>
      <c r="F1378">
        <v>0</v>
      </c>
      <c r="G1378">
        <v>911</v>
      </c>
    </row>
    <row r="1379" spans="1:7">
      <c r="A1379">
        <v>6245</v>
      </c>
      <c r="B1379" t="s">
        <v>6247</v>
      </c>
      <c r="C1379">
        <v>0</v>
      </c>
      <c r="D1379">
        <v>0</v>
      </c>
      <c r="E1379">
        <v>0</v>
      </c>
      <c r="F1379">
        <v>0</v>
      </c>
      <c r="G1379">
        <v>911</v>
      </c>
    </row>
    <row r="1380" spans="1:7">
      <c r="A1380">
        <v>6263</v>
      </c>
      <c r="B1380" t="s">
        <v>6253</v>
      </c>
      <c r="C1380">
        <v>0</v>
      </c>
      <c r="D1380">
        <v>0</v>
      </c>
      <c r="E1380">
        <v>0</v>
      </c>
      <c r="F1380">
        <v>0</v>
      </c>
      <c r="G1380">
        <v>911</v>
      </c>
    </row>
    <row r="1381" spans="1:7">
      <c r="A1381">
        <v>6276</v>
      </c>
      <c r="B1381" t="s">
        <v>6261</v>
      </c>
      <c r="C1381">
        <v>0</v>
      </c>
      <c r="D1381">
        <v>0</v>
      </c>
      <c r="E1381">
        <v>0</v>
      </c>
      <c r="F1381">
        <v>0</v>
      </c>
      <c r="G1381">
        <v>911</v>
      </c>
    </row>
    <row r="1382" spans="1:7">
      <c r="A1382">
        <v>6277</v>
      </c>
      <c r="B1382" t="s">
        <v>6262</v>
      </c>
      <c r="C1382">
        <v>0</v>
      </c>
      <c r="D1382">
        <v>0</v>
      </c>
      <c r="E1382">
        <v>0</v>
      </c>
      <c r="F1382">
        <v>0</v>
      </c>
      <c r="G1382">
        <v>911</v>
      </c>
    </row>
    <row r="1383" spans="1:7">
      <c r="A1383">
        <v>6281</v>
      </c>
      <c r="B1383" t="s">
        <v>6265</v>
      </c>
      <c r="C1383">
        <v>0</v>
      </c>
      <c r="D1383">
        <v>0</v>
      </c>
      <c r="E1383">
        <v>0</v>
      </c>
      <c r="F1383">
        <v>0</v>
      </c>
      <c r="G1383">
        <v>911</v>
      </c>
    </row>
    <row r="1384" spans="1:7">
      <c r="A1384">
        <v>6289</v>
      </c>
      <c r="B1384" t="s">
        <v>8548</v>
      </c>
      <c r="C1384">
        <v>0</v>
      </c>
      <c r="D1384">
        <v>0</v>
      </c>
      <c r="E1384">
        <v>0</v>
      </c>
      <c r="F1384">
        <v>0</v>
      </c>
      <c r="G1384">
        <v>911</v>
      </c>
    </row>
    <row r="1385" spans="1:7">
      <c r="A1385">
        <v>6291</v>
      </c>
      <c r="B1385" t="s">
        <v>8549</v>
      </c>
      <c r="C1385">
        <v>0</v>
      </c>
      <c r="D1385">
        <v>0</v>
      </c>
      <c r="E1385">
        <v>0</v>
      </c>
      <c r="F1385">
        <v>0</v>
      </c>
      <c r="G1385">
        <v>911</v>
      </c>
    </row>
    <row r="1386" spans="1:7">
      <c r="A1386">
        <v>6294</v>
      </c>
      <c r="B1386" t="s">
        <v>6608</v>
      </c>
      <c r="C1386">
        <v>0</v>
      </c>
      <c r="D1386">
        <v>0</v>
      </c>
      <c r="E1386">
        <v>0</v>
      </c>
      <c r="F1386">
        <v>0</v>
      </c>
      <c r="G1386">
        <v>911</v>
      </c>
    </row>
    <row r="1387" spans="1:7">
      <c r="A1387">
        <v>6409</v>
      </c>
      <c r="B1387" t="s">
        <v>6274</v>
      </c>
      <c r="C1387">
        <v>0</v>
      </c>
      <c r="D1387">
        <v>0</v>
      </c>
      <c r="E1387">
        <v>0</v>
      </c>
      <c r="F1387">
        <v>0</v>
      </c>
      <c r="G1387">
        <v>911</v>
      </c>
    </row>
    <row r="1388" spans="1:7">
      <c r="A1388">
        <v>6412</v>
      </c>
      <c r="B1388" t="s">
        <v>6276</v>
      </c>
      <c r="C1388">
        <v>0</v>
      </c>
      <c r="D1388">
        <v>0</v>
      </c>
      <c r="E1388">
        <v>0</v>
      </c>
      <c r="F1388">
        <v>0</v>
      </c>
      <c r="G1388">
        <v>911</v>
      </c>
    </row>
    <row r="1389" spans="1:7">
      <c r="A1389">
        <v>6415</v>
      </c>
      <c r="B1389" t="s">
        <v>6278</v>
      </c>
      <c r="C1389">
        <v>0</v>
      </c>
      <c r="D1389">
        <v>0</v>
      </c>
      <c r="E1389">
        <v>0</v>
      </c>
      <c r="F1389">
        <v>0</v>
      </c>
      <c r="G1389">
        <v>911</v>
      </c>
    </row>
    <row r="1390" spans="1:7">
      <c r="A1390">
        <v>6431</v>
      </c>
      <c r="B1390" t="s">
        <v>8550</v>
      </c>
      <c r="C1390">
        <v>0</v>
      </c>
      <c r="D1390">
        <v>0</v>
      </c>
      <c r="E1390">
        <v>0</v>
      </c>
      <c r="F1390">
        <v>0</v>
      </c>
      <c r="G1390">
        <v>911</v>
      </c>
    </row>
    <row r="1391" spans="1:7">
      <c r="A1391">
        <v>6442</v>
      </c>
      <c r="B1391" t="s">
        <v>6286</v>
      </c>
      <c r="C1391">
        <v>0</v>
      </c>
      <c r="D1391">
        <v>0</v>
      </c>
      <c r="E1391">
        <v>0</v>
      </c>
      <c r="F1391">
        <v>0</v>
      </c>
      <c r="G1391">
        <v>911</v>
      </c>
    </row>
    <row r="1392" spans="1:7">
      <c r="A1392">
        <v>6449</v>
      </c>
      <c r="B1392" t="s">
        <v>6288</v>
      </c>
      <c r="C1392">
        <v>0</v>
      </c>
      <c r="D1392">
        <v>0</v>
      </c>
      <c r="E1392">
        <v>0</v>
      </c>
      <c r="F1392">
        <v>0</v>
      </c>
      <c r="G1392">
        <v>911</v>
      </c>
    </row>
    <row r="1393" spans="1:7">
      <c r="A1393">
        <v>6451</v>
      </c>
      <c r="B1393" t="s">
        <v>6289</v>
      </c>
      <c r="C1393">
        <v>0</v>
      </c>
      <c r="D1393">
        <v>0</v>
      </c>
      <c r="E1393">
        <v>0</v>
      </c>
      <c r="F1393">
        <v>0</v>
      </c>
      <c r="G1393">
        <v>911</v>
      </c>
    </row>
    <row r="1394" spans="1:7">
      <c r="A1394">
        <v>6461</v>
      </c>
      <c r="B1394" t="s">
        <v>6292</v>
      </c>
      <c r="C1394">
        <v>0</v>
      </c>
      <c r="D1394">
        <v>0</v>
      </c>
      <c r="E1394">
        <v>0</v>
      </c>
      <c r="F1394">
        <v>0</v>
      </c>
      <c r="G1394">
        <v>911</v>
      </c>
    </row>
    <row r="1395" spans="1:7">
      <c r="A1395">
        <v>6464</v>
      </c>
      <c r="B1395" t="s">
        <v>6294</v>
      </c>
      <c r="C1395">
        <v>0</v>
      </c>
      <c r="D1395">
        <v>0</v>
      </c>
      <c r="E1395">
        <v>0</v>
      </c>
      <c r="F1395">
        <v>0</v>
      </c>
      <c r="G1395">
        <v>911</v>
      </c>
    </row>
    <row r="1396" spans="1:7">
      <c r="A1396">
        <v>6470</v>
      </c>
      <c r="B1396" t="s">
        <v>6609</v>
      </c>
      <c r="C1396">
        <v>0</v>
      </c>
      <c r="D1396">
        <v>0</v>
      </c>
      <c r="E1396">
        <v>0</v>
      </c>
      <c r="F1396">
        <v>0</v>
      </c>
      <c r="G1396">
        <v>911</v>
      </c>
    </row>
    <row r="1397" spans="1:7">
      <c r="A1397">
        <v>6486</v>
      </c>
      <c r="B1397" t="s">
        <v>6299</v>
      </c>
      <c r="C1397">
        <v>0</v>
      </c>
      <c r="D1397">
        <v>0</v>
      </c>
      <c r="E1397">
        <v>0</v>
      </c>
      <c r="F1397">
        <v>0</v>
      </c>
      <c r="G1397">
        <v>911</v>
      </c>
    </row>
    <row r="1398" spans="1:7">
      <c r="A1398">
        <v>6499</v>
      </c>
      <c r="B1398" t="s">
        <v>6303</v>
      </c>
      <c r="C1398">
        <v>0</v>
      </c>
      <c r="D1398">
        <v>0</v>
      </c>
      <c r="E1398">
        <v>0</v>
      </c>
      <c r="F1398">
        <v>0</v>
      </c>
      <c r="G1398">
        <v>911</v>
      </c>
    </row>
    <row r="1399" spans="1:7">
      <c r="A1399">
        <v>6505</v>
      </c>
      <c r="B1399" t="s">
        <v>6305</v>
      </c>
      <c r="C1399">
        <v>0</v>
      </c>
      <c r="D1399">
        <v>0</v>
      </c>
      <c r="E1399">
        <v>0</v>
      </c>
      <c r="F1399">
        <v>0</v>
      </c>
      <c r="G1399">
        <v>911</v>
      </c>
    </row>
    <row r="1400" spans="1:7">
      <c r="A1400">
        <v>6516</v>
      </c>
      <c r="B1400" t="s">
        <v>6312</v>
      </c>
      <c r="C1400">
        <v>0</v>
      </c>
      <c r="D1400">
        <v>0</v>
      </c>
      <c r="E1400">
        <v>0</v>
      </c>
      <c r="F1400">
        <v>0</v>
      </c>
      <c r="G1400">
        <v>911</v>
      </c>
    </row>
    <row r="1401" spans="1:7">
      <c r="A1401">
        <v>6541</v>
      </c>
      <c r="B1401" t="s">
        <v>8552</v>
      </c>
      <c r="C1401">
        <v>0</v>
      </c>
      <c r="D1401">
        <v>0</v>
      </c>
      <c r="E1401">
        <v>0</v>
      </c>
      <c r="F1401">
        <v>0</v>
      </c>
      <c r="G1401">
        <v>911</v>
      </c>
    </row>
    <row r="1402" spans="1:7">
      <c r="A1402">
        <v>6542</v>
      </c>
      <c r="B1402" t="s">
        <v>6320</v>
      </c>
      <c r="C1402">
        <v>0</v>
      </c>
      <c r="D1402">
        <v>0</v>
      </c>
      <c r="E1402">
        <v>0</v>
      </c>
      <c r="F1402">
        <v>0</v>
      </c>
      <c r="G1402">
        <v>911</v>
      </c>
    </row>
    <row r="1403" spans="1:7">
      <c r="A1403">
        <v>6558</v>
      </c>
      <c r="B1403" t="s">
        <v>6323</v>
      </c>
      <c r="C1403">
        <v>0</v>
      </c>
      <c r="D1403">
        <v>0</v>
      </c>
      <c r="E1403">
        <v>0</v>
      </c>
      <c r="F1403">
        <v>0</v>
      </c>
      <c r="G1403">
        <v>911</v>
      </c>
    </row>
    <row r="1404" spans="1:7">
      <c r="A1404">
        <v>6561</v>
      </c>
      <c r="B1404" t="s">
        <v>6324</v>
      </c>
      <c r="C1404">
        <v>0</v>
      </c>
      <c r="D1404">
        <v>0</v>
      </c>
      <c r="E1404">
        <v>0</v>
      </c>
      <c r="F1404">
        <v>0</v>
      </c>
      <c r="G1404">
        <v>911</v>
      </c>
    </row>
    <row r="1405" spans="1:7">
      <c r="A1405">
        <v>6570</v>
      </c>
      <c r="B1405" t="s">
        <v>6325</v>
      </c>
      <c r="C1405">
        <v>0</v>
      </c>
      <c r="D1405">
        <v>0</v>
      </c>
      <c r="E1405">
        <v>0</v>
      </c>
      <c r="F1405">
        <v>0</v>
      </c>
      <c r="G1405">
        <v>911</v>
      </c>
    </row>
    <row r="1406" spans="1:7">
      <c r="A1406">
        <v>6577</v>
      </c>
      <c r="B1406" t="s">
        <v>6327</v>
      </c>
      <c r="C1406">
        <v>0</v>
      </c>
      <c r="D1406">
        <v>0</v>
      </c>
      <c r="E1406">
        <v>0</v>
      </c>
      <c r="F1406">
        <v>0</v>
      </c>
      <c r="G1406">
        <v>911</v>
      </c>
    </row>
    <row r="1407" spans="1:7">
      <c r="A1407">
        <v>6578</v>
      </c>
      <c r="B1407" t="s">
        <v>6328</v>
      </c>
      <c r="C1407">
        <v>0</v>
      </c>
      <c r="D1407">
        <v>0</v>
      </c>
      <c r="E1407">
        <v>0</v>
      </c>
      <c r="F1407">
        <v>0</v>
      </c>
      <c r="G1407">
        <v>911</v>
      </c>
    </row>
    <row r="1408" spans="1:7">
      <c r="A1408">
        <v>6579</v>
      </c>
      <c r="B1408" t="s">
        <v>6329</v>
      </c>
      <c r="C1408">
        <v>0</v>
      </c>
      <c r="D1408">
        <v>0</v>
      </c>
      <c r="E1408">
        <v>0</v>
      </c>
      <c r="F1408">
        <v>0</v>
      </c>
      <c r="G1408">
        <v>911</v>
      </c>
    </row>
    <row r="1409" spans="1:7">
      <c r="A1409">
        <v>6581</v>
      </c>
      <c r="B1409" t="s">
        <v>6330</v>
      </c>
      <c r="C1409">
        <v>0</v>
      </c>
      <c r="D1409">
        <v>0</v>
      </c>
      <c r="E1409">
        <v>0</v>
      </c>
      <c r="F1409">
        <v>0</v>
      </c>
      <c r="G1409">
        <v>911</v>
      </c>
    </row>
    <row r="1410" spans="1:7">
      <c r="A1410">
        <v>6592</v>
      </c>
      <c r="B1410" t="s">
        <v>6333</v>
      </c>
      <c r="C1410">
        <v>0</v>
      </c>
      <c r="D1410">
        <v>0</v>
      </c>
      <c r="E1410">
        <v>0</v>
      </c>
      <c r="F1410">
        <v>0</v>
      </c>
      <c r="G1410">
        <v>911</v>
      </c>
    </row>
    <row r="1411" spans="1:7">
      <c r="A1411">
        <v>6596</v>
      </c>
      <c r="B1411" t="s">
        <v>8600</v>
      </c>
      <c r="C1411">
        <v>0</v>
      </c>
      <c r="D1411">
        <v>0</v>
      </c>
      <c r="E1411">
        <v>0</v>
      </c>
      <c r="F1411">
        <v>0</v>
      </c>
      <c r="G1411">
        <v>911</v>
      </c>
    </row>
    <row r="1412" spans="1:7">
      <c r="A1412">
        <v>6598</v>
      </c>
      <c r="B1412" t="s">
        <v>6334</v>
      </c>
      <c r="C1412">
        <v>0</v>
      </c>
      <c r="D1412">
        <v>0</v>
      </c>
      <c r="E1412">
        <v>0</v>
      </c>
      <c r="F1412">
        <v>0</v>
      </c>
      <c r="G1412">
        <v>911</v>
      </c>
    </row>
    <row r="1413" spans="1:7">
      <c r="A1413">
        <v>6605</v>
      </c>
      <c r="B1413" t="s">
        <v>6336</v>
      </c>
      <c r="C1413">
        <v>0</v>
      </c>
      <c r="D1413">
        <v>0</v>
      </c>
      <c r="E1413">
        <v>0</v>
      </c>
      <c r="F1413">
        <v>0</v>
      </c>
      <c r="G1413">
        <v>911</v>
      </c>
    </row>
    <row r="1414" spans="1:7">
      <c r="A1414">
        <v>6609</v>
      </c>
      <c r="B1414" t="s">
        <v>6337</v>
      </c>
      <c r="C1414">
        <v>0</v>
      </c>
      <c r="D1414">
        <v>0</v>
      </c>
      <c r="E1414">
        <v>0</v>
      </c>
      <c r="F1414">
        <v>0</v>
      </c>
      <c r="G1414">
        <v>911</v>
      </c>
    </row>
    <row r="1415" spans="1:7">
      <c r="A1415">
        <v>6613</v>
      </c>
      <c r="B1415" t="s">
        <v>6339</v>
      </c>
      <c r="C1415">
        <v>0</v>
      </c>
      <c r="D1415">
        <v>0</v>
      </c>
      <c r="E1415">
        <v>0</v>
      </c>
      <c r="F1415">
        <v>0</v>
      </c>
      <c r="G1415">
        <v>911</v>
      </c>
    </row>
    <row r="1416" spans="1:7">
      <c r="A1416">
        <v>6625</v>
      </c>
      <c r="B1416" t="s">
        <v>6340</v>
      </c>
      <c r="C1416">
        <v>0</v>
      </c>
      <c r="D1416">
        <v>0</v>
      </c>
      <c r="E1416">
        <v>0</v>
      </c>
      <c r="F1416">
        <v>0</v>
      </c>
      <c r="G1416">
        <v>911</v>
      </c>
    </row>
    <row r="1417" spans="1:7">
      <c r="A1417">
        <v>6641</v>
      </c>
      <c r="B1417" t="s">
        <v>6341</v>
      </c>
      <c r="C1417">
        <v>0</v>
      </c>
      <c r="D1417">
        <v>0</v>
      </c>
      <c r="E1417">
        <v>0</v>
      </c>
      <c r="F1417">
        <v>0</v>
      </c>
      <c r="G1417">
        <v>911</v>
      </c>
    </row>
    <row r="1418" spans="1:7">
      <c r="A1418">
        <v>6655</v>
      </c>
      <c r="B1418" t="s">
        <v>6345</v>
      </c>
      <c r="C1418">
        <v>0</v>
      </c>
      <c r="D1418">
        <v>0</v>
      </c>
      <c r="E1418">
        <v>0</v>
      </c>
      <c r="F1418">
        <v>0</v>
      </c>
      <c r="G1418">
        <v>911</v>
      </c>
    </row>
    <row r="1419" spans="1:7">
      <c r="A1419">
        <v>6666</v>
      </c>
      <c r="B1419" t="s">
        <v>6347</v>
      </c>
      <c r="C1419">
        <v>0</v>
      </c>
      <c r="D1419">
        <v>0</v>
      </c>
      <c r="E1419">
        <v>0</v>
      </c>
      <c r="F1419">
        <v>0</v>
      </c>
      <c r="G1419">
        <v>911</v>
      </c>
    </row>
    <row r="1420" spans="1:7">
      <c r="A1420">
        <v>6670</v>
      </c>
      <c r="B1420" t="s">
        <v>6351</v>
      </c>
      <c r="C1420">
        <v>0</v>
      </c>
      <c r="D1420">
        <v>0</v>
      </c>
      <c r="E1420">
        <v>0</v>
      </c>
      <c r="F1420">
        <v>0</v>
      </c>
      <c r="G1420">
        <v>911</v>
      </c>
    </row>
    <row r="1421" spans="1:7">
      <c r="A1421">
        <v>6671</v>
      </c>
      <c r="B1421" t="s">
        <v>6352</v>
      </c>
      <c r="C1421">
        <v>0</v>
      </c>
      <c r="D1421">
        <v>0</v>
      </c>
      <c r="E1421">
        <v>0</v>
      </c>
      <c r="F1421">
        <v>0</v>
      </c>
      <c r="G1421">
        <v>911</v>
      </c>
    </row>
    <row r="1422" spans="1:7">
      <c r="A1422">
        <v>6674</v>
      </c>
      <c r="B1422" t="s">
        <v>6354</v>
      </c>
      <c r="C1422">
        <v>0</v>
      </c>
      <c r="D1422">
        <v>0</v>
      </c>
      <c r="E1422">
        <v>0</v>
      </c>
      <c r="F1422">
        <v>0</v>
      </c>
      <c r="G1422">
        <v>911</v>
      </c>
    </row>
    <row r="1423" spans="1:7">
      <c r="A1423">
        <v>6743</v>
      </c>
      <c r="B1423" t="s">
        <v>6361</v>
      </c>
      <c r="C1423">
        <v>0</v>
      </c>
      <c r="D1423">
        <v>0</v>
      </c>
      <c r="E1423">
        <v>0</v>
      </c>
      <c r="F1423">
        <v>0</v>
      </c>
      <c r="G1423">
        <v>911</v>
      </c>
    </row>
    <row r="1424" spans="1:7">
      <c r="A1424">
        <v>6768</v>
      </c>
      <c r="B1424" t="s">
        <v>6364</v>
      </c>
      <c r="C1424">
        <v>0</v>
      </c>
      <c r="D1424">
        <v>0</v>
      </c>
      <c r="E1424">
        <v>0</v>
      </c>
      <c r="F1424">
        <v>0</v>
      </c>
      <c r="G1424">
        <v>911</v>
      </c>
    </row>
    <row r="1425" spans="1:7">
      <c r="A1425">
        <v>6776</v>
      </c>
      <c r="B1425" t="s">
        <v>6365</v>
      </c>
      <c r="C1425">
        <v>0</v>
      </c>
      <c r="D1425">
        <v>0</v>
      </c>
      <c r="E1425">
        <v>0</v>
      </c>
      <c r="F1425">
        <v>0</v>
      </c>
      <c r="G1425">
        <v>911</v>
      </c>
    </row>
    <row r="1426" spans="1:7">
      <c r="A1426">
        <v>6790</v>
      </c>
      <c r="B1426" t="s">
        <v>8602</v>
      </c>
      <c r="C1426">
        <v>0</v>
      </c>
      <c r="D1426">
        <v>0</v>
      </c>
      <c r="E1426">
        <v>0</v>
      </c>
      <c r="F1426">
        <v>0</v>
      </c>
      <c r="G1426">
        <v>911</v>
      </c>
    </row>
    <row r="1427" spans="1:7">
      <c r="A1427">
        <v>6803</v>
      </c>
      <c r="B1427" t="s">
        <v>6367</v>
      </c>
      <c r="C1427">
        <v>0</v>
      </c>
      <c r="D1427">
        <v>0</v>
      </c>
      <c r="E1427">
        <v>0</v>
      </c>
      <c r="F1427">
        <v>0</v>
      </c>
      <c r="G1427">
        <v>911</v>
      </c>
    </row>
    <row r="1428" spans="1:7">
      <c r="A1428">
        <v>8032</v>
      </c>
      <c r="B1428" t="s">
        <v>6610</v>
      </c>
      <c r="C1428">
        <v>0</v>
      </c>
      <c r="D1428">
        <v>0</v>
      </c>
      <c r="E1428">
        <v>0</v>
      </c>
      <c r="F1428">
        <v>0</v>
      </c>
      <c r="G1428">
        <v>911</v>
      </c>
    </row>
    <row r="1429" spans="1:7">
      <c r="A1429">
        <v>8048</v>
      </c>
      <c r="B1429" t="s">
        <v>6380</v>
      </c>
      <c r="C1429">
        <v>0</v>
      </c>
      <c r="D1429">
        <v>0</v>
      </c>
      <c r="E1429">
        <v>0</v>
      </c>
      <c r="F1429">
        <v>0</v>
      </c>
      <c r="G1429">
        <v>911</v>
      </c>
    </row>
    <row r="1430" spans="1:7">
      <c r="A1430">
        <v>8049</v>
      </c>
      <c r="B1430" t="s">
        <v>6381</v>
      </c>
      <c r="C1430">
        <v>0</v>
      </c>
      <c r="D1430">
        <v>0</v>
      </c>
      <c r="E1430">
        <v>0</v>
      </c>
      <c r="F1430">
        <v>0</v>
      </c>
      <c r="G1430">
        <v>911</v>
      </c>
    </row>
    <row r="1431" spans="1:7">
      <c r="A1431">
        <v>8059</v>
      </c>
      <c r="B1431" t="s">
        <v>6384</v>
      </c>
      <c r="C1431">
        <v>0</v>
      </c>
      <c r="D1431">
        <v>0</v>
      </c>
      <c r="E1431">
        <v>0</v>
      </c>
      <c r="F1431">
        <v>0</v>
      </c>
      <c r="G1431">
        <v>911</v>
      </c>
    </row>
    <row r="1432" spans="1:7">
      <c r="A1432">
        <v>8068</v>
      </c>
      <c r="B1432" t="s">
        <v>8556</v>
      </c>
      <c r="C1432">
        <v>0</v>
      </c>
      <c r="D1432">
        <v>0</v>
      </c>
      <c r="E1432">
        <v>0</v>
      </c>
      <c r="F1432">
        <v>0</v>
      </c>
      <c r="G1432">
        <v>911</v>
      </c>
    </row>
    <row r="1433" spans="1:7">
      <c r="A1433">
        <v>8072</v>
      </c>
      <c r="B1433" t="s">
        <v>6389</v>
      </c>
      <c r="C1433">
        <v>0</v>
      </c>
      <c r="D1433">
        <v>0</v>
      </c>
      <c r="E1433">
        <v>0</v>
      </c>
      <c r="F1433">
        <v>0</v>
      </c>
      <c r="G1433">
        <v>911</v>
      </c>
    </row>
    <row r="1434" spans="1:7">
      <c r="A1434">
        <v>8074</v>
      </c>
      <c r="B1434" t="s">
        <v>6390</v>
      </c>
      <c r="C1434">
        <v>0</v>
      </c>
      <c r="D1434">
        <v>0</v>
      </c>
      <c r="E1434">
        <v>0</v>
      </c>
      <c r="F1434">
        <v>0</v>
      </c>
      <c r="G1434">
        <v>911</v>
      </c>
    </row>
    <row r="1435" spans="1:7">
      <c r="A1435">
        <v>8083</v>
      </c>
      <c r="B1435" t="s">
        <v>6393</v>
      </c>
      <c r="C1435">
        <v>0</v>
      </c>
      <c r="D1435">
        <v>0</v>
      </c>
      <c r="E1435">
        <v>0</v>
      </c>
      <c r="F1435">
        <v>0</v>
      </c>
      <c r="G1435">
        <v>911</v>
      </c>
    </row>
    <row r="1436" spans="1:7">
      <c r="A1436">
        <v>8093</v>
      </c>
      <c r="B1436" t="s">
        <v>8558</v>
      </c>
      <c r="C1436">
        <v>0</v>
      </c>
      <c r="D1436">
        <v>0</v>
      </c>
      <c r="E1436">
        <v>0</v>
      </c>
      <c r="F1436">
        <v>0</v>
      </c>
      <c r="G1436">
        <v>911</v>
      </c>
    </row>
    <row r="1437" spans="1:7">
      <c r="A1437">
        <v>8101</v>
      </c>
      <c r="B1437" t="s">
        <v>8559</v>
      </c>
      <c r="C1437">
        <v>0</v>
      </c>
      <c r="D1437">
        <v>0</v>
      </c>
      <c r="E1437">
        <v>0</v>
      </c>
      <c r="F1437">
        <v>0</v>
      </c>
      <c r="G1437">
        <v>911</v>
      </c>
    </row>
    <row r="1438" spans="1:7">
      <c r="A1438">
        <v>8105</v>
      </c>
      <c r="B1438" t="s">
        <v>6403</v>
      </c>
      <c r="C1438">
        <v>0</v>
      </c>
      <c r="D1438">
        <v>0</v>
      </c>
      <c r="E1438">
        <v>0</v>
      </c>
      <c r="F1438">
        <v>0</v>
      </c>
      <c r="G1438">
        <v>911</v>
      </c>
    </row>
    <row r="1439" spans="1:7">
      <c r="A1439">
        <v>8107</v>
      </c>
      <c r="B1439" t="s">
        <v>6404</v>
      </c>
      <c r="C1439">
        <v>0</v>
      </c>
      <c r="D1439">
        <v>0</v>
      </c>
      <c r="E1439">
        <v>0</v>
      </c>
      <c r="F1439">
        <v>0</v>
      </c>
      <c r="G1439">
        <v>911</v>
      </c>
    </row>
    <row r="1440" spans="1:7">
      <c r="A1440">
        <v>8109</v>
      </c>
      <c r="B1440" t="s">
        <v>6613</v>
      </c>
      <c r="C1440">
        <v>0</v>
      </c>
      <c r="D1440">
        <v>0</v>
      </c>
      <c r="E1440">
        <v>0</v>
      </c>
      <c r="F1440">
        <v>0</v>
      </c>
      <c r="G1440">
        <v>911</v>
      </c>
    </row>
    <row r="1441" spans="1:7">
      <c r="A1441">
        <v>8131</v>
      </c>
      <c r="B1441" t="s">
        <v>6409</v>
      </c>
      <c r="C1441">
        <v>0</v>
      </c>
      <c r="D1441">
        <v>0</v>
      </c>
      <c r="E1441">
        <v>0</v>
      </c>
      <c r="F1441">
        <v>0</v>
      </c>
      <c r="G1441">
        <v>911</v>
      </c>
    </row>
    <row r="1442" spans="1:7">
      <c r="A1442">
        <v>8176</v>
      </c>
      <c r="B1442" t="s">
        <v>8561</v>
      </c>
      <c r="C1442">
        <v>0</v>
      </c>
      <c r="D1442">
        <v>0</v>
      </c>
      <c r="E1442">
        <v>0</v>
      </c>
      <c r="F1442">
        <v>0</v>
      </c>
      <c r="G1442">
        <v>911</v>
      </c>
    </row>
    <row r="1443" spans="1:7">
      <c r="A1443">
        <v>8234</v>
      </c>
      <c r="B1443" t="s">
        <v>6422</v>
      </c>
      <c r="C1443">
        <v>0</v>
      </c>
      <c r="D1443">
        <v>0</v>
      </c>
      <c r="E1443">
        <v>0</v>
      </c>
      <c r="F1443">
        <v>0</v>
      </c>
      <c r="G1443">
        <v>911</v>
      </c>
    </row>
    <row r="1444" spans="1:7">
      <c r="A1444">
        <v>8240</v>
      </c>
      <c r="B1444" t="s">
        <v>6423</v>
      </c>
      <c r="C1444">
        <v>0</v>
      </c>
      <c r="D1444">
        <v>0</v>
      </c>
      <c r="E1444">
        <v>0</v>
      </c>
      <c r="F1444">
        <v>0</v>
      </c>
      <c r="G1444">
        <v>911</v>
      </c>
    </row>
    <row r="1445" spans="1:7">
      <c r="A1445">
        <v>8341</v>
      </c>
      <c r="B1445" t="s">
        <v>6431</v>
      </c>
      <c r="C1445">
        <v>0</v>
      </c>
      <c r="D1445">
        <v>0</v>
      </c>
      <c r="E1445">
        <v>0</v>
      </c>
      <c r="F1445">
        <v>0</v>
      </c>
      <c r="G1445">
        <v>911</v>
      </c>
    </row>
    <row r="1446" spans="1:7">
      <c r="A1446">
        <v>8342</v>
      </c>
      <c r="B1446" t="s">
        <v>8603</v>
      </c>
      <c r="C1446">
        <v>0</v>
      </c>
      <c r="D1446">
        <v>0</v>
      </c>
      <c r="E1446">
        <v>0</v>
      </c>
      <c r="F1446">
        <v>0</v>
      </c>
      <c r="G1446">
        <v>911</v>
      </c>
    </row>
    <row r="1447" spans="1:7">
      <c r="A1447">
        <v>8354</v>
      </c>
      <c r="B1447" t="s">
        <v>8604</v>
      </c>
      <c r="C1447">
        <v>0</v>
      </c>
      <c r="D1447">
        <v>0</v>
      </c>
      <c r="E1447">
        <v>0</v>
      </c>
      <c r="F1447">
        <v>0</v>
      </c>
      <c r="G1447">
        <v>911</v>
      </c>
    </row>
    <row r="1448" spans="1:7">
      <c r="A1448">
        <v>8374</v>
      </c>
      <c r="B1448" t="s">
        <v>6435</v>
      </c>
      <c r="C1448">
        <v>0</v>
      </c>
      <c r="D1448">
        <v>0</v>
      </c>
      <c r="E1448">
        <v>0</v>
      </c>
      <c r="F1448">
        <v>0</v>
      </c>
      <c r="G1448">
        <v>911</v>
      </c>
    </row>
    <row r="1449" spans="1:7">
      <c r="A1449">
        <v>8403</v>
      </c>
      <c r="B1449" t="s">
        <v>6439</v>
      </c>
      <c r="C1449">
        <v>0</v>
      </c>
      <c r="D1449">
        <v>0</v>
      </c>
      <c r="E1449">
        <v>0</v>
      </c>
      <c r="F1449">
        <v>0</v>
      </c>
      <c r="G1449">
        <v>911</v>
      </c>
    </row>
    <row r="1450" spans="1:7">
      <c r="A1450">
        <v>8404</v>
      </c>
      <c r="B1450" t="s">
        <v>6440</v>
      </c>
      <c r="C1450">
        <v>0</v>
      </c>
      <c r="D1450">
        <v>0</v>
      </c>
      <c r="E1450">
        <v>0</v>
      </c>
      <c r="F1450">
        <v>0</v>
      </c>
      <c r="G1450">
        <v>911</v>
      </c>
    </row>
    <row r="1451" spans="1:7">
      <c r="A1451">
        <v>8411</v>
      </c>
      <c r="B1451" t="s">
        <v>6442</v>
      </c>
      <c r="C1451">
        <v>0</v>
      </c>
      <c r="D1451">
        <v>0</v>
      </c>
      <c r="E1451">
        <v>0</v>
      </c>
      <c r="F1451">
        <v>0</v>
      </c>
      <c r="G1451">
        <v>911</v>
      </c>
    </row>
    <row r="1452" spans="1:7">
      <c r="A1452">
        <v>8418</v>
      </c>
      <c r="B1452" t="s">
        <v>6614</v>
      </c>
      <c r="C1452">
        <v>0</v>
      </c>
      <c r="D1452">
        <v>0</v>
      </c>
      <c r="E1452">
        <v>0</v>
      </c>
      <c r="F1452">
        <v>0</v>
      </c>
      <c r="G1452">
        <v>911</v>
      </c>
    </row>
    <row r="1453" spans="1:7">
      <c r="A1453">
        <v>8421</v>
      </c>
      <c r="B1453" t="s">
        <v>8564</v>
      </c>
      <c r="C1453">
        <v>0</v>
      </c>
      <c r="D1453">
        <v>0</v>
      </c>
      <c r="E1453">
        <v>0</v>
      </c>
      <c r="F1453">
        <v>0</v>
      </c>
      <c r="G1453">
        <v>911</v>
      </c>
    </row>
    <row r="1454" spans="1:7">
      <c r="A1454">
        <v>8432</v>
      </c>
      <c r="B1454" t="s">
        <v>6615</v>
      </c>
      <c r="C1454">
        <v>0</v>
      </c>
      <c r="D1454">
        <v>0</v>
      </c>
      <c r="E1454">
        <v>0</v>
      </c>
      <c r="F1454">
        <v>0</v>
      </c>
      <c r="G1454">
        <v>911</v>
      </c>
    </row>
    <row r="1455" spans="1:7">
      <c r="A1455">
        <v>8433</v>
      </c>
      <c r="B1455" t="s">
        <v>6448</v>
      </c>
      <c r="C1455">
        <v>0</v>
      </c>
      <c r="D1455">
        <v>0</v>
      </c>
      <c r="E1455">
        <v>0</v>
      </c>
      <c r="F1455">
        <v>0</v>
      </c>
      <c r="G1455">
        <v>911</v>
      </c>
    </row>
    <row r="1456" spans="1:7">
      <c r="A1456">
        <v>8435</v>
      </c>
      <c r="B1456" t="s">
        <v>6449</v>
      </c>
      <c r="C1456">
        <v>0</v>
      </c>
      <c r="D1456">
        <v>0</v>
      </c>
      <c r="E1456">
        <v>0</v>
      </c>
      <c r="F1456">
        <v>0</v>
      </c>
      <c r="G1456">
        <v>911</v>
      </c>
    </row>
    <row r="1457" spans="1:7">
      <c r="A1457">
        <v>8437</v>
      </c>
      <c r="B1457" t="s">
        <v>6451</v>
      </c>
      <c r="C1457">
        <v>0</v>
      </c>
      <c r="D1457">
        <v>0</v>
      </c>
      <c r="E1457">
        <v>0</v>
      </c>
      <c r="F1457">
        <v>0</v>
      </c>
      <c r="G1457">
        <v>911</v>
      </c>
    </row>
    <row r="1458" spans="1:7">
      <c r="A1458">
        <v>8442</v>
      </c>
      <c r="B1458" t="s">
        <v>6453</v>
      </c>
      <c r="C1458">
        <v>0</v>
      </c>
      <c r="D1458">
        <v>0</v>
      </c>
      <c r="E1458">
        <v>0</v>
      </c>
      <c r="F1458">
        <v>0</v>
      </c>
      <c r="G1458">
        <v>911</v>
      </c>
    </row>
    <row r="1459" spans="1:7">
      <c r="A1459">
        <v>8443</v>
      </c>
      <c r="B1459" t="s">
        <v>6454</v>
      </c>
      <c r="C1459">
        <v>0</v>
      </c>
      <c r="D1459">
        <v>0</v>
      </c>
      <c r="E1459">
        <v>0</v>
      </c>
      <c r="F1459">
        <v>0</v>
      </c>
      <c r="G1459">
        <v>911</v>
      </c>
    </row>
    <row r="1460" spans="1:7">
      <c r="A1460">
        <v>8444</v>
      </c>
      <c r="B1460" t="s">
        <v>6455</v>
      </c>
      <c r="C1460">
        <v>0</v>
      </c>
      <c r="D1460">
        <v>0</v>
      </c>
      <c r="E1460">
        <v>0</v>
      </c>
      <c r="F1460">
        <v>0</v>
      </c>
      <c r="G1460">
        <v>911</v>
      </c>
    </row>
    <row r="1461" spans="1:7">
      <c r="A1461">
        <v>8446</v>
      </c>
      <c r="B1461" t="s">
        <v>6456</v>
      </c>
      <c r="C1461">
        <v>0</v>
      </c>
      <c r="D1461">
        <v>0</v>
      </c>
      <c r="E1461">
        <v>0</v>
      </c>
      <c r="F1461">
        <v>0</v>
      </c>
      <c r="G1461">
        <v>911</v>
      </c>
    </row>
    <row r="1462" spans="1:7">
      <c r="A1462">
        <v>8462</v>
      </c>
      <c r="B1462" t="s">
        <v>6459</v>
      </c>
      <c r="C1462">
        <v>0</v>
      </c>
      <c r="D1462">
        <v>0</v>
      </c>
      <c r="E1462">
        <v>0</v>
      </c>
      <c r="F1462">
        <v>0</v>
      </c>
      <c r="G1462">
        <v>911</v>
      </c>
    </row>
    <row r="1463" spans="1:7">
      <c r="A1463">
        <v>8463</v>
      </c>
      <c r="B1463" t="s">
        <v>6460</v>
      </c>
      <c r="C1463">
        <v>0</v>
      </c>
      <c r="D1463">
        <v>0</v>
      </c>
      <c r="E1463">
        <v>0</v>
      </c>
      <c r="F1463">
        <v>0</v>
      </c>
      <c r="G1463">
        <v>911</v>
      </c>
    </row>
    <row r="1464" spans="1:7">
      <c r="A1464">
        <v>8464</v>
      </c>
      <c r="B1464" t="s">
        <v>6461</v>
      </c>
      <c r="C1464">
        <v>0</v>
      </c>
      <c r="D1464">
        <v>0</v>
      </c>
      <c r="E1464">
        <v>0</v>
      </c>
      <c r="F1464">
        <v>0</v>
      </c>
      <c r="G1464">
        <v>911</v>
      </c>
    </row>
    <row r="1465" spans="1:7">
      <c r="A1465">
        <v>8466</v>
      </c>
      <c r="B1465" t="s">
        <v>6462</v>
      </c>
      <c r="C1465">
        <v>0</v>
      </c>
      <c r="D1465">
        <v>0</v>
      </c>
      <c r="E1465">
        <v>0</v>
      </c>
      <c r="F1465">
        <v>0</v>
      </c>
      <c r="G1465">
        <v>911</v>
      </c>
    </row>
    <row r="1466" spans="1:7">
      <c r="A1466">
        <v>8467</v>
      </c>
      <c r="B1466" t="s">
        <v>6463</v>
      </c>
      <c r="C1466">
        <v>0</v>
      </c>
      <c r="D1466">
        <v>0</v>
      </c>
      <c r="E1466">
        <v>0</v>
      </c>
      <c r="F1466">
        <v>0</v>
      </c>
      <c r="G1466">
        <v>911</v>
      </c>
    </row>
    <row r="1467" spans="1:7">
      <c r="A1467">
        <v>8473</v>
      </c>
      <c r="B1467" t="s">
        <v>6464</v>
      </c>
      <c r="C1467">
        <v>0</v>
      </c>
      <c r="D1467">
        <v>0</v>
      </c>
      <c r="E1467">
        <v>0</v>
      </c>
      <c r="F1467">
        <v>0</v>
      </c>
      <c r="G1467">
        <v>911</v>
      </c>
    </row>
    <row r="1468" spans="1:7">
      <c r="A1468">
        <v>8476</v>
      </c>
      <c r="B1468" t="s">
        <v>8565</v>
      </c>
      <c r="C1468">
        <v>0</v>
      </c>
      <c r="D1468">
        <v>0</v>
      </c>
      <c r="E1468">
        <v>0</v>
      </c>
      <c r="F1468">
        <v>0</v>
      </c>
      <c r="G1468">
        <v>911</v>
      </c>
    </row>
    <row r="1469" spans="1:7">
      <c r="A1469">
        <v>8477</v>
      </c>
      <c r="B1469" t="s">
        <v>6465</v>
      </c>
      <c r="C1469">
        <v>0</v>
      </c>
      <c r="D1469">
        <v>0</v>
      </c>
      <c r="E1469">
        <v>0</v>
      </c>
      <c r="F1469">
        <v>0</v>
      </c>
      <c r="G1469">
        <v>911</v>
      </c>
    </row>
    <row r="1470" spans="1:7">
      <c r="A1470">
        <v>8480</v>
      </c>
      <c r="B1470" t="s">
        <v>6467</v>
      </c>
      <c r="C1470">
        <v>0</v>
      </c>
      <c r="D1470">
        <v>0</v>
      </c>
      <c r="E1470">
        <v>0</v>
      </c>
      <c r="F1470">
        <v>0</v>
      </c>
      <c r="G1470">
        <v>911</v>
      </c>
    </row>
    <row r="1471" spans="1:7">
      <c r="A1471">
        <v>8481</v>
      </c>
      <c r="B1471" t="s">
        <v>6468</v>
      </c>
      <c r="C1471">
        <v>0</v>
      </c>
      <c r="D1471">
        <v>0</v>
      </c>
      <c r="E1471">
        <v>0</v>
      </c>
      <c r="F1471">
        <v>0</v>
      </c>
      <c r="G1471">
        <v>911</v>
      </c>
    </row>
    <row r="1472" spans="1:7">
      <c r="A1472">
        <v>8482</v>
      </c>
      <c r="B1472" t="s">
        <v>6469</v>
      </c>
      <c r="C1472">
        <v>0</v>
      </c>
      <c r="D1472">
        <v>0</v>
      </c>
      <c r="E1472">
        <v>0</v>
      </c>
      <c r="F1472">
        <v>0</v>
      </c>
      <c r="G1472">
        <v>911</v>
      </c>
    </row>
    <row r="1473" spans="1:7">
      <c r="A1473">
        <v>8488</v>
      </c>
      <c r="B1473" t="s">
        <v>6470</v>
      </c>
      <c r="C1473">
        <v>0</v>
      </c>
      <c r="D1473">
        <v>0</v>
      </c>
      <c r="E1473">
        <v>0</v>
      </c>
      <c r="F1473">
        <v>0</v>
      </c>
      <c r="G1473">
        <v>911</v>
      </c>
    </row>
    <row r="1474" spans="1:7">
      <c r="A1474">
        <v>8489</v>
      </c>
      <c r="B1474" t="s">
        <v>6471</v>
      </c>
      <c r="C1474">
        <v>0</v>
      </c>
      <c r="D1474">
        <v>0</v>
      </c>
      <c r="E1474">
        <v>0</v>
      </c>
      <c r="F1474">
        <v>0</v>
      </c>
      <c r="G1474">
        <v>911</v>
      </c>
    </row>
    <row r="1475" spans="1:7">
      <c r="A1475">
        <v>8499</v>
      </c>
      <c r="B1475" t="s">
        <v>6472</v>
      </c>
      <c r="C1475">
        <v>0</v>
      </c>
      <c r="D1475">
        <v>0</v>
      </c>
      <c r="E1475">
        <v>0</v>
      </c>
      <c r="F1475">
        <v>0</v>
      </c>
      <c r="G1475">
        <v>911</v>
      </c>
    </row>
    <row r="1476" spans="1:7">
      <c r="A1476">
        <v>8908</v>
      </c>
      <c r="B1476" t="s">
        <v>6475</v>
      </c>
      <c r="C1476">
        <v>0</v>
      </c>
      <c r="D1476">
        <v>0</v>
      </c>
      <c r="E1476">
        <v>0</v>
      </c>
      <c r="F1476">
        <v>0</v>
      </c>
      <c r="G1476">
        <v>911</v>
      </c>
    </row>
    <row r="1477" spans="1:7">
      <c r="A1477">
        <v>8916</v>
      </c>
      <c r="B1477" t="s">
        <v>6476</v>
      </c>
      <c r="C1477">
        <v>0</v>
      </c>
      <c r="D1477">
        <v>0</v>
      </c>
      <c r="E1477">
        <v>0</v>
      </c>
      <c r="F1477">
        <v>0</v>
      </c>
      <c r="G1477">
        <v>911</v>
      </c>
    </row>
    <row r="1478" spans="1:7">
      <c r="A1478">
        <v>8917</v>
      </c>
      <c r="B1478" t="s">
        <v>8606</v>
      </c>
      <c r="C1478">
        <v>0</v>
      </c>
      <c r="D1478">
        <v>0</v>
      </c>
      <c r="E1478">
        <v>0</v>
      </c>
      <c r="F1478">
        <v>0</v>
      </c>
      <c r="G1478">
        <v>911</v>
      </c>
    </row>
    <row r="1479" spans="1:7">
      <c r="A1479">
        <v>8926</v>
      </c>
      <c r="B1479" t="s">
        <v>6478</v>
      </c>
      <c r="C1479">
        <v>0</v>
      </c>
      <c r="D1479">
        <v>0</v>
      </c>
      <c r="E1479">
        <v>0</v>
      </c>
      <c r="F1479">
        <v>0</v>
      </c>
      <c r="G1479">
        <v>911</v>
      </c>
    </row>
    <row r="1480" spans="1:7">
      <c r="A1480">
        <v>8927</v>
      </c>
      <c r="B1480" t="s">
        <v>6479</v>
      </c>
      <c r="C1480">
        <v>0</v>
      </c>
      <c r="D1480">
        <v>0</v>
      </c>
      <c r="E1480">
        <v>0</v>
      </c>
      <c r="F1480">
        <v>0</v>
      </c>
      <c r="G1480">
        <v>911</v>
      </c>
    </row>
    <row r="1481" spans="1:7">
      <c r="A1481">
        <v>8928</v>
      </c>
      <c r="B1481" t="s">
        <v>6480</v>
      </c>
      <c r="C1481">
        <v>0</v>
      </c>
      <c r="D1481">
        <v>0</v>
      </c>
      <c r="E1481">
        <v>0</v>
      </c>
      <c r="F1481">
        <v>0</v>
      </c>
      <c r="G1481">
        <v>911</v>
      </c>
    </row>
    <row r="1482" spans="1:7">
      <c r="A1482">
        <v>8929</v>
      </c>
      <c r="B1482" t="s">
        <v>6481</v>
      </c>
      <c r="C1482">
        <v>0</v>
      </c>
      <c r="D1482">
        <v>0</v>
      </c>
      <c r="E1482">
        <v>0</v>
      </c>
      <c r="F1482">
        <v>0</v>
      </c>
      <c r="G1482">
        <v>911</v>
      </c>
    </row>
    <row r="1483" spans="1:7">
      <c r="A1483">
        <v>8931</v>
      </c>
      <c r="B1483" t="s">
        <v>6482</v>
      </c>
      <c r="C1483">
        <v>0</v>
      </c>
      <c r="D1483">
        <v>0</v>
      </c>
      <c r="E1483">
        <v>0</v>
      </c>
      <c r="F1483">
        <v>0</v>
      </c>
      <c r="G1483">
        <v>911</v>
      </c>
    </row>
    <row r="1484" spans="1:7">
      <c r="A1484">
        <v>8933</v>
      </c>
      <c r="B1484" t="s">
        <v>8566</v>
      </c>
      <c r="C1484">
        <v>0</v>
      </c>
      <c r="D1484">
        <v>0</v>
      </c>
      <c r="E1484">
        <v>0</v>
      </c>
      <c r="F1484">
        <v>0</v>
      </c>
      <c r="G1484">
        <v>911</v>
      </c>
    </row>
    <row r="1485" spans="1:7">
      <c r="A1485">
        <v>8937</v>
      </c>
      <c r="B1485" t="s">
        <v>8568</v>
      </c>
      <c r="C1485">
        <v>0</v>
      </c>
      <c r="D1485">
        <v>0</v>
      </c>
      <c r="E1485">
        <v>0</v>
      </c>
      <c r="F1485">
        <v>0</v>
      </c>
      <c r="G1485">
        <v>911</v>
      </c>
    </row>
    <row r="1486" spans="1:7">
      <c r="A1486">
        <v>9904</v>
      </c>
      <c r="B1486" t="s">
        <v>6489</v>
      </c>
      <c r="C1486">
        <v>0</v>
      </c>
      <c r="D1486">
        <v>0</v>
      </c>
      <c r="E1486">
        <v>0</v>
      </c>
      <c r="F1486">
        <v>0</v>
      </c>
      <c r="G1486">
        <v>911</v>
      </c>
    </row>
    <row r="1487" spans="1:7">
      <c r="A1487">
        <v>9905</v>
      </c>
      <c r="B1487" t="s">
        <v>6490</v>
      </c>
      <c r="C1487">
        <v>0</v>
      </c>
      <c r="D1487">
        <v>0</v>
      </c>
      <c r="E1487">
        <v>0</v>
      </c>
      <c r="F1487">
        <v>0</v>
      </c>
      <c r="G1487">
        <v>911</v>
      </c>
    </row>
    <row r="1488" spans="1:7">
      <c r="A1488">
        <v>9906</v>
      </c>
      <c r="B1488" t="s">
        <v>6491</v>
      </c>
      <c r="C1488">
        <v>0</v>
      </c>
      <c r="D1488">
        <v>0</v>
      </c>
      <c r="E1488">
        <v>0</v>
      </c>
      <c r="F1488">
        <v>0</v>
      </c>
      <c r="G1488">
        <v>911</v>
      </c>
    </row>
    <row r="1489" spans="1:7">
      <c r="A1489">
        <v>9907</v>
      </c>
      <c r="B1489" t="s">
        <v>6492</v>
      </c>
      <c r="C1489">
        <v>0</v>
      </c>
      <c r="D1489">
        <v>0</v>
      </c>
      <c r="E1489">
        <v>0</v>
      </c>
      <c r="F1489">
        <v>0</v>
      </c>
      <c r="G1489">
        <v>911</v>
      </c>
    </row>
    <row r="1490" spans="1:7">
      <c r="A1490">
        <v>9908</v>
      </c>
      <c r="B1490" t="s">
        <v>6493</v>
      </c>
      <c r="C1490">
        <v>0</v>
      </c>
      <c r="D1490">
        <v>0</v>
      </c>
      <c r="E1490">
        <v>0</v>
      </c>
      <c r="F1490">
        <v>0</v>
      </c>
      <c r="G1490">
        <v>911</v>
      </c>
    </row>
    <row r="1491" spans="1:7">
      <c r="A1491">
        <v>9910</v>
      </c>
      <c r="B1491" t="s">
        <v>6494</v>
      </c>
      <c r="C1491">
        <v>0</v>
      </c>
      <c r="D1491">
        <v>0</v>
      </c>
      <c r="E1491">
        <v>0</v>
      </c>
      <c r="F1491">
        <v>0</v>
      </c>
      <c r="G1491">
        <v>911</v>
      </c>
    </row>
    <row r="1492" spans="1:7">
      <c r="A1492">
        <v>9911</v>
      </c>
      <c r="B1492" t="s">
        <v>6495</v>
      </c>
      <c r="C1492">
        <v>0</v>
      </c>
      <c r="D1492">
        <v>0</v>
      </c>
      <c r="E1492">
        <v>0</v>
      </c>
      <c r="F1492">
        <v>0</v>
      </c>
      <c r="G1492">
        <v>911</v>
      </c>
    </row>
    <row r="1493" spans="1:7">
      <c r="A1493">
        <v>9912</v>
      </c>
      <c r="B1493" t="s">
        <v>8570</v>
      </c>
      <c r="C1493">
        <v>0</v>
      </c>
      <c r="D1493">
        <v>0</v>
      </c>
      <c r="E1493">
        <v>0</v>
      </c>
      <c r="F1493">
        <v>0</v>
      </c>
      <c r="G1493">
        <v>911</v>
      </c>
    </row>
    <row r="1494" spans="1:7">
      <c r="A1494">
        <v>9917</v>
      </c>
      <c r="B1494" t="s">
        <v>6497</v>
      </c>
      <c r="C1494">
        <v>0</v>
      </c>
      <c r="D1494">
        <v>0</v>
      </c>
      <c r="E1494">
        <v>0</v>
      </c>
      <c r="F1494">
        <v>0</v>
      </c>
      <c r="G1494">
        <v>911</v>
      </c>
    </row>
    <row r="1495" spans="1:7">
      <c r="A1495">
        <v>9918</v>
      </c>
      <c r="B1495" t="s">
        <v>6498</v>
      </c>
      <c r="C1495">
        <v>0</v>
      </c>
      <c r="D1495">
        <v>0</v>
      </c>
      <c r="E1495">
        <v>0</v>
      </c>
      <c r="F1495">
        <v>0</v>
      </c>
      <c r="G1495">
        <v>911</v>
      </c>
    </row>
    <row r="1496" spans="1:7">
      <c r="A1496">
        <v>9921</v>
      </c>
      <c r="B1496" t="s">
        <v>6500</v>
      </c>
      <c r="C1496">
        <v>0</v>
      </c>
      <c r="D1496">
        <v>0</v>
      </c>
      <c r="E1496">
        <v>0</v>
      </c>
      <c r="F1496">
        <v>0</v>
      </c>
      <c r="G1496">
        <v>911</v>
      </c>
    </row>
    <row r="1497" spans="1:7">
      <c r="A1497">
        <v>9925</v>
      </c>
      <c r="B1497" t="s">
        <v>6502</v>
      </c>
      <c r="C1497">
        <v>0</v>
      </c>
      <c r="D1497">
        <v>0</v>
      </c>
      <c r="E1497">
        <v>0</v>
      </c>
      <c r="F1497">
        <v>0</v>
      </c>
      <c r="G1497">
        <v>911</v>
      </c>
    </row>
    <row r="1498" spans="1:7">
      <c r="A1498">
        <v>9926</v>
      </c>
      <c r="B1498" t="s">
        <v>6503</v>
      </c>
      <c r="C1498">
        <v>0</v>
      </c>
      <c r="D1498">
        <v>0</v>
      </c>
      <c r="E1498">
        <v>0</v>
      </c>
      <c r="F1498">
        <v>0</v>
      </c>
      <c r="G1498">
        <v>911</v>
      </c>
    </row>
    <row r="1499" spans="1:7">
      <c r="A1499">
        <v>9928</v>
      </c>
      <c r="B1499" t="s">
        <v>8607</v>
      </c>
      <c r="C1499">
        <v>0</v>
      </c>
      <c r="D1499">
        <v>0</v>
      </c>
      <c r="E1499">
        <v>0</v>
      </c>
      <c r="F1499">
        <v>0</v>
      </c>
      <c r="G1499">
        <v>911</v>
      </c>
    </row>
    <row r="1500" spans="1:7">
      <c r="A1500">
        <v>9929</v>
      </c>
      <c r="B1500" t="s">
        <v>8571</v>
      </c>
      <c r="C1500">
        <v>0</v>
      </c>
      <c r="D1500">
        <v>0</v>
      </c>
      <c r="E1500">
        <v>0</v>
      </c>
      <c r="F1500">
        <v>0</v>
      </c>
      <c r="G1500">
        <v>911</v>
      </c>
    </row>
    <row r="1501" spans="1:7">
      <c r="A1501">
        <v>9930</v>
      </c>
      <c r="B1501" t="s">
        <v>6505</v>
      </c>
      <c r="C1501">
        <v>0</v>
      </c>
      <c r="D1501">
        <v>0</v>
      </c>
      <c r="E1501">
        <v>0</v>
      </c>
      <c r="F1501">
        <v>0</v>
      </c>
      <c r="G1501">
        <v>911</v>
      </c>
    </row>
    <row r="1502" spans="1:7">
      <c r="A1502">
        <v>9931</v>
      </c>
      <c r="B1502" t="s">
        <v>6506</v>
      </c>
      <c r="C1502">
        <v>0</v>
      </c>
      <c r="D1502">
        <v>0</v>
      </c>
      <c r="E1502">
        <v>0</v>
      </c>
      <c r="F1502">
        <v>0</v>
      </c>
      <c r="G1502">
        <v>911</v>
      </c>
    </row>
    <row r="1503" spans="1:7">
      <c r="A1503">
        <v>9934</v>
      </c>
      <c r="B1503" t="s">
        <v>6508</v>
      </c>
      <c r="C1503">
        <v>0</v>
      </c>
      <c r="D1503">
        <v>0</v>
      </c>
      <c r="E1503">
        <v>0</v>
      </c>
      <c r="F1503">
        <v>0</v>
      </c>
      <c r="G1503">
        <v>911</v>
      </c>
    </row>
    <row r="1504" spans="1:7">
      <c r="A1504">
        <v>9935</v>
      </c>
      <c r="B1504" t="s">
        <v>6509</v>
      </c>
      <c r="C1504">
        <v>0</v>
      </c>
      <c r="D1504">
        <v>0</v>
      </c>
      <c r="E1504">
        <v>0</v>
      </c>
      <c r="F1504">
        <v>0</v>
      </c>
      <c r="G1504">
        <v>911</v>
      </c>
    </row>
    <row r="1505" spans="1:7">
      <c r="A1505">
        <v>9937</v>
      </c>
      <c r="B1505" t="s">
        <v>6510</v>
      </c>
      <c r="C1505">
        <v>0</v>
      </c>
      <c r="D1505">
        <v>0</v>
      </c>
      <c r="E1505">
        <v>0</v>
      </c>
      <c r="F1505">
        <v>0</v>
      </c>
      <c r="G1505">
        <v>911</v>
      </c>
    </row>
    <row r="1506" spans="1:7">
      <c r="A1506">
        <v>9940</v>
      </c>
      <c r="B1506" t="s">
        <v>6513</v>
      </c>
      <c r="C1506">
        <v>0</v>
      </c>
      <c r="D1506">
        <v>0</v>
      </c>
      <c r="E1506">
        <v>0</v>
      </c>
      <c r="F1506">
        <v>0</v>
      </c>
      <c r="G1506">
        <v>911</v>
      </c>
    </row>
    <row r="1507" spans="1:7">
      <c r="A1507">
        <v>9941</v>
      </c>
      <c r="B1507" t="s">
        <v>6514</v>
      </c>
      <c r="C1507">
        <v>0</v>
      </c>
      <c r="D1507">
        <v>0</v>
      </c>
      <c r="E1507">
        <v>0</v>
      </c>
      <c r="F1507">
        <v>0</v>
      </c>
      <c r="G1507">
        <v>911</v>
      </c>
    </row>
    <row r="1508" spans="1:7">
      <c r="A1508">
        <v>9943</v>
      </c>
      <c r="B1508" t="s">
        <v>6516</v>
      </c>
      <c r="C1508">
        <v>0</v>
      </c>
      <c r="D1508">
        <v>0</v>
      </c>
      <c r="E1508">
        <v>0</v>
      </c>
      <c r="F1508">
        <v>0</v>
      </c>
      <c r="G1508">
        <v>911</v>
      </c>
    </row>
    <row r="1509" spans="1:7">
      <c r="A1509">
        <v>9944</v>
      </c>
      <c r="B1509" t="s">
        <v>6517</v>
      </c>
      <c r="C1509">
        <v>0</v>
      </c>
      <c r="D1509">
        <v>0</v>
      </c>
      <c r="E1509">
        <v>0</v>
      </c>
      <c r="F1509">
        <v>0</v>
      </c>
      <c r="G1509">
        <v>911</v>
      </c>
    </row>
    <row r="1510" spans="1:7">
      <c r="A1510">
        <v>9945</v>
      </c>
      <c r="B1510" t="s">
        <v>6518</v>
      </c>
      <c r="C1510">
        <v>0</v>
      </c>
      <c r="D1510">
        <v>0</v>
      </c>
      <c r="E1510">
        <v>0</v>
      </c>
      <c r="F1510">
        <v>0</v>
      </c>
      <c r="G1510">
        <v>911</v>
      </c>
    </row>
    <row r="1511" spans="1:7">
      <c r="A1511">
        <v>9946</v>
      </c>
      <c r="B1511" t="s">
        <v>6519</v>
      </c>
      <c r="C1511">
        <v>0</v>
      </c>
      <c r="D1511">
        <v>0</v>
      </c>
      <c r="E1511">
        <v>0</v>
      </c>
      <c r="F1511">
        <v>0</v>
      </c>
      <c r="G1511">
        <v>911</v>
      </c>
    </row>
  </sheetData>
  <sortState ref="A2:G1511">
    <sortCondition ref="G1"/>
  </sortState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工作表7">
    <tabColor theme="9" tint="0.79998168889431442"/>
  </sheetPr>
  <dimension ref="A1:I1394"/>
  <sheetViews>
    <sheetView workbookViewId="0">
      <selection activeCell="H26" sqref="H26"/>
    </sheetView>
  </sheetViews>
  <sheetFormatPr defaultColWidth="9" defaultRowHeight="15.75"/>
  <cols>
    <col min="1" max="1" width="5.5703125" style="268" customWidth="1"/>
    <col min="2" max="2" width="13.5703125" style="268" customWidth="1"/>
    <col min="3" max="16384" width="9" style="268"/>
  </cols>
  <sheetData>
    <row r="1" spans="1:9">
      <c r="A1" s="268" t="s">
        <v>6524</v>
      </c>
      <c r="B1" s="268" t="s">
        <v>6525</v>
      </c>
      <c r="C1" s="268" t="s">
        <v>284</v>
      </c>
      <c r="D1" s="268" t="s">
        <v>6618</v>
      </c>
      <c r="E1" s="268" t="s">
        <v>6619</v>
      </c>
      <c r="F1" s="268" t="s">
        <v>6620</v>
      </c>
      <c r="G1" s="268" t="s">
        <v>3836</v>
      </c>
      <c r="H1" s="268" t="s">
        <v>3562</v>
      </c>
      <c r="I1" s="268" t="s">
        <v>6621</v>
      </c>
    </row>
    <row r="2" spans="1:9">
      <c r="A2">
        <v>1101</v>
      </c>
      <c r="B2" t="s">
        <v>5165</v>
      </c>
      <c r="C2"/>
      <c r="D2"/>
      <c r="E2"/>
      <c r="F2"/>
      <c r="G2"/>
      <c r="H2"/>
      <c r="I2"/>
    </row>
    <row r="3" spans="1:9">
      <c r="A3">
        <v>1102</v>
      </c>
      <c r="B3" t="s">
        <v>5166</v>
      </c>
      <c r="C3"/>
      <c r="D3"/>
      <c r="E3"/>
      <c r="F3"/>
      <c r="G3" t="s">
        <v>6583</v>
      </c>
      <c r="H3"/>
      <c r="I3"/>
    </row>
    <row r="4" spans="1:9">
      <c r="A4">
        <v>1103</v>
      </c>
      <c r="B4" t="s">
        <v>5167</v>
      </c>
      <c r="C4"/>
      <c r="D4"/>
      <c r="E4"/>
      <c r="F4"/>
      <c r="G4"/>
      <c r="H4"/>
      <c r="I4"/>
    </row>
    <row r="5" spans="1:9">
      <c r="A5">
        <v>1104</v>
      </c>
      <c r="B5" t="s">
        <v>5168</v>
      </c>
      <c r="C5"/>
      <c r="D5"/>
      <c r="E5"/>
      <c r="F5"/>
      <c r="G5"/>
      <c r="H5"/>
      <c r="I5"/>
    </row>
    <row r="6" spans="1:9">
      <c r="A6">
        <v>1108</v>
      </c>
      <c r="B6" t="s">
        <v>5169</v>
      </c>
      <c r="C6"/>
      <c r="D6"/>
      <c r="E6"/>
      <c r="F6"/>
      <c r="G6"/>
      <c r="H6"/>
      <c r="I6"/>
    </row>
    <row r="7" spans="1:9">
      <c r="A7">
        <v>1109</v>
      </c>
      <c r="B7" t="s">
        <v>5170</v>
      </c>
      <c r="C7"/>
      <c r="D7"/>
      <c r="E7"/>
      <c r="F7"/>
      <c r="G7"/>
      <c r="H7"/>
      <c r="I7"/>
    </row>
    <row r="8" spans="1:9">
      <c r="A8">
        <v>1110</v>
      </c>
      <c r="B8" t="s">
        <v>5171</v>
      </c>
      <c r="C8"/>
      <c r="D8"/>
      <c r="E8"/>
      <c r="F8"/>
      <c r="G8"/>
      <c r="H8"/>
      <c r="I8"/>
    </row>
    <row r="9" spans="1:9">
      <c r="A9">
        <v>1201</v>
      </c>
      <c r="B9" t="s">
        <v>5172</v>
      </c>
      <c r="C9"/>
      <c r="D9"/>
      <c r="E9"/>
      <c r="F9"/>
      <c r="G9"/>
      <c r="H9"/>
      <c r="I9"/>
    </row>
    <row r="10" spans="1:9">
      <c r="A10">
        <v>1203</v>
      </c>
      <c r="B10" t="s">
        <v>5173</v>
      </c>
      <c r="C10"/>
      <c r="D10"/>
      <c r="E10"/>
      <c r="F10"/>
      <c r="G10"/>
      <c r="H10"/>
      <c r="I10"/>
    </row>
    <row r="11" spans="1:9">
      <c r="A11">
        <v>1210</v>
      </c>
      <c r="B11" t="s">
        <v>5174</v>
      </c>
      <c r="C11"/>
      <c r="D11"/>
      <c r="E11"/>
      <c r="F11"/>
      <c r="G11"/>
      <c r="H11" t="s">
        <v>6584</v>
      </c>
      <c r="I11"/>
    </row>
    <row r="12" spans="1:9">
      <c r="A12">
        <v>1215</v>
      </c>
      <c r="B12" t="s">
        <v>5175</v>
      </c>
      <c r="C12"/>
      <c r="D12"/>
      <c r="E12"/>
      <c r="F12"/>
      <c r="G12"/>
      <c r="H12"/>
      <c r="I12"/>
    </row>
    <row r="13" spans="1:9">
      <c r="A13">
        <v>1216</v>
      </c>
      <c r="B13" t="s">
        <v>5176</v>
      </c>
      <c r="C13"/>
      <c r="D13"/>
      <c r="E13"/>
      <c r="F13"/>
      <c r="G13"/>
      <c r="H13"/>
      <c r="I13"/>
    </row>
    <row r="14" spans="1:9">
      <c r="A14">
        <v>1217</v>
      </c>
      <c r="B14" t="s">
        <v>5177</v>
      </c>
      <c r="C14"/>
      <c r="D14"/>
      <c r="E14"/>
      <c r="F14"/>
      <c r="G14"/>
      <c r="H14"/>
      <c r="I14"/>
    </row>
    <row r="15" spans="1:9">
      <c r="A15">
        <v>1218</v>
      </c>
      <c r="B15" t="s">
        <v>5178</v>
      </c>
      <c r="C15"/>
      <c r="D15"/>
      <c r="E15"/>
      <c r="F15"/>
      <c r="G15"/>
      <c r="H15"/>
      <c r="I15"/>
    </row>
    <row r="16" spans="1:9">
      <c r="A16">
        <v>1219</v>
      </c>
      <c r="B16" t="s">
        <v>5179</v>
      </c>
      <c r="C16"/>
      <c r="D16"/>
      <c r="E16"/>
      <c r="F16"/>
      <c r="G16"/>
      <c r="H16"/>
      <c r="I16"/>
    </row>
    <row r="17" spans="1:9">
      <c r="A17">
        <v>1220</v>
      </c>
      <c r="B17" t="s">
        <v>5180</v>
      </c>
      <c r="C17"/>
      <c r="D17"/>
      <c r="E17"/>
      <c r="F17"/>
      <c r="G17"/>
      <c r="H17"/>
      <c r="I17"/>
    </row>
    <row r="18" spans="1:9">
      <c r="A18">
        <v>1225</v>
      </c>
      <c r="B18" t="s">
        <v>5181</v>
      </c>
      <c r="C18"/>
      <c r="D18"/>
      <c r="E18"/>
      <c r="F18"/>
      <c r="G18"/>
      <c r="H18"/>
      <c r="I18"/>
    </row>
    <row r="19" spans="1:9">
      <c r="A19">
        <v>1227</v>
      </c>
      <c r="B19" t="s">
        <v>5182</v>
      </c>
      <c r="C19"/>
      <c r="D19"/>
      <c r="E19"/>
      <c r="F19"/>
      <c r="G19"/>
      <c r="H19"/>
      <c r="I19"/>
    </row>
    <row r="20" spans="1:9">
      <c r="A20">
        <v>1229</v>
      </c>
      <c r="B20" t="s">
        <v>5183</v>
      </c>
      <c r="C20"/>
      <c r="D20"/>
      <c r="E20"/>
      <c r="F20"/>
      <c r="G20"/>
      <c r="H20"/>
      <c r="I20"/>
    </row>
    <row r="21" spans="1:9">
      <c r="A21">
        <v>1231</v>
      </c>
      <c r="B21" t="s">
        <v>5184</v>
      </c>
      <c r="C21"/>
      <c r="D21"/>
      <c r="E21"/>
      <c r="F21"/>
      <c r="G21"/>
      <c r="H21"/>
      <c r="I21"/>
    </row>
    <row r="22" spans="1:9">
      <c r="A22">
        <v>1232</v>
      </c>
      <c r="B22" t="s">
        <v>5185</v>
      </c>
      <c r="C22"/>
      <c r="D22"/>
      <c r="E22"/>
      <c r="F22"/>
      <c r="G22"/>
      <c r="H22"/>
      <c r="I22"/>
    </row>
    <row r="23" spans="1:9">
      <c r="A23">
        <v>1233</v>
      </c>
      <c r="B23" t="s">
        <v>5186</v>
      </c>
      <c r="C23"/>
      <c r="D23"/>
      <c r="E23"/>
      <c r="F23"/>
      <c r="G23"/>
      <c r="H23"/>
      <c r="I23"/>
    </row>
    <row r="24" spans="1:9">
      <c r="A24">
        <v>1234</v>
      </c>
      <c r="B24" t="s">
        <v>5187</v>
      </c>
      <c r="C24"/>
      <c r="D24"/>
      <c r="E24"/>
      <c r="F24"/>
      <c r="G24"/>
      <c r="H24"/>
      <c r="I24"/>
    </row>
    <row r="25" spans="1:9">
      <c r="A25">
        <v>1235</v>
      </c>
      <c r="B25" t="s">
        <v>5188</v>
      </c>
      <c r="C25"/>
      <c r="D25"/>
      <c r="E25"/>
      <c r="F25"/>
      <c r="G25"/>
      <c r="H25"/>
      <c r="I25"/>
    </row>
    <row r="26" spans="1:9">
      <c r="A26">
        <v>1236</v>
      </c>
      <c r="B26" t="s">
        <v>5189</v>
      </c>
      <c r="C26"/>
      <c r="D26"/>
      <c r="E26"/>
      <c r="F26"/>
      <c r="G26"/>
      <c r="H26" t="s">
        <v>6584</v>
      </c>
      <c r="I26"/>
    </row>
    <row r="27" spans="1:9">
      <c r="A27">
        <v>1240</v>
      </c>
      <c r="B27" t="s">
        <v>5190</v>
      </c>
      <c r="C27"/>
      <c r="D27"/>
      <c r="E27"/>
      <c r="F27"/>
      <c r="G27"/>
      <c r="H27"/>
      <c r="I27"/>
    </row>
    <row r="28" spans="1:9">
      <c r="A28">
        <v>1256</v>
      </c>
      <c r="B28" t="s">
        <v>5191</v>
      </c>
      <c r="C28"/>
      <c r="D28"/>
      <c r="E28"/>
      <c r="F28"/>
      <c r="G28"/>
      <c r="H28"/>
      <c r="I28"/>
    </row>
    <row r="29" spans="1:9">
      <c r="A29">
        <v>1258</v>
      </c>
      <c r="B29" t="s">
        <v>5192</v>
      </c>
      <c r="C29"/>
      <c r="D29"/>
      <c r="E29" t="s">
        <v>6585</v>
      </c>
      <c r="F29"/>
      <c r="G29"/>
      <c r="H29"/>
      <c r="I29"/>
    </row>
    <row r="30" spans="1:9">
      <c r="A30">
        <v>1264</v>
      </c>
      <c r="B30" t="s">
        <v>5193</v>
      </c>
      <c r="C30"/>
      <c r="D30"/>
      <c r="E30"/>
      <c r="F30"/>
      <c r="G30"/>
      <c r="H30"/>
      <c r="I30"/>
    </row>
    <row r="31" spans="1:9">
      <c r="A31">
        <v>1301</v>
      </c>
      <c r="B31" t="s">
        <v>5194</v>
      </c>
      <c r="C31"/>
      <c r="D31"/>
      <c r="E31"/>
      <c r="F31"/>
      <c r="G31"/>
      <c r="H31"/>
      <c r="I31"/>
    </row>
    <row r="32" spans="1:9">
      <c r="A32">
        <v>1303</v>
      </c>
      <c r="B32" t="s">
        <v>5195</v>
      </c>
      <c r="C32"/>
      <c r="D32"/>
      <c r="E32"/>
      <c r="F32"/>
      <c r="G32"/>
      <c r="H32"/>
      <c r="I32"/>
    </row>
    <row r="33" spans="1:9">
      <c r="A33">
        <v>1304</v>
      </c>
      <c r="B33" t="s">
        <v>5196</v>
      </c>
      <c r="C33"/>
      <c r="D33"/>
      <c r="E33"/>
      <c r="F33"/>
      <c r="G33"/>
      <c r="H33"/>
      <c r="I33"/>
    </row>
    <row r="34" spans="1:9">
      <c r="A34">
        <v>1305</v>
      </c>
      <c r="B34" t="s">
        <v>5197</v>
      </c>
      <c r="C34"/>
      <c r="D34"/>
      <c r="E34"/>
      <c r="F34"/>
      <c r="G34"/>
      <c r="H34"/>
      <c r="I34"/>
    </row>
    <row r="35" spans="1:9">
      <c r="A35">
        <v>1307</v>
      </c>
      <c r="B35" t="s">
        <v>5198</v>
      </c>
      <c r="C35"/>
      <c r="D35"/>
      <c r="E35"/>
      <c r="F35"/>
      <c r="G35"/>
      <c r="H35"/>
      <c r="I35"/>
    </row>
    <row r="36" spans="1:9">
      <c r="A36">
        <v>1308</v>
      </c>
      <c r="B36" t="s">
        <v>5199</v>
      </c>
      <c r="C36"/>
      <c r="D36"/>
      <c r="E36"/>
      <c r="F36"/>
      <c r="G36"/>
      <c r="H36"/>
      <c r="I36"/>
    </row>
    <row r="37" spans="1:9">
      <c r="A37">
        <v>1309</v>
      </c>
      <c r="B37" t="s">
        <v>5200</v>
      </c>
      <c r="C37"/>
      <c r="D37"/>
      <c r="E37"/>
      <c r="F37"/>
      <c r="G37"/>
      <c r="H37"/>
      <c r="I37"/>
    </row>
    <row r="38" spans="1:9">
      <c r="A38">
        <v>1310</v>
      </c>
      <c r="B38" t="s">
        <v>5201</v>
      </c>
      <c r="C38"/>
      <c r="D38"/>
      <c r="E38"/>
      <c r="F38"/>
      <c r="G38"/>
      <c r="H38"/>
      <c r="I38"/>
    </row>
    <row r="39" spans="1:9">
      <c r="A39">
        <v>1312</v>
      </c>
      <c r="B39" t="s">
        <v>5202</v>
      </c>
      <c r="C39"/>
      <c r="D39"/>
      <c r="E39"/>
      <c r="F39"/>
      <c r="G39"/>
      <c r="H39"/>
      <c r="I39"/>
    </row>
    <row r="40" spans="1:9">
      <c r="A40">
        <v>1313</v>
      </c>
      <c r="B40" t="s">
        <v>5203</v>
      </c>
      <c r="C40"/>
      <c r="D40"/>
      <c r="E40"/>
      <c r="F40"/>
      <c r="G40"/>
      <c r="H40"/>
      <c r="I40"/>
    </row>
    <row r="41" spans="1:9">
      <c r="A41">
        <v>1314</v>
      </c>
      <c r="B41" t="s">
        <v>5204</v>
      </c>
      <c r="C41"/>
      <c r="D41"/>
      <c r="E41"/>
      <c r="F41"/>
      <c r="G41"/>
      <c r="H41"/>
      <c r="I41"/>
    </row>
    <row r="42" spans="1:9">
      <c r="A42">
        <v>1315</v>
      </c>
      <c r="B42" t="s">
        <v>5205</v>
      </c>
      <c r="C42"/>
      <c r="D42"/>
      <c r="E42"/>
      <c r="F42"/>
      <c r="G42"/>
      <c r="H42"/>
      <c r="I42"/>
    </row>
    <row r="43" spans="1:9">
      <c r="A43">
        <v>1316</v>
      </c>
      <c r="B43" t="s">
        <v>5206</v>
      </c>
      <c r="C43"/>
      <c r="D43" t="s">
        <v>6586</v>
      </c>
      <c r="E43"/>
      <c r="F43"/>
      <c r="G43"/>
      <c r="H43"/>
      <c r="I43"/>
    </row>
    <row r="44" spans="1:9">
      <c r="A44">
        <v>1319</v>
      </c>
      <c r="B44" t="s">
        <v>5207</v>
      </c>
      <c r="C44"/>
      <c r="D44"/>
      <c r="E44"/>
      <c r="F44"/>
      <c r="G44"/>
      <c r="H44"/>
      <c r="I44"/>
    </row>
    <row r="45" spans="1:9">
      <c r="A45">
        <v>1321</v>
      </c>
      <c r="B45" t="s">
        <v>5208</v>
      </c>
      <c r="C45"/>
      <c r="D45"/>
      <c r="E45"/>
      <c r="F45"/>
      <c r="G45"/>
      <c r="H45"/>
      <c r="I45"/>
    </row>
    <row r="46" spans="1:9">
      <c r="A46">
        <v>1323</v>
      </c>
      <c r="B46" t="s">
        <v>5209</v>
      </c>
      <c r="C46"/>
      <c r="D46"/>
      <c r="E46"/>
      <c r="F46"/>
      <c r="G46"/>
      <c r="H46"/>
      <c r="I46"/>
    </row>
    <row r="47" spans="1:9">
      <c r="A47">
        <v>1324</v>
      </c>
      <c r="B47" t="s">
        <v>5210</v>
      </c>
      <c r="C47"/>
      <c r="D47"/>
      <c r="E47"/>
      <c r="F47"/>
      <c r="G47"/>
      <c r="H47"/>
      <c r="I47"/>
    </row>
    <row r="48" spans="1:9">
      <c r="A48">
        <v>1325</v>
      </c>
      <c r="B48" t="s">
        <v>5211</v>
      </c>
      <c r="C48"/>
      <c r="D48"/>
      <c r="E48"/>
      <c r="F48"/>
      <c r="G48"/>
      <c r="H48" t="s">
        <v>6584</v>
      </c>
      <c r="I48"/>
    </row>
    <row r="49" spans="1:9">
      <c r="A49">
        <v>1326</v>
      </c>
      <c r="B49" t="s">
        <v>5212</v>
      </c>
      <c r="C49"/>
      <c r="D49"/>
      <c r="E49"/>
      <c r="F49"/>
      <c r="G49"/>
      <c r="H49"/>
      <c r="I49"/>
    </row>
    <row r="50" spans="1:9">
      <c r="A50">
        <v>1336</v>
      </c>
      <c r="B50" t="s">
        <v>5213</v>
      </c>
      <c r="C50"/>
      <c r="D50"/>
      <c r="E50"/>
      <c r="F50"/>
      <c r="G50"/>
      <c r="H50"/>
      <c r="I50"/>
    </row>
    <row r="51" spans="1:9">
      <c r="A51">
        <v>1337</v>
      </c>
      <c r="B51" t="s">
        <v>5214</v>
      </c>
      <c r="C51"/>
      <c r="D51"/>
      <c r="E51"/>
      <c r="F51"/>
      <c r="G51"/>
      <c r="H51"/>
      <c r="I51"/>
    </row>
    <row r="52" spans="1:9">
      <c r="A52">
        <v>1338</v>
      </c>
      <c r="B52" t="s">
        <v>5215</v>
      </c>
      <c r="C52"/>
      <c r="D52"/>
      <c r="E52"/>
      <c r="F52"/>
      <c r="G52"/>
      <c r="H52"/>
      <c r="I52"/>
    </row>
    <row r="53" spans="1:9">
      <c r="A53">
        <v>1339</v>
      </c>
      <c r="B53" t="s">
        <v>5216</v>
      </c>
      <c r="C53"/>
      <c r="D53"/>
      <c r="E53"/>
      <c r="F53"/>
      <c r="G53"/>
      <c r="H53"/>
      <c r="I53"/>
    </row>
    <row r="54" spans="1:9">
      <c r="A54">
        <v>1340</v>
      </c>
      <c r="B54" t="s">
        <v>5217</v>
      </c>
      <c r="C54"/>
      <c r="D54"/>
      <c r="E54"/>
      <c r="F54"/>
      <c r="G54"/>
      <c r="H54"/>
      <c r="I54"/>
    </row>
    <row r="55" spans="1:9">
      <c r="A55">
        <v>1342</v>
      </c>
      <c r="B55" t="s">
        <v>5218</v>
      </c>
      <c r="C55"/>
      <c r="D55"/>
      <c r="E55"/>
      <c r="F55"/>
      <c r="G55"/>
      <c r="H55"/>
      <c r="I55"/>
    </row>
    <row r="56" spans="1:9">
      <c r="A56">
        <v>1402</v>
      </c>
      <c r="B56" t="s">
        <v>5219</v>
      </c>
      <c r="C56"/>
      <c r="D56"/>
      <c r="E56"/>
      <c r="F56"/>
      <c r="G56"/>
      <c r="H56"/>
      <c r="I56"/>
    </row>
    <row r="57" spans="1:9">
      <c r="A57">
        <v>1409</v>
      </c>
      <c r="B57" t="s">
        <v>5220</v>
      </c>
      <c r="C57"/>
      <c r="D57"/>
      <c r="E57"/>
      <c r="F57"/>
      <c r="G57"/>
      <c r="H57"/>
      <c r="I57"/>
    </row>
    <row r="58" spans="1:9">
      <c r="A58">
        <v>1410</v>
      </c>
      <c r="B58" t="s">
        <v>5221</v>
      </c>
      <c r="C58"/>
      <c r="D58"/>
      <c r="E58"/>
      <c r="F58"/>
      <c r="G58"/>
      <c r="H58"/>
      <c r="I58"/>
    </row>
    <row r="59" spans="1:9">
      <c r="A59">
        <v>1414</v>
      </c>
      <c r="B59" t="s">
        <v>5222</v>
      </c>
      <c r="C59"/>
      <c r="D59"/>
      <c r="E59"/>
      <c r="F59"/>
      <c r="G59"/>
      <c r="H59"/>
      <c r="I59"/>
    </row>
    <row r="60" spans="1:9">
      <c r="A60">
        <v>1416</v>
      </c>
      <c r="B60" t="s">
        <v>5223</v>
      </c>
      <c r="C60"/>
      <c r="D60"/>
      <c r="E60"/>
      <c r="F60"/>
      <c r="G60"/>
      <c r="H60"/>
      <c r="I60"/>
    </row>
    <row r="61" spans="1:9">
      <c r="A61">
        <v>1417</v>
      </c>
      <c r="B61" t="s">
        <v>5224</v>
      </c>
      <c r="C61"/>
      <c r="D61"/>
      <c r="E61"/>
      <c r="F61"/>
      <c r="G61"/>
      <c r="H61"/>
      <c r="I61"/>
    </row>
    <row r="62" spans="1:9">
      <c r="A62">
        <v>1419</v>
      </c>
      <c r="B62" t="s">
        <v>5225</v>
      </c>
      <c r="C62"/>
      <c r="D62"/>
      <c r="E62"/>
      <c r="F62"/>
      <c r="G62"/>
      <c r="H62"/>
      <c r="I62"/>
    </row>
    <row r="63" spans="1:9">
      <c r="A63">
        <v>1423</v>
      </c>
      <c r="B63" t="s">
        <v>5226</v>
      </c>
      <c r="C63"/>
      <c r="D63"/>
      <c r="E63"/>
      <c r="F63"/>
      <c r="G63"/>
      <c r="H63"/>
      <c r="I63"/>
    </row>
    <row r="64" spans="1:9">
      <c r="A64">
        <v>1434</v>
      </c>
      <c r="B64" t="s">
        <v>5227</v>
      </c>
      <c r="C64"/>
      <c r="D64"/>
      <c r="E64"/>
      <c r="F64"/>
      <c r="G64" t="s">
        <v>6587</v>
      </c>
      <c r="H64"/>
      <c r="I64"/>
    </row>
    <row r="65" spans="1:9">
      <c r="A65">
        <v>1436</v>
      </c>
      <c r="B65" t="s">
        <v>5228</v>
      </c>
      <c r="C65"/>
      <c r="D65"/>
      <c r="E65"/>
      <c r="F65"/>
      <c r="G65"/>
      <c r="H65"/>
      <c r="I65"/>
    </row>
    <row r="66" spans="1:9">
      <c r="A66">
        <v>1437</v>
      </c>
      <c r="B66" t="s">
        <v>5229</v>
      </c>
      <c r="C66"/>
      <c r="D66"/>
      <c r="E66"/>
      <c r="F66"/>
      <c r="G66"/>
      <c r="H66"/>
      <c r="I66"/>
    </row>
    <row r="67" spans="1:9">
      <c r="A67">
        <v>1438</v>
      </c>
      <c r="B67" t="s">
        <v>5230</v>
      </c>
      <c r="C67"/>
      <c r="D67"/>
      <c r="E67"/>
      <c r="F67"/>
      <c r="G67"/>
      <c r="H67"/>
      <c r="I67"/>
    </row>
    <row r="68" spans="1:9">
      <c r="A68">
        <v>1439</v>
      </c>
      <c r="B68" t="s">
        <v>5231</v>
      </c>
      <c r="C68"/>
      <c r="D68"/>
      <c r="E68"/>
      <c r="F68"/>
      <c r="G68"/>
      <c r="H68"/>
      <c r="I68"/>
    </row>
    <row r="69" spans="1:9">
      <c r="A69">
        <v>1440</v>
      </c>
      <c r="B69" t="s">
        <v>5232</v>
      </c>
      <c r="C69"/>
      <c r="D69"/>
      <c r="E69"/>
      <c r="F69"/>
      <c r="G69"/>
      <c r="H69"/>
      <c r="I69"/>
    </row>
    <row r="70" spans="1:9">
      <c r="A70">
        <v>1442</v>
      </c>
      <c r="B70" t="s">
        <v>5233</v>
      </c>
      <c r="C70"/>
      <c r="D70"/>
      <c r="E70"/>
      <c r="F70"/>
      <c r="G70"/>
      <c r="H70"/>
      <c r="I70"/>
    </row>
    <row r="71" spans="1:9">
      <c r="A71">
        <v>1444</v>
      </c>
      <c r="B71" t="s">
        <v>5234</v>
      </c>
      <c r="C71"/>
      <c r="D71"/>
      <c r="E71"/>
      <c r="F71"/>
      <c r="G71"/>
      <c r="H71"/>
      <c r="I71"/>
    </row>
    <row r="72" spans="1:9">
      <c r="A72">
        <v>1445</v>
      </c>
      <c r="B72" t="s">
        <v>5235</v>
      </c>
      <c r="C72"/>
      <c r="D72"/>
      <c r="E72"/>
      <c r="F72"/>
      <c r="G72"/>
      <c r="H72"/>
      <c r="I72"/>
    </row>
    <row r="73" spans="1:9">
      <c r="A73">
        <v>1446</v>
      </c>
      <c r="B73" t="s">
        <v>5236</v>
      </c>
      <c r="C73"/>
      <c r="D73"/>
      <c r="E73"/>
      <c r="F73"/>
      <c r="G73"/>
      <c r="H73"/>
      <c r="I73"/>
    </row>
    <row r="74" spans="1:9">
      <c r="A74">
        <v>1447</v>
      </c>
      <c r="B74" t="s">
        <v>5237</v>
      </c>
      <c r="C74"/>
      <c r="D74"/>
      <c r="E74"/>
      <c r="F74"/>
      <c r="G74"/>
      <c r="H74"/>
      <c r="I74"/>
    </row>
    <row r="75" spans="1:9">
      <c r="A75">
        <v>1451</v>
      </c>
      <c r="B75" t="s">
        <v>5238</v>
      </c>
      <c r="C75"/>
      <c r="D75"/>
      <c r="E75"/>
      <c r="F75"/>
      <c r="G75"/>
      <c r="H75"/>
      <c r="I75"/>
    </row>
    <row r="76" spans="1:9">
      <c r="A76">
        <v>1452</v>
      </c>
      <c r="B76" t="s">
        <v>5239</v>
      </c>
      <c r="C76"/>
      <c r="D76"/>
      <c r="E76"/>
      <c r="F76"/>
      <c r="G76"/>
      <c r="H76"/>
      <c r="I76"/>
    </row>
    <row r="77" spans="1:9">
      <c r="A77">
        <v>1453</v>
      </c>
      <c r="B77" t="s">
        <v>5240</v>
      </c>
      <c r="C77"/>
      <c r="D77"/>
      <c r="E77"/>
      <c r="F77"/>
      <c r="G77"/>
      <c r="H77"/>
      <c r="I77"/>
    </row>
    <row r="78" spans="1:9">
      <c r="A78">
        <v>1454</v>
      </c>
      <c r="B78" t="s">
        <v>5241</v>
      </c>
      <c r="C78"/>
      <c r="D78"/>
      <c r="E78"/>
      <c r="F78"/>
      <c r="G78"/>
      <c r="H78"/>
      <c r="I78"/>
    </row>
    <row r="79" spans="1:9">
      <c r="A79">
        <v>1455</v>
      </c>
      <c r="B79" t="s">
        <v>5242</v>
      </c>
      <c r="C79"/>
      <c r="D79"/>
      <c r="E79"/>
      <c r="F79"/>
      <c r="G79"/>
      <c r="H79"/>
      <c r="I79"/>
    </row>
    <row r="80" spans="1:9">
      <c r="A80">
        <v>1456</v>
      </c>
      <c r="B80" t="s">
        <v>5243</v>
      </c>
      <c r="C80"/>
      <c r="D80"/>
      <c r="E80"/>
      <c r="F80"/>
      <c r="G80"/>
      <c r="H80"/>
      <c r="I80"/>
    </row>
    <row r="81" spans="1:9">
      <c r="A81">
        <v>1457</v>
      </c>
      <c r="B81" t="s">
        <v>5244</v>
      </c>
      <c r="C81"/>
      <c r="D81"/>
      <c r="E81"/>
      <c r="F81"/>
      <c r="G81"/>
      <c r="H81"/>
      <c r="I81"/>
    </row>
    <row r="82" spans="1:9">
      <c r="A82">
        <v>1459</v>
      </c>
      <c r="B82" t="s">
        <v>5245</v>
      </c>
      <c r="C82"/>
      <c r="D82"/>
      <c r="E82"/>
      <c r="F82"/>
      <c r="G82"/>
      <c r="H82"/>
      <c r="I82"/>
    </row>
    <row r="83" spans="1:9">
      <c r="A83">
        <v>1463</v>
      </c>
      <c r="B83" t="s">
        <v>5246</v>
      </c>
      <c r="C83"/>
      <c r="D83"/>
      <c r="E83"/>
      <c r="F83"/>
      <c r="G83"/>
      <c r="H83"/>
      <c r="I83"/>
    </row>
    <row r="84" spans="1:9">
      <c r="A84">
        <v>1464</v>
      </c>
      <c r="B84" t="s">
        <v>5247</v>
      </c>
      <c r="C84"/>
      <c r="D84"/>
      <c r="E84"/>
      <c r="F84"/>
      <c r="G84"/>
      <c r="H84"/>
      <c r="I84"/>
    </row>
    <row r="85" spans="1:9">
      <c r="A85">
        <v>1465</v>
      </c>
      <c r="B85" t="s">
        <v>5248</v>
      </c>
      <c r="C85"/>
      <c r="D85"/>
      <c r="E85"/>
      <c r="F85"/>
      <c r="G85"/>
      <c r="H85"/>
      <c r="I85"/>
    </row>
    <row r="86" spans="1:9">
      <c r="A86">
        <v>1466</v>
      </c>
      <c r="B86" t="s">
        <v>5249</v>
      </c>
      <c r="C86"/>
      <c r="D86"/>
      <c r="E86"/>
      <c r="F86"/>
      <c r="G86"/>
      <c r="H86"/>
      <c r="I86"/>
    </row>
    <row r="87" spans="1:9">
      <c r="A87">
        <v>1467</v>
      </c>
      <c r="B87" t="s">
        <v>5250</v>
      </c>
      <c r="C87"/>
      <c r="D87"/>
      <c r="E87"/>
      <c r="F87"/>
      <c r="G87"/>
      <c r="H87"/>
      <c r="I87"/>
    </row>
    <row r="88" spans="1:9">
      <c r="A88">
        <v>1470</v>
      </c>
      <c r="B88" t="s">
        <v>5251</v>
      </c>
      <c r="C88"/>
      <c r="D88"/>
      <c r="E88"/>
      <c r="F88"/>
      <c r="G88"/>
      <c r="H88"/>
      <c r="I88"/>
    </row>
    <row r="89" spans="1:9">
      <c r="A89">
        <v>1473</v>
      </c>
      <c r="B89" t="s">
        <v>5252</v>
      </c>
      <c r="C89"/>
      <c r="D89"/>
      <c r="E89"/>
      <c r="F89"/>
      <c r="G89"/>
      <c r="H89"/>
      <c r="I89"/>
    </row>
    <row r="90" spans="1:9">
      <c r="A90">
        <v>1474</v>
      </c>
      <c r="B90" t="s">
        <v>5253</v>
      </c>
      <c r="C90"/>
      <c r="D90"/>
      <c r="E90"/>
      <c r="F90"/>
      <c r="G90"/>
      <c r="H90"/>
      <c r="I90"/>
    </row>
    <row r="91" spans="1:9">
      <c r="A91">
        <v>1476</v>
      </c>
      <c r="B91" t="s">
        <v>5254</v>
      </c>
      <c r="C91"/>
      <c r="D91"/>
      <c r="E91"/>
      <c r="F91"/>
      <c r="G91"/>
      <c r="H91"/>
      <c r="I91"/>
    </row>
    <row r="92" spans="1:9">
      <c r="A92">
        <v>1477</v>
      </c>
      <c r="B92" t="s">
        <v>5255</v>
      </c>
      <c r="C92"/>
      <c r="D92"/>
      <c r="E92"/>
      <c r="F92"/>
      <c r="G92"/>
      <c r="H92"/>
      <c r="I92"/>
    </row>
    <row r="93" spans="1:9">
      <c r="A93">
        <v>1503</v>
      </c>
      <c r="B93" t="s">
        <v>5256</v>
      </c>
      <c r="C93"/>
      <c r="D93"/>
      <c r="E93"/>
      <c r="F93"/>
      <c r="G93"/>
      <c r="H93"/>
      <c r="I93"/>
    </row>
    <row r="94" spans="1:9">
      <c r="A94">
        <v>1504</v>
      </c>
      <c r="B94" t="s">
        <v>5257</v>
      </c>
      <c r="C94"/>
      <c r="D94"/>
      <c r="E94"/>
      <c r="F94"/>
      <c r="G94"/>
      <c r="H94"/>
      <c r="I94"/>
    </row>
    <row r="95" spans="1:9">
      <c r="A95">
        <v>1507</v>
      </c>
      <c r="B95" t="s">
        <v>5258</v>
      </c>
      <c r="C95"/>
      <c r="D95"/>
      <c r="E95"/>
      <c r="F95"/>
      <c r="G95" t="s">
        <v>6583</v>
      </c>
      <c r="H95"/>
      <c r="I95"/>
    </row>
    <row r="96" spans="1:9">
      <c r="A96">
        <v>1513</v>
      </c>
      <c r="B96" t="s">
        <v>5259</v>
      </c>
      <c r="C96"/>
      <c r="D96"/>
      <c r="E96"/>
      <c r="F96"/>
      <c r="G96"/>
      <c r="H96"/>
      <c r="I96">
        <v>5.85</v>
      </c>
    </row>
    <row r="97" spans="1:9">
      <c r="A97">
        <v>1514</v>
      </c>
      <c r="B97" t="s">
        <v>5260</v>
      </c>
      <c r="C97" t="s">
        <v>6585</v>
      </c>
      <c r="D97"/>
      <c r="E97"/>
      <c r="F97"/>
      <c r="G97"/>
      <c r="H97"/>
      <c r="I97">
        <v>12.54</v>
      </c>
    </row>
    <row r="98" spans="1:9">
      <c r="A98">
        <v>1515</v>
      </c>
      <c r="B98" t="s">
        <v>5261</v>
      </c>
      <c r="C98"/>
      <c r="D98"/>
      <c r="E98"/>
      <c r="F98"/>
      <c r="G98"/>
      <c r="H98"/>
      <c r="I98"/>
    </row>
    <row r="99" spans="1:9">
      <c r="A99">
        <v>1516</v>
      </c>
      <c r="B99" t="s">
        <v>5262</v>
      </c>
      <c r="C99" t="s">
        <v>6586</v>
      </c>
      <c r="D99" t="s">
        <v>6586</v>
      </c>
      <c r="E99"/>
      <c r="F99"/>
      <c r="G99"/>
      <c r="H99"/>
      <c r="I99">
        <v>19.59</v>
      </c>
    </row>
    <row r="100" spans="1:9">
      <c r="A100">
        <v>1517</v>
      </c>
      <c r="B100" t="s">
        <v>5263</v>
      </c>
      <c r="C100"/>
      <c r="D100"/>
      <c r="E100"/>
      <c r="F100"/>
      <c r="G100"/>
      <c r="H100"/>
      <c r="I100"/>
    </row>
    <row r="101" spans="1:9">
      <c r="A101">
        <v>1519</v>
      </c>
      <c r="B101" t="s">
        <v>5264</v>
      </c>
      <c r="C101"/>
      <c r="D101"/>
      <c r="E101"/>
      <c r="F101"/>
      <c r="G101"/>
      <c r="H101"/>
      <c r="I101"/>
    </row>
    <row r="102" spans="1:9">
      <c r="A102">
        <v>1521</v>
      </c>
      <c r="B102" t="s">
        <v>5265</v>
      </c>
      <c r="C102"/>
      <c r="D102"/>
      <c r="E102"/>
      <c r="F102"/>
      <c r="G102"/>
      <c r="H102"/>
      <c r="I102"/>
    </row>
    <row r="103" spans="1:9">
      <c r="A103">
        <v>1522</v>
      </c>
      <c r="B103" t="s">
        <v>5266</v>
      </c>
      <c r="C103"/>
      <c r="D103"/>
      <c r="E103"/>
      <c r="F103"/>
      <c r="G103"/>
      <c r="H103"/>
      <c r="I103"/>
    </row>
    <row r="104" spans="1:9">
      <c r="A104">
        <v>1524</v>
      </c>
      <c r="B104" t="s">
        <v>5267</v>
      </c>
      <c r="C104"/>
      <c r="D104"/>
      <c r="E104"/>
      <c r="F104"/>
      <c r="G104"/>
      <c r="H104"/>
      <c r="I104"/>
    </row>
    <row r="105" spans="1:9">
      <c r="A105">
        <v>1525</v>
      </c>
      <c r="B105" t="s">
        <v>5268</v>
      </c>
      <c r="C105"/>
      <c r="D105"/>
      <c r="E105"/>
      <c r="F105"/>
      <c r="G105"/>
      <c r="H105"/>
      <c r="I105"/>
    </row>
    <row r="106" spans="1:9">
      <c r="A106">
        <v>1526</v>
      </c>
      <c r="B106" t="s">
        <v>5269</v>
      </c>
      <c r="C106"/>
      <c r="D106"/>
      <c r="E106"/>
      <c r="F106"/>
      <c r="G106" t="s">
        <v>6583</v>
      </c>
      <c r="H106"/>
      <c r="I106"/>
    </row>
    <row r="107" spans="1:9">
      <c r="A107">
        <v>1527</v>
      </c>
      <c r="B107" t="s">
        <v>5270</v>
      </c>
      <c r="C107"/>
      <c r="D107"/>
      <c r="E107"/>
      <c r="F107"/>
      <c r="G107"/>
      <c r="H107"/>
      <c r="I107"/>
    </row>
    <row r="108" spans="1:9">
      <c r="A108">
        <v>1528</v>
      </c>
      <c r="B108" t="s">
        <v>5271</v>
      </c>
      <c r="C108"/>
      <c r="D108"/>
      <c r="E108"/>
      <c r="F108"/>
      <c r="G108"/>
      <c r="H108"/>
      <c r="I108"/>
    </row>
    <row r="109" spans="1:9">
      <c r="A109">
        <v>1529</v>
      </c>
      <c r="B109" t="s">
        <v>5272</v>
      </c>
      <c r="C109"/>
      <c r="D109" t="s">
        <v>6586</v>
      </c>
      <c r="E109" t="s">
        <v>6585</v>
      </c>
      <c r="F109"/>
      <c r="G109"/>
      <c r="H109" t="s">
        <v>6584</v>
      </c>
      <c r="I109">
        <v>18.52</v>
      </c>
    </row>
    <row r="110" spans="1:9">
      <c r="A110">
        <v>1530</v>
      </c>
      <c r="B110" t="s">
        <v>5273</v>
      </c>
      <c r="C110"/>
      <c r="D110"/>
      <c r="E110"/>
      <c r="F110"/>
      <c r="G110"/>
      <c r="H110"/>
      <c r="I110"/>
    </row>
    <row r="111" spans="1:9">
      <c r="A111">
        <v>1531</v>
      </c>
      <c r="B111" t="s">
        <v>5274</v>
      </c>
      <c r="C111"/>
      <c r="D111"/>
      <c r="E111"/>
      <c r="F111"/>
      <c r="G111"/>
      <c r="H111"/>
      <c r="I111"/>
    </row>
    <row r="112" spans="1:9">
      <c r="A112">
        <v>1532</v>
      </c>
      <c r="B112" t="s">
        <v>5275</v>
      </c>
      <c r="C112"/>
      <c r="D112"/>
      <c r="E112"/>
      <c r="F112"/>
      <c r="G112"/>
      <c r="H112"/>
      <c r="I112"/>
    </row>
    <row r="113" spans="1:9">
      <c r="A113">
        <v>1533</v>
      </c>
      <c r="B113" t="s">
        <v>5276</v>
      </c>
      <c r="C113"/>
      <c r="D113"/>
      <c r="E113"/>
      <c r="F113"/>
      <c r="G113"/>
      <c r="H113" t="s">
        <v>6584</v>
      </c>
      <c r="I113"/>
    </row>
    <row r="114" spans="1:9">
      <c r="A114">
        <v>1535</v>
      </c>
      <c r="B114" t="s">
        <v>5277</v>
      </c>
      <c r="C114"/>
      <c r="D114"/>
      <c r="E114"/>
      <c r="F114"/>
      <c r="G114"/>
      <c r="H114"/>
      <c r="I114"/>
    </row>
    <row r="115" spans="1:9">
      <c r="A115">
        <v>1536</v>
      </c>
      <c r="B115" t="s">
        <v>5278</v>
      </c>
      <c r="C115"/>
      <c r="D115"/>
      <c r="E115"/>
      <c r="F115"/>
      <c r="G115"/>
      <c r="H115"/>
      <c r="I115"/>
    </row>
    <row r="116" spans="1:9">
      <c r="A116">
        <v>1537</v>
      </c>
      <c r="B116" t="s">
        <v>5279</v>
      </c>
      <c r="C116"/>
      <c r="D116"/>
      <c r="E116"/>
      <c r="F116"/>
      <c r="G116"/>
      <c r="H116"/>
      <c r="I116"/>
    </row>
    <row r="117" spans="1:9">
      <c r="A117">
        <v>1539</v>
      </c>
      <c r="B117" t="s">
        <v>5280</v>
      </c>
      <c r="C117"/>
      <c r="D117"/>
      <c r="E117"/>
      <c r="F117"/>
      <c r="G117"/>
      <c r="H117"/>
      <c r="I117"/>
    </row>
    <row r="118" spans="1:9">
      <c r="A118">
        <v>1540</v>
      </c>
      <c r="B118" t="s">
        <v>5281</v>
      </c>
      <c r="C118"/>
      <c r="D118"/>
      <c r="E118"/>
      <c r="F118"/>
      <c r="G118"/>
      <c r="H118"/>
      <c r="I118"/>
    </row>
    <row r="119" spans="1:9">
      <c r="A119">
        <v>1541</v>
      </c>
      <c r="B119" t="s">
        <v>5282</v>
      </c>
      <c r="C119"/>
      <c r="D119"/>
      <c r="E119"/>
      <c r="F119"/>
      <c r="G119"/>
      <c r="H119"/>
      <c r="I119"/>
    </row>
    <row r="120" spans="1:9">
      <c r="A120">
        <v>1558</v>
      </c>
      <c r="B120" t="s">
        <v>5283</v>
      </c>
      <c r="C120"/>
      <c r="D120"/>
      <c r="E120"/>
      <c r="F120"/>
      <c r="G120"/>
      <c r="H120"/>
      <c r="I120"/>
    </row>
    <row r="121" spans="1:9">
      <c r="A121">
        <v>1560</v>
      </c>
      <c r="B121" t="s">
        <v>5284</v>
      </c>
      <c r="C121"/>
      <c r="D121" t="s">
        <v>6586</v>
      </c>
      <c r="E121"/>
      <c r="F121" t="s">
        <v>6586</v>
      </c>
      <c r="G121"/>
      <c r="H121" t="s">
        <v>6584</v>
      </c>
      <c r="I121">
        <v>14.74</v>
      </c>
    </row>
    <row r="122" spans="1:9">
      <c r="A122">
        <v>1565</v>
      </c>
      <c r="B122" t="s">
        <v>5285</v>
      </c>
      <c r="C122"/>
      <c r="D122"/>
      <c r="E122"/>
      <c r="F122"/>
      <c r="G122"/>
      <c r="H122"/>
      <c r="I122"/>
    </row>
    <row r="123" spans="1:9">
      <c r="A123">
        <v>1568</v>
      </c>
      <c r="B123" t="s">
        <v>5286</v>
      </c>
      <c r="C123"/>
      <c r="D123"/>
      <c r="E123"/>
      <c r="F123"/>
      <c r="G123"/>
      <c r="H123"/>
      <c r="I123"/>
    </row>
    <row r="124" spans="1:9">
      <c r="A124">
        <v>1569</v>
      </c>
      <c r="B124" t="s">
        <v>5287</v>
      </c>
      <c r="C124"/>
      <c r="D124"/>
      <c r="E124"/>
      <c r="F124"/>
      <c r="G124"/>
      <c r="H124"/>
      <c r="I124"/>
    </row>
    <row r="125" spans="1:9">
      <c r="A125">
        <v>1570</v>
      </c>
      <c r="B125" t="s">
        <v>5288</v>
      </c>
      <c r="C125"/>
      <c r="D125"/>
      <c r="E125"/>
      <c r="F125"/>
      <c r="G125"/>
      <c r="H125"/>
      <c r="I125"/>
    </row>
    <row r="126" spans="1:9">
      <c r="A126">
        <v>1580</v>
      </c>
      <c r="B126" t="s">
        <v>5289</v>
      </c>
      <c r="C126"/>
      <c r="D126"/>
      <c r="E126"/>
      <c r="F126"/>
      <c r="G126"/>
      <c r="H126"/>
      <c r="I126"/>
    </row>
    <row r="127" spans="1:9">
      <c r="A127">
        <v>1582</v>
      </c>
      <c r="B127" t="s">
        <v>5290</v>
      </c>
      <c r="C127"/>
      <c r="D127"/>
      <c r="E127"/>
      <c r="F127"/>
      <c r="G127"/>
      <c r="H127"/>
      <c r="I127"/>
    </row>
    <row r="128" spans="1:9">
      <c r="A128">
        <v>1583</v>
      </c>
      <c r="B128" t="s">
        <v>5291</v>
      </c>
      <c r="C128"/>
      <c r="D128"/>
      <c r="E128"/>
      <c r="F128"/>
      <c r="G128"/>
      <c r="H128"/>
      <c r="I128"/>
    </row>
    <row r="129" spans="1:9">
      <c r="A129">
        <v>1584</v>
      </c>
      <c r="B129" t="s">
        <v>5292</v>
      </c>
      <c r="C129"/>
      <c r="D129"/>
      <c r="E129"/>
      <c r="F129"/>
      <c r="G129"/>
      <c r="H129"/>
      <c r="I129"/>
    </row>
    <row r="130" spans="1:9">
      <c r="A130">
        <v>1586</v>
      </c>
      <c r="B130" t="s">
        <v>5293</v>
      </c>
      <c r="C130"/>
      <c r="D130"/>
      <c r="E130"/>
      <c r="F130"/>
      <c r="G130"/>
      <c r="H130"/>
      <c r="I130"/>
    </row>
    <row r="131" spans="1:9">
      <c r="A131">
        <v>1587</v>
      </c>
      <c r="B131" t="s">
        <v>5294</v>
      </c>
      <c r="C131"/>
      <c r="D131"/>
      <c r="E131"/>
      <c r="F131"/>
      <c r="G131"/>
      <c r="H131"/>
      <c r="I131"/>
    </row>
    <row r="132" spans="1:9">
      <c r="A132">
        <v>1589</v>
      </c>
      <c r="B132" t="s">
        <v>5295</v>
      </c>
      <c r="C132"/>
      <c r="D132"/>
      <c r="E132"/>
      <c r="F132"/>
      <c r="G132"/>
      <c r="H132"/>
      <c r="I132"/>
    </row>
    <row r="133" spans="1:9">
      <c r="A133">
        <v>1590</v>
      </c>
      <c r="B133" t="s">
        <v>5296</v>
      </c>
      <c r="C133"/>
      <c r="D133"/>
      <c r="E133"/>
      <c r="F133"/>
      <c r="G133"/>
      <c r="H133"/>
      <c r="I133"/>
    </row>
    <row r="134" spans="1:9">
      <c r="A134">
        <v>1591</v>
      </c>
      <c r="B134" t="s">
        <v>5297</v>
      </c>
      <c r="C134" t="s">
        <v>6586</v>
      </c>
      <c r="D134"/>
      <c r="E134"/>
      <c r="F134"/>
      <c r="G134"/>
      <c r="H134"/>
      <c r="I134">
        <v>7.5</v>
      </c>
    </row>
    <row r="135" spans="1:9">
      <c r="A135">
        <v>1593</v>
      </c>
      <c r="B135" t="s">
        <v>5298</v>
      </c>
      <c r="C135"/>
      <c r="D135"/>
      <c r="E135"/>
      <c r="F135"/>
      <c r="G135"/>
      <c r="H135"/>
      <c r="I135"/>
    </row>
    <row r="136" spans="1:9">
      <c r="A136">
        <v>1595</v>
      </c>
      <c r="B136" t="s">
        <v>5299</v>
      </c>
      <c r="C136"/>
      <c r="D136"/>
      <c r="E136"/>
      <c r="F136"/>
      <c r="G136"/>
      <c r="H136"/>
      <c r="I136"/>
    </row>
    <row r="137" spans="1:9">
      <c r="A137">
        <v>1597</v>
      </c>
      <c r="B137" t="s">
        <v>5300</v>
      </c>
      <c r="C137"/>
      <c r="D137"/>
      <c r="E137"/>
      <c r="F137"/>
      <c r="G137"/>
      <c r="H137"/>
      <c r="I137"/>
    </row>
    <row r="138" spans="1:9">
      <c r="A138">
        <v>1598</v>
      </c>
      <c r="B138" t="s">
        <v>5301</v>
      </c>
      <c r="C138"/>
      <c r="D138"/>
      <c r="E138"/>
      <c r="F138"/>
      <c r="G138"/>
      <c r="H138"/>
      <c r="I138"/>
    </row>
    <row r="139" spans="1:9">
      <c r="A139">
        <v>1599</v>
      </c>
      <c r="B139" t="s">
        <v>5302</v>
      </c>
      <c r="C139"/>
      <c r="D139"/>
      <c r="E139"/>
      <c r="F139"/>
      <c r="G139"/>
      <c r="H139"/>
      <c r="I139"/>
    </row>
    <row r="140" spans="1:9">
      <c r="A140">
        <v>1603</v>
      </c>
      <c r="B140" t="s">
        <v>5303</v>
      </c>
      <c r="C140"/>
      <c r="D140"/>
      <c r="E140"/>
      <c r="F140"/>
      <c r="G140"/>
      <c r="H140"/>
      <c r="I140"/>
    </row>
    <row r="141" spans="1:9">
      <c r="A141">
        <v>1604</v>
      </c>
      <c r="B141" t="s">
        <v>5304</v>
      </c>
      <c r="C141"/>
      <c r="D141"/>
      <c r="E141"/>
      <c r="F141"/>
      <c r="G141"/>
      <c r="H141"/>
      <c r="I141"/>
    </row>
    <row r="142" spans="1:9">
      <c r="A142">
        <v>1605</v>
      </c>
      <c r="B142" t="s">
        <v>5305</v>
      </c>
      <c r="C142"/>
      <c r="D142"/>
      <c r="E142"/>
      <c r="F142"/>
      <c r="G142"/>
      <c r="H142"/>
      <c r="I142"/>
    </row>
    <row r="143" spans="1:9">
      <c r="A143">
        <v>1608</v>
      </c>
      <c r="B143" t="s">
        <v>5306</v>
      </c>
      <c r="C143"/>
      <c r="D143"/>
      <c r="E143"/>
      <c r="F143"/>
      <c r="G143" t="s">
        <v>6583</v>
      </c>
      <c r="H143"/>
      <c r="I143"/>
    </row>
    <row r="144" spans="1:9">
      <c r="A144">
        <v>1609</v>
      </c>
      <c r="B144" t="s">
        <v>5307</v>
      </c>
      <c r="C144" t="s">
        <v>6585</v>
      </c>
      <c r="D144"/>
      <c r="E144" t="s">
        <v>6586</v>
      </c>
      <c r="F144"/>
      <c r="G144"/>
      <c r="H144"/>
      <c r="I144">
        <v>7.75</v>
      </c>
    </row>
    <row r="145" spans="1:9">
      <c r="A145">
        <v>1611</v>
      </c>
      <c r="B145" t="s">
        <v>5308</v>
      </c>
      <c r="C145"/>
      <c r="D145"/>
      <c r="E145"/>
      <c r="F145"/>
      <c r="G145"/>
      <c r="H145"/>
      <c r="I145"/>
    </row>
    <row r="146" spans="1:9">
      <c r="A146">
        <v>1612</v>
      </c>
      <c r="B146" t="s">
        <v>5309</v>
      </c>
      <c r="C146"/>
      <c r="D146" t="s">
        <v>6585</v>
      </c>
      <c r="E146"/>
      <c r="F146"/>
      <c r="G146"/>
      <c r="H146"/>
      <c r="I146"/>
    </row>
    <row r="147" spans="1:9">
      <c r="A147">
        <v>1614</v>
      </c>
      <c r="B147" t="s">
        <v>5310</v>
      </c>
      <c r="C147"/>
      <c r="D147"/>
      <c r="E147"/>
      <c r="F147"/>
      <c r="G147"/>
      <c r="H147"/>
      <c r="I147"/>
    </row>
    <row r="148" spans="1:9">
      <c r="A148">
        <v>1615</v>
      </c>
      <c r="B148" t="s">
        <v>5311</v>
      </c>
      <c r="C148"/>
      <c r="D148"/>
      <c r="E148"/>
      <c r="F148"/>
      <c r="G148"/>
      <c r="H148"/>
      <c r="I148"/>
    </row>
    <row r="149" spans="1:9">
      <c r="A149">
        <v>1617</v>
      </c>
      <c r="B149" t="s">
        <v>5312</v>
      </c>
      <c r="C149"/>
      <c r="D149"/>
      <c r="E149"/>
      <c r="F149"/>
      <c r="G149"/>
      <c r="H149" t="s">
        <v>6584</v>
      </c>
      <c r="I149"/>
    </row>
    <row r="150" spans="1:9">
      <c r="A150">
        <v>1618</v>
      </c>
      <c r="B150" t="s">
        <v>5313</v>
      </c>
      <c r="C150"/>
      <c r="D150"/>
      <c r="E150"/>
      <c r="F150"/>
      <c r="G150"/>
      <c r="H150"/>
      <c r="I150"/>
    </row>
    <row r="151" spans="1:9">
      <c r="A151">
        <v>1626</v>
      </c>
      <c r="B151" t="s">
        <v>5314</v>
      </c>
      <c r="C151"/>
      <c r="D151"/>
      <c r="E151"/>
      <c r="F151"/>
      <c r="G151"/>
      <c r="H151"/>
      <c r="I151"/>
    </row>
    <row r="152" spans="1:9">
      <c r="A152">
        <v>1701</v>
      </c>
      <c r="B152" t="s">
        <v>5315</v>
      </c>
      <c r="C152"/>
      <c r="D152"/>
      <c r="E152"/>
      <c r="F152"/>
      <c r="G152"/>
      <c r="H152"/>
      <c r="I152"/>
    </row>
    <row r="153" spans="1:9">
      <c r="A153">
        <v>1702</v>
      </c>
      <c r="B153" t="s">
        <v>5316</v>
      </c>
      <c r="C153"/>
      <c r="D153"/>
      <c r="E153"/>
      <c r="F153"/>
      <c r="G153"/>
      <c r="H153"/>
      <c r="I153"/>
    </row>
    <row r="154" spans="1:9">
      <c r="A154">
        <v>1707</v>
      </c>
      <c r="B154" t="s">
        <v>5317</v>
      </c>
      <c r="C154"/>
      <c r="D154"/>
      <c r="E154"/>
      <c r="F154"/>
      <c r="G154"/>
      <c r="H154"/>
      <c r="I154"/>
    </row>
    <row r="155" spans="1:9">
      <c r="A155">
        <v>1708</v>
      </c>
      <c r="B155" t="s">
        <v>5318</v>
      </c>
      <c r="C155" t="s">
        <v>6585</v>
      </c>
      <c r="D155" t="s">
        <v>6585</v>
      </c>
      <c r="E155" t="s">
        <v>6585</v>
      </c>
      <c r="F155"/>
      <c r="G155"/>
      <c r="H155" t="s">
        <v>6584</v>
      </c>
      <c r="I155">
        <v>39.130000000000003</v>
      </c>
    </row>
    <row r="156" spans="1:9">
      <c r="A156">
        <v>1709</v>
      </c>
      <c r="B156" t="s">
        <v>5319</v>
      </c>
      <c r="C156"/>
      <c r="D156"/>
      <c r="E156"/>
      <c r="F156"/>
      <c r="G156" t="s">
        <v>6583</v>
      </c>
      <c r="H156"/>
      <c r="I156">
        <v>5.41</v>
      </c>
    </row>
    <row r="157" spans="1:9">
      <c r="A157">
        <v>1710</v>
      </c>
      <c r="B157" t="s">
        <v>5320</v>
      </c>
      <c r="C157"/>
      <c r="D157"/>
      <c r="E157"/>
      <c r="F157"/>
      <c r="G157"/>
      <c r="H157"/>
      <c r="I157"/>
    </row>
    <row r="158" spans="1:9">
      <c r="A158">
        <v>1711</v>
      </c>
      <c r="B158" t="s">
        <v>5321</v>
      </c>
      <c r="C158"/>
      <c r="D158" t="s">
        <v>6585</v>
      </c>
      <c r="E158" t="s">
        <v>6585</v>
      </c>
      <c r="F158"/>
      <c r="G158"/>
      <c r="H158"/>
      <c r="I158">
        <v>9.2200000000000006</v>
      </c>
    </row>
    <row r="159" spans="1:9">
      <c r="A159">
        <v>1712</v>
      </c>
      <c r="B159" t="s">
        <v>5322</v>
      </c>
      <c r="C159"/>
      <c r="D159"/>
      <c r="E159"/>
      <c r="F159"/>
      <c r="G159"/>
      <c r="H159" t="s">
        <v>6584</v>
      </c>
      <c r="I159"/>
    </row>
    <row r="160" spans="1:9">
      <c r="A160">
        <v>1713</v>
      </c>
      <c r="B160" t="s">
        <v>5323</v>
      </c>
      <c r="C160"/>
      <c r="D160"/>
      <c r="E160"/>
      <c r="F160"/>
      <c r="G160"/>
      <c r="H160"/>
      <c r="I160"/>
    </row>
    <row r="161" spans="1:9">
      <c r="A161">
        <v>1714</v>
      </c>
      <c r="B161" t="s">
        <v>5324</v>
      </c>
      <c r="C161"/>
      <c r="D161"/>
      <c r="E161"/>
      <c r="F161"/>
      <c r="G161"/>
      <c r="H161"/>
      <c r="I161"/>
    </row>
    <row r="162" spans="1:9">
      <c r="A162">
        <v>1717</v>
      </c>
      <c r="B162" t="s">
        <v>5325</v>
      </c>
      <c r="C162"/>
      <c r="D162"/>
      <c r="E162"/>
      <c r="F162"/>
      <c r="G162"/>
      <c r="H162"/>
      <c r="I162"/>
    </row>
    <row r="163" spans="1:9">
      <c r="A163">
        <v>1718</v>
      </c>
      <c r="B163" t="s">
        <v>5326</v>
      </c>
      <c r="C163"/>
      <c r="D163"/>
      <c r="E163"/>
      <c r="F163"/>
      <c r="G163"/>
      <c r="H163"/>
      <c r="I163"/>
    </row>
    <row r="164" spans="1:9">
      <c r="A164">
        <v>1720</v>
      </c>
      <c r="B164" t="s">
        <v>5327</v>
      </c>
      <c r="C164"/>
      <c r="D164"/>
      <c r="E164"/>
      <c r="F164"/>
      <c r="G164"/>
      <c r="H164"/>
      <c r="I164"/>
    </row>
    <row r="165" spans="1:9">
      <c r="A165">
        <v>1721</v>
      </c>
      <c r="B165" t="s">
        <v>5328</v>
      </c>
      <c r="C165"/>
      <c r="D165"/>
      <c r="E165" t="s">
        <v>6585</v>
      </c>
      <c r="F165"/>
      <c r="G165"/>
      <c r="H165" t="s">
        <v>6584</v>
      </c>
      <c r="I165">
        <v>8.3000000000000007</v>
      </c>
    </row>
    <row r="166" spans="1:9">
      <c r="A166">
        <v>1722</v>
      </c>
      <c r="B166" t="s">
        <v>5329</v>
      </c>
      <c r="C166"/>
      <c r="D166"/>
      <c r="E166"/>
      <c r="F166"/>
      <c r="G166"/>
      <c r="H166"/>
      <c r="I166"/>
    </row>
    <row r="167" spans="1:9">
      <c r="A167">
        <v>1723</v>
      </c>
      <c r="B167" t="s">
        <v>5330</v>
      </c>
      <c r="C167"/>
      <c r="D167"/>
      <c r="E167"/>
      <c r="F167"/>
      <c r="G167"/>
      <c r="H167"/>
      <c r="I167"/>
    </row>
    <row r="168" spans="1:9">
      <c r="A168">
        <v>1725</v>
      </c>
      <c r="B168" t="s">
        <v>768</v>
      </c>
      <c r="C168"/>
      <c r="D168"/>
      <c r="E168"/>
      <c r="F168"/>
      <c r="G168"/>
      <c r="H168"/>
      <c r="I168"/>
    </row>
    <row r="169" spans="1:9">
      <c r="A169">
        <v>1726</v>
      </c>
      <c r="B169" t="s">
        <v>5331</v>
      </c>
      <c r="C169"/>
      <c r="D169"/>
      <c r="E169"/>
      <c r="F169"/>
      <c r="G169"/>
      <c r="H169"/>
      <c r="I169"/>
    </row>
    <row r="170" spans="1:9">
      <c r="A170">
        <v>1727</v>
      </c>
      <c r="B170" t="s">
        <v>5332</v>
      </c>
      <c r="C170" t="s">
        <v>6585</v>
      </c>
      <c r="D170"/>
      <c r="E170"/>
      <c r="F170"/>
      <c r="G170"/>
      <c r="H170"/>
      <c r="I170">
        <v>7.3</v>
      </c>
    </row>
    <row r="171" spans="1:9">
      <c r="A171">
        <v>1730</v>
      </c>
      <c r="B171" t="s">
        <v>5333</v>
      </c>
      <c r="C171"/>
      <c r="D171"/>
      <c r="E171"/>
      <c r="F171"/>
      <c r="G171"/>
      <c r="H171"/>
      <c r="I171"/>
    </row>
    <row r="172" spans="1:9">
      <c r="A172">
        <v>1731</v>
      </c>
      <c r="B172" t="s">
        <v>5334</v>
      </c>
      <c r="C172"/>
      <c r="D172"/>
      <c r="E172"/>
      <c r="F172"/>
      <c r="G172"/>
      <c r="H172"/>
      <c r="I172"/>
    </row>
    <row r="173" spans="1:9">
      <c r="A173">
        <v>1732</v>
      </c>
      <c r="B173" t="s">
        <v>5335</v>
      </c>
      <c r="C173" t="s">
        <v>6585</v>
      </c>
      <c r="D173" t="s">
        <v>6586</v>
      </c>
      <c r="E173"/>
      <c r="F173"/>
      <c r="G173"/>
      <c r="H173" t="s">
        <v>6584</v>
      </c>
      <c r="I173">
        <v>54.63</v>
      </c>
    </row>
    <row r="174" spans="1:9">
      <c r="A174">
        <v>1733</v>
      </c>
      <c r="B174" t="s">
        <v>5336</v>
      </c>
      <c r="C174"/>
      <c r="D174"/>
      <c r="E174"/>
      <c r="F174"/>
      <c r="G174"/>
      <c r="H174"/>
      <c r="I174"/>
    </row>
    <row r="175" spans="1:9">
      <c r="A175">
        <v>1734</v>
      </c>
      <c r="B175" t="s">
        <v>5337</v>
      </c>
      <c r="C175"/>
      <c r="D175"/>
      <c r="E175"/>
      <c r="F175"/>
      <c r="G175"/>
      <c r="H175"/>
      <c r="I175"/>
    </row>
    <row r="176" spans="1:9">
      <c r="A176">
        <v>1735</v>
      </c>
      <c r="B176" t="s">
        <v>5338</v>
      </c>
      <c r="C176"/>
      <c r="D176"/>
      <c r="E176"/>
      <c r="F176"/>
      <c r="G176"/>
      <c r="H176"/>
      <c r="I176"/>
    </row>
    <row r="177" spans="1:9">
      <c r="A177">
        <v>1736</v>
      </c>
      <c r="B177" t="s">
        <v>5339</v>
      </c>
      <c r="C177"/>
      <c r="D177"/>
      <c r="E177"/>
      <c r="F177"/>
      <c r="G177"/>
      <c r="H177"/>
      <c r="I177"/>
    </row>
    <row r="178" spans="1:9">
      <c r="A178">
        <v>1737</v>
      </c>
      <c r="B178" t="s">
        <v>5340</v>
      </c>
      <c r="C178"/>
      <c r="D178"/>
      <c r="E178"/>
      <c r="F178"/>
      <c r="G178"/>
      <c r="H178"/>
      <c r="I178"/>
    </row>
    <row r="179" spans="1:9">
      <c r="A179">
        <v>1742</v>
      </c>
      <c r="B179" t="s">
        <v>5341</v>
      </c>
      <c r="C179"/>
      <c r="D179"/>
      <c r="E179"/>
      <c r="F179"/>
      <c r="G179"/>
      <c r="H179"/>
      <c r="I179"/>
    </row>
    <row r="180" spans="1:9">
      <c r="A180">
        <v>1752</v>
      </c>
      <c r="B180" t="s">
        <v>5342</v>
      </c>
      <c r="C180"/>
      <c r="D180"/>
      <c r="E180"/>
      <c r="F180"/>
      <c r="G180"/>
      <c r="H180"/>
      <c r="I180"/>
    </row>
    <row r="181" spans="1:9">
      <c r="A181">
        <v>1760</v>
      </c>
      <c r="B181" t="s">
        <v>5343</v>
      </c>
      <c r="C181"/>
      <c r="D181" t="s">
        <v>6586</v>
      </c>
      <c r="E181"/>
      <c r="F181"/>
      <c r="G181"/>
      <c r="H181" t="s">
        <v>6584</v>
      </c>
      <c r="I181"/>
    </row>
    <row r="182" spans="1:9">
      <c r="A182">
        <v>1762</v>
      </c>
      <c r="B182" t="s">
        <v>5344</v>
      </c>
      <c r="C182"/>
      <c r="D182"/>
      <c r="E182"/>
      <c r="F182"/>
      <c r="G182"/>
      <c r="H182"/>
      <c r="I182"/>
    </row>
    <row r="183" spans="1:9">
      <c r="A183">
        <v>1773</v>
      </c>
      <c r="B183" t="s">
        <v>5345</v>
      </c>
      <c r="C183"/>
      <c r="D183"/>
      <c r="E183"/>
      <c r="F183"/>
      <c r="G183" t="s">
        <v>6583</v>
      </c>
      <c r="H183"/>
      <c r="I183"/>
    </row>
    <row r="184" spans="1:9">
      <c r="A184">
        <v>1776</v>
      </c>
      <c r="B184" t="s">
        <v>5346</v>
      </c>
      <c r="C184"/>
      <c r="D184"/>
      <c r="E184"/>
      <c r="F184"/>
      <c r="G184"/>
      <c r="H184"/>
      <c r="I184"/>
    </row>
    <row r="185" spans="1:9">
      <c r="A185">
        <v>1783</v>
      </c>
      <c r="B185" t="s">
        <v>5347</v>
      </c>
      <c r="C185"/>
      <c r="D185"/>
      <c r="E185"/>
      <c r="F185"/>
      <c r="G185"/>
      <c r="H185"/>
      <c r="I185"/>
    </row>
    <row r="186" spans="1:9">
      <c r="A186">
        <v>1784</v>
      </c>
      <c r="B186" t="s">
        <v>5348</v>
      </c>
      <c r="C186"/>
      <c r="D186"/>
      <c r="E186"/>
      <c r="F186"/>
      <c r="G186"/>
      <c r="H186"/>
      <c r="I186"/>
    </row>
    <row r="187" spans="1:9">
      <c r="A187">
        <v>1785</v>
      </c>
      <c r="B187" t="s">
        <v>5349</v>
      </c>
      <c r="C187"/>
      <c r="D187"/>
      <c r="E187"/>
      <c r="F187"/>
      <c r="G187"/>
      <c r="H187"/>
      <c r="I187"/>
    </row>
    <row r="188" spans="1:9">
      <c r="A188">
        <v>1786</v>
      </c>
      <c r="B188" t="s">
        <v>5350</v>
      </c>
      <c r="C188"/>
      <c r="D188"/>
      <c r="E188"/>
      <c r="F188"/>
      <c r="G188"/>
      <c r="H188"/>
      <c r="I188"/>
    </row>
    <row r="189" spans="1:9">
      <c r="A189">
        <v>1788</v>
      </c>
      <c r="B189" t="s">
        <v>5351</v>
      </c>
      <c r="C189"/>
      <c r="D189"/>
      <c r="E189"/>
      <c r="F189"/>
      <c r="G189"/>
      <c r="H189" t="s">
        <v>6584</v>
      </c>
      <c r="I189"/>
    </row>
    <row r="190" spans="1:9">
      <c r="A190">
        <v>1789</v>
      </c>
      <c r="B190" t="s">
        <v>5352</v>
      </c>
      <c r="C190"/>
      <c r="D190"/>
      <c r="E190"/>
      <c r="F190"/>
      <c r="G190"/>
      <c r="H190"/>
      <c r="I190"/>
    </row>
    <row r="191" spans="1:9">
      <c r="A191">
        <v>1795</v>
      </c>
      <c r="B191" t="s">
        <v>5353</v>
      </c>
      <c r="C191"/>
      <c r="D191"/>
      <c r="E191" t="s">
        <v>6585</v>
      </c>
      <c r="F191" t="s">
        <v>6585</v>
      </c>
      <c r="G191"/>
      <c r="H191"/>
      <c r="I191">
        <v>15.34</v>
      </c>
    </row>
    <row r="192" spans="1:9">
      <c r="A192">
        <v>1802</v>
      </c>
      <c r="B192" t="s">
        <v>5354</v>
      </c>
      <c r="C192"/>
      <c r="D192"/>
      <c r="E192"/>
      <c r="F192"/>
      <c r="G192"/>
      <c r="H192"/>
      <c r="I192"/>
    </row>
    <row r="193" spans="1:9">
      <c r="A193">
        <v>1806</v>
      </c>
      <c r="B193" t="s">
        <v>5355</v>
      </c>
      <c r="C193"/>
      <c r="D193"/>
      <c r="E193"/>
      <c r="F193"/>
      <c r="G193"/>
      <c r="H193"/>
      <c r="I193"/>
    </row>
    <row r="194" spans="1:9">
      <c r="A194">
        <v>1808</v>
      </c>
      <c r="B194" t="s">
        <v>5356</v>
      </c>
      <c r="C194"/>
      <c r="D194"/>
      <c r="E194"/>
      <c r="F194"/>
      <c r="G194" t="s">
        <v>6583</v>
      </c>
      <c r="H194"/>
      <c r="I194"/>
    </row>
    <row r="195" spans="1:9">
      <c r="A195">
        <v>1809</v>
      </c>
      <c r="B195" t="s">
        <v>5357</v>
      </c>
      <c r="C195"/>
      <c r="D195"/>
      <c r="E195"/>
      <c r="F195"/>
      <c r="G195"/>
      <c r="H195"/>
      <c r="I195"/>
    </row>
    <row r="196" spans="1:9">
      <c r="A196">
        <v>1810</v>
      </c>
      <c r="B196" t="s">
        <v>5358</v>
      </c>
      <c r="C196"/>
      <c r="D196"/>
      <c r="E196"/>
      <c r="F196"/>
      <c r="G196"/>
      <c r="H196"/>
      <c r="I196"/>
    </row>
    <row r="197" spans="1:9">
      <c r="A197">
        <v>1813</v>
      </c>
      <c r="B197" t="s">
        <v>6588</v>
      </c>
      <c r="C197"/>
      <c r="D197"/>
      <c r="E197"/>
      <c r="F197"/>
      <c r="G197"/>
      <c r="H197"/>
      <c r="I197"/>
    </row>
    <row r="198" spans="1:9">
      <c r="A198">
        <v>1815</v>
      </c>
      <c r="B198" t="s">
        <v>5359</v>
      </c>
      <c r="C198"/>
      <c r="D198"/>
      <c r="E198"/>
      <c r="F198"/>
      <c r="G198"/>
      <c r="H198" t="s">
        <v>6584</v>
      </c>
      <c r="I198"/>
    </row>
    <row r="199" spans="1:9">
      <c r="A199">
        <v>1817</v>
      </c>
      <c r="B199" t="s">
        <v>5360</v>
      </c>
      <c r="C199"/>
      <c r="D199"/>
      <c r="E199"/>
      <c r="F199"/>
      <c r="G199"/>
      <c r="H199"/>
      <c r="I199"/>
    </row>
    <row r="200" spans="1:9">
      <c r="A200">
        <v>1903</v>
      </c>
      <c r="B200" t="s">
        <v>5361</v>
      </c>
      <c r="C200"/>
      <c r="D200"/>
      <c r="E200"/>
      <c r="F200"/>
      <c r="G200"/>
      <c r="H200"/>
      <c r="I200"/>
    </row>
    <row r="201" spans="1:9">
      <c r="A201">
        <v>1904</v>
      </c>
      <c r="B201" t="s">
        <v>5362</v>
      </c>
      <c r="C201"/>
      <c r="D201"/>
      <c r="E201"/>
      <c r="F201"/>
      <c r="G201"/>
      <c r="H201"/>
      <c r="I201"/>
    </row>
    <row r="202" spans="1:9">
      <c r="A202">
        <v>1905</v>
      </c>
      <c r="B202" t="s">
        <v>5363</v>
      </c>
      <c r="C202"/>
      <c r="D202"/>
      <c r="E202"/>
      <c r="F202"/>
      <c r="G202"/>
      <c r="H202"/>
      <c r="I202"/>
    </row>
    <row r="203" spans="1:9">
      <c r="A203">
        <v>1906</v>
      </c>
      <c r="B203" t="s">
        <v>5364</v>
      </c>
      <c r="C203"/>
      <c r="D203"/>
      <c r="E203"/>
      <c r="F203"/>
      <c r="G203" t="s">
        <v>6583</v>
      </c>
      <c r="H203"/>
      <c r="I203"/>
    </row>
    <row r="204" spans="1:9">
      <c r="A204">
        <v>1907</v>
      </c>
      <c r="B204" t="s">
        <v>5365</v>
      </c>
      <c r="C204"/>
      <c r="D204"/>
      <c r="E204"/>
      <c r="F204"/>
      <c r="G204"/>
      <c r="H204"/>
      <c r="I204"/>
    </row>
    <row r="205" spans="1:9">
      <c r="A205">
        <v>1909</v>
      </c>
      <c r="B205" t="s">
        <v>5366</v>
      </c>
      <c r="C205"/>
      <c r="D205"/>
      <c r="E205"/>
      <c r="F205"/>
      <c r="G205"/>
      <c r="H205"/>
      <c r="I205"/>
    </row>
    <row r="206" spans="1:9">
      <c r="A206">
        <v>2002</v>
      </c>
      <c r="B206" t="s">
        <v>5367</v>
      </c>
      <c r="C206"/>
      <c r="D206"/>
      <c r="E206"/>
      <c r="F206"/>
      <c r="G206"/>
      <c r="H206"/>
      <c r="I206"/>
    </row>
    <row r="207" spans="1:9">
      <c r="A207">
        <v>2006</v>
      </c>
      <c r="B207" t="s">
        <v>5368</v>
      </c>
      <c r="C207"/>
      <c r="D207"/>
      <c r="E207" t="s">
        <v>6586</v>
      </c>
      <c r="F207"/>
      <c r="G207" t="s">
        <v>6583</v>
      </c>
      <c r="H207"/>
      <c r="I207"/>
    </row>
    <row r="208" spans="1:9">
      <c r="A208">
        <v>2007</v>
      </c>
      <c r="B208" t="s">
        <v>5369</v>
      </c>
      <c r="C208"/>
      <c r="D208"/>
      <c r="E208"/>
      <c r="F208"/>
      <c r="G208"/>
      <c r="H208" t="s">
        <v>6584</v>
      </c>
      <c r="I208"/>
    </row>
    <row r="209" spans="1:9">
      <c r="A209">
        <v>2008</v>
      </c>
      <c r="B209" t="s">
        <v>5370</v>
      </c>
      <c r="C209"/>
      <c r="D209"/>
      <c r="E209"/>
      <c r="F209"/>
      <c r="G209"/>
      <c r="H209"/>
      <c r="I209"/>
    </row>
    <row r="210" spans="1:9">
      <c r="A210">
        <v>2009</v>
      </c>
      <c r="B210" t="s">
        <v>5371</v>
      </c>
      <c r="C210"/>
      <c r="D210"/>
      <c r="E210"/>
      <c r="F210"/>
      <c r="G210"/>
      <c r="H210" t="s">
        <v>6584</v>
      </c>
      <c r="I210"/>
    </row>
    <row r="211" spans="1:9">
      <c r="A211">
        <v>2010</v>
      </c>
      <c r="B211" t="s">
        <v>5372</v>
      </c>
      <c r="C211"/>
      <c r="D211"/>
      <c r="E211"/>
      <c r="F211"/>
      <c r="G211"/>
      <c r="H211"/>
      <c r="I211"/>
    </row>
    <row r="212" spans="1:9">
      <c r="A212">
        <v>2012</v>
      </c>
      <c r="B212" t="s">
        <v>5373</v>
      </c>
      <c r="C212"/>
      <c r="D212"/>
      <c r="E212"/>
      <c r="F212"/>
      <c r="G212"/>
      <c r="H212"/>
      <c r="I212"/>
    </row>
    <row r="213" spans="1:9">
      <c r="A213">
        <v>2013</v>
      </c>
      <c r="B213" t="s">
        <v>5374</v>
      </c>
      <c r="C213"/>
      <c r="D213"/>
      <c r="E213"/>
      <c r="F213"/>
      <c r="G213"/>
      <c r="H213"/>
      <c r="I213"/>
    </row>
    <row r="214" spans="1:9">
      <c r="A214">
        <v>2014</v>
      </c>
      <c r="B214" t="s">
        <v>5375</v>
      </c>
      <c r="C214"/>
      <c r="D214" t="s">
        <v>6586</v>
      </c>
      <c r="E214"/>
      <c r="F214"/>
      <c r="G214"/>
      <c r="H214" t="s">
        <v>6584</v>
      </c>
      <c r="I214"/>
    </row>
    <row r="215" spans="1:9">
      <c r="A215">
        <v>2015</v>
      </c>
      <c r="B215" t="s">
        <v>5376</v>
      </c>
      <c r="C215"/>
      <c r="D215"/>
      <c r="E215"/>
      <c r="F215"/>
      <c r="G215" t="s">
        <v>6587</v>
      </c>
      <c r="H215" t="s">
        <v>6584</v>
      </c>
      <c r="I215"/>
    </row>
    <row r="216" spans="1:9">
      <c r="A216">
        <v>2017</v>
      </c>
      <c r="B216" t="s">
        <v>5377</v>
      </c>
      <c r="C216"/>
      <c r="D216"/>
      <c r="E216"/>
      <c r="F216"/>
      <c r="G216"/>
      <c r="H216"/>
      <c r="I216"/>
    </row>
    <row r="217" spans="1:9">
      <c r="A217">
        <v>2020</v>
      </c>
      <c r="B217" t="s">
        <v>5378</v>
      </c>
      <c r="C217"/>
      <c r="D217"/>
      <c r="E217"/>
      <c r="F217"/>
      <c r="G217"/>
      <c r="H217"/>
      <c r="I217"/>
    </row>
    <row r="218" spans="1:9">
      <c r="A218">
        <v>2023</v>
      </c>
      <c r="B218" t="s">
        <v>5379</v>
      </c>
      <c r="C218"/>
      <c r="D218"/>
      <c r="E218"/>
      <c r="F218"/>
      <c r="G218"/>
      <c r="H218"/>
      <c r="I218"/>
    </row>
    <row r="219" spans="1:9">
      <c r="A219">
        <v>2024</v>
      </c>
      <c r="B219" t="s">
        <v>5380</v>
      </c>
      <c r="C219"/>
      <c r="D219"/>
      <c r="E219"/>
      <c r="F219"/>
      <c r="G219" t="s">
        <v>6587</v>
      </c>
      <c r="H219"/>
      <c r="I219"/>
    </row>
    <row r="220" spans="1:9">
      <c r="A220">
        <v>2027</v>
      </c>
      <c r="B220" t="s">
        <v>5381</v>
      </c>
      <c r="C220"/>
      <c r="D220"/>
      <c r="E220"/>
      <c r="F220"/>
      <c r="G220"/>
      <c r="H220"/>
      <c r="I220"/>
    </row>
    <row r="221" spans="1:9">
      <c r="A221">
        <v>2028</v>
      </c>
      <c r="B221" t="s">
        <v>5382</v>
      </c>
      <c r="C221"/>
      <c r="D221"/>
      <c r="E221"/>
      <c r="F221"/>
      <c r="G221"/>
      <c r="H221" t="s">
        <v>6584</v>
      </c>
      <c r="I221"/>
    </row>
    <row r="222" spans="1:9">
      <c r="A222">
        <v>2029</v>
      </c>
      <c r="B222" t="s">
        <v>5383</v>
      </c>
      <c r="C222"/>
      <c r="D222"/>
      <c r="E222"/>
      <c r="F222"/>
      <c r="G222" t="s">
        <v>6583</v>
      </c>
      <c r="H222"/>
      <c r="I222"/>
    </row>
    <row r="223" spans="1:9">
      <c r="A223">
        <v>2030</v>
      </c>
      <c r="B223" t="s">
        <v>5384</v>
      </c>
      <c r="C223"/>
      <c r="D223"/>
      <c r="E223"/>
      <c r="F223"/>
      <c r="G223"/>
      <c r="H223"/>
      <c r="I223"/>
    </row>
    <row r="224" spans="1:9">
      <c r="A224">
        <v>2031</v>
      </c>
      <c r="B224" t="s">
        <v>5385</v>
      </c>
      <c r="C224"/>
      <c r="D224"/>
      <c r="E224"/>
      <c r="F224" t="s">
        <v>6585</v>
      </c>
      <c r="G224"/>
      <c r="H224"/>
      <c r="I224"/>
    </row>
    <row r="225" spans="1:9">
      <c r="A225">
        <v>2032</v>
      </c>
      <c r="B225" t="s">
        <v>5386</v>
      </c>
      <c r="C225"/>
      <c r="D225"/>
      <c r="E225"/>
      <c r="F225"/>
      <c r="G225"/>
      <c r="H225" t="s">
        <v>6584</v>
      </c>
      <c r="I225">
        <v>11.21</v>
      </c>
    </row>
    <row r="226" spans="1:9">
      <c r="A226">
        <v>2033</v>
      </c>
      <c r="B226" t="s">
        <v>5387</v>
      </c>
      <c r="C226"/>
      <c r="D226"/>
      <c r="E226"/>
      <c r="F226"/>
      <c r="G226"/>
      <c r="H226" t="s">
        <v>6584</v>
      </c>
      <c r="I226">
        <v>7.73</v>
      </c>
    </row>
    <row r="227" spans="1:9">
      <c r="A227">
        <v>2034</v>
      </c>
      <c r="B227" t="s">
        <v>5388</v>
      </c>
      <c r="C227" t="s">
        <v>6585</v>
      </c>
      <c r="D227"/>
      <c r="E227" t="s">
        <v>6585</v>
      </c>
      <c r="F227"/>
      <c r="G227"/>
      <c r="H227"/>
      <c r="I227"/>
    </row>
    <row r="228" spans="1:9">
      <c r="A228">
        <v>2035</v>
      </c>
      <c r="B228" t="s">
        <v>5389</v>
      </c>
      <c r="C228"/>
      <c r="D228"/>
      <c r="E228"/>
      <c r="F228"/>
      <c r="G228"/>
      <c r="H228"/>
      <c r="I228"/>
    </row>
    <row r="229" spans="1:9">
      <c r="A229">
        <v>2038</v>
      </c>
      <c r="B229" t="s">
        <v>5390</v>
      </c>
      <c r="C229"/>
      <c r="D229"/>
      <c r="E229"/>
      <c r="F229"/>
      <c r="G229"/>
      <c r="H229" t="s">
        <v>6584</v>
      </c>
      <c r="I229"/>
    </row>
    <row r="230" spans="1:9">
      <c r="A230">
        <v>2049</v>
      </c>
      <c r="B230" t="s">
        <v>5391</v>
      </c>
      <c r="C230"/>
      <c r="D230"/>
      <c r="E230"/>
      <c r="F230"/>
      <c r="G230"/>
      <c r="H230"/>
      <c r="I230"/>
    </row>
    <row r="231" spans="1:9">
      <c r="A231">
        <v>2059</v>
      </c>
      <c r="B231" t="s">
        <v>5392</v>
      </c>
      <c r="C231"/>
      <c r="D231"/>
      <c r="E231"/>
      <c r="F231"/>
      <c r="G231"/>
      <c r="H231"/>
      <c r="I231"/>
    </row>
    <row r="232" spans="1:9">
      <c r="A232">
        <v>2062</v>
      </c>
      <c r="B232" t="s">
        <v>675</v>
      </c>
      <c r="C232"/>
      <c r="D232"/>
      <c r="E232"/>
      <c r="F232"/>
      <c r="G232"/>
      <c r="H232"/>
      <c r="I232"/>
    </row>
    <row r="233" spans="1:9">
      <c r="A233">
        <v>2064</v>
      </c>
      <c r="B233" t="s">
        <v>5393</v>
      </c>
      <c r="C233"/>
      <c r="D233"/>
      <c r="E233"/>
      <c r="F233"/>
      <c r="G233"/>
      <c r="H233" t="s">
        <v>6584</v>
      </c>
      <c r="I233">
        <v>6.41</v>
      </c>
    </row>
    <row r="234" spans="1:9">
      <c r="A234">
        <v>2065</v>
      </c>
      <c r="B234" t="s">
        <v>5394</v>
      </c>
      <c r="C234"/>
      <c r="D234"/>
      <c r="E234"/>
      <c r="F234"/>
      <c r="G234"/>
      <c r="H234"/>
      <c r="I234"/>
    </row>
    <row r="235" spans="1:9">
      <c r="A235">
        <v>2069</v>
      </c>
      <c r="B235" t="s">
        <v>5395</v>
      </c>
      <c r="C235"/>
      <c r="D235"/>
      <c r="E235"/>
      <c r="F235"/>
      <c r="G235"/>
      <c r="H235"/>
      <c r="I235"/>
    </row>
    <row r="236" spans="1:9">
      <c r="A236">
        <v>2070</v>
      </c>
      <c r="B236" t="s">
        <v>5396</v>
      </c>
      <c r="C236"/>
      <c r="D236"/>
      <c r="E236"/>
      <c r="F236"/>
      <c r="G236"/>
      <c r="H236"/>
      <c r="I236"/>
    </row>
    <row r="237" spans="1:9">
      <c r="A237">
        <v>2101</v>
      </c>
      <c r="B237" t="s">
        <v>5397</v>
      </c>
      <c r="C237"/>
      <c r="D237"/>
      <c r="E237"/>
      <c r="F237"/>
      <c r="G237"/>
      <c r="H237"/>
      <c r="I237"/>
    </row>
    <row r="238" spans="1:9">
      <c r="A238">
        <v>2102</v>
      </c>
      <c r="B238" t="s">
        <v>5398</v>
      </c>
      <c r="C238"/>
      <c r="D238"/>
      <c r="E238"/>
      <c r="F238"/>
      <c r="G238"/>
      <c r="H238"/>
      <c r="I238"/>
    </row>
    <row r="239" spans="1:9">
      <c r="A239">
        <v>2103</v>
      </c>
      <c r="B239" t="s">
        <v>5399</v>
      </c>
      <c r="C239"/>
      <c r="D239"/>
      <c r="E239"/>
      <c r="F239"/>
      <c r="G239"/>
      <c r="H239"/>
      <c r="I239"/>
    </row>
    <row r="240" spans="1:9">
      <c r="A240">
        <v>2104</v>
      </c>
      <c r="B240" t="s">
        <v>5400</v>
      </c>
      <c r="C240"/>
      <c r="D240"/>
      <c r="E240"/>
      <c r="F240"/>
      <c r="G240"/>
      <c r="H240"/>
      <c r="I240"/>
    </row>
    <row r="241" spans="1:9">
      <c r="A241">
        <v>2105</v>
      </c>
      <c r="B241" t="s">
        <v>5401</v>
      </c>
      <c r="C241"/>
      <c r="D241"/>
      <c r="E241"/>
      <c r="F241"/>
      <c r="G241"/>
      <c r="H241"/>
      <c r="I241"/>
    </row>
    <row r="242" spans="1:9">
      <c r="A242">
        <v>2106</v>
      </c>
      <c r="B242" t="s">
        <v>5402</v>
      </c>
      <c r="C242"/>
      <c r="D242"/>
      <c r="E242"/>
      <c r="F242"/>
      <c r="G242"/>
      <c r="H242"/>
      <c r="I242"/>
    </row>
    <row r="243" spans="1:9">
      <c r="A243">
        <v>2107</v>
      </c>
      <c r="B243" t="s">
        <v>5403</v>
      </c>
      <c r="C243"/>
      <c r="D243"/>
      <c r="E243"/>
      <c r="F243"/>
      <c r="G243"/>
      <c r="H243"/>
      <c r="I243"/>
    </row>
    <row r="244" spans="1:9">
      <c r="A244">
        <v>2108</v>
      </c>
      <c r="B244" t="s">
        <v>5404</v>
      </c>
      <c r="C244"/>
      <c r="D244"/>
      <c r="E244"/>
      <c r="F244" t="s">
        <v>6586</v>
      </c>
      <c r="G244"/>
      <c r="H244" t="s">
        <v>6584</v>
      </c>
      <c r="I244"/>
    </row>
    <row r="245" spans="1:9">
      <c r="A245">
        <v>2109</v>
      </c>
      <c r="B245" t="s">
        <v>5405</v>
      </c>
      <c r="C245"/>
      <c r="D245"/>
      <c r="E245"/>
      <c r="F245"/>
      <c r="G245"/>
      <c r="H245"/>
      <c r="I245"/>
    </row>
    <row r="246" spans="1:9">
      <c r="A246">
        <v>2114</v>
      </c>
      <c r="B246" t="s">
        <v>5406</v>
      </c>
      <c r="C246"/>
      <c r="D246"/>
      <c r="E246"/>
      <c r="F246"/>
      <c r="G246"/>
      <c r="H246"/>
      <c r="I246"/>
    </row>
    <row r="247" spans="1:9">
      <c r="A247">
        <v>2115</v>
      </c>
      <c r="B247" t="s">
        <v>5407</v>
      </c>
      <c r="C247"/>
      <c r="D247"/>
      <c r="E247"/>
      <c r="F247"/>
      <c r="G247"/>
      <c r="H247"/>
      <c r="I247"/>
    </row>
    <row r="248" spans="1:9">
      <c r="A248">
        <v>2201</v>
      </c>
      <c r="B248" t="s">
        <v>5408</v>
      </c>
      <c r="C248"/>
      <c r="D248"/>
      <c r="E248"/>
      <c r="F248"/>
      <c r="G248"/>
      <c r="H248"/>
      <c r="I248"/>
    </row>
    <row r="249" spans="1:9">
      <c r="A249">
        <v>2204</v>
      </c>
      <c r="B249" t="s">
        <v>5409</v>
      </c>
      <c r="C249"/>
      <c r="D249"/>
      <c r="E249"/>
      <c r="F249"/>
      <c r="G249"/>
      <c r="H249"/>
      <c r="I249"/>
    </row>
    <row r="250" spans="1:9">
      <c r="A250">
        <v>2206</v>
      </c>
      <c r="B250" t="s">
        <v>5410</v>
      </c>
      <c r="C250"/>
      <c r="D250"/>
      <c r="E250"/>
      <c r="F250"/>
      <c r="G250"/>
      <c r="H250"/>
      <c r="I250"/>
    </row>
    <row r="251" spans="1:9">
      <c r="A251">
        <v>2207</v>
      </c>
      <c r="B251" t="s">
        <v>5411</v>
      </c>
      <c r="C251"/>
      <c r="D251"/>
      <c r="E251"/>
      <c r="F251"/>
      <c r="G251"/>
      <c r="H251"/>
      <c r="I251"/>
    </row>
    <row r="252" spans="1:9">
      <c r="A252">
        <v>2208</v>
      </c>
      <c r="B252" t="s">
        <v>5412</v>
      </c>
      <c r="C252"/>
      <c r="D252"/>
      <c r="E252"/>
      <c r="F252"/>
      <c r="G252"/>
      <c r="H252"/>
      <c r="I252"/>
    </row>
    <row r="253" spans="1:9">
      <c r="A253">
        <v>2211</v>
      </c>
      <c r="B253" t="s">
        <v>5413</v>
      </c>
      <c r="C253"/>
      <c r="D253"/>
      <c r="E253"/>
      <c r="F253"/>
      <c r="G253" t="s">
        <v>6583</v>
      </c>
      <c r="H253"/>
      <c r="I253"/>
    </row>
    <row r="254" spans="1:9">
      <c r="A254">
        <v>2221</v>
      </c>
      <c r="B254" t="s">
        <v>5414</v>
      </c>
      <c r="C254"/>
      <c r="D254"/>
      <c r="E254"/>
      <c r="F254"/>
      <c r="G254"/>
      <c r="H254"/>
      <c r="I254"/>
    </row>
    <row r="255" spans="1:9">
      <c r="A255">
        <v>2228</v>
      </c>
      <c r="B255" t="s">
        <v>5415</v>
      </c>
      <c r="C255"/>
      <c r="D255"/>
      <c r="E255"/>
      <c r="F255"/>
      <c r="G255"/>
      <c r="H255"/>
      <c r="I255"/>
    </row>
    <row r="256" spans="1:9">
      <c r="A256">
        <v>2230</v>
      </c>
      <c r="B256" t="s">
        <v>5416</v>
      </c>
      <c r="C256"/>
      <c r="D256" t="s">
        <v>6585</v>
      </c>
      <c r="E256"/>
      <c r="F256"/>
      <c r="G256"/>
      <c r="H256"/>
      <c r="I256"/>
    </row>
    <row r="257" spans="1:9">
      <c r="A257">
        <v>2231</v>
      </c>
      <c r="B257" t="s">
        <v>5417</v>
      </c>
      <c r="C257"/>
      <c r="D257"/>
      <c r="E257"/>
      <c r="F257"/>
      <c r="G257"/>
      <c r="H257"/>
      <c r="I257"/>
    </row>
    <row r="258" spans="1:9">
      <c r="A258">
        <v>2233</v>
      </c>
      <c r="B258" t="s">
        <v>5418</v>
      </c>
      <c r="C258"/>
      <c r="D258"/>
      <c r="E258" t="s">
        <v>6585</v>
      </c>
      <c r="F258" t="s">
        <v>6586</v>
      </c>
      <c r="G258"/>
      <c r="H258"/>
      <c r="I258"/>
    </row>
    <row r="259" spans="1:9">
      <c r="A259">
        <v>2236</v>
      </c>
      <c r="B259" t="s">
        <v>5419</v>
      </c>
      <c r="C259"/>
      <c r="D259"/>
      <c r="E259"/>
      <c r="F259"/>
      <c r="G259"/>
      <c r="H259"/>
      <c r="I259"/>
    </row>
    <row r="260" spans="1:9">
      <c r="A260">
        <v>2239</v>
      </c>
      <c r="B260" t="s">
        <v>5420</v>
      </c>
      <c r="C260"/>
      <c r="D260"/>
      <c r="E260"/>
      <c r="F260"/>
      <c r="G260"/>
      <c r="H260" t="s">
        <v>6584</v>
      </c>
      <c r="I260"/>
    </row>
    <row r="261" spans="1:9">
      <c r="A261">
        <v>2241</v>
      </c>
      <c r="B261" t="s">
        <v>5421</v>
      </c>
      <c r="C261"/>
      <c r="D261"/>
      <c r="E261"/>
      <c r="F261"/>
      <c r="G261"/>
      <c r="H261"/>
      <c r="I261"/>
    </row>
    <row r="262" spans="1:9">
      <c r="A262">
        <v>2243</v>
      </c>
      <c r="B262" t="s">
        <v>5422</v>
      </c>
      <c r="C262"/>
      <c r="D262"/>
      <c r="E262"/>
      <c r="F262"/>
      <c r="G262" t="s">
        <v>6587</v>
      </c>
      <c r="H262"/>
      <c r="I262"/>
    </row>
    <row r="263" spans="1:9">
      <c r="A263">
        <v>2247</v>
      </c>
      <c r="B263" t="s">
        <v>5423</v>
      </c>
      <c r="C263"/>
      <c r="D263"/>
      <c r="E263"/>
      <c r="F263"/>
      <c r="G263"/>
      <c r="H263"/>
      <c r="I263"/>
    </row>
    <row r="264" spans="1:9">
      <c r="A264">
        <v>2250</v>
      </c>
      <c r="B264" t="s">
        <v>5424</v>
      </c>
      <c r="C264"/>
      <c r="D264"/>
      <c r="E264"/>
      <c r="F264"/>
      <c r="G264"/>
      <c r="H264"/>
      <c r="I264"/>
    </row>
    <row r="265" spans="1:9">
      <c r="A265">
        <v>2301</v>
      </c>
      <c r="B265" t="s">
        <v>5425</v>
      </c>
      <c r="C265"/>
      <c r="D265"/>
      <c r="E265"/>
      <c r="F265"/>
      <c r="G265"/>
      <c r="H265" t="s">
        <v>6584</v>
      </c>
      <c r="I265"/>
    </row>
    <row r="266" spans="1:9">
      <c r="A266">
        <v>2302</v>
      </c>
      <c r="B266" t="s">
        <v>5426</v>
      </c>
      <c r="C266"/>
      <c r="D266"/>
      <c r="E266"/>
      <c r="F266"/>
      <c r="G266"/>
      <c r="H266"/>
      <c r="I266"/>
    </row>
    <row r="267" spans="1:9">
      <c r="A267">
        <v>2303</v>
      </c>
      <c r="B267" t="s">
        <v>5427</v>
      </c>
      <c r="C267"/>
      <c r="D267"/>
      <c r="E267"/>
      <c r="F267"/>
      <c r="G267"/>
      <c r="H267"/>
      <c r="I267"/>
    </row>
    <row r="268" spans="1:9">
      <c r="A268">
        <v>2305</v>
      </c>
      <c r="B268" t="s">
        <v>5428</v>
      </c>
      <c r="C268"/>
      <c r="D268"/>
      <c r="E268"/>
      <c r="F268"/>
      <c r="G268"/>
      <c r="H268"/>
      <c r="I268"/>
    </row>
    <row r="269" spans="1:9">
      <c r="A269">
        <v>2308</v>
      </c>
      <c r="B269" t="s">
        <v>5429</v>
      </c>
      <c r="C269"/>
      <c r="D269"/>
      <c r="E269"/>
      <c r="F269"/>
      <c r="G269"/>
      <c r="H269" t="s">
        <v>6584</v>
      </c>
      <c r="I269"/>
    </row>
    <row r="270" spans="1:9">
      <c r="A270">
        <v>2312</v>
      </c>
      <c r="B270" t="s">
        <v>5430</v>
      </c>
      <c r="C270"/>
      <c r="D270" t="s">
        <v>6585</v>
      </c>
      <c r="E270"/>
      <c r="F270"/>
      <c r="G270"/>
      <c r="H270"/>
      <c r="I270"/>
    </row>
    <row r="271" spans="1:9">
      <c r="A271">
        <v>2313</v>
      </c>
      <c r="B271" t="s">
        <v>5431</v>
      </c>
      <c r="C271"/>
      <c r="D271" t="s">
        <v>6585</v>
      </c>
      <c r="E271" t="s">
        <v>6585</v>
      </c>
      <c r="F271"/>
      <c r="G271" t="s">
        <v>6583</v>
      </c>
      <c r="H271" t="s">
        <v>6584</v>
      </c>
      <c r="I271">
        <v>5.72</v>
      </c>
    </row>
    <row r="272" spans="1:9">
      <c r="A272">
        <v>2316</v>
      </c>
      <c r="B272" t="s">
        <v>5432</v>
      </c>
      <c r="C272"/>
      <c r="D272"/>
      <c r="E272"/>
      <c r="F272"/>
      <c r="G272"/>
      <c r="H272"/>
      <c r="I272"/>
    </row>
    <row r="273" spans="1:9">
      <c r="A273">
        <v>2317</v>
      </c>
      <c r="B273" t="s">
        <v>5433</v>
      </c>
      <c r="C273"/>
      <c r="D273"/>
      <c r="E273"/>
      <c r="F273"/>
      <c r="G273"/>
      <c r="H273"/>
      <c r="I273"/>
    </row>
    <row r="274" spans="1:9">
      <c r="A274">
        <v>2323</v>
      </c>
      <c r="B274" t="s">
        <v>5434</v>
      </c>
      <c r="C274"/>
      <c r="D274"/>
      <c r="E274"/>
      <c r="F274"/>
      <c r="G274"/>
      <c r="H274"/>
      <c r="I274"/>
    </row>
    <row r="275" spans="1:9">
      <c r="A275">
        <v>2324</v>
      </c>
      <c r="B275" t="s">
        <v>5435</v>
      </c>
      <c r="C275"/>
      <c r="D275"/>
      <c r="E275"/>
      <c r="F275"/>
      <c r="G275"/>
      <c r="H275"/>
      <c r="I275"/>
    </row>
    <row r="276" spans="1:9">
      <c r="A276">
        <v>2327</v>
      </c>
      <c r="B276" t="s">
        <v>5436</v>
      </c>
      <c r="C276"/>
      <c r="D276"/>
      <c r="E276"/>
      <c r="F276"/>
      <c r="G276"/>
      <c r="H276"/>
      <c r="I276"/>
    </row>
    <row r="277" spans="1:9">
      <c r="A277">
        <v>2328</v>
      </c>
      <c r="B277" t="s">
        <v>5437</v>
      </c>
      <c r="C277"/>
      <c r="D277"/>
      <c r="E277"/>
      <c r="F277"/>
      <c r="G277"/>
      <c r="H277"/>
      <c r="I277"/>
    </row>
    <row r="278" spans="1:9">
      <c r="A278">
        <v>2329</v>
      </c>
      <c r="B278" t="s">
        <v>5438</v>
      </c>
      <c r="C278"/>
      <c r="D278"/>
      <c r="E278"/>
      <c r="F278"/>
      <c r="G278"/>
      <c r="H278"/>
      <c r="I278"/>
    </row>
    <row r="279" spans="1:9">
      <c r="A279">
        <v>2330</v>
      </c>
      <c r="B279" t="s">
        <v>5439</v>
      </c>
      <c r="C279"/>
      <c r="D279"/>
      <c r="E279"/>
      <c r="F279"/>
      <c r="G279"/>
      <c r="H279"/>
      <c r="I279"/>
    </row>
    <row r="280" spans="1:9">
      <c r="A280">
        <v>2331</v>
      </c>
      <c r="B280" t="s">
        <v>5440</v>
      </c>
      <c r="C280"/>
      <c r="D280"/>
      <c r="E280"/>
      <c r="F280"/>
      <c r="G280"/>
      <c r="H280"/>
      <c r="I280"/>
    </row>
    <row r="281" spans="1:9">
      <c r="A281">
        <v>2332</v>
      </c>
      <c r="B281" t="s">
        <v>5441</v>
      </c>
      <c r="C281"/>
      <c r="D281"/>
      <c r="E281"/>
      <c r="F281"/>
      <c r="G281"/>
      <c r="H281"/>
      <c r="I281"/>
    </row>
    <row r="282" spans="1:9">
      <c r="A282">
        <v>2337</v>
      </c>
      <c r="B282" t="s">
        <v>5442</v>
      </c>
      <c r="C282"/>
      <c r="D282"/>
      <c r="E282"/>
      <c r="F282"/>
      <c r="G282"/>
      <c r="H282"/>
      <c r="I282"/>
    </row>
    <row r="283" spans="1:9">
      <c r="A283">
        <v>2338</v>
      </c>
      <c r="B283" t="s">
        <v>5443</v>
      </c>
      <c r="C283"/>
      <c r="D283"/>
      <c r="E283"/>
      <c r="F283"/>
      <c r="G283"/>
      <c r="H283"/>
      <c r="I283"/>
    </row>
    <row r="284" spans="1:9">
      <c r="A284">
        <v>2340</v>
      </c>
      <c r="B284" t="s">
        <v>5444</v>
      </c>
      <c r="C284"/>
      <c r="D284"/>
      <c r="E284"/>
      <c r="F284"/>
      <c r="G284"/>
      <c r="H284"/>
      <c r="I284"/>
    </row>
    <row r="285" spans="1:9">
      <c r="A285">
        <v>2342</v>
      </c>
      <c r="B285" t="s">
        <v>5445</v>
      </c>
      <c r="C285"/>
      <c r="D285"/>
      <c r="E285"/>
      <c r="F285"/>
      <c r="G285"/>
      <c r="H285"/>
      <c r="I285"/>
    </row>
    <row r="286" spans="1:9">
      <c r="A286">
        <v>2344</v>
      </c>
      <c r="B286" t="s">
        <v>5446</v>
      </c>
      <c r="C286"/>
      <c r="D286" t="s">
        <v>6586</v>
      </c>
      <c r="E286"/>
      <c r="F286" t="s">
        <v>6586</v>
      </c>
      <c r="G286"/>
      <c r="H286"/>
      <c r="I286"/>
    </row>
    <row r="287" spans="1:9">
      <c r="A287">
        <v>2345</v>
      </c>
      <c r="B287" t="s">
        <v>5447</v>
      </c>
      <c r="C287"/>
      <c r="D287"/>
      <c r="E287"/>
      <c r="F287"/>
      <c r="G287"/>
      <c r="H287" t="s">
        <v>6584</v>
      </c>
      <c r="I287"/>
    </row>
    <row r="288" spans="1:9">
      <c r="A288">
        <v>2347</v>
      </c>
      <c r="B288" t="s">
        <v>5448</v>
      </c>
      <c r="C288"/>
      <c r="D288"/>
      <c r="E288"/>
      <c r="F288"/>
      <c r="G288"/>
      <c r="H288"/>
      <c r="I288"/>
    </row>
    <row r="289" spans="1:9">
      <c r="A289">
        <v>2348</v>
      </c>
      <c r="B289" t="s">
        <v>5449</v>
      </c>
      <c r="C289"/>
      <c r="D289"/>
      <c r="E289"/>
      <c r="F289"/>
      <c r="G289"/>
      <c r="H289"/>
      <c r="I289"/>
    </row>
    <row r="290" spans="1:9">
      <c r="A290">
        <v>2351</v>
      </c>
      <c r="B290" t="s">
        <v>5450</v>
      </c>
      <c r="C290"/>
      <c r="D290"/>
      <c r="E290"/>
      <c r="F290" t="s">
        <v>6585</v>
      </c>
      <c r="G290"/>
      <c r="H290"/>
      <c r="I290"/>
    </row>
    <row r="291" spans="1:9">
      <c r="A291">
        <v>2352</v>
      </c>
      <c r="B291" t="s">
        <v>5451</v>
      </c>
      <c r="C291"/>
      <c r="D291"/>
      <c r="E291"/>
      <c r="F291"/>
      <c r="G291"/>
      <c r="H291"/>
      <c r="I291"/>
    </row>
    <row r="292" spans="1:9">
      <c r="A292">
        <v>2353</v>
      </c>
      <c r="B292" t="s">
        <v>5452</v>
      </c>
      <c r="C292"/>
      <c r="D292"/>
      <c r="E292"/>
      <c r="F292"/>
      <c r="G292"/>
      <c r="H292" t="s">
        <v>6584</v>
      </c>
      <c r="I292"/>
    </row>
    <row r="293" spans="1:9">
      <c r="A293">
        <v>2354</v>
      </c>
      <c r="B293" t="s">
        <v>5453</v>
      </c>
      <c r="C293"/>
      <c r="D293"/>
      <c r="E293"/>
      <c r="F293"/>
      <c r="G293"/>
      <c r="H293"/>
      <c r="I293"/>
    </row>
    <row r="294" spans="1:9">
      <c r="A294">
        <v>2355</v>
      </c>
      <c r="B294" t="s">
        <v>5454</v>
      </c>
      <c r="C294"/>
      <c r="D294"/>
      <c r="E294"/>
      <c r="F294"/>
      <c r="G294"/>
      <c r="H294"/>
      <c r="I294"/>
    </row>
    <row r="295" spans="1:9">
      <c r="A295">
        <v>2356</v>
      </c>
      <c r="B295" t="s">
        <v>5455</v>
      </c>
      <c r="C295"/>
      <c r="D295"/>
      <c r="E295"/>
      <c r="F295"/>
      <c r="G295"/>
      <c r="H295"/>
      <c r="I295"/>
    </row>
    <row r="296" spans="1:9">
      <c r="A296">
        <v>2357</v>
      </c>
      <c r="B296" t="s">
        <v>5456</v>
      </c>
      <c r="C296"/>
      <c r="D296"/>
      <c r="E296"/>
      <c r="F296"/>
      <c r="G296"/>
      <c r="H296"/>
      <c r="I296"/>
    </row>
    <row r="297" spans="1:9">
      <c r="A297">
        <v>2358</v>
      </c>
      <c r="B297" t="s">
        <v>5457</v>
      </c>
      <c r="C297"/>
      <c r="D297"/>
      <c r="E297"/>
      <c r="F297"/>
      <c r="G297"/>
      <c r="H297"/>
      <c r="I297"/>
    </row>
    <row r="298" spans="1:9">
      <c r="A298">
        <v>2359</v>
      </c>
      <c r="B298" t="s">
        <v>5458</v>
      </c>
      <c r="C298" t="s">
        <v>6585</v>
      </c>
      <c r="D298" t="s">
        <v>6586</v>
      </c>
      <c r="E298"/>
      <c r="F298"/>
      <c r="G298"/>
      <c r="H298"/>
      <c r="I298">
        <v>11.97</v>
      </c>
    </row>
    <row r="299" spans="1:9">
      <c r="A299">
        <v>2360</v>
      </c>
      <c r="B299" t="s">
        <v>5459</v>
      </c>
      <c r="C299"/>
      <c r="D299"/>
      <c r="E299"/>
      <c r="F299"/>
      <c r="G299"/>
      <c r="H299"/>
      <c r="I299"/>
    </row>
    <row r="300" spans="1:9">
      <c r="A300">
        <v>2362</v>
      </c>
      <c r="B300" t="s">
        <v>5460</v>
      </c>
      <c r="C300"/>
      <c r="D300"/>
      <c r="E300"/>
      <c r="F300"/>
      <c r="G300"/>
      <c r="H300"/>
      <c r="I300"/>
    </row>
    <row r="301" spans="1:9">
      <c r="A301">
        <v>2363</v>
      </c>
      <c r="B301" t="s">
        <v>5461</v>
      </c>
      <c r="C301"/>
      <c r="D301"/>
      <c r="E301"/>
      <c r="F301"/>
      <c r="G301"/>
      <c r="H301" t="s">
        <v>6584</v>
      </c>
      <c r="I301"/>
    </row>
    <row r="302" spans="1:9">
      <c r="A302">
        <v>2365</v>
      </c>
      <c r="B302" t="s">
        <v>5462</v>
      </c>
      <c r="C302"/>
      <c r="D302"/>
      <c r="E302"/>
      <c r="F302"/>
      <c r="G302"/>
      <c r="H302"/>
      <c r="I302"/>
    </row>
    <row r="303" spans="1:9">
      <c r="A303">
        <v>2367</v>
      </c>
      <c r="B303" t="s">
        <v>5463</v>
      </c>
      <c r="C303"/>
      <c r="D303"/>
      <c r="E303"/>
      <c r="F303"/>
      <c r="G303"/>
      <c r="H303"/>
      <c r="I303"/>
    </row>
    <row r="304" spans="1:9">
      <c r="A304">
        <v>2368</v>
      </c>
      <c r="B304" t="s">
        <v>5464</v>
      </c>
      <c r="C304"/>
      <c r="D304"/>
      <c r="E304"/>
      <c r="F304"/>
      <c r="G304"/>
      <c r="H304" t="s">
        <v>6584</v>
      </c>
      <c r="I304"/>
    </row>
    <row r="305" spans="1:9">
      <c r="A305">
        <v>2369</v>
      </c>
      <c r="B305" t="s">
        <v>5465</v>
      </c>
      <c r="C305"/>
      <c r="D305"/>
      <c r="E305"/>
      <c r="F305"/>
      <c r="G305"/>
      <c r="H305" t="s">
        <v>6584</v>
      </c>
      <c r="I305"/>
    </row>
    <row r="306" spans="1:9">
      <c r="A306">
        <v>2371</v>
      </c>
      <c r="B306" t="s">
        <v>5466</v>
      </c>
      <c r="C306"/>
      <c r="D306"/>
      <c r="E306"/>
      <c r="F306"/>
      <c r="G306"/>
      <c r="H306"/>
      <c r="I306"/>
    </row>
    <row r="307" spans="1:9">
      <c r="A307">
        <v>2373</v>
      </c>
      <c r="B307" t="s">
        <v>5467</v>
      </c>
      <c r="C307"/>
      <c r="D307"/>
      <c r="E307"/>
      <c r="F307"/>
      <c r="G307"/>
      <c r="H307"/>
      <c r="I307"/>
    </row>
    <row r="308" spans="1:9">
      <c r="A308">
        <v>2374</v>
      </c>
      <c r="B308" t="s">
        <v>5468</v>
      </c>
      <c r="C308"/>
      <c r="D308"/>
      <c r="E308"/>
      <c r="F308"/>
      <c r="G308"/>
      <c r="H308"/>
      <c r="I308"/>
    </row>
    <row r="309" spans="1:9">
      <c r="A309">
        <v>2375</v>
      </c>
      <c r="B309" t="s">
        <v>5469</v>
      </c>
      <c r="C309"/>
      <c r="D309"/>
      <c r="E309"/>
      <c r="F309"/>
      <c r="G309"/>
      <c r="H309"/>
      <c r="I309"/>
    </row>
    <row r="310" spans="1:9">
      <c r="A310">
        <v>2376</v>
      </c>
      <c r="B310" t="s">
        <v>5470</v>
      </c>
      <c r="C310"/>
      <c r="D310"/>
      <c r="E310"/>
      <c r="F310"/>
      <c r="G310"/>
      <c r="H310" t="s">
        <v>6584</v>
      </c>
      <c r="I310"/>
    </row>
    <row r="311" spans="1:9">
      <c r="A311">
        <v>2377</v>
      </c>
      <c r="B311" t="s">
        <v>5471</v>
      </c>
      <c r="C311"/>
      <c r="D311" t="s">
        <v>6586</v>
      </c>
      <c r="E311"/>
      <c r="F311"/>
      <c r="G311"/>
      <c r="H311"/>
      <c r="I311"/>
    </row>
    <row r="312" spans="1:9">
      <c r="A312">
        <v>2379</v>
      </c>
      <c r="B312" t="s">
        <v>5472</v>
      </c>
      <c r="C312"/>
      <c r="D312"/>
      <c r="E312"/>
      <c r="F312"/>
      <c r="G312"/>
      <c r="H312"/>
      <c r="I312"/>
    </row>
    <row r="313" spans="1:9">
      <c r="A313">
        <v>2382</v>
      </c>
      <c r="B313" t="s">
        <v>5473</v>
      </c>
      <c r="C313"/>
      <c r="D313"/>
      <c r="E313"/>
      <c r="F313"/>
      <c r="G313"/>
      <c r="H313"/>
      <c r="I313"/>
    </row>
    <row r="314" spans="1:9">
      <c r="A314">
        <v>2383</v>
      </c>
      <c r="B314" t="s">
        <v>5474</v>
      </c>
      <c r="C314"/>
      <c r="D314"/>
      <c r="E314"/>
      <c r="F314"/>
      <c r="G314"/>
      <c r="H314"/>
      <c r="I314"/>
    </row>
    <row r="315" spans="1:9">
      <c r="A315">
        <v>2385</v>
      </c>
      <c r="B315" t="s">
        <v>5475</v>
      </c>
      <c r="C315"/>
      <c r="D315"/>
      <c r="E315"/>
      <c r="F315"/>
      <c r="G315"/>
      <c r="H315"/>
      <c r="I315"/>
    </row>
    <row r="316" spans="1:9">
      <c r="A316">
        <v>2387</v>
      </c>
      <c r="B316" t="s">
        <v>5476</v>
      </c>
      <c r="C316"/>
      <c r="D316"/>
      <c r="E316"/>
      <c r="F316"/>
      <c r="G316"/>
      <c r="H316"/>
      <c r="I316"/>
    </row>
    <row r="317" spans="1:9">
      <c r="A317">
        <v>2388</v>
      </c>
      <c r="B317" t="s">
        <v>5477</v>
      </c>
      <c r="C317"/>
      <c r="D317"/>
      <c r="E317"/>
      <c r="F317"/>
      <c r="G317"/>
      <c r="H317" t="s">
        <v>6584</v>
      </c>
      <c r="I317"/>
    </row>
    <row r="318" spans="1:9">
      <c r="A318">
        <v>2390</v>
      </c>
      <c r="B318" t="s">
        <v>5478</v>
      </c>
      <c r="C318"/>
      <c r="D318"/>
      <c r="E318"/>
      <c r="F318"/>
      <c r="G318"/>
      <c r="H318"/>
      <c r="I318"/>
    </row>
    <row r="319" spans="1:9">
      <c r="A319">
        <v>2392</v>
      </c>
      <c r="B319" t="s">
        <v>5479</v>
      </c>
      <c r="C319"/>
      <c r="D319"/>
      <c r="E319"/>
      <c r="F319"/>
      <c r="G319"/>
      <c r="H319"/>
      <c r="I319"/>
    </row>
    <row r="320" spans="1:9">
      <c r="A320">
        <v>2393</v>
      </c>
      <c r="B320" t="s">
        <v>5480</v>
      </c>
      <c r="C320"/>
      <c r="D320"/>
      <c r="E320"/>
      <c r="F320"/>
      <c r="G320"/>
      <c r="H320"/>
      <c r="I320"/>
    </row>
    <row r="321" spans="1:9">
      <c r="A321">
        <v>2395</v>
      </c>
      <c r="B321" t="s">
        <v>5481</v>
      </c>
      <c r="C321"/>
      <c r="D321"/>
      <c r="E321"/>
      <c r="F321"/>
      <c r="G321"/>
      <c r="H321"/>
      <c r="I321"/>
    </row>
    <row r="322" spans="1:9">
      <c r="A322">
        <v>2397</v>
      </c>
      <c r="B322" t="s">
        <v>5482</v>
      </c>
      <c r="C322"/>
      <c r="D322"/>
      <c r="E322"/>
      <c r="F322"/>
      <c r="G322"/>
      <c r="H322"/>
      <c r="I322"/>
    </row>
    <row r="323" spans="1:9">
      <c r="A323">
        <v>2399</v>
      </c>
      <c r="B323" t="s">
        <v>5483</v>
      </c>
      <c r="C323"/>
      <c r="D323"/>
      <c r="E323"/>
      <c r="F323"/>
      <c r="G323"/>
      <c r="H323"/>
      <c r="I323"/>
    </row>
    <row r="324" spans="1:9">
      <c r="A324">
        <v>2401</v>
      </c>
      <c r="B324" t="s">
        <v>5484</v>
      </c>
      <c r="C324"/>
      <c r="D324"/>
      <c r="E324"/>
      <c r="F324"/>
      <c r="G324"/>
      <c r="H324"/>
      <c r="I324"/>
    </row>
    <row r="325" spans="1:9">
      <c r="A325">
        <v>2402</v>
      </c>
      <c r="B325" t="s">
        <v>5485</v>
      </c>
      <c r="C325"/>
      <c r="D325"/>
      <c r="E325"/>
      <c r="F325"/>
      <c r="G325"/>
      <c r="H325"/>
      <c r="I325"/>
    </row>
    <row r="326" spans="1:9">
      <c r="A326">
        <v>2404</v>
      </c>
      <c r="B326" t="s">
        <v>5486</v>
      </c>
      <c r="C326"/>
      <c r="D326"/>
      <c r="E326"/>
      <c r="F326"/>
      <c r="G326" t="s">
        <v>6583</v>
      </c>
      <c r="H326"/>
      <c r="I326"/>
    </row>
    <row r="327" spans="1:9">
      <c r="A327">
        <v>2406</v>
      </c>
      <c r="B327" t="s">
        <v>5487</v>
      </c>
      <c r="C327"/>
      <c r="D327"/>
      <c r="E327"/>
      <c r="F327"/>
      <c r="G327"/>
      <c r="H327"/>
      <c r="I327"/>
    </row>
    <row r="328" spans="1:9">
      <c r="A328">
        <v>2408</v>
      </c>
      <c r="B328" t="s">
        <v>5488</v>
      </c>
      <c r="C328"/>
      <c r="D328"/>
      <c r="E328"/>
      <c r="F328" t="s">
        <v>6586</v>
      </c>
      <c r="G328"/>
      <c r="H328"/>
      <c r="I328"/>
    </row>
    <row r="329" spans="1:9">
      <c r="A329">
        <v>2409</v>
      </c>
      <c r="B329" t="s">
        <v>5489</v>
      </c>
      <c r="C329"/>
      <c r="D329"/>
      <c r="E329"/>
      <c r="F329"/>
      <c r="G329"/>
      <c r="H329"/>
      <c r="I329"/>
    </row>
    <row r="330" spans="1:9">
      <c r="A330">
        <v>2412</v>
      </c>
      <c r="B330" t="s">
        <v>5490</v>
      </c>
      <c r="C330"/>
      <c r="D330"/>
      <c r="E330"/>
      <c r="F330"/>
      <c r="G330"/>
      <c r="H330"/>
      <c r="I330"/>
    </row>
    <row r="331" spans="1:9">
      <c r="A331">
        <v>2413</v>
      </c>
      <c r="B331" t="s">
        <v>5491</v>
      </c>
      <c r="C331"/>
      <c r="D331"/>
      <c r="E331"/>
      <c r="F331"/>
      <c r="G331"/>
      <c r="H331"/>
      <c r="I331"/>
    </row>
    <row r="332" spans="1:9">
      <c r="A332">
        <v>2414</v>
      </c>
      <c r="B332" t="s">
        <v>5492</v>
      </c>
      <c r="C332"/>
      <c r="D332"/>
      <c r="E332"/>
      <c r="F332"/>
      <c r="G332"/>
      <c r="H332"/>
      <c r="I332"/>
    </row>
    <row r="333" spans="1:9">
      <c r="A333">
        <v>2415</v>
      </c>
      <c r="B333" t="s">
        <v>5493</v>
      </c>
      <c r="C333"/>
      <c r="D333"/>
      <c r="E333"/>
      <c r="F333"/>
      <c r="G333"/>
      <c r="H333"/>
      <c r="I333"/>
    </row>
    <row r="334" spans="1:9">
      <c r="A334">
        <v>2417</v>
      </c>
      <c r="B334" t="s">
        <v>5494</v>
      </c>
      <c r="C334"/>
      <c r="D334"/>
      <c r="E334"/>
      <c r="F334"/>
      <c r="G334"/>
      <c r="H334" t="s">
        <v>6584</v>
      </c>
      <c r="I334"/>
    </row>
    <row r="335" spans="1:9">
      <c r="A335">
        <v>2419</v>
      </c>
      <c r="B335" t="s">
        <v>5495</v>
      </c>
      <c r="C335"/>
      <c r="D335"/>
      <c r="E335"/>
      <c r="F335"/>
      <c r="G335"/>
      <c r="H335"/>
      <c r="I335"/>
    </row>
    <row r="336" spans="1:9">
      <c r="A336">
        <v>2420</v>
      </c>
      <c r="B336" t="s">
        <v>5496</v>
      </c>
      <c r="C336"/>
      <c r="D336"/>
      <c r="E336"/>
      <c r="F336"/>
      <c r="G336"/>
      <c r="H336"/>
      <c r="I336"/>
    </row>
    <row r="337" spans="1:9">
      <c r="A337">
        <v>2421</v>
      </c>
      <c r="B337" t="s">
        <v>5497</v>
      </c>
      <c r="C337"/>
      <c r="D337"/>
      <c r="E337"/>
      <c r="F337"/>
      <c r="G337"/>
      <c r="H337"/>
      <c r="I337"/>
    </row>
    <row r="338" spans="1:9">
      <c r="A338">
        <v>2423</v>
      </c>
      <c r="B338" t="s">
        <v>5498</v>
      </c>
      <c r="C338"/>
      <c r="D338"/>
      <c r="E338"/>
      <c r="F338"/>
      <c r="G338"/>
      <c r="H338"/>
      <c r="I338"/>
    </row>
    <row r="339" spans="1:9">
      <c r="A339">
        <v>2425</v>
      </c>
      <c r="B339" t="s">
        <v>5499</v>
      </c>
      <c r="C339"/>
      <c r="D339"/>
      <c r="E339"/>
      <c r="F339"/>
      <c r="G339"/>
      <c r="H339"/>
      <c r="I339"/>
    </row>
    <row r="340" spans="1:9">
      <c r="A340">
        <v>2426</v>
      </c>
      <c r="B340" t="s">
        <v>5500</v>
      </c>
      <c r="C340"/>
      <c r="D340"/>
      <c r="E340"/>
      <c r="F340"/>
      <c r="G340"/>
      <c r="H340"/>
      <c r="I340"/>
    </row>
    <row r="341" spans="1:9">
      <c r="A341">
        <v>2427</v>
      </c>
      <c r="B341" t="s">
        <v>5501</v>
      </c>
      <c r="C341"/>
      <c r="D341"/>
      <c r="E341"/>
      <c r="F341"/>
      <c r="G341"/>
      <c r="H341"/>
      <c r="I341"/>
    </row>
    <row r="342" spans="1:9">
      <c r="A342">
        <v>2428</v>
      </c>
      <c r="B342" t="s">
        <v>5502</v>
      </c>
      <c r="C342"/>
      <c r="D342"/>
      <c r="E342"/>
      <c r="F342"/>
      <c r="G342"/>
      <c r="H342"/>
      <c r="I342"/>
    </row>
    <row r="343" spans="1:9">
      <c r="A343">
        <v>2430</v>
      </c>
      <c r="B343" t="s">
        <v>5503</v>
      </c>
      <c r="C343"/>
      <c r="D343"/>
      <c r="E343"/>
      <c r="F343"/>
      <c r="G343"/>
      <c r="H343" t="s">
        <v>6584</v>
      </c>
      <c r="I343"/>
    </row>
    <row r="344" spans="1:9">
      <c r="A344">
        <v>2431</v>
      </c>
      <c r="B344" t="s">
        <v>5504</v>
      </c>
      <c r="C344"/>
      <c r="D344"/>
      <c r="E344"/>
      <c r="F344"/>
      <c r="G344"/>
      <c r="H344"/>
      <c r="I344"/>
    </row>
    <row r="345" spans="1:9">
      <c r="A345">
        <v>2433</v>
      </c>
      <c r="B345" t="s">
        <v>5505</v>
      </c>
      <c r="C345"/>
      <c r="D345"/>
      <c r="E345"/>
      <c r="F345"/>
      <c r="G345"/>
      <c r="H345"/>
      <c r="I345"/>
    </row>
    <row r="346" spans="1:9">
      <c r="A346">
        <v>2434</v>
      </c>
      <c r="B346" t="s">
        <v>5506</v>
      </c>
      <c r="C346"/>
      <c r="D346"/>
      <c r="E346"/>
      <c r="F346"/>
      <c r="G346"/>
      <c r="H346"/>
      <c r="I346"/>
    </row>
    <row r="347" spans="1:9">
      <c r="A347">
        <v>2436</v>
      </c>
      <c r="B347" t="s">
        <v>5507</v>
      </c>
      <c r="C347"/>
      <c r="D347"/>
      <c r="E347"/>
      <c r="F347" t="s">
        <v>6586</v>
      </c>
      <c r="G347"/>
      <c r="H347"/>
      <c r="I347"/>
    </row>
    <row r="348" spans="1:9">
      <c r="A348">
        <v>2439</v>
      </c>
      <c r="B348" t="s">
        <v>5508</v>
      </c>
      <c r="C348"/>
      <c r="D348"/>
      <c r="E348"/>
      <c r="F348"/>
      <c r="G348"/>
      <c r="H348"/>
      <c r="I348"/>
    </row>
    <row r="349" spans="1:9">
      <c r="A349">
        <v>2441</v>
      </c>
      <c r="B349" t="s">
        <v>5509</v>
      </c>
      <c r="C349"/>
      <c r="D349"/>
      <c r="E349"/>
      <c r="F349"/>
      <c r="G349"/>
      <c r="H349"/>
      <c r="I349"/>
    </row>
    <row r="350" spans="1:9">
      <c r="A350">
        <v>2442</v>
      </c>
      <c r="B350" t="s">
        <v>5510</v>
      </c>
      <c r="C350"/>
      <c r="D350"/>
      <c r="E350"/>
      <c r="F350"/>
      <c r="G350"/>
      <c r="H350"/>
      <c r="I350"/>
    </row>
    <row r="351" spans="1:9">
      <c r="A351">
        <v>2449</v>
      </c>
      <c r="B351" t="s">
        <v>5511</v>
      </c>
      <c r="C351"/>
      <c r="D351"/>
      <c r="E351"/>
      <c r="F351"/>
      <c r="G351"/>
      <c r="H351"/>
      <c r="I351"/>
    </row>
    <row r="352" spans="1:9">
      <c r="A352">
        <v>2450</v>
      </c>
      <c r="B352" t="s">
        <v>5512</v>
      </c>
      <c r="C352"/>
      <c r="D352"/>
      <c r="E352"/>
      <c r="F352"/>
      <c r="G352"/>
      <c r="H352"/>
      <c r="I352"/>
    </row>
    <row r="353" spans="1:9">
      <c r="A353">
        <v>2451</v>
      </c>
      <c r="B353" t="s">
        <v>5513</v>
      </c>
      <c r="C353"/>
      <c r="D353"/>
      <c r="E353"/>
      <c r="F353"/>
      <c r="G353"/>
      <c r="H353"/>
      <c r="I353"/>
    </row>
    <row r="354" spans="1:9">
      <c r="A354">
        <v>2453</v>
      </c>
      <c r="B354" t="s">
        <v>5514</v>
      </c>
      <c r="C354"/>
      <c r="D354"/>
      <c r="E354"/>
      <c r="F354"/>
      <c r="G354"/>
      <c r="H354"/>
      <c r="I354"/>
    </row>
    <row r="355" spans="1:9">
      <c r="A355">
        <v>2454</v>
      </c>
      <c r="B355" t="s">
        <v>5515</v>
      </c>
      <c r="C355"/>
      <c r="D355"/>
      <c r="E355"/>
      <c r="F355"/>
      <c r="G355"/>
      <c r="H355"/>
      <c r="I355"/>
    </row>
    <row r="356" spans="1:9">
      <c r="A356">
        <v>2455</v>
      </c>
      <c r="B356" t="s">
        <v>5516</v>
      </c>
      <c r="C356"/>
      <c r="D356"/>
      <c r="E356"/>
      <c r="F356"/>
      <c r="G356"/>
      <c r="H356"/>
      <c r="I356"/>
    </row>
    <row r="357" spans="1:9">
      <c r="A357">
        <v>2457</v>
      </c>
      <c r="B357" t="s">
        <v>5517</v>
      </c>
      <c r="C357"/>
      <c r="D357" t="s">
        <v>6585</v>
      </c>
      <c r="E357" t="s">
        <v>6585</v>
      </c>
      <c r="F357"/>
      <c r="G357"/>
      <c r="H357"/>
      <c r="I357">
        <v>15.57</v>
      </c>
    </row>
    <row r="358" spans="1:9">
      <c r="A358">
        <v>2458</v>
      </c>
      <c r="B358" t="s">
        <v>5518</v>
      </c>
      <c r="C358"/>
      <c r="D358"/>
      <c r="E358"/>
      <c r="F358"/>
      <c r="G358"/>
      <c r="H358" t="s">
        <v>6584</v>
      </c>
      <c r="I358"/>
    </row>
    <row r="359" spans="1:9">
      <c r="A359">
        <v>2459</v>
      </c>
      <c r="B359" t="s">
        <v>5519</v>
      </c>
      <c r="C359"/>
      <c r="D359"/>
      <c r="E359"/>
      <c r="F359"/>
      <c r="G359"/>
      <c r="H359"/>
      <c r="I359"/>
    </row>
    <row r="360" spans="1:9">
      <c r="A360">
        <v>2460</v>
      </c>
      <c r="B360" t="s">
        <v>5520</v>
      </c>
      <c r="C360"/>
      <c r="D360"/>
      <c r="E360"/>
      <c r="F360"/>
      <c r="G360"/>
      <c r="H360"/>
      <c r="I360"/>
    </row>
    <row r="361" spans="1:9">
      <c r="A361">
        <v>2461</v>
      </c>
      <c r="B361" t="s">
        <v>5521</v>
      </c>
      <c r="C361"/>
      <c r="D361" t="s">
        <v>6586</v>
      </c>
      <c r="E361"/>
      <c r="F361"/>
      <c r="G361"/>
      <c r="H361"/>
      <c r="I361"/>
    </row>
    <row r="362" spans="1:9">
      <c r="A362">
        <v>2462</v>
      </c>
      <c r="B362" t="s">
        <v>5522</v>
      </c>
      <c r="C362"/>
      <c r="D362"/>
      <c r="E362"/>
      <c r="F362"/>
      <c r="G362"/>
      <c r="H362"/>
      <c r="I362"/>
    </row>
    <row r="363" spans="1:9">
      <c r="A363">
        <v>2464</v>
      </c>
      <c r="B363" t="s">
        <v>5523</v>
      </c>
      <c r="C363"/>
      <c r="D363"/>
      <c r="E363"/>
      <c r="F363"/>
      <c r="G363"/>
      <c r="H363"/>
      <c r="I363"/>
    </row>
    <row r="364" spans="1:9">
      <c r="A364">
        <v>2465</v>
      </c>
      <c r="B364" t="s">
        <v>5524</v>
      </c>
      <c r="C364"/>
      <c r="D364"/>
      <c r="E364"/>
      <c r="F364"/>
      <c r="G364"/>
      <c r="H364" t="s">
        <v>6584</v>
      </c>
      <c r="I364"/>
    </row>
    <row r="365" spans="1:9">
      <c r="A365">
        <v>2466</v>
      </c>
      <c r="B365" t="s">
        <v>5525</v>
      </c>
      <c r="C365"/>
      <c r="D365"/>
      <c r="E365"/>
      <c r="F365"/>
      <c r="G365"/>
      <c r="H365"/>
      <c r="I365"/>
    </row>
    <row r="366" spans="1:9">
      <c r="A366">
        <v>2467</v>
      </c>
      <c r="B366" t="s">
        <v>5526</v>
      </c>
      <c r="C366"/>
      <c r="D366"/>
      <c r="E366"/>
      <c r="F366"/>
      <c r="G366"/>
      <c r="H366"/>
      <c r="I366"/>
    </row>
    <row r="367" spans="1:9">
      <c r="A367">
        <v>2468</v>
      </c>
      <c r="B367" t="s">
        <v>5527</v>
      </c>
      <c r="C367"/>
      <c r="D367"/>
      <c r="E367"/>
      <c r="F367"/>
      <c r="G367"/>
      <c r="H367"/>
      <c r="I367"/>
    </row>
    <row r="368" spans="1:9">
      <c r="A368">
        <v>2471</v>
      </c>
      <c r="B368" t="s">
        <v>5528</v>
      </c>
      <c r="C368"/>
      <c r="D368"/>
      <c r="E368"/>
      <c r="F368"/>
      <c r="G368"/>
      <c r="H368"/>
      <c r="I368"/>
    </row>
    <row r="369" spans="1:9">
      <c r="A369">
        <v>2472</v>
      </c>
      <c r="B369" t="s">
        <v>5529</v>
      </c>
      <c r="C369"/>
      <c r="D369"/>
      <c r="E369"/>
      <c r="F369"/>
      <c r="G369"/>
      <c r="H369"/>
      <c r="I369"/>
    </row>
    <row r="370" spans="1:9">
      <c r="A370">
        <v>2474</v>
      </c>
      <c r="B370" t="s">
        <v>5530</v>
      </c>
      <c r="C370"/>
      <c r="D370"/>
      <c r="E370"/>
      <c r="F370"/>
      <c r="G370"/>
      <c r="H370"/>
      <c r="I370"/>
    </row>
    <row r="371" spans="1:9">
      <c r="A371">
        <v>2476</v>
      </c>
      <c r="B371" t="s">
        <v>5531</v>
      </c>
      <c r="C371"/>
      <c r="D371"/>
      <c r="E371"/>
      <c r="F371"/>
      <c r="G371"/>
      <c r="H371"/>
      <c r="I371"/>
    </row>
    <row r="372" spans="1:9">
      <c r="A372">
        <v>2477</v>
      </c>
      <c r="B372" t="s">
        <v>5532</v>
      </c>
      <c r="C372"/>
      <c r="D372"/>
      <c r="E372"/>
      <c r="F372"/>
      <c r="G372"/>
      <c r="H372"/>
      <c r="I372"/>
    </row>
    <row r="373" spans="1:9">
      <c r="A373">
        <v>2478</v>
      </c>
      <c r="B373" t="s">
        <v>5533</v>
      </c>
      <c r="C373"/>
      <c r="D373"/>
      <c r="E373"/>
      <c r="F373"/>
      <c r="G373"/>
      <c r="H373"/>
      <c r="I373"/>
    </row>
    <row r="374" spans="1:9">
      <c r="A374">
        <v>2480</v>
      </c>
      <c r="B374" t="s">
        <v>5534</v>
      </c>
      <c r="C374"/>
      <c r="D374" t="s">
        <v>6586</v>
      </c>
      <c r="E374"/>
      <c r="F374"/>
      <c r="G374"/>
      <c r="H374"/>
      <c r="I374"/>
    </row>
    <row r="375" spans="1:9">
      <c r="A375">
        <v>2481</v>
      </c>
      <c r="B375" t="s">
        <v>5535</v>
      </c>
      <c r="C375"/>
      <c r="D375"/>
      <c r="E375"/>
      <c r="F375" t="s">
        <v>6586</v>
      </c>
      <c r="G375" t="s">
        <v>6583</v>
      </c>
      <c r="H375" t="s">
        <v>6584</v>
      </c>
      <c r="I375">
        <v>5.75</v>
      </c>
    </row>
    <row r="376" spans="1:9">
      <c r="A376">
        <v>2482</v>
      </c>
      <c r="B376" t="s">
        <v>5536</v>
      </c>
      <c r="C376"/>
      <c r="D376" t="s">
        <v>6586</v>
      </c>
      <c r="E376"/>
      <c r="F376"/>
      <c r="G376" t="s">
        <v>6583</v>
      </c>
      <c r="H376"/>
      <c r="I376"/>
    </row>
    <row r="377" spans="1:9">
      <c r="A377">
        <v>2483</v>
      </c>
      <c r="B377" t="s">
        <v>5537</v>
      </c>
      <c r="C377"/>
      <c r="D377"/>
      <c r="E377"/>
      <c r="F377"/>
      <c r="G377"/>
      <c r="H377"/>
      <c r="I377"/>
    </row>
    <row r="378" spans="1:9">
      <c r="A378">
        <v>2484</v>
      </c>
      <c r="B378" t="s">
        <v>5538</v>
      </c>
      <c r="C378"/>
      <c r="D378"/>
      <c r="E378"/>
      <c r="F378"/>
      <c r="G378"/>
      <c r="H378"/>
      <c r="I378"/>
    </row>
    <row r="379" spans="1:9">
      <c r="A379">
        <v>2485</v>
      </c>
      <c r="B379" t="s">
        <v>5539</v>
      </c>
      <c r="C379"/>
      <c r="D379"/>
      <c r="E379"/>
      <c r="F379"/>
      <c r="G379"/>
      <c r="H379"/>
      <c r="I379"/>
    </row>
    <row r="380" spans="1:9">
      <c r="A380">
        <v>2486</v>
      </c>
      <c r="B380" t="s">
        <v>5540</v>
      </c>
      <c r="C380" t="s">
        <v>6585</v>
      </c>
      <c r="D380"/>
      <c r="E380"/>
      <c r="F380"/>
      <c r="G380" t="s">
        <v>6583</v>
      </c>
      <c r="H380"/>
      <c r="I380"/>
    </row>
    <row r="381" spans="1:9">
      <c r="A381">
        <v>2488</v>
      </c>
      <c r="B381" t="s">
        <v>5541</v>
      </c>
      <c r="C381"/>
      <c r="D381"/>
      <c r="E381"/>
      <c r="F381"/>
      <c r="G381"/>
      <c r="H381"/>
      <c r="I381"/>
    </row>
    <row r="382" spans="1:9">
      <c r="A382">
        <v>2489</v>
      </c>
      <c r="B382" t="s">
        <v>5542</v>
      </c>
      <c r="C382"/>
      <c r="D382"/>
      <c r="E382"/>
      <c r="F382"/>
      <c r="G382"/>
      <c r="H382"/>
      <c r="I382"/>
    </row>
    <row r="383" spans="1:9">
      <c r="A383">
        <v>2491</v>
      </c>
      <c r="B383" t="s">
        <v>5543</v>
      </c>
      <c r="C383"/>
      <c r="D383"/>
      <c r="E383"/>
      <c r="F383"/>
      <c r="G383"/>
      <c r="H383"/>
      <c r="I383">
        <v>10.61</v>
      </c>
    </row>
    <row r="384" spans="1:9">
      <c r="A384">
        <v>2492</v>
      </c>
      <c r="B384" t="s">
        <v>5544</v>
      </c>
      <c r="C384"/>
      <c r="D384"/>
      <c r="E384"/>
      <c r="F384"/>
      <c r="G384"/>
      <c r="H384"/>
      <c r="I384"/>
    </row>
    <row r="385" spans="1:9">
      <c r="A385">
        <v>2493</v>
      </c>
      <c r="B385" t="s">
        <v>5545</v>
      </c>
      <c r="C385"/>
      <c r="D385"/>
      <c r="E385"/>
      <c r="F385"/>
      <c r="G385"/>
      <c r="H385"/>
      <c r="I385"/>
    </row>
    <row r="386" spans="1:9">
      <c r="A386">
        <v>2495</v>
      </c>
      <c r="B386" t="s">
        <v>5546</v>
      </c>
      <c r="C386"/>
      <c r="D386"/>
      <c r="E386"/>
      <c r="F386"/>
      <c r="G386"/>
      <c r="H386"/>
      <c r="I386"/>
    </row>
    <row r="387" spans="1:9">
      <c r="A387">
        <v>2496</v>
      </c>
      <c r="B387" t="s">
        <v>5547</v>
      </c>
      <c r="C387"/>
      <c r="D387"/>
      <c r="E387"/>
      <c r="F387"/>
      <c r="G387"/>
      <c r="H387"/>
      <c r="I387"/>
    </row>
    <row r="388" spans="1:9">
      <c r="A388">
        <v>2497</v>
      </c>
      <c r="B388" t="s">
        <v>5548</v>
      </c>
      <c r="C388"/>
      <c r="D388" t="s">
        <v>6586</v>
      </c>
      <c r="E388"/>
      <c r="F388"/>
      <c r="G388"/>
      <c r="H388" t="s">
        <v>6584</v>
      </c>
      <c r="I388">
        <v>23.54</v>
      </c>
    </row>
    <row r="389" spans="1:9">
      <c r="A389">
        <v>2498</v>
      </c>
      <c r="B389" t="s">
        <v>5549</v>
      </c>
      <c r="C389"/>
      <c r="D389" t="s">
        <v>6586</v>
      </c>
      <c r="E389" t="s">
        <v>6585</v>
      </c>
      <c r="F389"/>
      <c r="G389"/>
      <c r="H389" t="s">
        <v>6584</v>
      </c>
      <c r="I389"/>
    </row>
    <row r="390" spans="1:9">
      <c r="A390">
        <v>2501</v>
      </c>
      <c r="B390" t="s">
        <v>5550</v>
      </c>
      <c r="C390"/>
      <c r="D390"/>
      <c r="E390"/>
      <c r="F390"/>
      <c r="G390"/>
      <c r="H390"/>
      <c r="I390"/>
    </row>
    <row r="391" spans="1:9">
      <c r="A391">
        <v>2504</v>
      </c>
      <c r="B391" t="s">
        <v>5551</v>
      </c>
      <c r="C391"/>
      <c r="D391"/>
      <c r="E391"/>
      <c r="F391"/>
      <c r="G391" t="s">
        <v>6587</v>
      </c>
      <c r="H391"/>
      <c r="I391"/>
    </row>
    <row r="392" spans="1:9">
      <c r="A392">
        <v>2505</v>
      </c>
      <c r="B392" t="s">
        <v>5552</v>
      </c>
      <c r="C392"/>
      <c r="D392"/>
      <c r="E392"/>
      <c r="F392"/>
      <c r="G392"/>
      <c r="H392"/>
      <c r="I392"/>
    </row>
    <row r="393" spans="1:9">
      <c r="A393">
        <v>2506</v>
      </c>
      <c r="B393" t="s">
        <v>5553</v>
      </c>
      <c r="C393"/>
      <c r="D393"/>
      <c r="E393"/>
      <c r="F393"/>
      <c r="G393"/>
      <c r="H393"/>
      <c r="I393"/>
    </row>
    <row r="394" spans="1:9">
      <c r="A394">
        <v>2509</v>
      </c>
      <c r="B394" t="s">
        <v>5554</v>
      </c>
      <c r="C394"/>
      <c r="D394"/>
      <c r="E394"/>
      <c r="F394"/>
      <c r="G394"/>
      <c r="H394"/>
      <c r="I394"/>
    </row>
    <row r="395" spans="1:9">
      <c r="A395">
        <v>2511</v>
      </c>
      <c r="B395" t="s">
        <v>5555</v>
      </c>
      <c r="C395"/>
      <c r="D395"/>
      <c r="E395"/>
      <c r="F395"/>
      <c r="G395"/>
      <c r="H395"/>
      <c r="I395"/>
    </row>
    <row r="396" spans="1:9">
      <c r="A396">
        <v>2514</v>
      </c>
      <c r="B396" t="s">
        <v>5556</v>
      </c>
      <c r="C396"/>
      <c r="D396"/>
      <c r="E396"/>
      <c r="F396"/>
      <c r="G396"/>
      <c r="H396"/>
      <c r="I396"/>
    </row>
    <row r="397" spans="1:9">
      <c r="A397">
        <v>2515</v>
      </c>
      <c r="B397" t="s">
        <v>5557</v>
      </c>
      <c r="C397"/>
      <c r="D397"/>
      <c r="E397"/>
      <c r="F397"/>
      <c r="G397" t="s">
        <v>6587</v>
      </c>
      <c r="H397"/>
      <c r="I397"/>
    </row>
    <row r="398" spans="1:9">
      <c r="A398">
        <v>2520</v>
      </c>
      <c r="B398" t="s">
        <v>5558</v>
      </c>
      <c r="C398"/>
      <c r="D398"/>
      <c r="E398"/>
      <c r="F398"/>
      <c r="G398"/>
      <c r="H398"/>
      <c r="I398"/>
    </row>
    <row r="399" spans="1:9">
      <c r="A399">
        <v>2524</v>
      </c>
      <c r="B399" t="s">
        <v>5559</v>
      </c>
      <c r="C399"/>
      <c r="D399"/>
      <c r="E399"/>
      <c r="F399"/>
      <c r="G399"/>
      <c r="H399"/>
      <c r="I399"/>
    </row>
    <row r="400" spans="1:9">
      <c r="A400">
        <v>2527</v>
      </c>
      <c r="B400" t="s">
        <v>5560</v>
      </c>
      <c r="C400"/>
      <c r="D400"/>
      <c r="E400"/>
      <c r="F400"/>
      <c r="G400"/>
      <c r="H400"/>
      <c r="I400"/>
    </row>
    <row r="401" spans="1:9">
      <c r="A401">
        <v>2528</v>
      </c>
      <c r="B401" t="s">
        <v>5561</v>
      </c>
      <c r="C401"/>
      <c r="D401"/>
      <c r="E401"/>
      <c r="F401"/>
      <c r="G401"/>
      <c r="H401"/>
      <c r="I401"/>
    </row>
    <row r="402" spans="1:9">
      <c r="A402">
        <v>2530</v>
      </c>
      <c r="B402" t="s">
        <v>5562</v>
      </c>
      <c r="C402"/>
      <c r="D402"/>
      <c r="E402"/>
      <c r="F402"/>
      <c r="G402"/>
      <c r="H402"/>
      <c r="I402"/>
    </row>
    <row r="403" spans="1:9">
      <c r="A403">
        <v>2534</v>
      </c>
      <c r="B403" t="s">
        <v>5563</v>
      </c>
      <c r="C403"/>
      <c r="D403"/>
      <c r="E403"/>
      <c r="F403"/>
      <c r="G403"/>
      <c r="H403"/>
      <c r="I403"/>
    </row>
    <row r="404" spans="1:9">
      <c r="A404">
        <v>2535</v>
      </c>
      <c r="B404" t="s">
        <v>5564</v>
      </c>
      <c r="C404"/>
      <c r="D404"/>
      <c r="E404"/>
      <c r="F404"/>
      <c r="G404"/>
      <c r="H404"/>
      <c r="I404"/>
    </row>
    <row r="405" spans="1:9">
      <c r="A405">
        <v>2536</v>
      </c>
      <c r="B405" t="s">
        <v>5565</v>
      </c>
      <c r="C405"/>
      <c r="D405"/>
      <c r="E405"/>
      <c r="F405"/>
      <c r="G405"/>
      <c r="H405"/>
      <c r="I405"/>
    </row>
    <row r="406" spans="1:9">
      <c r="A406">
        <v>2537</v>
      </c>
      <c r="B406" t="s">
        <v>5566</v>
      </c>
      <c r="C406"/>
      <c r="D406"/>
      <c r="E406"/>
      <c r="F406"/>
      <c r="G406"/>
      <c r="H406"/>
      <c r="I406"/>
    </row>
    <row r="407" spans="1:9">
      <c r="A407">
        <v>2538</v>
      </c>
      <c r="B407" t="s">
        <v>5567</v>
      </c>
      <c r="C407"/>
      <c r="D407"/>
      <c r="E407"/>
      <c r="F407"/>
      <c r="G407"/>
      <c r="H407"/>
      <c r="I407"/>
    </row>
    <row r="408" spans="1:9">
      <c r="A408">
        <v>2539</v>
      </c>
      <c r="B408" t="s">
        <v>5568</v>
      </c>
      <c r="C408"/>
      <c r="D408"/>
      <c r="E408"/>
      <c r="F408"/>
      <c r="G408"/>
      <c r="H408" t="s">
        <v>6584</v>
      </c>
      <c r="I408"/>
    </row>
    <row r="409" spans="1:9">
      <c r="A409">
        <v>2540</v>
      </c>
      <c r="B409" t="s">
        <v>5569</v>
      </c>
      <c r="C409"/>
      <c r="D409"/>
      <c r="E409"/>
      <c r="F409"/>
      <c r="G409" t="s">
        <v>6583</v>
      </c>
      <c r="H409"/>
      <c r="I409"/>
    </row>
    <row r="410" spans="1:9">
      <c r="A410">
        <v>2545</v>
      </c>
      <c r="B410" t="s">
        <v>5570</v>
      </c>
      <c r="C410"/>
      <c r="D410"/>
      <c r="E410"/>
      <c r="F410"/>
      <c r="G410"/>
      <c r="H410" t="s">
        <v>6589</v>
      </c>
      <c r="I410"/>
    </row>
    <row r="411" spans="1:9">
      <c r="A411">
        <v>2546</v>
      </c>
      <c r="B411" t="s">
        <v>5571</v>
      </c>
      <c r="C411"/>
      <c r="D411"/>
      <c r="E411"/>
      <c r="F411"/>
      <c r="G411"/>
      <c r="H411"/>
      <c r="I411"/>
    </row>
    <row r="412" spans="1:9">
      <c r="A412">
        <v>2547</v>
      </c>
      <c r="B412" t="s">
        <v>5572</v>
      </c>
      <c r="C412"/>
      <c r="D412"/>
      <c r="E412"/>
      <c r="F412"/>
      <c r="G412"/>
      <c r="H412"/>
      <c r="I412"/>
    </row>
    <row r="413" spans="1:9">
      <c r="A413">
        <v>2548</v>
      </c>
      <c r="B413" t="s">
        <v>5573</v>
      </c>
      <c r="C413"/>
      <c r="D413"/>
      <c r="E413"/>
      <c r="F413"/>
      <c r="G413"/>
      <c r="H413"/>
      <c r="I413"/>
    </row>
    <row r="414" spans="1:9">
      <c r="A414">
        <v>2596</v>
      </c>
      <c r="B414" t="s">
        <v>5574</v>
      </c>
      <c r="C414"/>
      <c r="D414"/>
      <c r="E414"/>
      <c r="F414"/>
      <c r="G414"/>
      <c r="H414"/>
      <c r="I414"/>
    </row>
    <row r="415" spans="1:9">
      <c r="A415">
        <v>2597</v>
      </c>
      <c r="B415" t="s">
        <v>5575</v>
      </c>
      <c r="C415"/>
      <c r="D415"/>
      <c r="E415"/>
      <c r="F415"/>
      <c r="G415"/>
      <c r="H415"/>
      <c r="I415"/>
    </row>
    <row r="416" spans="1:9">
      <c r="A416">
        <v>2601</v>
      </c>
      <c r="B416" t="s">
        <v>5576</v>
      </c>
      <c r="C416"/>
      <c r="D416"/>
      <c r="E416"/>
      <c r="F416"/>
      <c r="G416"/>
      <c r="H416"/>
      <c r="I416"/>
    </row>
    <row r="417" spans="1:9">
      <c r="A417">
        <v>2603</v>
      </c>
      <c r="B417" t="s">
        <v>5577</v>
      </c>
      <c r="C417"/>
      <c r="D417"/>
      <c r="E417"/>
      <c r="F417"/>
      <c r="G417"/>
      <c r="H417"/>
      <c r="I417"/>
    </row>
    <row r="418" spans="1:9">
      <c r="A418">
        <v>2605</v>
      </c>
      <c r="B418" t="s">
        <v>5578</v>
      </c>
      <c r="C418"/>
      <c r="D418"/>
      <c r="E418"/>
      <c r="F418"/>
      <c r="G418"/>
      <c r="H418"/>
      <c r="I418"/>
    </row>
    <row r="419" spans="1:9">
      <c r="A419">
        <v>2606</v>
      </c>
      <c r="B419" t="s">
        <v>5579</v>
      </c>
      <c r="C419"/>
      <c r="D419"/>
      <c r="E419"/>
      <c r="F419"/>
      <c r="G419"/>
      <c r="H419"/>
      <c r="I419"/>
    </row>
    <row r="420" spans="1:9">
      <c r="A420">
        <v>2607</v>
      </c>
      <c r="B420" t="s">
        <v>5580</v>
      </c>
      <c r="C420"/>
      <c r="D420"/>
      <c r="E420"/>
      <c r="F420"/>
      <c r="G420"/>
      <c r="H420" t="s">
        <v>6584</v>
      </c>
      <c r="I420"/>
    </row>
    <row r="421" spans="1:9">
      <c r="A421">
        <v>2608</v>
      </c>
      <c r="B421" t="s">
        <v>5581</v>
      </c>
      <c r="C421"/>
      <c r="D421"/>
      <c r="E421"/>
      <c r="F421"/>
      <c r="G421"/>
      <c r="H421"/>
      <c r="I421"/>
    </row>
    <row r="422" spans="1:9">
      <c r="A422">
        <v>2609</v>
      </c>
      <c r="B422" t="s">
        <v>5582</v>
      </c>
      <c r="C422"/>
      <c r="D422"/>
      <c r="E422"/>
      <c r="F422"/>
      <c r="G422"/>
      <c r="H422"/>
      <c r="I422"/>
    </row>
    <row r="423" spans="1:9">
      <c r="A423">
        <v>2610</v>
      </c>
      <c r="B423" t="s">
        <v>5583</v>
      </c>
      <c r="C423"/>
      <c r="D423"/>
      <c r="E423"/>
      <c r="F423"/>
      <c r="G423"/>
      <c r="H423"/>
      <c r="I423"/>
    </row>
    <row r="424" spans="1:9">
      <c r="A424">
        <v>2611</v>
      </c>
      <c r="B424" t="s">
        <v>5584</v>
      </c>
      <c r="C424"/>
      <c r="D424"/>
      <c r="E424"/>
      <c r="F424"/>
      <c r="G424"/>
      <c r="H424" t="s">
        <v>6584</v>
      </c>
      <c r="I424"/>
    </row>
    <row r="425" spans="1:9">
      <c r="A425">
        <v>2612</v>
      </c>
      <c r="B425" t="s">
        <v>5585</v>
      </c>
      <c r="C425"/>
      <c r="D425"/>
      <c r="E425"/>
      <c r="F425"/>
      <c r="G425"/>
      <c r="H425"/>
      <c r="I425"/>
    </row>
    <row r="426" spans="1:9">
      <c r="A426">
        <v>2613</v>
      </c>
      <c r="B426" t="s">
        <v>5586</v>
      </c>
      <c r="C426"/>
      <c r="D426"/>
      <c r="E426"/>
      <c r="F426"/>
      <c r="G426"/>
      <c r="H426" t="s">
        <v>6584</v>
      </c>
      <c r="I426"/>
    </row>
    <row r="427" spans="1:9">
      <c r="A427">
        <v>2614</v>
      </c>
      <c r="B427" t="s">
        <v>5587</v>
      </c>
      <c r="C427"/>
      <c r="D427"/>
      <c r="E427"/>
      <c r="F427"/>
      <c r="G427"/>
      <c r="H427"/>
      <c r="I427"/>
    </row>
    <row r="428" spans="1:9">
      <c r="A428">
        <v>2615</v>
      </c>
      <c r="B428" t="s">
        <v>5588</v>
      </c>
      <c r="C428"/>
      <c r="D428"/>
      <c r="E428"/>
      <c r="F428"/>
      <c r="G428"/>
      <c r="H428"/>
      <c r="I428"/>
    </row>
    <row r="429" spans="1:9">
      <c r="A429">
        <v>2616</v>
      </c>
      <c r="B429" t="s">
        <v>5589</v>
      </c>
      <c r="C429"/>
      <c r="D429"/>
      <c r="E429"/>
      <c r="F429"/>
      <c r="G429"/>
      <c r="H429"/>
      <c r="I429"/>
    </row>
    <row r="430" spans="1:9">
      <c r="A430">
        <v>2617</v>
      </c>
      <c r="B430" t="s">
        <v>5590</v>
      </c>
      <c r="C430"/>
      <c r="D430"/>
      <c r="E430"/>
      <c r="F430"/>
      <c r="G430"/>
      <c r="H430"/>
      <c r="I430"/>
    </row>
    <row r="431" spans="1:9">
      <c r="A431">
        <v>2618</v>
      </c>
      <c r="B431" t="s">
        <v>5591</v>
      </c>
      <c r="C431"/>
      <c r="D431"/>
      <c r="E431" t="s">
        <v>6586</v>
      </c>
      <c r="F431"/>
      <c r="G431"/>
      <c r="H431"/>
      <c r="I431"/>
    </row>
    <row r="432" spans="1:9">
      <c r="A432">
        <v>2633</v>
      </c>
      <c r="B432" t="s">
        <v>5592</v>
      </c>
      <c r="C432"/>
      <c r="D432"/>
      <c r="E432"/>
      <c r="F432"/>
      <c r="G432"/>
      <c r="H432"/>
      <c r="I432"/>
    </row>
    <row r="433" spans="1:9">
      <c r="A433">
        <v>2634</v>
      </c>
      <c r="B433" t="s">
        <v>5593</v>
      </c>
      <c r="C433"/>
      <c r="D433"/>
      <c r="E433"/>
      <c r="F433"/>
      <c r="G433"/>
      <c r="H433"/>
      <c r="I433"/>
    </row>
    <row r="434" spans="1:9">
      <c r="A434">
        <v>2636</v>
      </c>
      <c r="B434" t="s">
        <v>5594</v>
      </c>
      <c r="C434"/>
      <c r="D434"/>
      <c r="E434"/>
      <c r="F434"/>
      <c r="G434"/>
      <c r="H434"/>
      <c r="I434"/>
    </row>
    <row r="435" spans="1:9">
      <c r="A435">
        <v>2637</v>
      </c>
      <c r="B435" t="s">
        <v>5595</v>
      </c>
      <c r="C435"/>
      <c r="D435"/>
      <c r="E435"/>
      <c r="F435"/>
      <c r="G435"/>
      <c r="H435"/>
      <c r="I435"/>
    </row>
    <row r="436" spans="1:9">
      <c r="A436">
        <v>2640</v>
      </c>
      <c r="B436" t="s">
        <v>5596</v>
      </c>
      <c r="C436"/>
      <c r="D436"/>
      <c r="E436"/>
      <c r="F436"/>
      <c r="G436"/>
      <c r="H436"/>
      <c r="I436"/>
    </row>
    <row r="437" spans="1:9">
      <c r="A437">
        <v>2641</v>
      </c>
      <c r="B437" t="s">
        <v>5597</v>
      </c>
      <c r="C437"/>
      <c r="D437"/>
      <c r="E437"/>
      <c r="F437"/>
      <c r="G437"/>
      <c r="H437"/>
      <c r="I437"/>
    </row>
    <row r="438" spans="1:9">
      <c r="A438">
        <v>2642</v>
      </c>
      <c r="B438" t="s">
        <v>5598</v>
      </c>
      <c r="C438"/>
      <c r="D438"/>
      <c r="E438"/>
      <c r="F438"/>
      <c r="G438"/>
      <c r="H438"/>
      <c r="I438"/>
    </row>
    <row r="439" spans="1:9">
      <c r="A439">
        <v>2643</v>
      </c>
      <c r="B439" t="s">
        <v>5599</v>
      </c>
      <c r="C439"/>
      <c r="D439"/>
      <c r="E439"/>
      <c r="F439"/>
      <c r="G439"/>
      <c r="H439"/>
      <c r="I439"/>
    </row>
    <row r="440" spans="1:9">
      <c r="A440">
        <v>2701</v>
      </c>
      <c r="B440" t="s">
        <v>5600</v>
      </c>
      <c r="C440"/>
      <c r="D440"/>
      <c r="E440"/>
      <c r="F440"/>
      <c r="G440"/>
      <c r="H440"/>
      <c r="I440"/>
    </row>
    <row r="441" spans="1:9">
      <c r="A441">
        <v>2704</v>
      </c>
      <c r="B441" t="s">
        <v>5601</v>
      </c>
      <c r="C441"/>
      <c r="D441"/>
      <c r="E441"/>
      <c r="F441"/>
      <c r="G441"/>
      <c r="H441"/>
      <c r="I441"/>
    </row>
    <row r="442" spans="1:9">
      <c r="A442">
        <v>2705</v>
      </c>
      <c r="B442" t="s">
        <v>5602</v>
      </c>
      <c r="C442"/>
      <c r="D442"/>
      <c r="E442"/>
      <c r="F442"/>
      <c r="G442"/>
      <c r="H442"/>
      <c r="I442"/>
    </row>
    <row r="443" spans="1:9">
      <c r="A443">
        <v>2706</v>
      </c>
      <c r="B443" t="s">
        <v>5603</v>
      </c>
      <c r="C443"/>
      <c r="D443"/>
      <c r="E443"/>
      <c r="F443"/>
      <c r="G443"/>
      <c r="H443"/>
      <c r="I443"/>
    </row>
    <row r="444" spans="1:9">
      <c r="A444">
        <v>2707</v>
      </c>
      <c r="B444" t="s">
        <v>5604</v>
      </c>
      <c r="C444"/>
      <c r="D444"/>
      <c r="E444"/>
      <c r="F444"/>
      <c r="G444"/>
      <c r="H444"/>
      <c r="I444"/>
    </row>
    <row r="445" spans="1:9">
      <c r="A445">
        <v>2712</v>
      </c>
      <c r="B445" t="s">
        <v>5605</v>
      </c>
      <c r="C445"/>
      <c r="D445"/>
      <c r="E445"/>
      <c r="F445"/>
      <c r="G445"/>
      <c r="H445"/>
      <c r="I445"/>
    </row>
    <row r="446" spans="1:9">
      <c r="A446">
        <v>2722</v>
      </c>
      <c r="B446" t="s">
        <v>5606</v>
      </c>
      <c r="C446"/>
      <c r="D446"/>
      <c r="E446"/>
      <c r="F446"/>
      <c r="G446"/>
      <c r="H446"/>
      <c r="I446"/>
    </row>
    <row r="447" spans="1:9">
      <c r="A447">
        <v>2723</v>
      </c>
      <c r="B447" t="s">
        <v>5607</v>
      </c>
      <c r="C447"/>
      <c r="D447" t="s">
        <v>6586</v>
      </c>
      <c r="E447"/>
      <c r="F447"/>
      <c r="G447"/>
      <c r="H447"/>
      <c r="I447"/>
    </row>
    <row r="448" spans="1:9">
      <c r="A448">
        <v>2726</v>
      </c>
      <c r="B448" t="s">
        <v>5608</v>
      </c>
      <c r="C448"/>
      <c r="D448"/>
      <c r="E448"/>
      <c r="F448"/>
      <c r="G448"/>
      <c r="H448"/>
      <c r="I448"/>
    </row>
    <row r="449" spans="1:9">
      <c r="A449">
        <v>2727</v>
      </c>
      <c r="B449" t="s">
        <v>5609</v>
      </c>
      <c r="C449"/>
      <c r="D449"/>
      <c r="E449"/>
      <c r="F449"/>
      <c r="G449"/>
      <c r="H449" t="s">
        <v>6584</v>
      </c>
      <c r="I449"/>
    </row>
    <row r="450" spans="1:9">
      <c r="A450">
        <v>2731</v>
      </c>
      <c r="B450" t="s">
        <v>5610</v>
      </c>
      <c r="C450"/>
      <c r="D450"/>
      <c r="E450"/>
      <c r="F450"/>
      <c r="G450"/>
      <c r="H450" t="s">
        <v>6584</v>
      </c>
      <c r="I450"/>
    </row>
    <row r="451" spans="1:9">
      <c r="A451">
        <v>2732</v>
      </c>
      <c r="B451" t="s">
        <v>5611</v>
      </c>
      <c r="C451"/>
      <c r="D451"/>
      <c r="E451"/>
      <c r="F451"/>
      <c r="G451"/>
      <c r="H451"/>
      <c r="I451"/>
    </row>
    <row r="452" spans="1:9">
      <c r="A452">
        <v>2736</v>
      </c>
      <c r="B452" t="s">
        <v>5612</v>
      </c>
      <c r="C452"/>
      <c r="D452"/>
      <c r="E452"/>
      <c r="F452"/>
      <c r="G452"/>
      <c r="H452"/>
      <c r="I452"/>
    </row>
    <row r="453" spans="1:9">
      <c r="A453">
        <v>2739</v>
      </c>
      <c r="B453" t="s">
        <v>5613</v>
      </c>
      <c r="C453"/>
      <c r="D453"/>
      <c r="E453"/>
      <c r="F453"/>
      <c r="G453"/>
      <c r="H453"/>
      <c r="I453"/>
    </row>
    <row r="454" spans="1:9">
      <c r="A454">
        <v>2743</v>
      </c>
      <c r="B454" t="s">
        <v>5614</v>
      </c>
      <c r="C454" t="s">
        <v>6585</v>
      </c>
      <c r="D454"/>
      <c r="E454"/>
      <c r="F454"/>
      <c r="G454" t="s">
        <v>6583</v>
      </c>
      <c r="H454" t="s">
        <v>6584</v>
      </c>
      <c r="I454">
        <v>24.91</v>
      </c>
    </row>
    <row r="455" spans="1:9">
      <c r="A455">
        <v>2748</v>
      </c>
      <c r="B455" t="s">
        <v>5615</v>
      </c>
      <c r="C455"/>
      <c r="D455"/>
      <c r="E455"/>
      <c r="F455"/>
      <c r="G455"/>
      <c r="H455"/>
      <c r="I455"/>
    </row>
    <row r="456" spans="1:9">
      <c r="A456">
        <v>2753</v>
      </c>
      <c r="B456" t="s">
        <v>6590</v>
      </c>
      <c r="C456"/>
      <c r="D456"/>
      <c r="E456"/>
      <c r="F456"/>
      <c r="G456" t="s">
        <v>6587</v>
      </c>
      <c r="H456"/>
      <c r="I456"/>
    </row>
    <row r="457" spans="1:9">
      <c r="A457">
        <v>2754</v>
      </c>
      <c r="B457" t="s">
        <v>5616</v>
      </c>
      <c r="C457"/>
      <c r="D457"/>
      <c r="E457"/>
      <c r="F457"/>
      <c r="G457"/>
      <c r="H457"/>
      <c r="I457"/>
    </row>
    <row r="458" spans="1:9">
      <c r="A458">
        <v>2801</v>
      </c>
      <c r="B458" t="s">
        <v>5617</v>
      </c>
      <c r="C458"/>
      <c r="D458"/>
      <c r="E458"/>
      <c r="F458"/>
      <c r="G458" t="s">
        <v>6587</v>
      </c>
      <c r="H458"/>
      <c r="I458"/>
    </row>
    <row r="459" spans="1:9">
      <c r="A459">
        <v>2809</v>
      </c>
      <c r="B459" t="s">
        <v>5618</v>
      </c>
      <c r="C459"/>
      <c r="D459"/>
      <c r="E459"/>
      <c r="F459"/>
      <c r="G459"/>
      <c r="H459"/>
      <c r="I459"/>
    </row>
    <row r="460" spans="1:9">
      <c r="A460">
        <v>2812</v>
      </c>
      <c r="B460" t="s">
        <v>5619</v>
      </c>
      <c r="C460"/>
      <c r="D460"/>
      <c r="E460"/>
      <c r="F460"/>
      <c r="G460"/>
      <c r="H460"/>
      <c r="I460"/>
    </row>
    <row r="461" spans="1:9">
      <c r="A461">
        <v>2816</v>
      </c>
      <c r="B461" t="s">
        <v>5620</v>
      </c>
      <c r="C461"/>
      <c r="D461"/>
      <c r="E461"/>
      <c r="F461"/>
      <c r="G461"/>
      <c r="H461"/>
      <c r="I461"/>
    </row>
    <row r="462" spans="1:9">
      <c r="A462">
        <v>2820</v>
      </c>
      <c r="B462" t="s">
        <v>5621</v>
      </c>
      <c r="C462"/>
      <c r="D462"/>
      <c r="E462"/>
      <c r="F462"/>
      <c r="G462"/>
      <c r="H462"/>
      <c r="I462"/>
    </row>
    <row r="463" spans="1:9">
      <c r="A463">
        <v>2832</v>
      </c>
      <c r="B463" t="s">
        <v>5622</v>
      </c>
      <c r="C463"/>
      <c r="D463"/>
      <c r="E463"/>
      <c r="F463"/>
      <c r="G463"/>
      <c r="H463"/>
      <c r="I463"/>
    </row>
    <row r="464" spans="1:9">
      <c r="A464">
        <v>2834</v>
      </c>
      <c r="B464" t="s">
        <v>5623</v>
      </c>
      <c r="C464"/>
      <c r="D464"/>
      <c r="E464"/>
      <c r="F464"/>
      <c r="G464"/>
      <c r="H464"/>
      <c r="I464"/>
    </row>
    <row r="465" spans="1:9">
      <c r="A465">
        <v>2836</v>
      </c>
      <c r="B465" t="s">
        <v>5624</v>
      </c>
      <c r="C465"/>
      <c r="D465"/>
      <c r="E465"/>
      <c r="F465"/>
      <c r="G465"/>
      <c r="H465"/>
      <c r="I465"/>
    </row>
    <row r="466" spans="1:9">
      <c r="A466">
        <v>2838</v>
      </c>
      <c r="B466" t="s">
        <v>5625</v>
      </c>
      <c r="C466"/>
      <c r="D466"/>
      <c r="E466"/>
      <c r="F466"/>
      <c r="G466" t="s">
        <v>6587</v>
      </c>
      <c r="H466"/>
      <c r="I466"/>
    </row>
    <row r="467" spans="1:9">
      <c r="A467">
        <v>2845</v>
      </c>
      <c r="B467" t="s">
        <v>5626</v>
      </c>
      <c r="C467"/>
      <c r="D467"/>
      <c r="E467"/>
      <c r="F467"/>
      <c r="G467" t="s">
        <v>6587</v>
      </c>
      <c r="H467"/>
      <c r="I467"/>
    </row>
    <row r="468" spans="1:9">
      <c r="A468">
        <v>2849</v>
      </c>
      <c r="B468" t="s">
        <v>5627</v>
      </c>
      <c r="C468"/>
      <c r="D468"/>
      <c r="E468"/>
      <c r="F468"/>
      <c r="G468"/>
      <c r="H468"/>
      <c r="I468"/>
    </row>
    <row r="469" spans="1:9">
      <c r="A469">
        <v>2850</v>
      </c>
      <c r="B469" t="s">
        <v>5628</v>
      </c>
      <c r="C469"/>
      <c r="D469"/>
      <c r="E469"/>
      <c r="F469"/>
      <c r="G469"/>
      <c r="H469"/>
      <c r="I469"/>
    </row>
    <row r="470" spans="1:9">
      <c r="A470">
        <v>2851</v>
      </c>
      <c r="B470" t="s">
        <v>5629</v>
      </c>
      <c r="C470"/>
      <c r="D470"/>
      <c r="E470"/>
      <c r="F470"/>
      <c r="G470"/>
      <c r="H470"/>
      <c r="I470"/>
    </row>
    <row r="471" spans="1:9">
      <c r="A471">
        <v>2852</v>
      </c>
      <c r="B471" t="s">
        <v>5630</v>
      </c>
      <c r="C471"/>
      <c r="D471"/>
      <c r="E471"/>
      <c r="F471"/>
      <c r="G471"/>
      <c r="H471"/>
      <c r="I471"/>
    </row>
    <row r="472" spans="1:9">
      <c r="A472">
        <v>2855</v>
      </c>
      <c r="B472" t="s">
        <v>5631</v>
      </c>
      <c r="C472"/>
      <c r="D472"/>
      <c r="E472"/>
      <c r="F472"/>
      <c r="G472"/>
      <c r="H472"/>
      <c r="I472"/>
    </row>
    <row r="473" spans="1:9">
      <c r="A473">
        <v>2867</v>
      </c>
      <c r="B473" t="s">
        <v>5632</v>
      </c>
      <c r="C473"/>
      <c r="D473"/>
      <c r="E473" t="s">
        <v>6586</v>
      </c>
      <c r="F473"/>
      <c r="G473" t="s">
        <v>6583</v>
      </c>
      <c r="H473" t="s">
        <v>6584</v>
      </c>
      <c r="I473"/>
    </row>
    <row r="474" spans="1:9">
      <c r="A474">
        <v>2880</v>
      </c>
      <c r="B474" t="s">
        <v>5633</v>
      </c>
      <c r="C474"/>
      <c r="D474"/>
      <c r="E474"/>
      <c r="F474"/>
      <c r="G474" t="s">
        <v>6587</v>
      </c>
      <c r="H474"/>
      <c r="I474"/>
    </row>
    <row r="475" spans="1:9">
      <c r="A475">
        <v>2881</v>
      </c>
      <c r="B475" t="s">
        <v>5634</v>
      </c>
      <c r="C475"/>
      <c r="D475"/>
      <c r="E475"/>
      <c r="F475"/>
      <c r="G475"/>
      <c r="H475"/>
      <c r="I475"/>
    </row>
    <row r="476" spans="1:9">
      <c r="A476">
        <v>2882</v>
      </c>
      <c r="B476" t="s">
        <v>5635</v>
      </c>
      <c r="C476"/>
      <c r="D476"/>
      <c r="E476"/>
      <c r="F476"/>
      <c r="G476"/>
      <c r="H476"/>
      <c r="I476"/>
    </row>
    <row r="477" spans="1:9">
      <c r="A477">
        <v>2883</v>
      </c>
      <c r="B477" t="s">
        <v>5636</v>
      </c>
      <c r="C477"/>
      <c r="D477"/>
      <c r="E477"/>
      <c r="F477"/>
      <c r="G477"/>
      <c r="H477"/>
      <c r="I477"/>
    </row>
    <row r="478" spans="1:9">
      <c r="A478">
        <v>2884</v>
      </c>
      <c r="B478" t="s">
        <v>5637</v>
      </c>
      <c r="C478"/>
      <c r="D478"/>
      <c r="E478"/>
      <c r="F478"/>
      <c r="G478"/>
      <c r="H478"/>
      <c r="I478"/>
    </row>
    <row r="479" spans="1:9">
      <c r="A479">
        <v>2885</v>
      </c>
      <c r="B479" t="s">
        <v>5638</v>
      </c>
      <c r="C479"/>
      <c r="D479"/>
      <c r="E479"/>
      <c r="F479"/>
      <c r="G479"/>
      <c r="H479"/>
      <c r="I479"/>
    </row>
    <row r="480" spans="1:9">
      <c r="A480">
        <v>2886</v>
      </c>
      <c r="B480" t="s">
        <v>5639</v>
      </c>
      <c r="C480"/>
      <c r="D480"/>
      <c r="E480"/>
      <c r="F480"/>
      <c r="G480"/>
      <c r="H480" t="s">
        <v>6584</v>
      </c>
      <c r="I480"/>
    </row>
    <row r="481" spans="1:9">
      <c r="A481">
        <v>2887</v>
      </c>
      <c r="B481" t="s">
        <v>5640</v>
      </c>
      <c r="C481"/>
      <c r="D481"/>
      <c r="E481"/>
      <c r="F481"/>
      <c r="G481"/>
      <c r="H481"/>
      <c r="I481"/>
    </row>
    <row r="482" spans="1:9">
      <c r="A482">
        <v>2888</v>
      </c>
      <c r="B482" t="s">
        <v>5641</v>
      </c>
      <c r="C482"/>
      <c r="D482"/>
      <c r="E482"/>
      <c r="F482"/>
      <c r="G482"/>
      <c r="H482"/>
      <c r="I482"/>
    </row>
    <row r="483" spans="1:9">
      <c r="A483">
        <v>2889</v>
      </c>
      <c r="B483" t="s">
        <v>5642</v>
      </c>
      <c r="C483"/>
      <c r="D483"/>
      <c r="E483"/>
      <c r="F483"/>
      <c r="G483"/>
      <c r="H483"/>
      <c r="I483"/>
    </row>
    <row r="484" spans="1:9">
      <c r="A484">
        <v>2890</v>
      </c>
      <c r="B484" t="s">
        <v>5643</v>
      </c>
      <c r="C484"/>
      <c r="D484"/>
      <c r="E484"/>
      <c r="F484"/>
      <c r="G484"/>
      <c r="H484"/>
      <c r="I484"/>
    </row>
    <row r="485" spans="1:9">
      <c r="A485">
        <v>2891</v>
      </c>
      <c r="B485" t="s">
        <v>5644</v>
      </c>
      <c r="C485"/>
      <c r="D485"/>
      <c r="E485"/>
      <c r="F485"/>
      <c r="G485"/>
      <c r="H485"/>
      <c r="I485"/>
    </row>
    <row r="486" spans="1:9">
      <c r="A486">
        <v>2892</v>
      </c>
      <c r="B486" t="s">
        <v>5645</v>
      </c>
      <c r="C486"/>
      <c r="D486"/>
      <c r="E486"/>
      <c r="F486"/>
      <c r="G486"/>
      <c r="H486"/>
      <c r="I486"/>
    </row>
    <row r="487" spans="1:9">
      <c r="A487">
        <v>2897</v>
      </c>
      <c r="B487" t="s">
        <v>5646</v>
      </c>
      <c r="C487"/>
      <c r="D487"/>
      <c r="E487"/>
      <c r="F487"/>
      <c r="G487" t="s">
        <v>6587</v>
      </c>
      <c r="H487" t="s">
        <v>6589</v>
      </c>
      <c r="I487">
        <v>5.05</v>
      </c>
    </row>
    <row r="488" spans="1:9">
      <c r="A488">
        <v>2901</v>
      </c>
      <c r="B488" t="s">
        <v>5647</v>
      </c>
      <c r="C488"/>
      <c r="D488"/>
      <c r="E488"/>
      <c r="F488"/>
      <c r="G488"/>
      <c r="H488"/>
      <c r="I488"/>
    </row>
    <row r="489" spans="1:9">
      <c r="A489">
        <v>2903</v>
      </c>
      <c r="B489" t="s">
        <v>5648</v>
      </c>
      <c r="C489"/>
      <c r="D489"/>
      <c r="E489"/>
      <c r="F489"/>
      <c r="G489"/>
      <c r="H489"/>
      <c r="I489"/>
    </row>
    <row r="490" spans="1:9">
      <c r="A490">
        <v>2904</v>
      </c>
      <c r="B490" t="s">
        <v>5649</v>
      </c>
      <c r="C490"/>
      <c r="D490"/>
      <c r="E490"/>
      <c r="F490"/>
      <c r="G490"/>
      <c r="H490"/>
      <c r="I490"/>
    </row>
    <row r="491" spans="1:9">
      <c r="A491">
        <v>2905</v>
      </c>
      <c r="B491" t="s">
        <v>5650</v>
      </c>
      <c r="C491"/>
      <c r="D491"/>
      <c r="E491"/>
      <c r="F491"/>
      <c r="G491"/>
      <c r="H491" t="s">
        <v>6584</v>
      </c>
      <c r="I491"/>
    </row>
    <row r="492" spans="1:9">
      <c r="A492">
        <v>2906</v>
      </c>
      <c r="B492" t="s">
        <v>5651</v>
      </c>
      <c r="C492"/>
      <c r="D492"/>
      <c r="E492"/>
      <c r="F492"/>
      <c r="G492" t="s">
        <v>6583</v>
      </c>
      <c r="H492" t="s">
        <v>6589</v>
      </c>
      <c r="I492">
        <v>5.42</v>
      </c>
    </row>
    <row r="493" spans="1:9">
      <c r="A493">
        <v>2908</v>
      </c>
      <c r="B493" t="s">
        <v>5652</v>
      </c>
      <c r="C493"/>
      <c r="D493"/>
      <c r="E493"/>
      <c r="F493"/>
      <c r="G493"/>
      <c r="H493"/>
      <c r="I493"/>
    </row>
    <row r="494" spans="1:9">
      <c r="A494">
        <v>2910</v>
      </c>
      <c r="B494" t="s">
        <v>5653</v>
      </c>
      <c r="C494"/>
      <c r="D494"/>
      <c r="E494"/>
      <c r="F494"/>
      <c r="G494"/>
      <c r="H494"/>
      <c r="I494"/>
    </row>
    <row r="495" spans="1:9">
      <c r="A495">
        <v>2911</v>
      </c>
      <c r="B495" t="s">
        <v>5654</v>
      </c>
      <c r="C495"/>
      <c r="D495"/>
      <c r="E495"/>
      <c r="F495"/>
      <c r="G495"/>
      <c r="H495"/>
      <c r="I495"/>
    </row>
    <row r="496" spans="1:9">
      <c r="A496">
        <v>2912</v>
      </c>
      <c r="B496" t="s">
        <v>5655</v>
      </c>
      <c r="C496"/>
      <c r="D496"/>
      <c r="E496"/>
      <c r="F496"/>
      <c r="G496"/>
      <c r="H496"/>
      <c r="I496"/>
    </row>
    <row r="497" spans="1:9">
      <c r="A497">
        <v>2913</v>
      </c>
      <c r="B497" t="s">
        <v>5656</v>
      </c>
      <c r="C497"/>
      <c r="D497"/>
      <c r="E497"/>
      <c r="F497"/>
      <c r="G497"/>
      <c r="H497"/>
      <c r="I497"/>
    </row>
    <row r="498" spans="1:9">
      <c r="A498">
        <v>2915</v>
      </c>
      <c r="B498" t="s">
        <v>5657</v>
      </c>
      <c r="C498"/>
      <c r="D498"/>
      <c r="E498"/>
      <c r="F498"/>
      <c r="G498"/>
      <c r="H498"/>
      <c r="I498"/>
    </row>
    <row r="499" spans="1:9">
      <c r="A499">
        <v>2916</v>
      </c>
      <c r="B499" t="s">
        <v>5658</v>
      </c>
      <c r="C499"/>
      <c r="D499"/>
      <c r="E499"/>
      <c r="F499"/>
      <c r="G499"/>
      <c r="H499"/>
      <c r="I499"/>
    </row>
    <row r="500" spans="1:9">
      <c r="A500">
        <v>2926</v>
      </c>
      <c r="B500" t="s">
        <v>5659</v>
      </c>
      <c r="C500"/>
      <c r="D500"/>
      <c r="E500"/>
      <c r="F500"/>
      <c r="G500"/>
      <c r="H500"/>
      <c r="I500"/>
    </row>
    <row r="501" spans="1:9">
      <c r="A501">
        <v>2929</v>
      </c>
      <c r="B501" t="s">
        <v>5660</v>
      </c>
      <c r="C501"/>
      <c r="D501"/>
      <c r="E501"/>
      <c r="F501"/>
      <c r="G501" t="s">
        <v>6583</v>
      </c>
      <c r="H501"/>
      <c r="I501"/>
    </row>
    <row r="502" spans="1:9">
      <c r="A502">
        <v>2936</v>
      </c>
      <c r="B502" t="s">
        <v>5661</v>
      </c>
      <c r="C502"/>
      <c r="D502"/>
      <c r="E502"/>
      <c r="F502"/>
      <c r="G502"/>
      <c r="H502"/>
      <c r="I502"/>
    </row>
    <row r="503" spans="1:9">
      <c r="A503">
        <v>2939</v>
      </c>
      <c r="B503" t="s">
        <v>5662</v>
      </c>
      <c r="C503"/>
      <c r="D503"/>
      <c r="E503"/>
      <c r="F503"/>
      <c r="G503"/>
      <c r="H503" t="s">
        <v>6584</v>
      </c>
      <c r="I503"/>
    </row>
    <row r="504" spans="1:9">
      <c r="A504">
        <v>3002</v>
      </c>
      <c r="B504" t="s">
        <v>5663</v>
      </c>
      <c r="C504"/>
      <c r="D504"/>
      <c r="E504"/>
      <c r="F504"/>
      <c r="G504"/>
      <c r="H504"/>
      <c r="I504"/>
    </row>
    <row r="505" spans="1:9">
      <c r="A505">
        <v>3003</v>
      </c>
      <c r="B505" t="s">
        <v>5664</v>
      </c>
      <c r="C505"/>
      <c r="D505"/>
      <c r="E505"/>
      <c r="F505" t="s">
        <v>6585</v>
      </c>
      <c r="G505"/>
      <c r="H505"/>
      <c r="I505"/>
    </row>
    <row r="506" spans="1:9">
      <c r="A506">
        <v>3004</v>
      </c>
      <c r="B506" t="s">
        <v>5665</v>
      </c>
      <c r="C506"/>
      <c r="D506"/>
      <c r="E506"/>
      <c r="F506"/>
      <c r="G506"/>
      <c r="H506"/>
      <c r="I506"/>
    </row>
    <row r="507" spans="1:9">
      <c r="A507">
        <v>3005</v>
      </c>
      <c r="B507" t="s">
        <v>5666</v>
      </c>
      <c r="C507"/>
      <c r="D507"/>
      <c r="E507"/>
      <c r="F507"/>
      <c r="G507"/>
      <c r="H507"/>
      <c r="I507"/>
    </row>
    <row r="508" spans="1:9">
      <c r="A508">
        <v>3006</v>
      </c>
      <c r="B508" t="s">
        <v>5667</v>
      </c>
      <c r="C508"/>
      <c r="D508" t="s">
        <v>6586</v>
      </c>
      <c r="E508" t="s">
        <v>6586</v>
      </c>
      <c r="F508" t="s">
        <v>6586</v>
      </c>
      <c r="G508"/>
      <c r="H508" t="s">
        <v>6584</v>
      </c>
      <c r="I508">
        <v>10.64</v>
      </c>
    </row>
    <row r="509" spans="1:9">
      <c r="A509">
        <v>3008</v>
      </c>
      <c r="B509" t="s">
        <v>5668</v>
      </c>
      <c r="C509"/>
      <c r="D509"/>
      <c r="E509"/>
      <c r="F509"/>
      <c r="G509"/>
      <c r="H509"/>
      <c r="I509"/>
    </row>
    <row r="510" spans="1:9">
      <c r="A510">
        <v>3010</v>
      </c>
      <c r="B510" t="s">
        <v>5669</v>
      </c>
      <c r="C510"/>
      <c r="D510"/>
      <c r="E510"/>
      <c r="F510"/>
      <c r="G510"/>
      <c r="H510"/>
      <c r="I510"/>
    </row>
    <row r="511" spans="1:9">
      <c r="A511">
        <v>3013</v>
      </c>
      <c r="B511" t="s">
        <v>5670</v>
      </c>
      <c r="C511"/>
      <c r="D511"/>
      <c r="E511"/>
      <c r="F511"/>
      <c r="G511"/>
      <c r="H511"/>
      <c r="I511"/>
    </row>
    <row r="512" spans="1:9">
      <c r="A512">
        <v>3014</v>
      </c>
      <c r="B512" t="s">
        <v>5671</v>
      </c>
      <c r="C512"/>
      <c r="D512"/>
      <c r="E512"/>
      <c r="F512"/>
      <c r="G512"/>
      <c r="H512"/>
      <c r="I512"/>
    </row>
    <row r="513" spans="1:9">
      <c r="A513">
        <v>3015</v>
      </c>
      <c r="B513" t="s">
        <v>5672</v>
      </c>
      <c r="C513"/>
      <c r="D513"/>
      <c r="E513"/>
      <c r="F513"/>
      <c r="G513"/>
      <c r="H513"/>
      <c r="I513"/>
    </row>
    <row r="514" spans="1:9">
      <c r="A514">
        <v>3016</v>
      </c>
      <c r="B514" t="s">
        <v>5673</v>
      </c>
      <c r="C514"/>
      <c r="D514" t="s">
        <v>6586</v>
      </c>
      <c r="E514"/>
      <c r="F514" t="s">
        <v>6586</v>
      </c>
      <c r="G514" t="s">
        <v>6587</v>
      </c>
      <c r="H514" t="s">
        <v>6584</v>
      </c>
      <c r="I514">
        <v>9.26</v>
      </c>
    </row>
    <row r="515" spans="1:9">
      <c r="A515">
        <v>3017</v>
      </c>
      <c r="B515" t="s">
        <v>5674</v>
      </c>
      <c r="C515"/>
      <c r="D515" t="s">
        <v>6586</v>
      </c>
      <c r="E515"/>
      <c r="F515" t="s">
        <v>6585</v>
      </c>
      <c r="G515"/>
      <c r="H515" t="s">
        <v>6584</v>
      </c>
      <c r="I515">
        <v>8.49</v>
      </c>
    </row>
    <row r="516" spans="1:9">
      <c r="A516">
        <v>3019</v>
      </c>
      <c r="B516" t="s">
        <v>5675</v>
      </c>
      <c r="C516"/>
      <c r="D516"/>
      <c r="E516"/>
      <c r="F516"/>
      <c r="G516"/>
      <c r="H516"/>
      <c r="I516"/>
    </row>
    <row r="517" spans="1:9">
      <c r="A517">
        <v>3021</v>
      </c>
      <c r="B517" t="s">
        <v>5676</v>
      </c>
      <c r="C517"/>
      <c r="D517"/>
      <c r="E517"/>
      <c r="F517"/>
      <c r="G517"/>
      <c r="H517"/>
      <c r="I517"/>
    </row>
    <row r="518" spans="1:9">
      <c r="A518">
        <v>3022</v>
      </c>
      <c r="B518" t="s">
        <v>5677</v>
      </c>
      <c r="C518"/>
      <c r="D518"/>
      <c r="E518"/>
      <c r="F518"/>
      <c r="G518"/>
      <c r="H518"/>
      <c r="I518"/>
    </row>
    <row r="519" spans="1:9">
      <c r="A519">
        <v>3023</v>
      </c>
      <c r="B519" t="s">
        <v>5678</v>
      </c>
      <c r="C519"/>
      <c r="D519"/>
      <c r="E519"/>
      <c r="F519"/>
      <c r="G519"/>
      <c r="H519"/>
      <c r="I519"/>
    </row>
    <row r="520" spans="1:9">
      <c r="A520">
        <v>3025</v>
      </c>
      <c r="B520" t="s">
        <v>5679</v>
      </c>
      <c r="C520"/>
      <c r="D520"/>
      <c r="E520"/>
      <c r="F520"/>
      <c r="G520" t="s">
        <v>6583</v>
      </c>
      <c r="H520"/>
      <c r="I520"/>
    </row>
    <row r="521" spans="1:9">
      <c r="A521">
        <v>3026</v>
      </c>
      <c r="B521" t="s">
        <v>5680</v>
      </c>
      <c r="C521"/>
      <c r="D521"/>
      <c r="E521"/>
      <c r="F521"/>
      <c r="G521"/>
      <c r="H521"/>
      <c r="I521"/>
    </row>
    <row r="522" spans="1:9">
      <c r="A522">
        <v>3027</v>
      </c>
      <c r="B522" t="s">
        <v>5681</v>
      </c>
      <c r="C522"/>
      <c r="D522"/>
      <c r="E522"/>
      <c r="F522"/>
      <c r="G522"/>
      <c r="H522"/>
      <c r="I522"/>
    </row>
    <row r="523" spans="1:9">
      <c r="A523">
        <v>3028</v>
      </c>
      <c r="B523" t="s">
        <v>5682</v>
      </c>
      <c r="C523"/>
      <c r="D523"/>
      <c r="E523"/>
      <c r="F523"/>
      <c r="G523"/>
      <c r="H523" t="s">
        <v>6584</v>
      </c>
      <c r="I523"/>
    </row>
    <row r="524" spans="1:9">
      <c r="A524">
        <v>3029</v>
      </c>
      <c r="B524" t="s">
        <v>5683</v>
      </c>
      <c r="C524"/>
      <c r="D524"/>
      <c r="E524"/>
      <c r="F524"/>
      <c r="G524"/>
      <c r="H524"/>
      <c r="I524"/>
    </row>
    <row r="525" spans="1:9">
      <c r="A525">
        <v>3030</v>
      </c>
      <c r="B525" t="s">
        <v>5684</v>
      </c>
      <c r="C525"/>
      <c r="D525"/>
      <c r="E525"/>
      <c r="F525"/>
      <c r="G525"/>
      <c r="H525"/>
      <c r="I525"/>
    </row>
    <row r="526" spans="1:9">
      <c r="A526">
        <v>3031</v>
      </c>
      <c r="B526" t="s">
        <v>5685</v>
      </c>
      <c r="C526"/>
      <c r="D526"/>
      <c r="E526"/>
      <c r="F526"/>
      <c r="G526"/>
      <c r="H526"/>
      <c r="I526"/>
    </row>
    <row r="527" spans="1:9">
      <c r="A527">
        <v>3032</v>
      </c>
      <c r="B527" t="s">
        <v>5686</v>
      </c>
      <c r="C527"/>
      <c r="D527"/>
      <c r="E527"/>
      <c r="F527"/>
      <c r="G527"/>
      <c r="H527"/>
      <c r="I527"/>
    </row>
    <row r="528" spans="1:9">
      <c r="A528">
        <v>3033</v>
      </c>
      <c r="B528" t="s">
        <v>5687</v>
      </c>
      <c r="C528"/>
      <c r="D528" t="s">
        <v>6585</v>
      </c>
      <c r="E528"/>
      <c r="F528"/>
      <c r="G528" t="s">
        <v>6587</v>
      </c>
      <c r="H528" t="s">
        <v>6584</v>
      </c>
      <c r="I528"/>
    </row>
    <row r="529" spans="1:9">
      <c r="A529">
        <v>3034</v>
      </c>
      <c r="B529" t="s">
        <v>5688</v>
      </c>
      <c r="C529"/>
      <c r="D529"/>
      <c r="E529"/>
      <c r="F529"/>
      <c r="G529"/>
      <c r="H529" t="s">
        <v>6584</v>
      </c>
      <c r="I529"/>
    </row>
    <row r="530" spans="1:9">
      <c r="A530">
        <v>3035</v>
      </c>
      <c r="B530" t="s">
        <v>5689</v>
      </c>
      <c r="C530"/>
      <c r="D530"/>
      <c r="E530"/>
      <c r="F530" t="s">
        <v>6585</v>
      </c>
      <c r="G530"/>
      <c r="H530" t="s">
        <v>6584</v>
      </c>
      <c r="I530">
        <v>9.16</v>
      </c>
    </row>
    <row r="531" spans="1:9">
      <c r="A531">
        <v>3036</v>
      </c>
      <c r="B531" t="s">
        <v>5690</v>
      </c>
      <c r="C531"/>
      <c r="D531"/>
      <c r="E531"/>
      <c r="F531"/>
      <c r="G531"/>
      <c r="H531"/>
      <c r="I531"/>
    </row>
    <row r="532" spans="1:9">
      <c r="A532">
        <v>3037</v>
      </c>
      <c r="B532" t="s">
        <v>5691</v>
      </c>
      <c r="C532"/>
      <c r="D532"/>
      <c r="E532"/>
      <c r="F532"/>
      <c r="G532"/>
      <c r="H532" t="s">
        <v>6584</v>
      </c>
      <c r="I532"/>
    </row>
    <row r="533" spans="1:9">
      <c r="A533">
        <v>3038</v>
      </c>
      <c r="B533" t="s">
        <v>5692</v>
      </c>
      <c r="C533"/>
      <c r="D533"/>
      <c r="E533"/>
      <c r="F533"/>
      <c r="G533"/>
      <c r="H533"/>
      <c r="I533"/>
    </row>
    <row r="534" spans="1:9">
      <c r="A534">
        <v>3040</v>
      </c>
      <c r="B534" t="s">
        <v>5693</v>
      </c>
      <c r="C534"/>
      <c r="D534"/>
      <c r="E534"/>
      <c r="F534"/>
      <c r="G534"/>
      <c r="H534"/>
      <c r="I534"/>
    </row>
    <row r="535" spans="1:9">
      <c r="A535">
        <v>3041</v>
      </c>
      <c r="B535" t="s">
        <v>5694</v>
      </c>
      <c r="C535"/>
      <c r="D535"/>
      <c r="E535"/>
      <c r="F535"/>
      <c r="G535"/>
      <c r="H535" t="s">
        <v>6584</v>
      </c>
      <c r="I535"/>
    </row>
    <row r="536" spans="1:9">
      <c r="A536">
        <v>3042</v>
      </c>
      <c r="B536" t="s">
        <v>5695</v>
      </c>
      <c r="C536"/>
      <c r="D536"/>
      <c r="E536"/>
      <c r="F536" t="s">
        <v>6585</v>
      </c>
      <c r="G536"/>
      <c r="H536"/>
      <c r="I536"/>
    </row>
    <row r="537" spans="1:9">
      <c r="A537">
        <v>3044</v>
      </c>
      <c r="B537" t="s">
        <v>5696</v>
      </c>
      <c r="C537"/>
      <c r="D537"/>
      <c r="E537"/>
      <c r="F537"/>
      <c r="G537"/>
      <c r="H537"/>
      <c r="I537"/>
    </row>
    <row r="538" spans="1:9">
      <c r="A538">
        <v>3045</v>
      </c>
      <c r="B538" t="s">
        <v>5697</v>
      </c>
      <c r="C538"/>
      <c r="D538"/>
      <c r="E538"/>
      <c r="F538"/>
      <c r="G538"/>
      <c r="H538"/>
      <c r="I538"/>
    </row>
    <row r="539" spans="1:9">
      <c r="A539">
        <v>3047</v>
      </c>
      <c r="B539" t="s">
        <v>5698</v>
      </c>
      <c r="C539"/>
      <c r="D539"/>
      <c r="E539"/>
      <c r="F539"/>
      <c r="G539"/>
      <c r="H539"/>
      <c r="I539"/>
    </row>
    <row r="540" spans="1:9">
      <c r="A540">
        <v>3048</v>
      </c>
      <c r="B540" t="s">
        <v>5699</v>
      </c>
      <c r="C540"/>
      <c r="D540"/>
      <c r="E540"/>
      <c r="F540"/>
      <c r="G540"/>
      <c r="H540"/>
      <c r="I540"/>
    </row>
    <row r="541" spans="1:9">
      <c r="A541">
        <v>3049</v>
      </c>
      <c r="B541" t="s">
        <v>5700</v>
      </c>
      <c r="C541"/>
      <c r="D541"/>
      <c r="E541"/>
      <c r="F541"/>
      <c r="G541"/>
      <c r="H541"/>
      <c r="I541"/>
    </row>
    <row r="542" spans="1:9">
      <c r="A542">
        <v>3050</v>
      </c>
      <c r="B542" t="s">
        <v>5701</v>
      </c>
      <c r="C542"/>
      <c r="D542"/>
      <c r="E542"/>
      <c r="F542"/>
      <c r="G542"/>
      <c r="H542"/>
      <c r="I542"/>
    </row>
    <row r="543" spans="1:9">
      <c r="A543">
        <v>3052</v>
      </c>
      <c r="B543" t="s">
        <v>5702</v>
      </c>
      <c r="C543"/>
      <c r="D543"/>
      <c r="E543"/>
      <c r="F543"/>
      <c r="G543"/>
      <c r="H543"/>
      <c r="I543"/>
    </row>
    <row r="544" spans="1:9">
      <c r="A544">
        <v>3054</v>
      </c>
      <c r="B544" t="s">
        <v>5703</v>
      </c>
      <c r="C544"/>
      <c r="D544"/>
      <c r="E544"/>
      <c r="F544"/>
      <c r="G544"/>
      <c r="H544"/>
      <c r="I544"/>
    </row>
    <row r="545" spans="1:9">
      <c r="A545">
        <v>3055</v>
      </c>
      <c r="B545" t="s">
        <v>5704</v>
      </c>
      <c r="C545"/>
      <c r="D545"/>
      <c r="E545"/>
      <c r="F545"/>
      <c r="G545"/>
      <c r="H545"/>
      <c r="I545"/>
    </row>
    <row r="546" spans="1:9">
      <c r="A546">
        <v>3056</v>
      </c>
      <c r="B546" t="s">
        <v>5705</v>
      </c>
      <c r="C546"/>
      <c r="D546"/>
      <c r="E546"/>
      <c r="F546"/>
      <c r="G546" t="s">
        <v>6587</v>
      </c>
      <c r="H546"/>
      <c r="I546"/>
    </row>
    <row r="547" spans="1:9">
      <c r="A547">
        <v>3058</v>
      </c>
      <c r="B547" t="s">
        <v>5706</v>
      </c>
      <c r="C547"/>
      <c r="D547"/>
      <c r="E547"/>
      <c r="F547"/>
      <c r="G547"/>
      <c r="H547"/>
      <c r="I547"/>
    </row>
    <row r="548" spans="1:9">
      <c r="A548">
        <v>3059</v>
      </c>
      <c r="B548" t="s">
        <v>5707</v>
      </c>
      <c r="C548"/>
      <c r="D548"/>
      <c r="E548"/>
      <c r="F548"/>
      <c r="G548"/>
      <c r="H548" t="s">
        <v>6584</v>
      </c>
      <c r="I548"/>
    </row>
    <row r="549" spans="1:9">
      <c r="A549">
        <v>3060</v>
      </c>
      <c r="B549" t="s">
        <v>5708</v>
      </c>
      <c r="C549"/>
      <c r="D549"/>
      <c r="E549"/>
      <c r="F549"/>
      <c r="G549"/>
      <c r="H549"/>
      <c r="I549"/>
    </row>
    <row r="550" spans="1:9">
      <c r="A550">
        <v>3062</v>
      </c>
      <c r="B550" t="s">
        <v>5709</v>
      </c>
      <c r="C550" t="s">
        <v>6585</v>
      </c>
      <c r="D550"/>
      <c r="E550"/>
      <c r="F550"/>
      <c r="G550"/>
      <c r="H550"/>
      <c r="I550">
        <v>17.32</v>
      </c>
    </row>
    <row r="551" spans="1:9">
      <c r="A551">
        <v>3071</v>
      </c>
      <c r="B551" t="s">
        <v>5710</v>
      </c>
      <c r="C551"/>
      <c r="D551"/>
      <c r="E551"/>
      <c r="F551"/>
      <c r="G551"/>
      <c r="H551"/>
      <c r="I551"/>
    </row>
    <row r="552" spans="1:9">
      <c r="A552">
        <v>3078</v>
      </c>
      <c r="B552" t="s">
        <v>5711</v>
      </c>
      <c r="C552"/>
      <c r="D552"/>
      <c r="E552"/>
      <c r="F552"/>
      <c r="G552"/>
      <c r="H552"/>
      <c r="I552"/>
    </row>
    <row r="553" spans="1:9">
      <c r="A553">
        <v>3081</v>
      </c>
      <c r="B553" t="s">
        <v>5712</v>
      </c>
      <c r="C553"/>
      <c r="D553"/>
      <c r="E553"/>
      <c r="F553"/>
      <c r="G553"/>
      <c r="H553"/>
      <c r="I553"/>
    </row>
    <row r="554" spans="1:9">
      <c r="A554">
        <v>3083</v>
      </c>
      <c r="B554" t="s">
        <v>5713</v>
      </c>
      <c r="C554"/>
      <c r="D554"/>
      <c r="E554"/>
      <c r="F554"/>
      <c r="G554"/>
      <c r="H554" t="s">
        <v>6584</v>
      </c>
      <c r="I554"/>
    </row>
    <row r="555" spans="1:9">
      <c r="A555">
        <v>3086</v>
      </c>
      <c r="B555" t="s">
        <v>5714</v>
      </c>
      <c r="C555"/>
      <c r="D555"/>
      <c r="E555"/>
      <c r="F555"/>
      <c r="G555"/>
      <c r="H555" t="s">
        <v>6584</v>
      </c>
      <c r="I555"/>
    </row>
    <row r="556" spans="1:9">
      <c r="A556">
        <v>3088</v>
      </c>
      <c r="B556" t="s">
        <v>5715</v>
      </c>
      <c r="C556"/>
      <c r="D556"/>
      <c r="E556"/>
      <c r="F556"/>
      <c r="G556"/>
      <c r="H556"/>
      <c r="I556"/>
    </row>
    <row r="557" spans="1:9">
      <c r="A557">
        <v>3090</v>
      </c>
      <c r="B557" t="s">
        <v>5716</v>
      </c>
      <c r="C557"/>
      <c r="D557"/>
      <c r="E557"/>
      <c r="F557"/>
      <c r="G557"/>
      <c r="H557"/>
      <c r="I557"/>
    </row>
    <row r="558" spans="1:9">
      <c r="A558">
        <v>3092</v>
      </c>
      <c r="B558" t="s">
        <v>5717</v>
      </c>
      <c r="C558" t="s">
        <v>6585</v>
      </c>
      <c r="D558"/>
      <c r="E558"/>
      <c r="F558"/>
      <c r="G558"/>
      <c r="H558"/>
      <c r="I558">
        <v>11.58</v>
      </c>
    </row>
    <row r="559" spans="1:9">
      <c r="A559">
        <v>3094</v>
      </c>
      <c r="B559" t="s">
        <v>5718</v>
      </c>
      <c r="C559"/>
      <c r="D559"/>
      <c r="E559"/>
      <c r="F559"/>
      <c r="G559"/>
      <c r="H559" t="s">
        <v>6584</v>
      </c>
      <c r="I559"/>
    </row>
    <row r="560" spans="1:9">
      <c r="A560">
        <v>3105</v>
      </c>
      <c r="B560" t="s">
        <v>5719</v>
      </c>
      <c r="C560"/>
      <c r="D560" t="s">
        <v>6586</v>
      </c>
      <c r="E560"/>
      <c r="F560"/>
      <c r="G560"/>
      <c r="H560"/>
      <c r="I560"/>
    </row>
    <row r="561" spans="1:9">
      <c r="A561">
        <v>3114</v>
      </c>
      <c r="B561" t="s">
        <v>5720</v>
      </c>
      <c r="C561"/>
      <c r="D561"/>
      <c r="E561"/>
      <c r="F561"/>
      <c r="G561"/>
      <c r="H561"/>
      <c r="I561"/>
    </row>
    <row r="562" spans="1:9">
      <c r="A562">
        <v>3118</v>
      </c>
      <c r="B562" t="s">
        <v>5721</v>
      </c>
      <c r="C562"/>
      <c r="D562"/>
      <c r="E562"/>
      <c r="F562"/>
      <c r="G562"/>
      <c r="H562"/>
      <c r="I562"/>
    </row>
    <row r="563" spans="1:9">
      <c r="A563">
        <v>3122</v>
      </c>
      <c r="B563" t="s">
        <v>5722</v>
      </c>
      <c r="C563"/>
      <c r="D563" t="s">
        <v>6586</v>
      </c>
      <c r="E563"/>
      <c r="F563"/>
      <c r="G563"/>
      <c r="H563"/>
      <c r="I563">
        <v>6.52</v>
      </c>
    </row>
    <row r="564" spans="1:9">
      <c r="A564">
        <v>3128</v>
      </c>
      <c r="B564" t="s">
        <v>5723</v>
      </c>
      <c r="C564"/>
      <c r="D564"/>
      <c r="E564"/>
      <c r="F564"/>
      <c r="G564"/>
      <c r="H564"/>
      <c r="I564"/>
    </row>
    <row r="565" spans="1:9">
      <c r="A565">
        <v>3130</v>
      </c>
      <c r="B565" t="s">
        <v>5724</v>
      </c>
      <c r="C565"/>
      <c r="D565"/>
      <c r="E565"/>
      <c r="F565"/>
      <c r="G565"/>
      <c r="H565"/>
      <c r="I565"/>
    </row>
    <row r="566" spans="1:9">
      <c r="A566">
        <v>3138</v>
      </c>
      <c r="B566" t="s">
        <v>5725</v>
      </c>
      <c r="C566" t="s">
        <v>6585</v>
      </c>
      <c r="D566"/>
      <c r="E566"/>
      <c r="F566"/>
      <c r="G566"/>
      <c r="H566"/>
      <c r="I566">
        <v>10.41</v>
      </c>
    </row>
    <row r="567" spans="1:9">
      <c r="A567">
        <v>3141</v>
      </c>
      <c r="B567" t="s">
        <v>5726</v>
      </c>
      <c r="C567" t="s">
        <v>6586</v>
      </c>
      <c r="D567"/>
      <c r="E567"/>
      <c r="F567"/>
      <c r="G567" t="s">
        <v>6587</v>
      </c>
      <c r="H567" t="s">
        <v>6584</v>
      </c>
      <c r="I567">
        <v>22.96</v>
      </c>
    </row>
    <row r="568" spans="1:9">
      <c r="A568">
        <v>3147</v>
      </c>
      <c r="B568" t="s">
        <v>5727</v>
      </c>
      <c r="C568"/>
      <c r="D568"/>
      <c r="E568"/>
      <c r="F568"/>
      <c r="G568"/>
      <c r="H568"/>
      <c r="I568"/>
    </row>
    <row r="569" spans="1:9">
      <c r="A569">
        <v>3152</v>
      </c>
      <c r="B569" t="s">
        <v>5728</v>
      </c>
      <c r="C569"/>
      <c r="D569"/>
      <c r="E569"/>
      <c r="F569"/>
      <c r="G569"/>
      <c r="H569"/>
      <c r="I569"/>
    </row>
    <row r="570" spans="1:9">
      <c r="A570">
        <v>3162</v>
      </c>
      <c r="B570" t="s">
        <v>5729</v>
      </c>
      <c r="C570"/>
      <c r="D570"/>
      <c r="E570"/>
      <c r="F570"/>
      <c r="G570"/>
      <c r="H570"/>
      <c r="I570"/>
    </row>
    <row r="571" spans="1:9">
      <c r="A571">
        <v>3163</v>
      </c>
      <c r="B571" t="s">
        <v>5730</v>
      </c>
      <c r="C571"/>
      <c r="D571"/>
      <c r="E571"/>
      <c r="F571"/>
      <c r="G571"/>
      <c r="H571"/>
      <c r="I571"/>
    </row>
    <row r="572" spans="1:9">
      <c r="A572">
        <v>3164</v>
      </c>
      <c r="B572" t="s">
        <v>5731</v>
      </c>
      <c r="C572"/>
      <c r="D572"/>
      <c r="E572"/>
      <c r="F572"/>
      <c r="G572"/>
      <c r="H572"/>
      <c r="I572"/>
    </row>
    <row r="573" spans="1:9">
      <c r="A573">
        <v>3167</v>
      </c>
      <c r="B573" t="s">
        <v>5732</v>
      </c>
      <c r="C573"/>
      <c r="D573"/>
      <c r="E573"/>
      <c r="F573"/>
      <c r="G573" t="s">
        <v>6587</v>
      </c>
      <c r="H573"/>
      <c r="I573"/>
    </row>
    <row r="574" spans="1:9">
      <c r="A574">
        <v>3169</v>
      </c>
      <c r="B574" t="s">
        <v>5733</v>
      </c>
      <c r="C574" t="s">
        <v>6586</v>
      </c>
      <c r="D574"/>
      <c r="E574" t="s">
        <v>6586</v>
      </c>
      <c r="F574"/>
      <c r="G574"/>
      <c r="H574"/>
      <c r="I574">
        <v>6.99</v>
      </c>
    </row>
    <row r="575" spans="1:9">
      <c r="A575">
        <v>3171</v>
      </c>
      <c r="B575" t="s">
        <v>5734</v>
      </c>
      <c r="C575"/>
      <c r="D575"/>
      <c r="E575"/>
      <c r="F575"/>
      <c r="G575"/>
      <c r="H575"/>
      <c r="I575"/>
    </row>
    <row r="576" spans="1:9">
      <c r="A576">
        <v>3178</v>
      </c>
      <c r="B576" t="s">
        <v>5735</v>
      </c>
      <c r="C576"/>
      <c r="D576"/>
      <c r="E576"/>
      <c r="F576"/>
      <c r="G576" t="s">
        <v>6583</v>
      </c>
      <c r="H576"/>
      <c r="I576"/>
    </row>
    <row r="577" spans="1:9">
      <c r="A577">
        <v>3188</v>
      </c>
      <c r="B577" t="s">
        <v>5736</v>
      </c>
      <c r="C577"/>
      <c r="D577"/>
      <c r="E577"/>
      <c r="F577"/>
      <c r="G577"/>
      <c r="H577"/>
      <c r="I577"/>
    </row>
    <row r="578" spans="1:9">
      <c r="A578">
        <v>3189</v>
      </c>
      <c r="B578" t="s">
        <v>5737</v>
      </c>
      <c r="C578"/>
      <c r="D578"/>
      <c r="E578"/>
      <c r="F578"/>
      <c r="G578"/>
      <c r="H578" t="s">
        <v>6584</v>
      </c>
      <c r="I578"/>
    </row>
    <row r="579" spans="1:9">
      <c r="A579">
        <v>3202</v>
      </c>
      <c r="B579" t="s">
        <v>5738</v>
      </c>
      <c r="C579"/>
      <c r="D579"/>
      <c r="E579"/>
      <c r="F579"/>
      <c r="G579"/>
      <c r="H579"/>
      <c r="I579"/>
    </row>
    <row r="580" spans="1:9">
      <c r="A580">
        <v>3205</v>
      </c>
      <c r="B580" t="s">
        <v>5739</v>
      </c>
      <c r="C580"/>
      <c r="D580"/>
      <c r="E580"/>
      <c r="F580"/>
      <c r="G580"/>
      <c r="H580"/>
      <c r="I580"/>
    </row>
    <row r="581" spans="1:9">
      <c r="A581">
        <v>3207</v>
      </c>
      <c r="B581" t="s">
        <v>5740</v>
      </c>
      <c r="C581"/>
      <c r="D581"/>
      <c r="E581"/>
      <c r="F581"/>
      <c r="G581"/>
      <c r="H581"/>
      <c r="I581"/>
    </row>
    <row r="582" spans="1:9">
      <c r="A582">
        <v>3209</v>
      </c>
      <c r="B582" t="s">
        <v>5741</v>
      </c>
      <c r="C582"/>
      <c r="D582" t="s">
        <v>6586</v>
      </c>
      <c r="E582"/>
      <c r="F582"/>
      <c r="G582"/>
      <c r="H582"/>
      <c r="I582">
        <v>7.93</v>
      </c>
    </row>
    <row r="583" spans="1:9">
      <c r="A583">
        <v>3211</v>
      </c>
      <c r="B583" t="s">
        <v>5742</v>
      </c>
      <c r="C583"/>
      <c r="D583"/>
      <c r="E583"/>
      <c r="F583"/>
      <c r="G583"/>
      <c r="H583"/>
      <c r="I583"/>
    </row>
    <row r="584" spans="1:9">
      <c r="A584">
        <v>3213</v>
      </c>
      <c r="B584" t="s">
        <v>5743</v>
      </c>
      <c r="C584"/>
      <c r="D584"/>
      <c r="E584"/>
      <c r="F584"/>
      <c r="G584"/>
      <c r="H584"/>
      <c r="I584"/>
    </row>
    <row r="585" spans="1:9">
      <c r="A585">
        <v>3217</v>
      </c>
      <c r="B585" t="s">
        <v>5744</v>
      </c>
      <c r="C585" t="s">
        <v>6585</v>
      </c>
      <c r="D585"/>
      <c r="E585"/>
      <c r="F585" t="s">
        <v>6585</v>
      </c>
      <c r="G585" t="s">
        <v>6587</v>
      </c>
      <c r="H585"/>
      <c r="I585">
        <v>8.94</v>
      </c>
    </row>
    <row r="586" spans="1:9">
      <c r="A586">
        <v>3218</v>
      </c>
      <c r="B586" t="s">
        <v>5745</v>
      </c>
      <c r="C586"/>
      <c r="D586"/>
      <c r="E586"/>
      <c r="F586"/>
      <c r="G586"/>
      <c r="H586"/>
      <c r="I586"/>
    </row>
    <row r="587" spans="1:9">
      <c r="A587">
        <v>3219</v>
      </c>
      <c r="B587" t="s">
        <v>5746</v>
      </c>
      <c r="C587"/>
      <c r="D587"/>
      <c r="E587"/>
      <c r="F587"/>
      <c r="G587"/>
      <c r="H587"/>
      <c r="I587"/>
    </row>
    <row r="588" spans="1:9">
      <c r="A588">
        <v>3221</v>
      </c>
      <c r="B588" t="s">
        <v>5747</v>
      </c>
      <c r="C588"/>
      <c r="D588"/>
      <c r="E588" t="s">
        <v>6586</v>
      </c>
      <c r="F588"/>
      <c r="G588" t="s">
        <v>6583</v>
      </c>
      <c r="H588"/>
      <c r="I588"/>
    </row>
    <row r="589" spans="1:9">
      <c r="A589">
        <v>3224</v>
      </c>
      <c r="B589" t="s">
        <v>5748</v>
      </c>
      <c r="C589"/>
      <c r="D589"/>
      <c r="E589"/>
      <c r="F589"/>
      <c r="G589"/>
      <c r="H589"/>
      <c r="I589"/>
    </row>
    <row r="590" spans="1:9">
      <c r="A590">
        <v>3227</v>
      </c>
      <c r="B590" t="s">
        <v>5749</v>
      </c>
      <c r="C590"/>
      <c r="D590"/>
      <c r="E590"/>
      <c r="F590"/>
      <c r="G590"/>
      <c r="H590"/>
      <c r="I590"/>
    </row>
    <row r="591" spans="1:9">
      <c r="A591">
        <v>3230</v>
      </c>
      <c r="B591" t="s">
        <v>5750</v>
      </c>
      <c r="C591"/>
      <c r="D591"/>
      <c r="E591"/>
      <c r="F591"/>
      <c r="G591"/>
      <c r="H591"/>
      <c r="I591"/>
    </row>
    <row r="592" spans="1:9">
      <c r="A592">
        <v>3231</v>
      </c>
      <c r="B592" t="s">
        <v>5751</v>
      </c>
      <c r="C592"/>
      <c r="D592"/>
      <c r="E592"/>
      <c r="F592"/>
      <c r="G592"/>
      <c r="H592"/>
      <c r="I592"/>
    </row>
    <row r="593" spans="1:9">
      <c r="A593">
        <v>3232</v>
      </c>
      <c r="B593" t="s">
        <v>5752</v>
      </c>
      <c r="C593"/>
      <c r="D593" t="s">
        <v>6585</v>
      </c>
      <c r="E593"/>
      <c r="F593"/>
      <c r="G593"/>
      <c r="H593"/>
      <c r="I593"/>
    </row>
    <row r="594" spans="1:9">
      <c r="A594">
        <v>3234</v>
      </c>
      <c r="B594" t="s">
        <v>5753</v>
      </c>
      <c r="C594"/>
      <c r="D594"/>
      <c r="E594"/>
      <c r="F594"/>
      <c r="G594"/>
      <c r="H594"/>
      <c r="I594"/>
    </row>
    <row r="595" spans="1:9">
      <c r="A595">
        <v>3236</v>
      </c>
      <c r="B595" t="s">
        <v>5754</v>
      </c>
      <c r="C595"/>
      <c r="D595"/>
      <c r="E595"/>
      <c r="F595"/>
      <c r="G595"/>
      <c r="H595"/>
      <c r="I595"/>
    </row>
    <row r="596" spans="1:9">
      <c r="A596">
        <v>3252</v>
      </c>
      <c r="B596" t="s">
        <v>5755</v>
      </c>
      <c r="C596"/>
      <c r="D596"/>
      <c r="E596"/>
      <c r="F596"/>
      <c r="G596"/>
      <c r="H596"/>
      <c r="I596"/>
    </row>
    <row r="597" spans="1:9">
      <c r="A597">
        <v>3257</v>
      </c>
      <c r="B597" t="s">
        <v>5756</v>
      </c>
      <c r="C597"/>
      <c r="D597"/>
      <c r="E597"/>
      <c r="F597"/>
      <c r="G597"/>
      <c r="H597"/>
      <c r="I597"/>
    </row>
    <row r="598" spans="1:9">
      <c r="A598">
        <v>3260</v>
      </c>
      <c r="B598" t="s">
        <v>5757</v>
      </c>
      <c r="C598"/>
      <c r="D598"/>
      <c r="E598"/>
      <c r="F598" t="s">
        <v>6586</v>
      </c>
      <c r="G598"/>
      <c r="H598" t="s">
        <v>6584</v>
      </c>
      <c r="I598"/>
    </row>
    <row r="599" spans="1:9">
      <c r="A599">
        <v>3264</v>
      </c>
      <c r="B599" t="s">
        <v>5758</v>
      </c>
      <c r="C599"/>
      <c r="D599"/>
      <c r="E599"/>
      <c r="F599"/>
      <c r="G599"/>
      <c r="H599"/>
      <c r="I599"/>
    </row>
    <row r="600" spans="1:9">
      <c r="A600">
        <v>3265</v>
      </c>
      <c r="B600" t="s">
        <v>5759</v>
      </c>
      <c r="C600"/>
      <c r="D600"/>
      <c r="E600"/>
      <c r="F600"/>
      <c r="G600"/>
      <c r="H600"/>
      <c r="I600"/>
    </row>
    <row r="601" spans="1:9">
      <c r="A601">
        <v>3266</v>
      </c>
      <c r="B601" t="s">
        <v>5760</v>
      </c>
      <c r="C601"/>
      <c r="D601"/>
      <c r="E601"/>
      <c r="F601"/>
      <c r="G601"/>
      <c r="H601"/>
      <c r="I601"/>
    </row>
    <row r="602" spans="1:9">
      <c r="A602">
        <v>3268</v>
      </c>
      <c r="B602" t="s">
        <v>5761</v>
      </c>
      <c r="C602"/>
      <c r="D602"/>
      <c r="E602"/>
      <c r="F602"/>
      <c r="G602"/>
      <c r="H602"/>
      <c r="I602"/>
    </row>
    <row r="603" spans="1:9">
      <c r="A603">
        <v>3272</v>
      </c>
      <c r="B603" t="s">
        <v>5762</v>
      </c>
      <c r="C603"/>
      <c r="D603"/>
      <c r="E603"/>
      <c r="F603"/>
      <c r="G603"/>
      <c r="H603"/>
      <c r="I603"/>
    </row>
    <row r="604" spans="1:9">
      <c r="A604">
        <v>3276</v>
      </c>
      <c r="B604" t="s">
        <v>5763</v>
      </c>
      <c r="C604"/>
      <c r="D604"/>
      <c r="E604"/>
      <c r="F604"/>
      <c r="G604" t="s">
        <v>6583</v>
      </c>
      <c r="H604"/>
      <c r="I604"/>
    </row>
    <row r="605" spans="1:9">
      <c r="A605">
        <v>3284</v>
      </c>
      <c r="B605" t="s">
        <v>5764</v>
      </c>
      <c r="C605"/>
      <c r="D605"/>
      <c r="E605"/>
      <c r="F605"/>
      <c r="G605"/>
      <c r="H605"/>
      <c r="I605"/>
    </row>
    <row r="606" spans="1:9">
      <c r="A606">
        <v>3289</v>
      </c>
      <c r="B606" t="s">
        <v>5765</v>
      </c>
      <c r="C606"/>
      <c r="D606"/>
      <c r="E606"/>
      <c r="F606"/>
      <c r="G606"/>
      <c r="H606"/>
      <c r="I606"/>
    </row>
    <row r="607" spans="1:9">
      <c r="A607">
        <v>3290</v>
      </c>
      <c r="B607" t="s">
        <v>5766</v>
      </c>
      <c r="C607"/>
      <c r="D607"/>
      <c r="E607"/>
      <c r="F607"/>
      <c r="G607" t="s">
        <v>6583</v>
      </c>
      <c r="H607"/>
      <c r="I607"/>
    </row>
    <row r="608" spans="1:9">
      <c r="A608">
        <v>3293</v>
      </c>
      <c r="B608" t="s">
        <v>5767</v>
      </c>
      <c r="C608"/>
      <c r="D608"/>
      <c r="E608"/>
      <c r="F608"/>
      <c r="G608"/>
      <c r="H608"/>
      <c r="I608"/>
    </row>
    <row r="609" spans="1:9">
      <c r="A609">
        <v>3294</v>
      </c>
      <c r="B609" t="s">
        <v>5768</v>
      </c>
      <c r="C609"/>
      <c r="D609"/>
      <c r="E609"/>
      <c r="F609"/>
      <c r="G609"/>
      <c r="H609"/>
      <c r="I609"/>
    </row>
    <row r="610" spans="1:9">
      <c r="A610">
        <v>3296</v>
      </c>
      <c r="B610" t="s">
        <v>5769</v>
      </c>
      <c r="C610"/>
      <c r="D610"/>
      <c r="E610"/>
      <c r="F610"/>
      <c r="G610"/>
      <c r="H610"/>
      <c r="I610"/>
    </row>
    <row r="611" spans="1:9">
      <c r="A611">
        <v>3297</v>
      </c>
      <c r="B611" t="s">
        <v>5770</v>
      </c>
      <c r="C611"/>
      <c r="D611"/>
      <c r="E611"/>
      <c r="F611"/>
      <c r="G611"/>
      <c r="H611"/>
      <c r="I611"/>
    </row>
    <row r="612" spans="1:9">
      <c r="A612">
        <v>3303</v>
      </c>
      <c r="B612" t="s">
        <v>5771</v>
      </c>
      <c r="C612"/>
      <c r="D612"/>
      <c r="E612"/>
      <c r="F612"/>
      <c r="G612"/>
      <c r="H612"/>
      <c r="I612"/>
    </row>
    <row r="613" spans="1:9">
      <c r="A613">
        <v>3305</v>
      </c>
      <c r="B613" t="s">
        <v>5772</v>
      </c>
      <c r="C613" t="s">
        <v>6585</v>
      </c>
      <c r="D613" t="s">
        <v>6585</v>
      </c>
      <c r="E613" t="s">
        <v>6585</v>
      </c>
      <c r="F613"/>
      <c r="G613"/>
      <c r="H613"/>
      <c r="I613">
        <v>14.14</v>
      </c>
    </row>
    <row r="614" spans="1:9">
      <c r="A614">
        <v>3306</v>
      </c>
      <c r="B614" t="s">
        <v>5773</v>
      </c>
      <c r="C614"/>
      <c r="D614"/>
      <c r="E614"/>
      <c r="F614"/>
      <c r="G614"/>
      <c r="H614"/>
      <c r="I614"/>
    </row>
    <row r="615" spans="1:9">
      <c r="A615">
        <v>3310</v>
      </c>
      <c r="B615" t="s">
        <v>5774</v>
      </c>
      <c r="C615"/>
      <c r="D615"/>
      <c r="E615"/>
      <c r="F615"/>
      <c r="G615" t="s">
        <v>6583</v>
      </c>
      <c r="H615" t="s">
        <v>6584</v>
      </c>
      <c r="I615"/>
    </row>
    <row r="616" spans="1:9">
      <c r="A616">
        <v>3311</v>
      </c>
      <c r="B616" t="s">
        <v>5775</v>
      </c>
      <c r="C616"/>
      <c r="D616"/>
      <c r="E616"/>
      <c r="F616"/>
      <c r="G616"/>
      <c r="H616"/>
      <c r="I616"/>
    </row>
    <row r="617" spans="1:9">
      <c r="A617">
        <v>3312</v>
      </c>
      <c r="B617" t="s">
        <v>5776</v>
      </c>
      <c r="C617"/>
      <c r="D617" t="s">
        <v>6586</v>
      </c>
      <c r="E617"/>
      <c r="F617"/>
      <c r="G617"/>
      <c r="H617" t="s">
        <v>6584</v>
      </c>
      <c r="I617">
        <v>5.26</v>
      </c>
    </row>
    <row r="618" spans="1:9">
      <c r="A618">
        <v>3317</v>
      </c>
      <c r="B618" t="s">
        <v>5777</v>
      </c>
      <c r="C618"/>
      <c r="D618"/>
      <c r="E618"/>
      <c r="F618"/>
      <c r="G618"/>
      <c r="H618"/>
      <c r="I618"/>
    </row>
    <row r="619" spans="1:9">
      <c r="A619">
        <v>3323</v>
      </c>
      <c r="B619" t="s">
        <v>5778</v>
      </c>
      <c r="C619"/>
      <c r="D619"/>
      <c r="E619"/>
      <c r="F619"/>
      <c r="G619"/>
      <c r="H619"/>
      <c r="I619"/>
    </row>
    <row r="620" spans="1:9">
      <c r="A620">
        <v>3324</v>
      </c>
      <c r="B620" t="s">
        <v>5779</v>
      </c>
      <c r="C620"/>
      <c r="D620" t="s">
        <v>6586</v>
      </c>
      <c r="E620" t="s">
        <v>6586</v>
      </c>
      <c r="F620" t="s">
        <v>6586</v>
      </c>
      <c r="G620"/>
      <c r="H620"/>
      <c r="I620"/>
    </row>
    <row r="621" spans="1:9">
      <c r="A621">
        <v>3325</v>
      </c>
      <c r="B621" t="s">
        <v>5780</v>
      </c>
      <c r="C621"/>
      <c r="D621"/>
      <c r="E621"/>
      <c r="F621"/>
      <c r="G621"/>
      <c r="H621"/>
      <c r="I621"/>
    </row>
    <row r="622" spans="1:9">
      <c r="A622">
        <v>3338</v>
      </c>
      <c r="B622" t="s">
        <v>5781</v>
      </c>
      <c r="C622"/>
      <c r="D622"/>
      <c r="E622"/>
      <c r="F622"/>
      <c r="G622"/>
      <c r="H622"/>
      <c r="I622"/>
    </row>
    <row r="623" spans="1:9">
      <c r="A623">
        <v>3339</v>
      </c>
      <c r="B623" t="s">
        <v>5782</v>
      </c>
      <c r="C623"/>
      <c r="D623"/>
      <c r="E623"/>
      <c r="F623"/>
      <c r="G623"/>
      <c r="H623" t="s">
        <v>6584</v>
      </c>
      <c r="I623"/>
    </row>
    <row r="624" spans="1:9">
      <c r="A624">
        <v>3346</v>
      </c>
      <c r="B624" t="s">
        <v>5783</v>
      </c>
      <c r="C624"/>
      <c r="D624"/>
      <c r="E624"/>
      <c r="F624"/>
      <c r="G624"/>
      <c r="H624" t="s">
        <v>6584</v>
      </c>
      <c r="I624"/>
    </row>
    <row r="625" spans="1:9">
      <c r="A625">
        <v>3354</v>
      </c>
      <c r="B625" t="s">
        <v>5784</v>
      </c>
      <c r="C625" t="s">
        <v>6586</v>
      </c>
      <c r="D625"/>
      <c r="E625"/>
      <c r="F625"/>
      <c r="G625"/>
      <c r="H625" t="s">
        <v>6584</v>
      </c>
      <c r="I625"/>
    </row>
    <row r="626" spans="1:9">
      <c r="A626">
        <v>3356</v>
      </c>
      <c r="B626" t="s">
        <v>5785</v>
      </c>
      <c r="C626"/>
      <c r="D626"/>
      <c r="E626"/>
      <c r="F626"/>
      <c r="G626"/>
      <c r="H626"/>
      <c r="I626"/>
    </row>
    <row r="627" spans="1:9">
      <c r="A627">
        <v>3357</v>
      </c>
      <c r="B627" t="s">
        <v>5786</v>
      </c>
      <c r="C627"/>
      <c r="D627"/>
      <c r="E627"/>
      <c r="F627"/>
      <c r="G627" t="s">
        <v>6583</v>
      </c>
      <c r="H627"/>
      <c r="I627"/>
    </row>
    <row r="628" spans="1:9">
      <c r="A628">
        <v>3360</v>
      </c>
      <c r="B628" t="s">
        <v>5787</v>
      </c>
      <c r="C628"/>
      <c r="D628"/>
      <c r="E628"/>
      <c r="F628"/>
      <c r="G628"/>
      <c r="H628"/>
      <c r="I628"/>
    </row>
    <row r="629" spans="1:9">
      <c r="A629">
        <v>3362</v>
      </c>
      <c r="B629" t="s">
        <v>5788</v>
      </c>
      <c r="C629"/>
      <c r="D629"/>
      <c r="E629"/>
      <c r="F629"/>
      <c r="G629"/>
      <c r="H629"/>
      <c r="I629"/>
    </row>
    <row r="630" spans="1:9">
      <c r="A630">
        <v>3363</v>
      </c>
      <c r="B630" t="s">
        <v>5789</v>
      </c>
      <c r="C630"/>
      <c r="D630"/>
      <c r="E630"/>
      <c r="F630"/>
      <c r="G630"/>
      <c r="H630"/>
      <c r="I630"/>
    </row>
    <row r="631" spans="1:9">
      <c r="A631">
        <v>3372</v>
      </c>
      <c r="B631" t="s">
        <v>5790</v>
      </c>
      <c r="C631"/>
      <c r="D631"/>
      <c r="E631"/>
      <c r="F631"/>
      <c r="G631"/>
      <c r="H631"/>
      <c r="I631"/>
    </row>
    <row r="632" spans="1:9">
      <c r="A632">
        <v>3373</v>
      </c>
      <c r="B632" t="s">
        <v>5791</v>
      </c>
      <c r="C632"/>
      <c r="D632"/>
      <c r="E632"/>
      <c r="F632"/>
      <c r="G632"/>
      <c r="H632" t="s">
        <v>6584</v>
      </c>
      <c r="I632"/>
    </row>
    <row r="633" spans="1:9">
      <c r="A633">
        <v>3374</v>
      </c>
      <c r="B633" t="s">
        <v>5792</v>
      </c>
      <c r="C633"/>
      <c r="D633"/>
      <c r="E633"/>
      <c r="F633"/>
      <c r="G633"/>
      <c r="H633"/>
      <c r="I633"/>
    </row>
    <row r="634" spans="1:9">
      <c r="A634">
        <v>3376</v>
      </c>
      <c r="B634" t="s">
        <v>5793</v>
      </c>
      <c r="C634"/>
      <c r="D634"/>
      <c r="E634"/>
      <c r="F634"/>
      <c r="G634"/>
      <c r="H634"/>
      <c r="I634"/>
    </row>
    <row r="635" spans="1:9">
      <c r="A635">
        <v>3379</v>
      </c>
      <c r="B635" t="s">
        <v>5794</v>
      </c>
      <c r="C635"/>
      <c r="D635"/>
      <c r="E635"/>
      <c r="F635"/>
      <c r="G635"/>
      <c r="H635"/>
      <c r="I635"/>
    </row>
    <row r="636" spans="1:9">
      <c r="A636">
        <v>3380</v>
      </c>
      <c r="B636" t="s">
        <v>5795</v>
      </c>
      <c r="C636"/>
      <c r="D636"/>
      <c r="E636"/>
      <c r="F636"/>
      <c r="G636"/>
      <c r="H636"/>
      <c r="I636"/>
    </row>
    <row r="637" spans="1:9">
      <c r="A637">
        <v>3388</v>
      </c>
      <c r="B637" t="s">
        <v>5796</v>
      </c>
      <c r="C637"/>
      <c r="D637"/>
      <c r="E637"/>
      <c r="F637"/>
      <c r="G637"/>
      <c r="H637"/>
      <c r="I637"/>
    </row>
    <row r="638" spans="1:9">
      <c r="A638">
        <v>3390</v>
      </c>
      <c r="B638" t="s">
        <v>5797</v>
      </c>
      <c r="C638"/>
      <c r="D638"/>
      <c r="E638"/>
      <c r="F638"/>
      <c r="G638"/>
      <c r="H638"/>
      <c r="I638"/>
    </row>
    <row r="639" spans="1:9">
      <c r="A639">
        <v>3402</v>
      </c>
      <c r="B639" t="s">
        <v>5798</v>
      </c>
      <c r="C639"/>
      <c r="D639"/>
      <c r="E639"/>
      <c r="F639"/>
      <c r="G639" t="s">
        <v>6583</v>
      </c>
      <c r="H639"/>
      <c r="I639"/>
    </row>
    <row r="640" spans="1:9">
      <c r="A640">
        <v>3406</v>
      </c>
      <c r="B640" t="s">
        <v>5799</v>
      </c>
      <c r="C640"/>
      <c r="D640"/>
      <c r="E640"/>
      <c r="F640"/>
      <c r="G640"/>
      <c r="H640" t="s">
        <v>6584</v>
      </c>
      <c r="I640"/>
    </row>
    <row r="641" spans="1:9">
      <c r="A641">
        <v>3413</v>
      </c>
      <c r="B641" t="s">
        <v>5800</v>
      </c>
      <c r="C641"/>
      <c r="D641"/>
      <c r="E641"/>
      <c r="F641"/>
      <c r="G641"/>
      <c r="H641"/>
      <c r="I641"/>
    </row>
    <row r="642" spans="1:9">
      <c r="A642">
        <v>3416</v>
      </c>
      <c r="B642" t="s">
        <v>5801</v>
      </c>
      <c r="C642"/>
      <c r="D642"/>
      <c r="E642"/>
      <c r="F642"/>
      <c r="G642"/>
      <c r="H642"/>
      <c r="I642"/>
    </row>
    <row r="643" spans="1:9">
      <c r="A643">
        <v>3419</v>
      </c>
      <c r="B643" t="s">
        <v>5802</v>
      </c>
      <c r="C643"/>
      <c r="D643" t="s">
        <v>6586</v>
      </c>
      <c r="E643"/>
      <c r="F643"/>
      <c r="G643"/>
      <c r="H643"/>
      <c r="I643">
        <v>8.06</v>
      </c>
    </row>
    <row r="644" spans="1:9">
      <c r="A644">
        <v>3432</v>
      </c>
      <c r="B644" t="s">
        <v>5803</v>
      </c>
      <c r="C644"/>
      <c r="D644"/>
      <c r="E644"/>
      <c r="F644"/>
      <c r="G644"/>
      <c r="H644"/>
      <c r="I644"/>
    </row>
    <row r="645" spans="1:9">
      <c r="A645">
        <v>3434</v>
      </c>
      <c r="B645" t="s">
        <v>5804</v>
      </c>
      <c r="C645"/>
      <c r="D645"/>
      <c r="E645"/>
      <c r="F645"/>
      <c r="G645"/>
      <c r="H645" t="s">
        <v>6584</v>
      </c>
      <c r="I645"/>
    </row>
    <row r="646" spans="1:9">
      <c r="A646">
        <v>3437</v>
      </c>
      <c r="B646" t="s">
        <v>5805</v>
      </c>
      <c r="C646"/>
      <c r="D646"/>
      <c r="E646"/>
      <c r="F646"/>
      <c r="G646"/>
      <c r="H646"/>
      <c r="I646"/>
    </row>
    <row r="647" spans="1:9">
      <c r="A647">
        <v>3438</v>
      </c>
      <c r="B647" t="s">
        <v>5806</v>
      </c>
      <c r="C647"/>
      <c r="D647"/>
      <c r="E647"/>
      <c r="F647"/>
      <c r="G647" t="s">
        <v>6583</v>
      </c>
      <c r="H647"/>
      <c r="I647"/>
    </row>
    <row r="648" spans="1:9">
      <c r="A648">
        <v>3441</v>
      </c>
      <c r="B648" t="s">
        <v>5807</v>
      </c>
      <c r="C648"/>
      <c r="D648"/>
      <c r="E648"/>
      <c r="F648"/>
      <c r="G648"/>
      <c r="H648"/>
      <c r="I648"/>
    </row>
    <row r="649" spans="1:9">
      <c r="A649">
        <v>3443</v>
      </c>
      <c r="B649" t="s">
        <v>5808</v>
      </c>
      <c r="C649"/>
      <c r="D649"/>
      <c r="E649"/>
      <c r="F649" t="s">
        <v>6585</v>
      </c>
      <c r="G649"/>
      <c r="H649" t="s">
        <v>6584</v>
      </c>
      <c r="I649"/>
    </row>
    <row r="650" spans="1:9">
      <c r="A650">
        <v>3444</v>
      </c>
      <c r="B650" t="s">
        <v>5809</v>
      </c>
      <c r="C650"/>
      <c r="D650"/>
      <c r="E650"/>
      <c r="F650"/>
      <c r="G650"/>
      <c r="H650"/>
      <c r="I650"/>
    </row>
    <row r="651" spans="1:9">
      <c r="A651">
        <v>3450</v>
      </c>
      <c r="B651" t="s">
        <v>5810</v>
      </c>
      <c r="C651"/>
      <c r="D651"/>
      <c r="E651"/>
      <c r="F651"/>
      <c r="G651"/>
      <c r="H651"/>
      <c r="I651"/>
    </row>
    <row r="652" spans="1:9">
      <c r="A652">
        <v>3454</v>
      </c>
      <c r="B652" t="s">
        <v>5811</v>
      </c>
      <c r="C652"/>
      <c r="D652"/>
      <c r="E652"/>
      <c r="F652"/>
      <c r="G652"/>
      <c r="H652"/>
      <c r="I652"/>
    </row>
    <row r="653" spans="1:9">
      <c r="A653">
        <v>3455</v>
      </c>
      <c r="B653" t="s">
        <v>5812</v>
      </c>
      <c r="C653"/>
      <c r="D653" t="s">
        <v>6585</v>
      </c>
      <c r="E653"/>
      <c r="F653"/>
      <c r="G653"/>
      <c r="H653" t="s">
        <v>6584</v>
      </c>
      <c r="I653">
        <v>6.43</v>
      </c>
    </row>
    <row r="654" spans="1:9">
      <c r="A654">
        <v>3466</v>
      </c>
      <c r="B654" t="s">
        <v>5813</v>
      </c>
      <c r="C654"/>
      <c r="D654"/>
      <c r="E654"/>
      <c r="F654"/>
      <c r="G654"/>
      <c r="H654"/>
      <c r="I654"/>
    </row>
    <row r="655" spans="1:9">
      <c r="A655">
        <v>3479</v>
      </c>
      <c r="B655" t="s">
        <v>5814</v>
      </c>
      <c r="C655"/>
      <c r="D655"/>
      <c r="E655"/>
      <c r="F655"/>
      <c r="G655"/>
      <c r="H655"/>
      <c r="I655"/>
    </row>
    <row r="656" spans="1:9">
      <c r="A656">
        <v>3481</v>
      </c>
      <c r="B656" t="s">
        <v>5815</v>
      </c>
      <c r="C656"/>
      <c r="D656"/>
      <c r="E656"/>
      <c r="F656"/>
      <c r="G656"/>
      <c r="H656"/>
      <c r="I656"/>
    </row>
    <row r="657" spans="1:9">
      <c r="A657">
        <v>3483</v>
      </c>
      <c r="B657" t="s">
        <v>5816</v>
      </c>
      <c r="C657"/>
      <c r="D657"/>
      <c r="E657"/>
      <c r="F657"/>
      <c r="G657"/>
      <c r="H657"/>
      <c r="I657"/>
    </row>
    <row r="658" spans="1:9">
      <c r="A658">
        <v>3484</v>
      </c>
      <c r="B658" t="s">
        <v>5817</v>
      </c>
      <c r="C658"/>
      <c r="D658"/>
      <c r="E658"/>
      <c r="F658" t="s">
        <v>6586</v>
      </c>
      <c r="G658"/>
      <c r="H658"/>
      <c r="I658"/>
    </row>
    <row r="659" spans="1:9">
      <c r="A659">
        <v>3489</v>
      </c>
      <c r="B659" t="s">
        <v>5818</v>
      </c>
      <c r="C659"/>
      <c r="D659"/>
      <c r="E659"/>
      <c r="F659"/>
      <c r="G659"/>
      <c r="H659"/>
      <c r="I659"/>
    </row>
    <row r="660" spans="1:9">
      <c r="A660">
        <v>3490</v>
      </c>
      <c r="B660" t="s">
        <v>5819</v>
      </c>
      <c r="C660"/>
      <c r="D660"/>
      <c r="E660"/>
      <c r="F660"/>
      <c r="G660"/>
      <c r="H660"/>
      <c r="I660"/>
    </row>
    <row r="661" spans="1:9">
      <c r="A661">
        <v>3491</v>
      </c>
      <c r="B661" t="s">
        <v>5820</v>
      </c>
      <c r="C661" t="s">
        <v>6586</v>
      </c>
      <c r="D661" t="s">
        <v>6585</v>
      </c>
      <c r="E661" t="s">
        <v>6585</v>
      </c>
      <c r="F661" t="s">
        <v>6585</v>
      </c>
      <c r="G661"/>
      <c r="H661" t="s">
        <v>6584</v>
      </c>
      <c r="I661">
        <v>33.08</v>
      </c>
    </row>
    <row r="662" spans="1:9">
      <c r="A662">
        <v>3492</v>
      </c>
      <c r="B662" t="s">
        <v>5821</v>
      </c>
      <c r="C662"/>
      <c r="D662"/>
      <c r="E662"/>
      <c r="F662"/>
      <c r="G662"/>
      <c r="H662"/>
      <c r="I662"/>
    </row>
    <row r="663" spans="1:9">
      <c r="A663">
        <v>3498</v>
      </c>
      <c r="B663" t="s">
        <v>5822</v>
      </c>
      <c r="C663"/>
      <c r="D663"/>
      <c r="E663"/>
      <c r="F663"/>
      <c r="G663"/>
      <c r="H663"/>
      <c r="I663"/>
    </row>
    <row r="664" spans="1:9">
      <c r="A664">
        <v>3499</v>
      </c>
      <c r="B664" t="s">
        <v>5823</v>
      </c>
      <c r="C664" t="s">
        <v>6585</v>
      </c>
      <c r="D664" t="s">
        <v>6586</v>
      </c>
      <c r="E664"/>
      <c r="F664"/>
      <c r="G664"/>
      <c r="H664"/>
      <c r="I664">
        <v>7.72</v>
      </c>
    </row>
    <row r="665" spans="1:9">
      <c r="A665">
        <v>3501</v>
      </c>
      <c r="B665" t="s">
        <v>5824</v>
      </c>
      <c r="C665"/>
      <c r="D665"/>
      <c r="E665"/>
      <c r="F665"/>
      <c r="G665"/>
      <c r="H665"/>
      <c r="I665"/>
    </row>
    <row r="666" spans="1:9">
      <c r="A666">
        <v>3504</v>
      </c>
      <c r="B666" t="s">
        <v>5825</v>
      </c>
      <c r="C666"/>
      <c r="D666" t="s">
        <v>6586</v>
      </c>
      <c r="E666"/>
      <c r="F666"/>
      <c r="G666"/>
      <c r="H666" t="s">
        <v>6584</v>
      </c>
      <c r="I666"/>
    </row>
    <row r="667" spans="1:9">
      <c r="A667">
        <v>3508</v>
      </c>
      <c r="B667" t="s">
        <v>5826</v>
      </c>
      <c r="C667"/>
      <c r="D667" t="s">
        <v>6586</v>
      </c>
      <c r="E667"/>
      <c r="F667"/>
      <c r="G667"/>
      <c r="H667" t="s">
        <v>6584</v>
      </c>
      <c r="I667"/>
    </row>
    <row r="668" spans="1:9">
      <c r="A668">
        <v>3511</v>
      </c>
      <c r="B668" t="s">
        <v>5827</v>
      </c>
      <c r="C668"/>
      <c r="D668"/>
      <c r="E668"/>
      <c r="F668"/>
      <c r="G668"/>
      <c r="H668"/>
      <c r="I668"/>
    </row>
    <row r="669" spans="1:9">
      <c r="A669">
        <v>3512</v>
      </c>
      <c r="B669" t="s">
        <v>6591</v>
      </c>
      <c r="C669"/>
      <c r="D669"/>
      <c r="E669"/>
      <c r="F669"/>
      <c r="G669"/>
      <c r="H669"/>
      <c r="I669"/>
    </row>
    <row r="670" spans="1:9">
      <c r="A670">
        <v>3515</v>
      </c>
      <c r="B670" t="s">
        <v>5828</v>
      </c>
      <c r="C670"/>
      <c r="D670"/>
      <c r="E670"/>
      <c r="F670"/>
      <c r="G670"/>
      <c r="H670"/>
      <c r="I670"/>
    </row>
    <row r="671" spans="1:9">
      <c r="A671">
        <v>3518</v>
      </c>
      <c r="B671" t="s">
        <v>5829</v>
      </c>
      <c r="C671"/>
      <c r="D671"/>
      <c r="E671"/>
      <c r="F671"/>
      <c r="G671"/>
      <c r="H671"/>
      <c r="I671"/>
    </row>
    <row r="672" spans="1:9">
      <c r="A672">
        <v>3521</v>
      </c>
      <c r="B672" t="s">
        <v>5830</v>
      </c>
      <c r="C672"/>
      <c r="D672"/>
      <c r="E672"/>
      <c r="F672"/>
      <c r="G672"/>
      <c r="H672"/>
      <c r="I672"/>
    </row>
    <row r="673" spans="1:9">
      <c r="A673">
        <v>3526</v>
      </c>
      <c r="B673" t="s">
        <v>5831</v>
      </c>
      <c r="C673"/>
      <c r="D673"/>
      <c r="E673"/>
      <c r="F673" t="s">
        <v>6586</v>
      </c>
      <c r="G673"/>
      <c r="H673"/>
      <c r="I673"/>
    </row>
    <row r="674" spans="1:9">
      <c r="A674">
        <v>3527</v>
      </c>
      <c r="B674" t="s">
        <v>5832</v>
      </c>
      <c r="C674"/>
      <c r="D674"/>
      <c r="E674"/>
      <c r="F674"/>
      <c r="G674"/>
      <c r="H674"/>
      <c r="I674"/>
    </row>
    <row r="675" spans="1:9">
      <c r="A675">
        <v>3528</v>
      </c>
      <c r="B675" t="s">
        <v>5833</v>
      </c>
      <c r="C675"/>
      <c r="D675"/>
      <c r="E675"/>
      <c r="F675"/>
      <c r="G675"/>
      <c r="H675"/>
      <c r="I675"/>
    </row>
    <row r="676" spans="1:9">
      <c r="A676">
        <v>3529</v>
      </c>
      <c r="B676" t="s">
        <v>5834</v>
      </c>
      <c r="C676"/>
      <c r="D676"/>
      <c r="E676"/>
      <c r="F676"/>
      <c r="G676" t="s">
        <v>6583</v>
      </c>
      <c r="H676" t="s">
        <v>6584</v>
      </c>
      <c r="I676"/>
    </row>
    <row r="677" spans="1:9">
      <c r="A677">
        <v>3530</v>
      </c>
      <c r="B677" t="s">
        <v>5835</v>
      </c>
      <c r="C677"/>
      <c r="D677"/>
      <c r="E677"/>
      <c r="F677"/>
      <c r="G677"/>
      <c r="H677"/>
      <c r="I677"/>
    </row>
    <row r="678" spans="1:9">
      <c r="A678">
        <v>3532</v>
      </c>
      <c r="B678" t="s">
        <v>5836</v>
      </c>
      <c r="C678"/>
      <c r="D678"/>
      <c r="E678"/>
      <c r="F678"/>
      <c r="G678"/>
      <c r="H678" t="s">
        <v>6584</v>
      </c>
      <c r="I678"/>
    </row>
    <row r="679" spans="1:9">
      <c r="A679">
        <v>3533</v>
      </c>
      <c r="B679" t="s">
        <v>5837</v>
      </c>
      <c r="C679"/>
      <c r="D679"/>
      <c r="E679"/>
      <c r="F679"/>
      <c r="G679"/>
      <c r="H679" t="s">
        <v>6584</v>
      </c>
      <c r="I679"/>
    </row>
    <row r="680" spans="1:9">
      <c r="A680">
        <v>3535</v>
      </c>
      <c r="B680" t="s">
        <v>5838</v>
      </c>
      <c r="C680"/>
      <c r="D680" t="s">
        <v>6586</v>
      </c>
      <c r="E680"/>
      <c r="F680"/>
      <c r="G680" t="s">
        <v>6583</v>
      </c>
      <c r="H680"/>
      <c r="I680"/>
    </row>
    <row r="681" spans="1:9">
      <c r="A681">
        <v>3537</v>
      </c>
      <c r="B681" t="s">
        <v>5839</v>
      </c>
      <c r="C681"/>
      <c r="D681" t="s">
        <v>6585</v>
      </c>
      <c r="E681"/>
      <c r="F681"/>
      <c r="G681" t="s">
        <v>6583</v>
      </c>
      <c r="H681"/>
      <c r="I681"/>
    </row>
    <row r="682" spans="1:9">
      <c r="A682">
        <v>3540</v>
      </c>
      <c r="B682" t="s">
        <v>5840</v>
      </c>
      <c r="C682"/>
      <c r="D682"/>
      <c r="E682"/>
      <c r="F682"/>
      <c r="G682"/>
      <c r="H682" t="s">
        <v>6584</v>
      </c>
      <c r="I682"/>
    </row>
    <row r="683" spans="1:9">
      <c r="A683">
        <v>3541</v>
      </c>
      <c r="B683" t="s">
        <v>5841</v>
      </c>
      <c r="C683"/>
      <c r="D683"/>
      <c r="E683"/>
      <c r="F683"/>
      <c r="G683"/>
      <c r="H683"/>
      <c r="I683"/>
    </row>
    <row r="684" spans="1:9">
      <c r="A684">
        <v>3543</v>
      </c>
      <c r="B684" t="s">
        <v>5842</v>
      </c>
      <c r="C684"/>
      <c r="D684"/>
      <c r="E684"/>
      <c r="F684"/>
      <c r="G684"/>
      <c r="H684"/>
      <c r="I684"/>
    </row>
    <row r="685" spans="1:9">
      <c r="A685">
        <v>3545</v>
      </c>
      <c r="B685" t="s">
        <v>5843</v>
      </c>
      <c r="C685"/>
      <c r="D685"/>
      <c r="E685"/>
      <c r="F685"/>
      <c r="G685"/>
      <c r="H685"/>
      <c r="I685"/>
    </row>
    <row r="686" spans="1:9">
      <c r="A686">
        <v>3546</v>
      </c>
      <c r="B686" t="s">
        <v>5844</v>
      </c>
      <c r="C686"/>
      <c r="D686"/>
      <c r="E686" t="s">
        <v>6586</v>
      </c>
      <c r="F686"/>
      <c r="G686"/>
      <c r="H686"/>
      <c r="I686"/>
    </row>
    <row r="687" spans="1:9">
      <c r="A687">
        <v>3548</v>
      </c>
      <c r="B687" t="s">
        <v>5845</v>
      </c>
      <c r="C687"/>
      <c r="D687"/>
      <c r="E687" t="s">
        <v>6585</v>
      </c>
      <c r="F687"/>
      <c r="G687"/>
      <c r="H687"/>
      <c r="I687"/>
    </row>
    <row r="688" spans="1:9">
      <c r="A688">
        <v>3550</v>
      </c>
      <c r="B688" t="s">
        <v>5846</v>
      </c>
      <c r="C688"/>
      <c r="D688"/>
      <c r="E688"/>
      <c r="F688"/>
      <c r="G688"/>
      <c r="H688"/>
      <c r="I688"/>
    </row>
    <row r="689" spans="1:9">
      <c r="A689">
        <v>3551</v>
      </c>
      <c r="B689" t="s">
        <v>5847</v>
      </c>
      <c r="C689"/>
      <c r="D689" t="s">
        <v>6586</v>
      </c>
      <c r="E689" t="s">
        <v>6586</v>
      </c>
      <c r="F689"/>
      <c r="G689"/>
      <c r="H689"/>
      <c r="I689"/>
    </row>
    <row r="690" spans="1:9">
      <c r="A690">
        <v>3552</v>
      </c>
      <c r="B690" t="s">
        <v>5848</v>
      </c>
      <c r="C690"/>
      <c r="D690"/>
      <c r="E690"/>
      <c r="F690"/>
      <c r="G690"/>
      <c r="H690"/>
      <c r="I690"/>
    </row>
    <row r="691" spans="1:9">
      <c r="A691">
        <v>3556</v>
      </c>
      <c r="B691" t="s">
        <v>5849</v>
      </c>
      <c r="C691"/>
      <c r="D691"/>
      <c r="E691"/>
      <c r="F691"/>
      <c r="G691"/>
      <c r="H691"/>
      <c r="I691"/>
    </row>
    <row r="692" spans="1:9">
      <c r="A692">
        <v>3557</v>
      </c>
      <c r="B692" t="s">
        <v>5850</v>
      </c>
      <c r="C692"/>
      <c r="D692"/>
      <c r="E692"/>
      <c r="F692"/>
      <c r="G692" t="s">
        <v>6583</v>
      </c>
      <c r="H692"/>
      <c r="I692"/>
    </row>
    <row r="693" spans="1:9">
      <c r="A693">
        <v>3558</v>
      </c>
      <c r="B693" t="s">
        <v>5851</v>
      </c>
      <c r="C693" t="s">
        <v>6585</v>
      </c>
      <c r="D693"/>
      <c r="E693" t="s">
        <v>6585</v>
      </c>
      <c r="F693"/>
      <c r="G693"/>
      <c r="H693"/>
      <c r="I693">
        <v>12.07</v>
      </c>
    </row>
    <row r="694" spans="1:9">
      <c r="A694">
        <v>3563</v>
      </c>
      <c r="B694" t="s">
        <v>5852</v>
      </c>
      <c r="C694"/>
      <c r="D694"/>
      <c r="E694"/>
      <c r="F694"/>
      <c r="G694"/>
      <c r="H694"/>
      <c r="I694"/>
    </row>
    <row r="695" spans="1:9">
      <c r="A695">
        <v>3567</v>
      </c>
      <c r="B695" t="s">
        <v>5853</v>
      </c>
      <c r="C695"/>
      <c r="D695"/>
      <c r="E695"/>
      <c r="F695"/>
      <c r="G695"/>
      <c r="H695"/>
      <c r="I695"/>
    </row>
    <row r="696" spans="1:9">
      <c r="A696">
        <v>3577</v>
      </c>
      <c r="B696" t="s">
        <v>5854</v>
      </c>
      <c r="C696"/>
      <c r="D696"/>
      <c r="E696"/>
      <c r="F696"/>
      <c r="G696"/>
      <c r="H696"/>
      <c r="I696"/>
    </row>
    <row r="697" spans="1:9">
      <c r="A697">
        <v>3580</v>
      </c>
      <c r="B697" t="s">
        <v>5855</v>
      </c>
      <c r="C697"/>
      <c r="D697"/>
      <c r="E697"/>
      <c r="F697"/>
      <c r="G697"/>
      <c r="H697"/>
      <c r="I697"/>
    </row>
    <row r="698" spans="1:9">
      <c r="A698">
        <v>3581</v>
      </c>
      <c r="B698" t="s">
        <v>5856</v>
      </c>
      <c r="C698"/>
      <c r="D698"/>
      <c r="E698"/>
      <c r="F698"/>
      <c r="G698"/>
      <c r="H698"/>
      <c r="I698"/>
    </row>
    <row r="699" spans="1:9">
      <c r="A699">
        <v>3583</v>
      </c>
      <c r="B699" t="s">
        <v>5857</v>
      </c>
      <c r="C699"/>
      <c r="D699"/>
      <c r="E699"/>
      <c r="F699"/>
      <c r="G699"/>
      <c r="H699"/>
      <c r="I699"/>
    </row>
    <row r="700" spans="1:9">
      <c r="A700">
        <v>3587</v>
      </c>
      <c r="B700" t="s">
        <v>5858</v>
      </c>
      <c r="C700"/>
      <c r="D700"/>
      <c r="E700"/>
      <c r="F700"/>
      <c r="G700" t="s">
        <v>6583</v>
      </c>
      <c r="H700"/>
      <c r="I700"/>
    </row>
    <row r="701" spans="1:9">
      <c r="A701">
        <v>3588</v>
      </c>
      <c r="B701" t="s">
        <v>5859</v>
      </c>
      <c r="C701"/>
      <c r="D701"/>
      <c r="E701"/>
      <c r="F701"/>
      <c r="G701"/>
      <c r="H701"/>
      <c r="I701"/>
    </row>
    <row r="702" spans="1:9">
      <c r="A702">
        <v>3591</v>
      </c>
      <c r="B702" t="s">
        <v>5860</v>
      </c>
      <c r="C702"/>
      <c r="D702"/>
      <c r="E702"/>
      <c r="F702"/>
      <c r="G702"/>
      <c r="H702"/>
      <c r="I702"/>
    </row>
    <row r="703" spans="1:9">
      <c r="A703">
        <v>3594</v>
      </c>
      <c r="B703" t="s">
        <v>5861</v>
      </c>
      <c r="C703"/>
      <c r="D703"/>
      <c r="E703"/>
      <c r="F703"/>
      <c r="G703"/>
      <c r="H703"/>
      <c r="I703"/>
    </row>
    <row r="704" spans="1:9">
      <c r="A704">
        <v>3596</v>
      </c>
      <c r="B704" t="s">
        <v>5862</v>
      </c>
      <c r="C704"/>
      <c r="D704"/>
      <c r="E704"/>
      <c r="F704" t="s">
        <v>6585</v>
      </c>
      <c r="G704"/>
      <c r="H704" t="s">
        <v>6584</v>
      </c>
      <c r="I704"/>
    </row>
    <row r="705" spans="1:9">
      <c r="A705">
        <v>3597</v>
      </c>
      <c r="B705" t="s">
        <v>5863</v>
      </c>
      <c r="C705"/>
      <c r="D705"/>
      <c r="E705"/>
      <c r="F705"/>
      <c r="G705"/>
      <c r="H705"/>
      <c r="I705"/>
    </row>
    <row r="706" spans="1:9">
      <c r="A706">
        <v>3605</v>
      </c>
      <c r="B706" t="s">
        <v>5864</v>
      </c>
      <c r="C706"/>
      <c r="D706"/>
      <c r="E706"/>
      <c r="F706"/>
      <c r="G706"/>
      <c r="H706"/>
      <c r="I706"/>
    </row>
    <row r="707" spans="1:9">
      <c r="A707">
        <v>3607</v>
      </c>
      <c r="B707" t="s">
        <v>5865</v>
      </c>
      <c r="C707"/>
      <c r="D707"/>
      <c r="E707"/>
      <c r="F707"/>
      <c r="G707"/>
      <c r="H707"/>
      <c r="I707"/>
    </row>
    <row r="708" spans="1:9">
      <c r="A708">
        <v>3609</v>
      </c>
      <c r="B708" t="s">
        <v>5866</v>
      </c>
      <c r="C708"/>
      <c r="D708"/>
      <c r="E708"/>
      <c r="F708"/>
      <c r="G708"/>
      <c r="H708"/>
      <c r="I708"/>
    </row>
    <row r="709" spans="1:9">
      <c r="A709">
        <v>3611</v>
      </c>
      <c r="B709" t="s">
        <v>5867</v>
      </c>
      <c r="C709"/>
      <c r="D709"/>
      <c r="E709"/>
      <c r="F709"/>
      <c r="G709"/>
      <c r="H709"/>
      <c r="I709"/>
    </row>
    <row r="710" spans="1:9">
      <c r="A710">
        <v>3615</v>
      </c>
      <c r="B710" t="s">
        <v>5868</v>
      </c>
      <c r="C710"/>
      <c r="D710"/>
      <c r="E710"/>
      <c r="F710"/>
      <c r="G710"/>
      <c r="H710"/>
      <c r="I710"/>
    </row>
    <row r="711" spans="1:9">
      <c r="A711">
        <v>3617</v>
      </c>
      <c r="B711" t="s">
        <v>5869</v>
      </c>
      <c r="C711"/>
      <c r="D711"/>
      <c r="E711"/>
      <c r="F711"/>
      <c r="G711"/>
      <c r="H711" t="s">
        <v>6584</v>
      </c>
      <c r="I711"/>
    </row>
    <row r="712" spans="1:9">
      <c r="A712">
        <v>3622</v>
      </c>
      <c r="B712" t="s">
        <v>5870</v>
      </c>
      <c r="C712"/>
      <c r="D712"/>
      <c r="E712"/>
      <c r="F712"/>
      <c r="G712"/>
      <c r="H712"/>
      <c r="I712"/>
    </row>
    <row r="713" spans="1:9">
      <c r="A713">
        <v>3623</v>
      </c>
      <c r="B713" t="s">
        <v>5871</v>
      </c>
      <c r="C713"/>
      <c r="D713"/>
      <c r="E713"/>
      <c r="F713"/>
      <c r="G713"/>
      <c r="H713"/>
      <c r="I713"/>
    </row>
    <row r="714" spans="1:9">
      <c r="A714">
        <v>3624</v>
      </c>
      <c r="B714" t="s">
        <v>5872</v>
      </c>
      <c r="C714" t="s">
        <v>6586</v>
      </c>
      <c r="D714" t="s">
        <v>6585</v>
      </c>
      <c r="E714" t="s">
        <v>6586</v>
      </c>
      <c r="F714"/>
      <c r="G714"/>
      <c r="H714" t="s">
        <v>6584</v>
      </c>
      <c r="I714">
        <v>12.29</v>
      </c>
    </row>
    <row r="715" spans="1:9">
      <c r="A715">
        <v>3625</v>
      </c>
      <c r="B715" t="s">
        <v>5873</v>
      </c>
      <c r="C715"/>
      <c r="D715"/>
      <c r="E715"/>
      <c r="F715"/>
      <c r="G715"/>
      <c r="H715" t="s">
        <v>6584</v>
      </c>
      <c r="I715"/>
    </row>
    <row r="716" spans="1:9">
      <c r="A716">
        <v>3628</v>
      </c>
      <c r="B716" t="s">
        <v>5874</v>
      </c>
      <c r="C716"/>
      <c r="D716"/>
      <c r="E716"/>
      <c r="F716"/>
      <c r="G716"/>
      <c r="H716" t="s">
        <v>6584</v>
      </c>
      <c r="I716"/>
    </row>
    <row r="717" spans="1:9">
      <c r="A717">
        <v>3630</v>
      </c>
      <c r="B717" t="s">
        <v>5875</v>
      </c>
      <c r="C717"/>
      <c r="D717"/>
      <c r="E717"/>
      <c r="F717"/>
      <c r="G717"/>
      <c r="H717" t="s">
        <v>6584</v>
      </c>
      <c r="I717"/>
    </row>
    <row r="718" spans="1:9">
      <c r="A718">
        <v>3631</v>
      </c>
      <c r="B718" t="s">
        <v>5876</v>
      </c>
      <c r="C718"/>
      <c r="D718"/>
      <c r="E718"/>
      <c r="F718"/>
      <c r="G718"/>
      <c r="H718"/>
      <c r="I718"/>
    </row>
    <row r="719" spans="1:9">
      <c r="A719">
        <v>3645</v>
      </c>
      <c r="B719" t="s">
        <v>5877</v>
      </c>
      <c r="C719" t="s">
        <v>6585</v>
      </c>
      <c r="D719" t="s">
        <v>6585</v>
      </c>
      <c r="E719" t="s">
        <v>6585</v>
      </c>
      <c r="F719"/>
      <c r="G719"/>
      <c r="H719"/>
      <c r="I719">
        <v>7.73</v>
      </c>
    </row>
    <row r="720" spans="1:9">
      <c r="A720">
        <v>3646</v>
      </c>
      <c r="B720" t="s">
        <v>5878</v>
      </c>
      <c r="C720"/>
      <c r="D720"/>
      <c r="E720"/>
      <c r="F720"/>
      <c r="G720"/>
      <c r="H720"/>
      <c r="I720"/>
    </row>
    <row r="721" spans="1:9">
      <c r="A721">
        <v>3652</v>
      </c>
      <c r="B721" t="s">
        <v>5879</v>
      </c>
      <c r="C721"/>
      <c r="D721"/>
      <c r="E721"/>
      <c r="F721"/>
      <c r="G721"/>
      <c r="H721"/>
      <c r="I721"/>
    </row>
    <row r="722" spans="1:9">
      <c r="A722">
        <v>3653</v>
      </c>
      <c r="B722" t="s">
        <v>5880</v>
      </c>
      <c r="C722"/>
      <c r="D722"/>
      <c r="E722"/>
      <c r="F722"/>
      <c r="G722"/>
      <c r="H722" t="s">
        <v>6584</v>
      </c>
      <c r="I722"/>
    </row>
    <row r="723" spans="1:9">
      <c r="A723">
        <v>3661</v>
      </c>
      <c r="B723" t="s">
        <v>5881</v>
      </c>
      <c r="C723"/>
      <c r="D723"/>
      <c r="E723"/>
      <c r="F723" t="s">
        <v>6585</v>
      </c>
      <c r="G723"/>
      <c r="H723" t="s">
        <v>6584</v>
      </c>
      <c r="I723"/>
    </row>
    <row r="724" spans="1:9">
      <c r="A724">
        <v>3663</v>
      </c>
      <c r="B724" t="s">
        <v>5882</v>
      </c>
      <c r="C724"/>
      <c r="D724"/>
      <c r="E724"/>
      <c r="F724"/>
      <c r="G724"/>
      <c r="H724"/>
      <c r="I724"/>
    </row>
    <row r="725" spans="1:9">
      <c r="A725">
        <v>3665</v>
      </c>
      <c r="B725" t="s">
        <v>5883</v>
      </c>
      <c r="C725"/>
      <c r="D725"/>
      <c r="E725"/>
      <c r="F725"/>
      <c r="G725"/>
      <c r="H725" t="s">
        <v>6584</v>
      </c>
      <c r="I725"/>
    </row>
    <row r="726" spans="1:9">
      <c r="A726">
        <v>3666</v>
      </c>
      <c r="B726" t="s">
        <v>5884</v>
      </c>
      <c r="C726"/>
      <c r="D726"/>
      <c r="E726"/>
      <c r="F726"/>
      <c r="G726"/>
      <c r="H726" t="s">
        <v>6584</v>
      </c>
      <c r="I726"/>
    </row>
    <row r="727" spans="1:9">
      <c r="A727">
        <v>3669</v>
      </c>
      <c r="B727" t="s">
        <v>5885</v>
      </c>
      <c r="C727"/>
      <c r="D727"/>
      <c r="E727"/>
      <c r="F727"/>
      <c r="G727"/>
      <c r="H727" t="s">
        <v>6584</v>
      </c>
      <c r="I727"/>
    </row>
    <row r="728" spans="1:9">
      <c r="A728">
        <v>3672</v>
      </c>
      <c r="B728" t="s">
        <v>5886</v>
      </c>
      <c r="C728"/>
      <c r="D728"/>
      <c r="E728"/>
      <c r="F728"/>
      <c r="G728"/>
      <c r="H728"/>
      <c r="I728"/>
    </row>
    <row r="729" spans="1:9">
      <c r="A729">
        <v>3673</v>
      </c>
      <c r="B729" t="s">
        <v>5887</v>
      </c>
      <c r="C729"/>
      <c r="D729"/>
      <c r="E729"/>
      <c r="F729"/>
      <c r="G729"/>
      <c r="H729"/>
      <c r="I729"/>
    </row>
    <row r="730" spans="1:9">
      <c r="A730">
        <v>3675</v>
      </c>
      <c r="B730" t="s">
        <v>5888</v>
      </c>
      <c r="C730"/>
      <c r="D730"/>
      <c r="E730" t="s">
        <v>6585</v>
      </c>
      <c r="F730"/>
      <c r="G730"/>
      <c r="H730" t="s">
        <v>6584</v>
      </c>
      <c r="I730">
        <v>5.49</v>
      </c>
    </row>
    <row r="731" spans="1:9">
      <c r="A731">
        <v>3679</v>
      </c>
      <c r="B731" t="s">
        <v>5889</v>
      </c>
      <c r="C731"/>
      <c r="D731"/>
      <c r="E731"/>
      <c r="F731"/>
      <c r="G731"/>
      <c r="H731"/>
      <c r="I731"/>
    </row>
    <row r="732" spans="1:9">
      <c r="A732">
        <v>3680</v>
      </c>
      <c r="B732" t="s">
        <v>5890</v>
      </c>
      <c r="C732"/>
      <c r="D732"/>
      <c r="E732"/>
      <c r="F732" t="s">
        <v>6586</v>
      </c>
      <c r="G732"/>
      <c r="H732"/>
      <c r="I732"/>
    </row>
    <row r="733" spans="1:9">
      <c r="A733">
        <v>3685</v>
      </c>
      <c r="B733" t="s">
        <v>5891</v>
      </c>
      <c r="C733"/>
      <c r="D733"/>
      <c r="E733"/>
      <c r="F733"/>
      <c r="G733"/>
      <c r="H733"/>
      <c r="I733"/>
    </row>
    <row r="734" spans="1:9">
      <c r="A734">
        <v>3687</v>
      </c>
      <c r="B734" t="s">
        <v>5892</v>
      </c>
      <c r="C734"/>
      <c r="D734" t="s">
        <v>6585</v>
      </c>
      <c r="E734"/>
      <c r="F734"/>
      <c r="G734"/>
      <c r="H734" t="s">
        <v>6584</v>
      </c>
      <c r="I734"/>
    </row>
    <row r="735" spans="1:9">
      <c r="A735">
        <v>3689</v>
      </c>
      <c r="B735" t="s">
        <v>5893</v>
      </c>
      <c r="C735"/>
      <c r="D735"/>
      <c r="E735"/>
      <c r="F735"/>
      <c r="G735"/>
      <c r="H735"/>
      <c r="I735"/>
    </row>
    <row r="736" spans="1:9">
      <c r="A736">
        <v>3691</v>
      </c>
      <c r="B736" t="s">
        <v>5894</v>
      </c>
      <c r="C736"/>
      <c r="D736"/>
      <c r="E736"/>
      <c r="F736"/>
      <c r="G736"/>
      <c r="H736" t="s">
        <v>6584</v>
      </c>
      <c r="I736"/>
    </row>
    <row r="737" spans="1:9">
      <c r="A737">
        <v>3693</v>
      </c>
      <c r="B737" t="s">
        <v>5895</v>
      </c>
      <c r="C737"/>
      <c r="D737"/>
      <c r="E737"/>
      <c r="F737"/>
      <c r="G737"/>
      <c r="H737"/>
      <c r="I737"/>
    </row>
    <row r="738" spans="1:9">
      <c r="A738">
        <v>3694</v>
      </c>
      <c r="B738" t="s">
        <v>5896</v>
      </c>
      <c r="C738"/>
      <c r="D738"/>
      <c r="E738"/>
      <c r="F738"/>
      <c r="G738"/>
      <c r="H738"/>
      <c r="I738"/>
    </row>
    <row r="739" spans="1:9">
      <c r="A739">
        <v>3701</v>
      </c>
      <c r="B739" t="s">
        <v>5897</v>
      </c>
      <c r="C739"/>
      <c r="D739"/>
      <c r="E739"/>
      <c r="F739"/>
      <c r="G739"/>
      <c r="H739" t="s">
        <v>6584</v>
      </c>
      <c r="I739">
        <v>7.97</v>
      </c>
    </row>
    <row r="740" spans="1:9">
      <c r="A740">
        <v>3702</v>
      </c>
      <c r="B740" t="s">
        <v>5898</v>
      </c>
      <c r="C740"/>
      <c r="D740"/>
      <c r="E740"/>
      <c r="F740"/>
      <c r="G740"/>
      <c r="H740"/>
      <c r="I740"/>
    </row>
    <row r="741" spans="1:9">
      <c r="A741">
        <v>3703</v>
      </c>
      <c r="B741" t="s">
        <v>5899</v>
      </c>
      <c r="C741"/>
      <c r="D741"/>
      <c r="E741"/>
      <c r="F741"/>
      <c r="G741"/>
      <c r="H741"/>
      <c r="I741"/>
    </row>
    <row r="742" spans="1:9">
      <c r="A742">
        <v>3704</v>
      </c>
      <c r="B742" t="s">
        <v>5900</v>
      </c>
      <c r="C742"/>
      <c r="D742"/>
      <c r="E742"/>
      <c r="F742"/>
      <c r="G742"/>
      <c r="H742"/>
      <c r="I742"/>
    </row>
    <row r="743" spans="1:9">
      <c r="A743">
        <v>3705</v>
      </c>
      <c r="B743" t="s">
        <v>5901</v>
      </c>
      <c r="C743"/>
      <c r="D743"/>
      <c r="E743"/>
      <c r="F743"/>
      <c r="G743"/>
      <c r="H743"/>
      <c r="I743"/>
    </row>
    <row r="744" spans="1:9">
      <c r="A744">
        <v>3706</v>
      </c>
      <c r="B744" t="s">
        <v>5902</v>
      </c>
      <c r="C744"/>
      <c r="D744"/>
      <c r="E744"/>
      <c r="F744"/>
      <c r="G744"/>
      <c r="H744"/>
      <c r="I744"/>
    </row>
    <row r="745" spans="1:9">
      <c r="A745">
        <v>3707</v>
      </c>
      <c r="B745" t="s">
        <v>5903</v>
      </c>
      <c r="C745"/>
      <c r="D745"/>
      <c r="E745"/>
      <c r="F745" t="s">
        <v>6585</v>
      </c>
      <c r="G745"/>
      <c r="H745" t="s">
        <v>6584</v>
      </c>
      <c r="I745">
        <v>17.05</v>
      </c>
    </row>
    <row r="746" spans="1:9">
      <c r="A746">
        <v>3708</v>
      </c>
      <c r="B746" t="s">
        <v>5904</v>
      </c>
      <c r="C746"/>
      <c r="D746" t="s">
        <v>6585</v>
      </c>
      <c r="E746" t="s">
        <v>6585</v>
      </c>
      <c r="F746"/>
      <c r="G746"/>
      <c r="H746"/>
      <c r="I746">
        <v>5.34</v>
      </c>
    </row>
    <row r="747" spans="1:9">
      <c r="A747">
        <v>3709</v>
      </c>
      <c r="B747" t="s">
        <v>6592</v>
      </c>
      <c r="C747"/>
      <c r="D747"/>
      <c r="E747"/>
      <c r="F747"/>
      <c r="G747" t="s">
        <v>6583</v>
      </c>
      <c r="H747"/>
      <c r="I747"/>
    </row>
    <row r="748" spans="1:9">
      <c r="A748">
        <v>3711</v>
      </c>
      <c r="B748" t="s">
        <v>5905</v>
      </c>
      <c r="C748"/>
      <c r="D748"/>
      <c r="E748"/>
      <c r="F748"/>
      <c r="G748"/>
      <c r="H748"/>
      <c r="I748"/>
    </row>
    <row r="749" spans="1:9">
      <c r="A749">
        <v>3712</v>
      </c>
      <c r="B749" t="s">
        <v>5906</v>
      </c>
      <c r="C749"/>
      <c r="D749"/>
      <c r="E749"/>
      <c r="F749"/>
      <c r="G749"/>
      <c r="H749"/>
      <c r="I749"/>
    </row>
    <row r="750" spans="1:9">
      <c r="A750">
        <v>3714</v>
      </c>
      <c r="B750" t="s">
        <v>5907</v>
      </c>
      <c r="C750"/>
      <c r="D750"/>
      <c r="E750"/>
      <c r="F750"/>
      <c r="G750"/>
      <c r="H750"/>
      <c r="I750"/>
    </row>
    <row r="751" spans="1:9">
      <c r="A751">
        <v>4102</v>
      </c>
      <c r="B751" t="s">
        <v>5908</v>
      </c>
      <c r="C751"/>
      <c r="D751"/>
      <c r="E751"/>
      <c r="F751"/>
      <c r="G751"/>
      <c r="H751"/>
      <c r="I751"/>
    </row>
    <row r="752" spans="1:9">
      <c r="A752">
        <v>4104</v>
      </c>
      <c r="B752" t="s">
        <v>5909</v>
      </c>
      <c r="C752"/>
      <c r="D752"/>
      <c r="E752"/>
      <c r="F752"/>
      <c r="G752"/>
      <c r="H752"/>
      <c r="I752"/>
    </row>
    <row r="753" spans="1:9">
      <c r="A753">
        <v>4105</v>
      </c>
      <c r="B753" t="s">
        <v>5910</v>
      </c>
      <c r="C753"/>
      <c r="D753"/>
      <c r="E753"/>
      <c r="F753"/>
      <c r="G753" t="s">
        <v>6583</v>
      </c>
      <c r="H753"/>
      <c r="I753"/>
    </row>
    <row r="754" spans="1:9">
      <c r="A754">
        <v>4106</v>
      </c>
      <c r="B754" t="s">
        <v>632</v>
      </c>
      <c r="C754"/>
      <c r="D754"/>
      <c r="E754"/>
      <c r="F754"/>
      <c r="G754"/>
      <c r="H754"/>
      <c r="I754"/>
    </row>
    <row r="755" spans="1:9">
      <c r="A755">
        <v>4107</v>
      </c>
      <c r="B755" t="s">
        <v>5911</v>
      </c>
      <c r="C755"/>
      <c r="D755"/>
      <c r="E755"/>
      <c r="F755"/>
      <c r="G755"/>
      <c r="H755"/>
      <c r="I755"/>
    </row>
    <row r="756" spans="1:9">
      <c r="A756">
        <v>4108</v>
      </c>
      <c r="B756" t="s">
        <v>5912</v>
      </c>
      <c r="C756"/>
      <c r="D756"/>
      <c r="E756"/>
      <c r="F756"/>
      <c r="G756"/>
      <c r="H756"/>
      <c r="I756"/>
    </row>
    <row r="757" spans="1:9">
      <c r="A757">
        <v>4109</v>
      </c>
      <c r="B757" t="s">
        <v>5913</v>
      </c>
      <c r="C757"/>
      <c r="D757"/>
      <c r="E757"/>
      <c r="F757"/>
      <c r="G757" t="s">
        <v>6583</v>
      </c>
      <c r="H757"/>
      <c r="I757"/>
    </row>
    <row r="758" spans="1:9">
      <c r="A758">
        <v>4111</v>
      </c>
      <c r="B758" t="s">
        <v>6593</v>
      </c>
      <c r="C758"/>
      <c r="D758"/>
      <c r="E758"/>
      <c r="F758"/>
      <c r="G758"/>
      <c r="H758"/>
      <c r="I758"/>
    </row>
    <row r="759" spans="1:9">
      <c r="A759">
        <v>4113</v>
      </c>
      <c r="B759" t="s">
        <v>5914</v>
      </c>
      <c r="C759"/>
      <c r="D759"/>
      <c r="E759"/>
      <c r="F759"/>
      <c r="G759"/>
      <c r="H759"/>
      <c r="I759"/>
    </row>
    <row r="760" spans="1:9">
      <c r="A760">
        <v>4114</v>
      </c>
      <c r="B760" t="s">
        <v>5915</v>
      </c>
      <c r="C760"/>
      <c r="D760"/>
      <c r="E760"/>
      <c r="F760"/>
      <c r="G760"/>
      <c r="H760"/>
      <c r="I760"/>
    </row>
    <row r="761" spans="1:9">
      <c r="A761">
        <v>4116</v>
      </c>
      <c r="B761" t="s">
        <v>5916</v>
      </c>
      <c r="C761"/>
      <c r="D761"/>
      <c r="E761"/>
      <c r="F761"/>
      <c r="G761"/>
      <c r="H761"/>
      <c r="I761"/>
    </row>
    <row r="762" spans="1:9">
      <c r="A762">
        <v>4119</v>
      </c>
      <c r="B762" t="s">
        <v>5917</v>
      </c>
      <c r="C762"/>
      <c r="D762"/>
      <c r="E762"/>
      <c r="F762"/>
      <c r="G762"/>
      <c r="H762"/>
      <c r="I762"/>
    </row>
    <row r="763" spans="1:9">
      <c r="A763">
        <v>4120</v>
      </c>
      <c r="B763" t="s">
        <v>5918</v>
      </c>
      <c r="C763"/>
      <c r="D763"/>
      <c r="E763"/>
      <c r="F763"/>
      <c r="G763"/>
      <c r="H763"/>
      <c r="I763"/>
    </row>
    <row r="764" spans="1:9">
      <c r="A764">
        <v>4121</v>
      </c>
      <c r="B764" t="s">
        <v>5919</v>
      </c>
      <c r="C764"/>
      <c r="D764"/>
      <c r="E764"/>
      <c r="F764"/>
      <c r="G764"/>
      <c r="H764"/>
      <c r="I764"/>
    </row>
    <row r="765" spans="1:9">
      <c r="A765">
        <v>4123</v>
      </c>
      <c r="B765" t="s">
        <v>5920</v>
      </c>
      <c r="C765"/>
      <c r="D765"/>
      <c r="E765"/>
      <c r="F765"/>
      <c r="G765"/>
      <c r="H765"/>
      <c r="I765"/>
    </row>
    <row r="766" spans="1:9">
      <c r="A766">
        <v>4126</v>
      </c>
      <c r="B766" t="s">
        <v>5921</v>
      </c>
      <c r="C766"/>
      <c r="D766"/>
      <c r="E766"/>
      <c r="F766"/>
      <c r="G766"/>
      <c r="H766"/>
      <c r="I766"/>
    </row>
    <row r="767" spans="1:9">
      <c r="A767">
        <v>4128</v>
      </c>
      <c r="B767" t="s">
        <v>5922</v>
      </c>
      <c r="C767"/>
      <c r="D767"/>
      <c r="E767"/>
      <c r="F767"/>
      <c r="G767"/>
      <c r="H767"/>
      <c r="I767"/>
    </row>
    <row r="768" spans="1:9">
      <c r="A768">
        <v>4129</v>
      </c>
      <c r="B768" t="s">
        <v>5923</v>
      </c>
      <c r="C768"/>
      <c r="D768"/>
      <c r="E768"/>
      <c r="F768"/>
      <c r="G768"/>
      <c r="H768"/>
      <c r="I768"/>
    </row>
    <row r="769" spans="1:9">
      <c r="A769">
        <v>4130</v>
      </c>
      <c r="B769" t="s">
        <v>5924</v>
      </c>
      <c r="C769"/>
      <c r="D769"/>
      <c r="E769"/>
      <c r="F769"/>
      <c r="G769" t="s">
        <v>6583</v>
      </c>
      <c r="H769"/>
      <c r="I769"/>
    </row>
    <row r="770" spans="1:9">
      <c r="A770">
        <v>4133</v>
      </c>
      <c r="B770" t="s">
        <v>5925</v>
      </c>
      <c r="C770"/>
      <c r="D770" t="s">
        <v>6586</v>
      </c>
      <c r="E770"/>
      <c r="F770"/>
      <c r="G770" t="s">
        <v>6583</v>
      </c>
      <c r="H770"/>
      <c r="I770"/>
    </row>
    <row r="771" spans="1:9">
      <c r="A771">
        <v>4137</v>
      </c>
      <c r="B771" t="s">
        <v>5926</v>
      </c>
      <c r="C771"/>
      <c r="D771"/>
      <c r="E771"/>
      <c r="F771"/>
      <c r="G771"/>
      <c r="H771"/>
      <c r="I771"/>
    </row>
    <row r="772" spans="1:9">
      <c r="A772">
        <v>4139</v>
      </c>
      <c r="B772" t="s">
        <v>5927</v>
      </c>
      <c r="C772"/>
      <c r="D772"/>
      <c r="E772"/>
      <c r="F772"/>
      <c r="G772"/>
      <c r="H772"/>
      <c r="I772"/>
    </row>
    <row r="773" spans="1:9">
      <c r="A773">
        <v>4141</v>
      </c>
      <c r="B773" t="s">
        <v>5928</v>
      </c>
      <c r="C773" t="s">
        <v>6585</v>
      </c>
      <c r="D773"/>
      <c r="E773"/>
      <c r="F773"/>
      <c r="G773"/>
      <c r="H773"/>
      <c r="I773"/>
    </row>
    <row r="774" spans="1:9">
      <c r="A774">
        <v>4142</v>
      </c>
      <c r="B774" t="s">
        <v>5929</v>
      </c>
      <c r="C774"/>
      <c r="D774"/>
      <c r="E774"/>
      <c r="F774"/>
      <c r="G774"/>
      <c r="H774"/>
      <c r="I774"/>
    </row>
    <row r="775" spans="1:9">
      <c r="A775">
        <v>4147</v>
      </c>
      <c r="B775" t="s">
        <v>5930</v>
      </c>
      <c r="C775"/>
      <c r="D775"/>
      <c r="E775"/>
      <c r="F775"/>
      <c r="G775"/>
      <c r="H775"/>
      <c r="I775"/>
    </row>
    <row r="776" spans="1:9">
      <c r="A776">
        <v>4148</v>
      </c>
      <c r="B776" t="s">
        <v>5931</v>
      </c>
      <c r="C776"/>
      <c r="D776"/>
      <c r="E776"/>
      <c r="F776"/>
      <c r="G776"/>
      <c r="H776" t="s">
        <v>6584</v>
      </c>
      <c r="I776"/>
    </row>
    <row r="777" spans="1:9">
      <c r="A777">
        <v>4153</v>
      </c>
      <c r="B777" t="s">
        <v>5932</v>
      </c>
      <c r="C777"/>
      <c r="D777"/>
      <c r="E777"/>
      <c r="F777"/>
      <c r="G777"/>
      <c r="H777"/>
      <c r="I777"/>
    </row>
    <row r="778" spans="1:9">
      <c r="A778">
        <v>4155</v>
      </c>
      <c r="B778" t="s">
        <v>5933</v>
      </c>
      <c r="C778"/>
      <c r="D778"/>
      <c r="E778"/>
      <c r="F778"/>
      <c r="G778"/>
      <c r="H778"/>
      <c r="I778"/>
    </row>
    <row r="779" spans="1:9">
      <c r="A779">
        <v>4157</v>
      </c>
      <c r="B779" t="s">
        <v>5934</v>
      </c>
      <c r="C779" t="s">
        <v>6585</v>
      </c>
      <c r="D779" t="s">
        <v>6585</v>
      </c>
      <c r="E779" t="s">
        <v>6586</v>
      </c>
      <c r="F779"/>
      <c r="G779"/>
      <c r="H779"/>
      <c r="I779">
        <v>2046.03</v>
      </c>
    </row>
    <row r="780" spans="1:9">
      <c r="A780">
        <v>4161</v>
      </c>
      <c r="B780" t="s">
        <v>5935</v>
      </c>
      <c r="C780"/>
      <c r="D780"/>
      <c r="E780"/>
      <c r="F780"/>
      <c r="G780"/>
      <c r="H780"/>
      <c r="I780"/>
    </row>
    <row r="781" spans="1:9">
      <c r="A781">
        <v>4162</v>
      </c>
      <c r="B781" t="s">
        <v>5936</v>
      </c>
      <c r="C781"/>
      <c r="D781"/>
      <c r="E781" t="s">
        <v>6586</v>
      </c>
      <c r="F781" t="s">
        <v>6585</v>
      </c>
      <c r="G781"/>
      <c r="H781"/>
      <c r="I781">
        <v>6.8</v>
      </c>
    </row>
    <row r="782" spans="1:9">
      <c r="A782">
        <v>4163</v>
      </c>
      <c r="B782" t="s">
        <v>5937</v>
      </c>
      <c r="C782"/>
      <c r="D782"/>
      <c r="E782"/>
      <c r="F782"/>
      <c r="G782"/>
      <c r="H782"/>
      <c r="I782"/>
    </row>
    <row r="783" spans="1:9">
      <c r="A783">
        <v>4164</v>
      </c>
      <c r="B783" t="s">
        <v>5938</v>
      </c>
      <c r="C783"/>
      <c r="D783"/>
      <c r="E783"/>
      <c r="F783"/>
      <c r="G783"/>
      <c r="H783"/>
      <c r="I783"/>
    </row>
    <row r="784" spans="1:9">
      <c r="A784">
        <v>4167</v>
      </c>
      <c r="B784" t="s">
        <v>5939</v>
      </c>
      <c r="C784"/>
      <c r="D784"/>
      <c r="E784"/>
      <c r="F784"/>
      <c r="G784"/>
      <c r="H784"/>
      <c r="I784"/>
    </row>
    <row r="785" spans="1:9">
      <c r="A785">
        <v>4168</v>
      </c>
      <c r="B785" t="s">
        <v>5940</v>
      </c>
      <c r="C785"/>
      <c r="D785"/>
      <c r="E785"/>
      <c r="F785"/>
      <c r="G785" t="s">
        <v>6583</v>
      </c>
      <c r="H785"/>
      <c r="I785"/>
    </row>
    <row r="786" spans="1:9">
      <c r="A786">
        <v>4171</v>
      </c>
      <c r="B786" t="s">
        <v>5941</v>
      </c>
      <c r="C786"/>
      <c r="D786"/>
      <c r="E786"/>
      <c r="F786"/>
      <c r="G786"/>
      <c r="H786"/>
      <c r="I786"/>
    </row>
    <row r="787" spans="1:9">
      <c r="A787">
        <v>4173</v>
      </c>
      <c r="B787" t="s">
        <v>5942</v>
      </c>
      <c r="C787"/>
      <c r="D787"/>
      <c r="E787"/>
      <c r="F787"/>
      <c r="G787"/>
      <c r="H787"/>
      <c r="I787"/>
    </row>
    <row r="788" spans="1:9">
      <c r="A788">
        <v>4174</v>
      </c>
      <c r="B788" t="s">
        <v>5943</v>
      </c>
      <c r="C788"/>
      <c r="D788"/>
      <c r="E788"/>
      <c r="F788"/>
      <c r="G788"/>
      <c r="H788" t="s">
        <v>6584</v>
      </c>
      <c r="I788"/>
    </row>
    <row r="789" spans="1:9">
      <c r="A789">
        <v>4175</v>
      </c>
      <c r="B789" t="s">
        <v>5944</v>
      </c>
      <c r="C789"/>
      <c r="D789"/>
      <c r="E789"/>
      <c r="F789"/>
      <c r="G789"/>
      <c r="H789"/>
      <c r="I789"/>
    </row>
    <row r="790" spans="1:9">
      <c r="A790">
        <v>4190</v>
      </c>
      <c r="B790" t="s">
        <v>5945</v>
      </c>
      <c r="C790"/>
      <c r="D790"/>
      <c r="E790"/>
      <c r="F790"/>
      <c r="G790"/>
      <c r="H790"/>
      <c r="I790"/>
    </row>
    <row r="791" spans="1:9">
      <c r="A791">
        <v>4205</v>
      </c>
      <c r="B791" t="s">
        <v>6594</v>
      </c>
      <c r="C791"/>
      <c r="D791"/>
      <c r="E791"/>
      <c r="F791"/>
      <c r="G791"/>
      <c r="H791" t="s">
        <v>6584</v>
      </c>
      <c r="I791"/>
    </row>
    <row r="792" spans="1:9">
      <c r="A792">
        <v>4207</v>
      </c>
      <c r="B792" t="s">
        <v>5946</v>
      </c>
      <c r="C792"/>
      <c r="D792"/>
      <c r="E792"/>
      <c r="F792"/>
      <c r="G792"/>
      <c r="H792"/>
      <c r="I792"/>
    </row>
    <row r="793" spans="1:9">
      <c r="A793">
        <v>4303</v>
      </c>
      <c r="B793" t="s">
        <v>5947</v>
      </c>
      <c r="C793"/>
      <c r="D793"/>
      <c r="E793"/>
      <c r="F793"/>
      <c r="G793"/>
      <c r="H793"/>
      <c r="I793"/>
    </row>
    <row r="794" spans="1:9">
      <c r="A794">
        <v>4306</v>
      </c>
      <c r="B794" t="s">
        <v>5948</v>
      </c>
      <c r="C794"/>
      <c r="D794"/>
      <c r="E794"/>
      <c r="F794"/>
      <c r="G794"/>
      <c r="H794"/>
      <c r="I794"/>
    </row>
    <row r="795" spans="1:9">
      <c r="A795">
        <v>4401</v>
      </c>
      <c r="B795" t="s">
        <v>5949</v>
      </c>
      <c r="C795"/>
      <c r="D795"/>
      <c r="E795"/>
      <c r="F795"/>
      <c r="G795"/>
      <c r="H795"/>
      <c r="I795"/>
    </row>
    <row r="796" spans="1:9">
      <c r="A796">
        <v>4406</v>
      </c>
      <c r="B796" t="s">
        <v>5950</v>
      </c>
      <c r="C796"/>
      <c r="D796"/>
      <c r="E796"/>
      <c r="F796"/>
      <c r="G796"/>
      <c r="H796"/>
      <c r="I796"/>
    </row>
    <row r="797" spans="1:9">
      <c r="A797">
        <v>4414</v>
      </c>
      <c r="B797" t="s">
        <v>5951</v>
      </c>
      <c r="C797"/>
      <c r="D797"/>
      <c r="E797"/>
      <c r="F797"/>
      <c r="G797"/>
      <c r="H797"/>
      <c r="I797"/>
    </row>
    <row r="798" spans="1:9">
      <c r="A798">
        <v>4417</v>
      </c>
      <c r="B798" t="s">
        <v>5952</v>
      </c>
      <c r="C798"/>
      <c r="D798"/>
      <c r="E798"/>
      <c r="F798"/>
      <c r="G798"/>
      <c r="H798"/>
      <c r="I798"/>
    </row>
    <row r="799" spans="1:9">
      <c r="A799">
        <v>4426</v>
      </c>
      <c r="B799" t="s">
        <v>5953</v>
      </c>
      <c r="C799"/>
      <c r="D799"/>
      <c r="E799"/>
      <c r="F799"/>
      <c r="G799"/>
      <c r="H799"/>
      <c r="I799"/>
    </row>
    <row r="800" spans="1:9">
      <c r="A800">
        <v>4430</v>
      </c>
      <c r="B800" t="s">
        <v>5954</v>
      </c>
      <c r="C800"/>
      <c r="D800"/>
      <c r="E800"/>
      <c r="F800"/>
      <c r="G800"/>
      <c r="H800"/>
      <c r="I800"/>
    </row>
    <row r="801" spans="1:9">
      <c r="A801">
        <v>4432</v>
      </c>
      <c r="B801" t="s">
        <v>5955</v>
      </c>
      <c r="C801"/>
      <c r="D801"/>
      <c r="E801"/>
      <c r="F801"/>
      <c r="G801"/>
      <c r="H801"/>
      <c r="I801"/>
    </row>
    <row r="802" spans="1:9">
      <c r="A802">
        <v>4433</v>
      </c>
      <c r="B802" t="s">
        <v>5956</v>
      </c>
      <c r="C802"/>
      <c r="D802"/>
      <c r="E802"/>
      <c r="F802"/>
      <c r="G802"/>
      <c r="H802"/>
      <c r="I802"/>
    </row>
    <row r="803" spans="1:9">
      <c r="A803">
        <v>4438</v>
      </c>
      <c r="B803" t="s">
        <v>5957</v>
      </c>
      <c r="C803"/>
      <c r="D803"/>
      <c r="E803"/>
      <c r="F803"/>
      <c r="G803"/>
      <c r="H803"/>
      <c r="I803"/>
    </row>
    <row r="804" spans="1:9">
      <c r="A804">
        <v>4439</v>
      </c>
      <c r="B804" t="s">
        <v>5958</v>
      </c>
      <c r="C804"/>
      <c r="D804"/>
      <c r="E804"/>
      <c r="F804"/>
      <c r="G804"/>
      <c r="H804"/>
      <c r="I804"/>
    </row>
    <row r="805" spans="1:9">
      <c r="A805">
        <v>4503</v>
      </c>
      <c r="B805" t="s">
        <v>5959</v>
      </c>
      <c r="C805"/>
      <c r="D805"/>
      <c r="E805"/>
      <c r="F805"/>
      <c r="G805"/>
      <c r="H805"/>
      <c r="I805"/>
    </row>
    <row r="806" spans="1:9">
      <c r="A806">
        <v>4506</v>
      </c>
      <c r="B806" t="s">
        <v>5960</v>
      </c>
      <c r="C806"/>
      <c r="D806"/>
      <c r="E806"/>
      <c r="F806"/>
      <c r="G806"/>
      <c r="H806"/>
      <c r="I806"/>
    </row>
    <row r="807" spans="1:9">
      <c r="A807">
        <v>4510</v>
      </c>
      <c r="B807" t="s">
        <v>5961</v>
      </c>
      <c r="C807"/>
      <c r="D807"/>
      <c r="E807"/>
      <c r="F807"/>
      <c r="G807"/>
      <c r="H807"/>
      <c r="I807"/>
    </row>
    <row r="808" spans="1:9">
      <c r="A808">
        <v>4513</v>
      </c>
      <c r="B808" t="s">
        <v>5962</v>
      </c>
      <c r="C808"/>
      <c r="D808"/>
      <c r="E808"/>
      <c r="F808"/>
      <c r="G808"/>
      <c r="H808" t="s">
        <v>6584</v>
      </c>
      <c r="I808"/>
    </row>
    <row r="809" spans="1:9">
      <c r="A809">
        <v>4526</v>
      </c>
      <c r="B809" t="s">
        <v>5963</v>
      </c>
      <c r="C809"/>
      <c r="D809"/>
      <c r="E809"/>
      <c r="F809"/>
      <c r="G809"/>
      <c r="H809"/>
      <c r="I809"/>
    </row>
    <row r="810" spans="1:9">
      <c r="A810">
        <v>4527</v>
      </c>
      <c r="B810" t="s">
        <v>6595</v>
      </c>
      <c r="C810"/>
      <c r="D810"/>
      <c r="E810"/>
      <c r="F810"/>
      <c r="G810"/>
      <c r="H810"/>
      <c r="I810"/>
    </row>
    <row r="811" spans="1:9">
      <c r="A811">
        <v>4528</v>
      </c>
      <c r="B811" t="s">
        <v>6596</v>
      </c>
      <c r="C811"/>
      <c r="D811"/>
      <c r="E811"/>
      <c r="F811"/>
      <c r="G811"/>
      <c r="H811"/>
      <c r="I811"/>
    </row>
    <row r="812" spans="1:9">
      <c r="A812">
        <v>4529</v>
      </c>
      <c r="B812" t="s">
        <v>5964</v>
      </c>
      <c r="C812"/>
      <c r="D812"/>
      <c r="E812"/>
      <c r="F812"/>
      <c r="G812"/>
      <c r="H812"/>
      <c r="I812"/>
    </row>
    <row r="813" spans="1:9">
      <c r="A813">
        <v>4532</v>
      </c>
      <c r="B813" t="s">
        <v>5965</v>
      </c>
      <c r="C813"/>
      <c r="D813"/>
      <c r="E813"/>
      <c r="F813"/>
      <c r="G813" t="s">
        <v>6583</v>
      </c>
      <c r="H813"/>
      <c r="I813"/>
    </row>
    <row r="814" spans="1:9">
      <c r="A814">
        <v>4533</v>
      </c>
      <c r="B814" t="s">
        <v>5966</v>
      </c>
      <c r="C814"/>
      <c r="D814"/>
      <c r="E814"/>
      <c r="F814"/>
      <c r="G814"/>
      <c r="H814"/>
      <c r="I814"/>
    </row>
    <row r="815" spans="1:9">
      <c r="A815">
        <v>4534</v>
      </c>
      <c r="B815" t="s">
        <v>5967</v>
      </c>
      <c r="C815"/>
      <c r="D815"/>
      <c r="E815"/>
      <c r="F815"/>
      <c r="G815"/>
      <c r="H815"/>
      <c r="I815"/>
    </row>
    <row r="816" spans="1:9">
      <c r="A816">
        <v>4536</v>
      </c>
      <c r="B816" t="s">
        <v>5968</v>
      </c>
      <c r="C816"/>
      <c r="D816"/>
      <c r="E816"/>
      <c r="F816"/>
      <c r="G816"/>
      <c r="H816"/>
      <c r="I816"/>
    </row>
    <row r="817" spans="1:9">
      <c r="A817">
        <v>4540</v>
      </c>
      <c r="B817" t="s">
        <v>5969</v>
      </c>
      <c r="C817"/>
      <c r="D817"/>
      <c r="E817"/>
      <c r="F817"/>
      <c r="G817"/>
      <c r="H817"/>
      <c r="I817"/>
    </row>
    <row r="818" spans="1:9">
      <c r="A818">
        <v>4541</v>
      </c>
      <c r="B818" t="s">
        <v>5970</v>
      </c>
      <c r="C818"/>
      <c r="D818"/>
      <c r="E818"/>
      <c r="F818"/>
      <c r="G818"/>
      <c r="H818"/>
      <c r="I818"/>
    </row>
    <row r="819" spans="1:9">
      <c r="A819">
        <v>4543</v>
      </c>
      <c r="B819" t="s">
        <v>5971</v>
      </c>
      <c r="C819"/>
      <c r="D819"/>
      <c r="E819"/>
      <c r="F819"/>
      <c r="G819"/>
      <c r="H819"/>
      <c r="I819"/>
    </row>
    <row r="820" spans="1:9">
      <c r="A820">
        <v>4545</v>
      </c>
      <c r="B820" t="s">
        <v>5972</v>
      </c>
      <c r="C820"/>
      <c r="D820"/>
      <c r="E820"/>
      <c r="F820"/>
      <c r="G820"/>
      <c r="H820"/>
      <c r="I820"/>
    </row>
    <row r="821" spans="1:9">
      <c r="A821">
        <v>4549</v>
      </c>
      <c r="B821" t="s">
        <v>5973</v>
      </c>
      <c r="C821"/>
      <c r="D821"/>
      <c r="E821"/>
      <c r="F821"/>
      <c r="G821"/>
      <c r="H821"/>
      <c r="I821"/>
    </row>
    <row r="822" spans="1:9">
      <c r="A822">
        <v>4551</v>
      </c>
      <c r="B822" t="s">
        <v>5974</v>
      </c>
      <c r="C822"/>
      <c r="D822"/>
      <c r="E822"/>
      <c r="F822"/>
      <c r="G822"/>
      <c r="H822"/>
      <c r="I822"/>
    </row>
    <row r="823" spans="1:9">
      <c r="A823">
        <v>4552</v>
      </c>
      <c r="B823" t="s">
        <v>5975</v>
      </c>
      <c r="C823"/>
      <c r="D823"/>
      <c r="E823"/>
      <c r="F823"/>
      <c r="G823"/>
      <c r="H823"/>
      <c r="I823"/>
    </row>
    <row r="824" spans="1:9">
      <c r="A824">
        <v>4555</v>
      </c>
      <c r="B824" t="s">
        <v>5976</v>
      </c>
      <c r="C824"/>
      <c r="D824"/>
      <c r="E824"/>
      <c r="F824"/>
      <c r="G824"/>
      <c r="H824"/>
      <c r="I824"/>
    </row>
    <row r="825" spans="1:9">
      <c r="A825">
        <v>4557</v>
      </c>
      <c r="B825" t="s">
        <v>5977</v>
      </c>
      <c r="C825"/>
      <c r="D825"/>
      <c r="E825"/>
      <c r="F825"/>
      <c r="G825"/>
      <c r="H825"/>
      <c r="I825"/>
    </row>
    <row r="826" spans="1:9">
      <c r="A826">
        <v>4560</v>
      </c>
      <c r="B826" t="s">
        <v>5978</v>
      </c>
      <c r="C826"/>
      <c r="D826"/>
      <c r="E826"/>
      <c r="F826"/>
      <c r="G826"/>
      <c r="H826"/>
      <c r="I826"/>
    </row>
    <row r="827" spans="1:9">
      <c r="A827">
        <v>4561</v>
      </c>
      <c r="B827" t="s">
        <v>548</v>
      </c>
      <c r="C827"/>
      <c r="D827"/>
      <c r="E827"/>
      <c r="F827"/>
      <c r="G827"/>
      <c r="H827"/>
      <c r="I827"/>
    </row>
    <row r="828" spans="1:9">
      <c r="A828">
        <v>4562</v>
      </c>
      <c r="B828" t="s">
        <v>5979</v>
      </c>
      <c r="C828"/>
      <c r="D828"/>
      <c r="E828"/>
      <c r="F828"/>
      <c r="G828"/>
      <c r="H828"/>
      <c r="I828"/>
    </row>
    <row r="829" spans="1:9">
      <c r="A829">
        <v>4564</v>
      </c>
      <c r="B829" t="s">
        <v>5980</v>
      </c>
      <c r="C829"/>
      <c r="D829"/>
      <c r="E829"/>
      <c r="F829"/>
      <c r="G829"/>
      <c r="H829"/>
      <c r="I829"/>
    </row>
    <row r="830" spans="1:9">
      <c r="A830">
        <v>4566</v>
      </c>
      <c r="B830" t="s">
        <v>5981</v>
      </c>
      <c r="C830"/>
      <c r="D830"/>
      <c r="E830"/>
      <c r="F830"/>
      <c r="G830"/>
      <c r="H830"/>
      <c r="I830"/>
    </row>
    <row r="831" spans="1:9">
      <c r="A831">
        <v>4568</v>
      </c>
      <c r="B831" t="s">
        <v>6597</v>
      </c>
      <c r="C831"/>
      <c r="D831"/>
      <c r="E831"/>
      <c r="F831"/>
      <c r="G831"/>
      <c r="H831"/>
      <c r="I831"/>
    </row>
    <row r="832" spans="1:9">
      <c r="A832">
        <v>4571</v>
      </c>
      <c r="B832" t="s">
        <v>5982</v>
      </c>
      <c r="C832"/>
      <c r="D832"/>
      <c r="E832"/>
      <c r="F832"/>
      <c r="G832"/>
      <c r="H832"/>
      <c r="I832"/>
    </row>
    <row r="833" spans="1:9">
      <c r="A833">
        <v>4572</v>
      </c>
      <c r="B833" t="s">
        <v>5983</v>
      </c>
      <c r="C833"/>
      <c r="D833"/>
      <c r="E833"/>
      <c r="F833"/>
      <c r="G833"/>
      <c r="H833"/>
      <c r="I833"/>
    </row>
    <row r="834" spans="1:9">
      <c r="A834">
        <v>4576</v>
      </c>
      <c r="B834" t="s">
        <v>5984</v>
      </c>
      <c r="C834"/>
      <c r="D834"/>
      <c r="E834"/>
      <c r="F834"/>
      <c r="G834"/>
      <c r="H834"/>
      <c r="I834"/>
    </row>
    <row r="835" spans="1:9">
      <c r="A835">
        <v>4580</v>
      </c>
      <c r="B835" t="s">
        <v>5985</v>
      </c>
      <c r="C835"/>
      <c r="D835"/>
      <c r="E835" t="s">
        <v>6586</v>
      </c>
      <c r="F835"/>
      <c r="G835" t="s">
        <v>6587</v>
      </c>
      <c r="H835" t="s">
        <v>6584</v>
      </c>
      <c r="I835"/>
    </row>
    <row r="836" spans="1:9">
      <c r="A836">
        <v>4581</v>
      </c>
      <c r="B836" t="s">
        <v>5986</v>
      </c>
      <c r="C836"/>
      <c r="D836"/>
      <c r="E836"/>
      <c r="F836"/>
      <c r="G836"/>
      <c r="H836"/>
      <c r="I836"/>
    </row>
    <row r="837" spans="1:9">
      <c r="A837">
        <v>4702</v>
      </c>
      <c r="B837" t="s">
        <v>5987</v>
      </c>
      <c r="C837" t="s">
        <v>6586</v>
      </c>
      <c r="D837"/>
      <c r="E837"/>
      <c r="F837"/>
      <c r="G837"/>
      <c r="H837" t="s">
        <v>6584</v>
      </c>
      <c r="I837">
        <v>7.91</v>
      </c>
    </row>
    <row r="838" spans="1:9">
      <c r="A838">
        <v>4706</v>
      </c>
      <c r="B838" t="s">
        <v>5988</v>
      </c>
      <c r="C838"/>
      <c r="D838"/>
      <c r="E838"/>
      <c r="F838"/>
      <c r="G838"/>
      <c r="H838"/>
      <c r="I838"/>
    </row>
    <row r="839" spans="1:9">
      <c r="A839">
        <v>4707</v>
      </c>
      <c r="B839" t="s">
        <v>5989</v>
      </c>
      <c r="C839"/>
      <c r="D839"/>
      <c r="E839"/>
      <c r="F839"/>
      <c r="G839"/>
      <c r="H839"/>
      <c r="I839"/>
    </row>
    <row r="840" spans="1:9">
      <c r="A840">
        <v>4711</v>
      </c>
      <c r="B840" t="s">
        <v>5990</v>
      </c>
      <c r="C840"/>
      <c r="D840"/>
      <c r="E840"/>
      <c r="F840"/>
      <c r="G840"/>
      <c r="H840"/>
      <c r="I840"/>
    </row>
    <row r="841" spans="1:9">
      <c r="A841">
        <v>4714</v>
      </c>
      <c r="B841" t="s">
        <v>5991</v>
      </c>
      <c r="C841"/>
      <c r="D841"/>
      <c r="E841"/>
      <c r="F841"/>
      <c r="G841"/>
      <c r="H841"/>
      <c r="I841"/>
    </row>
    <row r="842" spans="1:9">
      <c r="A842">
        <v>4716</v>
      </c>
      <c r="B842" t="s">
        <v>5992</v>
      </c>
      <c r="C842"/>
      <c r="D842"/>
      <c r="E842"/>
      <c r="F842"/>
      <c r="G842"/>
      <c r="H842"/>
      <c r="I842"/>
    </row>
    <row r="843" spans="1:9">
      <c r="A843">
        <v>4720</v>
      </c>
      <c r="B843" t="s">
        <v>5993</v>
      </c>
      <c r="C843"/>
      <c r="D843"/>
      <c r="E843"/>
      <c r="F843"/>
      <c r="G843"/>
      <c r="H843"/>
      <c r="I843"/>
    </row>
    <row r="844" spans="1:9">
      <c r="A844">
        <v>4721</v>
      </c>
      <c r="B844" t="s">
        <v>5994</v>
      </c>
      <c r="C844" t="s">
        <v>6585</v>
      </c>
      <c r="D844" t="s">
        <v>6586</v>
      </c>
      <c r="E844" t="s">
        <v>6586</v>
      </c>
      <c r="F844"/>
      <c r="G844"/>
      <c r="H844" t="s">
        <v>6584</v>
      </c>
      <c r="I844">
        <v>7.04</v>
      </c>
    </row>
    <row r="845" spans="1:9">
      <c r="A845">
        <v>4722</v>
      </c>
      <c r="B845" t="s">
        <v>5995</v>
      </c>
      <c r="C845"/>
      <c r="D845"/>
      <c r="E845"/>
      <c r="F845"/>
      <c r="G845"/>
      <c r="H845"/>
      <c r="I845"/>
    </row>
    <row r="846" spans="1:9">
      <c r="A846">
        <v>4728</v>
      </c>
      <c r="B846" t="s">
        <v>5996</v>
      </c>
      <c r="C846"/>
      <c r="D846"/>
      <c r="E846"/>
      <c r="F846"/>
      <c r="G846" t="s">
        <v>6583</v>
      </c>
      <c r="H846"/>
      <c r="I846"/>
    </row>
    <row r="847" spans="1:9">
      <c r="A847">
        <v>4735</v>
      </c>
      <c r="B847" t="s">
        <v>5997</v>
      </c>
      <c r="C847"/>
      <c r="D847"/>
      <c r="E847"/>
      <c r="F847"/>
      <c r="G847"/>
      <c r="H847"/>
      <c r="I847"/>
    </row>
    <row r="848" spans="1:9">
      <c r="A848">
        <v>4736</v>
      </c>
      <c r="B848" t="s">
        <v>5998</v>
      </c>
      <c r="C848"/>
      <c r="D848"/>
      <c r="E848"/>
      <c r="F848"/>
      <c r="G848"/>
      <c r="H848"/>
      <c r="I848"/>
    </row>
    <row r="849" spans="1:9">
      <c r="A849">
        <v>4737</v>
      </c>
      <c r="B849" t="s">
        <v>5999</v>
      </c>
      <c r="C849"/>
      <c r="D849"/>
      <c r="E849"/>
      <c r="F849"/>
      <c r="G849"/>
      <c r="H849"/>
      <c r="I849"/>
    </row>
    <row r="850" spans="1:9">
      <c r="A850">
        <v>4739</v>
      </c>
      <c r="B850" t="s">
        <v>6000</v>
      </c>
      <c r="C850" t="s">
        <v>6586</v>
      </c>
      <c r="D850" t="s">
        <v>6586</v>
      </c>
      <c r="E850" t="s">
        <v>6586</v>
      </c>
      <c r="F850" t="s">
        <v>6585</v>
      </c>
      <c r="G850"/>
      <c r="H850"/>
      <c r="I850">
        <v>15.97</v>
      </c>
    </row>
    <row r="851" spans="1:9">
      <c r="A851">
        <v>4744</v>
      </c>
      <c r="B851" t="s">
        <v>6001</v>
      </c>
      <c r="C851"/>
      <c r="D851"/>
      <c r="E851"/>
      <c r="F851"/>
      <c r="G851"/>
      <c r="H851" t="s">
        <v>6584</v>
      </c>
      <c r="I851"/>
    </row>
    <row r="852" spans="1:9">
      <c r="A852">
        <v>4745</v>
      </c>
      <c r="B852" t="s">
        <v>6002</v>
      </c>
      <c r="C852"/>
      <c r="D852"/>
      <c r="E852"/>
      <c r="F852"/>
      <c r="G852"/>
      <c r="H852"/>
      <c r="I852"/>
    </row>
    <row r="853" spans="1:9">
      <c r="A853">
        <v>4746</v>
      </c>
      <c r="B853" t="s">
        <v>6003</v>
      </c>
      <c r="C853"/>
      <c r="D853"/>
      <c r="E853"/>
      <c r="F853"/>
      <c r="G853"/>
      <c r="H853"/>
      <c r="I853"/>
    </row>
    <row r="854" spans="1:9">
      <c r="A854">
        <v>4755</v>
      </c>
      <c r="B854" t="s">
        <v>6004</v>
      </c>
      <c r="C854"/>
      <c r="D854"/>
      <c r="E854"/>
      <c r="F854"/>
      <c r="G854" t="s">
        <v>6583</v>
      </c>
      <c r="H854" t="s">
        <v>6584</v>
      </c>
      <c r="I854">
        <v>12.92</v>
      </c>
    </row>
    <row r="855" spans="1:9">
      <c r="A855">
        <v>4760</v>
      </c>
      <c r="B855" t="s">
        <v>6005</v>
      </c>
      <c r="C855"/>
      <c r="D855"/>
      <c r="E855"/>
      <c r="F855"/>
      <c r="G855"/>
      <c r="H855"/>
      <c r="I855"/>
    </row>
    <row r="856" spans="1:9">
      <c r="A856">
        <v>4763</v>
      </c>
      <c r="B856" t="s">
        <v>6006</v>
      </c>
      <c r="C856"/>
      <c r="D856"/>
      <c r="E856"/>
      <c r="F856"/>
      <c r="G856"/>
      <c r="H856"/>
      <c r="I856"/>
    </row>
    <row r="857" spans="1:9">
      <c r="A857">
        <v>4764</v>
      </c>
      <c r="B857" t="s">
        <v>6007</v>
      </c>
      <c r="C857"/>
      <c r="D857"/>
      <c r="E857"/>
      <c r="F857"/>
      <c r="G857"/>
      <c r="H857"/>
      <c r="I857"/>
    </row>
    <row r="858" spans="1:9">
      <c r="A858">
        <v>4766</v>
      </c>
      <c r="B858" t="s">
        <v>6008</v>
      </c>
      <c r="C858"/>
      <c r="D858"/>
      <c r="E858"/>
      <c r="F858"/>
      <c r="G858" t="s">
        <v>6583</v>
      </c>
      <c r="H858"/>
      <c r="I858"/>
    </row>
    <row r="859" spans="1:9">
      <c r="A859">
        <v>4804</v>
      </c>
      <c r="B859" t="s">
        <v>6009</v>
      </c>
      <c r="C859"/>
      <c r="D859"/>
      <c r="E859"/>
      <c r="F859"/>
      <c r="G859"/>
      <c r="H859"/>
      <c r="I859">
        <v>8.1999999999999993</v>
      </c>
    </row>
    <row r="860" spans="1:9">
      <c r="A860">
        <v>4807</v>
      </c>
      <c r="B860" t="s">
        <v>6010</v>
      </c>
      <c r="C860"/>
      <c r="D860"/>
      <c r="E860"/>
      <c r="F860"/>
      <c r="G860"/>
      <c r="H860"/>
      <c r="I860"/>
    </row>
    <row r="861" spans="1:9">
      <c r="A861">
        <v>4904</v>
      </c>
      <c r="B861" t="s">
        <v>6011</v>
      </c>
      <c r="C861"/>
      <c r="D861"/>
      <c r="E861"/>
      <c r="F861"/>
      <c r="G861"/>
      <c r="H861"/>
      <c r="I861"/>
    </row>
    <row r="862" spans="1:9">
      <c r="A862">
        <v>4906</v>
      </c>
      <c r="B862" t="s">
        <v>6012</v>
      </c>
      <c r="C862"/>
      <c r="D862" t="s">
        <v>6585</v>
      </c>
      <c r="E862"/>
      <c r="F862"/>
      <c r="G862"/>
      <c r="H862"/>
      <c r="I862"/>
    </row>
    <row r="863" spans="1:9">
      <c r="A863">
        <v>4907</v>
      </c>
      <c r="B863" t="s">
        <v>6598</v>
      </c>
      <c r="C863"/>
      <c r="D863"/>
      <c r="E863"/>
      <c r="F863"/>
      <c r="G863"/>
      <c r="H863"/>
      <c r="I863"/>
    </row>
    <row r="864" spans="1:9">
      <c r="A864">
        <v>4908</v>
      </c>
      <c r="B864" t="s">
        <v>6013</v>
      </c>
      <c r="C864"/>
      <c r="D864"/>
      <c r="E864"/>
      <c r="F864"/>
      <c r="G864"/>
      <c r="H864"/>
      <c r="I864"/>
    </row>
    <row r="865" spans="1:9">
      <c r="A865">
        <v>4909</v>
      </c>
      <c r="B865" t="s">
        <v>6014</v>
      </c>
      <c r="C865"/>
      <c r="D865"/>
      <c r="E865"/>
      <c r="F865"/>
      <c r="G865"/>
      <c r="H865"/>
      <c r="I865"/>
    </row>
    <row r="866" spans="1:9">
      <c r="A866">
        <v>4912</v>
      </c>
      <c r="B866" t="s">
        <v>6015</v>
      </c>
      <c r="C866"/>
      <c r="D866"/>
      <c r="E866"/>
      <c r="F866"/>
      <c r="G866"/>
      <c r="H866"/>
      <c r="I866"/>
    </row>
    <row r="867" spans="1:9">
      <c r="A867">
        <v>4915</v>
      </c>
      <c r="B867" t="s">
        <v>6016</v>
      </c>
      <c r="C867"/>
      <c r="D867"/>
      <c r="E867"/>
      <c r="F867"/>
      <c r="G867"/>
      <c r="H867"/>
      <c r="I867"/>
    </row>
    <row r="868" spans="1:9">
      <c r="A868">
        <v>4916</v>
      </c>
      <c r="B868" t="s">
        <v>6017</v>
      </c>
      <c r="C868"/>
      <c r="D868"/>
      <c r="E868"/>
      <c r="F868"/>
      <c r="G868"/>
      <c r="H868"/>
      <c r="I868"/>
    </row>
    <row r="869" spans="1:9">
      <c r="A869">
        <v>4919</v>
      </c>
      <c r="B869" t="s">
        <v>6018</v>
      </c>
      <c r="C869"/>
      <c r="D869" t="s">
        <v>6585</v>
      </c>
      <c r="E869"/>
      <c r="F869" t="s">
        <v>6585</v>
      </c>
      <c r="G869"/>
      <c r="H869" t="s">
        <v>6589</v>
      </c>
      <c r="I869">
        <v>10.210000000000001</v>
      </c>
    </row>
    <row r="870" spans="1:9">
      <c r="A870">
        <v>4927</v>
      </c>
      <c r="B870" t="s">
        <v>6019</v>
      </c>
      <c r="C870"/>
      <c r="D870" t="s">
        <v>6586</v>
      </c>
      <c r="E870" t="s">
        <v>6585</v>
      </c>
      <c r="F870" t="s">
        <v>6585</v>
      </c>
      <c r="G870" t="s">
        <v>6583</v>
      </c>
      <c r="H870"/>
      <c r="I870">
        <v>6.09</v>
      </c>
    </row>
    <row r="871" spans="1:9">
      <c r="A871">
        <v>4931</v>
      </c>
      <c r="B871" t="s">
        <v>6020</v>
      </c>
      <c r="C871"/>
      <c r="D871"/>
      <c r="E871"/>
      <c r="F871"/>
      <c r="G871"/>
      <c r="H871"/>
      <c r="I871">
        <v>5.17</v>
      </c>
    </row>
    <row r="872" spans="1:9">
      <c r="A872">
        <v>4933</v>
      </c>
      <c r="B872" t="s">
        <v>6021</v>
      </c>
      <c r="C872"/>
      <c r="D872"/>
      <c r="E872"/>
      <c r="F872"/>
      <c r="G872" t="s">
        <v>6583</v>
      </c>
      <c r="H872"/>
      <c r="I872"/>
    </row>
    <row r="873" spans="1:9">
      <c r="A873">
        <v>4935</v>
      </c>
      <c r="B873" t="s">
        <v>6022</v>
      </c>
      <c r="C873"/>
      <c r="D873"/>
      <c r="E873"/>
      <c r="F873"/>
      <c r="G873"/>
      <c r="H873"/>
      <c r="I873"/>
    </row>
    <row r="874" spans="1:9">
      <c r="A874">
        <v>4938</v>
      </c>
      <c r="B874" t="s">
        <v>6023</v>
      </c>
      <c r="C874"/>
      <c r="D874"/>
      <c r="E874"/>
      <c r="F874"/>
      <c r="G874" t="s">
        <v>6583</v>
      </c>
      <c r="H874" t="s">
        <v>6584</v>
      </c>
      <c r="I874"/>
    </row>
    <row r="875" spans="1:9">
      <c r="A875">
        <v>4939</v>
      </c>
      <c r="B875" t="s">
        <v>6024</v>
      </c>
      <c r="C875"/>
      <c r="D875"/>
      <c r="E875"/>
      <c r="F875"/>
      <c r="G875"/>
      <c r="H875"/>
      <c r="I875"/>
    </row>
    <row r="876" spans="1:9">
      <c r="A876">
        <v>4942</v>
      </c>
      <c r="B876" t="s">
        <v>6025</v>
      </c>
      <c r="C876"/>
      <c r="D876"/>
      <c r="E876"/>
      <c r="F876"/>
      <c r="G876"/>
      <c r="H876"/>
      <c r="I876"/>
    </row>
    <row r="877" spans="1:9">
      <c r="A877">
        <v>4943</v>
      </c>
      <c r="B877" t="s">
        <v>6026</v>
      </c>
      <c r="C877"/>
      <c r="D877"/>
      <c r="E877"/>
      <c r="F877"/>
      <c r="G877"/>
      <c r="H877" t="s">
        <v>6584</v>
      </c>
      <c r="I877"/>
    </row>
    <row r="878" spans="1:9">
      <c r="A878">
        <v>4945</v>
      </c>
      <c r="B878" t="s">
        <v>6027</v>
      </c>
      <c r="C878"/>
      <c r="D878"/>
      <c r="E878"/>
      <c r="F878"/>
      <c r="G878"/>
      <c r="H878"/>
      <c r="I878"/>
    </row>
    <row r="879" spans="1:9">
      <c r="A879">
        <v>4952</v>
      </c>
      <c r="B879" t="s">
        <v>6028</v>
      </c>
      <c r="C879" t="s">
        <v>6585</v>
      </c>
      <c r="D879" t="s">
        <v>6585</v>
      </c>
      <c r="E879"/>
      <c r="F879"/>
      <c r="G879" t="s">
        <v>6583</v>
      </c>
      <c r="H879"/>
      <c r="I879">
        <v>6.64</v>
      </c>
    </row>
    <row r="880" spans="1:9">
      <c r="A880">
        <v>4953</v>
      </c>
      <c r="B880" t="s">
        <v>6029</v>
      </c>
      <c r="C880"/>
      <c r="D880"/>
      <c r="E880"/>
      <c r="F880"/>
      <c r="G880"/>
      <c r="H880"/>
      <c r="I880"/>
    </row>
    <row r="881" spans="1:9">
      <c r="A881">
        <v>4956</v>
      </c>
      <c r="B881" t="s">
        <v>6030</v>
      </c>
      <c r="C881"/>
      <c r="D881"/>
      <c r="E881"/>
      <c r="F881"/>
      <c r="G881"/>
      <c r="H881"/>
      <c r="I881"/>
    </row>
    <row r="882" spans="1:9">
      <c r="A882">
        <v>4958</v>
      </c>
      <c r="B882" t="s">
        <v>6031</v>
      </c>
      <c r="C882"/>
      <c r="D882"/>
      <c r="E882"/>
      <c r="F882"/>
      <c r="G882"/>
      <c r="H882"/>
      <c r="I882"/>
    </row>
    <row r="883" spans="1:9">
      <c r="A883">
        <v>4960</v>
      </c>
      <c r="B883" t="s">
        <v>6032</v>
      </c>
      <c r="C883"/>
      <c r="D883"/>
      <c r="E883"/>
      <c r="F883"/>
      <c r="G883"/>
      <c r="H883"/>
      <c r="I883"/>
    </row>
    <row r="884" spans="1:9">
      <c r="A884">
        <v>4961</v>
      </c>
      <c r="B884" t="s">
        <v>6033</v>
      </c>
      <c r="C884"/>
      <c r="D884"/>
      <c r="E884"/>
      <c r="F884"/>
      <c r="G884"/>
      <c r="H884" t="s">
        <v>6584</v>
      </c>
      <c r="I884"/>
    </row>
    <row r="885" spans="1:9">
      <c r="A885">
        <v>4966</v>
      </c>
      <c r="B885" t="s">
        <v>6034</v>
      </c>
      <c r="C885"/>
      <c r="D885"/>
      <c r="E885"/>
      <c r="F885"/>
      <c r="G885"/>
      <c r="H885"/>
      <c r="I885"/>
    </row>
    <row r="886" spans="1:9">
      <c r="A886">
        <v>4967</v>
      </c>
      <c r="B886" t="s">
        <v>6035</v>
      </c>
      <c r="C886"/>
      <c r="D886"/>
      <c r="E886"/>
      <c r="F886"/>
      <c r="G886"/>
      <c r="H886" t="s">
        <v>6584</v>
      </c>
      <c r="I886"/>
    </row>
    <row r="887" spans="1:9">
      <c r="A887">
        <v>4968</v>
      </c>
      <c r="B887" t="s">
        <v>6036</v>
      </c>
      <c r="C887"/>
      <c r="D887"/>
      <c r="E887"/>
      <c r="F887"/>
      <c r="G887"/>
      <c r="H887" t="s">
        <v>6584</v>
      </c>
      <c r="I887"/>
    </row>
    <row r="888" spans="1:9">
      <c r="A888">
        <v>4971</v>
      </c>
      <c r="B888" t="s">
        <v>6037</v>
      </c>
      <c r="C888" t="s">
        <v>6585</v>
      </c>
      <c r="D888"/>
      <c r="E888"/>
      <c r="F888"/>
      <c r="G888"/>
      <c r="H888"/>
      <c r="I888">
        <v>6.12</v>
      </c>
    </row>
    <row r="889" spans="1:9">
      <c r="A889">
        <v>4973</v>
      </c>
      <c r="B889" t="s">
        <v>6038</v>
      </c>
      <c r="C889"/>
      <c r="D889"/>
      <c r="E889"/>
      <c r="F889"/>
      <c r="G889"/>
      <c r="H889"/>
      <c r="I889"/>
    </row>
    <row r="890" spans="1:9">
      <c r="A890">
        <v>4974</v>
      </c>
      <c r="B890" t="s">
        <v>6039</v>
      </c>
      <c r="C890"/>
      <c r="D890"/>
      <c r="E890"/>
      <c r="F890"/>
      <c r="G890"/>
      <c r="H890"/>
      <c r="I890"/>
    </row>
    <row r="891" spans="1:9">
      <c r="A891">
        <v>4976</v>
      </c>
      <c r="B891" t="s">
        <v>6040</v>
      </c>
      <c r="C891"/>
      <c r="D891"/>
      <c r="E891"/>
      <c r="F891"/>
      <c r="G891"/>
      <c r="H891" t="s">
        <v>6584</v>
      </c>
      <c r="I891"/>
    </row>
    <row r="892" spans="1:9">
      <c r="A892">
        <v>4977</v>
      </c>
      <c r="B892" t="s">
        <v>6041</v>
      </c>
      <c r="C892"/>
      <c r="D892"/>
      <c r="E892"/>
      <c r="F892"/>
      <c r="G892"/>
      <c r="H892"/>
      <c r="I892"/>
    </row>
    <row r="893" spans="1:9">
      <c r="A893">
        <v>4979</v>
      </c>
      <c r="B893" t="s">
        <v>6042</v>
      </c>
      <c r="C893"/>
      <c r="D893"/>
      <c r="E893"/>
      <c r="F893"/>
      <c r="G893"/>
      <c r="H893"/>
      <c r="I893"/>
    </row>
    <row r="894" spans="1:9">
      <c r="A894">
        <v>4989</v>
      </c>
      <c r="B894" t="s">
        <v>6043</v>
      </c>
      <c r="C894"/>
      <c r="D894"/>
      <c r="E894"/>
      <c r="F894"/>
      <c r="G894"/>
      <c r="H894"/>
      <c r="I894"/>
    </row>
    <row r="895" spans="1:9">
      <c r="A895">
        <v>4991</v>
      </c>
      <c r="B895" t="s">
        <v>6599</v>
      </c>
      <c r="C895"/>
      <c r="D895"/>
      <c r="E895"/>
      <c r="F895"/>
      <c r="G895"/>
      <c r="H895"/>
      <c r="I895"/>
    </row>
    <row r="896" spans="1:9">
      <c r="A896">
        <v>4994</v>
      </c>
      <c r="B896" t="s">
        <v>6044</v>
      </c>
      <c r="C896"/>
      <c r="D896"/>
      <c r="E896"/>
      <c r="F896"/>
      <c r="G896"/>
      <c r="H896"/>
      <c r="I896"/>
    </row>
    <row r="897" spans="1:9">
      <c r="A897">
        <v>4999</v>
      </c>
      <c r="B897" t="s">
        <v>6045</v>
      </c>
      <c r="C897"/>
      <c r="D897"/>
      <c r="E897"/>
      <c r="F897"/>
      <c r="G897"/>
      <c r="H897"/>
      <c r="I897"/>
    </row>
    <row r="898" spans="1:9">
      <c r="A898">
        <v>5007</v>
      </c>
      <c r="B898" t="s">
        <v>6046</v>
      </c>
      <c r="C898"/>
      <c r="D898"/>
      <c r="E898"/>
      <c r="F898"/>
      <c r="G898"/>
      <c r="H898"/>
      <c r="I898"/>
    </row>
    <row r="899" spans="1:9">
      <c r="A899">
        <v>5009</v>
      </c>
      <c r="B899" t="s">
        <v>6047</v>
      </c>
      <c r="C899"/>
      <c r="D899"/>
      <c r="E899"/>
      <c r="F899"/>
      <c r="G899" t="s">
        <v>6587</v>
      </c>
      <c r="H899"/>
      <c r="I899"/>
    </row>
    <row r="900" spans="1:9">
      <c r="A900">
        <v>5011</v>
      </c>
      <c r="B900" t="s">
        <v>6048</v>
      </c>
      <c r="C900" t="s">
        <v>6586</v>
      </c>
      <c r="D900" t="s">
        <v>6586</v>
      </c>
      <c r="E900"/>
      <c r="F900"/>
      <c r="G900"/>
      <c r="H900"/>
      <c r="I900"/>
    </row>
    <row r="901" spans="1:9">
      <c r="A901">
        <v>5013</v>
      </c>
      <c r="B901" t="s">
        <v>6049</v>
      </c>
      <c r="C901"/>
      <c r="D901"/>
      <c r="E901"/>
      <c r="F901"/>
      <c r="G901"/>
      <c r="H901"/>
      <c r="I901"/>
    </row>
    <row r="902" spans="1:9">
      <c r="A902">
        <v>5014</v>
      </c>
      <c r="B902" t="s">
        <v>6050</v>
      </c>
      <c r="C902"/>
      <c r="D902"/>
      <c r="E902"/>
      <c r="F902"/>
      <c r="G902"/>
      <c r="H902"/>
      <c r="I902"/>
    </row>
    <row r="903" spans="1:9">
      <c r="A903">
        <v>5015</v>
      </c>
      <c r="B903" t="s">
        <v>6051</v>
      </c>
      <c r="C903"/>
      <c r="D903"/>
      <c r="E903"/>
      <c r="F903"/>
      <c r="G903"/>
      <c r="H903"/>
      <c r="I903"/>
    </row>
    <row r="904" spans="1:9">
      <c r="A904">
        <v>5016</v>
      </c>
      <c r="B904" t="s">
        <v>6600</v>
      </c>
      <c r="C904"/>
      <c r="D904"/>
      <c r="E904"/>
      <c r="F904"/>
      <c r="G904"/>
      <c r="H904"/>
      <c r="I904"/>
    </row>
    <row r="905" spans="1:9">
      <c r="A905">
        <v>5102</v>
      </c>
      <c r="B905" t="s">
        <v>6052</v>
      </c>
      <c r="C905"/>
      <c r="D905"/>
      <c r="E905"/>
      <c r="F905"/>
      <c r="G905"/>
      <c r="H905"/>
      <c r="I905"/>
    </row>
    <row r="906" spans="1:9">
      <c r="A906">
        <v>5201</v>
      </c>
      <c r="B906" t="s">
        <v>6053</v>
      </c>
      <c r="C906"/>
      <c r="D906"/>
      <c r="E906"/>
      <c r="F906"/>
      <c r="G906"/>
      <c r="H906"/>
      <c r="I906"/>
    </row>
    <row r="907" spans="1:9">
      <c r="A907">
        <v>5202</v>
      </c>
      <c r="B907" t="s">
        <v>6601</v>
      </c>
      <c r="C907"/>
      <c r="D907"/>
      <c r="E907"/>
      <c r="F907"/>
      <c r="G907"/>
      <c r="H907"/>
      <c r="I907"/>
    </row>
    <row r="908" spans="1:9">
      <c r="A908">
        <v>5203</v>
      </c>
      <c r="B908" t="s">
        <v>6054</v>
      </c>
      <c r="C908"/>
      <c r="D908"/>
      <c r="E908"/>
      <c r="F908"/>
      <c r="G908"/>
      <c r="H908"/>
      <c r="I908"/>
    </row>
    <row r="909" spans="1:9">
      <c r="A909">
        <v>5206</v>
      </c>
      <c r="B909" t="s">
        <v>6055</v>
      </c>
      <c r="C909"/>
      <c r="D909"/>
      <c r="E909"/>
      <c r="F909"/>
      <c r="G909"/>
      <c r="H909"/>
      <c r="I909"/>
    </row>
    <row r="910" spans="1:9">
      <c r="A910">
        <v>5211</v>
      </c>
      <c r="B910" t="s">
        <v>6056</v>
      </c>
      <c r="C910"/>
      <c r="D910"/>
      <c r="E910"/>
      <c r="F910"/>
      <c r="G910"/>
      <c r="H910"/>
      <c r="I910"/>
    </row>
    <row r="911" spans="1:9">
      <c r="A911">
        <v>5213</v>
      </c>
      <c r="B911" t="s">
        <v>6057</v>
      </c>
      <c r="C911"/>
      <c r="D911"/>
      <c r="E911"/>
      <c r="F911"/>
      <c r="G911"/>
      <c r="H911"/>
      <c r="I911"/>
    </row>
    <row r="912" spans="1:9">
      <c r="A912">
        <v>5215</v>
      </c>
      <c r="B912" t="s">
        <v>6058</v>
      </c>
      <c r="C912"/>
      <c r="D912"/>
      <c r="E912"/>
      <c r="F912"/>
      <c r="G912"/>
      <c r="H912" t="s">
        <v>6584</v>
      </c>
      <c r="I912"/>
    </row>
    <row r="913" spans="1:9">
      <c r="A913">
        <v>5223</v>
      </c>
      <c r="B913" t="s">
        <v>6059</v>
      </c>
      <c r="C913"/>
      <c r="D913"/>
      <c r="E913"/>
      <c r="F913"/>
      <c r="G913"/>
      <c r="H913"/>
      <c r="I913"/>
    </row>
    <row r="914" spans="1:9">
      <c r="A914">
        <v>5225</v>
      </c>
      <c r="B914" t="s">
        <v>6060</v>
      </c>
      <c r="C914"/>
      <c r="D914"/>
      <c r="E914"/>
      <c r="F914"/>
      <c r="G914"/>
      <c r="H914"/>
      <c r="I914">
        <v>5.0599999999999996</v>
      </c>
    </row>
    <row r="915" spans="1:9">
      <c r="A915">
        <v>5230</v>
      </c>
      <c r="B915" t="s">
        <v>6061</v>
      </c>
      <c r="C915"/>
      <c r="D915"/>
      <c r="E915"/>
      <c r="F915"/>
      <c r="G915"/>
      <c r="H915"/>
      <c r="I915"/>
    </row>
    <row r="916" spans="1:9">
      <c r="A916">
        <v>5234</v>
      </c>
      <c r="B916" t="s">
        <v>6062</v>
      </c>
      <c r="C916"/>
      <c r="D916"/>
      <c r="E916"/>
      <c r="F916"/>
      <c r="G916"/>
      <c r="H916"/>
      <c r="I916"/>
    </row>
    <row r="917" spans="1:9">
      <c r="A917">
        <v>5236</v>
      </c>
      <c r="B917" t="s">
        <v>6063</v>
      </c>
      <c r="C917"/>
      <c r="D917"/>
      <c r="E917"/>
      <c r="F917"/>
      <c r="G917"/>
      <c r="H917"/>
      <c r="I917"/>
    </row>
    <row r="918" spans="1:9">
      <c r="A918">
        <v>5243</v>
      </c>
      <c r="B918" t="s">
        <v>6064</v>
      </c>
      <c r="C918"/>
      <c r="D918"/>
      <c r="E918"/>
      <c r="F918"/>
      <c r="G918"/>
      <c r="H918"/>
      <c r="I918"/>
    </row>
    <row r="919" spans="1:9">
      <c r="A919">
        <v>5245</v>
      </c>
      <c r="B919" t="s">
        <v>6065</v>
      </c>
      <c r="C919"/>
      <c r="D919"/>
      <c r="E919"/>
      <c r="F919"/>
      <c r="G919"/>
      <c r="H919"/>
      <c r="I919"/>
    </row>
    <row r="920" spans="1:9">
      <c r="A920">
        <v>5251</v>
      </c>
      <c r="B920" t="s">
        <v>6066</v>
      </c>
      <c r="C920"/>
      <c r="D920"/>
      <c r="E920"/>
      <c r="F920"/>
      <c r="G920"/>
      <c r="H920"/>
      <c r="I920">
        <v>6.66</v>
      </c>
    </row>
    <row r="921" spans="1:9">
      <c r="A921">
        <v>5258</v>
      </c>
      <c r="B921" t="s">
        <v>6067</v>
      </c>
      <c r="C921"/>
      <c r="D921"/>
      <c r="E921"/>
      <c r="F921"/>
      <c r="G921"/>
      <c r="H921"/>
      <c r="I921"/>
    </row>
    <row r="922" spans="1:9">
      <c r="A922">
        <v>5263</v>
      </c>
      <c r="B922" t="s">
        <v>6068</v>
      </c>
      <c r="C922"/>
      <c r="D922"/>
      <c r="E922"/>
      <c r="F922"/>
      <c r="G922"/>
      <c r="H922"/>
      <c r="I922"/>
    </row>
    <row r="923" spans="1:9">
      <c r="A923">
        <v>5269</v>
      </c>
      <c r="B923" t="s">
        <v>6069</v>
      </c>
      <c r="C923"/>
      <c r="D923"/>
      <c r="E923"/>
      <c r="F923"/>
      <c r="G923"/>
      <c r="H923" t="s">
        <v>6584</v>
      </c>
      <c r="I923"/>
    </row>
    <row r="924" spans="1:9">
      <c r="A924">
        <v>5272</v>
      </c>
      <c r="B924" t="s">
        <v>6070</v>
      </c>
      <c r="C924"/>
      <c r="D924"/>
      <c r="E924"/>
      <c r="F924"/>
      <c r="G924"/>
      <c r="H924"/>
      <c r="I924"/>
    </row>
    <row r="925" spans="1:9">
      <c r="A925">
        <v>5274</v>
      </c>
      <c r="B925" t="s">
        <v>6071</v>
      </c>
      <c r="C925"/>
      <c r="D925"/>
      <c r="E925"/>
      <c r="F925"/>
      <c r="G925" t="s">
        <v>6583</v>
      </c>
      <c r="H925"/>
      <c r="I925"/>
    </row>
    <row r="926" spans="1:9">
      <c r="A926">
        <v>5281</v>
      </c>
      <c r="B926" t="s">
        <v>6072</v>
      </c>
      <c r="C926"/>
      <c r="D926"/>
      <c r="E926"/>
      <c r="F926"/>
      <c r="G926"/>
      <c r="H926"/>
      <c r="I926"/>
    </row>
    <row r="927" spans="1:9">
      <c r="A927">
        <v>5283</v>
      </c>
      <c r="B927" t="s">
        <v>6073</v>
      </c>
      <c r="C927"/>
      <c r="D927"/>
      <c r="E927"/>
      <c r="F927"/>
      <c r="G927"/>
      <c r="H927"/>
      <c r="I927"/>
    </row>
    <row r="928" spans="1:9">
      <c r="A928">
        <v>5284</v>
      </c>
      <c r="B928" t="s">
        <v>6074</v>
      </c>
      <c r="C928"/>
      <c r="D928"/>
      <c r="E928"/>
      <c r="F928"/>
      <c r="G928"/>
      <c r="H928"/>
      <c r="I928"/>
    </row>
    <row r="929" spans="1:9">
      <c r="A929">
        <v>5285</v>
      </c>
      <c r="B929" t="s">
        <v>6075</v>
      </c>
      <c r="C929"/>
      <c r="D929"/>
      <c r="E929"/>
      <c r="F929"/>
      <c r="G929"/>
      <c r="H929"/>
      <c r="I929"/>
    </row>
    <row r="930" spans="1:9">
      <c r="A930">
        <v>5287</v>
      </c>
      <c r="B930" t="s">
        <v>6076</v>
      </c>
      <c r="C930"/>
      <c r="D930"/>
      <c r="E930"/>
      <c r="F930"/>
      <c r="G930"/>
      <c r="H930"/>
      <c r="I930"/>
    </row>
    <row r="931" spans="1:9">
      <c r="A931">
        <v>5288</v>
      </c>
      <c r="B931" t="s">
        <v>6077</v>
      </c>
      <c r="C931"/>
      <c r="D931"/>
      <c r="E931"/>
      <c r="F931"/>
      <c r="G931" t="s">
        <v>6583</v>
      </c>
      <c r="H931"/>
      <c r="I931"/>
    </row>
    <row r="932" spans="1:9">
      <c r="A932">
        <v>5289</v>
      </c>
      <c r="B932" t="s">
        <v>6078</v>
      </c>
      <c r="C932"/>
      <c r="D932"/>
      <c r="E932"/>
      <c r="F932"/>
      <c r="G932"/>
      <c r="H932"/>
      <c r="I932"/>
    </row>
    <row r="933" spans="1:9">
      <c r="A933">
        <v>5291</v>
      </c>
      <c r="B933" t="s">
        <v>6079</v>
      </c>
      <c r="C933"/>
      <c r="D933"/>
      <c r="E933"/>
      <c r="F933"/>
      <c r="G933"/>
      <c r="H933"/>
      <c r="I933"/>
    </row>
    <row r="934" spans="1:9">
      <c r="A934">
        <v>5299</v>
      </c>
      <c r="B934" t="s">
        <v>318</v>
      </c>
      <c r="C934"/>
      <c r="D934"/>
      <c r="E934"/>
      <c r="F934"/>
      <c r="G934" t="s">
        <v>6583</v>
      </c>
      <c r="H934"/>
      <c r="I934"/>
    </row>
    <row r="935" spans="1:9">
      <c r="A935">
        <v>5306</v>
      </c>
      <c r="B935" t="s">
        <v>6080</v>
      </c>
      <c r="C935"/>
      <c r="D935"/>
      <c r="E935"/>
      <c r="F935"/>
      <c r="G935"/>
      <c r="H935"/>
      <c r="I935"/>
    </row>
    <row r="936" spans="1:9">
      <c r="A936">
        <v>5312</v>
      </c>
      <c r="B936" t="s">
        <v>6081</v>
      </c>
      <c r="C936"/>
      <c r="D936"/>
      <c r="E936"/>
      <c r="F936"/>
      <c r="G936"/>
      <c r="H936"/>
      <c r="I936"/>
    </row>
    <row r="937" spans="1:9">
      <c r="A937">
        <v>5315</v>
      </c>
      <c r="B937" t="s">
        <v>6082</v>
      </c>
      <c r="C937"/>
      <c r="D937"/>
      <c r="E937"/>
      <c r="F937"/>
      <c r="G937"/>
      <c r="H937"/>
      <c r="I937"/>
    </row>
    <row r="938" spans="1:9">
      <c r="A938">
        <v>5321</v>
      </c>
      <c r="B938" t="s">
        <v>6083</v>
      </c>
      <c r="C938" t="s">
        <v>6585</v>
      </c>
      <c r="D938" t="s">
        <v>6586</v>
      </c>
      <c r="E938"/>
      <c r="F938"/>
      <c r="G938"/>
      <c r="H938" t="s">
        <v>6584</v>
      </c>
      <c r="I938">
        <v>8.0299999999999994</v>
      </c>
    </row>
    <row r="939" spans="1:9">
      <c r="A939">
        <v>5328</v>
      </c>
      <c r="B939" t="s">
        <v>6084</v>
      </c>
      <c r="C939"/>
      <c r="D939"/>
      <c r="E939"/>
      <c r="F939"/>
      <c r="G939"/>
      <c r="H939"/>
      <c r="I939"/>
    </row>
    <row r="940" spans="1:9">
      <c r="A940">
        <v>5347</v>
      </c>
      <c r="B940" t="s">
        <v>6085</v>
      </c>
      <c r="C940"/>
      <c r="D940"/>
      <c r="E940"/>
      <c r="F940"/>
      <c r="G940"/>
      <c r="H940" t="s">
        <v>6584</v>
      </c>
      <c r="I940"/>
    </row>
    <row r="941" spans="1:9">
      <c r="A941">
        <v>5351</v>
      </c>
      <c r="B941" t="s">
        <v>6086</v>
      </c>
      <c r="C941"/>
      <c r="D941"/>
      <c r="E941"/>
      <c r="F941"/>
      <c r="G941"/>
      <c r="H941" t="s">
        <v>6584</v>
      </c>
      <c r="I941">
        <v>6.81</v>
      </c>
    </row>
    <row r="942" spans="1:9">
      <c r="A942">
        <v>5353</v>
      </c>
      <c r="B942" t="s">
        <v>6087</v>
      </c>
      <c r="C942"/>
      <c r="D942"/>
      <c r="E942"/>
      <c r="F942"/>
      <c r="G942"/>
      <c r="H942"/>
      <c r="I942"/>
    </row>
    <row r="943" spans="1:9">
      <c r="A943">
        <v>5356</v>
      </c>
      <c r="B943" t="s">
        <v>6088</v>
      </c>
      <c r="C943"/>
      <c r="D943"/>
      <c r="E943"/>
      <c r="F943"/>
      <c r="G943"/>
      <c r="H943"/>
      <c r="I943"/>
    </row>
    <row r="944" spans="1:9">
      <c r="A944">
        <v>5371</v>
      </c>
      <c r="B944" t="s">
        <v>6089</v>
      </c>
      <c r="C944"/>
      <c r="D944"/>
      <c r="E944"/>
      <c r="F944"/>
      <c r="G944"/>
      <c r="H944"/>
      <c r="I944"/>
    </row>
    <row r="945" spans="1:9">
      <c r="A945">
        <v>5386</v>
      </c>
      <c r="B945" t="s">
        <v>6090</v>
      </c>
      <c r="C945"/>
      <c r="D945"/>
      <c r="E945"/>
      <c r="F945"/>
      <c r="G945"/>
      <c r="H945"/>
      <c r="I945"/>
    </row>
    <row r="946" spans="1:9">
      <c r="A946">
        <v>5388</v>
      </c>
      <c r="B946" t="s">
        <v>6091</v>
      </c>
      <c r="C946"/>
      <c r="D946"/>
      <c r="E946"/>
      <c r="F946"/>
      <c r="G946"/>
      <c r="H946"/>
      <c r="I946"/>
    </row>
    <row r="947" spans="1:9">
      <c r="A947">
        <v>5392</v>
      </c>
      <c r="B947" t="s">
        <v>6092</v>
      </c>
      <c r="C947"/>
      <c r="D947"/>
      <c r="E947"/>
      <c r="F947"/>
      <c r="G947" t="s">
        <v>6583</v>
      </c>
      <c r="H947"/>
      <c r="I947"/>
    </row>
    <row r="948" spans="1:9">
      <c r="A948">
        <v>5398</v>
      </c>
      <c r="B948" t="s">
        <v>6602</v>
      </c>
      <c r="C948"/>
      <c r="D948"/>
      <c r="E948"/>
      <c r="F948"/>
      <c r="G948"/>
      <c r="H948"/>
      <c r="I948"/>
    </row>
    <row r="949" spans="1:9">
      <c r="A949">
        <v>5403</v>
      </c>
      <c r="B949" t="s">
        <v>6093</v>
      </c>
      <c r="C949"/>
      <c r="D949"/>
      <c r="E949"/>
      <c r="F949"/>
      <c r="G949"/>
      <c r="H949"/>
      <c r="I949"/>
    </row>
    <row r="950" spans="1:9">
      <c r="A950">
        <v>5410</v>
      </c>
      <c r="B950" t="s">
        <v>6094</v>
      </c>
      <c r="C950"/>
      <c r="D950"/>
      <c r="E950"/>
      <c r="F950"/>
      <c r="G950" t="s">
        <v>6583</v>
      </c>
      <c r="H950"/>
      <c r="I950"/>
    </row>
    <row r="951" spans="1:9">
      <c r="A951">
        <v>5425</v>
      </c>
      <c r="B951" t="s">
        <v>6095</v>
      </c>
      <c r="C951" t="s">
        <v>6585</v>
      </c>
      <c r="D951" t="s">
        <v>6585</v>
      </c>
      <c r="E951" t="s">
        <v>6585</v>
      </c>
      <c r="F951" t="s">
        <v>6585</v>
      </c>
      <c r="G951"/>
      <c r="H951" t="s">
        <v>6584</v>
      </c>
      <c r="I951">
        <v>20.38</v>
      </c>
    </row>
    <row r="952" spans="1:9">
      <c r="A952">
        <v>5426</v>
      </c>
      <c r="B952" t="s">
        <v>6096</v>
      </c>
      <c r="C952"/>
      <c r="D952"/>
      <c r="E952"/>
      <c r="F952"/>
      <c r="G952" t="s">
        <v>6583</v>
      </c>
      <c r="H952"/>
      <c r="I952"/>
    </row>
    <row r="953" spans="1:9">
      <c r="A953">
        <v>5432</v>
      </c>
      <c r="B953" t="s">
        <v>6097</v>
      </c>
      <c r="C953"/>
      <c r="D953"/>
      <c r="E953"/>
      <c r="F953"/>
      <c r="G953"/>
      <c r="H953"/>
      <c r="I953"/>
    </row>
    <row r="954" spans="1:9">
      <c r="A954">
        <v>5434</v>
      </c>
      <c r="B954" t="s">
        <v>6098</v>
      </c>
      <c r="C954"/>
      <c r="D954"/>
      <c r="E954"/>
      <c r="F954"/>
      <c r="G954"/>
      <c r="H954"/>
      <c r="I954"/>
    </row>
    <row r="955" spans="1:9">
      <c r="A955">
        <v>5438</v>
      </c>
      <c r="B955" t="s">
        <v>6099</v>
      </c>
      <c r="C955"/>
      <c r="D955"/>
      <c r="E955"/>
      <c r="F955"/>
      <c r="G955"/>
      <c r="H955"/>
      <c r="I955"/>
    </row>
    <row r="956" spans="1:9">
      <c r="A956">
        <v>5439</v>
      </c>
      <c r="B956" t="s">
        <v>6100</v>
      </c>
      <c r="C956"/>
      <c r="D956"/>
      <c r="E956"/>
      <c r="F956"/>
      <c r="G956"/>
      <c r="H956"/>
      <c r="I956"/>
    </row>
    <row r="957" spans="1:9">
      <c r="A957">
        <v>5443</v>
      </c>
      <c r="B957" t="s">
        <v>6101</v>
      </c>
      <c r="C957"/>
      <c r="D957"/>
      <c r="E957"/>
      <c r="F957"/>
      <c r="G957"/>
      <c r="H957"/>
      <c r="I957"/>
    </row>
    <row r="958" spans="1:9">
      <c r="A958">
        <v>5450</v>
      </c>
      <c r="B958" t="s">
        <v>6102</v>
      </c>
      <c r="C958"/>
      <c r="D958"/>
      <c r="E958"/>
      <c r="F958"/>
      <c r="G958"/>
      <c r="H958"/>
      <c r="I958"/>
    </row>
    <row r="959" spans="1:9">
      <c r="A959">
        <v>5452</v>
      </c>
      <c r="B959" t="s">
        <v>6103</v>
      </c>
      <c r="C959"/>
      <c r="D959"/>
      <c r="E959"/>
      <c r="F959"/>
      <c r="G959"/>
      <c r="H959"/>
      <c r="I959"/>
    </row>
    <row r="960" spans="1:9">
      <c r="A960">
        <v>5457</v>
      </c>
      <c r="B960" t="s">
        <v>6104</v>
      </c>
      <c r="C960"/>
      <c r="D960"/>
      <c r="E960"/>
      <c r="F960"/>
      <c r="G960"/>
      <c r="H960"/>
      <c r="I960"/>
    </row>
    <row r="961" spans="1:9">
      <c r="A961">
        <v>5464</v>
      </c>
      <c r="B961" t="s">
        <v>6105</v>
      </c>
      <c r="C961"/>
      <c r="D961"/>
      <c r="E961"/>
      <c r="F961"/>
      <c r="G961"/>
      <c r="H961"/>
      <c r="I961"/>
    </row>
    <row r="962" spans="1:9">
      <c r="A962">
        <v>5465</v>
      </c>
      <c r="B962" t="s">
        <v>6106</v>
      </c>
      <c r="C962"/>
      <c r="D962"/>
      <c r="E962"/>
      <c r="F962"/>
      <c r="G962"/>
      <c r="H962"/>
      <c r="I962"/>
    </row>
    <row r="963" spans="1:9">
      <c r="A963">
        <v>5469</v>
      </c>
      <c r="B963" t="s">
        <v>6107</v>
      </c>
      <c r="C963"/>
      <c r="D963"/>
      <c r="E963"/>
      <c r="F963"/>
      <c r="G963"/>
      <c r="H963"/>
      <c r="I963"/>
    </row>
    <row r="964" spans="1:9">
      <c r="A964">
        <v>5471</v>
      </c>
      <c r="B964" t="s">
        <v>6108</v>
      </c>
      <c r="C964"/>
      <c r="D964"/>
      <c r="E964"/>
      <c r="F964"/>
      <c r="G964"/>
      <c r="H964"/>
      <c r="I964"/>
    </row>
    <row r="965" spans="1:9">
      <c r="A965">
        <v>5474</v>
      </c>
      <c r="B965" t="s">
        <v>6109</v>
      </c>
      <c r="C965"/>
      <c r="D965"/>
      <c r="E965"/>
      <c r="F965"/>
      <c r="G965"/>
      <c r="H965"/>
      <c r="I965"/>
    </row>
    <row r="966" spans="1:9">
      <c r="A966">
        <v>5478</v>
      </c>
      <c r="B966" t="s">
        <v>6110</v>
      </c>
      <c r="C966"/>
      <c r="D966"/>
      <c r="E966"/>
      <c r="F966"/>
      <c r="G966"/>
      <c r="H966"/>
      <c r="I966"/>
    </row>
    <row r="967" spans="1:9">
      <c r="A967">
        <v>5481</v>
      </c>
      <c r="B967" t="s">
        <v>6111</v>
      </c>
      <c r="C967"/>
      <c r="D967"/>
      <c r="E967"/>
      <c r="F967"/>
      <c r="G967"/>
      <c r="H967"/>
      <c r="I967"/>
    </row>
    <row r="968" spans="1:9">
      <c r="A968">
        <v>5483</v>
      </c>
      <c r="B968" t="s">
        <v>6112</v>
      </c>
      <c r="C968"/>
      <c r="D968"/>
      <c r="E968"/>
      <c r="F968"/>
      <c r="G968"/>
      <c r="H968" t="s">
        <v>6584</v>
      </c>
      <c r="I968"/>
    </row>
    <row r="969" spans="1:9">
      <c r="A969">
        <v>5490</v>
      </c>
      <c r="B969" t="s">
        <v>6603</v>
      </c>
      <c r="C969"/>
      <c r="D969"/>
      <c r="E969"/>
      <c r="F969"/>
      <c r="G969"/>
      <c r="H969"/>
      <c r="I969"/>
    </row>
    <row r="970" spans="1:9">
      <c r="A970">
        <v>5493</v>
      </c>
      <c r="B970" t="s">
        <v>6113</v>
      </c>
      <c r="C970"/>
      <c r="D970"/>
      <c r="E970"/>
      <c r="F970"/>
      <c r="G970"/>
      <c r="H970"/>
      <c r="I970"/>
    </row>
    <row r="971" spans="1:9">
      <c r="A971">
        <v>5498</v>
      </c>
      <c r="B971" t="s">
        <v>6114</v>
      </c>
      <c r="C971"/>
      <c r="D971"/>
      <c r="E971"/>
      <c r="F971"/>
      <c r="G971"/>
      <c r="H971"/>
      <c r="I971"/>
    </row>
    <row r="972" spans="1:9">
      <c r="A972">
        <v>5508</v>
      </c>
      <c r="B972" t="s">
        <v>6115</v>
      </c>
      <c r="C972"/>
      <c r="D972"/>
      <c r="E972"/>
      <c r="F972"/>
      <c r="G972"/>
      <c r="H972"/>
      <c r="I972"/>
    </row>
    <row r="973" spans="1:9">
      <c r="A973">
        <v>5511</v>
      </c>
      <c r="B973" t="s">
        <v>6604</v>
      </c>
      <c r="C973"/>
      <c r="D973"/>
      <c r="E973"/>
      <c r="F973"/>
      <c r="G973"/>
      <c r="H973"/>
      <c r="I973"/>
    </row>
    <row r="974" spans="1:9">
      <c r="A974">
        <v>5512</v>
      </c>
      <c r="B974" t="s">
        <v>6116</v>
      </c>
      <c r="C974"/>
      <c r="D974"/>
      <c r="E974"/>
      <c r="F974"/>
      <c r="G974"/>
      <c r="H974"/>
      <c r="I974"/>
    </row>
    <row r="975" spans="1:9">
      <c r="A975">
        <v>5515</v>
      </c>
      <c r="B975" t="s">
        <v>6117</v>
      </c>
      <c r="C975"/>
      <c r="D975"/>
      <c r="E975"/>
      <c r="F975"/>
      <c r="G975"/>
      <c r="H975"/>
      <c r="I975"/>
    </row>
    <row r="976" spans="1:9">
      <c r="A976">
        <v>5519</v>
      </c>
      <c r="B976" t="s">
        <v>6118</v>
      </c>
      <c r="C976"/>
      <c r="D976"/>
      <c r="E976"/>
      <c r="F976"/>
      <c r="G976"/>
      <c r="H976"/>
      <c r="I976"/>
    </row>
    <row r="977" spans="1:9">
      <c r="A977">
        <v>5521</v>
      </c>
      <c r="B977" t="s">
        <v>6119</v>
      </c>
      <c r="C977"/>
      <c r="D977"/>
      <c r="E977"/>
      <c r="F977"/>
      <c r="G977"/>
      <c r="H977"/>
      <c r="I977"/>
    </row>
    <row r="978" spans="1:9">
      <c r="A978">
        <v>5522</v>
      </c>
      <c r="B978" t="s">
        <v>6120</v>
      </c>
      <c r="C978"/>
      <c r="D978"/>
      <c r="E978"/>
      <c r="F978"/>
      <c r="G978"/>
      <c r="H978"/>
      <c r="I978"/>
    </row>
    <row r="979" spans="1:9">
      <c r="A979">
        <v>5523</v>
      </c>
      <c r="B979" t="s">
        <v>6121</v>
      </c>
      <c r="C979"/>
      <c r="D979"/>
      <c r="E979"/>
      <c r="F979"/>
      <c r="G979"/>
      <c r="H979"/>
      <c r="I979"/>
    </row>
    <row r="980" spans="1:9">
      <c r="A980">
        <v>5525</v>
      </c>
      <c r="B980" t="s">
        <v>6122</v>
      </c>
      <c r="C980"/>
      <c r="D980"/>
      <c r="E980"/>
      <c r="F980"/>
      <c r="G980"/>
      <c r="H980"/>
      <c r="I980"/>
    </row>
    <row r="981" spans="1:9">
      <c r="A981">
        <v>5530</v>
      </c>
      <c r="B981" t="s">
        <v>6123</v>
      </c>
      <c r="C981"/>
      <c r="D981"/>
      <c r="E981"/>
      <c r="F981"/>
      <c r="G981"/>
      <c r="H981"/>
      <c r="I981"/>
    </row>
    <row r="982" spans="1:9">
      <c r="A982">
        <v>5531</v>
      </c>
      <c r="B982" t="s">
        <v>6124</v>
      </c>
      <c r="C982"/>
      <c r="D982"/>
      <c r="E982"/>
      <c r="F982"/>
      <c r="G982"/>
      <c r="H982"/>
      <c r="I982"/>
    </row>
    <row r="983" spans="1:9">
      <c r="A983">
        <v>5533</v>
      </c>
      <c r="B983" t="s">
        <v>6125</v>
      </c>
      <c r="C983"/>
      <c r="D983"/>
      <c r="E983"/>
      <c r="F983"/>
      <c r="G983"/>
      <c r="H983"/>
      <c r="I983"/>
    </row>
    <row r="984" spans="1:9">
      <c r="A984">
        <v>5534</v>
      </c>
      <c r="B984" t="s">
        <v>6126</v>
      </c>
      <c r="C984"/>
      <c r="D984"/>
      <c r="E984"/>
      <c r="F984"/>
      <c r="G984"/>
      <c r="H984"/>
      <c r="I984"/>
    </row>
    <row r="985" spans="1:9">
      <c r="A985">
        <v>5536</v>
      </c>
      <c r="B985" t="s">
        <v>6127</v>
      </c>
      <c r="C985"/>
      <c r="D985"/>
      <c r="E985"/>
      <c r="F985"/>
      <c r="G985" t="s">
        <v>6587</v>
      </c>
      <c r="H985"/>
      <c r="I985"/>
    </row>
    <row r="986" spans="1:9">
      <c r="A986">
        <v>5538</v>
      </c>
      <c r="B986" t="s">
        <v>6128</v>
      </c>
      <c r="C986"/>
      <c r="D986"/>
      <c r="E986"/>
      <c r="F986"/>
      <c r="G986"/>
      <c r="H986"/>
      <c r="I986"/>
    </row>
    <row r="987" spans="1:9">
      <c r="A987">
        <v>5543</v>
      </c>
      <c r="B987" t="s">
        <v>6129</v>
      </c>
      <c r="C987"/>
      <c r="D987"/>
      <c r="E987"/>
      <c r="F987"/>
      <c r="G987"/>
      <c r="H987"/>
      <c r="I987"/>
    </row>
    <row r="988" spans="1:9">
      <c r="A988">
        <v>5546</v>
      </c>
      <c r="B988" t="s">
        <v>6130</v>
      </c>
      <c r="C988"/>
      <c r="D988"/>
      <c r="E988"/>
      <c r="F988"/>
      <c r="G988"/>
      <c r="H988"/>
      <c r="I988"/>
    </row>
    <row r="989" spans="1:9">
      <c r="A989">
        <v>5603</v>
      </c>
      <c r="B989" t="s">
        <v>6131</v>
      </c>
      <c r="C989"/>
      <c r="D989"/>
      <c r="E989"/>
      <c r="F989"/>
      <c r="G989"/>
      <c r="H989" t="s">
        <v>6584</v>
      </c>
      <c r="I989"/>
    </row>
    <row r="990" spans="1:9">
      <c r="A990">
        <v>5604</v>
      </c>
      <c r="B990" t="s">
        <v>6132</v>
      </c>
      <c r="C990"/>
      <c r="D990"/>
      <c r="E990"/>
      <c r="F990"/>
      <c r="G990"/>
      <c r="H990"/>
      <c r="I990"/>
    </row>
    <row r="991" spans="1:9">
      <c r="A991">
        <v>5607</v>
      </c>
      <c r="B991" t="s">
        <v>6133</v>
      </c>
      <c r="C991"/>
      <c r="D991"/>
      <c r="E991"/>
      <c r="F991"/>
      <c r="G991"/>
      <c r="H991" t="s">
        <v>6584</v>
      </c>
      <c r="I991"/>
    </row>
    <row r="992" spans="1:9">
      <c r="A992">
        <v>5608</v>
      </c>
      <c r="B992" t="s">
        <v>6134</v>
      </c>
      <c r="C992"/>
      <c r="D992"/>
      <c r="E992"/>
      <c r="F992"/>
      <c r="G992"/>
      <c r="H992"/>
      <c r="I992"/>
    </row>
    <row r="993" spans="1:9">
      <c r="A993">
        <v>5609</v>
      </c>
      <c r="B993" t="s">
        <v>6135</v>
      </c>
      <c r="C993"/>
      <c r="D993"/>
      <c r="E993"/>
      <c r="F993"/>
      <c r="G993"/>
      <c r="H993"/>
      <c r="I993"/>
    </row>
    <row r="994" spans="1:9">
      <c r="A994">
        <v>5706</v>
      </c>
      <c r="B994" t="s">
        <v>6136</v>
      </c>
      <c r="C994"/>
      <c r="D994"/>
      <c r="E994"/>
      <c r="F994"/>
      <c r="G994" t="s">
        <v>6583</v>
      </c>
      <c r="H994" t="s">
        <v>6584</v>
      </c>
      <c r="I994">
        <v>19.760000000000002</v>
      </c>
    </row>
    <row r="995" spans="1:9">
      <c r="A995">
        <v>5820</v>
      </c>
      <c r="B995" t="s">
        <v>6137</v>
      </c>
      <c r="C995"/>
      <c r="D995"/>
      <c r="E995"/>
      <c r="F995"/>
      <c r="G995"/>
      <c r="H995"/>
      <c r="I995"/>
    </row>
    <row r="996" spans="1:9">
      <c r="A996">
        <v>5864</v>
      </c>
      <c r="B996" t="s">
        <v>6138</v>
      </c>
      <c r="C996"/>
      <c r="D996"/>
      <c r="E996"/>
      <c r="F996"/>
      <c r="G996"/>
      <c r="H996"/>
      <c r="I996"/>
    </row>
    <row r="997" spans="1:9">
      <c r="A997">
        <v>5871</v>
      </c>
      <c r="B997" t="s">
        <v>6139</v>
      </c>
      <c r="C997"/>
      <c r="D997"/>
      <c r="E997"/>
      <c r="F997"/>
      <c r="G997"/>
      <c r="H997"/>
      <c r="I997"/>
    </row>
    <row r="998" spans="1:9">
      <c r="A998">
        <v>5876</v>
      </c>
      <c r="B998" t="s">
        <v>6140</v>
      </c>
      <c r="C998"/>
      <c r="D998"/>
      <c r="E998"/>
      <c r="F998"/>
      <c r="G998"/>
      <c r="H998"/>
      <c r="I998"/>
    </row>
    <row r="999" spans="1:9">
      <c r="A999">
        <v>5880</v>
      </c>
      <c r="B999" t="s">
        <v>6141</v>
      </c>
      <c r="C999"/>
      <c r="D999"/>
      <c r="E999"/>
      <c r="F999"/>
      <c r="G999"/>
      <c r="H999"/>
      <c r="I999"/>
    </row>
    <row r="1000" spans="1:9">
      <c r="A1000">
        <v>5902</v>
      </c>
      <c r="B1000" t="s">
        <v>6142</v>
      </c>
      <c r="C1000"/>
      <c r="D1000"/>
      <c r="E1000"/>
      <c r="F1000"/>
      <c r="G1000"/>
      <c r="H1000"/>
      <c r="I1000"/>
    </row>
    <row r="1001" spans="1:9">
      <c r="A1001">
        <v>5903</v>
      </c>
      <c r="B1001" t="s">
        <v>6143</v>
      </c>
      <c r="C1001"/>
      <c r="D1001"/>
      <c r="E1001"/>
      <c r="F1001"/>
      <c r="G1001" t="s">
        <v>6583</v>
      </c>
      <c r="H1001"/>
      <c r="I1001"/>
    </row>
    <row r="1002" spans="1:9">
      <c r="A1002">
        <v>5904</v>
      </c>
      <c r="B1002" t="s">
        <v>6144</v>
      </c>
      <c r="C1002"/>
      <c r="D1002"/>
      <c r="E1002"/>
      <c r="F1002"/>
      <c r="G1002"/>
      <c r="H1002"/>
      <c r="I1002"/>
    </row>
    <row r="1003" spans="1:9">
      <c r="A1003">
        <v>5905</v>
      </c>
      <c r="B1003" t="s">
        <v>6145</v>
      </c>
      <c r="C1003"/>
      <c r="D1003"/>
      <c r="E1003"/>
      <c r="F1003"/>
      <c r="G1003"/>
      <c r="H1003"/>
      <c r="I1003"/>
    </row>
    <row r="1004" spans="1:9">
      <c r="A1004">
        <v>5906</v>
      </c>
      <c r="B1004" t="s">
        <v>6146</v>
      </c>
      <c r="C1004"/>
      <c r="D1004"/>
      <c r="E1004"/>
      <c r="F1004"/>
      <c r="G1004"/>
      <c r="H1004"/>
      <c r="I1004"/>
    </row>
    <row r="1005" spans="1:9">
      <c r="A1005">
        <v>5907</v>
      </c>
      <c r="B1005" t="s">
        <v>6147</v>
      </c>
      <c r="C1005"/>
      <c r="D1005"/>
      <c r="E1005"/>
      <c r="F1005"/>
      <c r="G1005"/>
      <c r="H1005"/>
      <c r="I1005"/>
    </row>
    <row r="1006" spans="1:9">
      <c r="A1006">
        <v>6005</v>
      </c>
      <c r="B1006" t="s">
        <v>6148</v>
      </c>
      <c r="C1006"/>
      <c r="D1006"/>
      <c r="E1006"/>
      <c r="F1006"/>
      <c r="G1006"/>
      <c r="H1006"/>
      <c r="I1006"/>
    </row>
    <row r="1007" spans="1:9">
      <c r="A1007">
        <v>6015</v>
      </c>
      <c r="B1007" t="s">
        <v>6149</v>
      </c>
      <c r="C1007"/>
      <c r="D1007"/>
      <c r="E1007"/>
      <c r="F1007"/>
      <c r="G1007"/>
      <c r="H1007"/>
      <c r="I1007"/>
    </row>
    <row r="1008" spans="1:9">
      <c r="A1008">
        <v>6016</v>
      </c>
      <c r="B1008" t="s">
        <v>6150</v>
      </c>
      <c r="C1008"/>
      <c r="D1008"/>
      <c r="E1008"/>
      <c r="F1008"/>
      <c r="G1008"/>
      <c r="H1008"/>
      <c r="I1008"/>
    </row>
    <row r="1009" spans="1:9">
      <c r="A1009">
        <v>6024</v>
      </c>
      <c r="B1009" t="s">
        <v>6151</v>
      </c>
      <c r="C1009"/>
      <c r="D1009"/>
      <c r="E1009"/>
      <c r="F1009"/>
      <c r="G1009"/>
      <c r="H1009"/>
      <c r="I1009"/>
    </row>
    <row r="1010" spans="1:9">
      <c r="A1010">
        <v>6026</v>
      </c>
      <c r="B1010" t="s">
        <v>6152</v>
      </c>
      <c r="C1010"/>
      <c r="D1010"/>
      <c r="E1010"/>
      <c r="F1010"/>
      <c r="G1010"/>
      <c r="H1010"/>
      <c r="I1010"/>
    </row>
    <row r="1011" spans="1:9">
      <c r="A1011">
        <v>6104</v>
      </c>
      <c r="B1011" t="s">
        <v>6153</v>
      </c>
      <c r="C1011"/>
      <c r="D1011"/>
      <c r="E1011"/>
      <c r="F1011" t="s">
        <v>6585</v>
      </c>
      <c r="G1011" t="s">
        <v>6583</v>
      </c>
      <c r="H1011"/>
      <c r="I1011">
        <v>9.6199999999999992</v>
      </c>
    </row>
    <row r="1012" spans="1:9">
      <c r="A1012">
        <v>6108</v>
      </c>
      <c r="B1012" t="s">
        <v>6154</v>
      </c>
      <c r="C1012"/>
      <c r="D1012"/>
      <c r="E1012"/>
      <c r="F1012"/>
      <c r="G1012"/>
      <c r="H1012"/>
      <c r="I1012"/>
    </row>
    <row r="1013" spans="1:9">
      <c r="A1013">
        <v>6111</v>
      </c>
      <c r="B1013" t="s">
        <v>6155</v>
      </c>
      <c r="C1013"/>
      <c r="D1013"/>
      <c r="E1013"/>
      <c r="F1013"/>
      <c r="G1013"/>
      <c r="H1013"/>
      <c r="I1013">
        <v>5.56</v>
      </c>
    </row>
    <row r="1014" spans="1:9">
      <c r="A1014">
        <v>6112</v>
      </c>
      <c r="B1014" t="s">
        <v>6156</v>
      </c>
      <c r="C1014"/>
      <c r="D1014"/>
      <c r="E1014"/>
      <c r="F1014"/>
      <c r="G1014"/>
      <c r="H1014"/>
      <c r="I1014"/>
    </row>
    <row r="1015" spans="1:9">
      <c r="A1015">
        <v>6114</v>
      </c>
      <c r="B1015" t="s">
        <v>6157</v>
      </c>
      <c r="C1015"/>
      <c r="D1015"/>
      <c r="E1015"/>
      <c r="F1015"/>
      <c r="G1015"/>
      <c r="H1015"/>
      <c r="I1015"/>
    </row>
    <row r="1016" spans="1:9">
      <c r="A1016">
        <v>6115</v>
      </c>
      <c r="B1016" t="s">
        <v>6158</v>
      </c>
      <c r="C1016"/>
      <c r="D1016"/>
      <c r="E1016"/>
      <c r="F1016"/>
      <c r="G1016"/>
      <c r="H1016"/>
      <c r="I1016"/>
    </row>
    <row r="1017" spans="1:9">
      <c r="A1017">
        <v>6116</v>
      </c>
      <c r="B1017" t="s">
        <v>6159</v>
      </c>
      <c r="C1017"/>
      <c r="D1017"/>
      <c r="E1017"/>
      <c r="F1017"/>
      <c r="G1017"/>
      <c r="H1017"/>
      <c r="I1017"/>
    </row>
    <row r="1018" spans="1:9">
      <c r="A1018">
        <v>6117</v>
      </c>
      <c r="B1018" t="s">
        <v>6160</v>
      </c>
      <c r="C1018"/>
      <c r="D1018"/>
      <c r="E1018"/>
      <c r="F1018"/>
      <c r="G1018"/>
      <c r="H1018"/>
      <c r="I1018"/>
    </row>
    <row r="1019" spans="1:9">
      <c r="A1019">
        <v>6118</v>
      </c>
      <c r="B1019" t="s">
        <v>6161</v>
      </c>
      <c r="C1019"/>
      <c r="D1019"/>
      <c r="E1019"/>
      <c r="F1019"/>
      <c r="G1019"/>
      <c r="H1019" t="s">
        <v>6584</v>
      </c>
      <c r="I1019"/>
    </row>
    <row r="1020" spans="1:9">
      <c r="A1020">
        <v>6120</v>
      </c>
      <c r="B1020" t="s">
        <v>6162</v>
      </c>
      <c r="C1020"/>
      <c r="D1020"/>
      <c r="E1020"/>
      <c r="F1020"/>
      <c r="G1020"/>
      <c r="H1020"/>
      <c r="I1020"/>
    </row>
    <row r="1021" spans="1:9">
      <c r="A1021">
        <v>6121</v>
      </c>
      <c r="B1021" t="s">
        <v>6163</v>
      </c>
      <c r="C1021"/>
      <c r="D1021"/>
      <c r="E1021"/>
      <c r="F1021"/>
      <c r="G1021"/>
      <c r="H1021"/>
      <c r="I1021"/>
    </row>
    <row r="1022" spans="1:9">
      <c r="A1022">
        <v>6122</v>
      </c>
      <c r="B1022" t="s">
        <v>6164</v>
      </c>
      <c r="C1022"/>
      <c r="D1022"/>
      <c r="E1022"/>
      <c r="F1022"/>
      <c r="G1022"/>
      <c r="H1022" t="s">
        <v>6584</v>
      </c>
      <c r="I1022">
        <v>5.79</v>
      </c>
    </row>
    <row r="1023" spans="1:9">
      <c r="A1023">
        <v>6123</v>
      </c>
      <c r="B1023" t="s">
        <v>6165</v>
      </c>
      <c r="C1023"/>
      <c r="D1023"/>
      <c r="E1023"/>
      <c r="F1023"/>
      <c r="G1023"/>
      <c r="H1023"/>
      <c r="I1023"/>
    </row>
    <row r="1024" spans="1:9">
      <c r="A1024">
        <v>6125</v>
      </c>
      <c r="B1024" t="s">
        <v>6166</v>
      </c>
      <c r="C1024"/>
      <c r="D1024" t="s">
        <v>6585</v>
      </c>
      <c r="E1024"/>
      <c r="F1024"/>
      <c r="G1024"/>
      <c r="H1024" t="s">
        <v>6584</v>
      </c>
      <c r="I1024"/>
    </row>
    <row r="1025" spans="1:9">
      <c r="A1025">
        <v>6126</v>
      </c>
      <c r="B1025" t="s">
        <v>6167</v>
      </c>
      <c r="C1025"/>
      <c r="D1025"/>
      <c r="E1025"/>
      <c r="F1025"/>
      <c r="G1025"/>
      <c r="H1025"/>
      <c r="I1025"/>
    </row>
    <row r="1026" spans="1:9">
      <c r="A1026">
        <v>6127</v>
      </c>
      <c r="B1026" t="s">
        <v>6168</v>
      </c>
      <c r="C1026"/>
      <c r="D1026"/>
      <c r="E1026"/>
      <c r="F1026"/>
      <c r="G1026"/>
      <c r="H1026"/>
      <c r="I1026"/>
    </row>
    <row r="1027" spans="1:9">
      <c r="A1027">
        <v>6128</v>
      </c>
      <c r="B1027" t="s">
        <v>6169</v>
      </c>
      <c r="C1027"/>
      <c r="D1027"/>
      <c r="E1027"/>
      <c r="F1027"/>
      <c r="G1027"/>
      <c r="H1027"/>
      <c r="I1027"/>
    </row>
    <row r="1028" spans="1:9">
      <c r="A1028">
        <v>6133</v>
      </c>
      <c r="B1028" t="s">
        <v>6170</v>
      </c>
      <c r="C1028"/>
      <c r="D1028"/>
      <c r="E1028"/>
      <c r="F1028"/>
      <c r="G1028"/>
      <c r="H1028"/>
      <c r="I1028"/>
    </row>
    <row r="1029" spans="1:9">
      <c r="A1029">
        <v>6134</v>
      </c>
      <c r="B1029" t="s">
        <v>6171</v>
      </c>
      <c r="C1029" t="s">
        <v>6585</v>
      </c>
      <c r="D1029"/>
      <c r="E1029"/>
      <c r="F1029"/>
      <c r="G1029"/>
      <c r="H1029" t="s">
        <v>6584</v>
      </c>
      <c r="I1029"/>
    </row>
    <row r="1030" spans="1:9">
      <c r="A1030">
        <v>6136</v>
      </c>
      <c r="B1030" t="s">
        <v>6172</v>
      </c>
      <c r="C1030"/>
      <c r="D1030"/>
      <c r="E1030"/>
      <c r="F1030"/>
      <c r="G1030"/>
      <c r="H1030"/>
      <c r="I1030"/>
    </row>
    <row r="1031" spans="1:9">
      <c r="A1031">
        <v>6138</v>
      </c>
      <c r="B1031" t="s">
        <v>6173</v>
      </c>
      <c r="C1031"/>
      <c r="D1031"/>
      <c r="E1031"/>
      <c r="F1031"/>
      <c r="G1031"/>
      <c r="H1031" t="s">
        <v>6584</v>
      </c>
      <c r="I1031"/>
    </row>
    <row r="1032" spans="1:9">
      <c r="A1032">
        <v>6139</v>
      </c>
      <c r="B1032" t="s">
        <v>6174</v>
      </c>
      <c r="C1032"/>
      <c r="D1032"/>
      <c r="E1032"/>
      <c r="F1032"/>
      <c r="G1032"/>
      <c r="H1032"/>
      <c r="I1032"/>
    </row>
    <row r="1033" spans="1:9">
      <c r="A1033">
        <v>6140</v>
      </c>
      <c r="B1033" t="s">
        <v>6175</v>
      </c>
      <c r="C1033"/>
      <c r="D1033"/>
      <c r="E1033"/>
      <c r="F1033"/>
      <c r="G1033"/>
      <c r="H1033"/>
      <c r="I1033"/>
    </row>
    <row r="1034" spans="1:9">
      <c r="A1034">
        <v>6141</v>
      </c>
      <c r="B1034" t="s">
        <v>6176</v>
      </c>
      <c r="C1034"/>
      <c r="D1034"/>
      <c r="E1034"/>
      <c r="F1034"/>
      <c r="G1034"/>
      <c r="H1034"/>
      <c r="I1034"/>
    </row>
    <row r="1035" spans="1:9">
      <c r="A1035">
        <v>6143</v>
      </c>
      <c r="B1035" t="s">
        <v>6177</v>
      </c>
      <c r="C1035"/>
      <c r="D1035"/>
      <c r="E1035"/>
      <c r="F1035"/>
      <c r="G1035"/>
      <c r="H1035"/>
      <c r="I1035"/>
    </row>
    <row r="1036" spans="1:9">
      <c r="A1036">
        <v>6146</v>
      </c>
      <c r="B1036" t="s">
        <v>6178</v>
      </c>
      <c r="C1036"/>
      <c r="D1036"/>
      <c r="E1036"/>
      <c r="F1036"/>
      <c r="G1036"/>
      <c r="H1036"/>
      <c r="I1036"/>
    </row>
    <row r="1037" spans="1:9">
      <c r="A1037">
        <v>6147</v>
      </c>
      <c r="B1037" t="s">
        <v>6179</v>
      </c>
      <c r="C1037"/>
      <c r="D1037"/>
      <c r="E1037"/>
      <c r="F1037"/>
      <c r="G1037"/>
      <c r="H1037"/>
      <c r="I1037"/>
    </row>
    <row r="1038" spans="1:9">
      <c r="A1038">
        <v>6148</v>
      </c>
      <c r="B1038" t="s">
        <v>6180</v>
      </c>
      <c r="C1038"/>
      <c r="D1038"/>
      <c r="E1038"/>
      <c r="F1038"/>
      <c r="G1038"/>
      <c r="H1038"/>
      <c r="I1038"/>
    </row>
    <row r="1039" spans="1:9">
      <c r="A1039">
        <v>6150</v>
      </c>
      <c r="B1039" t="s">
        <v>6181</v>
      </c>
      <c r="C1039"/>
      <c r="D1039"/>
      <c r="E1039"/>
      <c r="F1039"/>
      <c r="G1039" t="s">
        <v>6583</v>
      </c>
      <c r="H1039" t="s">
        <v>6584</v>
      </c>
      <c r="I1039"/>
    </row>
    <row r="1040" spans="1:9">
      <c r="A1040">
        <v>6151</v>
      </c>
      <c r="B1040" t="s">
        <v>6182</v>
      </c>
      <c r="C1040"/>
      <c r="D1040"/>
      <c r="E1040"/>
      <c r="F1040"/>
      <c r="G1040"/>
      <c r="H1040"/>
      <c r="I1040"/>
    </row>
    <row r="1041" spans="1:9">
      <c r="A1041">
        <v>6153</v>
      </c>
      <c r="B1041" t="s">
        <v>6183</v>
      </c>
      <c r="C1041"/>
      <c r="D1041"/>
      <c r="E1041"/>
      <c r="F1041"/>
      <c r="G1041"/>
      <c r="H1041"/>
      <c r="I1041"/>
    </row>
    <row r="1042" spans="1:9">
      <c r="A1042">
        <v>6154</v>
      </c>
      <c r="B1042" t="s">
        <v>6184</v>
      </c>
      <c r="C1042"/>
      <c r="D1042"/>
      <c r="E1042"/>
      <c r="F1042"/>
      <c r="G1042"/>
      <c r="H1042"/>
      <c r="I1042"/>
    </row>
    <row r="1043" spans="1:9">
      <c r="A1043">
        <v>6155</v>
      </c>
      <c r="B1043" t="s">
        <v>6185</v>
      </c>
      <c r="C1043"/>
      <c r="D1043"/>
      <c r="E1043"/>
      <c r="F1043"/>
      <c r="G1043"/>
      <c r="H1043"/>
      <c r="I1043"/>
    </row>
    <row r="1044" spans="1:9">
      <c r="A1044">
        <v>6156</v>
      </c>
      <c r="B1044" t="s">
        <v>6186</v>
      </c>
      <c r="C1044"/>
      <c r="D1044"/>
      <c r="E1044"/>
      <c r="F1044"/>
      <c r="G1044"/>
      <c r="H1044"/>
      <c r="I1044"/>
    </row>
    <row r="1045" spans="1:9">
      <c r="A1045">
        <v>6158</v>
      </c>
      <c r="B1045" t="s">
        <v>6187</v>
      </c>
      <c r="C1045"/>
      <c r="D1045"/>
      <c r="E1045"/>
      <c r="F1045"/>
      <c r="G1045"/>
      <c r="H1045"/>
      <c r="I1045"/>
    </row>
    <row r="1046" spans="1:9">
      <c r="A1046">
        <v>6160</v>
      </c>
      <c r="B1046" t="s">
        <v>6188</v>
      </c>
      <c r="C1046"/>
      <c r="D1046"/>
      <c r="E1046"/>
      <c r="F1046"/>
      <c r="G1046"/>
      <c r="H1046"/>
      <c r="I1046"/>
    </row>
    <row r="1047" spans="1:9">
      <c r="A1047">
        <v>6161</v>
      </c>
      <c r="B1047" t="s">
        <v>6189</v>
      </c>
      <c r="C1047"/>
      <c r="D1047"/>
      <c r="E1047"/>
      <c r="F1047"/>
      <c r="G1047"/>
      <c r="H1047"/>
      <c r="I1047"/>
    </row>
    <row r="1048" spans="1:9">
      <c r="A1048">
        <v>6163</v>
      </c>
      <c r="B1048" t="s">
        <v>6190</v>
      </c>
      <c r="C1048"/>
      <c r="D1048"/>
      <c r="E1048"/>
      <c r="F1048"/>
      <c r="G1048"/>
      <c r="H1048" t="s">
        <v>6584</v>
      </c>
      <c r="I1048"/>
    </row>
    <row r="1049" spans="1:9">
      <c r="A1049">
        <v>6164</v>
      </c>
      <c r="B1049" t="s">
        <v>6191</v>
      </c>
      <c r="C1049"/>
      <c r="D1049"/>
      <c r="E1049"/>
      <c r="F1049"/>
      <c r="G1049"/>
      <c r="H1049"/>
      <c r="I1049"/>
    </row>
    <row r="1050" spans="1:9">
      <c r="A1050">
        <v>6165</v>
      </c>
      <c r="B1050" t="s">
        <v>6192</v>
      </c>
      <c r="C1050"/>
      <c r="D1050"/>
      <c r="E1050"/>
      <c r="F1050"/>
      <c r="G1050"/>
      <c r="H1050"/>
      <c r="I1050"/>
    </row>
    <row r="1051" spans="1:9">
      <c r="A1051">
        <v>6166</v>
      </c>
      <c r="B1051" t="s">
        <v>6193</v>
      </c>
      <c r="C1051"/>
      <c r="D1051"/>
      <c r="E1051"/>
      <c r="F1051"/>
      <c r="G1051"/>
      <c r="H1051"/>
      <c r="I1051"/>
    </row>
    <row r="1052" spans="1:9">
      <c r="A1052">
        <v>6168</v>
      </c>
      <c r="B1052" t="s">
        <v>6194</v>
      </c>
      <c r="C1052"/>
      <c r="D1052"/>
      <c r="E1052"/>
      <c r="F1052"/>
      <c r="G1052"/>
      <c r="H1052"/>
      <c r="I1052"/>
    </row>
    <row r="1053" spans="1:9">
      <c r="A1053">
        <v>6170</v>
      </c>
      <c r="B1053" t="s">
        <v>6195</v>
      </c>
      <c r="C1053"/>
      <c r="D1053"/>
      <c r="E1053"/>
      <c r="F1053"/>
      <c r="G1053"/>
      <c r="H1053"/>
      <c r="I1053"/>
    </row>
    <row r="1054" spans="1:9">
      <c r="A1054">
        <v>6171</v>
      </c>
      <c r="B1054" t="s">
        <v>6605</v>
      </c>
      <c r="C1054"/>
      <c r="D1054"/>
      <c r="E1054"/>
      <c r="F1054"/>
      <c r="G1054"/>
      <c r="H1054"/>
      <c r="I1054"/>
    </row>
    <row r="1055" spans="1:9">
      <c r="A1055">
        <v>6173</v>
      </c>
      <c r="B1055" t="s">
        <v>6196</v>
      </c>
      <c r="C1055"/>
      <c r="D1055"/>
      <c r="E1055"/>
      <c r="F1055"/>
      <c r="G1055"/>
      <c r="H1055"/>
      <c r="I1055"/>
    </row>
    <row r="1056" spans="1:9">
      <c r="A1056">
        <v>6174</v>
      </c>
      <c r="B1056" t="s">
        <v>6197</v>
      </c>
      <c r="C1056"/>
      <c r="D1056"/>
      <c r="E1056"/>
      <c r="F1056"/>
      <c r="G1056"/>
      <c r="H1056"/>
      <c r="I1056"/>
    </row>
    <row r="1057" spans="1:9">
      <c r="A1057">
        <v>6175</v>
      </c>
      <c r="B1057" t="s">
        <v>6198</v>
      </c>
      <c r="C1057"/>
      <c r="D1057"/>
      <c r="E1057"/>
      <c r="F1057"/>
      <c r="G1057"/>
      <c r="H1057"/>
      <c r="I1057"/>
    </row>
    <row r="1058" spans="1:9">
      <c r="A1058">
        <v>6176</v>
      </c>
      <c r="B1058" t="s">
        <v>6199</v>
      </c>
      <c r="C1058"/>
      <c r="D1058"/>
      <c r="E1058"/>
      <c r="F1058"/>
      <c r="G1058"/>
      <c r="H1058"/>
      <c r="I1058"/>
    </row>
    <row r="1059" spans="1:9">
      <c r="A1059">
        <v>6177</v>
      </c>
      <c r="B1059" t="s">
        <v>6200</v>
      </c>
      <c r="C1059"/>
      <c r="D1059"/>
      <c r="E1059"/>
      <c r="F1059"/>
      <c r="G1059" t="s">
        <v>6583</v>
      </c>
      <c r="H1059"/>
      <c r="I1059"/>
    </row>
    <row r="1060" spans="1:9">
      <c r="A1060">
        <v>6179</v>
      </c>
      <c r="B1060" t="s">
        <v>6201</v>
      </c>
      <c r="C1060"/>
      <c r="D1060"/>
      <c r="E1060"/>
      <c r="F1060"/>
      <c r="G1060"/>
      <c r="H1060"/>
      <c r="I1060"/>
    </row>
    <row r="1061" spans="1:9">
      <c r="A1061">
        <v>6180</v>
      </c>
      <c r="B1061" t="s">
        <v>6202</v>
      </c>
      <c r="C1061"/>
      <c r="D1061"/>
      <c r="E1061"/>
      <c r="F1061"/>
      <c r="G1061" t="s">
        <v>6587</v>
      </c>
      <c r="H1061" t="s">
        <v>6584</v>
      </c>
      <c r="I1061"/>
    </row>
    <row r="1062" spans="1:9">
      <c r="A1062">
        <v>6182</v>
      </c>
      <c r="B1062" t="s">
        <v>6203</v>
      </c>
      <c r="C1062"/>
      <c r="D1062" t="s">
        <v>6586</v>
      </c>
      <c r="E1062"/>
      <c r="F1062" t="s">
        <v>6586</v>
      </c>
      <c r="G1062" t="s">
        <v>6587</v>
      </c>
      <c r="H1062" t="s">
        <v>6584</v>
      </c>
      <c r="I1062">
        <v>10.25</v>
      </c>
    </row>
    <row r="1063" spans="1:9">
      <c r="A1063">
        <v>6183</v>
      </c>
      <c r="B1063" t="s">
        <v>6204</v>
      </c>
      <c r="C1063"/>
      <c r="D1063"/>
      <c r="E1063"/>
      <c r="F1063"/>
      <c r="G1063"/>
      <c r="H1063"/>
      <c r="I1063"/>
    </row>
    <row r="1064" spans="1:9">
      <c r="A1064">
        <v>6184</v>
      </c>
      <c r="B1064" t="s">
        <v>6205</v>
      </c>
      <c r="C1064"/>
      <c r="D1064"/>
      <c r="E1064"/>
      <c r="F1064"/>
      <c r="G1064"/>
      <c r="H1064"/>
      <c r="I1064"/>
    </row>
    <row r="1065" spans="1:9">
      <c r="A1065">
        <v>6185</v>
      </c>
      <c r="B1065" t="s">
        <v>6206</v>
      </c>
      <c r="C1065"/>
      <c r="D1065"/>
      <c r="E1065"/>
      <c r="F1065"/>
      <c r="G1065"/>
      <c r="H1065"/>
      <c r="I1065"/>
    </row>
    <row r="1066" spans="1:9">
      <c r="A1066">
        <v>6186</v>
      </c>
      <c r="B1066" t="s">
        <v>6207</v>
      </c>
      <c r="C1066"/>
      <c r="D1066"/>
      <c r="E1066"/>
      <c r="F1066"/>
      <c r="G1066"/>
      <c r="H1066" t="s">
        <v>6584</v>
      </c>
      <c r="I1066"/>
    </row>
    <row r="1067" spans="1:9">
      <c r="A1067">
        <v>6187</v>
      </c>
      <c r="B1067" t="s">
        <v>6208</v>
      </c>
      <c r="C1067"/>
      <c r="D1067" t="s">
        <v>6586</v>
      </c>
      <c r="E1067"/>
      <c r="F1067" t="s">
        <v>6585</v>
      </c>
      <c r="G1067"/>
      <c r="H1067" t="s">
        <v>6584</v>
      </c>
      <c r="I1067"/>
    </row>
    <row r="1068" spans="1:9">
      <c r="A1068">
        <v>6188</v>
      </c>
      <c r="B1068" t="s">
        <v>6209</v>
      </c>
      <c r="C1068"/>
      <c r="D1068"/>
      <c r="E1068"/>
      <c r="F1068"/>
      <c r="G1068"/>
      <c r="H1068"/>
      <c r="I1068"/>
    </row>
    <row r="1069" spans="1:9">
      <c r="A1069">
        <v>6189</v>
      </c>
      <c r="B1069" t="s">
        <v>6210</v>
      </c>
      <c r="C1069"/>
      <c r="D1069"/>
      <c r="E1069"/>
      <c r="F1069"/>
      <c r="G1069" t="s">
        <v>6583</v>
      </c>
      <c r="H1069" t="s">
        <v>6584</v>
      </c>
      <c r="I1069"/>
    </row>
    <row r="1070" spans="1:9">
      <c r="A1070">
        <v>6190</v>
      </c>
      <c r="B1070" t="s">
        <v>6211</v>
      </c>
      <c r="C1070"/>
      <c r="D1070"/>
      <c r="E1070" t="s">
        <v>6585</v>
      </c>
      <c r="F1070"/>
      <c r="G1070"/>
      <c r="H1070"/>
      <c r="I1070">
        <v>11.31</v>
      </c>
    </row>
    <row r="1071" spans="1:9">
      <c r="A1071">
        <v>6191</v>
      </c>
      <c r="B1071" t="s">
        <v>6212</v>
      </c>
      <c r="C1071"/>
      <c r="D1071"/>
      <c r="E1071"/>
      <c r="F1071"/>
      <c r="G1071"/>
      <c r="H1071"/>
      <c r="I1071"/>
    </row>
    <row r="1072" spans="1:9">
      <c r="A1072">
        <v>6192</v>
      </c>
      <c r="B1072" t="s">
        <v>6213</v>
      </c>
      <c r="C1072"/>
      <c r="D1072"/>
      <c r="E1072"/>
      <c r="F1072"/>
      <c r="G1072"/>
      <c r="H1072"/>
      <c r="I1072"/>
    </row>
    <row r="1073" spans="1:9">
      <c r="A1073">
        <v>6195</v>
      </c>
      <c r="B1073" t="s">
        <v>6606</v>
      </c>
      <c r="C1073"/>
      <c r="D1073"/>
      <c r="E1073"/>
      <c r="F1073"/>
      <c r="G1073"/>
      <c r="H1073"/>
      <c r="I1073"/>
    </row>
    <row r="1074" spans="1:9">
      <c r="A1074">
        <v>6196</v>
      </c>
      <c r="B1074" t="s">
        <v>6214</v>
      </c>
      <c r="C1074"/>
      <c r="D1074"/>
      <c r="E1074"/>
      <c r="F1074"/>
      <c r="G1074" t="s">
        <v>6583</v>
      </c>
      <c r="H1074"/>
      <c r="I1074"/>
    </row>
    <row r="1075" spans="1:9">
      <c r="A1075">
        <v>6197</v>
      </c>
      <c r="B1075" t="s">
        <v>6215</v>
      </c>
      <c r="C1075"/>
      <c r="D1075"/>
      <c r="E1075"/>
      <c r="F1075"/>
      <c r="G1075"/>
      <c r="H1075"/>
      <c r="I1075"/>
    </row>
    <row r="1076" spans="1:9">
      <c r="A1076">
        <v>6201</v>
      </c>
      <c r="B1076" t="s">
        <v>6216</v>
      </c>
      <c r="C1076"/>
      <c r="D1076"/>
      <c r="E1076"/>
      <c r="F1076"/>
      <c r="G1076"/>
      <c r="H1076"/>
      <c r="I1076"/>
    </row>
    <row r="1077" spans="1:9">
      <c r="A1077">
        <v>6202</v>
      </c>
      <c r="B1077" t="s">
        <v>6217</v>
      </c>
      <c r="C1077"/>
      <c r="D1077"/>
      <c r="E1077"/>
      <c r="F1077"/>
      <c r="G1077"/>
      <c r="H1077"/>
      <c r="I1077"/>
    </row>
    <row r="1078" spans="1:9">
      <c r="A1078">
        <v>6203</v>
      </c>
      <c r="B1078" t="s">
        <v>6218</v>
      </c>
      <c r="C1078"/>
      <c r="D1078"/>
      <c r="E1078"/>
      <c r="F1078"/>
      <c r="G1078"/>
      <c r="H1078"/>
      <c r="I1078"/>
    </row>
    <row r="1079" spans="1:9">
      <c r="A1079">
        <v>6204</v>
      </c>
      <c r="B1079" t="s">
        <v>6607</v>
      </c>
      <c r="C1079"/>
      <c r="D1079"/>
      <c r="E1079"/>
      <c r="F1079"/>
      <c r="G1079"/>
      <c r="H1079" t="s">
        <v>6584</v>
      </c>
      <c r="I1079"/>
    </row>
    <row r="1080" spans="1:9">
      <c r="A1080">
        <v>6205</v>
      </c>
      <c r="B1080" t="s">
        <v>6219</v>
      </c>
      <c r="C1080"/>
      <c r="D1080" t="s">
        <v>6585</v>
      </c>
      <c r="E1080"/>
      <c r="F1080"/>
      <c r="G1080"/>
      <c r="H1080" t="s">
        <v>6584</v>
      </c>
      <c r="I1080"/>
    </row>
    <row r="1081" spans="1:9">
      <c r="A1081">
        <v>6206</v>
      </c>
      <c r="B1081" t="s">
        <v>6220</v>
      </c>
      <c r="C1081"/>
      <c r="D1081"/>
      <c r="E1081"/>
      <c r="F1081"/>
      <c r="G1081"/>
      <c r="H1081"/>
      <c r="I1081"/>
    </row>
    <row r="1082" spans="1:9">
      <c r="A1082">
        <v>6207</v>
      </c>
      <c r="B1082" t="s">
        <v>6221</v>
      </c>
      <c r="C1082"/>
      <c r="D1082"/>
      <c r="E1082"/>
      <c r="F1082"/>
      <c r="G1082"/>
      <c r="H1082"/>
      <c r="I1082"/>
    </row>
    <row r="1083" spans="1:9">
      <c r="A1083">
        <v>6208</v>
      </c>
      <c r="B1083" t="s">
        <v>6222</v>
      </c>
      <c r="C1083"/>
      <c r="D1083"/>
      <c r="E1083"/>
      <c r="F1083"/>
      <c r="G1083"/>
      <c r="H1083"/>
      <c r="I1083"/>
    </row>
    <row r="1084" spans="1:9">
      <c r="A1084">
        <v>6209</v>
      </c>
      <c r="B1084" t="s">
        <v>6223</v>
      </c>
      <c r="C1084"/>
      <c r="D1084"/>
      <c r="E1084"/>
      <c r="F1084"/>
      <c r="G1084"/>
      <c r="H1084"/>
      <c r="I1084"/>
    </row>
    <row r="1085" spans="1:9">
      <c r="A1085">
        <v>6210</v>
      </c>
      <c r="B1085" t="s">
        <v>6224</v>
      </c>
      <c r="C1085"/>
      <c r="D1085"/>
      <c r="E1085"/>
      <c r="F1085"/>
      <c r="G1085"/>
      <c r="H1085"/>
      <c r="I1085"/>
    </row>
    <row r="1086" spans="1:9">
      <c r="A1086">
        <v>6213</v>
      </c>
      <c r="B1086" t="s">
        <v>6225</v>
      </c>
      <c r="C1086"/>
      <c r="D1086"/>
      <c r="E1086"/>
      <c r="F1086"/>
      <c r="G1086"/>
      <c r="H1086"/>
      <c r="I1086"/>
    </row>
    <row r="1087" spans="1:9">
      <c r="A1087">
        <v>6214</v>
      </c>
      <c r="B1087" t="s">
        <v>6226</v>
      </c>
      <c r="C1087"/>
      <c r="D1087"/>
      <c r="E1087"/>
      <c r="F1087"/>
      <c r="G1087"/>
      <c r="H1087"/>
      <c r="I1087"/>
    </row>
    <row r="1088" spans="1:9">
      <c r="A1088">
        <v>6215</v>
      </c>
      <c r="B1088" t="s">
        <v>6227</v>
      </c>
      <c r="C1088"/>
      <c r="D1088"/>
      <c r="E1088"/>
      <c r="F1088"/>
      <c r="G1088"/>
      <c r="H1088"/>
      <c r="I1088"/>
    </row>
    <row r="1089" spans="1:9">
      <c r="A1089">
        <v>6216</v>
      </c>
      <c r="B1089" t="s">
        <v>6228</v>
      </c>
      <c r="C1089"/>
      <c r="D1089"/>
      <c r="E1089"/>
      <c r="F1089"/>
      <c r="G1089"/>
      <c r="H1089"/>
      <c r="I1089"/>
    </row>
    <row r="1090" spans="1:9">
      <c r="A1090">
        <v>6217</v>
      </c>
      <c r="B1090" t="s">
        <v>6229</v>
      </c>
      <c r="C1090" t="s">
        <v>6585</v>
      </c>
      <c r="D1090" t="s">
        <v>6585</v>
      </c>
      <c r="E1090" t="s">
        <v>6585</v>
      </c>
      <c r="F1090"/>
      <c r="G1090"/>
      <c r="H1090" t="s">
        <v>6584</v>
      </c>
      <c r="I1090">
        <v>16.95</v>
      </c>
    </row>
    <row r="1091" spans="1:9">
      <c r="A1091">
        <v>6218</v>
      </c>
      <c r="B1091" t="s">
        <v>6230</v>
      </c>
      <c r="C1091"/>
      <c r="D1091"/>
      <c r="E1091"/>
      <c r="F1091"/>
      <c r="G1091"/>
      <c r="H1091"/>
      <c r="I1091"/>
    </row>
    <row r="1092" spans="1:9">
      <c r="A1092">
        <v>6219</v>
      </c>
      <c r="B1092" t="s">
        <v>6231</v>
      </c>
      <c r="C1092"/>
      <c r="D1092"/>
      <c r="E1092"/>
      <c r="F1092"/>
      <c r="G1092"/>
      <c r="H1092"/>
      <c r="I1092"/>
    </row>
    <row r="1093" spans="1:9">
      <c r="A1093">
        <v>6220</v>
      </c>
      <c r="B1093" t="s">
        <v>6232</v>
      </c>
      <c r="C1093"/>
      <c r="D1093"/>
      <c r="E1093"/>
      <c r="F1093"/>
      <c r="G1093"/>
      <c r="H1093"/>
      <c r="I1093"/>
    </row>
    <row r="1094" spans="1:9">
      <c r="A1094">
        <v>6223</v>
      </c>
      <c r="B1094" t="s">
        <v>6233</v>
      </c>
      <c r="C1094"/>
      <c r="D1094"/>
      <c r="E1094"/>
      <c r="F1094"/>
      <c r="G1094"/>
      <c r="H1094"/>
      <c r="I1094"/>
    </row>
    <row r="1095" spans="1:9">
      <c r="A1095">
        <v>6224</v>
      </c>
      <c r="B1095" t="s">
        <v>6234</v>
      </c>
      <c r="C1095"/>
      <c r="D1095"/>
      <c r="E1095"/>
      <c r="F1095"/>
      <c r="G1095"/>
      <c r="H1095"/>
      <c r="I1095"/>
    </row>
    <row r="1096" spans="1:9">
      <c r="A1096">
        <v>6226</v>
      </c>
      <c r="B1096" t="s">
        <v>6235</v>
      </c>
      <c r="C1096"/>
      <c r="D1096"/>
      <c r="E1096"/>
      <c r="F1096"/>
      <c r="G1096" t="s">
        <v>6583</v>
      </c>
      <c r="H1096"/>
      <c r="I1096"/>
    </row>
    <row r="1097" spans="1:9">
      <c r="A1097">
        <v>6227</v>
      </c>
      <c r="B1097" t="s">
        <v>6236</v>
      </c>
      <c r="C1097"/>
      <c r="D1097"/>
      <c r="E1097"/>
      <c r="F1097"/>
      <c r="G1097"/>
      <c r="H1097"/>
      <c r="I1097"/>
    </row>
    <row r="1098" spans="1:9">
      <c r="A1098">
        <v>6229</v>
      </c>
      <c r="B1098" t="s">
        <v>6237</v>
      </c>
      <c r="C1098"/>
      <c r="D1098"/>
      <c r="E1098"/>
      <c r="F1098"/>
      <c r="G1098"/>
      <c r="H1098"/>
      <c r="I1098"/>
    </row>
    <row r="1099" spans="1:9">
      <c r="A1099">
        <v>6230</v>
      </c>
      <c r="B1099" t="s">
        <v>6238</v>
      </c>
      <c r="C1099"/>
      <c r="D1099"/>
      <c r="E1099"/>
      <c r="F1099"/>
      <c r="G1099"/>
      <c r="H1099"/>
      <c r="I1099"/>
    </row>
    <row r="1100" spans="1:9">
      <c r="A1100">
        <v>6231</v>
      </c>
      <c r="B1100" t="s">
        <v>6239</v>
      </c>
      <c r="C1100"/>
      <c r="D1100"/>
      <c r="E1100"/>
      <c r="F1100"/>
      <c r="G1100" t="s">
        <v>6583</v>
      </c>
      <c r="H1100"/>
      <c r="I1100"/>
    </row>
    <row r="1101" spans="1:9">
      <c r="A1101">
        <v>6233</v>
      </c>
      <c r="B1101" t="s">
        <v>6240</v>
      </c>
      <c r="C1101"/>
      <c r="D1101"/>
      <c r="E1101"/>
      <c r="F1101"/>
      <c r="G1101"/>
      <c r="H1101"/>
      <c r="I1101"/>
    </row>
    <row r="1102" spans="1:9">
      <c r="A1102">
        <v>6234</v>
      </c>
      <c r="B1102" t="s">
        <v>6241</v>
      </c>
      <c r="C1102"/>
      <c r="D1102"/>
      <c r="E1102"/>
      <c r="F1102"/>
      <c r="G1102"/>
      <c r="H1102"/>
      <c r="I1102"/>
    </row>
    <row r="1103" spans="1:9">
      <c r="A1103">
        <v>6235</v>
      </c>
      <c r="B1103" t="s">
        <v>6242</v>
      </c>
      <c r="C1103" t="s">
        <v>6585</v>
      </c>
      <c r="D1103" t="s">
        <v>6585</v>
      </c>
      <c r="E1103"/>
      <c r="F1103"/>
      <c r="G1103" t="s">
        <v>6583</v>
      </c>
      <c r="H1103" t="s">
        <v>6584</v>
      </c>
      <c r="I1103">
        <v>15.66</v>
      </c>
    </row>
    <row r="1104" spans="1:9">
      <c r="A1104">
        <v>6237</v>
      </c>
      <c r="B1104" t="s">
        <v>6243</v>
      </c>
      <c r="C1104"/>
      <c r="D1104"/>
      <c r="E1104"/>
      <c r="F1104"/>
      <c r="G1104"/>
      <c r="H1104" t="s">
        <v>6584</v>
      </c>
      <c r="I1104"/>
    </row>
    <row r="1105" spans="1:9">
      <c r="A1105">
        <v>6239</v>
      </c>
      <c r="B1105" t="s">
        <v>6244</v>
      </c>
      <c r="C1105"/>
      <c r="D1105"/>
      <c r="E1105"/>
      <c r="F1105"/>
      <c r="G1105"/>
      <c r="H1105"/>
      <c r="I1105"/>
    </row>
    <row r="1106" spans="1:9">
      <c r="A1106">
        <v>6240</v>
      </c>
      <c r="B1106" t="s">
        <v>6245</v>
      </c>
      <c r="C1106"/>
      <c r="D1106"/>
      <c r="E1106"/>
      <c r="F1106"/>
      <c r="G1106" t="s">
        <v>6583</v>
      </c>
      <c r="H1106" t="s">
        <v>6584</v>
      </c>
      <c r="I1106">
        <v>5.39</v>
      </c>
    </row>
    <row r="1107" spans="1:9">
      <c r="A1107">
        <v>6243</v>
      </c>
      <c r="B1107" t="s">
        <v>6246</v>
      </c>
      <c r="C1107"/>
      <c r="D1107"/>
      <c r="E1107"/>
      <c r="F1107"/>
      <c r="G1107"/>
      <c r="H1107"/>
      <c r="I1107"/>
    </row>
    <row r="1108" spans="1:9">
      <c r="A1108">
        <v>6245</v>
      </c>
      <c r="B1108" t="s">
        <v>6247</v>
      </c>
      <c r="C1108"/>
      <c r="D1108"/>
      <c r="E1108"/>
      <c r="F1108"/>
      <c r="G1108" t="s">
        <v>6583</v>
      </c>
      <c r="H1108"/>
      <c r="I1108"/>
    </row>
    <row r="1109" spans="1:9">
      <c r="A1109">
        <v>6246</v>
      </c>
      <c r="B1109" t="s">
        <v>6248</v>
      </c>
      <c r="C1109"/>
      <c r="D1109"/>
      <c r="E1109"/>
      <c r="F1109"/>
      <c r="G1109"/>
      <c r="H1109"/>
      <c r="I1109"/>
    </row>
    <row r="1110" spans="1:9">
      <c r="A1110">
        <v>6248</v>
      </c>
      <c r="B1110" t="s">
        <v>6249</v>
      </c>
      <c r="C1110"/>
      <c r="D1110"/>
      <c r="E1110"/>
      <c r="F1110"/>
      <c r="G1110"/>
      <c r="H1110"/>
      <c r="I1110"/>
    </row>
    <row r="1111" spans="1:9">
      <c r="A1111">
        <v>6251</v>
      </c>
      <c r="B1111" t="s">
        <v>6250</v>
      </c>
      <c r="C1111"/>
      <c r="D1111" t="s">
        <v>6585</v>
      </c>
      <c r="E1111"/>
      <c r="F1111"/>
      <c r="G1111"/>
      <c r="H1111"/>
      <c r="I1111">
        <v>6.16</v>
      </c>
    </row>
    <row r="1112" spans="1:9">
      <c r="A1112">
        <v>6257</v>
      </c>
      <c r="B1112" t="s">
        <v>6251</v>
      </c>
      <c r="C1112"/>
      <c r="D1112"/>
      <c r="E1112"/>
      <c r="F1112"/>
      <c r="G1112"/>
      <c r="H1112"/>
      <c r="I1112"/>
    </row>
    <row r="1113" spans="1:9">
      <c r="A1113">
        <v>6261</v>
      </c>
      <c r="B1113" t="s">
        <v>6252</v>
      </c>
      <c r="C1113"/>
      <c r="D1113"/>
      <c r="E1113"/>
      <c r="F1113"/>
      <c r="G1113"/>
      <c r="H1113"/>
      <c r="I1113"/>
    </row>
    <row r="1114" spans="1:9">
      <c r="A1114">
        <v>6263</v>
      </c>
      <c r="B1114" t="s">
        <v>6253</v>
      </c>
      <c r="C1114"/>
      <c r="D1114"/>
      <c r="E1114"/>
      <c r="F1114"/>
      <c r="G1114"/>
      <c r="H1114"/>
      <c r="I1114"/>
    </row>
    <row r="1115" spans="1:9">
      <c r="A1115">
        <v>6265</v>
      </c>
      <c r="B1115" t="s">
        <v>6254</v>
      </c>
      <c r="C1115"/>
      <c r="D1115"/>
      <c r="E1115"/>
      <c r="F1115"/>
      <c r="G1115"/>
      <c r="H1115"/>
      <c r="I1115"/>
    </row>
    <row r="1116" spans="1:9">
      <c r="A1116">
        <v>6266</v>
      </c>
      <c r="B1116" t="s">
        <v>6255</v>
      </c>
      <c r="C1116"/>
      <c r="D1116"/>
      <c r="E1116"/>
      <c r="F1116"/>
      <c r="G1116"/>
      <c r="H1116"/>
      <c r="I1116"/>
    </row>
    <row r="1117" spans="1:9">
      <c r="A1117">
        <v>6269</v>
      </c>
      <c r="B1117" t="s">
        <v>6256</v>
      </c>
      <c r="C1117"/>
      <c r="D1117"/>
      <c r="E1117"/>
      <c r="F1117"/>
      <c r="G1117" t="s">
        <v>6583</v>
      </c>
      <c r="H1117"/>
      <c r="I1117"/>
    </row>
    <row r="1118" spans="1:9">
      <c r="A1118">
        <v>6270</v>
      </c>
      <c r="B1118" t="s">
        <v>6257</v>
      </c>
      <c r="C1118"/>
      <c r="D1118"/>
      <c r="E1118"/>
      <c r="F1118"/>
      <c r="G1118"/>
      <c r="H1118"/>
      <c r="I1118"/>
    </row>
    <row r="1119" spans="1:9">
      <c r="A1119">
        <v>6271</v>
      </c>
      <c r="B1119" t="s">
        <v>6258</v>
      </c>
      <c r="C1119"/>
      <c r="D1119"/>
      <c r="E1119"/>
      <c r="F1119"/>
      <c r="G1119"/>
      <c r="H1119" t="s">
        <v>6584</v>
      </c>
      <c r="I1119"/>
    </row>
    <row r="1120" spans="1:9">
      <c r="A1120">
        <v>6274</v>
      </c>
      <c r="B1120" t="s">
        <v>6259</v>
      </c>
      <c r="C1120"/>
      <c r="D1120"/>
      <c r="E1120"/>
      <c r="F1120"/>
      <c r="G1120" t="s">
        <v>6587</v>
      </c>
      <c r="H1120"/>
      <c r="I1120"/>
    </row>
    <row r="1121" spans="1:9">
      <c r="A1121">
        <v>6275</v>
      </c>
      <c r="B1121" t="s">
        <v>6260</v>
      </c>
      <c r="C1121"/>
      <c r="D1121"/>
      <c r="E1121"/>
      <c r="F1121"/>
      <c r="G1121"/>
      <c r="H1121"/>
      <c r="I1121"/>
    </row>
    <row r="1122" spans="1:9">
      <c r="A1122">
        <v>6276</v>
      </c>
      <c r="B1122" t="s">
        <v>6261</v>
      </c>
      <c r="C1122"/>
      <c r="D1122"/>
      <c r="E1122"/>
      <c r="F1122"/>
      <c r="G1122"/>
      <c r="H1122"/>
      <c r="I1122"/>
    </row>
    <row r="1123" spans="1:9">
      <c r="A1123">
        <v>6277</v>
      </c>
      <c r="B1123" t="s">
        <v>6262</v>
      </c>
      <c r="C1123"/>
      <c r="D1123"/>
      <c r="E1123"/>
      <c r="F1123"/>
      <c r="G1123"/>
      <c r="H1123"/>
      <c r="I1123"/>
    </row>
    <row r="1124" spans="1:9">
      <c r="A1124">
        <v>6278</v>
      </c>
      <c r="B1124" t="s">
        <v>6263</v>
      </c>
      <c r="C1124"/>
      <c r="D1124"/>
      <c r="E1124"/>
      <c r="F1124"/>
      <c r="G1124"/>
      <c r="H1124"/>
      <c r="I1124"/>
    </row>
    <row r="1125" spans="1:9">
      <c r="A1125">
        <v>6279</v>
      </c>
      <c r="B1125" t="s">
        <v>6264</v>
      </c>
      <c r="C1125"/>
      <c r="D1125"/>
      <c r="E1125"/>
      <c r="F1125"/>
      <c r="G1125"/>
      <c r="H1125"/>
      <c r="I1125"/>
    </row>
    <row r="1126" spans="1:9">
      <c r="A1126">
        <v>6281</v>
      </c>
      <c r="B1126" t="s">
        <v>6265</v>
      </c>
      <c r="C1126"/>
      <c r="D1126"/>
      <c r="E1126"/>
      <c r="F1126"/>
      <c r="G1126"/>
      <c r="H1126"/>
      <c r="I1126"/>
    </row>
    <row r="1127" spans="1:9">
      <c r="A1127">
        <v>6282</v>
      </c>
      <c r="B1127" t="s">
        <v>6266</v>
      </c>
      <c r="C1127"/>
      <c r="D1127"/>
      <c r="E1127"/>
      <c r="F1127"/>
      <c r="G1127"/>
      <c r="H1127"/>
      <c r="I1127"/>
    </row>
    <row r="1128" spans="1:9">
      <c r="A1128">
        <v>6283</v>
      </c>
      <c r="B1128" t="s">
        <v>6267</v>
      </c>
      <c r="C1128"/>
      <c r="D1128"/>
      <c r="E1128"/>
      <c r="F1128"/>
      <c r="G1128"/>
      <c r="H1128" t="s">
        <v>6584</v>
      </c>
      <c r="I1128"/>
    </row>
    <row r="1129" spans="1:9">
      <c r="A1129">
        <v>6284</v>
      </c>
      <c r="B1129" t="s">
        <v>6268</v>
      </c>
      <c r="C1129"/>
      <c r="D1129"/>
      <c r="E1129"/>
      <c r="F1129"/>
      <c r="G1129"/>
      <c r="H1129"/>
      <c r="I1129"/>
    </row>
    <row r="1130" spans="1:9">
      <c r="A1130">
        <v>6285</v>
      </c>
      <c r="B1130" t="s">
        <v>6269</v>
      </c>
      <c r="C1130"/>
      <c r="D1130"/>
      <c r="E1130"/>
      <c r="F1130"/>
      <c r="G1130"/>
      <c r="H1130"/>
      <c r="I1130"/>
    </row>
    <row r="1131" spans="1:9">
      <c r="A1131">
        <v>6288</v>
      </c>
      <c r="B1131" t="s">
        <v>6270</v>
      </c>
      <c r="C1131"/>
      <c r="D1131"/>
      <c r="E1131"/>
      <c r="F1131"/>
      <c r="G1131"/>
      <c r="H1131"/>
      <c r="I1131"/>
    </row>
    <row r="1132" spans="1:9">
      <c r="A1132">
        <v>6290</v>
      </c>
      <c r="B1132" t="s">
        <v>6271</v>
      </c>
      <c r="C1132"/>
      <c r="D1132"/>
      <c r="E1132"/>
      <c r="F1132"/>
      <c r="G1132"/>
      <c r="H1132"/>
      <c r="I1132"/>
    </row>
    <row r="1133" spans="1:9">
      <c r="A1133">
        <v>6292</v>
      </c>
      <c r="B1133" t="s">
        <v>6272</v>
      </c>
      <c r="C1133"/>
      <c r="D1133"/>
      <c r="E1133"/>
      <c r="F1133"/>
      <c r="G1133"/>
      <c r="H1133"/>
      <c r="I1133"/>
    </row>
    <row r="1134" spans="1:9">
      <c r="A1134">
        <v>6294</v>
      </c>
      <c r="B1134" t="s">
        <v>6608</v>
      </c>
      <c r="C1134"/>
      <c r="D1134"/>
      <c r="E1134"/>
      <c r="F1134"/>
      <c r="G1134"/>
      <c r="H1134"/>
      <c r="I1134"/>
    </row>
    <row r="1135" spans="1:9">
      <c r="A1135">
        <v>6405</v>
      </c>
      <c r="B1135" t="s">
        <v>6273</v>
      </c>
      <c r="C1135"/>
      <c r="D1135"/>
      <c r="E1135"/>
      <c r="F1135"/>
      <c r="G1135" t="s">
        <v>6583</v>
      </c>
      <c r="H1135"/>
      <c r="I1135"/>
    </row>
    <row r="1136" spans="1:9">
      <c r="A1136">
        <v>6409</v>
      </c>
      <c r="B1136" t="s">
        <v>6274</v>
      </c>
      <c r="C1136"/>
      <c r="D1136"/>
      <c r="E1136"/>
      <c r="F1136"/>
      <c r="G1136"/>
      <c r="H1136"/>
      <c r="I1136"/>
    </row>
    <row r="1137" spans="1:9">
      <c r="A1137">
        <v>6411</v>
      </c>
      <c r="B1137" t="s">
        <v>6275</v>
      </c>
      <c r="C1137"/>
      <c r="D1137"/>
      <c r="E1137"/>
      <c r="F1137"/>
      <c r="G1137"/>
      <c r="H1137"/>
      <c r="I1137"/>
    </row>
    <row r="1138" spans="1:9">
      <c r="A1138">
        <v>6412</v>
      </c>
      <c r="B1138" t="s">
        <v>6276</v>
      </c>
      <c r="C1138"/>
      <c r="D1138"/>
      <c r="E1138"/>
      <c r="F1138"/>
      <c r="G1138" t="s">
        <v>6583</v>
      </c>
      <c r="H1138"/>
      <c r="I1138"/>
    </row>
    <row r="1139" spans="1:9">
      <c r="A1139">
        <v>6414</v>
      </c>
      <c r="B1139" t="s">
        <v>6277</v>
      </c>
      <c r="C1139"/>
      <c r="D1139"/>
      <c r="E1139"/>
      <c r="F1139"/>
      <c r="G1139"/>
      <c r="H1139" t="s">
        <v>6584</v>
      </c>
      <c r="I1139"/>
    </row>
    <row r="1140" spans="1:9">
      <c r="A1140">
        <v>6415</v>
      </c>
      <c r="B1140" t="s">
        <v>6278</v>
      </c>
      <c r="C1140"/>
      <c r="D1140"/>
      <c r="E1140"/>
      <c r="F1140"/>
      <c r="G1140" t="s">
        <v>6583</v>
      </c>
      <c r="H1140"/>
      <c r="I1140"/>
    </row>
    <row r="1141" spans="1:9">
      <c r="A1141">
        <v>6416</v>
      </c>
      <c r="B1141" t="s">
        <v>6279</v>
      </c>
      <c r="C1141"/>
      <c r="D1141"/>
      <c r="E1141"/>
      <c r="F1141"/>
      <c r="G1141"/>
      <c r="H1141"/>
      <c r="I1141"/>
    </row>
    <row r="1142" spans="1:9">
      <c r="A1142">
        <v>6418</v>
      </c>
      <c r="B1142" t="s">
        <v>6280</v>
      </c>
      <c r="C1142" t="s">
        <v>6585</v>
      </c>
      <c r="D1142"/>
      <c r="E1142"/>
      <c r="F1142"/>
      <c r="G1142"/>
      <c r="H1142"/>
      <c r="I1142">
        <v>16.73</v>
      </c>
    </row>
    <row r="1143" spans="1:9">
      <c r="A1143">
        <v>6426</v>
      </c>
      <c r="B1143" t="s">
        <v>6281</v>
      </c>
      <c r="C1143"/>
      <c r="D1143"/>
      <c r="E1143"/>
      <c r="F1143"/>
      <c r="G1143"/>
      <c r="H1143"/>
      <c r="I1143"/>
    </row>
    <row r="1144" spans="1:9">
      <c r="A1144">
        <v>6432</v>
      </c>
      <c r="B1144" t="s">
        <v>6282</v>
      </c>
      <c r="C1144"/>
      <c r="D1144"/>
      <c r="E1144"/>
      <c r="F1144"/>
      <c r="G1144"/>
      <c r="H1144"/>
      <c r="I1144"/>
    </row>
    <row r="1145" spans="1:9">
      <c r="A1145">
        <v>6435</v>
      </c>
      <c r="B1145" t="s">
        <v>6283</v>
      </c>
      <c r="C1145"/>
      <c r="D1145" t="s">
        <v>6585</v>
      </c>
      <c r="E1145"/>
      <c r="F1145"/>
      <c r="G1145"/>
      <c r="H1145"/>
      <c r="I1145"/>
    </row>
    <row r="1146" spans="1:9">
      <c r="A1146">
        <v>6438</v>
      </c>
      <c r="B1146" t="s">
        <v>6284</v>
      </c>
      <c r="C1146"/>
      <c r="D1146" t="s">
        <v>6586</v>
      </c>
      <c r="E1146"/>
      <c r="F1146"/>
      <c r="G1146"/>
      <c r="H1146"/>
      <c r="I1146"/>
    </row>
    <row r="1147" spans="1:9">
      <c r="A1147">
        <v>6441</v>
      </c>
      <c r="B1147" t="s">
        <v>6285</v>
      </c>
      <c r="C1147"/>
      <c r="D1147"/>
      <c r="E1147"/>
      <c r="F1147"/>
      <c r="G1147"/>
      <c r="H1147"/>
      <c r="I1147"/>
    </row>
    <row r="1148" spans="1:9">
      <c r="A1148">
        <v>6442</v>
      </c>
      <c r="B1148" t="s">
        <v>6286</v>
      </c>
      <c r="C1148"/>
      <c r="D1148"/>
      <c r="E1148"/>
      <c r="F1148"/>
      <c r="G1148"/>
      <c r="H1148"/>
      <c r="I1148"/>
    </row>
    <row r="1149" spans="1:9">
      <c r="A1149">
        <v>6443</v>
      </c>
      <c r="B1149" t="s">
        <v>6287</v>
      </c>
      <c r="C1149"/>
      <c r="D1149"/>
      <c r="E1149"/>
      <c r="F1149"/>
      <c r="G1149"/>
      <c r="H1149"/>
      <c r="I1149">
        <v>5.25</v>
      </c>
    </row>
    <row r="1150" spans="1:9">
      <c r="A1150">
        <v>6449</v>
      </c>
      <c r="B1150" t="s">
        <v>6288</v>
      </c>
      <c r="C1150"/>
      <c r="D1150"/>
      <c r="E1150"/>
      <c r="F1150"/>
      <c r="G1150"/>
      <c r="H1150"/>
      <c r="I1150"/>
    </row>
    <row r="1151" spans="1:9">
      <c r="A1151">
        <v>6451</v>
      </c>
      <c r="B1151" t="s">
        <v>6289</v>
      </c>
      <c r="C1151"/>
      <c r="D1151"/>
      <c r="E1151"/>
      <c r="F1151"/>
      <c r="G1151"/>
      <c r="H1151" t="s">
        <v>6584</v>
      </c>
      <c r="I1151"/>
    </row>
    <row r="1152" spans="1:9">
      <c r="A1152">
        <v>6456</v>
      </c>
      <c r="B1152" t="s">
        <v>6290</v>
      </c>
      <c r="C1152"/>
      <c r="D1152"/>
      <c r="E1152"/>
      <c r="F1152"/>
      <c r="G1152"/>
      <c r="H1152"/>
      <c r="I1152"/>
    </row>
    <row r="1153" spans="1:9">
      <c r="A1153">
        <v>6457</v>
      </c>
      <c r="B1153" t="s">
        <v>6291</v>
      </c>
      <c r="C1153"/>
      <c r="D1153"/>
      <c r="E1153"/>
      <c r="F1153"/>
      <c r="G1153"/>
      <c r="H1153" t="s">
        <v>6584</v>
      </c>
      <c r="I1153"/>
    </row>
    <row r="1154" spans="1:9">
      <c r="A1154">
        <v>6461</v>
      </c>
      <c r="B1154" t="s">
        <v>6292</v>
      </c>
      <c r="C1154"/>
      <c r="D1154"/>
      <c r="E1154"/>
      <c r="F1154"/>
      <c r="G1154"/>
      <c r="H1154"/>
      <c r="I1154"/>
    </row>
    <row r="1155" spans="1:9">
      <c r="A1155">
        <v>6462</v>
      </c>
      <c r="B1155" t="s">
        <v>6293</v>
      </c>
      <c r="C1155"/>
      <c r="D1155"/>
      <c r="E1155"/>
      <c r="F1155"/>
      <c r="G1155"/>
      <c r="H1155"/>
      <c r="I1155"/>
    </row>
    <row r="1156" spans="1:9">
      <c r="A1156">
        <v>6464</v>
      </c>
      <c r="B1156" t="s">
        <v>6294</v>
      </c>
      <c r="C1156"/>
      <c r="D1156"/>
      <c r="E1156"/>
      <c r="F1156"/>
      <c r="G1156"/>
      <c r="H1156"/>
      <c r="I1156"/>
    </row>
    <row r="1157" spans="1:9">
      <c r="A1157">
        <v>6469</v>
      </c>
      <c r="B1157" t="s">
        <v>6295</v>
      </c>
      <c r="C1157"/>
      <c r="D1157"/>
      <c r="E1157"/>
      <c r="F1157"/>
      <c r="G1157"/>
      <c r="H1157"/>
      <c r="I1157"/>
    </row>
    <row r="1158" spans="1:9">
      <c r="A1158">
        <v>6470</v>
      </c>
      <c r="B1158" t="s">
        <v>6609</v>
      </c>
      <c r="C1158"/>
      <c r="D1158"/>
      <c r="E1158"/>
      <c r="F1158"/>
      <c r="G1158"/>
      <c r="H1158"/>
      <c r="I1158"/>
    </row>
    <row r="1159" spans="1:9">
      <c r="A1159">
        <v>6472</v>
      </c>
      <c r="B1159" t="s">
        <v>6296</v>
      </c>
      <c r="C1159"/>
      <c r="D1159"/>
      <c r="E1159"/>
      <c r="F1159"/>
      <c r="G1159"/>
      <c r="H1159"/>
      <c r="I1159"/>
    </row>
    <row r="1160" spans="1:9">
      <c r="A1160">
        <v>6477</v>
      </c>
      <c r="B1160" t="s">
        <v>6297</v>
      </c>
      <c r="C1160" t="s">
        <v>6586</v>
      </c>
      <c r="D1160"/>
      <c r="E1160"/>
      <c r="F1160" t="s">
        <v>6586</v>
      </c>
      <c r="G1160"/>
      <c r="H1160" t="s">
        <v>6584</v>
      </c>
      <c r="I1160">
        <v>12.4</v>
      </c>
    </row>
    <row r="1161" spans="1:9">
      <c r="A1161">
        <v>6485</v>
      </c>
      <c r="B1161" t="s">
        <v>6298</v>
      </c>
      <c r="C1161"/>
      <c r="D1161"/>
      <c r="E1161" t="s">
        <v>6586</v>
      </c>
      <c r="F1161"/>
      <c r="G1161"/>
      <c r="H1161" t="s">
        <v>6584</v>
      </c>
      <c r="I1161">
        <v>7.97</v>
      </c>
    </row>
    <row r="1162" spans="1:9">
      <c r="A1162">
        <v>6486</v>
      </c>
      <c r="B1162" t="s">
        <v>6299</v>
      </c>
      <c r="C1162"/>
      <c r="D1162"/>
      <c r="E1162"/>
      <c r="F1162"/>
      <c r="G1162"/>
      <c r="H1162"/>
      <c r="I1162"/>
    </row>
    <row r="1163" spans="1:9">
      <c r="A1163">
        <v>6488</v>
      </c>
      <c r="B1163" t="s">
        <v>6300</v>
      </c>
      <c r="C1163"/>
      <c r="D1163"/>
      <c r="E1163"/>
      <c r="F1163"/>
      <c r="G1163"/>
      <c r="H1163" t="s">
        <v>6584</v>
      </c>
      <c r="I1163"/>
    </row>
    <row r="1164" spans="1:9">
      <c r="A1164">
        <v>6491</v>
      </c>
      <c r="B1164" t="s">
        <v>6301</v>
      </c>
      <c r="C1164"/>
      <c r="D1164"/>
      <c r="E1164"/>
      <c r="F1164"/>
      <c r="G1164"/>
      <c r="H1164"/>
      <c r="I1164"/>
    </row>
    <row r="1165" spans="1:9">
      <c r="A1165">
        <v>6494</v>
      </c>
      <c r="B1165" t="s">
        <v>6302</v>
      </c>
      <c r="C1165"/>
      <c r="D1165"/>
      <c r="E1165"/>
      <c r="F1165"/>
      <c r="G1165" t="s">
        <v>6583</v>
      </c>
      <c r="H1165"/>
      <c r="I1165">
        <v>5.13</v>
      </c>
    </row>
    <row r="1166" spans="1:9">
      <c r="A1166">
        <v>6499</v>
      </c>
      <c r="B1166" t="s">
        <v>6303</v>
      </c>
      <c r="C1166"/>
      <c r="D1166"/>
      <c r="E1166"/>
      <c r="F1166"/>
      <c r="G1166"/>
      <c r="H1166"/>
      <c r="I1166"/>
    </row>
    <row r="1167" spans="1:9">
      <c r="A1167">
        <v>6504</v>
      </c>
      <c r="B1167" t="s">
        <v>6304</v>
      </c>
      <c r="C1167"/>
      <c r="D1167"/>
      <c r="E1167"/>
      <c r="F1167"/>
      <c r="G1167" t="s">
        <v>6587</v>
      </c>
      <c r="H1167"/>
      <c r="I1167"/>
    </row>
    <row r="1168" spans="1:9">
      <c r="A1168">
        <v>6505</v>
      </c>
      <c r="B1168" t="s">
        <v>6305</v>
      </c>
      <c r="C1168"/>
      <c r="D1168"/>
      <c r="E1168"/>
      <c r="F1168"/>
      <c r="G1168"/>
      <c r="H1168"/>
      <c r="I1168"/>
    </row>
    <row r="1169" spans="1:9">
      <c r="A1169">
        <v>6506</v>
      </c>
      <c r="B1169" t="s">
        <v>6306</v>
      </c>
      <c r="C1169"/>
      <c r="D1169"/>
      <c r="E1169"/>
      <c r="F1169"/>
      <c r="G1169"/>
      <c r="H1169"/>
      <c r="I1169"/>
    </row>
    <row r="1170" spans="1:9">
      <c r="A1170">
        <v>6508</v>
      </c>
      <c r="B1170" t="s">
        <v>6307</v>
      </c>
      <c r="C1170" t="s">
        <v>6585</v>
      </c>
      <c r="D1170"/>
      <c r="E1170"/>
      <c r="F1170"/>
      <c r="G1170"/>
      <c r="H1170" t="s">
        <v>6584</v>
      </c>
      <c r="I1170">
        <v>15.2</v>
      </c>
    </row>
    <row r="1171" spans="1:9">
      <c r="A1171">
        <v>6509</v>
      </c>
      <c r="B1171" t="s">
        <v>6308</v>
      </c>
      <c r="C1171"/>
      <c r="D1171" t="s">
        <v>6585</v>
      </c>
      <c r="E1171"/>
      <c r="F1171"/>
      <c r="G1171"/>
      <c r="H1171" t="s">
        <v>6584</v>
      </c>
      <c r="I1171"/>
    </row>
    <row r="1172" spans="1:9">
      <c r="A1172">
        <v>6510</v>
      </c>
      <c r="B1172" t="s">
        <v>6309</v>
      </c>
      <c r="C1172"/>
      <c r="D1172"/>
      <c r="E1172"/>
      <c r="F1172"/>
      <c r="G1172"/>
      <c r="H1172" t="s">
        <v>6584</v>
      </c>
      <c r="I1172"/>
    </row>
    <row r="1173" spans="1:9">
      <c r="A1173">
        <v>6514</v>
      </c>
      <c r="B1173" t="s">
        <v>6310</v>
      </c>
      <c r="C1173" t="s">
        <v>6585</v>
      </c>
      <c r="D1173"/>
      <c r="E1173"/>
      <c r="F1173"/>
      <c r="G1173"/>
      <c r="H1173"/>
      <c r="I1173">
        <v>9.52</v>
      </c>
    </row>
    <row r="1174" spans="1:9">
      <c r="A1174">
        <v>6515</v>
      </c>
      <c r="B1174" t="s">
        <v>6311</v>
      </c>
      <c r="C1174"/>
      <c r="D1174" t="s">
        <v>6586</v>
      </c>
      <c r="E1174"/>
      <c r="F1174"/>
      <c r="G1174" t="s">
        <v>6583</v>
      </c>
      <c r="H1174" t="s">
        <v>6584</v>
      </c>
      <c r="I1174"/>
    </row>
    <row r="1175" spans="1:9">
      <c r="A1175">
        <v>6516</v>
      </c>
      <c r="B1175" t="s">
        <v>6312</v>
      </c>
      <c r="C1175"/>
      <c r="D1175"/>
      <c r="E1175"/>
      <c r="F1175"/>
      <c r="G1175"/>
      <c r="H1175"/>
      <c r="I1175"/>
    </row>
    <row r="1176" spans="1:9">
      <c r="A1176">
        <v>6523</v>
      </c>
      <c r="B1176" t="s">
        <v>6313</v>
      </c>
      <c r="C1176"/>
      <c r="D1176"/>
      <c r="E1176"/>
      <c r="F1176"/>
      <c r="G1176" t="s">
        <v>6583</v>
      </c>
      <c r="H1176"/>
      <c r="I1176"/>
    </row>
    <row r="1177" spans="1:9">
      <c r="A1177">
        <v>6525</v>
      </c>
      <c r="B1177" t="s">
        <v>6314</v>
      </c>
      <c r="C1177"/>
      <c r="D1177"/>
      <c r="E1177"/>
      <c r="F1177"/>
      <c r="G1177"/>
      <c r="H1177"/>
      <c r="I1177"/>
    </row>
    <row r="1178" spans="1:9">
      <c r="A1178">
        <v>6530</v>
      </c>
      <c r="B1178" t="s">
        <v>6315</v>
      </c>
      <c r="C1178"/>
      <c r="D1178"/>
      <c r="E1178"/>
      <c r="F1178"/>
      <c r="G1178"/>
      <c r="H1178"/>
      <c r="I1178"/>
    </row>
    <row r="1179" spans="1:9">
      <c r="A1179">
        <v>6531</v>
      </c>
      <c r="B1179" t="s">
        <v>6316</v>
      </c>
      <c r="C1179"/>
      <c r="D1179"/>
      <c r="E1179"/>
      <c r="F1179"/>
      <c r="G1179"/>
      <c r="H1179"/>
      <c r="I1179"/>
    </row>
    <row r="1180" spans="1:9">
      <c r="A1180">
        <v>6532</v>
      </c>
      <c r="B1180" t="s">
        <v>6317</v>
      </c>
      <c r="C1180"/>
      <c r="D1180"/>
      <c r="E1180"/>
      <c r="F1180"/>
      <c r="G1180"/>
      <c r="H1180"/>
      <c r="I1180"/>
    </row>
    <row r="1181" spans="1:9">
      <c r="A1181">
        <v>6533</v>
      </c>
      <c r="B1181" t="s">
        <v>6318</v>
      </c>
      <c r="C1181"/>
      <c r="D1181"/>
      <c r="E1181"/>
      <c r="F1181"/>
      <c r="G1181"/>
      <c r="H1181"/>
      <c r="I1181"/>
    </row>
    <row r="1182" spans="1:9">
      <c r="A1182">
        <v>6538</v>
      </c>
      <c r="B1182" t="s">
        <v>6319</v>
      </c>
      <c r="C1182"/>
      <c r="D1182"/>
      <c r="E1182"/>
      <c r="F1182"/>
      <c r="G1182"/>
      <c r="H1182"/>
      <c r="I1182"/>
    </row>
    <row r="1183" spans="1:9">
      <c r="A1183">
        <v>6542</v>
      </c>
      <c r="B1183" t="s">
        <v>6320</v>
      </c>
      <c r="C1183"/>
      <c r="D1183"/>
      <c r="E1183"/>
      <c r="F1183"/>
      <c r="G1183"/>
      <c r="H1183"/>
      <c r="I1183"/>
    </row>
    <row r="1184" spans="1:9">
      <c r="A1184">
        <v>6548</v>
      </c>
      <c r="B1184" t="s">
        <v>6321</v>
      </c>
      <c r="C1184"/>
      <c r="D1184" t="s">
        <v>6585</v>
      </c>
      <c r="E1184"/>
      <c r="F1184"/>
      <c r="G1184" t="s">
        <v>6583</v>
      </c>
      <c r="H1184"/>
      <c r="I1184"/>
    </row>
    <row r="1185" spans="1:9">
      <c r="A1185">
        <v>6552</v>
      </c>
      <c r="B1185" t="s">
        <v>6322</v>
      </c>
      <c r="C1185"/>
      <c r="D1185"/>
      <c r="E1185"/>
      <c r="F1185"/>
      <c r="G1185"/>
      <c r="H1185"/>
      <c r="I1185"/>
    </row>
    <row r="1186" spans="1:9">
      <c r="A1186">
        <v>6558</v>
      </c>
      <c r="B1186" t="s">
        <v>6323</v>
      </c>
      <c r="C1186"/>
      <c r="D1186"/>
      <c r="E1186"/>
      <c r="F1186"/>
      <c r="G1186"/>
      <c r="H1186"/>
      <c r="I1186"/>
    </row>
    <row r="1187" spans="1:9">
      <c r="A1187">
        <v>6561</v>
      </c>
      <c r="B1187" t="s">
        <v>6324</v>
      </c>
      <c r="C1187"/>
      <c r="D1187"/>
      <c r="E1187"/>
      <c r="F1187"/>
      <c r="G1187"/>
      <c r="H1187"/>
      <c r="I1187"/>
    </row>
    <row r="1188" spans="1:9">
      <c r="A1188">
        <v>6570</v>
      </c>
      <c r="B1188" t="s">
        <v>6325</v>
      </c>
      <c r="C1188"/>
      <c r="D1188"/>
      <c r="E1188"/>
      <c r="F1188"/>
      <c r="G1188"/>
      <c r="H1188"/>
      <c r="I1188"/>
    </row>
    <row r="1189" spans="1:9">
      <c r="A1189">
        <v>6573</v>
      </c>
      <c r="B1189" t="s">
        <v>6326</v>
      </c>
      <c r="C1189"/>
      <c r="D1189"/>
      <c r="E1189"/>
      <c r="F1189"/>
      <c r="G1189"/>
      <c r="H1189"/>
      <c r="I1189"/>
    </row>
    <row r="1190" spans="1:9">
      <c r="A1190">
        <v>6577</v>
      </c>
      <c r="B1190" t="s">
        <v>6327</v>
      </c>
      <c r="C1190"/>
      <c r="D1190"/>
      <c r="E1190"/>
      <c r="F1190"/>
      <c r="G1190"/>
      <c r="H1190"/>
      <c r="I1190"/>
    </row>
    <row r="1191" spans="1:9">
      <c r="A1191">
        <v>6578</v>
      </c>
      <c r="B1191" t="s">
        <v>6328</v>
      </c>
      <c r="C1191"/>
      <c r="D1191"/>
      <c r="E1191"/>
      <c r="F1191"/>
      <c r="G1191"/>
      <c r="H1191"/>
      <c r="I1191"/>
    </row>
    <row r="1192" spans="1:9">
      <c r="A1192">
        <v>6579</v>
      </c>
      <c r="B1192" t="s">
        <v>6329</v>
      </c>
      <c r="C1192"/>
      <c r="D1192"/>
      <c r="E1192"/>
      <c r="F1192"/>
      <c r="G1192"/>
      <c r="H1192"/>
      <c r="I1192"/>
    </row>
    <row r="1193" spans="1:9">
      <c r="A1193">
        <v>6581</v>
      </c>
      <c r="B1193" t="s">
        <v>6330</v>
      </c>
      <c r="C1193"/>
      <c r="D1193"/>
      <c r="E1193"/>
      <c r="F1193"/>
      <c r="G1193"/>
      <c r="H1193"/>
      <c r="I1193"/>
    </row>
    <row r="1194" spans="1:9">
      <c r="A1194">
        <v>6582</v>
      </c>
      <c r="B1194" t="s">
        <v>6331</v>
      </c>
      <c r="C1194"/>
      <c r="D1194"/>
      <c r="E1194"/>
      <c r="F1194"/>
      <c r="G1194"/>
      <c r="H1194" t="s">
        <v>6584</v>
      </c>
      <c r="I1194"/>
    </row>
    <row r="1195" spans="1:9">
      <c r="A1195">
        <v>6591</v>
      </c>
      <c r="B1195" t="s">
        <v>6332</v>
      </c>
      <c r="C1195"/>
      <c r="D1195"/>
      <c r="E1195"/>
      <c r="F1195"/>
      <c r="G1195"/>
      <c r="H1195"/>
      <c r="I1195"/>
    </row>
    <row r="1196" spans="1:9">
      <c r="A1196">
        <v>6592</v>
      </c>
      <c r="B1196" t="s">
        <v>6333</v>
      </c>
      <c r="C1196"/>
      <c r="D1196"/>
      <c r="E1196"/>
      <c r="F1196"/>
      <c r="G1196"/>
      <c r="H1196"/>
      <c r="I1196"/>
    </row>
    <row r="1197" spans="1:9">
      <c r="A1197">
        <v>6598</v>
      </c>
      <c r="B1197" t="s">
        <v>6334</v>
      </c>
      <c r="C1197"/>
      <c r="D1197"/>
      <c r="E1197"/>
      <c r="F1197"/>
      <c r="G1197"/>
      <c r="H1197"/>
      <c r="I1197"/>
    </row>
    <row r="1198" spans="1:9">
      <c r="A1198">
        <v>6603</v>
      </c>
      <c r="B1198" t="s">
        <v>6335</v>
      </c>
      <c r="C1198"/>
      <c r="D1198"/>
      <c r="E1198"/>
      <c r="F1198"/>
      <c r="G1198"/>
      <c r="H1198"/>
      <c r="I1198"/>
    </row>
    <row r="1199" spans="1:9">
      <c r="A1199">
        <v>6605</v>
      </c>
      <c r="B1199" t="s">
        <v>6336</v>
      </c>
      <c r="C1199"/>
      <c r="D1199"/>
      <c r="E1199"/>
      <c r="F1199"/>
      <c r="G1199"/>
      <c r="H1199"/>
      <c r="I1199"/>
    </row>
    <row r="1200" spans="1:9">
      <c r="A1200">
        <v>6609</v>
      </c>
      <c r="B1200" t="s">
        <v>6337</v>
      </c>
      <c r="C1200"/>
      <c r="D1200"/>
      <c r="E1200"/>
      <c r="F1200"/>
      <c r="G1200"/>
      <c r="H1200"/>
      <c r="I1200"/>
    </row>
    <row r="1201" spans="1:9">
      <c r="A1201">
        <v>6612</v>
      </c>
      <c r="B1201" t="s">
        <v>6338</v>
      </c>
      <c r="C1201"/>
      <c r="D1201" t="s">
        <v>6585</v>
      </c>
      <c r="E1201"/>
      <c r="F1201"/>
      <c r="G1201"/>
      <c r="H1201"/>
      <c r="I1201">
        <v>5.5</v>
      </c>
    </row>
    <row r="1202" spans="1:9">
      <c r="A1202">
        <v>6613</v>
      </c>
      <c r="B1202" t="s">
        <v>6339</v>
      </c>
      <c r="C1202"/>
      <c r="D1202"/>
      <c r="E1202"/>
      <c r="F1202"/>
      <c r="G1202"/>
      <c r="H1202"/>
      <c r="I1202"/>
    </row>
    <row r="1203" spans="1:9">
      <c r="A1203">
        <v>6625</v>
      </c>
      <c r="B1203" t="s">
        <v>6340</v>
      </c>
      <c r="C1203"/>
      <c r="D1203"/>
      <c r="E1203"/>
      <c r="F1203"/>
      <c r="G1203"/>
      <c r="H1203"/>
      <c r="I1203"/>
    </row>
    <row r="1204" spans="1:9">
      <c r="A1204">
        <v>6641</v>
      </c>
      <c r="B1204" t="s">
        <v>6341</v>
      </c>
      <c r="C1204"/>
      <c r="D1204"/>
      <c r="E1204"/>
      <c r="F1204"/>
      <c r="G1204"/>
      <c r="H1204"/>
      <c r="I1204"/>
    </row>
    <row r="1205" spans="1:9">
      <c r="A1205">
        <v>6643</v>
      </c>
      <c r="B1205" t="s">
        <v>6342</v>
      </c>
      <c r="C1205"/>
      <c r="D1205"/>
      <c r="E1205"/>
      <c r="F1205"/>
      <c r="G1205"/>
      <c r="H1205"/>
      <c r="I1205"/>
    </row>
    <row r="1206" spans="1:9">
      <c r="A1206">
        <v>6651</v>
      </c>
      <c r="B1206" t="s">
        <v>6343</v>
      </c>
      <c r="C1206"/>
      <c r="D1206"/>
      <c r="E1206"/>
      <c r="F1206"/>
      <c r="G1206" t="s">
        <v>6587</v>
      </c>
      <c r="H1206"/>
      <c r="I1206"/>
    </row>
    <row r="1207" spans="1:9">
      <c r="A1207">
        <v>6654</v>
      </c>
      <c r="B1207" t="s">
        <v>6344</v>
      </c>
      <c r="C1207"/>
      <c r="D1207"/>
      <c r="E1207"/>
      <c r="F1207"/>
      <c r="G1207"/>
      <c r="H1207"/>
      <c r="I1207"/>
    </row>
    <row r="1208" spans="1:9">
      <c r="A1208">
        <v>6655</v>
      </c>
      <c r="B1208" t="s">
        <v>6345</v>
      </c>
      <c r="C1208"/>
      <c r="D1208"/>
      <c r="E1208"/>
      <c r="F1208"/>
      <c r="G1208"/>
      <c r="H1208"/>
      <c r="I1208"/>
    </row>
    <row r="1209" spans="1:9">
      <c r="A1209">
        <v>6664</v>
      </c>
      <c r="B1209" t="s">
        <v>6346</v>
      </c>
      <c r="C1209"/>
      <c r="D1209"/>
      <c r="E1209"/>
      <c r="F1209"/>
      <c r="G1209"/>
      <c r="H1209"/>
      <c r="I1209"/>
    </row>
    <row r="1210" spans="1:9">
      <c r="A1210">
        <v>6666</v>
      </c>
      <c r="B1210" t="s">
        <v>6347</v>
      </c>
      <c r="C1210"/>
      <c r="D1210"/>
      <c r="E1210"/>
      <c r="F1210"/>
      <c r="G1210"/>
      <c r="H1210"/>
      <c r="I1210"/>
    </row>
    <row r="1211" spans="1:9">
      <c r="A1211">
        <v>6667</v>
      </c>
      <c r="B1211" t="s">
        <v>6348</v>
      </c>
      <c r="C1211"/>
      <c r="D1211"/>
      <c r="E1211"/>
      <c r="F1211"/>
      <c r="G1211" t="s">
        <v>6583</v>
      </c>
      <c r="H1211"/>
      <c r="I1211">
        <v>5.0999999999999996</v>
      </c>
    </row>
    <row r="1212" spans="1:9">
      <c r="A1212">
        <v>6668</v>
      </c>
      <c r="B1212" t="s">
        <v>6349</v>
      </c>
      <c r="C1212"/>
      <c r="D1212"/>
      <c r="E1212"/>
      <c r="F1212"/>
      <c r="G1212"/>
      <c r="H1212" t="s">
        <v>6584</v>
      </c>
      <c r="I1212"/>
    </row>
    <row r="1213" spans="1:9">
      <c r="A1213">
        <v>6669</v>
      </c>
      <c r="B1213" t="s">
        <v>6350</v>
      </c>
      <c r="C1213"/>
      <c r="D1213"/>
      <c r="E1213"/>
      <c r="F1213"/>
      <c r="G1213"/>
      <c r="H1213"/>
      <c r="I1213"/>
    </row>
    <row r="1214" spans="1:9">
      <c r="A1214">
        <v>6670</v>
      </c>
      <c r="B1214" t="s">
        <v>6351</v>
      </c>
      <c r="C1214"/>
      <c r="D1214"/>
      <c r="E1214"/>
      <c r="F1214"/>
      <c r="G1214"/>
      <c r="H1214"/>
      <c r="I1214"/>
    </row>
    <row r="1215" spans="1:9">
      <c r="A1215">
        <v>6671</v>
      </c>
      <c r="B1215" t="s">
        <v>6352</v>
      </c>
      <c r="C1215"/>
      <c r="D1215"/>
      <c r="E1215"/>
      <c r="F1215"/>
      <c r="G1215"/>
      <c r="H1215"/>
      <c r="I1215"/>
    </row>
    <row r="1216" spans="1:9">
      <c r="A1216">
        <v>6672</v>
      </c>
      <c r="B1216" t="s">
        <v>6353</v>
      </c>
      <c r="C1216"/>
      <c r="D1216"/>
      <c r="E1216"/>
      <c r="F1216"/>
      <c r="G1216"/>
      <c r="H1216"/>
      <c r="I1216"/>
    </row>
    <row r="1217" spans="1:9">
      <c r="A1217">
        <v>6674</v>
      </c>
      <c r="B1217" t="s">
        <v>6354</v>
      </c>
      <c r="C1217"/>
      <c r="D1217"/>
      <c r="E1217"/>
      <c r="F1217"/>
      <c r="G1217"/>
      <c r="H1217"/>
      <c r="I1217"/>
    </row>
    <row r="1218" spans="1:9">
      <c r="A1218">
        <v>6679</v>
      </c>
      <c r="B1218" t="s">
        <v>6355</v>
      </c>
      <c r="C1218"/>
      <c r="D1218"/>
      <c r="E1218"/>
      <c r="F1218" t="s">
        <v>6586</v>
      </c>
      <c r="G1218"/>
      <c r="H1218" t="s">
        <v>6584</v>
      </c>
      <c r="I1218"/>
    </row>
    <row r="1219" spans="1:9">
      <c r="A1219">
        <v>6698</v>
      </c>
      <c r="B1219" t="s">
        <v>6356</v>
      </c>
      <c r="C1219"/>
      <c r="D1219"/>
      <c r="E1219"/>
      <c r="F1219"/>
      <c r="G1219"/>
      <c r="H1219"/>
      <c r="I1219"/>
    </row>
    <row r="1220" spans="1:9">
      <c r="A1220">
        <v>6706</v>
      </c>
      <c r="B1220" t="s">
        <v>6357</v>
      </c>
      <c r="C1220"/>
      <c r="D1220"/>
      <c r="E1220"/>
      <c r="F1220"/>
      <c r="G1220"/>
      <c r="H1220"/>
      <c r="I1220"/>
    </row>
    <row r="1221" spans="1:9">
      <c r="A1221">
        <v>6715</v>
      </c>
      <c r="B1221" t="s">
        <v>6358</v>
      </c>
      <c r="C1221"/>
      <c r="D1221"/>
      <c r="E1221"/>
      <c r="F1221"/>
      <c r="G1221"/>
      <c r="H1221"/>
      <c r="I1221"/>
    </row>
    <row r="1222" spans="1:9">
      <c r="A1222">
        <v>6732</v>
      </c>
      <c r="B1222" t="s">
        <v>6359</v>
      </c>
      <c r="C1222"/>
      <c r="D1222"/>
      <c r="E1222"/>
      <c r="F1222"/>
      <c r="G1222"/>
      <c r="H1222" t="s">
        <v>6584</v>
      </c>
      <c r="I1222"/>
    </row>
    <row r="1223" spans="1:9">
      <c r="A1223">
        <v>6741</v>
      </c>
      <c r="B1223" t="s">
        <v>6360</v>
      </c>
      <c r="C1223"/>
      <c r="D1223"/>
      <c r="E1223"/>
      <c r="F1223"/>
      <c r="G1223"/>
      <c r="H1223"/>
      <c r="I1223"/>
    </row>
    <row r="1224" spans="1:9">
      <c r="A1224">
        <v>6743</v>
      </c>
      <c r="B1224" t="s">
        <v>6361</v>
      </c>
      <c r="C1224"/>
      <c r="D1224"/>
      <c r="E1224"/>
      <c r="F1224"/>
      <c r="G1224"/>
      <c r="H1224"/>
      <c r="I1224"/>
    </row>
    <row r="1225" spans="1:9">
      <c r="A1225">
        <v>6754</v>
      </c>
      <c r="B1225" t="s">
        <v>6362</v>
      </c>
      <c r="C1225"/>
      <c r="D1225"/>
      <c r="E1225"/>
      <c r="F1225"/>
      <c r="G1225"/>
      <c r="H1225"/>
      <c r="I1225"/>
    </row>
    <row r="1226" spans="1:9">
      <c r="A1226">
        <v>6756</v>
      </c>
      <c r="B1226" t="s">
        <v>6363</v>
      </c>
      <c r="C1226"/>
      <c r="D1226"/>
      <c r="E1226"/>
      <c r="F1226"/>
      <c r="G1226"/>
      <c r="H1226"/>
      <c r="I1226"/>
    </row>
    <row r="1227" spans="1:9">
      <c r="A1227">
        <v>6768</v>
      </c>
      <c r="B1227" t="s">
        <v>6364</v>
      </c>
      <c r="C1227"/>
      <c r="D1227"/>
      <c r="E1227"/>
      <c r="F1227"/>
      <c r="G1227"/>
      <c r="H1227"/>
      <c r="I1227"/>
    </row>
    <row r="1228" spans="1:9">
      <c r="A1228">
        <v>6776</v>
      </c>
      <c r="B1228" t="s">
        <v>6365</v>
      </c>
      <c r="C1228"/>
      <c r="D1228"/>
      <c r="E1228"/>
      <c r="F1228"/>
      <c r="G1228"/>
      <c r="H1228"/>
      <c r="I1228"/>
    </row>
    <row r="1229" spans="1:9">
      <c r="A1229">
        <v>6781</v>
      </c>
      <c r="B1229" t="s">
        <v>6366</v>
      </c>
      <c r="C1229"/>
      <c r="D1229"/>
      <c r="E1229"/>
      <c r="F1229"/>
      <c r="G1229"/>
      <c r="H1229"/>
      <c r="I1229"/>
    </row>
    <row r="1230" spans="1:9">
      <c r="A1230">
        <v>6803</v>
      </c>
      <c r="B1230" t="s">
        <v>6367</v>
      </c>
      <c r="C1230"/>
      <c r="D1230"/>
      <c r="E1230"/>
      <c r="F1230"/>
      <c r="G1230"/>
      <c r="H1230"/>
      <c r="I1230"/>
    </row>
    <row r="1231" spans="1:9">
      <c r="A1231">
        <v>8011</v>
      </c>
      <c r="B1231" t="s">
        <v>6368</v>
      </c>
      <c r="C1231"/>
      <c r="D1231"/>
      <c r="E1231"/>
      <c r="F1231"/>
      <c r="G1231"/>
      <c r="H1231"/>
      <c r="I1231"/>
    </row>
    <row r="1232" spans="1:9">
      <c r="A1232">
        <v>8016</v>
      </c>
      <c r="B1232" t="s">
        <v>6369</v>
      </c>
      <c r="C1232"/>
      <c r="D1232"/>
      <c r="E1232"/>
      <c r="F1232"/>
      <c r="G1232"/>
      <c r="H1232" t="s">
        <v>6584</v>
      </c>
      <c r="I1232"/>
    </row>
    <row r="1233" spans="1:9">
      <c r="A1233">
        <v>8021</v>
      </c>
      <c r="B1233" t="s">
        <v>6370</v>
      </c>
      <c r="C1233"/>
      <c r="D1233"/>
      <c r="E1233"/>
      <c r="F1233"/>
      <c r="G1233"/>
      <c r="H1233"/>
      <c r="I1233"/>
    </row>
    <row r="1234" spans="1:9">
      <c r="A1234">
        <v>8024</v>
      </c>
      <c r="B1234" t="s">
        <v>6371</v>
      </c>
      <c r="C1234" t="s">
        <v>6585</v>
      </c>
      <c r="D1234"/>
      <c r="E1234"/>
      <c r="F1234"/>
      <c r="G1234" t="s">
        <v>6583</v>
      </c>
      <c r="H1234"/>
      <c r="I1234">
        <v>7.16</v>
      </c>
    </row>
    <row r="1235" spans="1:9">
      <c r="A1235">
        <v>8027</v>
      </c>
      <c r="B1235" t="s">
        <v>6372</v>
      </c>
      <c r="C1235"/>
      <c r="D1235"/>
      <c r="E1235"/>
      <c r="F1235"/>
      <c r="G1235"/>
      <c r="H1235"/>
      <c r="I1235"/>
    </row>
    <row r="1236" spans="1:9">
      <c r="A1236">
        <v>8028</v>
      </c>
      <c r="B1236" t="s">
        <v>6373</v>
      </c>
      <c r="C1236" t="s">
        <v>6585</v>
      </c>
      <c r="D1236" t="s">
        <v>6585</v>
      </c>
      <c r="E1236"/>
      <c r="F1236"/>
      <c r="G1236" t="s">
        <v>6583</v>
      </c>
      <c r="H1236"/>
      <c r="I1236">
        <v>15.32</v>
      </c>
    </row>
    <row r="1237" spans="1:9">
      <c r="A1237">
        <v>8032</v>
      </c>
      <c r="B1237" t="s">
        <v>6610</v>
      </c>
      <c r="C1237"/>
      <c r="D1237"/>
      <c r="E1237"/>
      <c r="F1237"/>
      <c r="G1237"/>
      <c r="H1237"/>
      <c r="I1237"/>
    </row>
    <row r="1238" spans="1:9">
      <c r="A1238">
        <v>8034</v>
      </c>
      <c r="B1238" t="s">
        <v>6374</v>
      </c>
      <c r="C1238"/>
      <c r="D1238"/>
      <c r="E1238"/>
      <c r="F1238"/>
      <c r="G1238" t="s">
        <v>6587</v>
      </c>
      <c r="H1238"/>
      <c r="I1238"/>
    </row>
    <row r="1239" spans="1:9">
      <c r="A1239">
        <v>8039</v>
      </c>
      <c r="B1239" t="s">
        <v>6375</v>
      </c>
      <c r="C1239"/>
      <c r="D1239"/>
      <c r="E1239"/>
      <c r="F1239"/>
      <c r="G1239"/>
      <c r="H1239"/>
      <c r="I1239"/>
    </row>
    <row r="1240" spans="1:9">
      <c r="A1240">
        <v>8040</v>
      </c>
      <c r="B1240" t="s">
        <v>6376</v>
      </c>
      <c r="C1240"/>
      <c r="D1240" t="s">
        <v>6586</v>
      </c>
      <c r="E1240"/>
      <c r="F1240"/>
      <c r="G1240" t="s">
        <v>6583</v>
      </c>
      <c r="H1240" t="s">
        <v>6584</v>
      </c>
      <c r="I1240">
        <v>5.82</v>
      </c>
    </row>
    <row r="1241" spans="1:9">
      <c r="A1241">
        <v>8042</v>
      </c>
      <c r="B1241" t="s">
        <v>6611</v>
      </c>
      <c r="C1241"/>
      <c r="D1241"/>
      <c r="E1241"/>
      <c r="F1241"/>
      <c r="G1241"/>
      <c r="H1241"/>
      <c r="I1241"/>
    </row>
    <row r="1242" spans="1:9">
      <c r="A1242">
        <v>8043</v>
      </c>
      <c r="B1242" t="s">
        <v>6377</v>
      </c>
      <c r="C1242"/>
      <c r="D1242"/>
      <c r="E1242"/>
      <c r="F1242"/>
      <c r="G1242"/>
      <c r="H1242"/>
      <c r="I1242"/>
    </row>
    <row r="1243" spans="1:9">
      <c r="A1243">
        <v>8044</v>
      </c>
      <c r="B1243" t="s">
        <v>6378</v>
      </c>
      <c r="C1243"/>
      <c r="D1243"/>
      <c r="E1243"/>
      <c r="F1243"/>
      <c r="G1243"/>
      <c r="H1243" t="s">
        <v>6584</v>
      </c>
      <c r="I1243"/>
    </row>
    <row r="1244" spans="1:9">
      <c r="A1244">
        <v>8046</v>
      </c>
      <c r="B1244" t="s">
        <v>6379</v>
      </c>
      <c r="C1244"/>
      <c r="D1244"/>
      <c r="E1244"/>
      <c r="F1244"/>
      <c r="G1244"/>
      <c r="H1244"/>
      <c r="I1244"/>
    </row>
    <row r="1245" spans="1:9">
      <c r="A1245">
        <v>8047</v>
      </c>
      <c r="B1245" t="s">
        <v>6612</v>
      </c>
      <c r="C1245"/>
      <c r="D1245"/>
      <c r="E1245"/>
      <c r="F1245"/>
      <c r="G1245"/>
      <c r="H1245"/>
      <c r="I1245"/>
    </row>
    <row r="1246" spans="1:9">
      <c r="A1246">
        <v>8048</v>
      </c>
      <c r="B1246" t="s">
        <v>6380</v>
      </c>
      <c r="C1246"/>
      <c r="D1246"/>
      <c r="E1246"/>
      <c r="F1246"/>
      <c r="G1246"/>
      <c r="H1246"/>
      <c r="I1246"/>
    </row>
    <row r="1247" spans="1:9">
      <c r="A1247">
        <v>8049</v>
      </c>
      <c r="B1247" t="s">
        <v>6381</v>
      </c>
      <c r="C1247"/>
      <c r="D1247"/>
      <c r="E1247"/>
      <c r="F1247"/>
      <c r="G1247"/>
      <c r="H1247"/>
      <c r="I1247"/>
    </row>
    <row r="1248" spans="1:9">
      <c r="A1248">
        <v>8050</v>
      </c>
      <c r="B1248" t="s">
        <v>6382</v>
      </c>
      <c r="C1248"/>
      <c r="D1248"/>
      <c r="E1248"/>
      <c r="F1248"/>
      <c r="G1248"/>
      <c r="H1248"/>
      <c r="I1248"/>
    </row>
    <row r="1249" spans="1:9">
      <c r="A1249">
        <v>8054</v>
      </c>
      <c r="B1249" t="s">
        <v>6383</v>
      </c>
      <c r="C1249" t="s">
        <v>6585</v>
      </c>
      <c r="D1249"/>
      <c r="E1249" t="s">
        <v>6585</v>
      </c>
      <c r="F1249"/>
      <c r="G1249"/>
      <c r="H1249"/>
      <c r="I1249">
        <v>14.46</v>
      </c>
    </row>
    <row r="1250" spans="1:9">
      <c r="A1250">
        <v>8059</v>
      </c>
      <c r="B1250" t="s">
        <v>6384</v>
      </c>
      <c r="C1250"/>
      <c r="D1250"/>
      <c r="E1250"/>
      <c r="F1250"/>
      <c r="G1250"/>
      <c r="H1250"/>
      <c r="I1250"/>
    </row>
    <row r="1251" spans="1:9">
      <c r="A1251">
        <v>8064</v>
      </c>
      <c r="B1251" t="s">
        <v>6385</v>
      </c>
      <c r="C1251"/>
      <c r="D1251"/>
      <c r="E1251"/>
      <c r="F1251"/>
      <c r="G1251"/>
      <c r="H1251"/>
      <c r="I1251"/>
    </row>
    <row r="1252" spans="1:9">
      <c r="A1252">
        <v>8069</v>
      </c>
      <c r="B1252" t="s">
        <v>6386</v>
      </c>
      <c r="C1252"/>
      <c r="D1252" t="s">
        <v>6585</v>
      </c>
      <c r="E1252"/>
      <c r="F1252"/>
      <c r="G1252"/>
      <c r="H1252" t="s">
        <v>6589</v>
      </c>
      <c r="I1252">
        <v>6.39</v>
      </c>
    </row>
    <row r="1253" spans="1:9">
      <c r="A1253">
        <v>8070</v>
      </c>
      <c r="B1253" t="s">
        <v>6387</v>
      </c>
      <c r="C1253"/>
      <c r="D1253"/>
      <c r="E1253"/>
      <c r="F1253"/>
      <c r="G1253"/>
      <c r="H1253"/>
      <c r="I1253"/>
    </row>
    <row r="1254" spans="1:9">
      <c r="A1254">
        <v>8071</v>
      </c>
      <c r="B1254" t="s">
        <v>6388</v>
      </c>
      <c r="C1254"/>
      <c r="D1254" t="s">
        <v>6586</v>
      </c>
      <c r="E1254"/>
      <c r="F1254"/>
      <c r="G1254"/>
      <c r="H1254"/>
      <c r="I1254">
        <v>9.73</v>
      </c>
    </row>
    <row r="1255" spans="1:9">
      <c r="A1255">
        <v>8072</v>
      </c>
      <c r="B1255" t="s">
        <v>6389</v>
      </c>
      <c r="C1255"/>
      <c r="D1255"/>
      <c r="E1255"/>
      <c r="F1255"/>
      <c r="G1255"/>
      <c r="H1255"/>
      <c r="I1255"/>
    </row>
    <row r="1256" spans="1:9">
      <c r="A1256">
        <v>8074</v>
      </c>
      <c r="B1256" t="s">
        <v>6390</v>
      </c>
      <c r="C1256"/>
      <c r="D1256"/>
      <c r="E1256"/>
      <c r="F1256"/>
      <c r="G1256"/>
      <c r="H1256"/>
      <c r="I1256"/>
    </row>
    <row r="1257" spans="1:9">
      <c r="A1257">
        <v>8076</v>
      </c>
      <c r="B1257" t="s">
        <v>6391</v>
      </c>
      <c r="C1257"/>
      <c r="D1257"/>
      <c r="E1257"/>
      <c r="F1257"/>
      <c r="G1257"/>
      <c r="H1257"/>
      <c r="I1257"/>
    </row>
    <row r="1258" spans="1:9">
      <c r="A1258">
        <v>8081</v>
      </c>
      <c r="B1258" t="s">
        <v>6392</v>
      </c>
      <c r="C1258"/>
      <c r="D1258"/>
      <c r="E1258"/>
      <c r="F1258"/>
      <c r="G1258"/>
      <c r="H1258"/>
      <c r="I1258"/>
    </row>
    <row r="1259" spans="1:9">
      <c r="A1259">
        <v>8083</v>
      </c>
      <c r="B1259" t="s">
        <v>6393</v>
      </c>
      <c r="C1259"/>
      <c r="D1259"/>
      <c r="E1259"/>
      <c r="F1259"/>
      <c r="G1259"/>
      <c r="H1259"/>
      <c r="I1259"/>
    </row>
    <row r="1260" spans="1:9">
      <c r="A1260">
        <v>8086</v>
      </c>
      <c r="B1260" t="s">
        <v>6394</v>
      </c>
      <c r="C1260"/>
      <c r="D1260"/>
      <c r="E1260"/>
      <c r="F1260"/>
      <c r="G1260"/>
      <c r="H1260" t="s">
        <v>6584</v>
      </c>
      <c r="I1260"/>
    </row>
    <row r="1261" spans="1:9">
      <c r="A1261">
        <v>8088</v>
      </c>
      <c r="B1261" t="s">
        <v>6395</v>
      </c>
      <c r="C1261"/>
      <c r="D1261"/>
      <c r="E1261"/>
      <c r="F1261"/>
      <c r="G1261"/>
      <c r="H1261"/>
      <c r="I1261"/>
    </row>
    <row r="1262" spans="1:9">
      <c r="A1262">
        <v>8089</v>
      </c>
      <c r="B1262" t="s">
        <v>6396</v>
      </c>
      <c r="C1262"/>
      <c r="D1262"/>
      <c r="E1262"/>
      <c r="F1262"/>
      <c r="G1262"/>
      <c r="H1262"/>
      <c r="I1262"/>
    </row>
    <row r="1263" spans="1:9">
      <c r="A1263">
        <v>8091</v>
      </c>
      <c r="B1263" t="s">
        <v>6397</v>
      </c>
      <c r="C1263"/>
      <c r="D1263" t="s">
        <v>6586</v>
      </c>
      <c r="E1263" t="s">
        <v>6586</v>
      </c>
      <c r="F1263"/>
      <c r="G1263"/>
      <c r="H1263"/>
      <c r="I1263">
        <v>5.35</v>
      </c>
    </row>
    <row r="1264" spans="1:9">
      <c r="A1264">
        <v>8096</v>
      </c>
      <c r="B1264" t="s">
        <v>6398</v>
      </c>
      <c r="C1264"/>
      <c r="D1264"/>
      <c r="E1264"/>
      <c r="F1264"/>
      <c r="G1264"/>
      <c r="H1264"/>
      <c r="I1264"/>
    </row>
    <row r="1265" spans="1:9">
      <c r="A1265">
        <v>8097</v>
      </c>
      <c r="B1265" t="s">
        <v>6399</v>
      </c>
      <c r="C1265"/>
      <c r="D1265"/>
      <c r="E1265"/>
      <c r="F1265"/>
      <c r="G1265"/>
      <c r="H1265"/>
      <c r="I1265"/>
    </row>
    <row r="1266" spans="1:9">
      <c r="A1266">
        <v>8099</v>
      </c>
      <c r="B1266" t="s">
        <v>6400</v>
      </c>
      <c r="C1266"/>
      <c r="D1266"/>
      <c r="E1266"/>
      <c r="F1266"/>
      <c r="G1266"/>
      <c r="H1266"/>
      <c r="I1266"/>
    </row>
    <row r="1267" spans="1:9">
      <c r="A1267">
        <v>8103</v>
      </c>
      <c r="B1267" t="s">
        <v>6401</v>
      </c>
      <c r="C1267"/>
      <c r="D1267"/>
      <c r="E1267"/>
      <c r="F1267"/>
      <c r="G1267"/>
      <c r="H1267"/>
      <c r="I1267"/>
    </row>
    <row r="1268" spans="1:9">
      <c r="A1268">
        <v>8104</v>
      </c>
      <c r="B1268" t="s">
        <v>6402</v>
      </c>
      <c r="C1268"/>
      <c r="D1268"/>
      <c r="E1268"/>
      <c r="F1268"/>
      <c r="G1268"/>
      <c r="H1268" t="s">
        <v>6584</v>
      </c>
      <c r="I1268"/>
    </row>
    <row r="1269" spans="1:9">
      <c r="A1269">
        <v>8105</v>
      </c>
      <c r="B1269" t="s">
        <v>6403</v>
      </c>
      <c r="C1269"/>
      <c r="D1269"/>
      <c r="E1269"/>
      <c r="F1269"/>
      <c r="G1269"/>
      <c r="H1269"/>
      <c r="I1269"/>
    </row>
    <row r="1270" spans="1:9">
      <c r="A1270">
        <v>8107</v>
      </c>
      <c r="B1270" t="s">
        <v>6404</v>
      </c>
      <c r="C1270"/>
      <c r="D1270"/>
      <c r="E1270"/>
      <c r="F1270"/>
      <c r="G1270"/>
      <c r="H1270"/>
      <c r="I1270"/>
    </row>
    <row r="1271" spans="1:9">
      <c r="A1271">
        <v>8109</v>
      </c>
      <c r="B1271" t="s">
        <v>6613</v>
      </c>
      <c r="C1271"/>
      <c r="D1271"/>
      <c r="E1271"/>
      <c r="F1271"/>
      <c r="G1271"/>
      <c r="H1271"/>
      <c r="I1271"/>
    </row>
    <row r="1272" spans="1:9">
      <c r="A1272">
        <v>8110</v>
      </c>
      <c r="B1272" t="s">
        <v>6405</v>
      </c>
      <c r="C1272"/>
      <c r="D1272"/>
      <c r="E1272"/>
      <c r="F1272"/>
      <c r="G1272"/>
      <c r="H1272"/>
      <c r="I1272"/>
    </row>
    <row r="1273" spans="1:9">
      <c r="A1273">
        <v>8111</v>
      </c>
      <c r="B1273" t="s">
        <v>6406</v>
      </c>
      <c r="C1273"/>
      <c r="D1273"/>
      <c r="E1273"/>
      <c r="F1273"/>
      <c r="G1273"/>
      <c r="H1273" t="s">
        <v>6584</v>
      </c>
      <c r="I1273"/>
    </row>
    <row r="1274" spans="1:9">
      <c r="A1274">
        <v>8112</v>
      </c>
      <c r="B1274" t="s">
        <v>6407</v>
      </c>
      <c r="C1274"/>
      <c r="D1274"/>
      <c r="E1274"/>
      <c r="F1274"/>
      <c r="G1274"/>
      <c r="H1274"/>
      <c r="I1274"/>
    </row>
    <row r="1275" spans="1:9">
      <c r="A1275">
        <v>8114</v>
      </c>
      <c r="B1275" t="s">
        <v>6408</v>
      </c>
      <c r="C1275"/>
      <c r="D1275"/>
      <c r="E1275"/>
      <c r="F1275"/>
      <c r="G1275"/>
      <c r="H1275"/>
      <c r="I1275"/>
    </row>
    <row r="1276" spans="1:9">
      <c r="A1276">
        <v>8131</v>
      </c>
      <c r="B1276" t="s">
        <v>6409</v>
      </c>
      <c r="C1276"/>
      <c r="D1276"/>
      <c r="E1276"/>
      <c r="F1276"/>
      <c r="G1276"/>
      <c r="H1276"/>
      <c r="I1276"/>
    </row>
    <row r="1277" spans="1:9">
      <c r="A1277">
        <v>8147</v>
      </c>
      <c r="B1277" t="s">
        <v>6410</v>
      </c>
      <c r="C1277"/>
      <c r="D1277"/>
      <c r="E1277"/>
      <c r="F1277"/>
      <c r="G1277"/>
      <c r="H1277"/>
      <c r="I1277"/>
    </row>
    <row r="1278" spans="1:9">
      <c r="A1278">
        <v>8150</v>
      </c>
      <c r="B1278" t="s">
        <v>6411</v>
      </c>
      <c r="C1278"/>
      <c r="D1278"/>
      <c r="E1278"/>
      <c r="F1278"/>
      <c r="G1278"/>
      <c r="H1278"/>
      <c r="I1278"/>
    </row>
    <row r="1279" spans="1:9">
      <c r="A1279">
        <v>8155</v>
      </c>
      <c r="B1279" t="s">
        <v>6412</v>
      </c>
      <c r="C1279"/>
      <c r="D1279"/>
      <c r="E1279" t="s">
        <v>6586</v>
      </c>
      <c r="F1279" t="s">
        <v>6585</v>
      </c>
      <c r="G1279"/>
      <c r="H1279" t="s">
        <v>6584</v>
      </c>
      <c r="I1279">
        <v>22.98</v>
      </c>
    </row>
    <row r="1280" spans="1:9">
      <c r="A1280">
        <v>8163</v>
      </c>
      <c r="B1280" t="s">
        <v>6413</v>
      </c>
      <c r="C1280"/>
      <c r="D1280"/>
      <c r="E1280"/>
      <c r="F1280"/>
      <c r="G1280" t="s">
        <v>6587</v>
      </c>
      <c r="H1280"/>
      <c r="I1280"/>
    </row>
    <row r="1281" spans="1:9">
      <c r="A1281">
        <v>8171</v>
      </c>
      <c r="B1281" t="s">
        <v>6414</v>
      </c>
      <c r="C1281"/>
      <c r="D1281"/>
      <c r="E1281"/>
      <c r="F1281"/>
      <c r="G1281" t="s">
        <v>6583</v>
      </c>
      <c r="H1281"/>
      <c r="I1281"/>
    </row>
    <row r="1282" spans="1:9">
      <c r="A1282">
        <v>8182</v>
      </c>
      <c r="B1282" t="s">
        <v>6415</v>
      </c>
      <c r="C1282"/>
      <c r="D1282"/>
      <c r="E1282"/>
      <c r="F1282"/>
      <c r="G1282"/>
      <c r="H1282"/>
      <c r="I1282"/>
    </row>
    <row r="1283" spans="1:9">
      <c r="A1283">
        <v>8183</v>
      </c>
      <c r="B1283" t="s">
        <v>6416</v>
      </c>
      <c r="C1283" t="s">
        <v>6585</v>
      </c>
      <c r="D1283"/>
      <c r="E1283"/>
      <c r="F1283"/>
      <c r="G1283"/>
      <c r="H1283"/>
      <c r="I1283"/>
    </row>
    <row r="1284" spans="1:9">
      <c r="A1284">
        <v>8201</v>
      </c>
      <c r="B1284" t="s">
        <v>6417</v>
      </c>
      <c r="C1284"/>
      <c r="D1284"/>
      <c r="E1284"/>
      <c r="F1284"/>
      <c r="G1284" t="s">
        <v>6583</v>
      </c>
      <c r="H1284"/>
      <c r="I1284"/>
    </row>
    <row r="1285" spans="1:9">
      <c r="A1285">
        <v>8210</v>
      </c>
      <c r="B1285" t="s">
        <v>6418</v>
      </c>
      <c r="C1285"/>
      <c r="D1285"/>
      <c r="E1285"/>
      <c r="F1285"/>
      <c r="G1285"/>
      <c r="H1285"/>
      <c r="I1285"/>
    </row>
    <row r="1286" spans="1:9">
      <c r="A1286">
        <v>8213</v>
      </c>
      <c r="B1286" t="s">
        <v>6419</v>
      </c>
      <c r="C1286"/>
      <c r="D1286"/>
      <c r="E1286"/>
      <c r="F1286"/>
      <c r="G1286"/>
      <c r="H1286"/>
      <c r="I1286"/>
    </row>
    <row r="1287" spans="1:9">
      <c r="A1287">
        <v>8215</v>
      </c>
      <c r="B1287" t="s">
        <v>6420</v>
      </c>
      <c r="C1287"/>
      <c r="D1287"/>
      <c r="E1287"/>
      <c r="F1287" t="s">
        <v>6586</v>
      </c>
      <c r="G1287" t="s">
        <v>6587</v>
      </c>
      <c r="H1287"/>
      <c r="I1287"/>
    </row>
    <row r="1288" spans="1:9">
      <c r="A1288">
        <v>8222</v>
      </c>
      <c r="B1288" t="s">
        <v>6421</v>
      </c>
      <c r="C1288"/>
      <c r="D1288"/>
      <c r="E1288"/>
      <c r="F1288"/>
      <c r="G1288"/>
      <c r="H1288"/>
      <c r="I1288"/>
    </row>
    <row r="1289" spans="1:9">
      <c r="A1289">
        <v>8234</v>
      </c>
      <c r="B1289" t="s">
        <v>6422</v>
      </c>
      <c r="C1289"/>
      <c r="D1289"/>
      <c r="E1289"/>
      <c r="F1289"/>
      <c r="G1289"/>
      <c r="H1289"/>
      <c r="I1289"/>
    </row>
    <row r="1290" spans="1:9">
      <c r="A1290">
        <v>8240</v>
      </c>
      <c r="B1290" t="s">
        <v>6423</v>
      </c>
      <c r="C1290"/>
      <c r="D1290"/>
      <c r="E1290"/>
      <c r="F1290"/>
      <c r="G1290"/>
      <c r="H1290"/>
      <c r="I1290"/>
    </row>
    <row r="1291" spans="1:9">
      <c r="A1291">
        <v>8249</v>
      </c>
      <c r="B1291" t="s">
        <v>6424</v>
      </c>
      <c r="C1291"/>
      <c r="D1291"/>
      <c r="E1291"/>
      <c r="F1291"/>
      <c r="G1291"/>
      <c r="H1291"/>
      <c r="I1291"/>
    </row>
    <row r="1292" spans="1:9">
      <c r="A1292">
        <v>8255</v>
      </c>
      <c r="B1292" t="s">
        <v>6425</v>
      </c>
      <c r="C1292"/>
      <c r="D1292"/>
      <c r="E1292" t="s">
        <v>6586</v>
      </c>
      <c r="F1292"/>
      <c r="G1292"/>
      <c r="H1292"/>
      <c r="I1292"/>
    </row>
    <row r="1293" spans="1:9">
      <c r="A1293">
        <v>8261</v>
      </c>
      <c r="B1293" t="s">
        <v>6426</v>
      </c>
      <c r="C1293"/>
      <c r="D1293"/>
      <c r="E1293"/>
      <c r="F1293"/>
      <c r="G1293"/>
      <c r="H1293"/>
      <c r="I1293">
        <v>5.29</v>
      </c>
    </row>
    <row r="1294" spans="1:9">
      <c r="A1294">
        <v>8271</v>
      </c>
      <c r="B1294" t="s">
        <v>6427</v>
      </c>
      <c r="C1294"/>
      <c r="D1294"/>
      <c r="E1294"/>
      <c r="F1294"/>
      <c r="G1294"/>
      <c r="H1294"/>
      <c r="I1294"/>
    </row>
    <row r="1295" spans="1:9">
      <c r="A1295">
        <v>8284</v>
      </c>
      <c r="B1295" t="s">
        <v>6428</v>
      </c>
      <c r="C1295"/>
      <c r="D1295"/>
      <c r="E1295"/>
      <c r="F1295"/>
      <c r="G1295"/>
      <c r="H1295"/>
      <c r="I1295"/>
    </row>
    <row r="1296" spans="1:9">
      <c r="A1296">
        <v>8289</v>
      </c>
      <c r="B1296" t="s">
        <v>6429</v>
      </c>
      <c r="C1296"/>
      <c r="D1296"/>
      <c r="E1296"/>
      <c r="F1296"/>
      <c r="G1296" t="s">
        <v>6583</v>
      </c>
      <c r="H1296"/>
      <c r="I1296"/>
    </row>
    <row r="1297" spans="1:9">
      <c r="A1297">
        <v>8299</v>
      </c>
      <c r="B1297" t="s">
        <v>6430</v>
      </c>
      <c r="C1297"/>
      <c r="D1297"/>
      <c r="E1297"/>
      <c r="F1297"/>
      <c r="G1297"/>
      <c r="H1297"/>
      <c r="I1297"/>
    </row>
    <row r="1298" spans="1:9">
      <c r="A1298">
        <v>8341</v>
      </c>
      <c r="B1298" t="s">
        <v>6431</v>
      </c>
      <c r="C1298"/>
      <c r="D1298"/>
      <c r="E1298"/>
      <c r="F1298"/>
      <c r="G1298"/>
      <c r="H1298"/>
      <c r="I1298"/>
    </row>
    <row r="1299" spans="1:9">
      <c r="A1299">
        <v>8349</v>
      </c>
      <c r="B1299" t="s">
        <v>6432</v>
      </c>
      <c r="C1299"/>
      <c r="D1299"/>
      <c r="E1299"/>
      <c r="F1299"/>
      <c r="G1299"/>
      <c r="H1299"/>
      <c r="I1299"/>
    </row>
    <row r="1300" spans="1:9">
      <c r="A1300">
        <v>8358</v>
      </c>
      <c r="B1300" t="s">
        <v>6433</v>
      </c>
      <c r="C1300"/>
      <c r="D1300"/>
      <c r="E1300"/>
      <c r="F1300"/>
      <c r="G1300"/>
      <c r="H1300" t="s">
        <v>6584</v>
      </c>
      <c r="I1300"/>
    </row>
    <row r="1301" spans="1:9">
      <c r="A1301">
        <v>8367</v>
      </c>
      <c r="B1301" t="s">
        <v>6434</v>
      </c>
      <c r="C1301"/>
      <c r="D1301"/>
      <c r="E1301"/>
      <c r="F1301"/>
      <c r="G1301"/>
      <c r="H1301"/>
      <c r="I1301"/>
    </row>
    <row r="1302" spans="1:9">
      <c r="A1302">
        <v>8374</v>
      </c>
      <c r="B1302" t="s">
        <v>6435</v>
      </c>
      <c r="C1302"/>
      <c r="D1302"/>
      <c r="E1302"/>
      <c r="F1302"/>
      <c r="G1302"/>
      <c r="H1302"/>
      <c r="I1302"/>
    </row>
    <row r="1303" spans="1:9">
      <c r="A1303">
        <v>8383</v>
      </c>
      <c r="B1303" t="s">
        <v>6436</v>
      </c>
      <c r="C1303"/>
      <c r="D1303"/>
      <c r="E1303"/>
      <c r="F1303"/>
      <c r="G1303"/>
      <c r="H1303"/>
      <c r="I1303"/>
    </row>
    <row r="1304" spans="1:9">
      <c r="A1304">
        <v>8390</v>
      </c>
      <c r="B1304" t="s">
        <v>6437</v>
      </c>
      <c r="C1304"/>
      <c r="D1304"/>
      <c r="E1304"/>
      <c r="F1304"/>
      <c r="G1304"/>
      <c r="H1304" t="s">
        <v>6584</v>
      </c>
      <c r="I1304"/>
    </row>
    <row r="1305" spans="1:9">
      <c r="A1305">
        <v>8401</v>
      </c>
      <c r="B1305" t="s">
        <v>6438</v>
      </c>
      <c r="C1305"/>
      <c r="D1305"/>
      <c r="E1305"/>
      <c r="F1305"/>
      <c r="G1305" t="s">
        <v>6583</v>
      </c>
      <c r="H1305" t="s">
        <v>6584</v>
      </c>
      <c r="I1305"/>
    </row>
    <row r="1306" spans="1:9">
      <c r="A1306">
        <v>8403</v>
      </c>
      <c r="B1306" t="s">
        <v>6439</v>
      </c>
      <c r="C1306"/>
      <c r="D1306"/>
      <c r="E1306"/>
      <c r="F1306"/>
      <c r="G1306"/>
      <c r="H1306"/>
      <c r="I1306"/>
    </row>
    <row r="1307" spans="1:9">
      <c r="A1307">
        <v>8404</v>
      </c>
      <c r="B1307" t="s">
        <v>6440</v>
      </c>
      <c r="C1307"/>
      <c r="D1307"/>
      <c r="E1307"/>
      <c r="F1307"/>
      <c r="G1307"/>
      <c r="H1307"/>
      <c r="I1307"/>
    </row>
    <row r="1308" spans="1:9">
      <c r="A1308">
        <v>8406</v>
      </c>
      <c r="B1308" t="s">
        <v>6441</v>
      </c>
      <c r="C1308"/>
      <c r="D1308"/>
      <c r="E1308"/>
      <c r="F1308"/>
      <c r="G1308"/>
      <c r="H1308"/>
      <c r="I1308"/>
    </row>
    <row r="1309" spans="1:9">
      <c r="A1309">
        <v>8411</v>
      </c>
      <c r="B1309" t="s">
        <v>6442</v>
      </c>
      <c r="C1309"/>
      <c r="D1309"/>
      <c r="E1309"/>
      <c r="F1309"/>
      <c r="G1309"/>
      <c r="H1309"/>
      <c r="I1309"/>
    </row>
    <row r="1310" spans="1:9">
      <c r="A1310">
        <v>8415</v>
      </c>
      <c r="B1310" t="s">
        <v>6443</v>
      </c>
      <c r="C1310"/>
      <c r="D1310"/>
      <c r="E1310"/>
      <c r="F1310"/>
      <c r="G1310"/>
      <c r="H1310"/>
      <c r="I1310"/>
    </row>
    <row r="1311" spans="1:9">
      <c r="A1311">
        <v>8418</v>
      </c>
      <c r="B1311" t="s">
        <v>6614</v>
      </c>
      <c r="C1311"/>
      <c r="D1311"/>
      <c r="E1311"/>
      <c r="F1311"/>
      <c r="G1311"/>
      <c r="H1311"/>
      <c r="I1311"/>
    </row>
    <row r="1312" spans="1:9">
      <c r="A1312">
        <v>8420</v>
      </c>
      <c r="B1312" t="s">
        <v>6444</v>
      </c>
      <c r="C1312"/>
      <c r="D1312"/>
      <c r="E1312"/>
      <c r="F1312"/>
      <c r="G1312"/>
      <c r="H1312"/>
      <c r="I1312"/>
    </row>
    <row r="1313" spans="1:9">
      <c r="A1313">
        <v>8422</v>
      </c>
      <c r="B1313" t="s">
        <v>6445</v>
      </c>
      <c r="C1313"/>
      <c r="D1313"/>
      <c r="E1313"/>
      <c r="F1313"/>
      <c r="G1313"/>
      <c r="H1313"/>
      <c r="I1313"/>
    </row>
    <row r="1314" spans="1:9">
      <c r="A1314">
        <v>8429</v>
      </c>
      <c r="B1314" t="s">
        <v>6446</v>
      </c>
      <c r="C1314"/>
      <c r="D1314"/>
      <c r="E1314"/>
      <c r="F1314"/>
      <c r="G1314"/>
      <c r="H1314"/>
      <c r="I1314"/>
    </row>
    <row r="1315" spans="1:9">
      <c r="A1315">
        <v>8431</v>
      </c>
      <c r="B1315" t="s">
        <v>6447</v>
      </c>
      <c r="C1315" t="s">
        <v>6585</v>
      </c>
      <c r="D1315" t="s">
        <v>6585</v>
      </c>
      <c r="E1315"/>
      <c r="F1315"/>
      <c r="G1315"/>
      <c r="H1315"/>
      <c r="I1315">
        <v>5.79</v>
      </c>
    </row>
    <row r="1316" spans="1:9">
      <c r="A1316">
        <v>8432</v>
      </c>
      <c r="B1316" t="s">
        <v>6615</v>
      </c>
      <c r="C1316"/>
      <c r="D1316"/>
      <c r="E1316"/>
      <c r="F1316"/>
      <c r="G1316"/>
      <c r="H1316"/>
      <c r="I1316"/>
    </row>
    <row r="1317" spans="1:9">
      <c r="A1317">
        <v>8433</v>
      </c>
      <c r="B1317" t="s">
        <v>6448</v>
      </c>
      <c r="C1317"/>
      <c r="D1317"/>
      <c r="E1317"/>
      <c r="F1317"/>
      <c r="G1317"/>
      <c r="H1317"/>
      <c r="I1317"/>
    </row>
    <row r="1318" spans="1:9">
      <c r="A1318">
        <v>8435</v>
      </c>
      <c r="B1318" t="s">
        <v>6449</v>
      </c>
      <c r="C1318"/>
      <c r="D1318"/>
      <c r="E1318"/>
      <c r="F1318"/>
      <c r="G1318"/>
      <c r="H1318"/>
      <c r="I1318"/>
    </row>
    <row r="1319" spans="1:9">
      <c r="A1319">
        <v>8436</v>
      </c>
      <c r="B1319" t="s">
        <v>6450</v>
      </c>
      <c r="C1319"/>
      <c r="D1319"/>
      <c r="E1319"/>
      <c r="F1319"/>
      <c r="G1319"/>
      <c r="H1319"/>
      <c r="I1319"/>
    </row>
    <row r="1320" spans="1:9">
      <c r="A1320">
        <v>8437</v>
      </c>
      <c r="B1320" t="s">
        <v>6451</v>
      </c>
      <c r="C1320"/>
      <c r="D1320"/>
      <c r="E1320"/>
      <c r="F1320"/>
      <c r="G1320"/>
      <c r="H1320"/>
      <c r="I1320"/>
    </row>
    <row r="1321" spans="1:9">
      <c r="A1321">
        <v>8440</v>
      </c>
      <c r="B1321" t="s">
        <v>6452</v>
      </c>
      <c r="C1321"/>
      <c r="D1321"/>
      <c r="E1321" t="s">
        <v>6585</v>
      </c>
      <c r="F1321"/>
      <c r="G1321"/>
      <c r="H1321" t="s">
        <v>6584</v>
      </c>
      <c r="I1321">
        <v>87.71</v>
      </c>
    </row>
    <row r="1322" spans="1:9">
      <c r="A1322">
        <v>8442</v>
      </c>
      <c r="B1322" t="s">
        <v>6453</v>
      </c>
      <c r="C1322"/>
      <c r="D1322"/>
      <c r="E1322"/>
      <c r="F1322"/>
      <c r="G1322"/>
      <c r="H1322"/>
      <c r="I1322"/>
    </row>
    <row r="1323" spans="1:9">
      <c r="A1323">
        <v>8443</v>
      </c>
      <c r="B1323" t="s">
        <v>6454</v>
      </c>
      <c r="C1323"/>
      <c r="D1323"/>
      <c r="E1323"/>
      <c r="F1323"/>
      <c r="G1323"/>
      <c r="H1323"/>
      <c r="I1323"/>
    </row>
    <row r="1324" spans="1:9">
      <c r="A1324">
        <v>8444</v>
      </c>
      <c r="B1324" t="s">
        <v>6455</v>
      </c>
      <c r="C1324"/>
      <c r="D1324"/>
      <c r="E1324"/>
      <c r="F1324"/>
      <c r="G1324"/>
      <c r="H1324"/>
      <c r="I1324"/>
    </row>
    <row r="1325" spans="1:9">
      <c r="A1325">
        <v>8446</v>
      </c>
      <c r="B1325" t="s">
        <v>6456</v>
      </c>
      <c r="C1325"/>
      <c r="D1325"/>
      <c r="E1325"/>
      <c r="F1325"/>
      <c r="G1325"/>
      <c r="H1325"/>
      <c r="I1325"/>
    </row>
    <row r="1326" spans="1:9">
      <c r="A1326">
        <v>8450</v>
      </c>
      <c r="B1326" t="s">
        <v>6457</v>
      </c>
      <c r="C1326"/>
      <c r="D1326"/>
      <c r="E1326"/>
      <c r="F1326"/>
      <c r="G1326"/>
      <c r="H1326" t="s">
        <v>6584</v>
      </c>
      <c r="I1326"/>
    </row>
    <row r="1327" spans="1:9">
      <c r="A1327">
        <v>8454</v>
      </c>
      <c r="B1327" t="s">
        <v>6458</v>
      </c>
      <c r="C1327"/>
      <c r="D1327"/>
      <c r="E1327"/>
      <c r="F1327"/>
      <c r="G1327"/>
      <c r="H1327"/>
      <c r="I1327"/>
    </row>
    <row r="1328" spans="1:9">
      <c r="A1328">
        <v>8462</v>
      </c>
      <c r="B1328" t="s">
        <v>6459</v>
      </c>
      <c r="C1328"/>
      <c r="D1328"/>
      <c r="E1328"/>
      <c r="F1328"/>
      <c r="G1328"/>
      <c r="H1328"/>
      <c r="I1328"/>
    </row>
    <row r="1329" spans="1:9">
      <c r="A1329">
        <v>8463</v>
      </c>
      <c r="B1329" t="s">
        <v>6460</v>
      </c>
      <c r="C1329"/>
      <c r="D1329"/>
      <c r="E1329"/>
      <c r="F1329"/>
      <c r="G1329"/>
      <c r="H1329"/>
      <c r="I1329"/>
    </row>
    <row r="1330" spans="1:9">
      <c r="A1330">
        <v>8464</v>
      </c>
      <c r="B1330" t="s">
        <v>6461</v>
      </c>
      <c r="C1330"/>
      <c r="D1330"/>
      <c r="E1330"/>
      <c r="F1330"/>
      <c r="G1330"/>
      <c r="H1330"/>
      <c r="I1330"/>
    </row>
    <row r="1331" spans="1:9">
      <c r="A1331">
        <v>8466</v>
      </c>
      <c r="B1331" t="s">
        <v>6462</v>
      </c>
      <c r="C1331"/>
      <c r="D1331"/>
      <c r="E1331"/>
      <c r="F1331"/>
      <c r="G1331"/>
      <c r="H1331"/>
      <c r="I1331"/>
    </row>
    <row r="1332" spans="1:9">
      <c r="A1332">
        <v>8467</v>
      </c>
      <c r="B1332" t="s">
        <v>6463</v>
      </c>
      <c r="C1332"/>
      <c r="D1332"/>
      <c r="E1332"/>
      <c r="F1332"/>
      <c r="G1332"/>
      <c r="H1332"/>
      <c r="I1332"/>
    </row>
    <row r="1333" spans="1:9">
      <c r="A1333">
        <v>8473</v>
      </c>
      <c r="B1333" t="s">
        <v>6464</v>
      </c>
      <c r="C1333"/>
      <c r="D1333"/>
      <c r="E1333"/>
      <c r="F1333"/>
      <c r="G1333"/>
      <c r="H1333"/>
      <c r="I1333"/>
    </row>
    <row r="1334" spans="1:9">
      <c r="A1334">
        <v>8477</v>
      </c>
      <c r="B1334" t="s">
        <v>6465</v>
      </c>
      <c r="C1334"/>
      <c r="D1334"/>
      <c r="E1334"/>
      <c r="F1334"/>
      <c r="G1334"/>
      <c r="H1334"/>
      <c r="I1334"/>
    </row>
    <row r="1335" spans="1:9">
      <c r="A1335">
        <v>8478</v>
      </c>
      <c r="B1335" t="s">
        <v>6466</v>
      </c>
      <c r="C1335"/>
      <c r="D1335"/>
      <c r="E1335"/>
      <c r="F1335"/>
      <c r="G1335"/>
      <c r="H1335" t="s">
        <v>6584</v>
      </c>
      <c r="I1335"/>
    </row>
    <row r="1336" spans="1:9">
      <c r="A1336">
        <v>8480</v>
      </c>
      <c r="B1336" t="s">
        <v>6467</v>
      </c>
      <c r="C1336"/>
      <c r="D1336"/>
      <c r="E1336"/>
      <c r="F1336"/>
      <c r="G1336"/>
      <c r="H1336"/>
      <c r="I1336"/>
    </row>
    <row r="1337" spans="1:9">
      <c r="A1337">
        <v>8481</v>
      </c>
      <c r="B1337" t="s">
        <v>6468</v>
      </c>
      <c r="C1337"/>
      <c r="D1337"/>
      <c r="E1337"/>
      <c r="F1337"/>
      <c r="G1337"/>
      <c r="H1337"/>
      <c r="I1337"/>
    </row>
    <row r="1338" spans="1:9">
      <c r="A1338">
        <v>8482</v>
      </c>
      <c r="B1338" t="s">
        <v>6469</v>
      </c>
      <c r="C1338"/>
      <c r="D1338"/>
      <c r="E1338"/>
      <c r="F1338"/>
      <c r="G1338"/>
      <c r="H1338"/>
      <c r="I1338"/>
    </row>
    <row r="1339" spans="1:9">
      <c r="A1339">
        <v>8488</v>
      </c>
      <c r="B1339" t="s">
        <v>6470</v>
      </c>
      <c r="C1339"/>
      <c r="D1339"/>
      <c r="E1339"/>
      <c r="F1339"/>
      <c r="G1339"/>
      <c r="H1339"/>
      <c r="I1339"/>
    </row>
    <row r="1340" spans="1:9">
      <c r="A1340">
        <v>8489</v>
      </c>
      <c r="B1340" t="s">
        <v>6471</v>
      </c>
      <c r="C1340"/>
      <c r="D1340"/>
      <c r="E1340"/>
      <c r="F1340"/>
      <c r="G1340"/>
      <c r="H1340"/>
      <c r="I1340"/>
    </row>
    <row r="1341" spans="1:9">
      <c r="A1341">
        <v>8499</v>
      </c>
      <c r="B1341" t="s">
        <v>6472</v>
      </c>
      <c r="C1341"/>
      <c r="D1341"/>
      <c r="E1341"/>
      <c r="F1341"/>
      <c r="G1341"/>
      <c r="H1341"/>
      <c r="I1341"/>
    </row>
    <row r="1342" spans="1:9">
      <c r="A1342">
        <v>8905</v>
      </c>
      <c r="B1342" t="s">
        <v>6473</v>
      </c>
      <c r="C1342"/>
      <c r="D1342"/>
      <c r="E1342"/>
      <c r="F1342"/>
      <c r="G1342"/>
      <c r="H1342"/>
      <c r="I1342"/>
    </row>
    <row r="1343" spans="1:9">
      <c r="A1343">
        <v>8906</v>
      </c>
      <c r="B1343" t="s">
        <v>6474</v>
      </c>
      <c r="C1343"/>
      <c r="D1343"/>
      <c r="E1343"/>
      <c r="F1343"/>
      <c r="G1343"/>
      <c r="H1343"/>
      <c r="I1343"/>
    </row>
    <row r="1344" spans="1:9">
      <c r="A1344">
        <v>8908</v>
      </c>
      <c r="B1344" t="s">
        <v>6475</v>
      </c>
      <c r="C1344"/>
      <c r="D1344"/>
      <c r="E1344"/>
      <c r="F1344"/>
      <c r="G1344"/>
      <c r="H1344"/>
      <c r="I1344"/>
    </row>
    <row r="1345" spans="1:9">
      <c r="A1345">
        <v>8916</v>
      </c>
      <c r="B1345" t="s">
        <v>6476</v>
      </c>
      <c r="C1345"/>
      <c r="D1345"/>
      <c r="E1345"/>
      <c r="F1345"/>
      <c r="G1345"/>
      <c r="H1345"/>
      <c r="I1345"/>
    </row>
    <row r="1346" spans="1:9">
      <c r="A1346">
        <v>8924</v>
      </c>
      <c r="B1346" t="s">
        <v>6477</v>
      </c>
      <c r="C1346"/>
      <c r="D1346"/>
      <c r="E1346"/>
      <c r="F1346"/>
      <c r="G1346"/>
      <c r="H1346"/>
      <c r="I1346"/>
    </row>
    <row r="1347" spans="1:9">
      <c r="A1347">
        <v>8926</v>
      </c>
      <c r="B1347" t="s">
        <v>6478</v>
      </c>
      <c r="C1347"/>
      <c r="D1347"/>
      <c r="E1347"/>
      <c r="F1347"/>
      <c r="G1347"/>
      <c r="H1347"/>
      <c r="I1347"/>
    </row>
    <row r="1348" spans="1:9">
      <c r="A1348">
        <v>8927</v>
      </c>
      <c r="B1348" t="s">
        <v>6479</v>
      </c>
      <c r="C1348"/>
      <c r="D1348"/>
      <c r="E1348"/>
      <c r="F1348"/>
      <c r="G1348"/>
      <c r="H1348"/>
      <c r="I1348"/>
    </row>
    <row r="1349" spans="1:9">
      <c r="A1349">
        <v>8928</v>
      </c>
      <c r="B1349" t="s">
        <v>6480</v>
      </c>
      <c r="C1349"/>
      <c r="D1349"/>
      <c r="E1349"/>
      <c r="F1349"/>
      <c r="G1349"/>
      <c r="H1349"/>
      <c r="I1349"/>
    </row>
    <row r="1350" spans="1:9">
      <c r="A1350">
        <v>8929</v>
      </c>
      <c r="B1350" t="s">
        <v>6481</v>
      </c>
      <c r="C1350"/>
      <c r="D1350"/>
      <c r="E1350"/>
      <c r="F1350"/>
      <c r="G1350"/>
      <c r="H1350"/>
      <c r="I1350"/>
    </row>
    <row r="1351" spans="1:9">
      <c r="A1351">
        <v>8930</v>
      </c>
      <c r="B1351" t="s">
        <v>6616</v>
      </c>
      <c r="C1351"/>
      <c r="D1351"/>
      <c r="E1351"/>
      <c r="F1351"/>
      <c r="G1351"/>
      <c r="H1351"/>
      <c r="I1351">
        <v>6.4</v>
      </c>
    </row>
    <row r="1352" spans="1:9">
      <c r="A1352">
        <v>8931</v>
      </c>
      <c r="B1352" t="s">
        <v>6482</v>
      </c>
      <c r="C1352"/>
      <c r="D1352"/>
      <c r="E1352"/>
      <c r="F1352"/>
      <c r="G1352"/>
      <c r="H1352"/>
      <c r="I1352"/>
    </row>
    <row r="1353" spans="1:9">
      <c r="A1353">
        <v>8932</v>
      </c>
      <c r="B1353" t="s">
        <v>6617</v>
      </c>
      <c r="C1353"/>
      <c r="D1353"/>
      <c r="E1353"/>
      <c r="F1353"/>
      <c r="G1353"/>
      <c r="H1353"/>
      <c r="I1353"/>
    </row>
    <row r="1354" spans="1:9">
      <c r="A1354">
        <v>8936</v>
      </c>
      <c r="B1354" t="s">
        <v>6483</v>
      </c>
      <c r="C1354"/>
      <c r="D1354"/>
      <c r="E1354"/>
      <c r="F1354"/>
      <c r="G1354"/>
      <c r="H1354"/>
      <c r="I1354"/>
    </row>
    <row r="1355" spans="1:9">
      <c r="A1355">
        <v>8938</v>
      </c>
      <c r="B1355" t="s">
        <v>6484</v>
      </c>
      <c r="C1355"/>
      <c r="D1355"/>
      <c r="E1355"/>
      <c r="F1355"/>
      <c r="G1355"/>
      <c r="H1355"/>
      <c r="I1355"/>
    </row>
    <row r="1356" spans="1:9">
      <c r="A1356">
        <v>8942</v>
      </c>
      <c r="B1356" t="s">
        <v>6485</v>
      </c>
      <c r="C1356"/>
      <c r="D1356"/>
      <c r="E1356"/>
      <c r="F1356"/>
      <c r="G1356"/>
      <c r="H1356"/>
      <c r="I1356"/>
    </row>
    <row r="1357" spans="1:9">
      <c r="A1357">
        <v>8996</v>
      </c>
      <c r="B1357" t="s">
        <v>6486</v>
      </c>
      <c r="C1357" t="s">
        <v>6585</v>
      </c>
      <c r="D1357" t="s">
        <v>6586</v>
      </c>
      <c r="E1357" t="s">
        <v>6585</v>
      </c>
      <c r="F1357" t="s">
        <v>6586</v>
      </c>
      <c r="G1357"/>
      <c r="H1357" t="s">
        <v>6584</v>
      </c>
      <c r="I1357">
        <v>8.66</v>
      </c>
    </row>
    <row r="1358" spans="1:9">
      <c r="A1358">
        <v>9802</v>
      </c>
      <c r="B1358" t="s">
        <v>6487</v>
      </c>
      <c r="C1358"/>
      <c r="D1358"/>
      <c r="E1358"/>
      <c r="F1358"/>
      <c r="G1358" t="s">
        <v>6583</v>
      </c>
      <c r="H1358"/>
      <c r="I1358"/>
    </row>
    <row r="1359" spans="1:9">
      <c r="A1359">
        <v>9902</v>
      </c>
      <c r="B1359" t="s">
        <v>6488</v>
      </c>
      <c r="C1359"/>
      <c r="D1359"/>
      <c r="E1359"/>
      <c r="F1359"/>
      <c r="G1359"/>
      <c r="H1359"/>
      <c r="I1359"/>
    </row>
    <row r="1360" spans="1:9">
      <c r="A1360">
        <v>9904</v>
      </c>
      <c r="B1360" t="s">
        <v>6489</v>
      </c>
      <c r="C1360"/>
      <c r="D1360"/>
      <c r="E1360"/>
      <c r="F1360"/>
      <c r="G1360"/>
      <c r="H1360"/>
      <c r="I1360"/>
    </row>
    <row r="1361" spans="1:9">
      <c r="A1361">
        <v>9905</v>
      </c>
      <c r="B1361" t="s">
        <v>6490</v>
      </c>
      <c r="C1361"/>
      <c r="D1361"/>
      <c r="E1361"/>
      <c r="F1361"/>
      <c r="G1361"/>
      <c r="H1361"/>
      <c r="I1361"/>
    </row>
    <row r="1362" spans="1:9">
      <c r="A1362">
        <v>9906</v>
      </c>
      <c r="B1362" t="s">
        <v>6491</v>
      </c>
      <c r="C1362"/>
      <c r="D1362"/>
      <c r="E1362"/>
      <c r="F1362"/>
      <c r="G1362"/>
      <c r="H1362"/>
      <c r="I1362"/>
    </row>
    <row r="1363" spans="1:9">
      <c r="A1363">
        <v>9907</v>
      </c>
      <c r="B1363" t="s">
        <v>6492</v>
      </c>
      <c r="C1363"/>
      <c r="D1363"/>
      <c r="E1363"/>
      <c r="F1363"/>
      <c r="G1363"/>
      <c r="H1363"/>
      <c r="I1363"/>
    </row>
    <row r="1364" spans="1:9">
      <c r="A1364">
        <v>9908</v>
      </c>
      <c r="B1364" t="s">
        <v>6493</v>
      </c>
      <c r="C1364"/>
      <c r="D1364"/>
      <c r="E1364"/>
      <c r="F1364"/>
      <c r="G1364"/>
      <c r="H1364"/>
      <c r="I1364"/>
    </row>
    <row r="1365" spans="1:9">
      <c r="A1365">
        <v>9910</v>
      </c>
      <c r="B1365" t="s">
        <v>6494</v>
      </c>
      <c r="C1365"/>
      <c r="D1365"/>
      <c r="E1365"/>
      <c r="F1365"/>
      <c r="G1365"/>
      <c r="H1365"/>
      <c r="I1365"/>
    </row>
    <row r="1366" spans="1:9">
      <c r="A1366">
        <v>9911</v>
      </c>
      <c r="B1366" t="s">
        <v>6495</v>
      </c>
      <c r="C1366"/>
      <c r="D1366"/>
      <c r="E1366"/>
      <c r="F1366"/>
      <c r="G1366"/>
      <c r="H1366"/>
      <c r="I1366"/>
    </row>
    <row r="1367" spans="1:9">
      <c r="A1367">
        <v>9914</v>
      </c>
      <c r="B1367" t="s">
        <v>6496</v>
      </c>
      <c r="C1367"/>
      <c r="D1367"/>
      <c r="E1367"/>
      <c r="F1367"/>
      <c r="G1367"/>
      <c r="H1367"/>
      <c r="I1367"/>
    </row>
    <row r="1368" spans="1:9">
      <c r="A1368">
        <v>9917</v>
      </c>
      <c r="B1368" t="s">
        <v>6497</v>
      </c>
      <c r="C1368"/>
      <c r="D1368"/>
      <c r="E1368"/>
      <c r="F1368"/>
      <c r="G1368"/>
      <c r="H1368"/>
      <c r="I1368"/>
    </row>
    <row r="1369" spans="1:9">
      <c r="A1369">
        <v>9918</v>
      </c>
      <c r="B1369" t="s">
        <v>6498</v>
      </c>
      <c r="C1369"/>
      <c r="D1369"/>
      <c r="E1369"/>
      <c r="F1369"/>
      <c r="G1369"/>
      <c r="H1369"/>
      <c r="I1369"/>
    </row>
    <row r="1370" spans="1:9">
      <c r="A1370">
        <v>9919</v>
      </c>
      <c r="B1370" t="s">
        <v>6499</v>
      </c>
      <c r="C1370"/>
      <c r="D1370"/>
      <c r="E1370"/>
      <c r="F1370"/>
      <c r="G1370"/>
      <c r="H1370" t="s">
        <v>6584</v>
      </c>
      <c r="I1370"/>
    </row>
    <row r="1371" spans="1:9">
      <c r="A1371">
        <v>9921</v>
      </c>
      <c r="B1371" t="s">
        <v>6500</v>
      </c>
      <c r="C1371"/>
      <c r="D1371"/>
      <c r="E1371"/>
      <c r="F1371"/>
      <c r="G1371"/>
      <c r="H1371"/>
      <c r="I1371"/>
    </row>
    <row r="1372" spans="1:9">
      <c r="A1372">
        <v>9924</v>
      </c>
      <c r="B1372" t="s">
        <v>6501</v>
      </c>
      <c r="C1372"/>
      <c r="D1372"/>
      <c r="E1372"/>
      <c r="F1372"/>
      <c r="G1372"/>
      <c r="H1372"/>
      <c r="I1372"/>
    </row>
    <row r="1373" spans="1:9">
      <c r="A1373">
        <v>9925</v>
      </c>
      <c r="B1373" t="s">
        <v>6502</v>
      </c>
      <c r="C1373"/>
      <c r="D1373"/>
      <c r="E1373"/>
      <c r="F1373"/>
      <c r="G1373"/>
      <c r="H1373"/>
      <c r="I1373"/>
    </row>
    <row r="1374" spans="1:9">
      <c r="A1374">
        <v>9926</v>
      </c>
      <c r="B1374" t="s">
        <v>6503</v>
      </c>
      <c r="C1374"/>
      <c r="D1374"/>
      <c r="E1374"/>
      <c r="F1374"/>
      <c r="G1374"/>
      <c r="H1374"/>
      <c r="I1374"/>
    </row>
    <row r="1375" spans="1:9">
      <c r="A1375">
        <v>9927</v>
      </c>
      <c r="B1375" t="s">
        <v>6504</v>
      </c>
      <c r="C1375"/>
      <c r="D1375"/>
      <c r="E1375"/>
      <c r="F1375"/>
      <c r="G1375"/>
      <c r="H1375"/>
      <c r="I1375"/>
    </row>
    <row r="1376" spans="1:9">
      <c r="A1376">
        <v>9930</v>
      </c>
      <c r="B1376" t="s">
        <v>6505</v>
      </c>
      <c r="C1376"/>
      <c r="D1376"/>
      <c r="E1376"/>
      <c r="F1376"/>
      <c r="G1376"/>
      <c r="H1376"/>
      <c r="I1376"/>
    </row>
    <row r="1377" spans="1:9">
      <c r="A1377">
        <v>9931</v>
      </c>
      <c r="B1377" t="s">
        <v>6506</v>
      </c>
      <c r="C1377"/>
      <c r="D1377"/>
      <c r="E1377"/>
      <c r="F1377"/>
      <c r="G1377"/>
      <c r="H1377"/>
      <c r="I1377"/>
    </row>
    <row r="1378" spans="1:9">
      <c r="A1378">
        <v>9933</v>
      </c>
      <c r="B1378" t="s">
        <v>6507</v>
      </c>
      <c r="C1378"/>
      <c r="D1378"/>
      <c r="E1378"/>
      <c r="F1378"/>
      <c r="G1378"/>
      <c r="H1378"/>
      <c r="I1378"/>
    </row>
    <row r="1379" spans="1:9">
      <c r="A1379">
        <v>9934</v>
      </c>
      <c r="B1379" t="s">
        <v>6508</v>
      </c>
      <c r="C1379"/>
      <c r="D1379"/>
      <c r="E1379"/>
      <c r="F1379"/>
      <c r="G1379"/>
      <c r="H1379"/>
      <c r="I1379"/>
    </row>
    <row r="1380" spans="1:9">
      <c r="A1380">
        <v>9935</v>
      </c>
      <c r="B1380" t="s">
        <v>6509</v>
      </c>
      <c r="C1380"/>
      <c r="D1380"/>
      <c r="E1380"/>
      <c r="F1380"/>
      <c r="G1380"/>
      <c r="H1380"/>
      <c r="I1380"/>
    </row>
    <row r="1381" spans="1:9">
      <c r="A1381">
        <v>9937</v>
      </c>
      <c r="B1381" t="s">
        <v>6510</v>
      </c>
      <c r="C1381"/>
      <c r="D1381"/>
      <c r="E1381"/>
      <c r="F1381"/>
      <c r="G1381"/>
      <c r="H1381"/>
      <c r="I1381"/>
    </row>
    <row r="1382" spans="1:9">
      <c r="A1382">
        <v>9938</v>
      </c>
      <c r="B1382" t="s">
        <v>6511</v>
      </c>
      <c r="C1382"/>
      <c r="D1382"/>
      <c r="E1382"/>
      <c r="F1382"/>
      <c r="G1382"/>
      <c r="H1382"/>
      <c r="I1382"/>
    </row>
    <row r="1383" spans="1:9">
      <c r="A1383">
        <v>9939</v>
      </c>
      <c r="B1383" t="s">
        <v>6512</v>
      </c>
      <c r="C1383"/>
      <c r="D1383"/>
      <c r="E1383"/>
      <c r="F1383"/>
      <c r="G1383"/>
      <c r="H1383"/>
      <c r="I1383"/>
    </row>
    <row r="1384" spans="1:9">
      <c r="A1384">
        <v>9940</v>
      </c>
      <c r="B1384" t="s">
        <v>6513</v>
      </c>
      <c r="C1384"/>
      <c r="D1384"/>
      <c r="E1384"/>
      <c r="F1384"/>
      <c r="G1384"/>
      <c r="H1384"/>
      <c r="I1384"/>
    </row>
    <row r="1385" spans="1:9">
      <c r="A1385">
        <v>9941</v>
      </c>
      <c r="B1385" t="s">
        <v>6514</v>
      </c>
      <c r="C1385"/>
      <c r="D1385"/>
      <c r="E1385"/>
      <c r="F1385"/>
      <c r="G1385"/>
      <c r="H1385"/>
      <c r="I1385"/>
    </row>
    <row r="1386" spans="1:9">
      <c r="A1386">
        <v>9942</v>
      </c>
      <c r="B1386" t="s">
        <v>6515</v>
      </c>
      <c r="C1386"/>
      <c r="D1386"/>
      <c r="E1386"/>
      <c r="F1386"/>
      <c r="G1386" t="s">
        <v>6587</v>
      </c>
      <c r="H1386"/>
      <c r="I1386"/>
    </row>
    <row r="1387" spans="1:9">
      <c r="A1387">
        <v>9943</v>
      </c>
      <c r="B1387" t="s">
        <v>6516</v>
      </c>
      <c r="C1387"/>
      <c r="D1387"/>
      <c r="E1387"/>
      <c r="F1387"/>
      <c r="G1387"/>
      <c r="H1387"/>
      <c r="I1387"/>
    </row>
    <row r="1388" spans="1:9">
      <c r="A1388">
        <v>9944</v>
      </c>
      <c r="B1388" t="s">
        <v>6517</v>
      </c>
      <c r="C1388"/>
      <c r="D1388"/>
      <c r="E1388"/>
      <c r="F1388"/>
      <c r="G1388"/>
      <c r="H1388"/>
      <c r="I1388"/>
    </row>
    <row r="1389" spans="1:9">
      <c r="A1389">
        <v>9945</v>
      </c>
      <c r="B1389" t="s">
        <v>6518</v>
      </c>
      <c r="C1389"/>
      <c r="D1389"/>
      <c r="E1389"/>
      <c r="F1389"/>
      <c r="G1389"/>
      <c r="H1389"/>
      <c r="I1389"/>
    </row>
    <row r="1390" spans="1:9">
      <c r="A1390">
        <v>9946</v>
      </c>
      <c r="B1390" t="s">
        <v>6519</v>
      </c>
      <c r="C1390"/>
      <c r="D1390"/>
      <c r="E1390"/>
      <c r="F1390"/>
      <c r="G1390"/>
      <c r="H1390"/>
      <c r="I1390"/>
    </row>
    <row r="1391" spans="1:9">
      <c r="A1391">
        <v>9951</v>
      </c>
      <c r="B1391" t="s">
        <v>6520</v>
      </c>
      <c r="C1391"/>
      <c r="D1391"/>
      <c r="E1391"/>
      <c r="F1391"/>
      <c r="G1391"/>
      <c r="H1391"/>
      <c r="I1391"/>
    </row>
    <row r="1392" spans="1:9">
      <c r="A1392">
        <v>9955</v>
      </c>
      <c r="B1392" t="s">
        <v>6521</v>
      </c>
      <c r="C1392"/>
      <c r="D1392" t="s">
        <v>6586</v>
      </c>
      <c r="E1392"/>
      <c r="F1392"/>
      <c r="G1392"/>
      <c r="H1392" t="s">
        <v>6589</v>
      </c>
      <c r="I1392">
        <v>9.76</v>
      </c>
    </row>
    <row r="1393" spans="1:9">
      <c r="A1393">
        <v>9958</v>
      </c>
      <c r="B1393" t="s">
        <v>6522</v>
      </c>
      <c r="C1393"/>
      <c r="D1393"/>
      <c r="E1393" t="s">
        <v>6585</v>
      </c>
      <c r="F1393"/>
      <c r="G1393"/>
      <c r="H1393"/>
      <c r="I1393">
        <v>6.79</v>
      </c>
    </row>
    <row r="1394" spans="1:9">
      <c r="A1394">
        <v>9962</v>
      </c>
      <c r="B1394" t="s">
        <v>6523</v>
      </c>
      <c r="C1394" t="s">
        <v>6585</v>
      </c>
      <c r="D1394" t="s">
        <v>6586</v>
      </c>
      <c r="E1394"/>
      <c r="F1394"/>
      <c r="G1394"/>
      <c r="H1394" t="s">
        <v>6584</v>
      </c>
      <c r="I1394">
        <v>23.96</v>
      </c>
    </row>
  </sheetData>
  <phoneticPr fontId="1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工作表8"/>
  <dimension ref="A1:AC1757"/>
  <sheetViews>
    <sheetView topLeftCell="A1538" workbookViewId="0">
      <selection activeCell="D1" sqref="D1"/>
    </sheetView>
  </sheetViews>
  <sheetFormatPr defaultRowHeight="15.75"/>
  <cols>
    <col min="4" max="4" width="11.42578125" bestFit="1" customWidth="1"/>
    <col min="5" max="5" width="10.85546875" customWidth="1"/>
    <col min="7" max="7" width="9.5703125" customWidth="1"/>
  </cols>
  <sheetData>
    <row r="1" spans="1:29">
      <c r="A1" t="s">
        <v>6647</v>
      </c>
      <c r="B1" t="s">
        <v>6648</v>
      </c>
      <c r="C1" t="s">
        <v>6649</v>
      </c>
      <c r="D1" t="s">
        <v>6650</v>
      </c>
      <c r="E1" t="s">
        <v>6651</v>
      </c>
      <c r="F1" t="s">
        <v>6652</v>
      </c>
      <c r="G1" t="s">
        <v>6653</v>
      </c>
      <c r="H1" t="s">
        <v>6654</v>
      </c>
      <c r="I1" t="s">
        <v>6655</v>
      </c>
      <c r="J1" t="s">
        <v>6656</v>
      </c>
      <c r="K1" t="s">
        <v>6657</v>
      </c>
      <c r="L1" t="s">
        <v>6658</v>
      </c>
      <c r="M1" t="s">
        <v>6659</v>
      </c>
      <c r="N1" t="s">
        <v>6660</v>
      </c>
      <c r="O1" t="s">
        <v>6661</v>
      </c>
      <c r="P1" t="s">
        <v>6662</v>
      </c>
      <c r="Q1" t="s">
        <v>6663</v>
      </c>
      <c r="R1" t="s">
        <v>6664</v>
      </c>
      <c r="S1" t="s">
        <v>6665</v>
      </c>
      <c r="T1" t="s">
        <v>6666</v>
      </c>
      <c r="U1" t="s">
        <v>6667</v>
      </c>
      <c r="V1" t="s">
        <v>6668</v>
      </c>
      <c r="W1" t="s">
        <v>6669</v>
      </c>
      <c r="X1" t="s">
        <v>6670</v>
      </c>
      <c r="Y1" t="s">
        <v>6671</v>
      </c>
      <c r="Z1" t="s">
        <v>6672</v>
      </c>
      <c r="AA1" t="s">
        <v>6673</v>
      </c>
      <c r="AB1" t="s">
        <v>6674</v>
      </c>
      <c r="AC1" t="s">
        <v>6675</v>
      </c>
    </row>
    <row r="2" spans="1:29">
      <c r="A2">
        <v>5274</v>
      </c>
      <c r="B2" s="395" t="s">
        <v>7786</v>
      </c>
      <c r="C2" s="395"/>
      <c r="D2" s="396">
        <v>14594706</v>
      </c>
      <c r="E2" s="396">
        <v>19150413</v>
      </c>
      <c r="F2" s="395">
        <v>4.2</v>
      </c>
      <c r="G2" s="396">
        <v>-4555707</v>
      </c>
      <c r="H2" s="396">
        <v>2755640</v>
      </c>
      <c r="I2" s="396">
        <v>47355434</v>
      </c>
      <c r="J2" s="395">
        <v>283</v>
      </c>
      <c r="K2" s="395">
        <v>230</v>
      </c>
      <c r="L2" s="397">
        <v>0.81269999999999998</v>
      </c>
      <c r="M2" s="395">
        <v>53</v>
      </c>
      <c r="N2" s="396">
        <v>51571</v>
      </c>
      <c r="O2" s="396">
        <v>83263</v>
      </c>
      <c r="P2" s="395">
        <v>0.97</v>
      </c>
      <c r="Q2" s="396">
        <v>-85957</v>
      </c>
      <c r="R2" s="396">
        <v>398780</v>
      </c>
      <c r="S2" s="396">
        <v>-347630</v>
      </c>
      <c r="T2" s="396">
        <v>15350915</v>
      </c>
      <c r="U2" s="396">
        <v>-4535520</v>
      </c>
      <c r="V2" s="395">
        <v>1159.3499999999999</v>
      </c>
      <c r="W2" s="395">
        <v>866.73</v>
      </c>
      <c r="X2" s="395">
        <v>77490</v>
      </c>
      <c r="Y2" s="395">
        <v>2429.23</v>
      </c>
      <c r="Z2" s="396">
        <v>-4657789</v>
      </c>
      <c r="AA2" s="396">
        <v>14594706</v>
      </c>
      <c r="AB2" s="396">
        <v>28467322</v>
      </c>
      <c r="AC2" s="396">
        <v>10207916</v>
      </c>
    </row>
    <row r="3" spans="1:29">
      <c r="A3">
        <v>3008</v>
      </c>
      <c r="B3" s="395" t="s">
        <v>7250</v>
      </c>
      <c r="C3" s="395"/>
      <c r="D3" s="396">
        <v>13995049</v>
      </c>
      <c r="E3" s="396">
        <v>39050600</v>
      </c>
      <c r="F3" s="395">
        <v>1.56</v>
      </c>
      <c r="G3" s="396">
        <v>-25055551</v>
      </c>
      <c r="H3" s="396">
        <v>3032890</v>
      </c>
      <c r="I3" s="396">
        <v>270930280</v>
      </c>
      <c r="J3" s="395">
        <v>281</v>
      </c>
      <c r="K3" s="395">
        <v>171</v>
      </c>
      <c r="L3" s="397">
        <v>0.60850000000000004</v>
      </c>
      <c r="M3" s="395">
        <v>110</v>
      </c>
      <c r="N3" s="396">
        <v>49804</v>
      </c>
      <c r="O3" s="396">
        <v>228366</v>
      </c>
      <c r="P3" s="395">
        <v>1</v>
      </c>
      <c r="Q3" s="396">
        <v>-227778</v>
      </c>
      <c r="R3" s="396">
        <v>501060</v>
      </c>
      <c r="S3" s="396">
        <v>-669705</v>
      </c>
      <c r="T3" s="396">
        <v>57872000</v>
      </c>
      <c r="U3" s="396">
        <v>-48603553</v>
      </c>
      <c r="V3" s="395">
        <v>10550.63</v>
      </c>
      <c r="W3" s="395">
        <v>6655.62</v>
      </c>
      <c r="X3" s="395">
        <v>77490</v>
      </c>
      <c r="Y3" s="395">
        <v>16605.599999999999</v>
      </c>
      <c r="Z3" s="396">
        <v>-22019123</v>
      </c>
      <c r="AA3" s="396">
        <v>13995049</v>
      </c>
      <c r="AB3" s="396">
        <v>-17599136</v>
      </c>
      <c r="AC3" s="396">
        <v>10207916</v>
      </c>
    </row>
    <row r="4" spans="1:29">
      <c r="A4">
        <v>5269</v>
      </c>
      <c r="B4" s="395" t="s">
        <v>7784</v>
      </c>
      <c r="C4" s="395"/>
      <c r="D4" s="396">
        <v>11517828</v>
      </c>
      <c r="E4" s="396">
        <v>23057308</v>
      </c>
      <c r="F4" s="395">
        <v>2</v>
      </c>
      <c r="G4" s="396">
        <v>-11539480</v>
      </c>
      <c r="H4" s="396">
        <v>1927431</v>
      </c>
      <c r="I4" s="396">
        <v>92581750</v>
      </c>
      <c r="J4" s="395">
        <v>283</v>
      </c>
      <c r="K4" s="395">
        <v>203</v>
      </c>
      <c r="L4" s="397">
        <v>0.71730000000000005</v>
      </c>
      <c r="M4" s="395">
        <v>80</v>
      </c>
      <c r="N4" s="396">
        <v>40699</v>
      </c>
      <c r="O4" s="396">
        <v>113583</v>
      </c>
      <c r="P4" s="395">
        <v>0.79</v>
      </c>
      <c r="Q4" s="396">
        <v>-144243</v>
      </c>
      <c r="R4" s="396">
        <v>470050</v>
      </c>
      <c r="S4" s="396">
        <v>-622050</v>
      </c>
      <c r="T4" s="396">
        <v>36472519</v>
      </c>
      <c r="U4" s="396">
        <v>-25855730</v>
      </c>
      <c r="V4" s="395">
        <v>3915.07</v>
      </c>
      <c r="W4" s="395">
        <v>1860.81</v>
      </c>
      <c r="X4" s="395">
        <v>77490</v>
      </c>
      <c r="Y4" s="395">
        <v>9127.74</v>
      </c>
      <c r="Z4" s="396">
        <v>-9300219</v>
      </c>
      <c r="AA4" s="396">
        <v>11517828</v>
      </c>
      <c r="AB4" s="396">
        <v>7644425</v>
      </c>
      <c r="AC4" s="396">
        <v>10207916</v>
      </c>
    </row>
    <row r="5" spans="1:29">
      <c r="A5">
        <v>6409</v>
      </c>
      <c r="B5" s="395" t="s">
        <v>8064</v>
      </c>
      <c r="C5" s="395"/>
      <c r="D5" s="396">
        <v>9145747</v>
      </c>
      <c r="E5" s="396">
        <v>12531056</v>
      </c>
      <c r="F5" s="395">
        <v>3.7</v>
      </c>
      <c r="G5" s="396">
        <v>-3385309</v>
      </c>
      <c r="H5" s="396">
        <v>1555946</v>
      </c>
      <c r="I5" s="396">
        <v>88124455</v>
      </c>
      <c r="J5" s="395">
        <v>283</v>
      </c>
      <c r="K5" s="395">
        <v>222</v>
      </c>
      <c r="L5" s="397">
        <v>0.78449999999999998</v>
      </c>
      <c r="M5" s="395">
        <v>61</v>
      </c>
      <c r="N5" s="396">
        <v>32317</v>
      </c>
      <c r="O5" s="396">
        <v>56446</v>
      </c>
      <c r="P5" s="395">
        <v>1.02</v>
      </c>
      <c r="Q5" s="396">
        <v>-55497</v>
      </c>
      <c r="R5" s="396">
        <v>254300</v>
      </c>
      <c r="S5" s="396">
        <v>-271770</v>
      </c>
      <c r="T5" s="396">
        <v>15547370</v>
      </c>
      <c r="U5" s="396">
        <v>-14351540</v>
      </c>
      <c r="V5" s="395">
        <v>3414.54</v>
      </c>
      <c r="W5" s="395">
        <v>2301.0300000000002</v>
      </c>
      <c r="X5" s="395">
        <v>77490</v>
      </c>
      <c r="Y5" s="395">
        <v>7467.02</v>
      </c>
      <c r="Z5" s="396">
        <v>1421867</v>
      </c>
      <c r="AA5" s="396">
        <v>9145747</v>
      </c>
      <c r="AB5" s="396">
        <v>17587445</v>
      </c>
      <c r="AC5" s="396">
        <v>10207916</v>
      </c>
    </row>
    <row r="6" spans="1:29">
      <c r="A6">
        <v>3529</v>
      </c>
      <c r="B6" s="395" t="s">
        <v>7459</v>
      </c>
      <c r="C6" s="395"/>
      <c r="D6" s="396">
        <v>9106834</v>
      </c>
      <c r="E6" s="396">
        <v>13094228</v>
      </c>
      <c r="F6" s="395">
        <v>3.28</v>
      </c>
      <c r="G6" s="396">
        <v>-3987394</v>
      </c>
      <c r="H6" s="396">
        <v>1674166</v>
      </c>
      <c r="I6" s="396">
        <v>43872056</v>
      </c>
      <c r="J6" s="395">
        <v>284</v>
      </c>
      <c r="K6" s="395">
        <v>233</v>
      </c>
      <c r="L6" s="397">
        <v>0.82040000000000002</v>
      </c>
      <c r="M6" s="395">
        <v>51</v>
      </c>
      <c r="N6" s="396">
        <v>32066</v>
      </c>
      <c r="O6" s="396">
        <v>56198</v>
      </c>
      <c r="P6" s="395">
        <v>0.72</v>
      </c>
      <c r="Q6" s="396">
        <v>-78184</v>
      </c>
      <c r="R6" s="396">
        <v>281980</v>
      </c>
      <c r="S6" s="396">
        <v>-379340</v>
      </c>
      <c r="T6" s="396">
        <v>9757106</v>
      </c>
      <c r="U6" s="396">
        <v>-5338590</v>
      </c>
      <c r="V6" s="395">
        <v>1219.42</v>
      </c>
      <c r="W6" s="395">
        <v>803.65</v>
      </c>
      <c r="X6" s="395">
        <v>77490</v>
      </c>
      <c r="Y6" s="395">
        <v>3118.92</v>
      </c>
      <c r="Z6" s="396">
        <v>18268037</v>
      </c>
      <c r="AA6" s="396">
        <v>9106834</v>
      </c>
      <c r="AB6" s="396">
        <v>100285822</v>
      </c>
      <c r="AC6" s="396">
        <v>10207916</v>
      </c>
    </row>
    <row r="7" spans="1:29">
      <c r="A7">
        <v>4966</v>
      </c>
      <c r="B7" s="395" t="s">
        <v>7735</v>
      </c>
      <c r="C7" s="395"/>
      <c r="D7" s="396">
        <v>6716276</v>
      </c>
      <c r="E7" s="396">
        <v>11330886</v>
      </c>
      <c r="F7" s="395">
        <v>2.46</v>
      </c>
      <c r="G7" s="396">
        <v>-4614610</v>
      </c>
      <c r="H7" s="396">
        <v>1862476</v>
      </c>
      <c r="I7" s="396">
        <v>30689209</v>
      </c>
      <c r="J7" s="395">
        <v>285</v>
      </c>
      <c r="K7" s="395">
        <v>231</v>
      </c>
      <c r="L7" s="397">
        <v>0.8105</v>
      </c>
      <c r="M7" s="395">
        <v>54</v>
      </c>
      <c r="N7" s="396">
        <v>23566</v>
      </c>
      <c r="O7" s="396">
        <v>49051</v>
      </c>
      <c r="P7" s="395">
        <v>0.56999999999999995</v>
      </c>
      <c r="Q7" s="396">
        <v>-85456</v>
      </c>
      <c r="R7" s="396">
        <v>168450</v>
      </c>
      <c r="S7" s="396">
        <v>-288795</v>
      </c>
      <c r="T7" s="396">
        <v>9680627</v>
      </c>
      <c r="U7" s="396">
        <v>-4681779</v>
      </c>
      <c r="V7" s="395">
        <v>1269.27</v>
      </c>
      <c r="W7" s="395">
        <v>893.45</v>
      </c>
      <c r="X7" s="395">
        <v>77490</v>
      </c>
      <c r="Y7" s="395">
        <v>2876.94</v>
      </c>
      <c r="Z7" s="396">
        <v>23208854</v>
      </c>
      <c r="AA7" s="396">
        <v>6716276</v>
      </c>
      <c r="AB7" s="396">
        <v>31981475</v>
      </c>
      <c r="AC7" s="396">
        <v>10207916</v>
      </c>
    </row>
    <row r="8" spans="1:29">
      <c r="A8">
        <v>1590</v>
      </c>
      <c r="B8" s="395" t="s">
        <v>6826</v>
      </c>
      <c r="C8" s="395"/>
      <c r="D8" s="396">
        <v>5439968</v>
      </c>
      <c r="E8" s="396">
        <v>7817263</v>
      </c>
      <c r="F8" s="395">
        <v>3.29</v>
      </c>
      <c r="G8" s="396">
        <v>-2377295</v>
      </c>
      <c r="H8" s="396">
        <v>1121168</v>
      </c>
      <c r="I8" s="396">
        <v>25106280</v>
      </c>
      <c r="J8" s="395">
        <v>286</v>
      </c>
      <c r="K8" s="395">
        <v>230</v>
      </c>
      <c r="L8" s="397">
        <v>0.80420000000000003</v>
      </c>
      <c r="M8" s="395">
        <v>56</v>
      </c>
      <c r="N8" s="396">
        <v>19021</v>
      </c>
      <c r="O8" s="396">
        <v>33988</v>
      </c>
      <c r="P8" s="395">
        <v>0.8</v>
      </c>
      <c r="Q8" s="396">
        <v>-42452</v>
      </c>
      <c r="R8" s="396">
        <v>112934</v>
      </c>
      <c r="S8" s="396">
        <v>-230208</v>
      </c>
      <c r="T8" s="396">
        <v>6111974</v>
      </c>
      <c r="U8" s="396">
        <v>-2267718</v>
      </c>
      <c r="V8" s="395">
        <v>1505.02</v>
      </c>
      <c r="W8" s="395">
        <v>1156.32</v>
      </c>
      <c r="X8" s="395">
        <v>77490</v>
      </c>
      <c r="Y8" s="395">
        <v>2937.2</v>
      </c>
      <c r="Z8" s="396">
        <v>-16641543</v>
      </c>
      <c r="AA8" s="396">
        <v>5439968</v>
      </c>
      <c r="AB8" s="396">
        <v>-2508514</v>
      </c>
      <c r="AC8" s="396">
        <v>10207916</v>
      </c>
    </row>
    <row r="9" spans="1:29">
      <c r="A9">
        <v>3661</v>
      </c>
      <c r="B9" s="395" t="s">
        <v>7517</v>
      </c>
      <c r="C9" s="395"/>
      <c r="D9" s="396">
        <v>5219668</v>
      </c>
      <c r="E9" s="396">
        <v>8772328</v>
      </c>
      <c r="F9" s="395">
        <v>2.4700000000000002</v>
      </c>
      <c r="G9" s="396">
        <v>-3552660</v>
      </c>
      <c r="H9" s="396">
        <v>946332</v>
      </c>
      <c r="I9" s="396">
        <v>51792076</v>
      </c>
      <c r="J9" s="395">
        <v>284</v>
      </c>
      <c r="K9" s="395">
        <v>237</v>
      </c>
      <c r="L9" s="397">
        <v>0.83450000000000002</v>
      </c>
      <c r="M9" s="395">
        <v>47</v>
      </c>
      <c r="N9" s="396">
        <v>18379</v>
      </c>
      <c r="O9" s="396">
        <v>37014</v>
      </c>
      <c r="P9" s="395">
        <v>0.49</v>
      </c>
      <c r="Q9" s="396">
        <v>-75589</v>
      </c>
      <c r="R9" s="396">
        <v>158701</v>
      </c>
      <c r="S9" s="396">
        <v>-393902</v>
      </c>
      <c r="T9" s="396">
        <v>8262999</v>
      </c>
      <c r="U9" s="396">
        <v>-5957406</v>
      </c>
      <c r="V9" s="395">
        <v>2547.38</v>
      </c>
      <c r="W9" s="395">
        <v>1939.93</v>
      </c>
      <c r="X9" s="395">
        <v>77490</v>
      </c>
      <c r="Y9" s="395">
        <v>5610.45</v>
      </c>
      <c r="Z9" s="396">
        <v>-14689003</v>
      </c>
      <c r="AA9" s="396">
        <v>5219668</v>
      </c>
      <c r="AB9" s="396">
        <v>36629461</v>
      </c>
      <c r="AC9" s="396">
        <v>10207916</v>
      </c>
    </row>
    <row r="10" spans="1:29">
      <c r="A10">
        <v>6669</v>
      </c>
      <c r="B10" s="395" t="s">
        <v>8176</v>
      </c>
      <c r="C10" s="395"/>
      <c r="D10" s="396">
        <v>5153514</v>
      </c>
      <c r="E10" s="396">
        <v>7512286</v>
      </c>
      <c r="F10" s="395">
        <v>3.18</v>
      </c>
      <c r="G10" s="396">
        <v>-2358772</v>
      </c>
      <c r="H10" s="396">
        <v>1060672</v>
      </c>
      <c r="I10" s="396">
        <v>44088830</v>
      </c>
      <c r="J10" s="395">
        <v>283</v>
      </c>
      <c r="K10" s="395">
        <v>228</v>
      </c>
      <c r="L10" s="397">
        <v>0.80569999999999997</v>
      </c>
      <c r="M10" s="395">
        <v>55</v>
      </c>
      <c r="N10" s="396">
        <v>18210</v>
      </c>
      <c r="O10" s="396">
        <v>32949</v>
      </c>
      <c r="P10" s="395">
        <v>0.77</v>
      </c>
      <c r="Q10" s="396">
        <v>-42887</v>
      </c>
      <c r="R10" s="396">
        <v>138164</v>
      </c>
      <c r="S10" s="396">
        <v>-110678</v>
      </c>
      <c r="T10" s="396">
        <v>6064518</v>
      </c>
      <c r="U10" s="396">
        <v>-6349626</v>
      </c>
      <c r="V10" s="395">
        <v>2611.4699999999998</v>
      </c>
      <c r="W10" s="395">
        <v>1675.57</v>
      </c>
      <c r="X10" s="395">
        <v>77490</v>
      </c>
      <c r="Y10" s="395">
        <v>6491.22</v>
      </c>
      <c r="Z10" s="396">
        <v>3379772</v>
      </c>
      <c r="AA10" s="396">
        <v>5153514</v>
      </c>
      <c r="AB10" s="396">
        <v>25596955</v>
      </c>
      <c r="AC10" s="396">
        <v>10207916</v>
      </c>
    </row>
    <row r="11" spans="1:29">
      <c r="A11">
        <v>3293</v>
      </c>
      <c r="B11" s="395" t="s">
        <v>7377</v>
      </c>
      <c r="C11" s="395"/>
      <c r="D11" s="396">
        <v>4428615</v>
      </c>
      <c r="E11" s="396">
        <v>8430686</v>
      </c>
      <c r="F11" s="395">
        <v>2.11</v>
      </c>
      <c r="G11" s="396">
        <v>-4002072</v>
      </c>
      <c r="H11" s="396">
        <v>864291</v>
      </c>
      <c r="I11" s="396">
        <v>83223352</v>
      </c>
      <c r="J11" s="395">
        <v>276</v>
      </c>
      <c r="K11" s="395">
        <v>184</v>
      </c>
      <c r="L11" s="397">
        <v>0.66669999999999996</v>
      </c>
      <c r="M11" s="395">
        <v>92</v>
      </c>
      <c r="N11" s="396">
        <v>16046</v>
      </c>
      <c r="O11" s="396">
        <v>45819</v>
      </c>
      <c r="P11" s="395">
        <v>1.05</v>
      </c>
      <c r="Q11" s="396">
        <v>-43501</v>
      </c>
      <c r="R11" s="396">
        <v>157136</v>
      </c>
      <c r="S11" s="396">
        <v>-132078</v>
      </c>
      <c r="T11" s="396">
        <v>16683336</v>
      </c>
      <c r="U11" s="396">
        <v>-11696320</v>
      </c>
      <c r="V11" s="395">
        <v>8151.64</v>
      </c>
      <c r="W11" s="395">
        <v>5225.8500000000004</v>
      </c>
      <c r="X11" s="395">
        <v>77490</v>
      </c>
      <c r="Y11" s="395">
        <v>14003.23</v>
      </c>
      <c r="Z11" s="396">
        <v>-8271485</v>
      </c>
      <c r="AA11" s="396">
        <v>4428615</v>
      </c>
      <c r="AB11" s="396">
        <v>-1910966</v>
      </c>
      <c r="AC11" s="396">
        <v>10207916</v>
      </c>
    </row>
    <row r="12" spans="1:29">
      <c r="A12">
        <v>6756</v>
      </c>
      <c r="B12" s="395" t="s">
        <v>8206</v>
      </c>
      <c r="C12" s="395"/>
      <c r="D12" s="396">
        <v>3832127</v>
      </c>
      <c r="E12" s="396">
        <v>4953187</v>
      </c>
      <c r="F12" s="395">
        <v>4.42</v>
      </c>
      <c r="G12" s="396">
        <v>-1121060</v>
      </c>
      <c r="H12" s="396">
        <v>433158</v>
      </c>
      <c r="I12" s="396">
        <v>15541366</v>
      </c>
      <c r="J12" s="395">
        <v>265</v>
      </c>
      <c r="K12" s="395">
        <v>207</v>
      </c>
      <c r="L12" s="397">
        <v>0.78110000000000002</v>
      </c>
      <c r="M12" s="395">
        <v>58</v>
      </c>
      <c r="N12" s="396">
        <v>14461</v>
      </c>
      <c r="O12" s="396">
        <v>23928</v>
      </c>
      <c r="P12" s="395">
        <v>1.24</v>
      </c>
      <c r="Q12" s="396">
        <v>-19329</v>
      </c>
      <c r="R12" s="396">
        <v>81457</v>
      </c>
      <c r="S12" s="396">
        <v>-78192</v>
      </c>
      <c r="T12" s="396">
        <v>5567585</v>
      </c>
      <c r="U12" s="396">
        <v>-1964808</v>
      </c>
      <c r="V12" s="395">
        <v>2619.06</v>
      </c>
      <c r="W12" s="395">
        <v>1979.68</v>
      </c>
      <c r="X12" s="395">
        <v>77490</v>
      </c>
      <c r="Y12" s="395">
        <v>4900.9799999999996</v>
      </c>
      <c r="Z12" s="396">
        <v>-20434318</v>
      </c>
      <c r="AA12" s="396">
        <v>3832127</v>
      </c>
      <c r="AB12" s="396">
        <v>38607112</v>
      </c>
      <c r="AC12" s="396">
        <v>10207916</v>
      </c>
    </row>
    <row r="13" spans="1:29">
      <c r="A13">
        <v>2454</v>
      </c>
      <c r="B13" s="395" t="s">
        <v>7074</v>
      </c>
      <c r="C13" s="395"/>
      <c r="D13" s="396">
        <v>3688179</v>
      </c>
      <c r="E13" s="396">
        <v>7403278</v>
      </c>
      <c r="F13" s="395">
        <v>1.99</v>
      </c>
      <c r="G13" s="396">
        <v>-3715099</v>
      </c>
      <c r="H13" s="396">
        <v>1119056</v>
      </c>
      <c r="I13" s="396">
        <v>66508502</v>
      </c>
      <c r="J13" s="395">
        <v>285</v>
      </c>
      <c r="K13" s="395">
        <v>232</v>
      </c>
      <c r="L13" s="397">
        <v>0.81399999999999995</v>
      </c>
      <c r="M13" s="395">
        <v>53</v>
      </c>
      <c r="N13" s="396">
        <v>12941</v>
      </c>
      <c r="O13" s="396">
        <v>31911</v>
      </c>
      <c r="P13" s="395">
        <v>0.46</v>
      </c>
      <c r="Q13" s="396">
        <v>-70096</v>
      </c>
      <c r="R13" s="396">
        <v>113274</v>
      </c>
      <c r="S13" s="396">
        <v>-210188</v>
      </c>
      <c r="T13" s="396">
        <v>7150516</v>
      </c>
      <c r="U13" s="396">
        <v>-3946708</v>
      </c>
      <c r="V13" s="395">
        <v>3927.71</v>
      </c>
      <c r="W13" s="395">
        <v>3743.48</v>
      </c>
      <c r="X13" s="395">
        <v>77490</v>
      </c>
      <c r="Y13" s="395">
        <v>4734.13</v>
      </c>
      <c r="Z13" s="396">
        <v>-8845705</v>
      </c>
      <c r="AA13" s="396">
        <v>3688179</v>
      </c>
      <c r="AB13" s="396">
        <v>14800743</v>
      </c>
      <c r="AC13" s="396">
        <v>10207916</v>
      </c>
    </row>
    <row r="14" spans="1:29">
      <c r="A14">
        <v>6510</v>
      </c>
      <c r="B14" s="395" t="s">
        <v>8109</v>
      </c>
      <c r="C14" s="395"/>
      <c r="D14" s="396">
        <v>3472103</v>
      </c>
      <c r="E14" s="396">
        <v>7920513</v>
      </c>
      <c r="F14" s="395">
        <v>1.78</v>
      </c>
      <c r="G14" s="396">
        <v>-4448410</v>
      </c>
      <c r="H14" s="396">
        <v>809748</v>
      </c>
      <c r="I14" s="396">
        <v>74347402</v>
      </c>
      <c r="J14" s="395">
        <v>280</v>
      </c>
      <c r="K14" s="395">
        <v>195</v>
      </c>
      <c r="L14" s="397">
        <v>0.69640000000000002</v>
      </c>
      <c r="M14" s="395">
        <v>85</v>
      </c>
      <c r="N14" s="396">
        <v>12400</v>
      </c>
      <c r="O14" s="396">
        <v>40618</v>
      </c>
      <c r="P14" s="395">
        <v>0.78</v>
      </c>
      <c r="Q14" s="396">
        <v>-52334</v>
      </c>
      <c r="R14" s="396">
        <v>156582</v>
      </c>
      <c r="S14" s="396">
        <v>-231318</v>
      </c>
      <c r="T14" s="396">
        <v>17627092</v>
      </c>
      <c r="U14" s="396">
        <v>-13579939</v>
      </c>
      <c r="V14" s="395">
        <v>8062.04</v>
      </c>
      <c r="W14" s="395">
        <v>6242.02</v>
      </c>
      <c r="X14" s="395">
        <v>77490</v>
      </c>
      <c r="Y14" s="395">
        <v>12237.38</v>
      </c>
      <c r="Z14" s="396">
        <v>-20431387</v>
      </c>
      <c r="AA14" s="396">
        <v>3472103</v>
      </c>
      <c r="AB14" s="396">
        <v>-10112273</v>
      </c>
      <c r="AC14" s="396">
        <v>10207916</v>
      </c>
    </row>
    <row r="15" spans="1:29">
      <c r="A15">
        <v>2357</v>
      </c>
      <c r="B15" s="395" t="s">
        <v>7006</v>
      </c>
      <c r="C15" s="395"/>
      <c r="D15" s="396">
        <v>3463828</v>
      </c>
      <c r="E15" s="396">
        <v>3624962</v>
      </c>
      <c r="F15" s="395">
        <v>22.5</v>
      </c>
      <c r="G15" s="396">
        <v>-161134</v>
      </c>
      <c r="H15" s="396">
        <v>398472</v>
      </c>
      <c r="I15" s="396">
        <v>36833123</v>
      </c>
      <c r="J15" s="395">
        <v>279</v>
      </c>
      <c r="K15" s="395">
        <v>246</v>
      </c>
      <c r="L15" s="397">
        <v>0.88170000000000004</v>
      </c>
      <c r="M15" s="395">
        <v>33</v>
      </c>
      <c r="N15" s="396">
        <v>12415</v>
      </c>
      <c r="O15" s="396">
        <v>14736</v>
      </c>
      <c r="P15" s="395">
        <v>3.02</v>
      </c>
      <c r="Q15" s="396">
        <v>-4883</v>
      </c>
      <c r="R15" s="396">
        <v>46157</v>
      </c>
      <c r="S15" s="396">
        <v>-17863</v>
      </c>
      <c r="T15" s="396">
        <v>5166475</v>
      </c>
      <c r="U15" s="396">
        <v>-2363203</v>
      </c>
      <c r="V15" s="395">
        <v>6740.87</v>
      </c>
      <c r="W15" s="395">
        <v>5767.34</v>
      </c>
      <c r="X15" s="395">
        <v>77490</v>
      </c>
      <c r="Y15" s="395">
        <v>13998.09</v>
      </c>
      <c r="Z15" s="396">
        <v>16836032</v>
      </c>
      <c r="AA15" s="396">
        <v>3463828</v>
      </c>
      <c r="AB15" s="396">
        <v>29393413</v>
      </c>
      <c r="AC15" s="396">
        <v>10207916</v>
      </c>
    </row>
    <row r="16" spans="1:29">
      <c r="A16">
        <v>3533</v>
      </c>
      <c r="B16" s="395" t="s">
        <v>7463</v>
      </c>
      <c r="C16" s="395"/>
      <c r="D16" s="396">
        <v>3226629</v>
      </c>
      <c r="E16" s="396">
        <v>4383792</v>
      </c>
      <c r="F16" s="395">
        <v>3.79</v>
      </c>
      <c r="G16" s="396">
        <v>-1157163</v>
      </c>
      <c r="H16" s="396">
        <v>669477</v>
      </c>
      <c r="I16" s="396">
        <v>27435841</v>
      </c>
      <c r="J16" s="395">
        <v>282</v>
      </c>
      <c r="K16" s="395">
        <v>241</v>
      </c>
      <c r="L16" s="397">
        <v>0.85460000000000003</v>
      </c>
      <c r="M16" s="395">
        <v>41</v>
      </c>
      <c r="N16" s="396">
        <v>11442</v>
      </c>
      <c r="O16" s="396">
        <v>18190</v>
      </c>
      <c r="P16" s="395">
        <v>0.64</v>
      </c>
      <c r="Q16" s="396">
        <v>-28223</v>
      </c>
      <c r="R16" s="396">
        <v>67632</v>
      </c>
      <c r="S16" s="396">
        <v>-115714</v>
      </c>
      <c r="T16" s="396">
        <v>5124389</v>
      </c>
      <c r="U16" s="396">
        <v>-2249806</v>
      </c>
      <c r="V16" s="395">
        <v>3008.38</v>
      </c>
      <c r="W16" s="395">
        <v>2646.51</v>
      </c>
      <c r="X16" s="395">
        <v>77490</v>
      </c>
      <c r="Y16" s="395">
        <v>5135.4399999999996</v>
      </c>
      <c r="Z16" s="396">
        <v>789965</v>
      </c>
      <c r="AA16" s="396">
        <v>3226629</v>
      </c>
      <c r="AB16" s="396">
        <v>16710861</v>
      </c>
      <c r="AC16" s="396">
        <v>10207916</v>
      </c>
    </row>
    <row r="17" spans="1:29">
      <c r="A17">
        <v>6491</v>
      </c>
      <c r="B17" s="395" t="s">
        <v>8099</v>
      </c>
      <c r="C17" s="395"/>
      <c r="D17" s="396">
        <v>3146296</v>
      </c>
      <c r="E17" s="396">
        <v>4735225</v>
      </c>
      <c r="F17" s="395">
        <v>2.98</v>
      </c>
      <c r="G17" s="396">
        <v>-1588929</v>
      </c>
      <c r="H17" s="396">
        <v>510704</v>
      </c>
      <c r="I17" s="396">
        <v>23039180</v>
      </c>
      <c r="J17" s="395">
        <v>281</v>
      </c>
      <c r="K17" s="395">
        <v>228</v>
      </c>
      <c r="L17" s="397">
        <v>0.81140000000000001</v>
      </c>
      <c r="M17" s="395">
        <v>53</v>
      </c>
      <c r="N17" s="396">
        <v>11197</v>
      </c>
      <c r="O17" s="396">
        <v>20769</v>
      </c>
      <c r="P17" s="395">
        <v>0.69</v>
      </c>
      <c r="Q17" s="396">
        <v>-29980</v>
      </c>
      <c r="R17" s="396">
        <v>90168</v>
      </c>
      <c r="S17" s="396">
        <v>-100212</v>
      </c>
      <c r="T17" s="396">
        <v>3595904</v>
      </c>
      <c r="U17" s="396">
        <v>-2622903</v>
      </c>
      <c r="V17" s="395">
        <v>2444.65</v>
      </c>
      <c r="W17" s="395">
        <v>1520.12</v>
      </c>
      <c r="X17" s="395">
        <v>77490</v>
      </c>
      <c r="Y17" s="395">
        <v>6421.85</v>
      </c>
      <c r="Z17" s="396">
        <v>-4673499</v>
      </c>
      <c r="AA17" s="396">
        <v>3146296</v>
      </c>
      <c r="AB17" s="396">
        <v>33114570</v>
      </c>
      <c r="AC17" s="396">
        <v>10207916</v>
      </c>
    </row>
    <row r="18" spans="1:29">
      <c r="A18">
        <v>2207</v>
      </c>
      <c r="B18" s="395" t="s">
        <v>6956</v>
      </c>
      <c r="C18" s="395"/>
      <c r="D18" s="396">
        <v>2984930</v>
      </c>
      <c r="E18" s="396">
        <v>3991930</v>
      </c>
      <c r="F18" s="395">
        <v>3.96</v>
      </c>
      <c r="G18" s="396">
        <v>-1007000</v>
      </c>
      <c r="H18" s="396">
        <v>682359</v>
      </c>
      <c r="I18" s="396">
        <v>32741372</v>
      </c>
      <c r="J18" s="395">
        <v>282</v>
      </c>
      <c r="K18" s="395">
        <v>229</v>
      </c>
      <c r="L18" s="397">
        <v>0.81210000000000004</v>
      </c>
      <c r="M18" s="395">
        <v>53</v>
      </c>
      <c r="N18" s="396">
        <v>10585</v>
      </c>
      <c r="O18" s="396">
        <v>17432</v>
      </c>
      <c r="P18" s="395">
        <v>0.92</v>
      </c>
      <c r="Q18" s="396">
        <v>-19000</v>
      </c>
      <c r="R18" s="396">
        <v>60714</v>
      </c>
      <c r="S18" s="396">
        <v>-64448</v>
      </c>
      <c r="T18" s="396">
        <v>4687180</v>
      </c>
      <c r="U18" s="396">
        <v>-2733548</v>
      </c>
      <c r="V18" s="395">
        <v>4889.03</v>
      </c>
      <c r="W18" s="395">
        <v>4382.25</v>
      </c>
      <c r="X18" s="395">
        <v>77490</v>
      </c>
      <c r="Y18" s="395">
        <v>7078.7</v>
      </c>
      <c r="Z18" s="396">
        <v>-4784252</v>
      </c>
      <c r="AA18" s="396">
        <v>2984930</v>
      </c>
      <c r="AB18" s="396">
        <v>-2968265</v>
      </c>
      <c r="AC18" s="396">
        <v>10207916</v>
      </c>
    </row>
    <row r="19" spans="1:29">
      <c r="A19">
        <v>6515</v>
      </c>
      <c r="B19" s="395" t="s">
        <v>8112</v>
      </c>
      <c r="C19" s="395"/>
      <c r="D19" s="396">
        <v>2954464</v>
      </c>
      <c r="E19" s="396">
        <v>6037635</v>
      </c>
      <c r="F19" s="395">
        <v>1.96</v>
      </c>
      <c r="G19" s="396">
        <v>-3083171</v>
      </c>
      <c r="H19" s="396">
        <v>309303</v>
      </c>
      <c r="I19" s="396">
        <v>41007239</v>
      </c>
      <c r="J19" s="395">
        <v>222</v>
      </c>
      <c r="K19" s="395">
        <v>157</v>
      </c>
      <c r="L19" s="397">
        <v>0.70720000000000005</v>
      </c>
      <c r="M19" s="395">
        <v>65</v>
      </c>
      <c r="N19" s="396">
        <v>13308</v>
      </c>
      <c r="O19" s="396">
        <v>38456</v>
      </c>
      <c r="P19" s="395">
        <v>0.81</v>
      </c>
      <c r="Q19" s="396">
        <v>-47433</v>
      </c>
      <c r="R19" s="396">
        <v>108471</v>
      </c>
      <c r="S19" s="396">
        <v>-143509</v>
      </c>
      <c r="T19" s="396">
        <v>11479995</v>
      </c>
      <c r="U19" s="396">
        <v>-8583945</v>
      </c>
      <c r="V19" s="395">
        <v>14961.16</v>
      </c>
      <c r="W19" s="395">
        <v>8464.76</v>
      </c>
      <c r="X19" s="395">
        <v>74250</v>
      </c>
      <c r="Y19" s="395">
        <v>30652.46</v>
      </c>
      <c r="Z19" s="396">
        <v>-16759143</v>
      </c>
      <c r="AA19" s="396">
        <v>2954464</v>
      </c>
      <c r="AB19" s="396">
        <v>-5667766</v>
      </c>
      <c r="AC19" s="396">
        <v>10207916</v>
      </c>
    </row>
    <row r="20" spans="1:29">
      <c r="A20">
        <v>8299</v>
      </c>
      <c r="B20" s="395" t="s">
        <v>8309</v>
      </c>
      <c r="C20" s="395"/>
      <c r="D20" s="396">
        <v>2762710</v>
      </c>
      <c r="E20" s="396">
        <v>4058568</v>
      </c>
      <c r="F20" s="395">
        <v>3.13</v>
      </c>
      <c r="G20" s="396">
        <v>-1295857</v>
      </c>
      <c r="H20" s="396">
        <v>507567</v>
      </c>
      <c r="I20" s="396">
        <v>26873326</v>
      </c>
      <c r="J20" s="395">
        <v>276</v>
      </c>
      <c r="K20" s="395">
        <v>221</v>
      </c>
      <c r="L20" s="397">
        <v>0.80069999999999997</v>
      </c>
      <c r="M20" s="395">
        <v>55</v>
      </c>
      <c r="N20" s="396">
        <v>10010</v>
      </c>
      <c r="O20" s="396">
        <v>18365</v>
      </c>
      <c r="P20" s="395">
        <v>0.78</v>
      </c>
      <c r="Q20" s="396">
        <v>-23561</v>
      </c>
      <c r="R20" s="396">
        <v>71647</v>
      </c>
      <c r="S20" s="396">
        <v>-109214</v>
      </c>
      <c r="T20" s="396">
        <v>4337011</v>
      </c>
      <c r="U20" s="396">
        <v>-2952690</v>
      </c>
      <c r="V20" s="395">
        <v>3687.09</v>
      </c>
      <c r="W20" s="395">
        <v>2203.5700000000002</v>
      </c>
      <c r="X20" s="395">
        <v>77490</v>
      </c>
      <c r="Y20" s="395">
        <v>9648.16</v>
      </c>
      <c r="Z20" s="396">
        <v>-9095033</v>
      </c>
      <c r="AA20" s="396">
        <v>2762710</v>
      </c>
      <c r="AB20" s="396">
        <v>28099752</v>
      </c>
      <c r="AC20" s="396">
        <v>10207916</v>
      </c>
    </row>
    <row r="21" spans="1:29">
      <c r="A21">
        <v>8046</v>
      </c>
      <c r="B21" s="395" t="s">
        <v>8240</v>
      </c>
      <c r="C21" s="395"/>
      <c r="D21" s="396">
        <v>2560485</v>
      </c>
      <c r="E21" s="396">
        <v>3684898</v>
      </c>
      <c r="F21" s="395">
        <v>3.28</v>
      </c>
      <c r="G21" s="396">
        <v>-1124413</v>
      </c>
      <c r="H21" s="396">
        <v>469715</v>
      </c>
      <c r="I21" s="396">
        <v>28569159</v>
      </c>
      <c r="J21" s="395">
        <v>281</v>
      </c>
      <c r="K21" s="395">
        <v>218</v>
      </c>
      <c r="L21" s="397">
        <v>0.77580000000000005</v>
      </c>
      <c r="M21" s="395">
        <v>63</v>
      </c>
      <c r="N21" s="396">
        <v>9112</v>
      </c>
      <c r="O21" s="396">
        <v>16903</v>
      </c>
      <c r="P21" s="395">
        <v>0.95</v>
      </c>
      <c r="Q21" s="396">
        <v>-17848</v>
      </c>
      <c r="R21" s="396">
        <v>81920</v>
      </c>
      <c r="S21" s="396">
        <v>-79094</v>
      </c>
      <c r="T21" s="396">
        <v>4270376</v>
      </c>
      <c r="U21" s="396">
        <v>-3671622</v>
      </c>
      <c r="V21" s="395">
        <v>2577.4699999999998</v>
      </c>
      <c r="W21" s="395">
        <v>1420.43</v>
      </c>
      <c r="X21" s="395">
        <v>77490</v>
      </c>
      <c r="Y21" s="395">
        <v>6581.19</v>
      </c>
      <c r="Z21" s="396">
        <v>28491148</v>
      </c>
      <c r="AA21" s="396">
        <v>2560485</v>
      </c>
      <c r="AB21" s="396">
        <v>81148558</v>
      </c>
      <c r="AC21" s="396">
        <v>10207916</v>
      </c>
    </row>
    <row r="22" spans="1:29">
      <c r="A22">
        <v>6679</v>
      </c>
      <c r="B22" s="395" t="s">
        <v>8181</v>
      </c>
      <c r="C22" s="395"/>
      <c r="D22" s="396">
        <v>2276932</v>
      </c>
      <c r="E22" s="396">
        <v>2956690</v>
      </c>
      <c r="F22" s="395">
        <v>4.3499999999999996</v>
      </c>
      <c r="G22" s="396">
        <v>-679758</v>
      </c>
      <c r="H22" s="396">
        <v>387353</v>
      </c>
      <c r="I22" s="396">
        <v>8394086</v>
      </c>
      <c r="J22" s="395">
        <v>282</v>
      </c>
      <c r="K22" s="395">
        <v>236</v>
      </c>
      <c r="L22" s="397">
        <v>0.83689999999999998</v>
      </c>
      <c r="M22" s="395">
        <v>46</v>
      </c>
      <c r="N22" s="396">
        <v>8074</v>
      </c>
      <c r="O22" s="396">
        <v>12528</v>
      </c>
      <c r="P22" s="395">
        <v>0.85</v>
      </c>
      <c r="Q22" s="396">
        <v>-14777</v>
      </c>
      <c r="R22" s="396">
        <v>48373</v>
      </c>
      <c r="S22" s="396">
        <v>-59333</v>
      </c>
      <c r="T22" s="396">
        <v>2297851</v>
      </c>
      <c r="U22" s="396">
        <v>-1047529</v>
      </c>
      <c r="V22" s="395">
        <v>1413.68</v>
      </c>
      <c r="W22" s="395">
        <v>988.64</v>
      </c>
      <c r="X22" s="395">
        <v>77490</v>
      </c>
      <c r="Y22" s="395">
        <v>3594.37</v>
      </c>
      <c r="Z22" s="396">
        <v>-7630829</v>
      </c>
      <c r="AA22" s="396">
        <v>2276932</v>
      </c>
      <c r="AB22" s="396">
        <v>48887530</v>
      </c>
      <c r="AC22" s="396">
        <v>10207916</v>
      </c>
    </row>
    <row r="23" spans="1:29">
      <c r="A23">
        <v>6121</v>
      </c>
      <c r="B23" s="395" t="s">
        <v>7922</v>
      </c>
      <c r="C23" s="395"/>
      <c r="D23" s="396">
        <v>1942876</v>
      </c>
      <c r="E23" s="396">
        <v>2844767</v>
      </c>
      <c r="F23" s="395">
        <v>3.15</v>
      </c>
      <c r="G23" s="396">
        <v>-901891</v>
      </c>
      <c r="H23" s="396">
        <v>382327</v>
      </c>
      <c r="I23" s="396">
        <v>29312757</v>
      </c>
      <c r="J23" s="395">
        <v>279</v>
      </c>
      <c r="K23" s="395">
        <v>211</v>
      </c>
      <c r="L23" s="397">
        <v>0.75629999999999997</v>
      </c>
      <c r="M23" s="395">
        <v>68</v>
      </c>
      <c r="N23" s="396">
        <v>6964</v>
      </c>
      <c r="O23" s="396">
        <v>13482</v>
      </c>
      <c r="P23" s="395">
        <v>1.02</v>
      </c>
      <c r="Q23" s="396">
        <v>-13263</v>
      </c>
      <c r="R23" s="396">
        <v>47099</v>
      </c>
      <c r="S23" s="396">
        <v>-43732</v>
      </c>
      <c r="T23" s="396">
        <v>3268478</v>
      </c>
      <c r="U23" s="396">
        <v>-2272339</v>
      </c>
      <c r="V23" s="395">
        <v>7509.34</v>
      </c>
      <c r="W23" s="395">
        <v>5969.9</v>
      </c>
      <c r="X23" s="395">
        <v>77490</v>
      </c>
      <c r="Y23" s="395">
        <v>12286.13</v>
      </c>
      <c r="Z23" s="396">
        <v>-12220274</v>
      </c>
      <c r="AA23" s="396">
        <v>1942876</v>
      </c>
      <c r="AB23" s="396">
        <v>-2544789</v>
      </c>
      <c r="AC23" s="396">
        <v>10207916</v>
      </c>
    </row>
    <row r="24" spans="1:29">
      <c r="A24">
        <v>6531</v>
      </c>
      <c r="B24" s="395" t="s">
        <v>8118</v>
      </c>
      <c r="C24" s="395"/>
      <c r="D24" s="396">
        <v>1916084</v>
      </c>
      <c r="E24" s="396">
        <v>6408394</v>
      </c>
      <c r="F24" s="395">
        <v>1.43</v>
      </c>
      <c r="G24" s="396">
        <v>-4492310</v>
      </c>
      <c r="H24" s="396">
        <v>669778</v>
      </c>
      <c r="I24" s="396">
        <v>17659908</v>
      </c>
      <c r="J24" s="395">
        <v>271</v>
      </c>
      <c r="K24" s="395">
        <v>191</v>
      </c>
      <c r="L24" s="397">
        <v>0.70479999999999998</v>
      </c>
      <c r="M24" s="395">
        <v>80</v>
      </c>
      <c r="N24" s="396">
        <v>7070</v>
      </c>
      <c r="O24" s="396">
        <v>33552</v>
      </c>
      <c r="P24" s="395">
        <v>0.6</v>
      </c>
      <c r="Q24" s="396">
        <v>-56154</v>
      </c>
      <c r="R24" s="396">
        <v>107308</v>
      </c>
      <c r="S24" s="396">
        <v>-174678</v>
      </c>
      <c r="T24" s="396">
        <v>5143442</v>
      </c>
      <c r="U24" s="396">
        <v>-3082986</v>
      </c>
      <c r="V24" s="395">
        <v>2313.23</v>
      </c>
      <c r="W24" s="395">
        <v>1297.17</v>
      </c>
      <c r="X24" s="395">
        <v>75870</v>
      </c>
      <c r="Y24" s="395">
        <v>4739.09</v>
      </c>
      <c r="Z24" s="396">
        <v>-18534483</v>
      </c>
      <c r="AA24" s="396">
        <v>1916084</v>
      </c>
      <c r="AB24" s="396">
        <v>27982881</v>
      </c>
      <c r="AC24" s="396">
        <v>10207916</v>
      </c>
    </row>
    <row r="25" spans="1:29">
      <c r="A25">
        <v>2330</v>
      </c>
      <c r="B25" s="395" t="s">
        <v>6988</v>
      </c>
      <c r="C25" s="395"/>
      <c r="D25" s="396">
        <v>1910703</v>
      </c>
      <c r="E25" s="396">
        <v>4023439</v>
      </c>
      <c r="F25" s="395">
        <v>1.9</v>
      </c>
      <c r="G25" s="396">
        <v>-2112737</v>
      </c>
      <c r="H25" s="396">
        <v>694794</v>
      </c>
      <c r="I25" s="396">
        <v>59374492</v>
      </c>
      <c r="J25" s="395">
        <v>286</v>
      </c>
      <c r="K25" s="395">
        <v>226</v>
      </c>
      <c r="L25" s="397">
        <v>0.79020000000000001</v>
      </c>
      <c r="M25" s="395">
        <v>60</v>
      </c>
      <c r="N25" s="396">
        <v>6681</v>
      </c>
      <c r="O25" s="396">
        <v>17803</v>
      </c>
      <c r="P25" s="395">
        <v>0.51</v>
      </c>
      <c r="Q25" s="396">
        <v>-35212</v>
      </c>
      <c r="R25" s="396">
        <v>68715</v>
      </c>
      <c r="S25" s="396">
        <v>-115514</v>
      </c>
      <c r="T25" s="396">
        <v>6603756</v>
      </c>
      <c r="U25" s="396">
        <v>-3644792</v>
      </c>
      <c r="V25" s="395">
        <v>7263.57</v>
      </c>
      <c r="W25" s="395">
        <v>7013.96</v>
      </c>
      <c r="X25" s="395">
        <v>77490</v>
      </c>
      <c r="Y25" s="395">
        <v>8203.77</v>
      </c>
      <c r="Z25" s="396">
        <v>-864945</v>
      </c>
      <c r="AA25" s="396">
        <v>1910703</v>
      </c>
      <c r="AB25" s="396">
        <v>4652855</v>
      </c>
      <c r="AC25" s="396">
        <v>10207916</v>
      </c>
    </row>
    <row r="26" spans="1:29">
      <c r="A26">
        <v>3218</v>
      </c>
      <c r="B26" s="395" t="s">
        <v>7348</v>
      </c>
      <c r="C26" s="395"/>
      <c r="D26" s="396">
        <v>1886999</v>
      </c>
      <c r="E26" s="396">
        <v>2602199</v>
      </c>
      <c r="F26" s="395">
        <v>3.64</v>
      </c>
      <c r="G26" s="396">
        <v>-715200</v>
      </c>
      <c r="H26" s="396">
        <v>329344</v>
      </c>
      <c r="I26" s="396">
        <v>24836794</v>
      </c>
      <c r="J26" s="395">
        <v>274</v>
      </c>
      <c r="K26" s="395">
        <v>225</v>
      </c>
      <c r="L26" s="397">
        <v>0.82120000000000004</v>
      </c>
      <c r="M26" s="395">
        <v>49</v>
      </c>
      <c r="N26" s="396">
        <v>6887</v>
      </c>
      <c r="O26" s="396">
        <v>11565</v>
      </c>
      <c r="P26" s="395">
        <v>0.79</v>
      </c>
      <c r="Q26" s="396">
        <v>-14596</v>
      </c>
      <c r="R26" s="396">
        <v>36700</v>
      </c>
      <c r="S26" s="396">
        <v>-56791</v>
      </c>
      <c r="T26" s="396">
        <v>3111484</v>
      </c>
      <c r="U26" s="396">
        <v>-2595111</v>
      </c>
      <c r="V26" s="395">
        <v>5408.78</v>
      </c>
      <c r="W26" s="395">
        <v>3870.91</v>
      </c>
      <c r="X26" s="395">
        <v>77490</v>
      </c>
      <c r="Y26" s="395">
        <v>12470.45</v>
      </c>
      <c r="Z26" s="396">
        <v>327189</v>
      </c>
      <c r="AA26" s="396">
        <v>1886999</v>
      </c>
      <c r="AB26" s="396">
        <v>15523348</v>
      </c>
      <c r="AC26" s="396">
        <v>10207916</v>
      </c>
    </row>
    <row r="27" spans="1:29">
      <c r="A27">
        <v>8016</v>
      </c>
      <c r="B27" s="395" t="s">
        <v>8226</v>
      </c>
      <c r="C27" s="395"/>
      <c r="D27" s="396">
        <v>1856943</v>
      </c>
      <c r="E27" s="396">
        <v>3528357</v>
      </c>
      <c r="F27" s="395">
        <v>2.11</v>
      </c>
      <c r="G27" s="396">
        <v>-1671414</v>
      </c>
      <c r="H27" s="396">
        <v>310570</v>
      </c>
      <c r="I27" s="396">
        <v>19507652</v>
      </c>
      <c r="J27" s="395">
        <v>283</v>
      </c>
      <c r="K27" s="395">
        <v>218</v>
      </c>
      <c r="L27" s="397">
        <v>0.77029999999999998</v>
      </c>
      <c r="M27" s="395">
        <v>65</v>
      </c>
      <c r="N27" s="396">
        <v>6562</v>
      </c>
      <c r="O27" s="396">
        <v>16185</v>
      </c>
      <c r="P27" s="395">
        <v>0.63</v>
      </c>
      <c r="Q27" s="396">
        <v>-25714</v>
      </c>
      <c r="R27" s="396">
        <v>68473</v>
      </c>
      <c r="S27" s="396">
        <v>-108380</v>
      </c>
      <c r="T27" s="396">
        <v>4748905</v>
      </c>
      <c r="U27" s="396">
        <v>-3757482</v>
      </c>
      <c r="V27" s="395">
        <v>4243.75</v>
      </c>
      <c r="W27" s="395">
        <v>2775.06</v>
      </c>
      <c r="X27" s="395">
        <v>77490</v>
      </c>
      <c r="Y27" s="395">
        <v>9169.51</v>
      </c>
      <c r="Z27" s="396">
        <v>-801579</v>
      </c>
      <c r="AA27" s="396">
        <v>1856943</v>
      </c>
      <c r="AB27" s="396">
        <v>44746248</v>
      </c>
      <c r="AC27" s="396">
        <v>10207916</v>
      </c>
    </row>
    <row r="28" spans="1:29">
      <c r="A28">
        <v>6547</v>
      </c>
      <c r="B28" s="395" t="s">
        <v>8125</v>
      </c>
      <c r="C28" s="395"/>
      <c r="D28" s="396">
        <v>1808753</v>
      </c>
      <c r="E28" s="396">
        <v>2494952</v>
      </c>
      <c r="F28" s="395">
        <v>3.64</v>
      </c>
      <c r="G28" s="396">
        <v>-686199</v>
      </c>
      <c r="H28" s="396">
        <v>231547</v>
      </c>
      <c r="I28" s="396">
        <v>5123949</v>
      </c>
      <c r="J28" s="395">
        <v>229</v>
      </c>
      <c r="K28" s="395">
        <v>197</v>
      </c>
      <c r="L28" s="397">
        <v>0.86029999999999995</v>
      </c>
      <c r="M28" s="395">
        <v>32</v>
      </c>
      <c r="N28" s="396">
        <v>7898</v>
      </c>
      <c r="O28" s="396">
        <v>12665</v>
      </c>
      <c r="P28" s="395">
        <v>0.59</v>
      </c>
      <c r="Q28" s="396">
        <v>-21444</v>
      </c>
      <c r="R28" s="396">
        <v>111513</v>
      </c>
      <c r="S28" s="396">
        <v>-100410</v>
      </c>
      <c r="T28" s="396">
        <v>2011138</v>
      </c>
      <c r="U28" s="396">
        <v>-1262639</v>
      </c>
      <c r="V28" s="395">
        <v>1140.0999999999999</v>
      </c>
      <c r="W28" s="395">
        <v>728.66</v>
      </c>
      <c r="X28" s="395">
        <v>77220</v>
      </c>
      <c r="Y28" s="395">
        <v>3672.97</v>
      </c>
      <c r="Z28" s="396">
        <v>25468946</v>
      </c>
      <c r="AA28" s="396">
        <v>1808753</v>
      </c>
      <c r="AB28" s="396">
        <v>72539801</v>
      </c>
      <c r="AC28" s="396">
        <v>10207916</v>
      </c>
    </row>
    <row r="29" spans="1:29">
      <c r="A29">
        <v>6488</v>
      </c>
      <c r="B29" s="395" t="s">
        <v>8098</v>
      </c>
      <c r="C29" s="395"/>
      <c r="D29" s="396">
        <v>1783753</v>
      </c>
      <c r="E29" s="396">
        <v>6207134</v>
      </c>
      <c r="F29" s="395">
        <v>1.4</v>
      </c>
      <c r="G29" s="396">
        <v>-4423380</v>
      </c>
      <c r="H29" s="396">
        <v>901196</v>
      </c>
      <c r="I29" s="396">
        <v>29515229</v>
      </c>
      <c r="J29" s="395">
        <v>282</v>
      </c>
      <c r="K29" s="395">
        <v>213</v>
      </c>
      <c r="L29" s="397">
        <v>0.75529999999999997</v>
      </c>
      <c r="M29" s="395">
        <v>69</v>
      </c>
      <c r="N29" s="396">
        <v>6325</v>
      </c>
      <c r="O29" s="396">
        <v>29141</v>
      </c>
      <c r="P29" s="395">
        <v>0.45</v>
      </c>
      <c r="Q29" s="396">
        <v>-64107</v>
      </c>
      <c r="R29" s="396">
        <v>126122</v>
      </c>
      <c r="S29" s="396">
        <v>-251064</v>
      </c>
      <c r="T29" s="396">
        <v>5002657</v>
      </c>
      <c r="U29" s="396">
        <v>-3676164</v>
      </c>
      <c r="V29" s="395">
        <v>2366.85</v>
      </c>
      <c r="W29" s="395">
        <v>1528.34</v>
      </c>
      <c r="X29" s="395">
        <v>77490</v>
      </c>
      <c r="Y29" s="395">
        <v>4955.3</v>
      </c>
      <c r="Z29" s="396">
        <v>-14212448</v>
      </c>
      <c r="AA29" s="396">
        <v>1783753</v>
      </c>
      <c r="AB29" s="396">
        <v>-3556969</v>
      </c>
      <c r="AC29" s="396">
        <v>10207916</v>
      </c>
    </row>
    <row r="30" spans="1:29">
      <c r="A30">
        <v>3023</v>
      </c>
      <c r="B30" s="395" t="s">
        <v>7262</v>
      </c>
      <c r="C30" s="395"/>
      <c r="D30" s="396">
        <v>1728535</v>
      </c>
      <c r="E30" s="396">
        <v>2343890</v>
      </c>
      <c r="F30" s="395">
        <v>3.81</v>
      </c>
      <c r="G30" s="396">
        <v>-615355</v>
      </c>
      <c r="H30" s="396">
        <v>292289</v>
      </c>
      <c r="I30" s="396">
        <v>13041791</v>
      </c>
      <c r="J30" s="395">
        <v>282</v>
      </c>
      <c r="K30" s="395">
        <v>225</v>
      </c>
      <c r="L30" s="397">
        <v>0.79790000000000005</v>
      </c>
      <c r="M30" s="395">
        <v>57</v>
      </c>
      <c r="N30" s="396">
        <v>6130</v>
      </c>
      <c r="O30" s="396">
        <v>10417</v>
      </c>
      <c r="P30" s="395">
        <v>0.96</v>
      </c>
      <c r="Q30" s="396">
        <v>-10796</v>
      </c>
      <c r="R30" s="396">
        <v>35597</v>
      </c>
      <c r="S30" s="396">
        <v>-29433</v>
      </c>
      <c r="T30" s="396">
        <v>2425047</v>
      </c>
      <c r="U30" s="396">
        <v>-1266508</v>
      </c>
      <c r="V30" s="395">
        <v>2883.83</v>
      </c>
      <c r="W30" s="395">
        <v>2057.4699999999998</v>
      </c>
      <c r="X30" s="395">
        <v>77490</v>
      </c>
      <c r="Y30" s="395">
        <v>6145.81</v>
      </c>
      <c r="Z30" s="396">
        <v>7760009</v>
      </c>
      <c r="AA30" s="396">
        <v>1728535</v>
      </c>
      <c r="AB30" s="396">
        <v>11608160</v>
      </c>
      <c r="AC30" s="396">
        <v>10207916</v>
      </c>
    </row>
    <row r="31" spans="1:29">
      <c r="A31">
        <v>3665</v>
      </c>
      <c r="B31" s="395" t="s">
        <v>7520</v>
      </c>
      <c r="C31" s="395"/>
      <c r="D31" s="396">
        <v>1681652</v>
      </c>
      <c r="E31" s="396">
        <v>2354728</v>
      </c>
      <c r="F31" s="395">
        <v>3.5</v>
      </c>
      <c r="G31" s="396">
        <v>-673076</v>
      </c>
      <c r="H31" s="396">
        <v>296348</v>
      </c>
      <c r="I31" s="396">
        <v>20899566</v>
      </c>
      <c r="J31" s="395">
        <v>280</v>
      </c>
      <c r="K31" s="395">
        <v>214</v>
      </c>
      <c r="L31" s="397">
        <v>0.76429999999999998</v>
      </c>
      <c r="M31" s="395">
        <v>66</v>
      </c>
      <c r="N31" s="396">
        <v>6006</v>
      </c>
      <c r="O31" s="396">
        <v>11003</v>
      </c>
      <c r="P31" s="395">
        <v>1.08</v>
      </c>
      <c r="Q31" s="396">
        <v>-10198</v>
      </c>
      <c r="R31" s="396">
        <v>56046</v>
      </c>
      <c r="S31" s="396">
        <v>-44154</v>
      </c>
      <c r="T31" s="396">
        <v>5033247</v>
      </c>
      <c r="U31" s="396">
        <v>-3576277</v>
      </c>
      <c r="V31" s="395">
        <v>4163.96</v>
      </c>
      <c r="W31" s="395">
        <v>1921.44</v>
      </c>
      <c r="X31" s="395">
        <v>77220</v>
      </c>
      <c r="Y31" s="395">
        <v>11435.17</v>
      </c>
      <c r="Z31" s="396">
        <v>4864453</v>
      </c>
      <c r="AA31" s="396">
        <v>1681652</v>
      </c>
      <c r="AB31" s="396">
        <v>13538267</v>
      </c>
      <c r="AC31" s="396">
        <v>10207916</v>
      </c>
    </row>
    <row r="32" spans="1:29">
      <c r="A32">
        <v>3081</v>
      </c>
      <c r="B32" s="395" t="s">
        <v>7305</v>
      </c>
      <c r="C32" s="395"/>
      <c r="D32" s="396">
        <v>1556988</v>
      </c>
      <c r="E32" s="396">
        <v>2804577</v>
      </c>
      <c r="F32" s="395">
        <v>2.25</v>
      </c>
      <c r="G32" s="396">
        <v>-1247589</v>
      </c>
      <c r="H32" s="396">
        <v>260539</v>
      </c>
      <c r="I32" s="396">
        <v>23386780</v>
      </c>
      <c r="J32" s="395">
        <v>275</v>
      </c>
      <c r="K32" s="395">
        <v>162</v>
      </c>
      <c r="L32" s="397">
        <v>0.58909999999999996</v>
      </c>
      <c r="M32" s="395">
        <v>113</v>
      </c>
      <c r="N32" s="396">
        <v>5662</v>
      </c>
      <c r="O32" s="396">
        <v>17312</v>
      </c>
      <c r="P32" s="395">
        <v>1.57</v>
      </c>
      <c r="Q32" s="396">
        <v>-11041</v>
      </c>
      <c r="R32" s="396">
        <v>44503</v>
      </c>
      <c r="S32" s="396">
        <v>-34645</v>
      </c>
      <c r="T32" s="396">
        <v>3963588</v>
      </c>
      <c r="U32" s="396">
        <v>-2835645</v>
      </c>
      <c r="V32" s="395">
        <v>10526.67</v>
      </c>
      <c r="W32" s="395">
        <v>6551.87</v>
      </c>
      <c r="X32" s="395">
        <v>77490</v>
      </c>
      <c r="Y32" s="395">
        <v>16225.04</v>
      </c>
      <c r="Z32" s="396">
        <v>-18146268</v>
      </c>
      <c r="AA32" s="396">
        <v>1556988</v>
      </c>
      <c r="AB32" s="396">
        <v>-17415228</v>
      </c>
      <c r="AC32" s="396">
        <v>10207916</v>
      </c>
    </row>
    <row r="33" spans="1:29">
      <c r="A33">
        <v>3653</v>
      </c>
      <c r="B33" s="395" t="s">
        <v>7516</v>
      </c>
      <c r="C33" s="395"/>
      <c r="D33" s="396">
        <v>1529729</v>
      </c>
      <c r="E33" s="396">
        <v>2651902</v>
      </c>
      <c r="F33" s="395">
        <v>2.36</v>
      </c>
      <c r="G33" s="396">
        <v>-1122173</v>
      </c>
      <c r="H33" s="396">
        <v>381771</v>
      </c>
      <c r="I33" s="396">
        <v>8257802</v>
      </c>
      <c r="J33" s="395">
        <v>284</v>
      </c>
      <c r="K33" s="395">
        <v>219</v>
      </c>
      <c r="L33" s="397">
        <v>0.77110000000000001</v>
      </c>
      <c r="M33" s="395">
        <v>65</v>
      </c>
      <c r="N33" s="396">
        <v>5386</v>
      </c>
      <c r="O33" s="396">
        <v>12109</v>
      </c>
      <c r="P33" s="395">
        <v>0.7</v>
      </c>
      <c r="Q33" s="396">
        <v>-17264</v>
      </c>
      <c r="R33" s="396">
        <v>56024</v>
      </c>
      <c r="S33" s="396">
        <v>-50045</v>
      </c>
      <c r="T33" s="396">
        <v>2733196</v>
      </c>
      <c r="U33" s="396">
        <v>-1468936</v>
      </c>
      <c r="V33" s="395">
        <v>1830.4</v>
      </c>
      <c r="W33" s="395">
        <v>1101.9000000000001</v>
      </c>
      <c r="X33" s="395">
        <v>77490</v>
      </c>
      <c r="Y33" s="395">
        <v>4284.8599999999997</v>
      </c>
      <c r="Z33" s="396">
        <v>-2176506</v>
      </c>
      <c r="AA33" s="396">
        <v>1529729</v>
      </c>
      <c r="AB33" s="396">
        <v>24002842</v>
      </c>
      <c r="AC33" s="396">
        <v>10207916</v>
      </c>
    </row>
    <row r="34" spans="1:29">
      <c r="A34">
        <v>4763</v>
      </c>
      <c r="B34" s="395" t="s">
        <v>7693</v>
      </c>
      <c r="C34" s="395"/>
      <c r="D34" s="396">
        <v>1502444</v>
      </c>
      <c r="E34" s="396">
        <v>1828962</v>
      </c>
      <c r="F34" s="395">
        <v>5.6</v>
      </c>
      <c r="G34" s="396">
        <v>-326518</v>
      </c>
      <c r="H34" s="396">
        <v>118077</v>
      </c>
      <c r="I34" s="396">
        <v>17865811</v>
      </c>
      <c r="J34" s="395">
        <v>258</v>
      </c>
      <c r="K34" s="395">
        <v>217</v>
      </c>
      <c r="L34" s="397">
        <v>0.84109999999999996</v>
      </c>
      <c r="M34" s="395">
        <v>41</v>
      </c>
      <c r="N34" s="396">
        <v>5823</v>
      </c>
      <c r="O34" s="396">
        <v>8428</v>
      </c>
      <c r="P34" s="395">
        <v>1.06</v>
      </c>
      <c r="Q34" s="396">
        <v>-7964</v>
      </c>
      <c r="R34" s="396">
        <v>19724</v>
      </c>
      <c r="S34" s="396">
        <v>-23412</v>
      </c>
      <c r="T34" s="396">
        <v>2551314</v>
      </c>
      <c r="U34" s="396">
        <v>-1001113</v>
      </c>
      <c r="V34" s="395">
        <v>17886.93</v>
      </c>
      <c r="W34" s="395">
        <v>16572.66</v>
      </c>
      <c r="X34" s="395">
        <v>77490</v>
      </c>
      <c r="Y34" s="395">
        <v>24842.95</v>
      </c>
      <c r="Z34" s="396">
        <v>-7875583</v>
      </c>
      <c r="AA34" s="396">
        <v>1502444</v>
      </c>
      <c r="AB34" s="396">
        <v>-5758508</v>
      </c>
      <c r="AC34" s="396">
        <v>10207916</v>
      </c>
    </row>
    <row r="35" spans="1:29">
      <c r="A35">
        <v>4736</v>
      </c>
      <c r="B35" s="395" t="s">
        <v>7681</v>
      </c>
      <c r="C35" s="395"/>
      <c r="D35" s="396">
        <v>1502069</v>
      </c>
      <c r="E35" s="396">
        <v>1770297</v>
      </c>
      <c r="F35" s="395">
        <v>6.6</v>
      </c>
      <c r="G35" s="396">
        <v>-268228</v>
      </c>
      <c r="H35" s="396">
        <v>203830</v>
      </c>
      <c r="I35" s="396">
        <v>8048810</v>
      </c>
      <c r="J35" s="395">
        <v>261</v>
      </c>
      <c r="K35" s="395">
        <v>218</v>
      </c>
      <c r="L35" s="397">
        <v>0.83520000000000005</v>
      </c>
      <c r="M35" s="395">
        <v>43</v>
      </c>
      <c r="N35" s="396">
        <v>5755</v>
      </c>
      <c r="O35" s="396">
        <v>8121</v>
      </c>
      <c r="P35" s="395">
        <v>1.3</v>
      </c>
      <c r="Q35" s="396">
        <v>-6238</v>
      </c>
      <c r="R35" s="396">
        <v>31789</v>
      </c>
      <c r="S35" s="396">
        <v>-27872</v>
      </c>
      <c r="T35" s="396">
        <v>1772605</v>
      </c>
      <c r="U35" s="396">
        <v>-545481</v>
      </c>
      <c r="V35" s="395">
        <v>3058.83</v>
      </c>
      <c r="W35" s="395">
        <v>2544.89</v>
      </c>
      <c r="X35" s="395">
        <v>77490</v>
      </c>
      <c r="Y35" s="395">
        <v>5664.4</v>
      </c>
      <c r="Z35" s="396">
        <v>-4912998</v>
      </c>
      <c r="AA35" s="396">
        <v>1502069</v>
      </c>
      <c r="AB35" s="396">
        <v>2468225</v>
      </c>
      <c r="AC35" s="396">
        <v>10207916</v>
      </c>
    </row>
    <row r="36" spans="1:29">
      <c r="A36">
        <v>1565</v>
      </c>
      <c r="B36" s="395" t="s">
        <v>6815</v>
      </c>
      <c r="C36" s="395"/>
      <c r="D36" s="396">
        <v>1495940</v>
      </c>
      <c r="E36" s="396">
        <v>2551025</v>
      </c>
      <c r="F36" s="395">
        <v>2.42</v>
      </c>
      <c r="G36" s="396">
        <v>-1055085</v>
      </c>
      <c r="H36" s="396">
        <v>351540</v>
      </c>
      <c r="I36" s="396">
        <v>9457121</v>
      </c>
      <c r="J36" s="395">
        <v>279</v>
      </c>
      <c r="K36" s="395">
        <v>210</v>
      </c>
      <c r="L36" s="397">
        <v>0.75270000000000004</v>
      </c>
      <c r="M36" s="395">
        <v>69</v>
      </c>
      <c r="N36" s="396">
        <v>5362</v>
      </c>
      <c r="O36" s="396">
        <v>12148</v>
      </c>
      <c r="P36" s="395">
        <v>0.79</v>
      </c>
      <c r="Q36" s="396">
        <v>-15291</v>
      </c>
      <c r="R36" s="396">
        <v>34804</v>
      </c>
      <c r="S36" s="396">
        <v>-51228</v>
      </c>
      <c r="T36" s="396">
        <v>2414366</v>
      </c>
      <c r="U36" s="396">
        <v>-816066</v>
      </c>
      <c r="V36" s="395">
        <v>2949.35</v>
      </c>
      <c r="W36" s="395">
        <v>1998.61</v>
      </c>
      <c r="X36" s="395">
        <v>77490</v>
      </c>
      <c r="Y36" s="395">
        <v>5842.93</v>
      </c>
      <c r="Z36" s="396">
        <v>-5304765</v>
      </c>
      <c r="AA36" s="396">
        <v>1495940</v>
      </c>
      <c r="AB36" s="396">
        <v>1574232</v>
      </c>
      <c r="AC36" s="396">
        <v>10207916</v>
      </c>
    </row>
    <row r="37" spans="1:29">
      <c r="A37">
        <v>4912</v>
      </c>
      <c r="B37" s="395" t="s">
        <v>7709</v>
      </c>
      <c r="C37" s="395"/>
      <c r="D37" s="396">
        <v>1485618</v>
      </c>
      <c r="E37" s="396">
        <v>1637622</v>
      </c>
      <c r="F37" s="395">
        <v>10.77</v>
      </c>
      <c r="G37" s="396">
        <v>-152004</v>
      </c>
      <c r="H37" s="396">
        <v>175197</v>
      </c>
      <c r="I37" s="396">
        <v>9116072</v>
      </c>
      <c r="J37" s="395">
        <v>259</v>
      </c>
      <c r="K37" s="395">
        <v>226</v>
      </c>
      <c r="L37" s="397">
        <v>0.87260000000000004</v>
      </c>
      <c r="M37" s="395">
        <v>33</v>
      </c>
      <c r="N37" s="396">
        <v>5736</v>
      </c>
      <c r="O37" s="396">
        <v>7246</v>
      </c>
      <c r="P37" s="395">
        <v>1.57</v>
      </c>
      <c r="Q37" s="396">
        <v>-4606</v>
      </c>
      <c r="R37" s="396">
        <v>41707</v>
      </c>
      <c r="S37" s="396">
        <v>-23243</v>
      </c>
      <c r="T37" s="396">
        <v>1494437</v>
      </c>
      <c r="U37" s="396">
        <v>-836873</v>
      </c>
      <c r="V37" s="395">
        <v>2995.25</v>
      </c>
      <c r="W37" s="395">
        <v>2687.16</v>
      </c>
      <c r="X37" s="395">
        <v>77490</v>
      </c>
      <c r="Y37" s="395">
        <v>5105.21</v>
      </c>
      <c r="Z37" s="396">
        <v>17901299</v>
      </c>
      <c r="AA37" s="396">
        <v>1485618</v>
      </c>
      <c r="AB37" s="396">
        <v>39338897</v>
      </c>
      <c r="AC37" s="396">
        <v>10207916</v>
      </c>
    </row>
    <row r="38" spans="1:29">
      <c r="A38">
        <v>2395</v>
      </c>
      <c r="B38" s="395" t="s">
        <v>7033</v>
      </c>
      <c r="C38" s="395"/>
      <c r="D38" s="396">
        <v>1464493</v>
      </c>
      <c r="E38" s="396">
        <v>2923919</v>
      </c>
      <c r="F38" s="395">
        <v>2</v>
      </c>
      <c r="G38" s="396">
        <v>-1459425</v>
      </c>
      <c r="H38" s="396">
        <v>405748</v>
      </c>
      <c r="I38" s="396">
        <v>31606519</v>
      </c>
      <c r="J38" s="395">
        <v>277</v>
      </c>
      <c r="K38" s="395">
        <v>207</v>
      </c>
      <c r="L38" s="397">
        <v>0.74729999999999996</v>
      </c>
      <c r="M38" s="395">
        <v>70</v>
      </c>
      <c r="N38" s="396">
        <v>5287</v>
      </c>
      <c r="O38" s="396">
        <v>14125</v>
      </c>
      <c r="P38" s="395">
        <v>0.68</v>
      </c>
      <c r="Q38" s="396">
        <v>-20849</v>
      </c>
      <c r="R38" s="396">
        <v>49970</v>
      </c>
      <c r="S38" s="396">
        <v>-46015</v>
      </c>
      <c r="T38" s="396">
        <v>4977181</v>
      </c>
      <c r="U38" s="396">
        <v>-2437611</v>
      </c>
      <c r="V38" s="395">
        <v>6673.54</v>
      </c>
      <c r="W38" s="395">
        <v>5878.9</v>
      </c>
      <c r="X38" s="395">
        <v>77490</v>
      </c>
      <c r="Y38" s="395">
        <v>9023.4</v>
      </c>
      <c r="Z38" s="396">
        <v>2524922</v>
      </c>
      <c r="AA38" s="396">
        <v>1464493</v>
      </c>
      <c r="AB38" s="396">
        <v>2524885</v>
      </c>
      <c r="AC38" s="396">
        <v>10207916</v>
      </c>
    </row>
    <row r="39" spans="1:29">
      <c r="A39">
        <v>6271</v>
      </c>
      <c r="B39" s="395" t="s">
        <v>8043</v>
      </c>
      <c r="C39" s="395"/>
      <c r="D39" s="396">
        <v>1427996</v>
      </c>
      <c r="E39" s="396">
        <v>2152609</v>
      </c>
      <c r="F39" s="395">
        <v>2.97</v>
      </c>
      <c r="G39" s="396">
        <v>-724613</v>
      </c>
      <c r="H39" s="396">
        <v>269703</v>
      </c>
      <c r="I39" s="396">
        <v>8293151</v>
      </c>
      <c r="J39" s="395">
        <v>280</v>
      </c>
      <c r="K39" s="395">
        <v>222</v>
      </c>
      <c r="L39" s="397">
        <v>0.79290000000000005</v>
      </c>
      <c r="M39" s="395">
        <v>58</v>
      </c>
      <c r="N39" s="396">
        <v>5100</v>
      </c>
      <c r="O39" s="396">
        <v>9696</v>
      </c>
      <c r="P39" s="395">
        <v>0.78</v>
      </c>
      <c r="Q39" s="396">
        <v>-12493</v>
      </c>
      <c r="R39" s="396">
        <v>33829</v>
      </c>
      <c r="S39" s="396">
        <v>-38054</v>
      </c>
      <c r="T39" s="396">
        <v>2045454</v>
      </c>
      <c r="U39" s="396">
        <v>-826809</v>
      </c>
      <c r="V39" s="395">
        <v>2555.54</v>
      </c>
      <c r="W39" s="395">
        <v>1832.9</v>
      </c>
      <c r="X39" s="395">
        <v>77490</v>
      </c>
      <c r="Y39" s="395">
        <v>5321.53</v>
      </c>
      <c r="Z39" s="396">
        <v>-10298726</v>
      </c>
      <c r="AA39" s="396">
        <v>1427996</v>
      </c>
      <c r="AB39" s="396">
        <v>25477964</v>
      </c>
      <c r="AC39" s="396">
        <v>10207916</v>
      </c>
    </row>
    <row r="40" spans="1:29">
      <c r="A40">
        <v>2345</v>
      </c>
      <c r="B40" s="395" t="s">
        <v>6996</v>
      </c>
      <c r="C40" s="395"/>
      <c r="D40" s="396">
        <v>1418786</v>
      </c>
      <c r="E40" s="396">
        <v>2807631</v>
      </c>
      <c r="F40" s="395">
        <v>2.02</v>
      </c>
      <c r="G40" s="396">
        <v>-1388845</v>
      </c>
      <c r="H40" s="396">
        <v>322753</v>
      </c>
      <c r="I40" s="396">
        <v>20226092</v>
      </c>
      <c r="J40" s="395">
        <v>283</v>
      </c>
      <c r="K40" s="395">
        <v>217</v>
      </c>
      <c r="L40" s="397">
        <v>0.76680000000000004</v>
      </c>
      <c r="M40" s="395">
        <v>66</v>
      </c>
      <c r="N40" s="396">
        <v>5013</v>
      </c>
      <c r="O40" s="396">
        <v>12938</v>
      </c>
      <c r="P40" s="395">
        <v>0.61</v>
      </c>
      <c r="Q40" s="396">
        <v>-21043</v>
      </c>
      <c r="R40" s="396">
        <v>52950</v>
      </c>
      <c r="S40" s="396">
        <v>-53013</v>
      </c>
      <c r="T40" s="396">
        <v>4486899</v>
      </c>
      <c r="U40" s="396">
        <v>-3496592</v>
      </c>
      <c r="V40" s="395">
        <v>4037.03</v>
      </c>
      <c r="W40" s="395">
        <v>2815.35</v>
      </c>
      <c r="X40" s="395">
        <v>77490</v>
      </c>
      <c r="Y40" s="395">
        <v>8053.77</v>
      </c>
      <c r="Z40" s="396">
        <v>-10796299</v>
      </c>
      <c r="AA40" s="396">
        <v>1418786</v>
      </c>
      <c r="AB40" s="396">
        <v>-12841958</v>
      </c>
      <c r="AC40" s="396">
        <v>10207916</v>
      </c>
    </row>
    <row r="41" spans="1:29">
      <c r="A41">
        <v>3532</v>
      </c>
      <c r="B41" s="395" t="s">
        <v>7462</v>
      </c>
      <c r="C41" s="395"/>
      <c r="D41" s="396">
        <v>1405658</v>
      </c>
      <c r="E41" s="396">
        <v>1899166</v>
      </c>
      <c r="F41" s="395">
        <v>3.85</v>
      </c>
      <c r="G41" s="396">
        <v>-493508</v>
      </c>
      <c r="H41" s="396">
        <v>219222</v>
      </c>
      <c r="I41" s="396">
        <v>6814137</v>
      </c>
      <c r="J41" s="395">
        <v>280</v>
      </c>
      <c r="K41" s="395">
        <v>228</v>
      </c>
      <c r="L41" s="397">
        <v>0.81430000000000002</v>
      </c>
      <c r="M41" s="395">
        <v>52</v>
      </c>
      <c r="N41" s="396">
        <v>5020</v>
      </c>
      <c r="O41" s="396">
        <v>8330</v>
      </c>
      <c r="P41" s="395">
        <v>0.88</v>
      </c>
      <c r="Q41" s="396">
        <v>-9491</v>
      </c>
      <c r="R41" s="396">
        <v>32380</v>
      </c>
      <c r="S41" s="396">
        <v>-31748</v>
      </c>
      <c r="T41" s="396">
        <v>1523125</v>
      </c>
      <c r="U41" s="396">
        <v>-694830</v>
      </c>
      <c r="V41" s="395">
        <v>2102.81</v>
      </c>
      <c r="W41" s="395">
        <v>1448.48</v>
      </c>
      <c r="X41" s="395">
        <v>77490</v>
      </c>
      <c r="Y41" s="395">
        <v>4971.79</v>
      </c>
      <c r="Z41" s="396">
        <v>10877328</v>
      </c>
      <c r="AA41" s="396">
        <v>1405658</v>
      </c>
      <c r="AB41" s="396">
        <v>64299510</v>
      </c>
      <c r="AC41" s="396">
        <v>10207916</v>
      </c>
    </row>
    <row r="42" spans="1:29">
      <c r="A42">
        <v>4171</v>
      </c>
      <c r="B42" s="395" t="s">
        <v>7591</v>
      </c>
      <c r="C42" s="395"/>
      <c r="D42" s="396">
        <v>1394977</v>
      </c>
      <c r="E42" s="396">
        <v>2473017</v>
      </c>
      <c r="F42" s="395">
        <v>2.29</v>
      </c>
      <c r="G42" s="396">
        <v>-1078040</v>
      </c>
      <c r="H42" s="396">
        <v>121434</v>
      </c>
      <c r="I42" s="396">
        <v>16567241</v>
      </c>
      <c r="J42" s="395">
        <v>260</v>
      </c>
      <c r="K42" s="395">
        <v>187</v>
      </c>
      <c r="L42" s="397">
        <v>0.71919999999999995</v>
      </c>
      <c r="M42" s="395">
        <v>73</v>
      </c>
      <c r="N42" s="396">
        <v>5365</v>
      </c>
      <c r="O42" s="396">
        <v>13225</v>
      </c>
      <c r="P42" s="395">
        <v>0.9</v>
      </c>
      <c r="Q42" s="396">
        <v>-14768</v>
      </c>
      <c r="R42" s="396">
        <v>36429</v>
      </c>
      <c r="S42" s="396">
        <v>-56221</v>
      </c>
      <c r="T42" s="396">
        <v>5185709</v>
      </c>
      <c r="U42" s="396">
        <v>-4073548</v>
      </c>
      <c r="V42" s="395">
        <v>13445.68</v>
      </c>
      <c r="W42" s="395">
        <v>8195.2900000000009</v>
      </c>
      <c r="X42" s="395">
        <v>77490</v>
      </c>
      <c r="Y42" s="395">
        <v>26895.3</v>
      </c>
      <c r="Z42" s="396">
        <v>-24254391</v>
      </c>
      <c r="AA42" s="396">
        <v>1394977</v>
      </c>
      <c r="AB42" s="396">
        <v>-14854400</v>
      </c>
      <c r="AC42" s="396">
        <v>10207916</v>
      </c>
    </row>
    <row r="43" spans="1:29">
      <c r="A43">
        <v>8406</v>
      </c>
      <c r="B43" s="395" t="s">
        <v>8322</v>
      </c>
      <c r="C43" s="395"/>
      <c r="D43" s="396">
        <v>1383059</v>
      </c>
      <c r="E43" s="396">
        <v>1609031</v>
      </c>
      <c r="F43" s="395">
        <v>7.12</v>
      </c>
      <c r="G43" s="396">
        <v>-225973</v>
      </c>
      <c r="H43" s="396">
        <v>230510</v>
      </c>
      <c r="I43" s="396">
        <v>9306072</v>
      </c>
      <c r="J43" s="395">
        <v>273</v>
      </c>
      <c r="K43" s="395">
        <v>227</v>
      </c>
      <c r="L43" s="397">
        <v>0.83150000000000002</v>
      </c>
      <c r="M43" s="395">
        <v>46</v>
      </c>
      <c r="N43" s="396">
        <v>5066</v>
      </c>
      <c r="O43" s="396">
        <v>7088</v>
      </c>
      <c r="P43" s="395">
        <v>1.44</v>
      </c>
      <c r="Q43" s="396">
        <v>-4912</v>
      </c>
      <c r="R43" s="396">
        <v>33254</v>
      </c>
      <c r="S43" s="396">
        <v>-34118</v>
      </c>
      <c r="T43" s="396">
        <v>1942848</v>
      </c>
      <c r="U43" s="396">
        <v>-766631</v>
      </c>
      <c r="V43" s="395">
        <v>2408.9899999999998</v>
      </c>
      <c r="W43" s="395">
        <v>1993.7</v>
      </c>
      <c r="X43" s="395">
        <v>77220</v>
      </c>
      <c r="Y43" s="395">
        <v>4458.3500000000004</v>
      </c>
      <c r="Z43" s="396">
        <v>3839462</v>
      </c>
      <c r="AA43" s="396">
        <v>1383059</v>
      </c>
      <c r="AB43" s="396">
        <v>46054457</v>
      </c>
      <c r="AC43" s="396">
        <v>10207916</v>
      </c>
    </row>
    <row r="44" spans="1:29">
      <c r="A44">
        <v>8081</v>
      </c>
      <c r="B44" s="395" t="s">
        <v>8259</v>
      </c>
      <c r="C44" s="395"/>
      <c r="D44" s="396">
        <v>1347652</v>
      </c>
      <c r="E44" s="396">
        <v>1753247</v>
      </c>
      <c r="F44" s="395">
        <v>4.32</v>
      </c>
      <c r="G44" s="396">
        <v>-405596</v>
      </c>
      <c r="H44" s="396">
        <v>255989</v>
      </c>
      <c r="I44" s="396">
        <v>7237959</v>
      </c>
      <c r="J44" s="395">
        <v>276</v>
      </c>
      <c r="K44" s="395">
        <v>228</v>
      </c>
      <c r="L44" s="397">
        <v>0.82609999999999995</v>
      </c>
      <c r="M44" s="395">
        <v>48</v>
      </c>
      <c r="N44" s="396">
        <v>4883</v>
      </c>
      <c r="O44" s="396">
        <v>7690</v>
      </c>
      <c r="P44" s="395">
        <v>0.91</v>
      </c>
      <c r="Q44" s="396">
        <v>-8450</v>
      </c>
      <c r="R44" s="396">
        <v>37719</v>
      </c>
      <c r="S44" s="396">
        <v>-33924</v>
      </c>
      <c r="T44" s="396">
        <v>1969623</v>
      </c>
      <c r="U44" s="396">
        <v>-859041</v>
      </c>
      <c r="V44" s="395">
        <v>1945.21</v>
      </c>
      <c r="W44" s="395">
        <v>1359.08</v>
      </c>
      <c r="X44" s="395">
        <v>77490</v>
      </c>
      <c r="Y44" s="395">
        <v>4729.3100000000004</v>
      </c>
      <c r="Z44" s="396">
        <v>263859</v>
      </c>
      <c r="AA44" s="396">
        <v>1347652</v>
      </c>
      <c r="AB44" s="396">
        <v>28195795</v>
      </c>
      <c r="AC44" s="396">
        <v>10207916</v>
      </c>
    </row>
    <row r="45" spans="1:29">
      <c r="A45">
        <v>3691</v>
      </c>
      <c r="B45" s="395" t="s">
        <v>7534</v>
      </c>
      <c r="C45" s="395"/>
      <c r="D45" s="396">
        <v>1341962</v>
      </c>
      <c r="E45" s="396">
        <v>2048444</v>
      </c>
      <c r="F45" s="395">
        <v>2.9</v>
      </c>
      <c r="G45" s="396">
        <v>-706482</v>
      </c>
      <c r="H45" s="396">
        <v>205718</v>
      </c>
      <c r="I45" s="396">
        <v>6899229</v>
      </c>
      <c r="J45" s="395">
        <v>271</v>
      </c>
      <c r="K45" s="395">
        <v>205</v>
      </c>
      <c r="L45" s="397">
        <v>0.75649999999999995</v>
      </c>
      <c r="M45" s="395">
        <v>66</v>
      </c>
      <c r="N45" s="396">
        <v>4952</v>
      </c>
      <c r="O45" s="396">
        <v>9992</v>
      </c>
      <c r="P45" s="395">
        <v>0.93</v>
      </c>
      <c r="Q45" s="396">
        <v>-10704</v>
      </c>
      <c r="R45" s="396">
        <v>40378</v>
      </c>
      <c r="S45" s="396">
        <v>-37596</v>
      </c>
      <c r="T45" s="396">
        <v>2274895</v>
      </c>
      <c r="U45" s="396">
        <v>-995455</v>
      </c>
      <c r="V45" s="395">
        <v>3288.1</v>
      </c>
      <c r="W45" s="395">
        <v>2132.46</v>
      </c>
      <c r="X45" s="395">
        <v>77490</v>
      </c>
      <c r="Y45" s="395">
        <v>6877.59</v>
      </c>
      <c r="Z45" s="396">
        <v>-18978728</v>
      </c>
      <c r="AA45" s="396">
        <v>1341962</v>
      </c>
      <c r="AB45" s="396">
        <v>-6485817</v>
      </c>
      <c r="AC45" s="396">
        <v>10207916</v>
      </c>
    </row>
    <row r="46" spans="1:29">
      <c r="A46">
        <v>3413</v>
      </c>
      <c r="B46" s="395" t="s">
        <v>7417</v>
      </c>
      <c r="C46" s="395"/>
      <c r="D46" s="396">
        <v>1328008</v>
      </c>
      <c r="E46" s="396">
        <v>2227162</v>
      </c>
      <c r="F46" s="395">
        <v>2.48</v>
      </c>
      <c r="G46" s="396">
        <v>-899155</v>
      </c>
      <c r="H46" s="396">
        <v>257623</v>
      </c>
      <c r="I46" s="396">
        <v>17245369</v>
      </c>
      <c r="J46" s="395">
        <v>279</v>
      </c>
      <c r="K46" s="395">
        <v>205</v>
      </c>
      <c r="L46" s="397">
        <v>0.73480000000000001</v>
      </c>
      <c r="M46" s="395">
        <v>74</v>
      </c>
      <c r="N46" s="396">
        <v>4760</v>
      </c>
      <c r="O46" s="396">
        <v>10864</v>
      </c>
      <c r="P46" s="395">
        <v>0.89</v>
      </c>
      <c r="Q46" s="396">
        <v>-12151</v>
      </c>
      <c r="R46" s="396">
        <v>51148</v>
      </c>
      <c r="S46" s="396">
        <v>-44946</v>
      </c>
      <c r="T46" s="396">
        <v>2716407</v>
      </c>
      <c r="U46" s="396">
        <v>-1838911</v>
      </c>
      <c r="V46" s="395">
        <v>4859.74</v>
      </c>
      <c r="W46" s="395">
        <v>3317.38</v>
      </c>
      <c r="X46" s="395">
        <v>77490</v>
      </c>
      <c r="Y46" s="395">
        <v>9132.5</v>
      </c>
      <c r="Z46" s="396">
        <v>-14687305</v>
      </c>
      <c r="AA46" s="396">
        <v>1328008</v>
      </c>
      <c r="AB46" s="396">
        <v>2455449</v>
      </c>
      <c r="AC46" s="396">
        <v>10207916</v>
      </c>
    </row>
    <row r="47" spans="1:29">
      <c r="A47">
        <v>6561</v>
      </c>
      <c r="B47" s="395" t="s">
        <v>8131</v>
      </c>
      <c r="C47" s="395"/>
      <c r="D47" s="396">
        <v>1317857</v>
      </c>
      <c r="E47" s="396">
        <v>1674185</v>
      </c>
      <c r="F47" s="395">
        <v>4.7</v>
      </c>
      <c r="G47" s="396">
        <v>-356328</v>
      </c>
      <c r="H47" s="396">
        <v>225936</v>
      </c>
      <c r="I47" s="396">
        <v>18909476</v>
      </c>
      <c r="J47" s="395">
        <v>190</v>
      </c>
      <c r="K47" s="395">
        <v>141</v>
      </c>
      <c r="L47" s="397">
        <v>0.74209999999999998</v>
      </c>
      <c r="M47" s="395">
        <v>49</v>
      </c>
      <c r="N47" s="396">
        <v>6936</v>
      </c>
      <c r="O47" s="396">
        <v>11874</v>
      </c>
      <c r="P47" s="395">
        <v>1.63</v>
      </c>
      <c r="Q47" s="396">
        <v>-7272</v>
      </c>
      <c r="R47" s="396">
        <v>34331</v>
      </c>
      <c r="S47" s="396">
        <v>-30362</v>
      </c>
      <c r="T47" s="396">
        <v>2222976</v>
      </c>
      <c r="U47" s="396">
        <v>-1301018</v>
      </c>
      <c r="V47" s="395">
        <v>10101.32</v>
      </c>
      <c r="W47" s="395">
        <v>9072.35</v>
      </c>
      <c r="X47" s="395">
        <v>77490</v>
      </c>
      <c r="Y47" s="395">
        <v>13062.22</v>
      </c>
      <c r="Z47" s="396">
        <v>-10208231</v>
      </c>
      <c r="AA47" s="396">
        <v>1317857</v>
      </c>
      <c r="AB47" s="396">
        <v>-9780705</v>
      </c>
      <c r="AC47" s="396">
        <v>10207916</v>
      </c>
    </row>
    <row r="48" spans="1:29">
      <c r="A48">
        <v>4743</v>
      </c>
      <c r="B48" s="395" t="s">
        <v>7685</v>
      </c>
      <c r="C48" s="395"/>
      <c r="D48" s="396">
        <v>1312200</v>
      </c>
      <c r="E48" s="396">
        <v>2145738</v>
      </c>
      <c r="F48" s="395">
        <v>2.57</v>
      </c>
      <c r="G48" s="396">
        <v>-833538</v>
      </c>
      <c r="H48" s="396">
        <v>228800</v>
      </c>
      <c r="I48" s="396">
        <v>11447089</v>
      </c>
      <c r="J48" s="395">
        <v>244</v>
      </c>
      <c r="K48" s="395">
        <v>186</v>
      </c>
      <c r="L48" s="397">
        <v>0.76229999999999998</v>
      </c>
      <c r="M48" s="395">
        <v>58</v>
      </c>
      <c r="N48" s="396">
        <v>5378</v>
      </c>
      <c r="O48" s="396">
        <v>11536</v>
      </c>
      <c r="P48" s="395">
        <v>0.8</v>
      </c>
      <c r="Q48" s="396">
        <v>-14371</v>
      </c>
      <c r="R48" s="396">
        <v>36427</v>
      </c>
      <c r="S48" s="396">
        <v>-46429</v>
      </c>
      <c r="T48" s="396">
        <v>2506938</v>
      </c>
      <c r="U48" s="396">
        <v>-1706793</v>
      </c>
      <c r="V48" s="395">
        <v>3876.63</v>
      </c>
      <c r="W48" s="395">
        <v>2870.24</v>
      </c>
      <c r="X48" s="395">
        <v>77490</v>
      </c>
      <c r="Y48" s="395">
        <v>7104.02</v>
      </c>
      <c r="Z48" s="396">
        <v>-21437103</v>
      </c>
      <c r="AA48" s="396">
        <v>1312200</v>
      </c>
      <c r="AB48" s="396">
        <v>-6990515</v>
      </c>
      <c r="AC48" s="396">
        <v>10207916</v>
      </c>
    </row>
    <row r="49" spans="1:29">
      <c r="A49">
        <v>6472</v>
      </c>
      <c r="B49" s="395" t="s">
        <v>8093</v>
      </c>
      <c r="C49" s="395"/>
      <c r="D49" s="396">
        <v>1299027</v>
      </c>
      <c r="E49" s="396">
        <v>1688183</v>
      </c>
      <c r="F49" s="395">
        <v>4.34</v>
      </c>
      <c r="G49" s="396">
        <v>-389156</v>
      </c>
      <c r="H49" s="396">
        <v>227473</v>
      </c>
      <c r="I49" s="396">
        <v>6428805</v>
      </c>
      <c r="J49" s="395">
        <v>251</v>
      </c>
      <c r="K49" s="395">
        <v>201</v>
      </c>
      <c r="L49" s="397">
        <v>0.80079999999999996</v>
      </c>
      <c r="M49" s="395">
        <v>50</v>
      </c>
      <c r="N49" s="396">
        <v>5175</v>
      </c>
      <c r="O49" s="396">
        <v>8399</v>
      </c>
      <c r="P49" s="395">
        <v>1.08</v>
      </c>
      <c r="Q49" s="396">
        <v>-7783</v>
      </c>
      <c r="R49" s="396">
        <v>33543</v>
      </c>
      <c r="S49" s="396">
        <v>-56210</v>
      </c>
      <c r="T49" s="396">
        <v>1393997</v>
      </c>
      <c r="U49" s="396">
        <v>-466498</v>
      </c>
      <c r="V49" s="395">
        <v>2214.12</v>
      </c>
      <c r="W49" s="395">
        <v>1583.06</v>
      </c>
      <c r="X49" s="395">
        <v>77490</v>
      </c>
      <c r="Y49" s="395">
        <v>4750.9399999999996</v>
      </c>
      <c r="Z49" s="396">
        <v>-8410430</v>
      </c>
      <c r="AA49" s="396">
        <v>1299027</v>
      </c>
      <c r="AB49" s="396">
        <v>3449984</v>
      </c>
      <c r="AC49" s="396">
        <v>10207916</v>
      </c>
    </row>
    <row r="50" spans="1:29">
      <c r="A50">
        <v>3228</v>
      </c>
      <c r="B50" s="395" t="s">
        <v>7354</v>
      </c>
      <c r="C50" s="395"/>
      <c r="D50" s="396">
        <v>1252605</v>
      </c>
      <c r="E50" s="396">
        <v>3545344</v>
      </c>
      <c r="F50" s="395">
        <v>1.55</v>
      </c>
      <c r="G50" s="396">
        <v>-2292739</v>
      </c>
      <c r="H50" s="396">
        <v>412895</v>
      </c>
      <c r="I50" s="396">
        <v>8431391</v>
      </c>
      <c r="J50" s="395">
        <v>265</v>
      </c>
      <c r="K50" s="395">
        <v>192</v>
      </c>
      <c r="L50" s="397">
        <v>0.72450000000000003</v>
      </c>
      <c r="M50" s="395">
        <v>73</v>
      </c>
      <c r="N50" s="396">
        <v>4727</v>
      </c>
      <c r="O50" s="396">
        <v>18465</v>
      </c>
      <c r="P50" s="395">
        <v>0.59</v>
      </c>
      <c r="Q50" s="396">
        <v>-31407</v>
      </c>
      <c r="R50" s="396">
        <v>101647</v>
      </c>
      <c r="S50" s="396">
        <v>-181919</v>
      </c>
      <c r="T50" s="396">
        <v>3339970</v>
      </c>
      <c r="U50" s="396">
        <v>-1537959</v>
      </c>
      <c r="V50" s="395">
        <v>1576.99</v>
      </c>
      <c r="W50" s="395">
        <v>879.07</v>
      </c>
      <c r="X50" s="395">
        <v>77490</v>
      </c>
      <c r="Y50" s="395">
        <v>3412.6</v>
      </c>
      <c r="Z50" s="396">
        <v>19131177</v>
      </c>
      <c r="AA50" s="396">
        <v>1252605</v>
      </c>
      <c r="AB50" s="396">
        <v>38941743</v>
      </c>
      <c r="AC50" s="396">
        <v>10207916</v>
      </c>
    </row>
    <row r="51" spans="1:29">
      <c r="A51">
        <v>2458</v>
      </c>
      <c r="B51" s="395" t="s">
        <v>7077</v>
      </c>
      <c r="C51" s="395"/>
      <c r="D51" s="396">
        <v>1249553</v>
      </c>
      <c r="E51" s="396">
        <v>1682392</v>
      </c>
      <c r="F51" s="395">
        <v>3.89</v>
      </c>
      <c r="G51" s="396">
        <v>-432839</v>
      </c>
      <c r="H51" s="396">
        <v>197545</v>
      </c>
      <c r="I51" s="396">
        <v>11102463</v>
      </c>
      <c r="J51" s="395">
        <v>277</v>
      </c>
      <c r="K51" s="395">
        <v>221</v>
      </c>
      <c r="L51" s="397">
        <v>0.79779999999999995</v>
      </c>
      <c r="M51" s="395">
        <v>56</v>
      </c>
      <c r="N51" s="396">
        <v>4511</v>
      </c>
      <c r="O51" s="396">
        <v>7613</v>
      </c>
      <c r="P51" s="395">
        <v>0.98</v>
      </c>
      <c r="Q51" s="396">
        <v>-7729</v>
      </c>
      <c r="R51" s="396">
        <v>25228</v>
      </c>
      <c r="S51" s="396">
        <v>-26728</v>
      </c>
      <c r="T51" s="396">
        <v>1933467</v>
      </c>
      <c r="U51" s="396">
        <v>-1222566</v>
      </c>
      <c r="V51" s="395">
        <v>3521.72</v>
      </c>
      <c r="W51" s="395">
        <v>2315.04</v>
      </c>
      <c r="X51" s="395">
        <v>77490</v>
      </c>
      <c r="Y51" s="395">
        <v>8283.7900000000009</v>
      </c>
      <c r="Z51" s="396">
        <v>10172495</v>
      </c>
      <c r="AA51" s="396">
        <v>1249553</v>
      </c>
      <c r="AB51" s="396">
        <v>14601821</v>
      </c>
      <c r="AC51" s="396">
        <v>10207916</v>
      </c>
    </row>
    <row r="52" spans="1:29">
      <c r="A52">
        <v>5289</v>
      </c>
      <c r="B52" s="395" t="s">
        <v>7795</v>
      </c>
      <c r="C52" s="395"/>
      <c r="D52" s="396">
        <v>1223151</v>
      </c>
      <c r="E52" s="396">
        <v>1712220</v>
      </c>
      <c r="F52" s="395">
        <v>3.5</v>
      </c>
      <c r="G52" s="396">
        <v>-489069</v>
      </c>
      <c r="H52" s="396">
        <v>212711</v>
      </c>
      <c r="I52" s="396">
        <v>13809975</v>
      </c>
      <c r="J52" s="395">
        <v>274</v>
      </c>
      <c r="K52" s="395">
        <v>229</v>
      </c>
      <c r="L52" s="397">
        <v>0.83579999999999999</v>
      </c>
      <c r="M52" s="395">
        <v>45</v>
      </c>
      <c r="N52" s="396">
        <v>4464</v>
      </c>
      <c r="O52" s="396">
        <v>7477</v>
      </c>
      <c r="P52" s="395">
        <v>0.69</v>
      </c>
      <c r="Q52" s="396">
        <v>-10868</v>
      </c>
      <c r="R52" s="396">
        <v>34737</v>
      </c>
      <c r="S52" s="396">
        <v>-37411</v>
      </c>
      <c r="T52" s="396">
        <v>2084527</v>
      </c>
      <c r="U52" s="396">
        <v>-1588058</v>
      </c>
      <c r="V52" s="395">
        <v>4356.9799999999996</v>
      </c>
      <c r="W52" s="395">
        <v>3092.6</v>
      </c>
      <c r="X52" s="395">
        <v>77490</v>
      </c>
      <c r="Y52" s="395">
        <v>10791.29</v>
      </c>
      <c r="Z52" s="396">
        <v>-3844055</v>
      </c>
      <c r="AA52" s="396">
        <v>1223151</v>
      </c>
      <c r="AB52" s="396">
        <v>13561383</v>
      </c>
      <c r="AC52" s="396">
        <v>10207916</v>
      </c>
    </row>
    <row r="53" spans="1:29">
      <c r="A53">
        <v>3545</v>
      </c>
      <c r="B53" s="395" t="s">
        <v>7470</v>
      </c>
      <c r="C53" s="395"/>
      <c r="D53" s="396">
        <v>1221800</v>
      </c>
      <c r="E53" s="396">
        <v>2403211</v>
      </c>
      <c r="F53" s="395">
        <v>2.0299999999999998</v>
      </c>
      <c r="G53" s="396">
        <v>-1181411</v>
      </c>
      <c r="H53" s="396">
        <v>192960</v>
      </c>
      <c r="I53" s="396">
        <v>12425210</v>
      </c>
      <c r="J53" s="395">
        <v>277</v>
      </c>
      <c r="K53" s="395">
        <v>210</v>
      </c>
      <c r="L53" s="397">
        <v>0.7581</v>
      </c>
      <c r="M53" s="395">
        <v>67</v>
      </c>
      <c r="N53" s="396">
        <v>4411</v>
      </c>
      <c r="O53" s="396">
        <v>11444</v>
      </c>
      <c r="P53" s="395">
        <v>0.65</v>
      </c>
      <c r="Q53" s="396">
        <v>-17633</v>
      </c>
      <c r="R53" s="396">
        <v>45358</v>
      </c>
      <c r="S53" s="396">
        <v>-99270</v>
      </c>
      <c r="T53" s="396">
        <v>3409145</v>
      </c>
      <c r="U53" s="396">
        <v>-2720584</v>
      </c>
      <c r="V53" s="395">
        <v>3817.68</v>
      </c>
      <c r="W53" s="395">
        <v>2511.88</v>
      </c>
      <c r="X53" s="395">
        <v>77490</v>
      </c>
      <c r="Y53" s="395">
        <v>7910.49</v>
      </c>
      <c r="Z53" s="396">
        <v>-19512336</v>
      </c>
      <c r="AA53" s="396">
        <v>1221800</v>
      </c>
      <c r="AB53" s="396">
        <v>29994711</v>
      </c>
      <c r="AC53" s="396">
        <v>10207916</v>
      </c>
    </row>
    <row r="54" spans="1:29">
      <c r="A54">
        <v>2615</v>
      </c>
      <c r="B54" s="395" t="s">
        <v>7150</v>
      </c>
      <c r="C54" s="395"/>
      <c r="D54" s="396">
        <v>1214534</v>
      </c>
      <c r="E54" s="396">
        <v>2209185</v>
      </c>
      <c r="F54" s="395">
        <v>2.2200000000000002</v>
      </c>
      <c r="G54" s="396">
        <v>-994651</v>
      </c>
      <c r="H54" s="396">
        <v>181989</v>
      </c>
      <c r="I54" s="396">
        <v>11969826</v>
      </c>
      <c r="J54" s="395">
        <v>286</v>
      </c>
      <c r="K54" s="395">
        <v>218</v>
      </c>
      <c r="L54" s="397">
        <v>0.76219999999999999</v>
      </c>
      <c r="M54" s="395">
        <v>68</v>
      </c>
      <c r="N54" s="396">
        <v>4247</v>
      </c>
      <c r="O54" s="396">
        <v>10134</v>
      </c>
      <c r="P54" s="395">
        <v>0.69</v>
      </c>
      <c r="Q54" s="396">
        <v>-14627</v>
      </c>
      <c r="R54" s="396">
        <v>47573</v>
      </c>
      <c r="S54" s="396">
        <v>-51396</v>
      </c>
      <c r="T54" s="396">
        <v>2551565</v>
      </c>
      <c r="U54" s="396">
        <v>-2012450</v>
      </c>
      <c r="V54" s="395">
        <v>3249.3</v>
      </c>
      <c r="W54" s="395">
        <v>1875.35</v>
      </c>
      <c r="X54" s="395">
        <v>77490</v>
      </c>
      <c r="Y54" s="395">
        <v>7654.03</v>
      </c>
      <c r="Z54" s="396">
        <v>6233209</v>
      </c>
      <c r="AA54" s="396">
        <v>1214534</v>
      </c>
      <c r="AB54" s="396">
        <v>133987699</v>
      </c>
      <c r="AC54" s="396">
        <v>10207916</v>
      </c>
    </row>
    <row r="55" spans="1:29">
      <c r="A55">
        <v>6469</v>
      </c>
      <c r="B55" s="395" t="s">
        <v>8091</v>
      </c>
      <c r="C55" s="395"/>
      <c r="D55" s="396">
        <v>1181638</v>
      </c>
      <c r="E55" s="396">
        <v>1490093</v>
      </c>
      <c r="F55" s="395">
        <v>4.83</v>
      </c>
      <c r="G55" s="396">
        <v>-308455</v>
      </c>
      <c r="H55" s="396">
        <v>205962</v>
      </c>
      <c r="I55" s="396">
        <v>6843196</v>
      </c>
      <c r="J55" s="395">
        <v>272</v>
      </c>
      <c r="K55" s="395">
        <v>237</v>
      </c>
      <c r="L55" s="397">
        <v>0.87129999999999996</v>
      </c>
      <c r="M55" s="395">
        <v>35</v>
      </c>
      <c r="N55" s="396">
        <v>4344</v>
      </c>
      <c r="O55" s="396">
        <v>6287</v>
      </c>
      <c r="P55" s="395">
        <v>0.71</v>
      </c>
      <c r="Q55" s="396">
        <v>-8813</v>
      </c>
      <c r="R55" s="396">
        <v>22038</v>
      </c>
      <c r="S55" s="396">
        <v>-36948</v>
      </c>
      <c r="T55" s="396">
        <v>1240544</v>
      </c>
      <c r="U55" s="396">
        <v>-490528</v>
      </c>
      <c r="V55" s="395">
        <v>2023.99</v>
      </c>
      <c r="W55" s="395">
        <v>1641.65</v>
      </c>
      <c r="X55" s="395">
        <v>77490</v>
      </c>
      <c r="Y55" s="395">
        <v>4612.91</v>
      </c>
      <c r="Z55" s="396">
        <v>24584844</v>
      </c>
      <c r="AA55" s="396">
        <v>1181638</v>
      </c>
      <c r="AB55" s="396">
        <v>134841711</v>
      </c>
      <c r="AC55" s="396">
        <v>10207916</v>
      </c>
    </row>
    <row r="56" spans="1:29">
      <c r="A56">
        <v>2383</v>
      </c>
      <c r="B56" s="395" t="s">
        <v>7026</v>
      </c>
      <c r="C56" s="395"/>
      <c r="D56" s="396">
        <v>1177024</v>
      </c>
      <c r="E56" s="396">
        <v>1586527</v>
      </c>
      <c r="F56" s="395">
        <v>3.87</v>
      </c>
      <c r="G56" s="396">
        <v>-409503</v>
      </c>
      <c r="H56" s="396">
        <v>245846</v>
      </c>
      <c r="I56" s="396">
        <v>4685321</v>
      </c>
      <c r="J56" s="395">
        <v>282</v>
      </c>
      <c r="K56" s="395">
        <v>237</v>
      </c>
      <c r="L56" s="397">
        <v>0.84040000000000004</v>
      </c>
      <c r="M56" s="395">
        <v>45</v>
      </c>
      <c r="N56" s="396">
        <v>4174</v>
      </c>
      <c r="O56" s="396">
        <v>6694</v>
      </c>
      <c r="P56" s="395">
        <v>0.74</v>
      </c>
      <c r="Q56" s="396">
        <v>-9100</v>
      </c>
      <c r="R56" s="396">
        <v>22873</v>
      </c>
      <c r="S56" s="396">
        <v>-33575</v>
      </c>
      <c r="T56" s="396">
        <v>1442805</v>
      </c>
      <c r="U56" s="396">
        <v>-351654</v>
      </c>
      <c r="V56" s="395">
        <v>1755.43</v>
      </c>
      <c r="W56" s="395">
        <v>1382.45</v>
      </c>
      <c r="X56" s="395">
        <v>77490</v>
      </c>
      <c r="Y56" s="395">
        <v>3719.8</v>
      </c>
      <c r="Z56" s="396">
        <v>27533890</v>
      </c>
      <c r="AA56" s="396">
        <v>1177024</v>
      </c>
      <c r="AB56" s="396">
        <v>32627816</v>
      </c>
      <c r="AC56" s="396">
        <v>10207916</v>
      </c>
    </row>
    <row r="57" spans="1:29">
      <c r="A57">
        <v>2308</v>
      </c>
      <c r="B57" s="395" t="s">
        <v>6976</v>
      </c>
      <c r="C57" s="395"/>
      <c r="D57" s="396">
        <v>1172048</v>
      </c>
      <c r="E57" s="396">
        <v>2268347</v>
      </c>
      <c r="F57" s="395">
        <v>2.0699999999999998</v>
      </c>
      <c r="G57" s="396">
        <v>-1096299</v>
      </c>
      <c r="H57" s="396">
        <v>317870</v>
      </c>
      <c r="I57" s="396">
        <v>26360165</v>
      </c>
      <c r="J57" s="395">
        <v>283</v>
      </c>
      <c r="K57" s="395">
        <v>206</v>
      </c>
      <c r="L57" s="397">
        <v>0.72789999999999999</v>
      </c>
      <c r="M57" s="395">
        <v>77</v>
      </c>
      <c r="N57" s="396">
        <v>4142</v>
      </c>
      <c r="O57" s="396">
        <v>11011</v>
      </c>
      <c r="P57" s="395">
        <v>0.77</v>
      </c>
      <c r="Q57" s="396">
        <v>-14238</v>
      </c>
      <c r="R57" s="396">
        <v>35479</v>
      </c>
      <c r="S57" s="396">
        <v>-49738</v>
      </c>
      <c r="T57" s="396">
        <v>3025097</v>
      </c>
      <c r="U57" s="396">
        <v>-2295464</v>
      </c>
      <c r="V57" s="395">
        <v>6840.75</v>
      </c>
      <c r="W57" s="395">
        <v>4536.55</v>
      </c>
      <c r="X57" s="395">
        <v>77490</v>
      </c>
      <c r="Y57" s="395">
        <v>13005.22</v>
      </c>
      <c r="Z57" s="396">
        <v>-11422136</v>
      </c>
      <c r="AA57" s="396">
        <v>1172048</v>
      </c>
      <c r="AB57" s="396">
        <v>-449560</v>
      </c>
      <c r="AC57" s="396">
        <v>10207916</v>
      </c>
    </row>
    <row r="58" spans="1:29">
      <c r="A58">
        <v>3034</v>
      </c>
      <c r="B58" s="395" t="s">
        <v>7273</v>
      </c>
      <c r="C58" s="395"/>
      <c r="D58" s="396">
        <v>1152747</v>
      </c>
      <c r="E58" s="396">
        <v>3928380</v>
      </c>
      <c r="F58" s="395">
        <v>1.42</v>
      </c>
      <c r="G58" s="396">
        <v>-2775633</v>
      </c>
      <c r="H58" s="396">
        <v>551502</v>
      </c>
      <c r="I58" s="396">
        <v>23841208</v>
      </c>
      <c r="J58" s="395">
        <v>282</v>
      </c>
      <c r="K58" s="395">
        <v>197</v>
      </c>
      <c r="L58" s="397">
        <v>0.6986</v>
      </c>
      <c r="M58" s="395">
        <v>85</v>
      </c>
      <c r="N58" s="396">
        <v>4088</v>
      </c>
      <c r="O58" s="396">
        <v>19941</v>
      </c>
      <c r="P58" s="395">
        <v>0.61</v>
      </c>
      <c r="Q58" s="396">
        <v>-32655</v>
      </c>
      <c r="R58" s="396">
        <v>82024</v>
      </c>
      <c r="S58" s="396">
        <v>-95330</v>
      </c>
      <c r="T58" s="396">
        <v>4166167</v>
      </c>
      <c r="U58" s="396">
        <v>-3158725</v>
      </c>
      <c r="V58" s="395">
        <v>4132.01</v>
      </c>
      <c r="W58" s="395">
        <v>2283.91</v>
      </c>
      <c r="X58" s="395">
        <v>77490</v>
      </c>
      <c r="Y58" s="395">
        <v>8415.25</v>
      </c>
      <c r="Z58" s="396">
        <v>544254</v>
      </c>
      <c r="AA58" s="396">
        <v>1152747</v>
      </c>
      <c r="AB58" s="396">
        <v>15019671</v>
      </c>
      <c r="AC58" s="396">
        <v>10207916</v>
      </c>
    </row>
    <row r="59" spans="1:29">
      <c r="A59">
        <v>8255</v>
      </c>
      <c r="B59" s="395" t="s">
        <v>8301</v>
      </c>
      <c r="C59" s="395"/>
      <c r="D59" s="396">
        <v>1151275</v>
      </c>
      <c r="E59" s="396">
        <v>1653681</v>
      </c>
      <c r="F59" s="395">
        <v>3.29</v>
      </c>
      <c r="G59" s="396">
        <v>-502406</v>
      </c>
      <c r="H59" s="396">
        <v>207527</v>
      </c>
      <c r="I59" s="396">
        <v>4773530</v>
      </c>
      <c r="J59" s="395">
        <v>279</v>
      </c>
      <c r="K59" s="395">
        <v>220</v>
      </c>
      <c r="L59" s="397">
        <v>0.78849999999999998</v>
      </c>
      <c r="M59" s="395">
        <v>59</v>
      </c>
      <c r="N59" s="396">
        <v>4126</v>
      </c>
      <c r="O59" s="396">
        <v>7517</v>
      </c>
      <c r="P59" s="395">
        <v>0.88</v>
      </c>
      <c r="Q59" s="396">
        <v>-8515</v>
      </c>
      <c r="R59" s="396">
        <v>35200</v>
      </c>
      <c r="S59" s="396">
        <v>-26517</v>
      </c>
      <c r="T59" s="396">
        <v>1326270</v>
      </c>
      <c r="U59" s="396">
        <v>-444708</v>
      </c>
      <c r="V59" s="395">
        <v>2165.86</v>
      </c>
      <c r="W59" s="395">
        <v>1529.22</v>
      </c>
      <c r="X59" s="395">
        <v>77490</v>
      </c>
      <c r="Y59" s="395">
        <v>4539.78</v>
      </c>
      <c r="Z59" s="396">
        <v>-1390588</v>
      </c>
      <c r="AA59" s="396">
        <v>1151275</v>
      </c>
      <c r="AB59" s="396">
        <v>42731624</v>
      </c>
      <c r="AC59" s="396">
        <v>10207916</v>
      </c>
    </row>
    <row r="60" spans="1:29">
      <c r="A60">
        <v>5283</v>
      </c>
      <c r="B60" s="395" t="s">
        <v>7790</v>
      </c>
      <c r="C60" s="395"/>
      <c r="D60" s="396">
        <v>1142672</v>
      </c>
      <c r="E60" s="396">
        <v>1332232</v>
      </c>
      <c r="F60" s="395">
        <v>7.03</v>
      </c>
      <c r="G60" s="396">
        <v>-189561</v>
      </c>
      <c r="H60" s="396">
        <v>114651</v>
      </c>
      <c r="I60" s="396">
        <v>21153338</v>
      </c>
      <c r="J60" s="395">
        <v>228</v>
      </c>
      <c r="K60" s="395">
        <v>186</v>
      </c>
      <c r="L60" s="397">
        <v>0.81579999999999997</v>
      </c>
      <c r="M60" s="395">
        <v>42</v>
      </c>
      <c r="N60" s="396">
        <v>5012</v>
      </c>
      <c r="O60" s="396">
        <v>7163</v>
      </c>
      <c r="P60" s="395">
        <v>1.59</v>
      </c>
      <c r="Q60" s="396">
        <v>-4513</v>
      </c>
      <c r="R60" s="396">
        <v>16837</v>
      </c>
      <c r="S60" s="396">
        <v>-14466</v>
      </c>
      <c r="T60" s="396">
        <v>2138431</v>
      </c>
      <c r="U60" s="396">
        <v>-1049217</v>
      </c>
      <c r="V60" s="395">
        <v>25071.37</v>
      </c>
      <c r="W60" s="395">
        <v>21928.62</v>
      </c>
      <c r="X60" s="395">
        <v>77490</v>
      </c>
      <c r="Y60" s="395">
        <v>38989.29</v>
      </c>
      <c r="Z60" s="396">
        <v>1298436</v>
      </c>
      <c r="AA60" s="396">
        <v>1142672</v>
      </c>
      <c r="AB60" s="396">
        <v>2199621</v>
      </c>
      <c r="AC60" s="396">
        <v>10207916</v>
      </c>
    </row>
    <row r="61" spans="1:29">
      <c r="A61">
        <v>3324</v>
      </c>
      <c r="B61" s="395" t="s">
        <v>7393</v>
      </c>
      <c r="C61" s="395"/>
      <c r="D61" s="396">
        <v>1120353</v>
      </c>
      <c r="E61" s="396">
        <v>1822880</v>
      </c>
      <c r="F61" s="395">
        <v>2.59</v>
      </c>
      <c r="G61" s="396">
        <v>-702527</v>
      </c>
      <c r="H61" s="396">
        <v>217625</v>
      </c>
      <c r="I61" s="396">
        <v>8459295</v>
      </c>
      <c r="J61" s="395">
        <v>277</v>
      </c>
      <c r="K61" s="395">
        <v>231</v>
      </c>
      <c r="L61" s="397">
        <v>0.83389999999999997</v>
      </c>
      <c r="M61" s="395">
        <v>46</v>
      </c>
      <c r="N61" s="396">
        <v>4045</v>
      </c>
      <c r="O61" s="396">
        <v>7891</v>
      </c>
      <c r="P61" s="395">
        <v>0.52</v>
      </c>
      <c r="Q61" s="396">
        <v>-15272</v>
      </c>
      <c r="R61" s="396">
        <v>43358</v>
      </c>
      <c r="S61" s="396">
        <v>-38463</v>
      </c>
      <c r="T61" s="396">
        <v>2347928</v>
      </c>
      <c r="U61" s="396">
        <v>-1353760</v>
      </c>
      <c r="V61" s="395">
        <v>2961.17</v>
      </c>
      <c r="W61" s="395">
        <v>2240.27</v>
      </c>
      <c r="X61" s="395">
        <v>77490</v>
      </c>
      <c r="Y61" s="395">
        <v>6581.37</v>
      </c>
      <c r="Z61" s="396">
        <v>-12390530</v>
      </c>
      <c r="AA61" s="396">
        <v>1120353</v>
      </c>
      <c r="AB61" s="396">
        <v>3358947</v>
      </c>
      <c r="AC61" s="396">
        <v>10207916</v>
      </c>
    </row>
    <row r="62" spans="1:29">
      <c r="A62">
        <v>5871</v>
      </c>
      <c r="B62" s="395" t="s">
        <v>7890</v>
      </c>
      <c r="C62" s="395"/>
      <c r="D62" s="396">
        <v>1119791</v>
      </c>
      <c r="E62" s="396">
        <v>1632206</v>
      </c>
      <c r="F62" s="395">
        <v>3.19</v>
      </c>
      <c r="G62" s="396">
        <v>-512415</v>
      </c>
      <c r="H62" s="396">
        <v>257545</v>
      </c>
      <c r="I62" s="396">
        <v>6637081</v>
      </c>
      <c r="J62" s="395">
        <v>285</v>
      </c>
      <c r="K62" s="395">
        <v>242</v>
      </c>
      <c r="L62" s="397">
        <v>0.84909999999999997</v>
      </c>
      <c r="M62" s="395">
        <v>43</v>
      </c>
      <c r="N62" s="396">
        <v>3929</v>
      </c>
      <c r="O62" s="396">
        <v>6745</v>
      </c>
      <c r="P62" s="395">
        <v>0.56999999999999995</v>
      </c>
      <c r="Q62" s="396">
        <v>-11917</v>
      </c>
      <c r="R62" s="396">
        <v>20990</v>
      </c>
      <c r="S62" s="396">
        <v>-33018</v>
      </c>
      <c r="T62" s="396">
        <v>1572843</v>
      </c>
      <c r="U62" s="396">
        <v>-436296</v>
      </c>
      <c r="V62" s="395">
        <v>1977.41</v>
      </c>
      <c r="W62" s="395">
        <v>1597.24</v>
      </c>
      <c r="X62" s="395">
        <v>77490</v>
      </c>
      <c r="Y62" s="395">
        <v>4116.95</v>
      </c>
      <c r="Z62" s="396">
        <v>9888045</v>
      </c>
      <c r="AA62" s="396">
        <v>1119791</v>
      </c>
      <c r="AB62" s="396">
        <v>26807667</v>
      </c>
      <c r="AC62" s="396">
        <v>10207916</v>
      </c>
    </row>
    <row r="63" spans="1:29">
      <c r="A63">
        <v>3675</v>
      </c>
      <c r="B63" s="395" t="s">
        <v>7525</v>
      </c>
      <c r="C63" s="395"/>
      <c r="D63" s="396">
        <v>1083828</v>
      </c>
      <c r="E63" s="396">
        <v>1449587</v>
      </c>
      <c r="F63" s="395">
        <v>3.96</v>
      </c>
      <c r="G63" s="396">
        <v>-365759</v>
      </c>
      <c r="H63" s="396">
        <v>185543</v>
      </c>
      <c r="I63" s="396">
        <v>3955895</v>
      </c>
      <c r="J63" s="395">
        <v>270</v>
      </c>
      <c r="K63" s="395">
        <v>218</v>
      </c>
      <c r="L63" s="397">
        <v>0.80740000000000001</v>
      </c>
      <c r="M63" s="395">
        <v>52</v>
      </c>
      <c r="N63" s="396">
        <v>4014</v>
      </c>
      <c r="O63" s="396">
        <v>6649</v>
      </c>
      <c r="P63" s="395">
        <v>0.95</v>
      </c>
      <c r="Q63" s="396">
        <v>-7034</v>
      </c>
      <c r="R63" s="396">
        <v>32521</v>
      </c>
      <c r="S63" s="396">
        <v>-39140</v>
      </c>
      <c r="T63" s="396">
        <v>1202372</v>
      </c>
      <c r="U63" s="396">
        <v>-538292</v>
      </c>
      <c r="V63" s="395">
        <v>1066.01</v>
      </c>
      <c r="W63" s="395">
        <v>732.54</v>
      </c>
      <c r="X63" s="395">
        <v>77490</v>
      </c>
      <c r="Y63" s="395">
        <v>2464</v>
      </c>
      <c r="Z63" s="396">
        <v>4483992</v>
      </c>
      <c r="AA63" s="396">
        <v>1083828</v>
      </c>
      <c r="AB63" s="396">
        <v>129789031</v>
      </c>
      <c r="AC63" s="396">
        <v>10207916</v>
      </c>
    </row>
    <row r="64" spans="1:29">
      <c r="A64">
        <v>2327</v>
      </c>
      <c r="B64" s="395" t="s">
        <v>6985</v>
      </c>
      <c r="C64" s="395"/>
      <c r="D64" s="396">
        <v>1064742</v>
      </c>
      <c r="E64" s="396">
        <v>4625288</v>
      </c>
      <c r="F64" s="395">
        <v>1.3</v>
      </c>
      <c r="G64" s="396">
        <v>-3560546</v>
      </c>
      <c r="H64" s="396">
        <v>557067</v>
      </c>
      <c r="I64" s="396">
        <v>48454296</v>
      </c>
      <c r="J64" s="395">
        <v>274</v>
      </c>
      <c r="K64" s="395">
        <v>185</v>
      </c>
      <c r="L64" s="397">
        <v>0.67520000000000002</v>
      </c>
      <c r="M64" s="395">
        <v>89</v>
      </c>
      <c r="N64" s="396">
        <v>3886</v>
      </c>
      <c r="O64" s="396">
        <v>25002</v>
      </c>
      <c r="P64" s="395">
        <v>0.62</v>
      </c>
      <c r="Q64" s="396">
        <v>-40006</v>
      </c>
      <c r="R64" s="396">
        <v>103190</v>
      </c>
      <c r="S64" s="396">
        <v>-114960</v>
      </c>
      <c r="T64" s="396">
        <v>6042486</v>
      </c>
      <c r="U64" s="396">
        <v>-4912573</v>
      </c>
      <c r="V64" s="395">
        <v>7451.48</v>
      </c>
      <c r="W64" s="395">
        <v>5343.72</v>
      </c>
      <c r="X64" s="395">
        <v>77220</v>
      </c>
      <c r="Y64" s="395">
        <v>11832.76</v>
      </c>
      <c r="Z64" s="396">
        <v>-23186402</v>
      </c>
      <c r="AA64" s="396">
        <v>1064742</v>
      </c>
      <c r="AB64" s="396">
        <v>-7581836</v>
      </c>
      <c r="AC64" s="396">
        <v>10207916</v>
      </c>
    </row>
    <row r="65" spans="1:29">
      <c r="A65">
        <v>6187</v>
      </c>
      <c r="B65" s="395" t="s">
        <v>7976</v>
      </c>
      <c r="C65" s="395"/>
      <c r="D65" s="396">
        <v>1064095</v>
      </c>
      <c r="E65" s="396">
        <v>1331149</v>
      </c>
      <c r="F65" s="395">
        <v>4.9800000000000004</v>
      </c>
      <c r="G65" s="396">
        <v>-267054</v>
      </c>
      <c r="H65" s="396">
        <v>138157</v>
      </c>
      <c r="I65" s="396">
        <v>7070913</v>
      </c>
      <c r="J65" s="395">
        <v>273</v>
      </c>
      <c r="K65" s="395">
        <v>224</v>
      </c>
      <c r="L65" s="397">
        <v>0.82050000000000001</v>
      </c>
      <c r="M65" s="395">
        <v>49</v>
      </c>
      <c r="N65" s="396">
        <v>3898</v>
      </c>
      <c r="O65" s="396">
        <v>5943</v>
      </c>
      <c r="P65" s="395">
        <v>1.0900000000000001</v>
      </c>
      <c r="Q65" s="396">
        <v>-5450</v>
      </c>
      <c r="R65" s="396">
        <v>24554</v>
      </c>
      <c r="S65" s="396">
        <v>-18693</v>
      </c>
      <c r="T65" s="396">
        <v>1557083</v>
      </c>
      <c r="U65" s="396">
        <v>-968136</v>
      </c>
      <c r="V65" s="395">
        <v>2774.67</v>
      </c>
      <c r="W65" s="395">
        <v>1728.32</v>
      </c>
      <c r="X65" s="395">
        <v>77490</v>
      </c>
      <c r="Y65" s="395">
        <v>7558</v>
      </c>
      <c r="Z65" s="396">
        <v>18468845</v>
      </c>
      <c r="AA65" s="396">
        <v>1064095</v>
      </c>
      <c r="AB65" s="396">
        <v>25555319</v>
      </c>
      <c r="AC65" s="396">
        <v>10207916</v>
      </c>
    </row>
    <row r="66" spans="1:29">
      <c r="A66">
        <v>3526</v>
      </c>
      <c r="B66" s="395" t="s">
        <v>7456</v>
      </c>
      <c r="C66" s="395"/>
      <c r="D66" s="396">
        <v>1052887</v>
      </c>
      <c r="E66" s="396">
        <v>1503737</v>
      </c>
      <c r="F66" s="395">
        <v>3.34</v>
      </c>
      <c r="G66" s="396">
        <v>-450850</v>
      </c>
      <c r="H66" s="396">
        <v>165898</v>
      </c>
      <c r="I66" s="396">
        <v>5854068</v>
      </c>
      <c r="J66" s="395">
        <v>259</v>
      </c>
      <c r="K66" s="395">
        <v>211</v>
      </c>
      <c r="L66" s="397">
        <v>0.81469999999999998</v>
      </c>
      <c r="M66" s="395">
        <v>48</v>
      </c>
      <c r="N66" s="396">
        <v>4065</v>
      </c>
      <c r="O66" s="396">
        <v>7127</v>
      </c>
      <c r="P66" s="395">
        <v>0.76</v>
      </c>
      <c r="Q66" s="396">
        <v>-9393</v>
      </c>
      <c r="R66" s="396">
        <v>27460</v>
      </c>
      <c r="S66" s="396">
        <v>-32718</v>
      </c>
      <c r="T66" s="396">
        <v>1633735</v>
      </c>
      <c r="U66" s="396">
        <v>-698007</v>
      </c>
      <c r="V66" s="395">
        <v>2393.4499999999998</v>
      </c>
      <c r="W66" s="395">
        <v>1521.46</v>
      </c>
      <c r="X66" s="395">
        <v>75600</v>
      </c>
      <c r="Y66" s="395">
        <v>6226.54</v>
      </c>
      <c r="Z66" s="396">
        <v>-7232792</v>
      </c>
      <c r="AA66" s="396">
        <v>1052887</v>
      </c>
      <c r="AB66" s="396">
        <v>42133082</v>
      </c>
      <c r="AC66" s="396">
        <v>10207916</v>
      </c>
    </row>
    <row r="67" spans="1:29">
      <c r="A67">
        <v>6683</v>
      </c>
      <c r="B67" s="395" t="s">
        <v>8183</v>
      </c>
      <c r="C67" s="395"/>
      <c r="D67" s="396">
        <v>1048209</v>
      </c>
      <c r="E67" s="396">
        <v>2664279</v>
      </c>
      <c r="F67" s="395">
        <v>1.65</v>
      </c>
      <c r="G67" s="396">
        <v>-1616070</v>
      </c>
      <c r="H67" s="396">
        <v>335350</v>
      </c>
      <c r="I67" s="396">
        <v>10523227</v>
      </c>
      <c r="J67" s="395">
        <v>258</v>
      </c>
      <c r="K67" s="395">
        <v>182</v>
      </c>
      <c r="L67" s="397">
        <v>0.70540000000000003</v>
      </c>
      <c r="M67" s="395">
        <v>76</v>
      </c>
      <c r="N67" s="396">
        <v>4063</v>
      </c>
      <c r="O67" s="396">
        <v>14639</v>
      </c>
      <c r="P67" s="395">
        <v>0.69</v>
      </c>
      <c r="Q67" s="396">
        <v>-21264</v>
      </c>
      <c r="R67" s="396">
        <v>63371</v>
      </c>
      <c r="S67" s="396">
        <v>-69394</v>
      </c>
      <c r="T67" s="396">
        <v>3159772</v>
      </c>
      <c r="U67" s="396">
        <v>-1733543</v>
      </c>
      <c r="V67" s="395">
        <v>2857.5</v>
      </c>
      <c r="W67" s="395">
        <v>1872.98</v>
      </c>
      <c r="X67" s="395">
        <v>77490</v>
      </c>
      <c r="Y67" s="395">
        <v>5215.16</v>
      </c>
      <c r="Z67" s="396">
        <v>-25058527</v>
      </c>
      <c r="AA67" s="396">
        <v>1048209</v>
      </c>
      <c r="AB67" s="396">
        <v>-12501930</v>
      </c>
      <c r="AC67" s="396">
        <v>10207916</v>
      </c>
    </row>
    <row r="68" spans="1:29">
      <c r="A68">
        <v>5434</v>
      </c>
      <c r="B68" s="395" t="s">
        <v>7831</v>
      </c>
      <c r="C68" s="395"/>
      <c r="D68" s="396">
        <v>1041415</v>
      </c>
      <c r="E68" s="396">
        <v>1117932</v>
      </c>
      <c r="F68" s="395">
        <v>14.61</v>
      </c>
      <c r="G68" s="396">
        <v>-76517</v>
      </c>
      <c r="H68" s="396">
        <v>158541</v>
      </c>
      <c r="I68" s="396">
        <v>9425242</v>
      </c>
      <c r="J68" s="395">
        <v>281</v>
      </c>
      <c r="K68" s="395">
        <v>249</v>
      </c>
      <c r="L68" s="397">
        <v>0.8861</v>
      </c>
      <c r="M68" s="395">
        <v>32</v>
      </c>
      <c r="N68" s="396">
        <v>3706</v>
      </c>
      <c r="O68" s="396">
        <v>4490</v>
      </c>
      <c r="P68" s="395">
        <v>1.88</v>
      </c>
      <c r="Q68" s="396">
        <v>-2391</v>
      </c>
      <c r="R68" s="396">
        <v>21490</v>
      </c>
      <c r="S68" s="396">
        <v>-10199</v>
      </c>
      <c r="T68" s="396">
        <v>1227398</v>
      </c>
      <c r="U68" s="396">
        <v>-300964</v>
      </c>
      <c r="V68" s="395">
        <v>4118.07</v>
      </c>
      <c r="W68" s="395">
        <v>4122.0600000000004</v>
      </c>
      <c r="X68" s="395">
        <v>77490</v>
      </c>
      <c r="Y68" s="395">
        <v>4086.97</v>
      </c>
      <c r="Z68" s="396">
        <v>13083194</v>
      </c>
      <c r="AA68" s="396">
        <v>1041415</v>
      </c>
      <c r="AB68" s="396">
        <v>25430544</v>
      </c>
      <c r="AC68" s="396">
        <v>10207916</v>
      </c>
    </row>
    <row r="69" spans="1:29">
      <c r="A69">
        <v>3131</v>
      </c>
      <c r="B69" s="395" t="s">
        <v>7323</v>
      </c>
      <c r="C69" s="395"/>
      <c r="D69" s="396">
        <v>1037306</v>
      </c>
      <c r="E69" s="396">
        <v>3520779</v>
      </c>
      <c r="F69" s="395">
        <v>1.42</v>
      </c>
      <c r="G69" s="396">
        <v>-2483474</v>
      </c>
      <c r="H69" s="396">
        <v>368972</v>
      </c>
      <c r="I69" s="396">
        <v>19225420</v>
      </c>
      <c r="J69" s="395">
        <v>249</v>
      </c>
      <c r="K69" s="395">
        <v>155</v>
      </c>
      <c r="L69" s="397">
        <v>0.62250000000000005</v>
      </c>
      <c r="M69" s="395">
        <v>94</v>
      </c>
      <c r="N69" s="396">
        <v>4166</v>
      </c>
      <c r="O69" s="396">
        <v>22715</v>
      </c>
      <c r="P69" s="395">
        <v>0.86</v>
      </c>
      <c r="Q69" s="396">
        <v>-26420</v>
      </c>
      <c r="R69" s="396">
        <v>66770</v>
      </c>
      <c r="S69" s="396">
        <v>-76841</v>
      </c>
      <c r="T69" s="396">
        <v>3659444</v>
      </c>
      <c r="U69" s="396">
        <v>-2531489</v>
      </c>
      <c r="V69" s="395">
        <v>5044.79</v>
      </c>
      <c r="W69" s="395">
        <v>2874.74</v>
      </c>
      <c r="X69" s="395">
        <v>77490</v>
      </c>
      <c r="Y69" s="395">
        <v>8623.0499999999993</v>
      </c>
      <c r="Z69" s="396">
        <v>-18323740</v>
      </c>
      <c r="AA69" s="396">
        <v>1037306</v>
      </c>
      <c r="AB69" s="396">
        <v>-11716115</v>
      </c>
      <c r="AC69" s="396">
        <v>10207916</v>
      </c>
    </row>
    <row r="70" spans="1:29">
      <c r="A70">
        <v>1795</v>
      </c>
      <c r="B70" s="395" t="s">
        <v>6887</v>
      </c>
      <c r="C70" s="395"/>
      <c r="D70" s="396">
        <v>1036498</v>
      </c>
      <c r="E70" s="396">
        <v>1325056</v>
      </c>
      <c r="F70" s="395">
        <v>4.59</v>
      </c>
      <c r="G70" s="396">
        <v>-288558</v>
      </c>
      <c r="H70" s="396">
        <v>105802</v>
      </c>
      <c r="I70" s="396">
        <v>6978959</v>
      </c>
      <c r="J70" s="395">
        <v>271</v>
      </c>
      <c r="K70" s="395">
        <v>228</v>
      </c>
      <c r="L70" s="397">
        <v>0.84130000000000005</v>
      </c>
      <c r="M70" s="395">
        <v>43</v>
      </c>
      <c r="N70" s="396">
        <v>3825</v>
      </c>
      <c r="O70" s="396">
        <v>5812</v>
      </c>
      <c r="P70" s="395">
        <v>0.87</v>
      </c>
      <c r="Q70" s="396">
        <v>-6711</v>
      </c>
      <c r="R70" s="396">
        <v>19195</v>
      </c>
      <c r="S70" s="396">
        <v>-30504</v>
      </c>
      <c r="T70" s="396">
        <v>1569215</v>
      </c>
      <c r="U70" s="396">
        <v>-841739</v>
      </c>
      <c r="V70" s="395">
        <v>4610.1499999999996</v>
      </c>
      <c r="W70" s="395">
        <v>3921.93</v>
      </c>
      <c r="X70" s="395">
        <v>77490</v>
      </c>
      <c r="Y70" s="395">
        <v>8259.33</v>
      </c>
      <c r="Z70" s="396">
        <v>-10722117</v>
      </c>
      <c r="AA70" s="396">
        <v>1036498</v>
      </c>
      <c r="AB70" s="396">
        <v>13269941</v>
      </c>
      <c r="AC70" s="396">
        <v>10207916</v>
      </c>
    </row>
    <row r="71" spans="1:29">
      <c r="A71">
        <v>5299</v>
      </c>
      <c r="B71" s="395" t="s">
        <v>7797</v>
      </c>
      <c r="C71" s="395"/>
      <c r="D71" s="396">
        <v>1030091</v>
      </c>
      <c r="E71" s="396">
        <v>1303092</v>
      </c>
      <c r="F71" s="395">
        <v>4.7699999999999996</v>
      </c>
      <c r="G71" s="396">
        <v>-273001</v>
      </c>
      <c r="H71" s="396">
        <v>183409</v>
      </c>
      <c r="I71" s="396">
        <v>4704537</v>
      </c>
      <c r="J71" s="395">
        <v>260</v>
      </c>
      <c r="K71" s="395">
        <v>226</v>
      </c>
      <c r="L71" s="397">
        <v>0.86919999999999997</v>
      </c>
      <c r="M71" s="395">
        <v>34</v>
      </c>
      <c r="N71" s="396">
        <v>3962</v>
      </c>
      <c r="O71" s="396">
        <v>5766</v>
      </c>
      <c r="P71" s="395">
        <v>0.72</v>
      </c>
      <c r="Q71" s="396">
        <v>-8029</v>
      </c>
      <c r="R71" s="396">
        <v>23180</v>
      </c>
      <c r="S71" s="396">
        <v>-34293</v>
      </c>
      <c r="T71" s="396">
        <v>1059888</v>
      </c>
      <c r="U71" s="396">
        <v>-452387</v>
      </c>
      <c r="V71" s="395">
        <v>1678.4</v>
      </c>
      <c r="W71" s="395">
        <v>1328.11</v>
      </c>
      <c r="X71" s="395">
        <v>77490</v>
      </c>
      <c r="Y71" s="395">
        <v>4006.85</v>
      </c>
      <c r="Z71" s="396">
        <v>29917105</v>
      </c>
      <c r="AA71" s="396">
        <v>1030091</v>
      </c>
      <c r="AB71" s="396">
        <v>25798634</v>
      </c>
      <c r="AC71" s="396">
        <v>10207916</v>
      </c>
    </row>
    <row r="72" spans="1:29">
      <c r="A72">
        <v>2379</v>
      </c>
      <c r="B72" s="395" t="s">
        <v>7023</v>
      </c>
      <c r="C72" s="395"/>
      <c r="D72" s="396">
        <v>1022580</v>
      </c>
      <c r="E72" s="396">
        <v>3637345</v>
      </c>
      <c r="F72" s="395">
        <v>1.39</v>
      </c>
      <c r="G72" s="396">
        <v>-2614765</v>
      </c>
      <c r="H72" s="396">
        <v>583025</v>
      </c>
      <c r="I72" s="396">
        <v>21215611</v>
      </c>
      <c r="J72" s="395">
        <v>285</v>
      </c>
      <c r="K72" s="395">
        <v>209</v>
      </c>
      <c r="L72" s="397">
        <v>0.73329999999999995</v>
      </c>
      <c r="M72" s="395">
        <v>76</v>
      </c>
      <c r="N72" s="396">
        <v>3588</v>
      </c>
      <c r="O72" s="396">
        <v>17404</v>
      </c>
      <c r="P72" s="395">
        <v>0.51</v>
      </c>
      <c r="Q72" s="396">
        <v>-34405</v>
      </c>
      <c r="R72" s="396">
        <v>66080</v>
      </c>
      <c r="S72" s="396">
        <v>-113082</v>
      </c>
      <c r="T72" s="396">
        <v>3154027</v>
      </c>
      <c r="U72" s="396">
        <v>-2448367</v>
      </c>
      <c r="V72" s="395">
        <v>3062.62</v>
      </c>
      <c r="W72" s="395">
        <v>1875</v>
      </c>
      <c r="X72" s="395">
        <v>77490</v>
      </c>
      <c r="Y72" s="395">
        <v>6328.57</v>
      </c>
      <c r="Z72" s="396">
        <v>-6077267</v>
      </c>
      <c r="AA72" s="396">
        <v>1022580</v>
      </c>
      <c r="AB72" s="396">
        <v>11118874</v>
      </c>
      <c r="AC72" s="396">
        <v>10207916</v>
      </c>
    </row>
    <row r="73" spans="1:29">
      <c r="A73">
        <v>6416</v>
      </c>
      <c r="B73" s="395" t="s">
        <v>8069</v>
      </c>
      <c r="C73" s="395"/>
      <c r="D73" s="396">
        <v>1008852</v>
      </c>
      <c r="E73" s="396">
        <v>1832231</v>
      </c>
      <c r="F73" s="395">
        <v>2.23</v>
      </c>
      <c r="G73" s="396">
        <v>-823379</v>
      </c>
      <c r="H73" s="396">
        <v>120473</v>
      </c>
      <c r="I73" s="396">
        <v>18176696</v>
      </c>
      <c r="J73" s="395">
        <v>259</v>
      </c>
      <c r="K73" s="395">
        <v>183</v>
      </c>
      <c r="L73" s="397">
        <v>0.70660000000000001</v>
      </c>
      <c r="M73" s="395">
        <v>76</v>
      </c>
      <c r="N73" s="396">
        <v>3895</v>
      </c>
      <c r="O73" s="396">
        <v>10012</v>
      </c>
      <c r="P73" s="395">
        <v>0.92</v>
      </c>
      <c r="Q73" s="396">
        <v>-10834</v>
      </c>
      <c r="R73" s="396">
        <v>28007</v>
      </c>
      <c r="S73" s="396">
        <v>-64843</v>
      </c>
      <c r="T73" s="396">
        <v>4040376</v>
      </c>
      <c r="U73" s="396">
        <v>-3137422</v>
      </c>
      <c r="V73" s="395">
        <v>16785.36</v>
      </c>
      <c r="W73" s="395">
        <v>12388.1</v>
      </c>
      <c r="X73" s="395">
        <v>77490</v>
      </c>
      <c r="Y73" s="395">
        <v>27373.5</v>
      </c>
      <c r="Z73" s="396">
        <v>-21662227</v>
      </c>
      <c r="AA73" s="396">
        <v>1008852</v>
      </c>
      <c r="AB73" s="396">
        <v>-13790795</v>
      </c>
      <c r="AC73" s="396">
        <v>10207916</v>
      </c>
    </row>
    <row r="74" spans="1:29">
      <c r="A74">
        <v>3189</v>
      </c>
      <c r="B74" s="395" t="s">
        <v>7338</v>
      </c>
      <c r="C74" s="395"/>
      <c r="D74" s="396">
        <v>1004128</v>
      </c>
      <c r="E74" s="396">
        <v>1451959</v>
      </c>
      <c r="F74" s="395">
        <v>3.24</v>
      </c>
      <c r="G74" s="396">
        <v>-447831</v>
      </c>
      <c r="H74" s="396">
        <v>187724</v>
      </c>
      <c r="I74" s="396">
        <v>3668949</v>
      </c>
      <c r="J74" s="395">
        <v>278</v>
      </c>
      <c r="K74" s="395">
        <v>229</v>
      </c>
      <c r="L74" s="397">
        <v>0.82369999999999999</v>
      </c>
      <c r="M74" s="395">
        <v>49</v>
      </c>
      <c r="N74" s="396">
        <v>3612</v>
      </c>
      <c r="O74" s="396">
        <v>6340</v>
      </c>
      <c r="P74" s="395">
        <v>0.69</v>
      </c>
      <c r="Q74" s="396">
        <v>-9139</v>
      </c>
      <c r="R74" s="396">
        <v>29292</v>
      </c>
      <c r="S74" s="396">
        <v>-38828</v>
      </c>
      <c r="T74" s="396">
        <v>1348270</v>
      </c>
      <c r="U74" s="396">
        <v>-443211</v>
      </c>
      <c r="V74" s="395">
        <v>1369.65</v>
      </c>
      <c r="W74" s="395">
        <v>938.57</v>
      </c>
      <c r="X74" s="395">
        <v>77490</v>
      </c>
      <c r="Y74" s="395">
        <v>3384.29</v>
      </c>
      <c r="Z74" s="396">
        <v>12832102</v>
      </c>
      <c r="AA74" s="396">
        <v>1004128</v>
      </c>
      <c r="AB74" s="396">
        <v>65394865</v>
      </c>
      <c r="AC74" s="396">
        <v>10207916</v>
      </c>
    </row>
    <row r="75" spans="1:29">
      <c r="A75">
        <v>3006</v>
      </c>
      <c r="B75" s="395" t="s">
        <v>7249</v>
      </c>
      <c r="C75" s="395"/>
      <c r="D75" s="396">
        <v>998325</v>
      </c>
      <c r="E75" s="396">
        <v>1573684</v>
      </c>
      <c r="F75" s="395">
        <v>2.74</v>
      </c>
      <c r="G75" s="396">
        <v>-575359</v>
      </c>
      <c r="H75" s="396">
        <v>151223</v>
      </c>
      <c r="I75" s="396">
        <v>7510072</v>
      </c>
      <c r="J75" s="395">
        <v>278</v>
      </c>
      <c r="K75" s="395">
        <v>232</v>
      </c>
      <c r="L75" s="397">
        <v>0.83450000000000002</v>
      </c>
      <c r="M75" s="395">
        <v>46</v>
      </c>
      <c r="N75" s="396">
        <v>3591</v>
      </c>
      <c r="O75" s="396">
        <v>6783</v>
      </c>
      <c r="P75" s="395">
        <v>0.54</v>
      </c>
      <c r="Q75" s="396">
        <v>-12508</v>
      </c>
      <c r="R75" s="396">
        <v>30538</v>
      </c>
      <c r="S75" s="396">
        <v>-46660</v>
      </c>
      <c r="T75" s="396">
        <v>1911909</v>
      </c>
      <c r="U75" s="396">
        <v>-1386422</v>
      </c>
      <c r="V75" s="395">
        <v>2799.31</v>
      </c>
      <c r="W75" s="395">
        <v>2036.94</v>
      </c>
      <c r="X75" s="395">
        <v>77490</v>
      </c>
      <c r="Y75" s="395">
        <v>6644.3</v>
      </c>
      <c r="Z75" s="396">
        <v>1753663</v>
      </c>
      <c r="AA75" s="396">
        <v>998325</v>
      </c>
      <c r="AB75" s="396">
        <v>75055572</v>
      </c>
      <c r="AC75" s="396">
        <v>10207916</v>
      </c>
    </row>
    <row r="76" spans="1:29">
      <c r="A76">
        <v>8499</v>
      </c>
      <c r="B76" s="395" t="s">
        <v>8366</v>
      </c>
      <c r="C76" s="395"/>
      <c r="D76" s="396">
        <v>996401</v>
      </c>
      <c r="E76" s="396">
        <v>1392489</v>
      </c>
      <c r="F76" s="395">
        <v>3.52</v>
      </c>
      <c r="G76" s="396">
        <v>-396088</v>
      </c>
      <c r="H76" s="396">
        <v>136536</v>
      </c>
      <c r="I76" s="396">
        <v>21661042</v>
      </c>
      <c r="J76" s="395">
        <v>254</v>
      </c>
      <c r="K76" s="395">
        <v>186</v>
      </c>
      <c r="L76" s="397">
        <v>0.73229999999999995</v>
      </c>
      <c r="M76" s="395">
        <v>68</v>
      </c>
      <c r="N76" s="396">
        <v>3923</v>
      </c>
      <c r="O76" s="396">
        <v>7486</v>
      </c>
      <c r="P76" s="395">
        <v>1.29</v>
      </c>
      <c r="Q76" s="396">
        <v>-5825</v>
      </c>
      <c r="R76" s="396">
        <v>24518</v>
      </c>
      <c r="S76" s="396">
        <v>-32664</v>
      </c>
      <c r="T76" s="396">
        <v>3292736</v>
      </c>
      <c r="U76" s="396">
        <v>-2456679</v>
      </c>
      <c r="V76" s="395">
        <v>17927.740000000002</v>
      </c>
      <c r="W76" s="395">
        <v>16090.61</v>
      </c>
      <c r="X76" s="395">
        <v>77490</v>
      </c>
      <c r="Y76" s="395">
        <v>22952.81</v>
      </c>
      <c r="Z76" s="396">
        <v>-10492405</v>
      </c>
      <c r="AA76" s="396">
        <v>996401</v>
      </c>
      <c r="AB76" s="396">
        <v>-1635971</v>
      </c>
      <c r="AC76" s="396">
        <v>10207916</v>
      </c>
    </row>
    <row r="77" spans="1:29">
      <c r="A77">
        <v>2636</v>
      </c>
      <c r="B77" s="395" t="s">
        <v>7157</v>
      </c>
      <c r="C77" s="395"/>
      <c r="D77" s="396">
        <v>985523</v>
      </c>
      <c r="E77" s="396">
        <v>2347680</v>
      </c>
      <c r="F77" s="395">
        <v>1.72</v>
      </c>
      <c r="G77" s="396">
        <v>-1362157</v>
      </c>
      <c r="H77" s="396">
        <v>137660</v>
      </c>
      <c r="I77" s="396">
        <v>21862965</v>
      </c>
      <c r="J77" s="395">
        <v>274</v>
      </c>
      <c r="K77" s="395">
        <v>214</v>
      </c>
      <c r="L77" s="397">
        <v>0.78100000000000003</v>
      </c>
      <c r="M77" s="395">
        <v>60</v>
      </c>
      <c r="N77" s="396">
        <v>3597</v>
      </c>
      <c r="O77" s="396">
        <v>10970</v>
      </c>
      <c r="P77" s="395">
        <v>0.48</v>
      </c>
      <c r="Q77" s="396">
        <v>-22703</v>
      </c>
      <c r="R77" s="396">
        <v>41971</v>
      </c>
      <c r="S77" s="396">
        <v>-95166</v>
      </c>
      <c r="T77" s="396">
        <v>6046328</v>
      </c>
      <c r="U77" s="396">
        <v>-5327660</v>
      </c>
      <c r="V77" s="395">
        <v>11786.28</v>
      </c>
      <c r="W77" s="395">
        <v>7822.86</v>
      </c>
      <c r="X77" s="395">
        <v>77490</v>
      </c>
      <c r="Y77" s="395">
        <v>25922.48</v>
      </c>
      <c r="Z77" s="396">
        <v>-1524125</v>
      </c>
      <c r="AA77" s="396">
        <v>985523</v>
      </c>
      <c r="AB77" s="396">
        <v>120117996</v>
      </c>
      <c r="AC77" s="396">
        <v>10207916</v>
      </c>
    </row>
    <row r="78" spans="1:29">
      <c r="A78">
        <v>3491</v>
      </c>
      <c r="B78" s="395" t="s">
        <v>7439</v>
      </c>
      <c r="C78" s="395"/>
      <c r="D78" s="396">
        <v>969522</v>
      </c>
      <c r="E78" s="396">
        <v>1129080</v>
      </c>
      <c r="F78" s="395">
        <v>7.08</v>
      </c>
      <c r="G78" s="396">
        <v>-159558</v>
      </c>
      <c r="H78" s="396">
        <v>113749</v>
      </c>
      <c r="I78" s="396">
        <v>6585750</v>
      </c>
      <c r="J78" s="395">
        <v>265</v>
      </c>
      <c r="K78" s="395">
        <v>214</v>
      </c>
      <c r="L78" s="397">
        <v>0.8075</v>
      </c>
      <c r="M78" s="395">
        <v>51</v>
      </c>
      <c r="N78" s="396">
        <v>3659</v>
      </c>
      <c r="O78" s="396">
        <v>5276</v>
      </c>
      <c r="P78" s="395">
        <v>1.69</v>
      </c>
      <c r="Q78" s="396">
        <v>-3129</v>
      </c>
      <c r="R78" s="396">
        <v>27719</v>
      </c>
      <c r="S78" s="396">
        <v>-23732</v>
      </c>
      <c r="T78" s="396">
        <v>1647553</v>
      </c>
      <c r="U78" s="396">
        <v>-747895</v>
      </c>
      <c r="V78" s="395">
        <v>5931.09</v>
      </c>
      <c r="W78" s="395">
        <v>4324.9399999999996</v>
      </c>
      <c r="X78" s="395">
        <v>77490</v>
      </c>
      <c r="Y78" s="395">
        <v>12670.59</v>
      </c>
      <c r="Z78" s="396">
        <v>29905874</v>
      </c>
      <c r="AA78" s="396">
        <v>969522</v>
      </c>
      <c r="AB78" s="396">
        <v>59374952</v>
      </c>
      <c r="AC78" s="396">
        <v>10207916</v>
      </c>
    </row>
    <row r="79" spans="1:29">
      <c r="A79">
        <v>6670</v>
      </c>
      <c r="B79" s="395" t="s">
        <v>8177</v>
      </c>
      <c r="C79" s="395"/>
      <c r="D79" s="396">
        <v>961876</v>
      </c>
      <c r="E79" s="396">
        <v>1543676</v>
      </c>
      <c r="F79" s="395">
        <v>2.65</v>
      </c>
      <c r="G79" s="396">
        <v>-581800</v>
      </c>
      <c r="H79" s="396">
        <v>213307</v>
      </c>
      <c r="I79" s="396">
        <v>15273535</v>
      </c>
      <c r="J79" s="395">
        <v>260</v>
      </c>
      <c r="K79" s="395">
        <v>193</v>
      </c>
      <c r="L79" s="397">
        <v>0.74229999999999996</v>
      </c>
      <c r="M79" s="395">
        <v>67</v>
      </c>
      <c r="N79" s="396">
        <v>3700</v>
      </c>
      <c r="O79" s="396">
        <v>7998</v>
      </c>
      <c r="P79" s="395">
        <v>0.92</v>
      </c>
      <c r="Q79" s="396">
        <v>-8684</v>
      </c>
      <c r="R79" s="396">
        <v>29198</v>
      </c>
      <c r="S79" s="396">
        <v>-27472</v>
      </c>
      <c r="T79" s="396">
        <v>1444882</v>
      </c>
      <c r="U79" s="396">
        <v>-864283</v>
      </c>
      <c r="V79" s="395">
        <v>5830.53</v>
      </c>
      <c r="W79" s="395">
        <v>4352.07</v>
      </c>
      <c r="X79" s="395">
        <v>77490</v>
      </c>
      <c r="Y79" s="395">
        <v>10089.39</v>
      </c>
      <c r="Z79" s="396">
        <v>-5826978</v>
      </c>
      <c r="AA79" s="396">
        <v>961876</v>
      </c>
      <c r="AB79" s="396">
        <v>6850710</v>
      </c>
      <c r="AC79" s="396">
        <v>10207916</v>
      </c>
    </row>
    <row r="80" spans="1:29">
      <c r="A80">
        <v>5288</v>
      </c>
      <c r="B80" s="395" t="s">
        <v>7794</v>
      </c>
      <c r="C80" s="395"/>
      <c r="D80" s="396">
        <v>958425</v>
      </c>
      <c r="E80" s="396">
        <v>1146390</v>
      </c>
      <c r="F80" s="395">
        <v>6.1</v>
      </c>
      <c r="G80" s="396">
        <v>-187965</v>
      </c>
      <c r="H80" s="396">
        <v>138242</v>
      </c>
      <c r="I80" s="396">
        <v>9187727</v>
      </c>
      <c r="J80" s="395">
        <v>235</v>
      </c>
      <c r="K80" s="395">
        <v>196</v>
      </c>
      <c r="L80" s="397">
        <v>0.83399999999999996</v>
      </c>
      <c r="M80" s="395">
        <v>39</v>
      </c>
      <c r="N80" s="396">
        <v>4078</v>
      </c>
      <c r="O80" s="396">
        <v>5849</v>
      </c>
      <c r="P80" s="395">
        <v>1.21</v>
      </c>
      <c r="Q80" s="396">
        <v>-4820</v>
      </c>
      <c r="R80" s="396">
        <v>23428</v>
      </c>
      <c r="S80" s="396">
        <v>-17398</v>
      </c>
      <c r="T80" s="396">
        <v>1732603</v>
      </c>
      <c r="U80" s="396">
        <v>-1069379</v>
      </c>
      <c r="V80" s="395">
        <v>4201.8</v>
      </c>
      <c r="W80" s="395">
        <v>3213.88</v>
      </c>
      <c r="X80" s="395">
        <v>77490</v>
      </c>
      <c r="Y80" s="395">
        <v>9166.77</v>
      </c>
      <c r="Z80" s="396">
        <v>9965012</v>
      </c>
      <c r="AA80" s="396">
        <v>958425</v>
      </c>
      <c r="AB80" s="396">
        <v>20425173</v>
      </c>
      <c r="AC80" s="396">
        <v>10207916</v>
      </c>
    </row>
    <row r="81" spans="1:29">
      <c r="A81">
        <v>6533</v>
      </c>
      <c r="B81" s="395" t="s">
        <v>8120</v>
      </c>
      <c r="C81" s="395"/>
      <c r="D81" s="396">
        <v>956745</v>
      </c>
      <c r="E81" s="396">
        <v>5212858</v>
      </c>
      <c r="F81" s="395">
        <v>1.22</v>
      </c>
      <c r="G81" s="396">
        <v>-4256113</v>
      </c>
      <c r="H81" s="396">
        <v>526755</v>
      </c>
      <c r="I81" s="396">
        <v>25704720</v>
      </c>
      <c r="J81" s="395">
        <v>274</v>
      </c>
      <c r="K81" s="395">
        <v>180</v>
      </c>
      <c r="L81" s="397">
        <v>0.65690000000000004</v>
      </c>
      <c r="M81" s="395">
        <v>94</v>
      </c>
      <c r="N81" s="396">
        <v>3492</v>
      </c>
      <c r="O81" s="396">
        <v>28960</v>
      </c>
      <c r="P81" s="395">
        <v>0.64</v>
      </c>
      <c r="Q81" s="396">
        <v>-45278</v>
      </c>
      <c r="R81" s="396">
        <v>129416</v>
      </c>
      <c r="S81" s="396">
        <v>-160164</v>
      </c>
      <c r="T81" s="396">
        <v>7838545</v>
      </c>
      <c r="U81" s="396">
        <v>-6753956</v>
      </c>
      <c r="V81" s="395">
        <v>3768.82</v>
      </c>
      <c r="W81" s="395">
        <v>1877.81</v>
      </c>
      <c r="X81" s="395">
        <v>77490</v>
      </c>
      <c r="Y81" s="395">
        <v>7389.91</v>
      </c>
      <c r="Z81" s="396">
        <v>-16370912</v>
      </c>
      <c r="AA81" s="396">
        <v>956745</v>
      </c>
      <c r="AB81" s="396">
        <v>7642385</v>
      </c>
      <c r="AC81" s="396">
        <v>10207916</v>
      </c>
    </row>
    <row r="82" spans="1:29">
      <c r="A82">
        <v>1773</v>
      </c>
      <c r="B82" s="395" t="s">
        <v>6877</v>
      </c>
      <c r="C82" s="395"/>
      <c r="D82" s="396">
        <v>945158</v>
      </c>
      <c r="E82" s="396">
        <v>1049597</v>
      </c>
      <c r="F82" s="395">
        <v>10.050000000000001</v>
      </c>
      <c r="G82" s="396">
        <v>-104440</v>
      </c>
      <c r="H82" s="396">
        <v>145223</v>
      </c>
      <c r="I82" s="396">
        <v>3420858</v>
      </c>
      <c r="J82" s="395">
        <v>267</v>
      </c>
      <c r="K82" s="395">
        <v>226</v>
      </c>
      <c r="L82" s="397">
        <v>0.84640000000000004</v>
      </c>
      <c r="M82" s="395">
        <v>41</v>
      </c>
      <c r="N82" s="396">
        <v>3540</v>
      </c>
      <c r="O82" s="396">
        <v>4644</v>
      </c>
      <c r="P82" s="395">
        <v>1.82</v>
      </c>
      <c r="Q82" s="396">
        <v>-2547</v>
      </c>
      <c r="R82" s="396">
        <v>15474</v>
      </c>
      <c r="S82" s="396">
        <v>-12195</v>
      </c>
      <c r="T82" s="396">
        <v>1029044</v>
      </c>
      <c r="U82" s="396">
        <v>-186092</v>
      </c>
      <c r="V82" s="395">
        <v>2188.63</v>
      </c>
      <c r="W82" s="395">
        <v>1648.51</v>
      </c>
      <c r="X82" s="395">
        <v>77490</v>
      </c>
      <c r="Y82" s="395">
        <v>5165.8999999999996</v>
      </c>
      <c r="Z82" s="396">
        <v>28744871</v>
      </c>
      <c r="AA82" s="396">
        <v>945158</v>
      </c>
      <c r="AB82" s="396">
        <v>58051193</v>
      </c>
      <c r="AC82" s="396">
        <v>10207916</v>
      </c>
    </row>
    <row r="83" spans="1:29">
      <c r="A83">
        <v>6138</v>
      </c>
      <c r="B83" s="395" t="s">
        <v>7935</v>
      </c>
      <c r="C83" s="395"/>
      <c r="D83" s="396">
        <v>939232</v>
      </c>
      <c r="E83" s="396">
        <v>1489272</v>
      </c>
      <c r="F83" s="395">
        <v>2.71</v>
      </c>
      <c r="G83" s="396">
        <v>-550040</v>
      </c>
      <c r="H83" s="396">
        <v>191524</v>
      </c>
      <c r="I83" s="396">
        <v>5127386</v>
      </c>
      <c r="J83" s="395">
        <v>279</v>
      </c>
      <c r="K83" s="395">
        <v>218</v>
      </c>
      <c r="L83" s="397">
        <v>0.78139999999999998</v>
      </c>
      <c r="M83" s="395">
        <v>61</v>
      </c>
      <c r="N83" s="396">
        <v>3366</v>
      </c>
      <c r="O83" s="396">
        <v>6832</v>
      </c>
      <c r="P83" s="395">
        <v>0.76</v>
      </c>
      <c r="Q83" s="396">
        <v>-9017</v>
      </c>
      <c r="R83" s="396">
        <v>31052</v>
      </c>
      <c r="S83" s="396">
        <v>-37930</v>
      </c>
      <c r="T83" s="396">
        <v>1283391</v>
      </c>
      <c r="U83" s="396">
        <v>-435791</v>
      </c>
      <c r="V83" s="395">
        <v>1539.18</v>
      </c>
      <c r="W83" s="395">
        <v>1070.77</v>
      </c>
      <c r="X83" s="395">
        <v>77490</v>
      </c>
      <c r="Y83" s="395">
        <v>3213.16</v>
      </c>
      <c r="Z83" s="396">
        <v>14941303</v>
      </c>
      <c r="AA83" s="396">
        <v>939232</v>
      </c>
      <c r="AB83" s="396">
        <v>77638038</v>
      </c>
      <c r="AC83" s="396">
        <v>10207916</v>
      </c>
    </row>
    <row r="84" spans="1:29">
      <c r="A84">
        <v>3527</v>
      </c>
      <c r="B84" s="395" t="s">
        <v>7457</v>
      </c>
      <c r="C84" s="395"/>
      <c r="D84" s="396">
        <v>933813</v>
      </c>
      <c r="E84" s="396">
        <v>1524953</v>
      </c>
      <c r="F84" s="395">
        <v>2.58</v>
      </c>
      <c r="G84" s="396">
        <v>-591140</v>
      </c>
      <c r="H84" s="396">
        <v>173187</v>
      </c>
      <c r="I84" s="396">
        <v>6567989</v>
      </c>
      <c r="J84" s="395">
        <v>277</v>
      </c>
      <c r="K84" s="395">
        <v>223</v>
      </c>
      <c r="L84" s="397">
        <v>0.80510000000000004</v>
      </c>
      <c r="M84" s="395">
        <v>54</v>
      </c>
      <c r="N84" s="396">
        <v>3371</v>
      </c>
      <c r="O84" s="396">
        <v>6838</v>
      </c>
      <c r="P84" s="395">
        <v>0.62</v>
      </c>
      <c r="Q84" s="396">
        <v>-10947</v>
      </c>
      <c r="R84" s="396">
        <v>43242</v>
      </c>
      <c r="S84" s="396">
        <v>-63477</v>
      </c>
      <c r="T84" s="396">
        <v>1520242</v>
      </c>
      <c r="U84" s="396">
        <v>-1036958</v>
      </c>
      <c r="V84" s="395">
        <v>2053.04</v>
      </c>
      <c r="W84" s="395">
        <v>1417.39</v>
      </c>
      <c r="X84" s="395">
        <v>77490</v>
      </c>
      <c r="Y84" s="395">
        <v>4678.0600000000004</v>
      </c>
      <c r="Z84" s="396">
        <v>-2851507</v>
      </c>
      <c r="AA84" s="396">
        <v>933813</v>
      </c>
      <c r="AB84" s="396">
        <v>31377293</v>
      </c>
      <c r="AC84" s="396">
        <v>10207916</v>
      </c>
    </row>
    <row r="85" spans="1:29">
      <c r="A85">
        <v>3141</v>
      </c>
      <c r="B85" s="395" t="s">
        <v>7325</v>
      </c>
      <c r="C85" s="395"/>
      <c r="D85" s="396">
        <v>910874</v>
      </c>
      <c r="E85" s="396">
        <v>1305643</v>
      </c>
      <c r="F85" s="395">
        <v>3.31</v>
      </c>
      <c r="G85" s="396">
        <v>-394769</v>
      </c>
      <c r="H85" s="396">
        <v>159808</v>
      </c>
      <c r="I85" s="396">
        <v>2804084</v>
      </c>
      <c r="J85" s="395">
        <v>279</v>
      </c>
      <c r="K85" s="395">
        <v>225</v>
      </c>
      <c r="L85" s="397">
        <v>0.80649999999999999</v>
      </c>
      <c r="M85" s="395">
        <v>54</v>
      </c>
      <c r="N85" s="396">
        <v>3265</v>
      </c>
      <c r="O85" s="396">
        <v>5803</v>
      </c>
      <c r="P85" s="395">
        <v>0.79</v>
      </c>
      <c r="Q85" s="396">
        <v>-7311</v>
      </c>
      <c r="R85" s="396">
        <v>29915</v>
      </c>
      <c r="S85" s="396">
        <v>-50423</v>
      </c>
      <c r="T85" s="396">
        <v>1333004</v>
      </c>
      <c r="U85" s="396">
        <v>-431133</v>
      </c>
      <c r="V85" s="395">
        <v>1285.94</v>
      </c>
      <c r="W85" s="395">
        <v>739.48</v>
      </c>
      <c r="X85" s="395">
        <v>77490</v>
      </c>
      <c r="Y85" s="395">
        <v>3562.81</v>
      </c>
      <c r="Z85" s="396">
        <v>45033181</v>
      </c>
      <c r="AA85" s="396">
        <v>910874</v>
      </c>
      <c r="AB85" s="396">
        <v>147033919</v>
      </c>
      <c r="AC85" s="396">
        <v>10207916</v>
      </c>
    </row>
    <row r="86" spans="1:29">
      <c r="A86">
        <v>2382</v>
      </c>
      <c r="B86" s="395" t="s">
        <v>7025</v>
      </c>
      <c r="C86" s="395"/>
      <c r="D86" s="396">
        <v>908542</v>
      </c>
      <c r="E86" s="396">
        <v>1076041</v>
      </c>
      <c r="F86" s="395">
        <v>6.42</v>
      </c>
      <c r="G86" s="396">
        <v>-167499</v>
      </c>
      <c r="H86" s="396">
        <v>100873</v>
      </c>
      <c r="I86" s="396">
        <v>13094175</v>
      </c>
      <c r="J86" s="395">
        <v>285</v>
      </c>
      <c r="K86" s="395">
        <v>236</v>
      </c>
      <c r="L86" s="397">
        <v>0.82809999999999995</v>
      </c>
      <c r="M86" s="395">
        <v>49</v>
      </c>
      <c r="N86" s="396">
        <v>3188</v>
      </c>
      <c r="O86" s="396">
        <v>4559</v>
      </c>
      <c r="P86" s="395">
        <v>1.33</v>
      </c>
      <c r="Q86" s="396">
        <v>-3418</v>
      </c>
      <c r="R86" s="396">
        <v>13580</v>
      </c>
      <c r="S86" s="396">
        <v>-8012</v>
      </c>
      <c r="T86" s="396">
        <v>1982539</v>
      </c>
      <c r="U86" s="396">
        <v>-1151333</v>
      </c>
      <c r="V86" s="395">
        <v>12454.16</v>
      </c>
      <c r="W86" s="395">
        <v>10448.56</v>
      </c>
      <c r="X86" s="395">
        <v>77490</v>
      </c>
      <c r="Y86" s="395">
        <v>22113.84</v>
      </c>
      <c r="Z86" s="396">
        <v>1180842</v>
      </c>
      <c r="AA86" s="396">
        <v>908542</v>
      </c>
      <c r="AB86" s="396">
        <v>10525939</v>
      </c>
      <c r="AC86" s="396">
        <v>10207916</v>
      </c>
    </row>
    <row r="87" spans="1:29">
      <c r="A87">
        <v>6803</v>
      </c>
      <c r="B87" s="395" t="s">
        <v>8218</v>
      </c>
      <c r="C87" s="395"/>
      <c r="D87" s="396">
        <v>897174</v>
      </c>
      <c r="E87" s="396">
        <v>960762</v>
      </c>
      <c r="F87" s="395">
        <v>15.11</v>
      </c>
      <c r="G87" s="396">
        <v>-63588</v>
      </c>
      <c r="H87" s="396">
        <v>156848</v>
      </c>
      <c r="I87" s="396">
        <v>11495312</v>
      </c>
      <c r="J87" s="395">
        <v>170</v>
      </c>
      <c r="K87" s="395">
        <v>151</v>
      </c>
      <c r="L87" s="397">
        <v>0.88819999999999999</v>
      </c>
      <c r="M87" s="395">
        <v>19</v>
      </c>
      <c r="N87" s="396">
        <v>5277</v>
      </c>
      <c r="O87" s="396">
        <v>6363</v>
      </c>
      <c r="P87" s="395">
        <v>1.9</v>
      </c>
      <c r="Q87" s="396">
        <v>-3347</v>
      </c>
      <c r="R87" s="396">
        <v>18098</v>
      </c>
      <c r="S87" s="396">
        <v>-6936</v>
      </c>
      <c r="T87" s="396">
        <v>1108740</v>
      </c>
      <c r="U87" s="396">
        <v>-272142</v>
      </c>
      <c r="V87" s="395">
        <v>8732.31</v>
      </c>
      <c r="W87" s="395">
        <v>9061.93</v>
      </c>
      <c r="X87" s="395">
        <v>77490</v>
      </c>
      <c r="Y87" s="395">
        <v>6112.63</v>
      </c>
      <c r="Z87" s="396">
        <v>5976704</v>
      </c>
      <c r="AA87" s="396">
        <v>897174</v>
      </c>
      <c r="AB87" s="396">
        <v>7282321</v>
      </c>
      <c r="AC87" s="396">
        <v>10207916</v>
      </c>
    </row>
    <row r="88" spans="1:29">
      <c r="A88">
        <v>9941</v>
      </c>
      <c r="B88" s="395" t="s">
        <v>8420</v>
      </c>
      <c r="C88" s="395"/>
      <c r="D88" s="396">
        <v>895707</v>
      </c>
      <c r="E88" s="396">
        <v>942604</v>
      </c>
      <c r="F88" s="395">
        <v>20.100000000000001</v>
      </c>
      <c r="G88" s="396">
        <v>-46897</v>
      </c>
      <c r="H88" s="396">
        <v>167693</v>
      </c>
      <c r="I88" s="396">
        <v>6317271</v>
      </c>
      <c r="J88" s="395">
        <v>271</v>
      </c>
      <c r="K88" s="395">
        <v>239</v>
      </c>
      <c r="L88" s="397">
        <v>0.88190000000000002</v>
      </c>
      <c r="M88" s="395">
        <v>32</v>
      </c>
      <c r="N88" s="396">
        <v>3305</v>
      </c>
      <c r="O88" s="396">
        <v>3944</v>
      </c>
      <c r="P88" s="395">
        <v>2.69</v>
      </c>
      <c r="Q88" s="396">
        <v>-1466</v>
      </c>
      <c r="R88" s="396">
        <v>14164</v>
      </c>
      <c r="S88" s="396">
        <v>-3674</v>
      </c>
      <c r="T88" s="396">
        <v>1018143</v>
      </c>
      <c r="U88" s="396">
        <v>-281788</v>
      </c>
      <c r="V88" s="395">
        <v>2516.69</v>
      </c>
      <c r="W88" s="395">
        <v>2209.25</v>
      </c>
      <c r="X88" s="395">
        <v>77490</v>
      </c>
      <c r="Y88" s="395">
        <v>4812.91</v>
      </c>
      <c r="Z88" s="396">
        <v>22313855</v>
      </c>
      <c r="AA88" s="396">
        <v>895707</v>
      </c>
      <c r="AB88" s="396">
        <v>80820659</v>
      </c>
      <c r="AC88" s="396">
        <v>10207916</v>
      </c>
    </row>
    <row r="89" spans="1:29">
      <c r="A89">
        <v>8155</v>
      </c>
      <c r="B89" s="395" t="s">
        <v>8287</v>
      </c>
      <c r="C89" s="395"/>
      <c r="D89" s="396">
        <v>888682</v>
      </c>
      <c r="E89" s="396">
        <v>1163493</v>
      </c>
      <c r="F89" s="395">
        <v>4.2300000000000004</v>
      </c>
      <c r="G89" s="396">
        <v>-274811</v>
      </c>
      <c r="H89" s="396">
        <v>148266</v>
      </c>
      <c r="I89" s="396">
        <v>4819942</v>
      </c>
      <c r="J89" s="395">
        <v>276</v>
      </c>
      <c r="K89" s="395">
        <v>226</v>
      </c>
      <c r="L89" s="397">
        <v>0.81879999999999997</v>
      </c>
      <c r="M89" s="395">
        <v>50</v>
      </c>
      <c r="N89" s="396">
        <v>3220</v>
      </c>
      <c r="O89" s="396">
        <v>5148</v>
      </c>
      <c r="P89" s="395">
        <v>0.94</v>
      </c>
      <c r="Q89" s="396">
        <v>-5496</v>
      </c>
      <c r="R89" s="396">
        <v>25400</v>
      </c>
      <c r="S89" s="396">
        <v>-18470</v>
      </c>
      <c r="T89" s="396">
        <v>1501073</v>
      </c>
      <c r="U89" s="396">
        <v>-727095</v>
      </c>
      <c r="V89" s="395">
        <v>2057.7800000000002</v>
      </c>
      <c r="W89" s="395">
        <v>1250.72</v>
      </c>
      <c r="X89" s="395">
        <v>77490</v>
      </c>
      <c r="Y89" s="395">
        <v>5705.7</v>
      </c>
      <c r="Z89" s="396">
        <v>15278457</v>
      </c>
      <c r="AA89" s="396">
        <v>888682</v>
      </c>
      <c r="AB89" s="396">
        <v>32994476</v>
      </c>
      <c r="AC89" s="396">
        <v>10207916</v>
      </c>
    </row>
    <row r="90" spans="1:29">
      <c r="A90">
        <v>2707</v>
      </c>
      <c r="B90" s="395" t="s">
        <v>7168</v>
      </c>
      <c r="C90" s="395"/>
      <c r="D90" s="396">
        <v>884096</v>
      </c>
      <c r="E90" s="396">
        <v>1077300</v>
      </c>
      <c r="F90" s="395">
        <v>5.58</v>
      </c>
      <c r="G90" s="396">
        <v>-193204</v>
      </c>
      <c r="H90" s="396">
        <v>151056</v>
      </c>
      <c r="I90" s="396">
        <v>8496507</v>
      </c>
      <c r="J90" s="395">
        <v>251</v>
      </c>
      <c r="K90" s="395">
        <v>206</v>
      </c>
      <c r="L90" s="397">
        <v>0.82069999999999999</v>
      </c>
      <c r="M90" s="395">
        <v>45</v>
      </c>
      <c r="N90" s="396">
        <v>3522</v>
      </c>
      <c r="O90" s="396">
        <v>5230</v>
      </c>
      <c r="P90" s="395">
        <v>1.22</v>
      </c>
      <c r="Q90" s="396">
        <v>-4293</v>
      </c>
      <c r="R90" s="396">
        <v>22448</v>
      </c>
      <c r="S90" s="396">
        <v>-15684</v>
      </c>
      <c r="T90" s="396">
        <v>1598554</v>
      </c>
      <c r="U90" s="396">
        <v>-816366</v>
      </c>
      <c r="V90" s="395">
        <v>5131.3100000000004</v>
      </c>
      <c r="W90" s="395">
        <v>3800.23</v>
      </c>
      <c r="X90" s="395">
        <v>77490</v>
      </c>
      <c r="Y90" s="395">
        <v>11224.71</v>
      </c>
      <c r="Z90" s="396">
        <v>2223290</v>
      </c>
      <c r="AA90" s="396">
        <v>884096</v>
      </c>
      <c r="AB90" s="396">
        <v>12305008</v>
      </c>
      <c r="AC90" s="396">
        <v>10207916</v>
      </c>
    </row>
    <row r="91" spans="1:29">
      <c r="A91">
        <v>6104</v>
      </c>
      <c r="B91" s="395" t="s">
        <v>7910</v>
      </c>
      <c r="C91" s="395"/>
      <c r="D91" s="396">
        <v>883335</v>
      </c>
      <c r="E91" s="396">
        <v>1226944</v>
      </c>
      <c r="F91" s="395">
        <v>3.57</v>
      </c>
      <c r="G91" s="396">
        <v>-343609</v>
      </c>
      <c r="H91" s="396">
        <v>141403</v>
      </c>
      <c r="I91" s="396">
        <v>2901397</v>
      </c>
      <c r="J91" s="395">
        <v>275</v>
      </c>
      <c r="K91" s="395">
        <v>225</v>
      </c>
      <c r="L91" s="397">
        <v>0.81820000000000004</v>
      </c>
      <c r="M91" s="395">
        <v>50</v>
      </c>
      <c r="N91" s="396">
        <v>3212</v>
      </c>
      <c r="O91" s="396">
        <v>5453</v>
      </c>
      <c r="P91" s="395">
        <v>0.79</v>
      </c>
      <c r="Q91" s="396">
        <v>-6872</v>
      </c>
      <c r="R91" s="396">
        <v>25749</v>
      </c>
      <c r="S91" s="396">
        <v>-23079</v>
      </c>
      <c r="T91" s="396">
        <v>1092168</v>
      </c>
      <c r="U91" s="396">
        <v>-334640</v>
      </c>
      <c r="V91" s="395">
        <v>1588.27</v>
      </c>
      <c r="W91" s="395">
        <v>1044.93</v>
      </c>
      <c r="X91" s="395">
        <v>77490</v>
      </c>
      <c r="Y91" s="395">
        <v>4033.28</v>
      </c>
      <c r="Z91" s="396">
        <v>15176561</v>
      </c>
      <c r="AA91" s="396">
        <v>883335</v>
      </c>
      <c r="AB91" s="396">
        <v>158305842</v>
      </c>
      <c r="AC91" s="396">
        <v>10207916</v>
      </c>
    </row>
    <row r="92" spans="1:29">
      <c r="A92">
        <v>2351</v>
      </c>
      <c r="B92" s="395" t="s">
        <v>7000</v>
      </c>
      <c r="C92" s="395"/>
      <c r="D92" s="396">
        <v>883115</v>
      </c>
      <c r="E92" s="396">
        <v>1147251</v>
      </c>
      <c r="F92" s="395">
        <v>4.34</v>
      </c>
      <c r="G92" s="396">
        <v>-264136</v>
      </c>
      <c r="H92" s="396">
        <v>142479</v>
      </c>
      <c r="I92" s="396">
        <v>2923011</v>
      </c>
      <c r="J92" s="395">
        <v>282</v>
      </c>
      <c r="K92" s="395">
        <v>229</v>
      </c>
      <c r="L92" s="397">
        <v>0.81210000000000004</v>
      </c>
      <c r="M92" s="395">
        <v>53</v>
      </c>
      <c r="N92" s="396">
        <v>3132</v>
      </c>
      <c r="O92" s="396">
        <v>5010</v>
      </c>
      <c r="P92" s="395">
        <v>1.01</v>
      </c>
      <c r="Q92" s="396">
        <v>-4984</v>
      </c>
      <c r="R92" s="396">
        <v>17935</v>
      </c>
      <c r="S92" s="396">
        <v>-28241</v>
      </c>
      <c r="T92" s="396">
        <v>978514</v>
      </c>
      <c r="U92" s="396">
        <v>-207313</v>
      </c>
      <c r="V92" s="395">
        <v>1578.74</v>
      </c>
      <c r="W92" s="395">
        <v>1269.57</v>
      </c>
      <c r="X92" s="395">
        <v>77490</v>
      </c>
      <c r="Y92" s="395">
        <v>2914.58</v>
      </c>
      <c r="Z92" s="396">
        <v>-9981040</v>
      </c>
      <c r="AA92" s="396">
        <v>883115</v>
      </c>
      <c r="AB92" s="396">
        <v>17393467</v>
      </c>
      <c r="AC92" s="396">
        <v>10207916</v>
      </c>
    </row>
    <row r="93" spans="1:29">
      <c r="A93">
        <v>4938</v>
      </c>
      <c r="B93" s="395" t="s">
        <v>7721</v>
      </c>
      <c r="C93" s="395"/>
      <c r="D93" s="396">
        <v>879964</v>
      </c>
      <c r="E93" s="396">
        <v>900512</v>
      </c>
      <c r="F93" s="395">
        <v>43.83</v>
      </c>
      <c r="G93" s="396">
        <v>-20548</v>
      </c>
      <c r="H93" s="396">
        <v>81255</v>
      </c>
      <c r="I93" s="396">
        <v>18406883</v>
      </c>
      <c r="J93" s="395">
        <v>283</v>
      </c>
      <c r="K93" s="395">
        <v>273</v>
      </c>
      <c r="L93" s="397">
        <v>0.9647</v>
      </c>
      <c r="M93" s="395">
        <v>10</v>
      </c>
      <c r="N93" s="396">
        <v>3109</v>
      </c>
      <c r="O93" s="396">
        <v>3299</v>
      </c>
      <c r="P93" s="395">
        <v>1.61</v>
      </c>
      <c r="Q93" s="396">
        <v>-2055</v>
      </c>
      <c r="R93" s="396">
        <v>8475</v>
      </c>
      <c r="S93" s="396">
        <v>-6756</v>
      </c>
      <c r="T93" s="396">
        <v>1491660</v>
      </c>
      <c r="U93" s="396">
        <v>-875757</v>
      </c>
      <c r="V93" s="395">
        <v>33525.440000000002</v>
      </c>
      <c r="W93" s="395">
        <v>32409.15</v>
      </c>
      <c r="X93" s="395">
        <v>77490</v>
      </c>
      <c r="Y93" s="395">
        <v>64000.2</v>
      </c>
      <c r="Z93" s="396">
        <v>-1065140</v>
      </c>
      <c r="AA93" s="396">
        <v>879964</v>
      </c>
      <c r="AB93" s="396">
        <v>6693335</v>
      </c>
      <c r="AC93" s="396">
        <v>10207916</v>
      </c>
    </row>
    <row r="94" spans="1:29">
      <c r="A94">
        <v>2597</v>
      </c>
      <c r="B94" s="395" t="s">
        <v>7137</v>
      </c>
      <c r="C94" s="395"/>
      <c r="D94" s="396">
        <v>877678</v>
      </c>
      <c r="E94" s="396">
        <v>1037341</v>
      </c>
      <c r="F94" s="395">
        <v>6.5</v>
      </c>
      <c r="G94" s="396">
        <v>-159663</v>
      </c>
      <c r="H94" s="396">
        <v>126123</v>
      </c>
      <c r="I94" s="396">
        <v>4756576</v>
      </c>
      <c r="J94" s="395">
        <v>246</v>
      </c>
      <c r="K94" s="395">
        <v>216</v>
      </c>
      <c r="L94" s="397">
        <v>0.878</v>
      </c>
      <c r="M94" s="395">
        <v>30</v>
      </c>
      <c r="N94" s="396">
        <v>3568</v>
      </c>
      <c r="O94" s="396">
        <v>4803</v>
      </c>
      <c r="P94" s="395">
        <v>0.9</v>
      </c>
      <c r="Q94" s="396">
        <v>-5322</v>
      </c>
      <c r="R94" s="396">
        <v>34959</v>
      </c>
      <c r="S94" s="396">
        <v>-19523</v>
      </c>
      <c r="T94" s="396">
        <v>1038606</v>
      </c>
      <c r="U94" s="396">
        <v>-452632</v>
      </c>
      <c r="V94" s="395">
        <v>2683.02</v>
      </c>
      <c r="W94" s="395">
        <v>2279.59</v>
      </c>
      <c r="X94" s="395">
        <v>77490</v>
      </c>
      <c r="Y94" s="395">
        <v>5587.73</v>
      </c>
      <c r="Z94" s="396">
        <v>38610274</v>
      </c>
      <c r="AA94" s="396">
        <v>877678</v>
      </c>
      <c r="AB94" s="396">
        <v>99587632</v>
      </c>
      <c r="AC94" s="396">
        <v>10207916</v>
      </c>
    </row>
    <row r="95" spans="1:29">
      <c r="A95">
        <v>3587</v>
      </c>
      <c r="B95" s="395" t="s">
        <v>7489</v>
      </c>
      <c r="C95" s="395"/>
      <c r="D95" s="396">
        <v>876489</v>
      </c>
      <c r="E95" s="396">
        <v>998093</v>
      </c>
      <c r="F95" s="395">
        <v>8.2100000000000009</v>
      </c>
      <c r="G95" s="396">
        <v>-121604</v>
      </c>
      <c r="H95" s="396">
        <v>146856</v>
      </c>
      <c r="I95" s="396">
        <v>4297043</v>
      </c>
      <c r="J95" s="395">
        <v>271</v>
      </c>
      <c r="K95" s="395">
        <v>236</v>
      </c>
      <c r="L95" s="397">
        <v>0.87080000000000002</v>
      </c>
      <c r="M95" s="395">
        <v>35</v>
      </c>
      <c r="N95" s="396">
        <v>3234</v>
      </c>
      <c r="O95" s="396">
        <v>4229</v>
      </c>
      <c r="P95" s="395">
        <v>1.22</v>
      </c>
      <c r="Q95" s="396">
        <v>-3474</v>
      </c>
      <c r="R95" s="396">
        <v>19448</v>
      </c>
      <c r="S95" s="396">
        <v>-13498</v>
      </c>
      <c r="T95" s="396">
        <v>881009</v>
      </c>
      <c r="U95" s="396">
        <v>-235757</v>
      </c>
      <c r="V95" s="395">
        <v>1422.1</v>
      </c>
      <c r="W95" s="395">
        <v>1082.23</v>
      </c>
      <c r="X95" s="395">
        <v>77490</v>
      </c>
      <c r="Y95" s="395">
        <v>3713.8</v>
      </c>
      <c r="Z95" s="396">
        <v>18893363</v>
      </c>
      <c r="AA95" s="396">
        <v>876489</v>
      </c>
      <c r="AB95" s="396">
        <v>37289521</v>
      </c>
      <c r="AC95" s="396">
        <v>10207916</v>
      </c>
    </row>
    <row r="96" spans="1:29">
      <c r="A96">
        <v>5536</v>
      </c>
      <c r="B96" s="395" t="s">
        <v>7874</v>
      </c>
      <c r="C96" s="395"/>
      <c r="D96" s="396">
        <v>857718</v>
      </c>
      <c r="E96" s="396">
        <v>1201624</v>
      </c>
      <c r="F96" s="395">
        <v>3.49</v>
      </c>
      <c r="G96" s="396">
        <v>-343906</v>
      </c>
      <c r="H96" s="396">
        <v>207882</v>
      </c>
      <c r="I96" s="396">
        <v>16449145</v>
      </c>
      <c r="J96" s="395">
        <v>261</v>
      </c>
      <c r="K96" s="395">
        <v>224</v>
      </c>
      <c r="L96" s="397">
        <v>0.85819999999999996</v>
      </c>
      <c r="M96" s="395">
        <v>37</v>
      </c>
      <c r="N96" s="396">
        <v>3286</v>
      </c>
      <c r="O96" s="396">
        <v>5364</v>
      </c>
      <c r="P96" s="395">
        <v>0.57999999999999996</v>
      </c>
      <c r="Q96" s="396">
        <v>-9295</v>
      </c>
      <c r="R96" s="396">
        <v>17737</v>
      </c>
      <c r="S96" s="396">
        <v>-28379</v>
      </c>
      <c r="T96" s="396">
        <v>1288780</v>
      </c>
      <c r="U96" s="396">
        <v>-581350</v>
      </c>
      <c r="V96" s="395">
        <v>7082.77</v>
      </c>
      <c r="W96" s="395">
        <v>7107.67</v>
      </c>
      <c r="X96" s="395">
        <v>77490</v>
      </c>
      <c r="Y96" s="395">
        <v>6932</v>
      </c>
      <c r="Z96" s="396">
        <v>-4781591</v>
      </c>
      <c r="AA96" s="396">
        <v>857718</v>
      </c>
      <c r="AB96" s="396">
        <v>8077128</v>
      </c>
      <c r="AC96" s="396">
        <v>10207916</v>
      </c>
    </row>
    <row r="97" spans="1:29">
      <c r="A97">
        <v>3483</v>
      </c>
      <c r="B97" s="395" t="s">
        <v>7435</v>
      </c>
      <c r="C97" s="395"/>
      <c r="D97" s="396">
        <v>845379</v>
      </c>
      <c r="E97" s="396">
        <v>1289311</v>
      </c>
      <c r="F97" s="395">
        <v>2.9</v>
      </c>
      <c r="G97" s="396">
        <v>-443932</v>
      </c>
      <c r="H97" s="396">
        <v>96771</v>
      </c>
      <c r="I97" s="396">
        <v>5960372</v>
      </c>
      <c r="J97" s="395">
        <v>265</v>
      </c>
      <c r="K97" s="395">
        <v>203</v>
      </c>
      <c r="L97" s="397">
        <v>0.76600000000000001</v>
      </c>
      <c r="M97" s="395">
        <v>62</v>
      </c>
      <c r="N97" s="396">
        <v>3190</v>
      </c>
      <c r="O97" s="396">
        <v>6351</v>
      </c>
      <c r="P97" s="395">
        <v>0.89</v>
      </c>
      <c r="Q97" s="396">
        <v>-7160</v>
      </c>
      <c r="R97" s="396">
        <v>24764</v>
      </c>
      <c r="S97" s="396">
        <v>-37360</v>
      </c>
      <c r="T97" s="396">
        <v>1243759</v>
      </c>
      <c r="U97" s="396">
        <v>-662907</v>
      </c>
      <c r="V97" s="395">
        <v>5615.2</v>
      </c>
      <c r="W97" s="395">
        <v>4580.71</v>
      </c>
      <c r="X97" s="395">
        <v>77490</v>
      </c>
      <c r="Y97" s="395">
        <v>9002.32</v>
      </c>
      <c r="Z97" s="396">
        <v>-15203452</v>
      </c>
      <c r="AA97" s="396">
        <v>845379</v>
      </c>
      <c r="AB97" s="396">
        <v>10067048</v>
      </c>
      <c r="AC97" s="396">
        <v>10207916</v>
      </c>
    </row>
    <row r="98" spans="1:29">
      <c r="A98">
        <v>8924</v>
      </c>
      <c r="B98" s="395" t="s">
        <v>8374</v>
      </c>
      <c r="C98" s="395"/>
      <c r="D98" s="396">
        <v>845018</v>
      </c>
      <c r="E98" s="396">
        <v>1125467</v>
      </c>
      <c r="F98" s="395">
        <v>4.01</v>
      </c>
      <c r="G98" s="396">
        <v>-280449</v>
      </c>
      <c r="H98" s="396">
        <v>151603</v>
      </c>
      <c r="I98" s="396">
        <v>10294809</v>
      </c>
      <c r="J98" s="395">
        <v>274</v>
      </c>
      <c r="K98" s="395">
        <v>229</v>
      </c>
      <c r="L98" s="397">
        <v>0.83579999999999999</v>
      </c>
      <c r="M98" s="395">
        <v>45</v>
      </c>
      <c r="N98" s="396">
        <v>3084</v>
      </c>
      <c r="O98" s="396">
        <v>4915</v>
      </c>
      <c r="P98" s="395">
        <v>0.79</v>
      </c>
      <c r="Q98" s="396">
        <v>-6232</v>
      </c>
      <c r="R98" s="396">
        <v>19917</v>
      </c>
      <c r="S98" s="396">
        <v>-29179</v>
      </c>
      <c r="T98" s="396">
        <v>1111305</v>
      </c>
      <c r="U98" s="396">
        <v>-876054</v>
      </c>
      <c r="V98" s="395">
        <v>3559.74</v>
      </c>
      <c r="W98" s="395">
        <v>2396.7199999999998</v>
      </c>
      <c r="X98" s="395">
        <v>77490</v>
      </c>
      <c r="Y98" s="395">
        <v>9478.2199999999993</v>
      </c>
      <c r="Z98" s="396">
        <v>31193909</v>
      </c>
      <c r="AA98" s="396">
        <v>845018</v>
      </c>
      <c r="AB98" s="396">
        <v>72873815</v>
      </c>
      <c r="AC98" s="396">
        <v>10207916</v>
      </c>
    </row>
    <row r="99" spans="1:29">
      <c r="A99">
        <v>6485</v>
      </c>
      <c r="B99" s="395" t="s">
        <v>8096</v>
      </c>
      <c r="C99" s="395"/>
      <c r="D99" s="396">
        <v>844100</v>
      </c>
      <c r="E99" s="396">
        <v>1324802</v>
      </c>
      <c r="F99" s="395">
        <v>2.76</v>
      </c>
      <c r="G99" s="396">
        <v>-480702</v>
      </c>
      <c r="H99" s="396">
        <v>136529</v>
      </c>
      <c r="I99" s="396">
        <v>3881995</v>
      </c>
      <c r="J99" s="395">
        <v>270</v>
      </c>
      <c r="K99" s="395">
        <v>215</v>
      </c>
      <c r="L99" s="397">
        <v>0.79630000000000001</v>
      </c>
      <c r="M99" s="395">
        <v>55</v>
      </c>
      <c r="N99" s="396">
        <v>3126</v>
      </c>
      <c r="O99" s="396">
        <v>6162</v>
      </c>
      <c r="P99" s="395">
        <v>0.71</v>
      </c>
      <c r="Q99" s="396">
        <v>-8740</v>
      </c>
      <c r="R99" s="396">
        <v>30023</v>
      </c>
      <c r="S99" s="396">
        <v>-36672</v>
      </c>
      <c r="T99" s="396">
        <v>1059782</v>
      </c>
      <c r="U99" s="396">
        <v>-652813</v>
      </c>
      <c r="V99" s="395">
        <v>1438.33</v>
      </c>
      <c r="W99" s="395">
        <v>956.76</v>
      </c>
      <c r="X99" s="395">
        <v>77490</v>
      </c>
      <c r="Y99" s="395">
        <v>3320.82</v>
      </c>
      <c r="Z99" s="396">
        <v>4378418</v>
      </c>
      <c r="AA99" s="396">
        <v>844100</v>
      </c>
      <c r="AB99" s="396">
        <v>145342870</v>
      </c>
      <c r="AC99" s="396">
        <v>10207916</v>
      </c>
    </row>
    <row r="100" spans="1:29">
      <c r="A100">
        <v>3708</v>
      </c>
      <c r="B100" s="395" t="s">
        <v>7544</v>
      </c>
      <c r="C100" s="395"/>
      <c r="D100" s="396">
        <v>839000</v>
      </c>
      <c r="E100" s="396">
        <v>1227578</v>
      </c>
      <c r="F100" s="395">
        <v>3.16</v>
      </c>
      <c r="G100" s="396">
        <v>-388578</v>
      </c>
      <c r="H100" s="396">
        <v>123556</v>
      </c>
      <c r="I100" s="396">
        <v>6197550</v>
      </c>
      <c r="J100" s="395">
        <v>271</v>
      </c>
      <c r="K100" s="395">
        <v>207</v>
      </c>
      <c r="L100" s="397">
        <v>0.76380000000000003</v>
      </c>
      <c r="M100" s="395">
        <v>64</v>
      </c>
      <c r="N100" s="396">
        <v>3096</v>
      </c>
      <c r="O100" s="396">
        <v>5930</v>
      </c>
      <c r="P100" s="395">
        <v>0.98</v>
      </c>
      <c r="Q100" s="396">
        <v>-6072</v>
      </c>
      <c r="R100" s="396">
        <v>18125</v>
      </c>
      <c r="S100" s="396">
        <v>-20520</v>
      </c>
      <c r="T100" s="396">
        <v>1413099</v>
      </c>
      <c r="U100" s="396">
        <v>-897660</v>
      </c>
      <c r="V100" s="395">
        <v>4395.24</v>
      </c>
      <c r="W100" s="395">
        <v>2782.86</v>
      </c>
      <c r="X100" s="395">
        <v>77490</v>
      </c>
      <c r="Y100" s="395">
        <v>9610.27</v>
      </c>
      <c r="Z100" s="396">
        <v>-15470245</v>
      </c>
      <c r="AA100" s="396">
        <v>839000</v>
      </c>
      <c r="AB100" s="396">
        <v>-19607662</v>
      </c>
      <c r="AC100" s="396">
        <v>10207916</v>
      </c>
    </row>
    <row r="101" spans="1:29">
      <c r="A101">
        <v>2915</v>
      </c>
      <c r="B101" s="395" t="s">
        <v>7234</v>
      </c>
      <c r="C101" s="395"/>
      <c r="D101" s="396">
        <v>836982</v>
      </c>
      <c r="E101" s="396">
        <v>914196</v>
      </c>
      <c r="F101" s="395">
        <v>11.84</v>
      </c>
      <c r="G101" s="396">
        <v>-77214</v>
      </c>
      <c r="H101" s="396">
        <v>104215</v>
      </c>
      <c r="I101" s="396">
        <v>2594222</v>
      </c>
      <c r="J101" s="395">
        <v>275</v>
      </c>
      <c r="K101" s="395">
        <v>243</v>
      </c>
      <c r="L101" s="397">
        <v>0.88360000000000005</v>
      </c>
      <c r="M101" s="395">
        <v>32</v>
      </c>
      <c r="N101" s="396">
        <v>3044</v>
      </c>
      <c r="O101" s="396">
        <v>3762</v>
      </c>
      <c r="P101" s="395">
        <v>1.56</v>
      </c>
      <c r="Q101" s="396">
        <v>-2413</v>
      </c>
      <c r="R101" s="396">
        <v>18814</v>
      </c>
      <c r="S101" s="396">
        <v>-9426</v>
      </c>
      <c r="T101" s="396">
        <v>863464</v>
      </c>
      <c r="U101" s="396">
        <v>-188322</v>
      </c>
      <c r="V101" s="395">
        <v>2278.15</v>
      </c>
      <c r="W101" s="395">
        <v>1915.82</v>
      </c>
      <c r="X101" s="395">
        <v>77490</v>
      </c>
      <c r="Y101" s="395">
        <v>5029.59</v>
      </c>
      <c r="Z101" s="396">
        <v>23024322</v>
      </c>
      <c r="AA101" s="396">
        <v>836982</v>
      </c>
      <c r="AB101" s="396">
        <v>52018976</v>
      </c>
      <c r="AC101" s="396">
        <v>10207916</v>
      </c>
    </row>
    <row r="102" spans="1:29">
      <c r="A102">
        <v>3687</v>
      </c>
      <c r="B102" s="395" t="s">
        <v>7532</v>
      </c>
      <c r="C102" s="395"/>
      <c r="D102" s="396">
        <v>825105</v>
      </c>
      <c r="E102" s="396">
        <v>1187536</v>
      </c>
      <c r="F102" s="395">
        <v>3.28</v>
      </c>
      <c r="G102" s="396">
        <v>-362430</v>
      </c>
      <c r="H102" s="396">
        <v>110802</v>
      </c>
      <c r="I102" s="396">
        <v>4382598</v>
      </c>
      <c r="J102" s="395">
        <v>259</v>
      </c>
      <c r="K102" s="395">
        <v>204</v>
      </c>
      <c r="L102" s="397">
        <v>0.78759999999999997</v>
      </c>
      <c r="M102" s="395">
        <v>54</v>
      </c>
      <c r="N102" s="396">
        <v>3186</v>
      </c>
      <c r="O102" s="396">
        <v>5821</v>
      </c>
      <c r="P102" s="395">
        <v>0.87</v>
      </c>
      <c r="Q102" s="396">
        <v>-6712</v>
      </c>
      <c r="R102" s="396">
        <v>32390</v>
      </c>
      <c r="S102" s="396">
        <v>-66808</v>
      </c>
      <c r="T102" s="396">
        <v>1250507</v>
      </c>
      <c r="U102" s="396">
        <v>-662546</v>
      </c>
      <c r="V102" s="395">
        <v>2505.4899999999998</v>
      </c>
      <c r="W102" s="395">
        <v>1661.46</v>
      </c>
      <c r="X102" s="395">
        <v>77490</v>
      </c>
      <c r="Y102" s="395">
        <v>5740.15</v>
      </c>
      <c r="Z102" s="396">
        <v>-1999154</v>
      </c>
      <c r="AA102" s="396">
        <v>825105</v>
      </c>
      <c r="AB102" s="396">
        <v>128152303</v>
      </c>
      <c r="AC102" s="396">
        <v>10207916</v>
      </c>
    </row>
    <row r="103" spans="1:29">
      <c r="A103">
        <v>2727</v>
      </c>
      <c r="B103" s="395" t="s">
        <v>7177</v>
      </c>
      <c r="C103" s="395"/>
      <c r="D103" s="396">
        <v>822947</v>
      </c>
      <c r="E103" s="396">
        <v>1514540</v>
      </c>
      <c r="F103" s="395">
        <v>2.19</v>
      </c>
      <c r="G103" s="396">
        <v>-691593</v>
      </c>
      <c r="H103" s="396">
        <v>156160</v>
      </c>
      <c r="I103" s="396">
        <v>9496528</v>
      </c>
      <c r="J103" s="395">
        <v>263</v>
      </c>
      <c r="K103" s="395">
        <v>192</v>
      </c>
      <c r="L103" s="397">
        <v>0.73</v>
      </c>
      <c r="M103" s="395">
        <v>71</v>
      </c>
      <c r="N103" s="396">
        <v>3129</v>
      </c>
      <c r="O103" s="396">
        <v>7888</v>
      </c>
      <c r="P103" s="395">
        <v>0.81</v>
      </c>
      <c r="Q103" s="396">
        <v>-9741</v>
      </c>
      <c r="R103" s="396">
        <v>40474</v>
      </c>
      <c r="S103" s="396">
        <v>-54716</v>
      </c>
      <c r="T103" s="396">
        <v>1526480</v>
      </c>
      <c r="U103" s="396">
        <v>-942985</v>
      </c>
      <c r="V103" s="395">
        <v>5148.07</v>
      </c>
      <c r="W103" s="395">
        <v>3020.33</v>
      </c>
      <c r="X103" s="395">
        <v>77490</v>
      </c>
      <c r="Y103" s="395">
        <v>10901.96</v>
      </c>
      <c r="Z103" s="396">
        <v>-13724678</v>
      </c>
      <c r="AA103" s="396">
        <v>822947</v>
      </c>
      <c r="AB103" s="396">
        <v>-859674</v>
      </c>
      <c r="AC103" s="396">
        <v>10207916</v>
      </c>
    </row>
    <row r="104" spans="1:29">
      <c r="A104">
        <v>3044</v>
      </c>
      <c r="B104" s="395" t="s">
        <v>7282</v>
      </c>
      <c r="C104" s="395"/>
      <c r="D104" s="396">
        <v>820959</v>
      </c>
      <c r="E104" s="396">
        <v>1020096</v>
      </c>
      <c r="F104" s="395">
        <v>5.12</v>
      </c>
      <c r="G104" s="396">
        <v>-199137</v>
      </c>
      <c r="H104" s="396">
        <v>145464</v>
      </c>
      <c r="I104" s="396">
        <v>11769305</v>
      </c>
      <c r="J104" s="395">
        <v>285</v>
      </c>
      <c r="K104" s="395">
        <v>221</v>
      </c>
      <c r="L104" s="397">
        <v>0.77539999999999998</v>
      </c>
      <c r="M104" s="395">
        <v>64</v>
      </c>
      <c r="N104" s="396">
        <v>2881</v>
      </c>
      <c r="O104" s="396">
        <v>4616</v>
      </c>
      <c r="P104" s="395">
        <v>1.48</v>
      </c>
      <c r="Q104" s="396">
        <v>-3112</v>
      </c>
      <c r="R104" s="396">
        <v>14490</v>
      </c>
      <c r="S104" s="396">
        <v>-9997</v>
      </c>
      <c r="T104" s="396">
        <v>1119759</v>
      </c>
      <c r="U104" s="396">
        <v>-663891</v>
      </c>
      <c r="V104" s="395">
        <v>7212.45</v>
      </c>
      <c r="W104" s="395">
        <v>5289.25</v>
      </c>
      <c r="X104" s="395">
        <v>77490</v>
      </c>
      <c r="Y104" s="395">
        <v>13853.47</v>
      </c>
      <c r="Z104" s="396">
        <v>4142930</v>
      </c>
      <c r="AA104" s="396">
        <v>820959</v>
      </c>
      <c r="AB104" s="396">
        <v>7132684</v>
      </c>
      <c r="AC104" s="396">
        <v>10207916</v>
      </c>
    </row>
    <row r="105" spans="1:29">
      <c r="A105">
        <v>2360</v>
      </c>
      <c r="B105" s="395" t="s">
        <v>7009</v>
      </c>
      <c r="C105" s="395"/>
      <c r="D105" s="396">
        <v>819490</v>
      </c>
      <c r="E105" s="396">
        <v>1567542</v>
      </c>
      <c r="F105" s="395">
        <v>2.1</v>
      </c>
      <c r="G105" s="396">
        <v>-748052</v>
      </c>
      <c r="H105" s="396">
        <v>215088</v>
      </c>
      <c r="I105" s="396">
        <v>8540779</v>
      </c>
      <c r="J105" s="395">
        <v>277</v>
      </c>
      <c r="K105" s="395">
        <v>218</v>
      </c>
      <c r="L105" s="397">
        <v>0.78700000000000003</v>
      </c>
      <c r="M105" s="395">
        <v>59</v>
      </c>
      <c r="N105" s="396">
        <v>2958</v>
      </c>
      <c r="O105" s="396">
        <v>7191</v>
      </c>
      <c r="P105" s="395">
        <v>0.56999999999999995</v>
      </c>
      <c r="Q105" s="396">
        <v>-12679</v>
      </c>
      <c r="R105" s="396">
        <v>23282</v>
      </c>
      <c r="S105" s="396">
        <v>-43796</v>
      </c>
      <c r="T105" s="396">
        <v>1389418</v>
      </c>
      <c r="U105" s="396">
        <v>-510587</v>
      </c>
      <c r="V105" s="395">
        <v>3030.53</v>
      </c>
      <c r="W105" s="395">
        <v>2235.21</v>
      </c>
      <c r="X105" s="395">
        <v>77490</v>
      </c>
      <c r="Y105" s="395">
        <v>5969.17</v>
      </c>
      <c r="Z105" s="396">
        <v>-1757891</v>
      </c>
      <c r="AA105" s="396">
        <v>819490</v>
      </c>
      <c r="AB105" s="396">
        <v>3880476</v>
      </c>
      <c r="AC105" s="396">
        <v>10207916</v>
      </c>
    </row>
    <row r="106" spans="1:29">
      <c r="A106">
        <v>2603</v>
      </c>
      <c r="B106" s="395" t="s">
        <v>7139</v>
      </c>
      <c r="C106" s="395"/>
      <c r="D106" s="396">
        <v>815606</v>
      </c>
      <c r="E106" s="396">
        <v>1200449</v>
      </c>
      <c r="F106" s="395">
        <v>3.12</v>
      </c>
      <c r="G106" s="396">
        <v>-384844</v>
      </c>
      <c r="H106" s="396">
        <v>120794</v>
      </c>
      <c r="I106" s="396">
        <v>3446994</v>
      </c>
      <c r="J106" s="395">
        <v>279</v>
      </c>
      <c r="K106" s="395">
        <v>230</v>
      </c>
      <c r="L106" s="397">
        <v>0.82440000000000002</v>
      </c>
      <c r="M106" s="395">
        <v>49</v>
      </c>
      <c r="N106" s="396">
        <v>2923</v>
      </c>
      <c r="O106" s="396">
        <v>5219</v>
      </c>
      <c r="P106" s="395">
        <v>0.66</v>
      </c>
      <c r="Q106" s="396">
        <v>-7854</v>
      </c>
      <c r="R106" s="396">
        <v>34314</v>
      </c>
      <c r="S106" s="396">
        <v>-33193</v>
      </c>
      <c r="T106" s="396">
        <v>935640</v>
      </c>
      <c r="U106" s="396">
        <v>-369540</v>
      </c>
      <c r="V106" s="395">
        <v>1280.56</v>
      </c>
      <c r="W106" s="395">
        <v>942.8</v>
      </c>
      <c r="X106" s="395">
        <v>77490</v>
      </c>
      <c r="Y106" s="395">
        <v>2865.98</v>
      </c>
      <c r="Z106" s="396">
        <v>-2543312</v>
      </c>
      <c r="AA106" s="396">
        <v>815606</v>
      </c>
      <c r="AB106" s="396">
        <v>147633450</v>
      </c>
      <c r="AC106" s="396">
        <v>10207916</v>
      </c>
    </row>
    <row r="107" spans="1:29">
      <c r="A107">
        <v>3219</v>
      </c>
      <c r="B107" s="395" t="s">
        <v>7349</v>
      </c>
      <c r="C107" s="395"/>
      <c r="D107" s="396">
        <v>812297</v>
      </c>
      <c r="E107" s="396">
        <v>1640861</v>
      </c>
      <c r="F107" s="395">
        <v>1.98</v>
      </c>
      <c r="G107" s="396">
        <v>-828564</v>
      </c>
      <c r="H107" s="396">
        <v>80603</v>
      </c>
      <c r="I107" s="396">
        <v>9540382</v>
      </c>
      <c r="J107" s="395">
        <v>169</v>
      </c>
      <c r="K107" s="395">
        <v>130</v>
      </c>
      <c r="L107" s="397">
        <v>0.76919999999999999</v>
      </c>
      <c r="M107" s="395">
        <v>39</v>
      </c>
      <c r="N107" s="396">
        <v>4806</v>
      </c>
      <c r="O107" s="396">
        <v>12622</v>
      </c>
      <c r="P107" s="395">
        <v>0.59</v>
      </c>
      <c r="Q107" s="396">
        <v>-21245</v>
      </c>
      <c r="R107" s="396">
        <v>35117</v>
      </c>
      <c r="S107" s="396">
        <v>-70101</v>
      </c>
      <c r="T107" s="396">
        <v>3376576</v>
      </c>
      <c r="U107" s="396">
        <v>-2761171</v>
      </c>
      <c r="V107" s="395">
        <v>9760.44</v>
      </c>
      <c r="W107" s="395">
        <v>7338.41</v>
      </c>
      <c r="X107" s="395">
        <v>76950</v>
      </c>
      <c r="Y107" s="395">
        <v>17833.87</v>
      </c>
      <c r="Z107" s="396">
        <v>-10227441</v>
      </c>
      <c r="AA107" s="396">
        <v>812297</v>
      </c>
      <c r="AB107" s="396">
        <v>73022826</v>
      </c>
      <c r="AC107" s="396">
        <v>10207916</v>
      </c>
    </row>
    <row r="108" spans="1:29">
      <c r="A108">
        <v>9802</v>
      </c>
      <c r="B108" s="395" t="s">
        <v>8391</v>
      </c>
      <c r="C108" s="395"/>
      <c r="D108" s="396">
        <v>811697</v>
      </c>
      <c r="E108" s="396">
        <v>1311120</v>
      </c>
      <c r="F108" s="395">
        <v>2.63</v>
      </c>
      <c r="G108" s="396">
        <v>-499423</v>
      </c>
      <c r="H108" s="396">
        <v>120162</v>
      </c>
      <c r="I108" s="396">
        <v>9410986</v>
      </c>
      <c r="J108" s="395">
        <v>278</v>
      </c>
      <c r="K108" s="395">
        <v>212</v>
      </c>
      <c r="L108" s="397">
        <v>0.76259999999999994</v>
      </c>
      <c r="M108" s="395">
        <v>66</v>
      </c>
      <c r="N108" s="396">
        <v>2920</v>
      </c>
      <c r="O108" s="396">
        <v>6185</v>
      </c>
      <c r="P108" s="395">
        <v>0.82</v>
      </c>
      <c r="Q108" s="396">
        <v>-7567</v>
      </c>
      <c r="R108" s="396">
        <v>23537</v>
      </c>
      <c r="S108" s="396">
        <v>-19649</v>
      </c>
      <c r="T108" s="396">
        <v>2004506</v>
      </c>
      <c r="U108" s="396">
        <v>-1428886</v>
      </c>
      <c r="V108" s="395">
        <v>5707.08</v>
      </c>
      <c r="W108" s="395">
        <v>3565.67</v>
      </c>
      <c r="X108" s="395">
        <v>77490</v>
      </c>
      <c r="Y108" s="395">
        <v>12585.55</v>
      </c>
      <c r="Z108" s="396">
        <v>-10514235</v>
      </c>
      <c r="AA108" s="396">
        <v>811697</v>
      </c>
      <c r="AB108" s="396">
        <v>188427</v>
      </c>
      <c r="AC108" s="396">
        <v>10207916</v>
      </c>
    </row>
    <row r="109" spans="1:29">
      <c r="A109">
        <v>6494</v>
      </c>
      <c r="B109" s="395" t="s">
        <v>8101</v>
      </c>
      <c r="C109" s="395"/>
      <c r="D109" s="396">
        <v>809035</v>
      </c>
      <c r="E109" s="396">
        <v>1008908</v>
      </c>
      <c r="F109" s="395">
        <v>5.05</v>
      </c>
      <c r="G109" s="396">
        <v>-199873</v>
      </c>
      <c r="H109" s="396">
        <v>140588</v>
      </c>
      <c r="I109" s="396">
        <v>2462618</v>
      </c>
      <c r="J109" s="395">
        <v>271</v>
      </c>
      <c r="K109" s="395">
        <v>225</v>
      </c>
      <c r="L109" s="397">
        <v>0.83030000000000004</v>
      </c>
      <c r="M109" s="395">
        <v>46</v>
      </c>
      <c r="N109" s="396">
        <v>2985</v>
      </c>
      <c r="O109" s="396">
        <v>4484</v>
      </c>
      <c r="P109" s="395">
        <v>1.03</v>
      </c>
      <c r="Q109" s="396">
        <v>-4345</v>
      </c>
      <c r="R109" s="396">
        <v>20223</v>
      </c>
      <c r="S109" s="396">
        <v>-23464</v>
      </c>
      <c r="T109" s="396">
        <v>1009618</v>
      </c>
      <c r="U109" s="396">
        <v>-307215</v>
      </c>
      <c r="V109" s="395">
        <v>966.9</v>
      </c>
      <c r="W109" s="395">
        <v>703.06</v>
      </c>
      <c r="X109" s="395">
        <v>77490</v>
      </c>
      <c r="Y109" s="395">
        <v>2257.41</v>
      </c>
      <c r="Z109" s="396">
        <v>47257684</v>
      </c>
      <c r="AA109" s="396">
        <v>809035</v>
      </c>
      <c r="AB109" s="396">
        <v>97786839</v>
      </c>
      <c r="AC109" s="396">
        <v>10207916</v>
      </c>
    </row>
    <row r="110" spans="1:29">
      <c r="A110">
        <v>5287</v>
      </c>
      <c r="B110" s="395" t="s">
        <v>7793</v>
      </c>
      <c r="C110" s="395"/>
      <c r="D110" s="396">
        <v>808998</v>
      </c>
      <c r="E110" s="396">
        <v>1210764</v>
      </c>
      <c r="F110" s="395">
        <v>3.01</v>
      </c>
      <c r="G110" s="396">
        <v>-401766</v>
      </c>
      <c r="H110" s="396">
        <v>215375</v>
      </c>
      <c r="I110" s="396">
        <v>11797363</v>
      </c>
      <c r="J110" s="395">
        <v>223</v>
      </c>
      <c r="K110" s="395">
        <v>169</v>
      </c>
      <c r="L110" s="397">
        <v>0.75780000000000003</v>
      </c>
      <c r="M110" s="395">
        <v>54</v>
      </c>
      <c r="N110" s="396">
        <v>3628</v>
      </c>
      <c r="O110" s="396">
        <v>7164</v>
      </c>
      <c r="P110" s="395">
        <v>0.96</v>
      </c>
      <c r="Q110" s="396">
        <v>-7440</v>
      </c>
      <c r="R110" s="396">
        <v>22082</v>
      </c>
      <c r="S110" s="396">
        <v>-29431</v>
      </c>
      <c r="T110" s="396">
        <v>1494377</v>
      </c>
      <c r="U110" s="396">
        <v>-611777</v>
      </c>
      <c r="V110" s="395">
        <v>4214.8</v>
      </c>
      <c r="W110" s="395">
        <v>2862.85</v>
      </c>
      <c r="X110" s="395">
        <v>77490</v>
      </c>
      <c r="Y110" s="395">
        <v>8445.91</v>
      </c>
      <c r="Z110" s="396">
        <v>4197110</v>
      </c>
      <c r="AA110" s="396">
        <v>808998</v>
      </c>
      <c r="AB110" s="396">
        <v>13170677</v>
      </c>
      <c r="AC110" s="396">
        <v>10207916</v>
      </c>
    </row>
    <row r="111" spans="1:29">
      <c r="A111">
        <v>6668</v>
      </c>
      <c r="B111" s="395" t="s">
        <v>8175</v>
      </c>
      <c r="C111" s="395"/>
      <c r="D111" s="396">
        <v>798229</v>
      </c>
      <c r="E111" s="396">
        <v>1250003</v>
      </c>
      <c r="F111" s="395">
        <v>2.77</v>
      </c>
      <c r="G111" s="396">
        <v>-451773</v>
      </c>
      <c r="H111" s="396">
        <v>64397</v>
      </c>
      <c r="I111" s="396">
        <v>5145869</v>
      </c>
      <c r="J111" s="395">
        <v>257</v>
      </c>
      <c r="K111" s="395">
        <v>178</v>
      </c>
      <c r="L111" s="397">
        <v>0.69259999999999999</v>
      </c>
      <c r="M111" s="395">
        <v>79</v>
      </c>
      <c r="N111" s="396">
        <v>3106</v>
      </c>
      <c r="O111" s="396">
        <v>7022</v>
      </c>
      <c r="P111" s="395">
        <v>1.23</v>
      </c>
      <c r="Q111" s="396">
        <v>-5719</v>
      </c>
      <c r="R111" s="396">
        <v>20341</v>
      </c>
      <c r="S111" s="396">
        <v>-21943</v>
      </c>
      <c r="T111" s="396">
        <v>1769532</v>
      </c>
      <c r="U111" s="396">
        <v>-1012555</v>
      </c>
      <c r="V111" s="395">
        <v>6553.98</v>
      </c>
      <c r="W111" s="395">
        <v>4561.5200000000004</v>
      </c>
      <c r="X111" s="395">
        <v>77490</v>
      </c>
      <c r="Y111" s="395">
        <v>11043.33</v>
      </c>
      <c r="Z111" s="396">
        <v>-18926164</v>
      </c>
      <c r="AA111" s="396">
        <v>798229</v>
      </c>
      <c r="AB111" s="396">
        <v>-7612255</v>
      </c>
      <c r="AC111" s="396">
        <v>10207916</v>
      </c>
    </row>
    <row r="112" spans="1:29">
      <c r="A112">
        <v>6457</v>
      </c>
      <c r="B112" s="395" t="s">
        <v>8086</v>
      </c>
      <c r="C112" s="395"/>
      <c r="D112" s="396">
        <v>796268</v>
      </c>
      <c r="E112" s="396">
        <v>1401595</v>
      </c>
      <c r="F112" s="395">
        <v>2.3199999999999998</v>
      </c>
      <c r="G112" s="396">
        <v>-605327</v>
      </c>
      <c r="H112" s="396">
        <v>164359</v>
      </c>
      <c r="I112" s="396">
        <v>6084288</v>
      </c>
      <c r="J112" s="395">
        <v>253</v>
      </c>
      <c r="K112" s="395">
        <v>188</v>
      </c>
      <c r="L112" s="397">
        <v>0.74309999999999998</v>
      </c>
      <c r="M112" s="395">
        <v>65</v>
      </c>
      <c r="N112" s="396">
        <v>3147</v>
      </c>
      <c r="O112" s="396">
        <v>7455</v>
      </c>
      <c r="P112" s="395">
        <v>0.8</v>
      </c>
      <c r="Q112" s="396">
        <v>-9313</v>
      </c>
      <c r="R112" s="396">
        <v>28386</v>
      </c>
      <c r="S112" s="396">
        <v>-35742</v>
      </c>
      <c r="T112" s="396">
        <v>1534321</v>
      </c>
      <c r="U112" s="396">
        <v>-723216</v>
      </c>
      <c r="V112" s="395">
        <v>2123.83</v>
      </c>
      <c r="W112" s="395">
        <v>1258.8699999999999</v>
      </c>
      <c r="X112" s="395">
        <v>77490</v>
      </c>
      <c r="Y112" s="395">
        <v>4625.55</v>
      </c>
      <c r="Z112" s="396">
        <v>-13650238</v>
      </c>
      <c r="AA112" s="396">
        <v>796268</v>
      </c>
      <c r="AB112" s="396">
        <v>30387006</v>
      </c>
      <c r="AC112" s="396">
        <v>10207916</v>
      </c>
    </row>
    <row r="113" spans="1:29">
      <c r="A113">
        <v>2492</v>
      </c>
      <c r="B113" s="395" t="s">
        <v>7103</v>
      </c>
      <c r="C113" s="395"/>
      <c r="D113" s="396">
        <v>795194</v>
      </c>
      <c r="E113" s="396">
        <v>2343326</v>
      </c>
      <c r="F113" s="395">
        <v>1.51</v>
      </c>
      <c r="G113" s="396">
        <v>-1548132</v>
      </c>
      <c r="H113" s="396">
        <v>219806</v>
      </c>
      <c r="I113" s="396">
        <v>16488719</v>
      </c>
      <c r="J113" s="395">
        <v>278</v>
      </c>
      <c r="K113" s="395">
        <v>171</v>
      </c>
      <c r="L113" s="397">
        <v>0.61509999999999998</v>
      </c>
      <c r="M113" s="395">
        <v>107</v>
      </c>
      <c r="N113" s="396">
        <v>2860</v>
      </c>
      <c r="O113" s="396">
        <v>13704</v>
      </c>
      <c r="P113" s="395">
        <v>0.95</v>
      </c>
      <c r="Q113" s="396">
        <v>-14469</v>
      </c>
      <c r="R113" s="396">
        <v>42354</v>
      </c>
      <c r="S113" s="396">
        <v>-37139</v>
      </c>
      <c r="T113" s="396">
        <v>3967482</v>
      </c>
      <c r="U113" s="396">
        <v>-3242627</v>
      </c>
      <c r="V113" s="395">
        <v>6795.68</v>
      </c>
      <c r="W113" s="395">
        <v>4028.17</v>
      </c>
      <c r="X113" s="395">
        <v>77490</v>
      </c>
      <c r="Y113" s="395">
        <v>11218.53</v>
      </c>
      <c r="Z113" s="396">
        <v>-23523775</v>
      </c>
      <c r="AA113" s="396">
        <v>795194</v>
      </c>
      <c r="AB113" s="396">
        <v>-18531311</v>
      </c>
      <c r="AC113" s="396">
        <v>10207916</v>
      </c>
    </row>
    <row r="114" spans="1:29">
      <c r="A114">
        <v>3105</v>
      </c>
      <c r="B114" s="395" t="s">
        <v>7316</v>
      </c>
      <c r="C114" s="395"/>
      <c r="D114" s="396">
        <v>789322</v>
      </c>
      <c r="E114" s="396">
        <v>3367348</v>
      </c>
      <c r="F114" s="395">
        <v>1.31</v>
      </c>
      <c r="G114" s="396">
        <v>-2578026</v>
      </c>
      <c r="H114" s="396">
        <v>392621</v>
      </c>
      <c r="I114" s="396">
        <v>32036212</v>
      </c>
      <c r="J114" s="395">
        <v>276</v>
      </c>
      <c r="K114" s="395">
        <v>173</v>
      </c>
      <c r="L114" s="397">
        <v>0.62680000000000002</v>
      </c>
      <c r="M114" s="395">
        <v>103</v>
      </c>
      <c r="N114" s="396">
        <v>2860</v>
      </c>
      <c r="O114" s="396">
        <v>19464</v>
      </c>
      <c r="P114" s="395">
        <v>0.78</v>
      </c>
      <c r="Q114" s="396">
        <v>-25029</v>
      </c>
      <c r="R114" s="396">
        <v>101187</v>
      </c>
      <c r="S114" s="396">
        <v>-94342</v>
      </c>
      <c r="T114" s="396">
        <v>7624078</v>
      </c>
      <c r="U114" s="396">
        <v>-5686300</v>
      </c>
      <c r="V114" s="395">
        <v>6103.5</v>
      </c>
      <c r="W114" s="395">
        <v>3091.71</v>
      </c>
      <c r="X114" s="395">
        <v>77490</v>
      </c>
      <c r="Y114" s="395">
        <v>11162.14</v>
      </c>
      <c r="Z114" s="396">
        <v>-19144800</v>
      </c>
      <c r="AA114" s="396">
        <v>789322</v>
      </c>
      <c r="AB114" s="396">
        <v>-7710562</v>
      </c>
      <c r="AC114" s="396">
        <v>10207916</v>
      </c>
    </row>
    <row r="115" spans="1:29">
      <c r="A115">
        <v>6435</v>
      </c>
      <c r="B115" s="395" t="s">
        <v>8077</v>
      </c>
      <c r="C115" s="395"/>
      <c r="D115" s="396">
        <v>786528</v>
      </c>
      <c r="E115" s="396">
        <v>1091151</v>
      </c>
      <c r="F115" s="395">
        <v>3.58</v>
      </c>
      <c r="G115" s="396">
        <v>-304623</v>
      </c>
      <c r="H115" s="396">
        <v>139672</v>
      </c>
      <c r="I115" s="396">
        <v>6094523</v>
      </c>
      <c r="J115" s="395">
        <v>265</v>
      </c>
      <c r="K115" s="395">
        <v>208</v>
      </c>
      <c r="L115" s="397">
        <v>0.78490000000000004</v>
      </c>
      <c r="M115" s="395">
        <v>57</v>
      </c>
      <c r="N115" s="396">
        <v>2968</v>
      </c>
      <c r="O115" s="396">
        <v>5246</v>
      </c>
      <c r="P115" s="395">
        <v>0.98</v>
      </c>
      <c r="Q115" s="396">
        <v>-5344</v>
      </c>
      <c r="R115" s="396">
        <v>19285</v>
      </c>
      <c r="S115" s="396">
        <v>-26007</v>
      </c>
      <c r="T115" s="396">
        <v>1125487</v>
      </c>
      <c r="U115" s="396">
        <v>-661466</v>
      </c>
      <c r="V115" s="395">
        <v>2716.83</v>
      </c>
      <c r="W115" s="395">
        <v>1907.07</v>
      </c>
      <c r="X115" s="395">
        <v>77490</v>
      </c>
      <c r="Y115" s="395">
        <v>5671.74</v>
      </c>
      <c r="Z115" s="396">
        <v>-360596</v>
      </c>
      <c r="AA115" s="396">
        <v>786528</v>
      </c>
      <c r="AB115" s="396">
        <v>4955870</v>
      </c>
      <c r="AC115" s="396">
        <v>10207916</v>
      </c>
    </row>
    <row r="116" spans="1:29">
      <c r="A116">
        <v>1723</v>
      </c>
      <c r="B116" s="395" t="s">
        <v>6861</v>
      </c>
      <c r="C116" s="395"/>
      <c r="D116" s="396">
        <v>781667</v>
      </c>
      <c r="E116" s="396">
        <v>850095</v>
      </c>
      <c r="F116" s="395">
        <v>12.42</v>
      </c>
      <c r="G116" s="396">
        <v>-68429</v>
      </c>
      <c r="H116" s="396">
        <v>122819</v>
      </c>
      <c r="I116" s="396">
        <v>5505431</v>
      </c>
      <c r="J116" s="395">
        <v>268</v>
      </c>
      <c r="K116" s="395">
        <v>243</v>
      </c>
      <c r="L116" s="397">
        <v>0.90669999999999995</v>
      </c>
      <c r="M116" s="395">
        <v>25</v>
      </c>
      <c r="N116" s="396">
        <v>2917</v>
      </c>
      <c r="O116" s="396">
        <v>3498</v>
      </c>
      <c r="P116" s="395">
        <v>1.28</v>
      </c>
      <c r="Q116" s="396">
        <v>-2737</v>
      </c>
      <c r="R116" s="396">
        <v>10566</v>
      </c>
      <c r="S116" s="396">
        <v>-7995</v>
      </c>
      <c r="T116" s="396">
        <v>824256</v>
      </c>
      <c r="U116" s="396">
        <v>-261294</v>
      </c>
      <c r="V116" s="395">
        <v>3478.63</v>
      </c>
      <c r="W116" s="395">
        <v>3276.76</v>
      </c>
      <c r="X116" s="395">
        <v>77490</v>
      </c>
      <c r="Y116" s="395">
        <v>5440.8</v>
      </c>
      <c r="Z116" s="396">
        <v>-11415940</v>
      </c>
      <c r="AA116" s="396">
        <v>781667</v>
      </c>
      <c r="AB116" s="396">
        <v>5678539</v>
      </c>
      <c r="AC116" s="396">
        <v>10207916</v>
      </c>
    </row>
    <row r="117" spans="1:29">
      <c r="A117">
        <v>3037</v>
      </c>
      <c r="B117" s="395" t="s">
        <v>7276</v>
      </c>
      <c r="C117" s="395"/>
      <c r="D117" s="396">
        <v>779595</v>
      </c>
      <c r="E117" s="396">
        <v>1201163</v>
      </c>
      <c r="F117" s="395">
        <v>2.85</v>
      </c>
      <c r="G117" s="396">
        <v>-421568</v>
      </c>
      <c r="H117" s="396">
        <v>169692</v>
      </c>
      <c r="I117" s="396">
        <v>4484451</v>
      </c>
      <c r="J117" s="395">
        <v>284</v>
      </c>
      <c r="K117" s="395">
        <v>225</v>
      </c>
      <c r="L117" s="397">
        <v>0.7923</v>
      </c>
      <c r="M117" s="395">
        <v>59</v>
      </c>
      <c r="N117" s="396">
        <v>2745</v>
      </c>
      <c r="O117" s="396">
        <v>5339</v>
      </c>
      <c r="P117" s="395">
        <v>0.75</v>
      </c>
      <c r="Q117" s="396">
        <v>-7145</v>
      </c>
      <c r="R117" s="396">
        <v>23150</v>
      </c>
      <c r="S117" s="396">
        <v>-33465</v>
      </c>
      <c r="T117" s="396">
        <v>1044919</v>
      </c>
      <c r="U117" s="396">
        <v>-551946</v>
      </c>
      <c r="V117" s="395">
        <v>1463.25</v>
      </c>
      <c r="W117" s="395">
        <v>900.87</v>
      </c>
      <c r="X117" s="395">
        <v>77220</v>
      </c>
      <c r="Y117" s="395">
        <v>3607.92</v>
      </c>
      <c r="Z117" s="396">
        <v>13741219</v>
      </c>
      <c r="AA117" s="396">
        <v>779595</v>
      </c>
      <c r="AB117" s="396">
        <v>77709827</v>
      </c>
      <c r="AC117" s="396">
        <v>10207916</v>
      </c>
    </row>
    <row r="118" spans="1:29">
      <c r="A118">
        <v>3035</v>
      </c>
      <c r="B118" s="395" t="s">
        <v>7274</v>
      </c>
      <c r="C118" s="395"/>
      <c r="D118" s="396">
        <v>776791</v>
      </c>
      <c r="E118" s="396">
        <v>1081094</v>
      </c>
      <c r="F118" s="395">
        <v>3.55</v>
      </c>
      <c r="G118" s="396">
        <v>-304303</v>
      </c>
      <c r="H118" s="396">
        <v>143259</v>
      </c>
      <c r="I118" s="396">
        <v>5119904</v>
      </c>
      <c r="J118" s="395">
        <v>284</v>
      </c>
      <c r="K118" s="395">
        <v>238</v>
      </c>
      <c r="L118" s="397">
        <v>0.83799999999999997</v>
      </c>
      <c r="M118" s="395">
        <v>46</v>
      </c>
      <c r="N118" s="396">
        <v>2735</v>
      </c>
      <c r="O118" s="396">
        <v>4542</v>
      </c>
      <c r="P118" s="395">
        <v>0.69</v>
      </c>
      <c r="Q118" s="396">
        <v>-6615</v>
      </c>
      <c r="R118" s="396">
        <v>27156</v>
      </c>
      <c r="S118" s="396">
        <v>-28956</v>
      </c>
      <c r="T118" s="396">
        <v>854885</v>
      </c>
      <c r="U118" s="396">
        <v>-510582</v>
      </c>
      <c r="V118" s="395">
        <v>1266.1600000000001</v>
      </c>
      <c r="W118" s="395">
        <v>899.88</v>
      </c>
      <c r="X118" s="395">
        <v>77490</v>
      </c>
      <c r="Y118" s="395">
        <v>3161.26</v>
      </c>
      <c r="Z118" s="396">
        <v>23547365</v>
      </c>
      <c r="AA118" s="396">
        <v>776791</v>
      </c>
      <c r="AB118" s="396">
        <v>230402967</v>
      </c>
      <c r="AC118" s="396">
        <v>10207916</v>
      </c>
    </row>
    <row r="119" spans="1:29">
      <c r="A119">
        <v>5203</v>
      </c>
      <c r="B119" s="395" t="s">
        <v>7761</v>
      </c>
      <c r="C119" s="395"/>
      <c r="D119" s="396">
        <v>774416</v>
      </c>
      <c r="E119" s="396">
        <v>1046550</v>
      </c>
      <c r="F119" s="395">
        <v>3.85</v>
      </c>
      <c r="G119" s="396">
        <v>-272133</v>
      </c>
      <c r="H119" s="396">
        <v>92396</v>
      </c>
      <c r="I119" s="396">
        <v>10108134</v>
      </c>
      <c r="J119" s="395">
        <v>252</v>
      </c>
      <c r="K119" s="395">
        <v>205</v>
      </c>
      <c r="L119" s="397">
        <v>0.8135</v>
      </c>
      <c r="M119" s="395">
        <v>47</v>
      </c>
      <c r="N119" s="396">
        <v>3073</v>
      </c>
      <c r="O119" s="396">
        <v>5105</v>
      </c>
      <c r="P119" s="395">
        <v>0.88</v>
      </c>
      <c r="Q119" s="396">
        <v>-5790</v>
      </c>
      <c r="R119" s="396">
        <v>13780</v>
      </c>
      <c r="S119" s="396">
        <v>-13306</v>
      </c>
      <c r="T119" s="396">
        <v>1507184</v>
      </c>
      <c r="U119" s="396">
        <v>-809293</v>
      </c>
      <c r="V119" s="395">
        <v>12133.26</v>
      </c>
      <c r="W119" s="395">
        <v>9662.92</v>
      </c>
      <c r="X119" s="395">
        <v>77490</v>
      </c>
      <c r="Y119" s="395">
        <v>22908.17</v>
      </c>
      <c r="Z119" s="396">
        <v>-13429307</v>
      </c>
      <c r="AA119" s="396">
        <v>774416</v>
      </c>
      <c r="AB119" s="396">
        <v>-1622648</v>
      </c>
      <c r="AC119" s="396">
        <v>10207916</v>
      </c>
    </row>
    <row r="120" spans="1:29">
      <c r="A120">
        <v>6492</v>
      </c>
      <c r="B120" s="395" t="s">
        <v>8100</v>
      </c>
      <c r="C120" s="395"/>
      <c r="D120" s="396">
        <v>767791</v>
      </c>
      <c r="E120" s="396">
        <v>1671391</v>
      </c>
      <c r="F120" s="395">
        <v>1.85</v>
      </c>
      <c r="G120" s="396">
        <v>-903600</v>
      </c>
      <c r="H120" s="396">
        <v>122509</v>
      </c>
      <c r="I120" s="396">
        <v>4800500</v>
      </c>
      <c r="J120" s="395">
        <v>213</v>
      </c>
      <c r="K120" s="395">
        <v>147</v>
      </c>
      <c r="L120" s="397">
        <v>0.69010000000000005</v>
      </c>
      <c r="M120" s="395">
        <v>66</v>
      </c>
      <c r="N120" s="396">
        <v>3605</v>
      </c>
      <c r="O120" s="396">
        <v>11370</v>
      </c>
      <c r="P120" s="395">
        <v>0.83</v>
      </c>
      <c r="Q120" s="396">
        <v>-13691</v>
      </c>
      <c r="R120" s="396">
        <v>39330</v>
      </c>
      <c r="S120" s="396">
        <v>-47718</v>
      </c>
      <c r="T120" s="396">
        <v>1506577</v>
      </c>
      <c r="U120" s="396">
        <v>-619921</v>
      </c>
      <c r="V120" s="395">
        <v>2478.29</v>
      </c>
      <c r="W120" s="395">
        <v>1529.36</v>
      </c>
      <c r="X120" s="395">
        <v>77490</v>
      </c>
      <c r="Y120" s="395">
        <v>4591.82</v>
      </c>
      <c r="Z120" s="396">
        <v>-27316279</v>
      </c>
      <c r="AA120" s="396">
        <v>767791</v>
      </c>
      <c r="AB120" s="396">
        <v>-32887885</v>
      </c>
      <c r="AC120" s="396">
        <v>10207916</v>
      </c>
    </row>
    <row r="121" spans="1:29">
      <c r="A121">
        <v>3211</v>
      </c>
      <c r="B121" s="395" t="s">
        <v>7345</v>
      </c>
      <c r="C121" s="395"/>
      <c r="D121" s="396">
        <v>764360</v>
      </c>
      <c r="E121" s="396">
        <v>1020924</v>
      </c>
      <c r="F121" s="395">
        <v>3.98</v>
      </c>
      <c r="G121" s="396">
        <v>-256564</v>
      </c>
      <c r="H121" s="396">
        <v>111126</v>
      </c>
      <c r="I121" s="396">
        <v>9043014</v>
      </c>
      <c r="J121" s="395">
        <v>265</v>
      </c>
      <c r="K121" s="395">
        <v>220</v>
      </c>
      <c r="L121" s="397">
        <v>0.83020000000000005</v>
      </c>
      <c r="M121" s="395">
        <v>45</v>
      </c>
      <c r="N121" s="396">
        <v>2884</v>
      </c>
      <c r="O121" s="396">
        <v>4641</v>
      </c>
      <c r="P121" s="395">
        <v>0.81</v>
      </c>
      <c r="Q121" s="396">
        <v>-5701</v>
      </c>
      <c r="R121" s="396">
        <v>15572</v>
      </c>
      <c r="S121" s="396">
        <v>-13486</v>
      </c>
      <c r="T121" s="396">
        <v>1058819</v>
      </c>
      <c r="U121" s="396">
        <v>-539744</v>
      </c>
      <c r="V121" s="395">
        <v>7113.69</v>
      </c>
      <c r="W121" s="395">
        <v>5186.4399999999996</v>
      </c>
      <c r="X121" s="395">
        <v>77490</v>
      </c>
      <c r="Y121" s="395">
        <v>16535.8</v>
      </c>
      <c r="Z121" s="396">
        <v>11541566</v>
      </c>
      <c r="AA121" s="396">
        <v>764360</v>
      </c>
      <c r="AB121" s="396">
        <v>25487589</v>
      </c>
      <c r="AC121" s="396">
        <v>10207916</v>
      </c>
    </row>
    <row r="122" spans="1:29">
      <c r="A122">
        <v>4580</v>
      </c>
      <c r="B122" s="395" t="s">
        <v>7664</v>
      </c>
      <c r="C122" s="395"/>
      <c r="D122" s="396">
        <v>761411</v>
      </c>
      <c r="E122" s="396">
        <v>829772</v>
      </c>
      <c r="F122" s="395">
        <v>12.14</v>
      </c>
      <c r="G122" s="396">
        <v>-68361</v>
      </c>
      <c r="H122" s="396">
        <v>64437</v>
      </c>
      <c r="I122" s="396">
        <v>10451305</v>
      </c>
      <c r="J122" s="395">
        <v>169</v>
      </c>
      <c r="K122" s="395">
        <v>134</v>
      </c>
      <c r="L122" s="397">
        <v>0.79290000000000005</v>
      </c>
      <c r="M122" s="395">
        <v>35</v>
      </c>
      <c r="N122" s="396">
        <v>4505</v>
      </c>
      <c r="O122" s="396">
        <v>6192</v>
      </c>
      <c r="P122" s="395">
        <v>3.17</v>
      </c>
      <c r="Q122" s="396">
        <v>-1953</v>
      </c>
      <c r="R122" s="396">
        <v>13757</v>
      </c>
      <c r="S122" s="396">
        <v>-5081</v>
      </c>
      <c r="T122" s="396">
        <v>1098437</v>
      </c>
      <c r="U122" s="396">
        <v>-339429</v>
      </c>
      <c r="V122" s="395">
        <v>21812.26</v>
      </c>
      <c r="W122" s="395">
        <v>22114.39</v>
      </c>
      <c r="X122" s="395">
        <v>77490</v>
      </c>
      <c r="Y122" s="395">
        <v>20655.54</v>
      </c>
      <c r="Z122" s="396">
        <v>-4913503</v>
      </c>
      <c r="AA122" s="396">
        <v>761411</v>
      </c>
      <c r="AB122" s="396">
        <v>-2347621</v>
      </c>
      <c r="AC122" s="396">
        <v>10207916</v>
      </c>
    </row>
    <row r="123" spans="1:29">
      <c r="A123">
        <v>6613</v>
      </c>
      <c r="B123" s="395" t="s">
        <v>8156</v>
      </c>
      <c r="C123" s="395"/>
      <c r="D123" s="396">
        <v>759123</v>
      </c>
      <c r="E123" s="396">
        <v>824424</v>
      </c>
      <c r="F123" s="395">
        <v>12.62</v>
      </c>
      <c r="G123" s="396">
        <v>-65301</v>
      </c>
      <c r="H123" s="396">
        <v>129377</v>
      </c>
      <c r="I123" s="396">
        <v>5504059</v>
      </c>
      <c r="J123" s="395">
        <v>215</v>
      </c>
      <c r="K123" s="395">
        <v>184</v>
      </c>
      <c r="L123" s="397">
        <v>0.85580000000000001</v>
      </c>
      <c r="M123" s="395">
        <v>31</v>
      </c>
      <c r="N123" s="396">
        <v>3531</v>
      </c>
      <c r="O123" s="396">
        <v>4481</v>
      </c>
      <c r="P123" s="395">
        <v>2.13</v>
      </c>
      <c r="Q123" s="396">
        <v>-2106</v>
      </c>
      <c r="R123" s="396">
        <v>11416</v>
      </c>
      <c r="S123" s="396">
        <v>-8199</v>
      </c>
      <c r="T123" s="396">
        <v>829049</v>
      </c>
      <c r="U123" s="396">
        <v>-253468</v>
      </c>
      <c r="V123" s="395">
        <v>4592.84</v>
      </c>
      <c r="W123" s="395">
        <v>4364.8500000000004</v>
      </c>
      <c r="X123" s="395">
        <v>77490</v>
      </c>
      <c r="Y123" s="395">
        <v>5946.03</v>
      </c>
      <c r="Z123" s="396">
        <v>1736259</v>
      </c>
      <c r="AA123" s="396">
        <v>759123</v>
      </c>
      <c r="AB123" s="396">
        <v>14057143</v>
      </c>
      <c r="AC123" s="396">
        <v>10207916</v>
      </c>
    </row>
    <row r="124" spans="1:29">
      <c r="A124">
        <v>6446</v>
      </c>
      <c r="B124" s="395" t="s">
        <v>8082</v>
      </c>
      <c r="C124" s="395"/>
      <c r="D124" s="396">
        <v>758690</v>
      </c>
      <c r="E124" s="396">
        <v>850921</v>
      </c>
      <c r="F124" s="395">
        <v>9.23</v>
      </c>
      <c r="G124" s="396">
        <v>-92231</v>
      </c>
      <c r="H124" s="396">
        <v>91110</v>
      </c>
      <c r="I124" s="396">
        <v>2346026</v>
      </c>
      <c r="J124" s="395">
        <v>174</v>
      </c>
      <c r="K124" s="395">
        <v>147</v>
      </c>
      <c r="L124" s="397">
        <v>0.8448</v>
      </c>
      <c r="M124" s="395">
        <v>27</v>
      </c>
      <c r="N124" s="396">
        <v>4360</v>
      </c>
      <c r="O124" s="396">
        <v>5789</v>
      </c>
      <c r="P124" s="395">
        <v>1.69</v>
      </c>
      <c r="Q124" s="396">
        <v>-3416</v>
      </c>
      <c r="R124" s="396">
        <v>46279</v>
      </c>
      <c r="S124" s="396">
        <v>-18100</v>
      </c>
      <c r="T124" s="396">
        <v>1004400</v>
      </c>
      <c r="U124" s="396">
        <v>-343093</v>
      </c>
      <c r="V124" s="395">
        <v>1633.99</v>
      </c>
      <c r="W124" s="395">
        <v>1225.54</v>
      </c>
      <c r="X124" s="395">
        <v>77490</v>
      </c>
      <c r="Y124" s="395">
        <v>3857.78</v>
      </c>
      <c r="Z124" s="396">
        <v>32408368</v>
      </c>
      <c r="AA124" s="396">
        <v>758690</v>
      </c>
      <c r="AB124" s="396">
        <v>115616525</v>
      </c>
      <c r="AC124" s="396">
        <v>10207916</v>
      </c>
    </row>
    <row r="125" spans="1:29">
      <c r="A125">
        <v>3711</v>
      </c>
      <c r="B125" s="395" t="s">
        <v>7547</v>
      </c>
      <c r="C125" s="395"/>
      <c r="D125" s="396">
        <v>755503</v>
      </c>
      <c r="E125" s="396">
        <v>965781</v>
      </c>
      <c r="F125" s="395">
        <v>4.59</v>
      </c>
      <c r="G125" s="396">
        <v>-210278</v>
      </c>
      <c r="H125" s="396">
        <v>125659</v>
      </c>
      <c r="I125" s="396">
        <v>3651710</v>
      </c>
      <c r="J125" s="395">
        <v>286</v>
      </c>
      <c r="K125" s="395">
        <v>245</v>
      </c>
      <c r="L125" s="397">
        <v>0.85660000000000003</v>
      </c>
      <c r="M125" s="395">
        <v>41</v>
      </c>
      <c r="N125" s="396">
        <v>2642</v>
      </c>
      <c r="O125" s="396">
        <v>3942</v>
      </c>
      <c r="P125" s="395">
        <v>0.77</v>
      </c>
      <c r="Q125" s="396">
        <v>-5129</v>
      </c>
      <c r="R125" s="396">
        <v>15089</v>
      </c>
      <c r="S125" s="396">
        <v>-17470</v>
      </c>
      <c r="T125" s="396">
        <v>812757</v>
      </c>
      <c r="U125" s="396">
        <v>-377942</v>
      </c>
      <c r="V125" s="395">
        <v>2262.86</v>
      </c>
      <c r="W125" s="395">
        <v>1765.11</v>
      </c>
      <c r="X125" s="395">
        <v>77490</v>
      </c>
      <c r="Y125" s="395">
        <v>5237.2</v>
      </c>
      <c r="Z125" s="396">
        <v>-5340781</v>
      </c>
      <c r="AA125" s="396">
        <v>755503</v>
      </c>
      <c r="AB125" s="396">
        <v>13964700</v>
      </c>
      <c r="AC125" s="396">
        <v>10207916</v>
      </c>
    </row>
    <row r="126" spans="1:29">
      <c r="A126">
        <v>2412</v>
      </c>
      <c r="B126" s="395" t="s">
        <v>7043</v>
      </c>
      <c r="C126" s="395"/>
      <c r="D126" s="396">
        <v>751785</v>
      </c>
      <c r="E126" s="396">
        <v>763245</v>
      </c>
      <c r="F126" s="395">
        <v>66.599999999999994</v>
      </c>
      <c r="G126" s="396">
        <v>-11460</v>
      </c>
      <c r="H126" s="396">
        <v>131256</v>
      </c>
      <c r="I126" s="396">
        <v>10491208</v>
      </c>
      <c r="J126" s="395">
        <v>285</v>
      </c>
      <c r="K126" s="395">
        <v>278</v>
      </c>
      <c r="L126" s="397">
        <v>0.97540000000000004</v>
      </c>
      <c r="M126" s="395">
        <v>7</v>
      </c>
      <c r="N126" s="396">
        <v>2638</v>
      </c>
      <c r="O126" s="396">
        <v>2745</v>
      </c>
      <c r="P126" s="395">
        <v>1.68</v>
      </c>
      <c r="Q126" s="396">
        <v>-1637</v>
      </c>
      <c r="R126" s="396">
        <v>5548</v>
      </c>
      <c r="S126" s="396">
        <v>-2496</v>
      </c>
      <c r="T126" s="396">
        <v>805939</v>
      </c>
      <c r="U126" s="396">
        <v>-232135</v>
      </c>
      <c r="V126" s="395">
        <v>9566.5499999999993</v>
      </c>
      <c r="W126" s="395">
        <v>9732.65</v>
      </c>
      <c r="X126" s="395">
        <v>77490</v>
      </c>
      <c r="Y126" s="395">
        <v>2970</v>
      </c>
      <c r="Z126" s="396">
        <v>6063832</v>
      </c>
      <c r="AA126" s="396">
        <v>751785</v>
      </c>
      <c r="AB126" s="396">
        <v>8491966</v>
      </c>
      <c r="AC126" s="396">
        <v>10207916</v>
      </c>
    </row>
    <row r="127" spans="1:29">
      <c r="A127">
        <v>6743</v>
      </c>
      <c r="B127" s="395" t="s">
        <v>8201</v>
      </c>
      <c r="C127" s="395"/>
      <c r="D127" s="396">
        <v>744511</v>
      </c>
      <c r="E127" s="396">
        <v>1220818</v>
      </c>
      <c r="F127" s="395">
        <v>2.56</v>
      </c>
      <c r="G127" s="396">
        <v>-476307</v>
      </c>
      <c r="H127" s="396">
        <v>104189</v>
      </c>
      <c r="I127" s="396">
        <v>4905552</v>
      </c>
      <c r="J127" s="395">
        <v>246</v>
      </c>
      <c r="K127" s="395">
        <v>193</v>
      </c>
      <c r="L127" s="397">
        <v>0.78459999999999996</v>
      </c>
      <c r="M127" s="395">
        <v>53</v>
      </c>
      <c r="N127" s="396">
        <v>3026</v>
      </c>
      <c r="O127" s="396">
        <v>6325</v>
      </c>
      <c r="P127" s="395">
        <v>0.7</v>
      </c>
      <c r="Q127" s="396">
        <v>-8987</v>
      </c>
      <c r="R127" s="396">
        <v>35239</v>
      </c>
      <c r="S127" s="396">
        <v>-46624</v>
      </c>
      <c r="T127" s="396">
        <v>1413710</v>
      </c>
      <c r="U127" s="396">
        <v>-892847</v>
      </c>
      <c r="V127" s="395">
        <v>2690.17</v>
      </c>
      <c r="W127" s="395">
        <v>1655.3</v>
      </c>
      <c r="X127" s="395">
        <v>77490</v>
      </c>
      <c r="Y127" s="395">
        <v>6458.68</v>
      </c>
      <c r="Z127" s="396">
        <v>-17400892</v>
      </c>
      <c r="AA127" s="396">
        <v>744511</v>
      </c>
      <c r="AB127" s="396">
        <v>-17208612</v>
      </c>
      <c r="AC127" s="396">
        <v>10207916</v>
      </c>
    </row>
    <row r="128" spans="1:29">
      <c r="A128">
        <v>4739</v>
      </c>
      <c r="B128" s="395" t="s">
        <v>7683</v>
      </c>
      <c r="C128" s="395"/>
      <c r="D128" s="396">
        <v>740221</v>
      </c>
      <c r="E128" s="396">
        <v>935078</v>
      </c>
      <c r="F128" s="395">
        <v>4.8</v>
      </c>
      <c r="G128" s="396">
        <v>-194857</v>
      </c>
      <c r="H128" s="396">
        <v>122679</v>
      </c>
      <c r="I128" s="396">
        <v>1614887</v>
      </c>
      <c r="J128" s="395">
        <v>280</v>
      </c>
      <c r="K128" s="395">
        <v>236</v>
      </c>
      <c r="L128" s="397">
        <v>0.84289999999999998</v>
      </c>
      <c r="M128" s="395">
        <v>44</v>
      </c>
      <c r="N128" s="396">
        <v>2644</v>
      </c>
      <c r="O128" s="396">
        <v>3962</v>
      </c>
      <c r="P128" s="395">
        <v>0.89</v>
      </c>
      <c r="Q128" s="396">
        <v>-4429</v>
      </c>
      <c r="R128" s="396">
        <v>13732</v>
      </c>
      <c r="S128" s="396">
        <v>-16169</v>
      </c>
      <c r="T128" s="396">
        <v>866341</v>
      </c>
      <c r="U128" s="396">
        <v>-199421</v>
      </c>
      <c r="V128" s="395">
        <v>1142.69</v>
      </c>
      <c r="W128" s="395">
        <v>740.56</v>
      </c>
      <c r="X128" s="395">
        <v>77490</v>
      </c>
      <c r="Y128" s="395">
        <v>3299.55</v>
      </c>
      <c r="Z128" s="396">
        <v>29954137</v>
      </c>
      <c r="AA128" s="396">
        <v>740221</v>
      </c>
      <c r="AB128" s="396">
        <v>63584614</v>
      </c>
      <c r="AC128" s="396">
        <v>10207916</v>
      </c>
    </row>
    <row r="129" spans="1:29">
      <c r="A129">
        <v>5478</v>
      </c>
      <c r="B129" s="395" t="s">
        <v>7847</v>
      </c>
      <c r="C129" s="395"/>
      <c r="D129" s="396">
        <v>737009</v>
      </c>
      <c r="E129" s="396">
        <v>848104</v>
      </c>
      <c r="F129" s="395">
        <v>7.63</v>
      </c>
      <c r="G129" s="396">
        <v>-111094</v>
      </c>
      <c r="H129" s="396">
        <v>97821</v>
      </c>
      <c r="I129" s="396">
        <v>5722154</v>
      </c>
      <c r="J129" s="395">
        <v>238</v>
      </c>
      <c r="K129" s="395">
        <v>203</v>
      </c>
      <c r="L129" s="397">
        <v>0.85289999999999999</v>
      </c>
      <c r="M129" s="395">
        <v>35</v>
      </c>
      <c r="N129" s="396">
        <v>3097</v>
      </c>
      <c r="O129" s="396">
        <v>4178</v>
      </c>
      <c r="P129" s="395">
        <v>1.32</v>
      </c>
      <c r="Q129" s="396">
        <v>-3174</v>
      </c>
      <c r="R129" s="396">
        <v>14794</v>
      </c>
      <c r="S129" s="396">
        <v>-14965</v>
      </c>
      <c r="T129" s="396">
        <v>860251</v>
      </c>
      <c r="U129" s="396">
        <v>-332935</v>
      </c>
      <c r="V129" s="395">
        <v>4064.4</v>
      </c>
      <c r="W129" s="395">
        <v>3395.09</v>
      </c>
      <c r="X129" s="395">
        <v>77490</v>
      </c>
      <c r="Y129" s="395">
        <v>7946.4</v>
      </c>
      <c r="Z129" s="396">
        <v>-8774854</v>
      </c>
      <c r="AA129" s="396">
        <v>737009</v>
      </c>
      <c r="AB129" s="396">
        <v>-4669947</v>
      </c>
      <c r="AC129" s="396">
        <v>10207916</v>
      </c>
    </row>
    <row r="130" spans="1:29">
      <c r="A130">
        <v>6538</v>
      </c>
      <c r="B130" s="395" t="s">
        <v>8122</v>
      </c>
      <c r="C130" s="395"/>
      <c r="D130" s="396">
        <v>734717</v>
      </c>
      <c r="E130" s="396">
        <v>1410284</v>
      </c>
      <c r="F130" s="395">
        <v>2.09</v>
      </c>
      <c r="G130" s="396">
        <v>-675567</v>
      </c>
      <c r="H130" s="396">
        <v>115414</v>
      </c>
      <c r="I130" s="396">
        <v>7272322</v>
      </c>
      <c r="J130" s="395">
        <v>255</v>
      </c>
      <c r="K130" s="395">
        <v>193</v>
      </c>
      <c r="L130" s="397">
        <v>0.75690000000000002</v>
      </c>
      <c r="M130" s="395">
        <v>62</v>
      </c>
      <c r="N130" s="396">
        <v>2881</v>
      </c>
      <c r="O130" s="396">
        <v>7307</v>
      </c>
      <c r="P130" s="395">
        <v>0.67</v>
      </c>
      <c r="Q130" s="396">
        <v>-10896</v>
      </c>
      <c r="R130" s="396">
        <v>23855</v>
      </c>
      <c r="S130" s="396">
        <v>-45584</v>
      </c>
      <c r="T130" s="396">
        <v>1368291</v>
      </c>
      <c r="U130" s="396">
        <v>-790723</v>
      </c>
      <c r="V130" s="395">
        <v>6803.81</v>
      </c>
      <c r="W130" s="395">
        <v>5060.17</v>
      </c>
      <c r="X130" s="395">
        <v>77490</v>
      </c>
      <c r="Y130" s="395">
        <v>12231.6</v>
      </c>
      <c r="Z130" s="396">
        <v>-25454917</v>
      </c>
      <c r="AA130" s="396">
        <v>734717</v>
      </c>
      <c r="AB130" s="396">
        <v>-23774002</v>
      </c>
      <c r="AC130" s="396">
        <v>10207916</v>
      </c>
    </row>
    <row r="131" spans="1:29">
      <c r="A131">
        <v>2376</v>
      </c>
      <c r="B131" s="395" t="s">
        <v>7021</v>
      </c>
      <c r="C131" s="395"/>
      <c r="D131" s="396">
        <v>732453</v>
      </c>
      <c r="E131" s="396">
        <v>1034730</v>
      </c>
      <c r="F131" s="395">
        <v>3.42</v>
      </c>
      <c r="G131" s="396">
        <v>-302277</v>
      </c>
      <c r="H131" s="396">
        <v>127758</v>
      </c>
      <c r="I131" s="396">
        <v>6906029</v>
      </c>
      <c r="J131" s="395">
        <v>282</v>
      </c>
      <c r="K131" s="395">
        <v>225</v>
      </c>
      <c r="L131" s="397">
        <v>0.79790000000000005</v>
      </c>
      <c r="M131" s="395">
        <v>57</v>
      </c>
      <c r="N131" s="396">
        <v>2597</v>
      </c>
      <c r="O131" s="396">
        <v>4599</v>
      </c>
      <c r="P131" s="395">
        <v>0.87</v>
      </c>
      <c r="Q131" s="396">
        <v>-5303</v>
      </c>
      <c r="R131" s="396">
        <v>15237</v>
      </c>
      <c r="S131" s="396">
        <v>-20496</v>
      </c>
      <c r="T131" s="396">
        <v>1398318</v>
      </c>
      <c r="U131" s="396">
        <v>-871285</v>
      </c>
      <c r="V131" s="395">
        <v>3453.49</v>
      </c>
      <c r="W131" s="395">
        <v>1907.67</v>
      </c>
      <c r="X131" s="395">
        <v>77490</v>
      </c>
      <c r="Y131" s="395">
        <v>9555.4</v>
      </c>
      <c r="Z131" s="396">
        <v>15627699</v>
      </c>
      <c r="AA131" s="396">
        <v>732453</v>
      </c>
      <c r="AB131" s="396">
        <v>36585030</v>
      </c>
      <c r="AC131" s="396">
        <v>10207916</v>
      </c>
    </row>
    <row r="132" spans="1:29">
      <c r="A132">
        <v>3558</v>
      </c>
      <c r="B132" s="395" t="s">
        <v>7479</v>
      </c>
      <c r="C132" s="395"/>
      <c r="D132" s="396">
        <v>728794</v>
      </c>
      <c r="E132" s="396">
        <v>877621</v>
      </c>
      <c r="F132" s="395">
        <v>5.9</v>
      </c>
      <c r="G132" s="396">
        <v>-148828</v>
      </c>
      <c r="H132" s="396">
        <v>96741</v>
      </c>
      <c r="I132" s="396">
        <v>5040026</v>
      </c>
      <c r="J132" s="395">
        <v>233</v>
      </c>
      <c r="K132" s="395">
        <v>198</v>
      </c>
      <c r="L132" s="397">
        <v>0.8498</v>
      </c>
      <c r="M132" s="395">
        <v>35</v>
      </c>
      <c r="N132" s="396">
        <v>3128</v>
      </c>
      <c r="O132" s="396">
        <v>4432</v>
      </c>
      <c r="P132" s="395">
        <v>1.04</v>
      </c>
      <c r="Q132" s="396">
        <v>-4252</v>
      </c>
      <c r="R132" s="396">
        <v>17121</v>
      </c>
      <c r="S132" s="396">
        <v>-11438</v>
      </c>
      <c r="T132" s="396">
        <v>1115062</v>
      </c>
      <c r="U132" s="396">
        <v>-518803</v>
      </c>
      <c r="V132" s="395">
        <v>5377.55</v>
      </c>
      <c r="W132" s="395">
        <v>4134.38</v>
      </c>
      <c r="X132" s="395">
        <v>77490</v>
      </c>
      <c r="Y132" s="395">
        <v>12410.34</v>
      </c>
      <c r="Z132" s="396">
        <v>-950072</v>
      </c>
      <c r="AA132" s="396">
        <v>728794</v>
      </c>
      <c r="AB132" s="396">
        <v>9039040</v>
      </c>
      <c r="AC132" s="396">
        <v>10207916</v>
      </c>
    </row>
    <row r="133" spans="1:29">
      <c r="A133">
        <v>4919</v>
      </c>
      <c r="B133" s="395" t="s">
        <v>7712</v>
      </c>
      <c r="C133" s="395"/>
      <c r="D133" s="396">
        <v>721661</v>
      </c>
      <c r="E133" s="396">
        <v>866268</v>
      </c>
      <c r="F133" s="395">
        <v>5.99</v>
      </c>
      <c r="G133" s="396">
        <v>-144607</v>
      </c>
      <c r="H133" s="396">
        <v>118119</v>
      </c>
      <c r="I133" s="396">
        <v>1629152</v>
      </c>
      <c r="J133" s="395">
        <v>275</v>
      </c>
      <c r="K133" s="395">
        <v>229</v>
      </c>
      <c r="L133" s="397">
        <v>0.8327</v>
      </c>
      <c r="M133" s="395">
        <v>46</v>
      </c>
      <c r="N133" s="396">
        <v>2624</v>
      </c>
      <c r="O133" s="396">
        <v>3783</v>
      </c>
      <c r="P133" s="395">
        <v>1.2</v>
      </c>
      <c r="Q133" s="396">
        <v>-3144</v>
      </c>
      <c r="R133" s="396">
        <v>14963</v>
      </c>
      <c r="S133" s="396">
        <v>-28596</v>
      </c>
      <c r="T133" s="396">
        <v>730683</v>
      </c>
      <c r="U133" s="396">
        <v>-212890</v>
      </c>
      <c r="V133" s="395">
        <v>932.53</v>
      </c>
      <c r="W133" s="395">
        <v>647.89</v>
      </c>
      <c r="X133" s="395">
        <v>77490</v>
      </c>
      <c r="Y133" s="395">
        <v>2349.5700000000002</v>
      </c>
      <c r="Z133" s="396">
        <v>53304121</v>
      </c>
      <c r="AA133" s="396">
        <v>721661</v>
      </c>
      <c r="AB133" s="396">
        <v>102439007</v>
      </c>
      <c r="AC133" s="396">
        <v>10207916</v>
      </c>
    </row>
    <row r="134" spans="1:29">
      <c r="A134">
        <v>6438</v>
      </c>
      <c r="B134" s="395" t="s">
        <v>8078</v>
      </c>
      <c r="C134" s="395"/>
      <c r="D134" s="396">
        <v>720238</v>
      </c>
      <c r="E134" s="396">
        <v>924051</v>
      </c>
      <c r="F134" s="395">
        <v>4.53</v>
      </c>
      <c r="G134" s="396">
        <v>-203813</v>
      </c>
      <c r="H134" s="396">
        <v>116059</v>
      </c>
      <c r="I134" s="396">
        <v>4731336</v>
      </c>
      <c r="J134" s="395">
        <v>274</v>
      </c>
      <c r="K134" s="395">
        <v>235</v>
      </c>
      <c r="L134" s="397">
        <v>0.85770000000000002</v>
      </c>
      <c r="M134" s="395">
        <v>39</v>
      </c>
      <c r="N134" s="396">
        <v>2629</v>
      </c>
      <c r="O134" s="396">
        <v>3932</v>
      </c>
      <c r="P134" s="395">
        <v>0.75</v>
      </c>
      <c r="Q134" s="396">
        <v>-5226</v>
      </c>
      <c r="R134" s="396">
        <v>18538</v>
      </c>
      <c r="S134" s="396">
        <v>-19638</v>
      </c>
      <c r="T134" s="396">
        <v>854984</v>
      </c>
      <c r="U134" s="396">
        <v>-322101</v>
      </c>
      <c r="V134" s="395">
        <v>2249.9299999999998</v>
      </c>
      <c r="W134" s="395">
        <v>1686.37</v>
      </c>
      <c r="X134" s="395">
        <v>77220</v>
      </c>
      <c r="Y134" s="395">
        <v>5645.72</v>
      </c>
      <c r="Z134" s="396">
        <v>8912041</v>
      </c>
      <c r="AA134" s="396">
        <v>720238</v>
      </c>
      <c r="AB134" s="396">
        <v>25252312</v>
      </c>
      <c r="AC134" s="396">
        <v>10207916</v>
      </c>
    </row>
    <row r="135" spans="1:29">
      <c r="A135">
        <v>3406</v>
      </c>
      <c r="B135" s="395" t="s">
        <v>7416</v>
      </c>
      <c r="C135" s="395"/>
      <c r="D135" s="396">
        <v>719384</v>
      </c>
      <c r="E135" s="396">
        <v>4481550</v>
      </c>
      <c r="F135" s="395">
        <v>1.19</v>
      </c>
      <c r="G135" s="396">
        <v>-3762166</v>
      </c>
      <c r="H135" s="396">
        <v>553923</v>
      </c>
      <c r="I135" s="396">
        <v>19469214</v>
      </c>
      <c r="J135" s="395">
        <v>280</v>
      </c>
      <c r="K135" s="395">
        <v>189</v>
      </c>
      <c r="L135" s="397">
        <v>0.67500000000000004</v>
      </c>
      <c r="M135" s="395">
        <v>91</v>
      </c>
      <c r="N135" s="396">
        <v>2569</v>
      </c>
      <c r="O135" s="396">
        <v>23712</v>
      </c>
      <c r="P135" s="395">
        <v>0.56999999999999995</v>
      </c>
      <c r="Q135" s="396">
        <v>-41342</v>
      </c>
      <c r="R135" s="396">
        <v>90328</v>
      </c>
      <c r="S135" s="396">
        <v>-167521</v>
      </c>
      <c r="T135" s="396">
        <v>3857331</v>
      </c>
      <c r="U135" s="396">
        <v>-2384992</v>
      </c>
      <c r="V135" s="395">
        <v>3215.71</v>
      </c>
      <c r="W135" s="395">
        <v>1913.41</v>
      </c>
      <c r="X135" s="395">
        <v>77490</v>
      </c>
      <c r="Y135" s="395">
        <v>5920.49</v>
      </c>
      <c r="Z135" s="396">
        <v>-24233629</v>
      </c>
      <c r="AA135" s="396">
        <v>719384</v>
      </c>
      <c r="AB135" s="396">
        <v>-12464679</v>
      </c>
      <c r="AC135" s="396">
        <v>10207916</v>
      </c>
    </row>
    <row r="136" spans="1:29">
      <c r="A136">
        <v>4935</v>
      </c>
      <c r="B136" s="395" t="s">
        <v>7720</v>
      </c>
      <c r="C136" s="395"/>
      <c r="D136" s="396">
        <v>716298</v>
      </c>
      <c r="E136" s="396">
        <v>1066272</v>
      </c>
      <c r="F136" s="395">
        <v>3.05</v>
      </c>
      <c r="G136" s="396">
        <v>-349974</v>
      </c>
      <c r="H136" s="396">
        <v>95448</v>
      </c>
      <c r="I136" s="396">
        <v>7354489</v>
      </c>
      <c r="J136" s="395">
        <v>258</v>
      </c>
      <c r="K136" s="395">
        <v>195</v>
      </c>
      <c r="L136" s="397">
        <v>0.75580000000000003</v>
      </c>
      <c r="M136" s="395">
        <v>63</v>
      </c>
      <c r="N136" s="396">
        <v>2776</v>
      </c>
      <c r="O136" s="396">
        <v>5468</v>
      </c>
      <c r="P136" s="395">
        <v>0.98</v>
      </c>
      <c r="Q136" s="396">
        <v>-5555</v>
      </c>
      <c r="R136" s="396">
        <v>14977</v>
      </c>
      <c r="S136" s="396">
        <v>-16706</v>
      </c>
      <c r="T136" s="396">
        <v>1395605</v>
      </c>
      <c r="U136" s="396">
        <v>-704023</v>
      </c>
      <c r="V136" s="395">
        <v>6186.03</v>
      </c>
      <c r="W136" s="395">
        <v>5593.38</v>
      </c>
      <c r="X136" s="395">
        <v>77490</v>
      </c>
      <c r="Y136" s="395">
        <v>8020.44</v>
      </c>
      <c r="Z136" s="396">
        <v>-20488154</v>
      </c>
      <c r="AA136" s="396">
        <v>716298</v>
      </c>
      <c r="AB136" s="396">
        <v>-17806900</v>
      </c>
      <c r="AC136" s="396">
        <v>10207916</v>
      </c>
    </row>
    <row r="137" spans="1:29">
      <c r="A137">
        <v>3014</v>
      </c>
      <c r="B137" s="395" t="s">
        <v>7254</v>
      </c>
      <c r="C137" s="395"/>
      <c r="D137" s="396">
        <v>716082</v>
      </c>
      <c r="E137" s="396">
        <v>921127</v>
      </c>
      <c r="F137" s="395">
        <v>4.49</v>
      </c>
      <c r="G137" s="396">
        <v>-205045</v>
      </c>
      <c r="H137" s="396">
        <v>118489</v>
      </c>
      <c r="I137" s="396">
        <v>6423051</v>
      </c>
      <c r="J137" s="395">
        <v>273</v>
      </c>
      <c r="K137" s="395">
        <v>216</v>
      </c>
      <c r="L137" s="397">
        <v>0.79120000000000001</v>
      </c>
      <c r="M137" s="395">
        <v>57</v>
      </c>
      <c r="N137" s="396">
        <v>2623</v>
      </c>
      <c r="O137" s="396">
        <v>4264</v>
      </c>
      <c r="P137" s="395">
        <v>1.19</v>
      </c>
      <c r="Q137" s="396">
        <v>-3597</v>
      </c>
      <c r="R137" s="396">
        <v>17580</v>
      </c>
      <c r="S137" s="396">
        <v>-24296</v>
      </c>
      <c r="T137" s="396">
        <v>935207</v>
      </c>
      <c r="U137" s="396">
        <v>-551291</v>
      </c>
      <c r="V137" s="395">
        <v>3164.81</v>
      </c>
      <c r="W137" s="395">
        <v>2270.41</v>
      </c>
      <c r="X137" s="395">
        <v>77490</v>
      </c>
      <c r="Y137" s="395">
        <v>6554.11</v>
      </c>
      <c r="Z137" s="396">
        <v>1872068</v>
      </c>
      <c r="AA137" s="396">
        <v>716082</v>
      </c>
      <c r="AB137" s="396">
        <v>35840586</v>
      </c>
      <c r="AC137" s="396">
        <v>10207916</v>
      </c>
    </row>
    <row r="138" spans="1:29">
      <c r="A138">
        <v>2065</v>
      </c>
      <c r="B138" s="395" t="s">
        <v>6937</v>
      </c>
      <c r="C138" s="395"/>
      <c r="D138" s="396">
        <v>712551</v>
      </c>
      <c r="E138" s="396">
        <v>750502</v>
      </c>
      <c r="F138" s="395">
        <v>19.78</v>
      </c>
      <c r="G138" s="396">
        <v>-37951</v>
      </c>
      <c r="H138" s="396">
        <v>44751</v>
      </c>
      <c r="I138" s="396">
        <v>4316413</v>
      </c>
      <c r="J138" s="395">
        <v>221</v>
      </c>
      <c r="K138" s="395">
        <v>203</v>
      </c>
      <c r="L138" s="397">
        <v>0.91859999999999997</v>
      </c>
      <c r="M138" s="395">
        <v>18</v>
      </c>
      <c r="N138" s="396">
        <v>3224</v>
      </c>
      <c r="O138" s="396">
        <v>3697</v>
      </c>
      <c r="P138" s="395">
        <v>1.75</v>
      </c>
      <c r="Q138" s="396">
        <v>-2108</v>
      </c>
      <c r="R138" s="396">
        <v>10098</v>
      </c>
      <c r="S138" s="396">
        <v>-8320</v>
      </c>
      <c r="T138" s="396">
        <v>748353</v>
      </c>
      <c r="U138" s="396">
        <v>-168382</v>
      </c>
      <c r="V138" s="395">
        <v>10202.39</v>
      </c>
      <c r="W138" s="395">
        <v>10646.76</v>
      </c>
      <c r="X138" s="395">
        <v>77490</v>
      </c>
      <c r="Y138" s="395">
        <v>5190.9399999999996</v>
      </c>
      <c r="Z138" s="396">
        <v>-2177328</v>
      </c>
      <c r="AA138" s="396">
        <v>712551</v>
      </c>
      <c r="AB138" s="396">
        <v>15170511</v>
      </c>
      <c r="AC138" s="396">
        <v>10207916</v>
      </c>
    </row>
    <row r="139" spans="1:29">
      <c r="A139">
        <v>2059</v>
      </c>
      <c r="B139" s="395" t="s">
        <v>6932</v>
      </c>
      <c r="C139" s="395"/>
      <c r="D139" s="396">
        <v>711539</v>
      </c>
      <c r="E139" s="396">
        <v>2458982</v>
      </c>
      <c r="F139" s="395">
        <v>1.41</v>
      </c>
      <c r="G139" s="396">
        <v>-1747443</v>
      </c>
      <c r="H139" s="396">
        <v>434983</v>
      </c>
      <c r="I139" s="396">
        <v>19081612</v>
      </c>
      <c r="J139" s="395">
        <v>276</v>
      </c>
      <c r="K139" s="395">
        <v>220</v>
      </c>
      <c r="L139" s="397">
        <v>0.79710000000000003</v>
      </c>
      <c r="M139" s="395">
        <v>56</v>
      </c>
      <c r="N139" s="396">
        <v>2578</v>
      </c>
      <c r="O139" s="396">
        <v>11177</v>
      </c>
      <c r="P139" s="395">
        <v>0.36</v>
      </c>
      <c r="Q139" s="396">
        <v>-31204</v>
      </c>
      <c r="R139" s="396">
        <v>31974</v>
      </c>
      <c r="S139" s="396">
        <v>-98882</v>
      </c>
      <c r="T139" s="396">
        <v>2360449</v>
      </c>
      <c r="U139" s="396">
        <v>-2180184</v>
      </c>
      <c r="V139" s="395">
        <v>3112.91</v>
      </c>
      <c r="W139" s="395">
        <v>2099.79</v>
      </c>
      <c r="X139" s="395">
        <v>77490</v>
      </c>
      <c r="Y139" s="395">
        <v>7093.04</v>
      </c>
      <c r="Z139" s="396">
        <v>-191099</v>
      </c>
      <c r="AA139" s="396">
        <v>711539</v>
      </c>
      <c r="AB139" s="396">
        <v>22230224</v>
      </c>
      <c r="AC139" s="396">
        <v>10207916</v>
      </c>
    </row>
    <row r="140" spans="1:29">
      <c r="A140">
        <v>4571</v>
      </c>
      <c r="B140" s="395" t="s">
        <v>7661</v>
      </c>
      <c r="C140" s="395"/>
      <c r="D140" s="396">
        <v>705130</v>
      </c>
      <c r="E140" s="396">
        <v>1152327</v>
      </c>
      <c r="F140" s="395">
        <v>2.58</v>
      </c>
      <c r="G140" s="396">
        <v>-447197</v>
      </c>
      <c r="H140" s="396">
        <v>113774</v>
      </c>
      <c r="I140" s="396">
        <v>5196639</v>
      </c>
      <c r="J140" s="395">
        <v>237</v>
      </c>
      <c r="K140" s="395">
        <v>177</v>
      </c>
      <c r="L140" s="397">
        <v>0.74680000000000002</v>
      </c>
      <c r="M140" s="395">
        <v>60</v>
      </c>
      <c r="N140" s="396">
        <v>2975</v>
      </c>
      <c r="O140" s="396">
        <v>6510</v>
      </c>
      <c r="P140" s="395">
        <v>0.87</v>
      </c>
      <c r="Q140" s="396">
        <v>-7453</v>
      </c>
      <c r="R140" s="396">
        <v>21488</v>
      </c>
      <c r="S140" s="396">
        <v>-29742</v>
      </c>
      <c r="T140" s="396">
        <v>1065953</v>
      </c>
      <c r="U140" s="396">
        <v>-735349</v>
      </c>
      <c r="V140" s="395">
        <v>4064.74</v>
      </c>
      <c r="W140" s="395">
        <v>2842.14</v>
      </c>
      <c r="X140" s="395">
        <v>77490</v>
      </c>
      <c r="Y140" s="395">
        <v>7671.43</v>
      </c>
      <c r="Z140" s="396">
        <v>-10455118</v>
      </c>
      <c r="AA140" s="396">
        <v>705130</v>
      </c>
      <c r="AB140" s="396">
        <v>12667591</v>
      </c>
      <c r="AC140" s="396">
        <v>10207916</v>
      </c>
    </row>
    <row r="141" spans="1:29">
      <c r="A141">
        <v>1301</v>
      </c>
      <c r="B141" s="395" t="s">
        <v>6708</v>
      </c>
      <c r="C141" s="395"/>
      <c r="D141" s="396">
        <v>704912</v>
      </c>
      <c r="E141" s="396">
        <v>800406</v>
      </c>
      <c r="F141" s="395">
        <v>8.3800000000000008</v>
      </c>
      <c r="G141" s="396">
        <v>-95494</v>
      </c>
      <c r="H141" s="396">
        <v>118802</v>
      </c>
      <c r="I141" s="396">
        <v>6291979</v>
      </c>
      <c r="J141" s="395">
        <v>284</v>
      </c>
      <c r="K141" s="395">
        <v>250</v>
      </c>
      <c r="L141" s="397">
        <v>0.88029999999999997</v>
      </c>
      <c r="M141" s="395">
        <v>34</v>
      </c>
      <c r="N141" s="396">
        <v>2482</v>
      </c>
      <c r="O141" s="396">
        <v>3202</v>
      </c>
      <c r="P141" s="395">
        <v>1.1399999999999999</v>
      </c>
      <c r="Q141" s="396">
        <v>-2809</v>
      </c>
      <c r="R141" s="396">
        <v>8710</v>
      </c>
      <c r="S141" s="396">
        <v>-10428</v>
      </c>
      <c r="T141" s="396">
        <v>794316</v>
      </c>
      <c r="U141" s="396">
        <v>-259148</v>
      </c>
      <c r="V141" s="395">
        <v>4445.84</v>
      </c>
      <c r="W141" s="395">
        <v>3915.71</v>
      </c>
      <c r="X141" s="395">
        <v>77490</v>
      </c>
      <c r="Y141" s="395">
        <v>8343.85</v>
      </c>
      <c r="Z141" s="396">
        <v>86482</v>
      </c>
      <c r="AA141" s="396">
        <v>704912</v>
      </c>
      <c r="AB141" s="396">
        <v>7128425</v>
      </c>
      <c r="AC141" s="396">
        <v>10207916</v>
      </c>
    </row>
    <row r="142" spans="1:29">
      <c r="A142">
        <v>6716</v>
      </c>
      <c r="B142" s="395" t="s">
        <v>8194</v>
      </c>
      <c r="C142" s="395"/>
      <c r="D142" s="396">
        <v>701339</v>
      </c>
      <c r="E142" s="396">
        <v>1108818</v>
      </c>
      <c r="F142" s="395">
        <v>2.72</v>
      </c>
      <c r="G142" s="396">
        <v>-407479</v>
      </c>
      <c r="H142" s="396">
        <v>120361</v>
      </c>
      <c r="I142" s="396">
        <v>3629005</v>
      </c>
      <c r="J142" s="395">
        <v>191</v>
      </c>
      <c r="K142" s="395">
        <v>152</v>
      </c>
      <c r="L142" s="397">
        <v>0.79579999999999995</v>
      </c>
      <c r="M142" s="395">
        <v>39</v>
      </c>
      <c r="N142" s="396">
        <v>3672</v>
      </c>
      <c r="O142" s="396">
        <v>7295</v>
      </c>
      <c r="P142" s="395">
        <v>0.7</v>
      </c>
      <c r="Q142" s="396">
        <v>-10448</v>
      </c>
      <c r="R142" s="396">
        <v>33809</v>
      </c>
      <c r="S142" s="396">
        <v>-50361</v>
      </c>
      <c r="T142" s="396">
        <v>1114607</v>
      </c>
      <c r="U142" s="396">
        <v>-521655</v>
      </c>
      <c r="V142" s="395">
        <v>2420.0700000000002</v>
      </c>
      <c r="W142" s="395">
        <v>1729.83</v>
      </c>
      <c r="X142" s="395">
        <v>77490</v>
      </c>
      <c r="Y142" s="395">
        <v>5110.2299999999996</v>
      </c>
      <c r="Z142" s="396">
        <v>-9655968</v>
      </c>
      <c r="AA142" s="396">
        <v>701339</v>
      </c>
      <c r="AB142" s="396">
        <v>67529170</v>
      </c>
      <c r="AC142" s="396">
        <v>10207916</v>
      </c>
    </row>
    <row r="143" spans="1:29">
      <c r="A143">
        <v>5263</v>
      </c>
      <c r="B143" s="395" t="s">
        <v>7783</v>
      </c>
      <c r="C143" s="395"/>
      <c r="D143" s="396">
        <v>693611</v>
      </c>
      <c r="E143" s="396">
        <v>1158603</v>
      </c>
      <c r="F143" s="395">
        <v>2.4900000000000002</v>
      </c>
      <c r="G143" s="396">
        <v>-464992</v>
      </c>
      <c r="H143" s="396">
        <v>137989</v>
      </c>
      <c r="I143" s="396">
        <v>6092655</v>
      </c>
      <c r="J143" s="395">
        <v>274</v>
      </c>
      <c r="K143" s="395">
        <v>206</v>
      </c>
      <c r="L143" s="397">
        <v>0.75180000000000002</v>
      </c>
      <c r="M143" s="395">
        <v>68</v>
      </c>
      <c r="N143" s="396">
        <v>2531</v>
      </c>
      <c r="O143" s="396">
        <v>5624</v>
      </c>
      <c r="P143" s="395">
        <v>0.82</v>
      </c>
      <c r="Q143" s="396">
        <v>-6838</v>
      </c>
      <c r="R143" s="396">
        <v>27029</v>
      </c>
      <c r="S143" s="396">
        <v>-25059</v>
      </c>
      <c r="T143" s="396">
        <v>1167473</v>
      </c>
      <c r="U143" s="396">
        <v>-656781</v>
      </c>
      <c r="V143" s="395">
        <v>3233.02</v>
      </c>
      <c r="W143" s="395">
        <v>2154.2399999999998</v>
      </c>
      <c r="X143" s="395">
        <v>77490</v>
      </c>
      <c r="Y143" s="395">
        <v>6501.09</v>
      </c>
      <c r="Z143" s="396">
        <v>-15393056</v>
      </c>
      <c r="AA143" s="396">
        <v>693611</v>
      </c>
      <c r="AB143" s="396">
        <v>1338767</v>
      </c>
      <c r="AC143" s="396">
        <v>10207916</v>
      </c>
    </row>
    <row r="144" spans="1:29">
      <c r="A144">
        <v>2404</v>
      </c>
      <c r="B144" s="395" t="s">
        <v>7038</v>
      </c>
      <c r="C144" s="395"/>
      <c r="D144" s="396">
        <v>693371</v>
      </c>
      <c r="E144" s="396">
        <v>1736254</v>
      </c>
      <c r="F144" s="395">
        <v>1.66</v>
      </c>
      <c r="G144" s="396">
        <v>-1042883</v>
      </c>
      <c r="H144" s="396">
        <v>229772</v>
      </c>
      <c r="I144" s="396">
        <v>32655415</v>
      </c>
      <c r="J144" s="395">
        <v>277</v>
      </c>
      <c r="K144" s="395">
        <v>194</v>
      </c>
      <c r="L144" s="397">
        <v>0.70040000000000002</v>
      </c>
      <c r="M144" s="395">
        <v>83</v>
      </c>
      <c r="N144" s="396">
        <v>2503</v>
      </c>
      <c r="O144" s="396">
        <v>8950</v>
      </c>
      <c r="P144" s="395">
        <v>0.71</v>
      </c>
      <c r="Q144" s="396">
        <v>-12565</v>
      </c>
      <c r="R144" s="396">
        <v>31595</v>
      </c>
      <c r="S144" s="396">
        <v>-40823</v>
      </c>
      <c r="T144" s="396">
        <v>2888567</v>
      </c>
      <c r="U144" s="396">
        <v>-2667433</v>
      </c>
      <c r="V144" s="395">
        <v>17377.46</v>
      </c>
      <c r="W144" s="395">
        <v>11183.29</v>
      </c>
      <c r="X144" s="395">
        <v>77490</v>
      </c>
      <c r="Y144" s="395">
        <v>31855.4</v>
      </c>
      <c r="Z144" s="396">
        <v>-11842458</v>
      </c>
      <c r="AA144" s="396">
        <v>693371</v>
      </c>
      <c r="AB144" s="396">
        <v>-3395534</v>
      </c>
      <c r="AC144" s="396">
        <v>10207916</v>
      </c>
    </row>
    <row r="145" spans="1:29">
      <c r="A145">
        <v>2609</v>
      </c>
      <c r="B145" s="395" t="s">
        <v>7144</v>
      </c>
      <c r="C145" s="395"/>
      <c r="D145" s="396">
        <v>693224</v>
      </c>
      <c r="E145" s="396">
        <v>1163644</v>
      </c>
      <c r="F145" s="395">
        <v>2.4700000000000002</v>
      </c>
      <c r="G145" s="396">
        <v>-470420</v>
      </c>
      <c r="H145" s="396">
        <v>112276</v>
      </c>
      <c r="I145" s="396">
        <v>4524880</v>
      </c>
      <c r="J145" s="395">
        <v>282</v>
      </c>
      <c r="K145" s="395">
        <v>225</v>
      </c>
      <c r="L145" s="397">
        <v>0.79790000000000005</v>
      </c>
      <c r="M145" s="395">
        <v>57</v>
      </c>
      <c r="N145" s="396">
        <v>2458</v>
      </c>
      <c r="O145" s="396">
        <v>5172</v>
      </c>
      <c r="P145" s="395">
        <v>0.63</v>
      </c>
      <c r="Q145" s="396">
        <v>-8253</v>
      </c>
      <c r="R145" s="396">
        <v>26488</v>
      </c>
      <c r="S145" s="396">
        <v>-52169</v>
      </c>
      <c r="T145" s="396">
        <v>878384</v>
      </c>
      <c r="U145" s="396">
        <v>-714736</v>
      </c>
      <c r="V145" s="395">
        <v>2192.88</v>
      </c>
      <c r="W145" s="395">
        <v>1282.8399999999999</v>
      </c>
      <c r="X145" s="395">
        <v>77490</v>
      </c>
      <c r="Y145" s="395">
        <v>5785.12</v>
      </c>
      <c r="Z145" s="396">
        <v>14691813</v>
      </c>
      <c r="AA145" s="396">
        <v>693224</v>
      </c>
      <c r="AB145" s="396">
        <v>165267101</v>
      </c>
      <c r="AC145" s="396">
        <v>10207916</v>
      </c>
    </row>
    <row r="146" spans="1:29">
      <c r="A146">
        <v>8478</v>
      </c>
      <c r="B146" s="395" t="s">
        <v>8360</v>
      </c>
      <c r="C146" s="395"/>
      <c r="D146" s="396">
        <v>690303</v>
      </c>
      <c r="E146" s="396">
        <v>889593</v>
      </c>
      <c r="F146" s="395">
        <v>4.46</v>
      </c>
      <c r="G146" s="396">
        <v>-199290</v>
      </c>
      <c r="H146" s="396">
        <v>93034</v>
      </c>
      <c r="I146" s="396">
        <v>4576839</v>
      </c>
      <c r="J146" s="395">
        <v>269</v>
      </c>
      <c r="K146" s="395">
        <v>233</v>
      </c>
      <c r="L146" s="397">
        <v>0.86619999999999997</v>
      </c>
      <c r="M146" s="395">
        <v>36</v>
      </c>
      <c r="N146" s="396">
        <v>2566</v>
      </c>
      <c r="O146" s="396">
        <v>3818</v>
      </c>
      <c r="P146" s="395">
        <v>0.69</v>
      </c>
      <c r="Q146" s="396">
        <v>-5536</v>
      </c>
      <c r="R146" s="396">
        <v>25955</v>
      </c>
      <c r="S146" s="396">
        <v>-23644</v>
      </c>
      <c r="T146" s="396">
        <v>847398</v>
      </c>
      <c r="U146" s="396">
        <v>-560259</v>
      </c>
      <c r="V146" s="395">
        <v>2103.39</v>
      </c>
      <c r="W146" s="395">
        <v>1554.69</v>
      </c>
      <c r="X146" s="395">
        <v>77490</v>
      </c>
      <c r="Y146" s="395">
        <v>5654.72</v>
      </c>
      <c r="Z146" s="396">
        <v>15590470</v>
      </c>
      <c r="AA146" s="396">
        <v>690303</v>
      </c>
      <c r="AB146" s="396">
        <v>81644767</v>
      </c>
      <c r="AC146" s="396">
        <v>10207916</v>
      </c>
    </row>
    <row r="147" spans="1:29">
      <c r="A147">
        <v>5386</v>
      </c>
      <c r="B147" s="395" t="s">
        <v>7822</v>
      </c>
      <c r="C147" s="395"/>
      <c r="D147" s="396">
        <v>688267</v>
      </c>
      <c r="E147" s="396">
        <v>1070185</v>
      </c>
      <c r="F147" s="395">
        <v>2.8</v>
      </c>
      <c r="G147" s="396">
        <v>-381918</v>
      </c>
      <c r="H147" s="396">
        <v>55221</v>
      </c>
      <c r="I147" s="396">
        <v>5722765</v>
      </c>
      <c r="J147" s="395">
        <v>249</v>
      </c>
      <c r="K147" s="395">
        <v>203</v>
      </c>
      <c r="L147" s="397">
        <v>0.81530000000000002</v>
      </c>
      <c r="M147" s="395">
        <v>46</v>
      </c>
      <c r="N147" s="396">
        <v>2764</v>
      </c>
      <c r="O147" s="396">
        <v>5272</v>
      </c>
      <c r="P147" s="395">
        <v>0.63</v>
      </c>
      <c r="Q147" s="396">
        <v>-8303</v>
      </c>
      <c r="R147" s="396">
        <v>16842</v>
      </c>
      <c r="S147" s="396">
        <v>-29737</v>
      </c>
      <c r="T147" s="396">
        <v>2083605</v>
      </c>
      <c r="U147" s="396">
        <v>-1565873</v>
      </c>
      <c r="V147" s="395">
        <v>9737.41</v>
      </c>
      <c r="W147" s="395">
        <v>7730.61</v>
      </c>
      <c r="X147" s="395">
        <v>77490</v>
      </c>
      <c r="Y147" s="395">
        <v>18593.54</v>
      </c>
      <c r="Z147" s="396">
        <v>-23998458</v>
      </c>
      <c r="AA147" s="396">
        <v>688267</v>
      </c>
      <c r="AB147" s="396">
        <v>-24539801</v>
      </c>
      <c r="AC147" s="396">
        <v>10207916</v>
      </c>
    </row>
    <row r="148" spans="1:29">
      <c r="A148">
        <v>6202</v>
      </c>
      <c r="B148" s="395" t="s">
        <v>7989</v>
      </c>
      <c r="C148" s="395"/>
      <c r="D148" s="396">
        <v>684771</v>
      </c>
      <c r="E148" s="396">
        <v>807304</v>
      </c>
      <c r="F148" s="395">
        <v>6.59</v>
      </c>
      <c r="G148" s="396">
        <v>-122533</v>
      </c>
      <c r="H148" s="396">
        <v>118029</v>
      </c>
      <c r="I148" s="396">
        <v>3031793</v>
      </c>
      <c r="J148" s="395">
        <v>280</v>
      </c>
      <c r="K148" s="395">
        <v>235</v>
      </c>
      <c r="L148" s="397">
        <v>0.83930000000000005</v>
      </c>
      <c r="M148" s="395">
        <v>45</v>
      </c>
      <c r="N148" s="396">
        <v>2446</v>
      </c>
      <c r="O148" s="396">
        <v>3435</v>
      </c>
      <c r="P148" s="395">
        <v>1.26</v>
      </c>
      <c r="Q148" s="396">
        <v>-2723</v>
      </c>
      <c r="R148" s="396">
        <v>14043</v>
      </c>
      <c r="S148" s="396">
        <v>-14999</v>
      </c>
      <c r="T148" s="396">
        <v>702183</v>
      </c>
      <c r="U148" s="396">
        <v>-314768</v>
      </c>
      <c r="V148" s="395">
        <v>1818.5</v>
      </c>
      <c r="W148" s="395">
        <v>1435.29</v>
      </c>
      <c r="X148" s="395">
        <v>77490</v>
      </c>
      <c r="Y148" s="395">
        <v>3819.73</v>
      </c>
      <c r="Z148" s="396">
        <v>8959430</v>
      </c>
      <c r="AA148" s="396">
        <v>684771</v>
      </c>
      <c r="AB148" s="396">
        <v>32019067</v>
      </c>
      <c r="AC148" s="396">
        <v>10207916</v>
      </c>
    </row>
    <row r="149" spans="1:29">
      <c r="A149">
        <v>4576</v>
      </c>
      <c r="B149" s="395" t="s">
        <v>7663</v>
      </c>
      <c r="C149" s="395"/>
      <c r="D149" s="396">
        <v>682708</v>
      </c>
      <c r="E149" s="396">
        <v>1131249</v>
      </c>
      <c r="F149" s="395">
        <v>2.52</v>
      </c>
      <c r="G149" s="396">
        <v>-448541</v>
      </c>
      <c r="H149" s="396">
        <v>125628</v>
      </c>
      <c r="I149" s="396">
        <v>6470277</v>
      </c>
      <c r="J149" s="395">
        <v>259</v>
      </c>
      <c r="K149" s="395">
        <v>208</v>
      </c>
      <c r="L149" s="397">
        <v>0.80310000000000004</v>
      </c>
      <c r="M149" s="395">
        <v>51</v>
      </c>
      <c r="N149" s="396">
        <v>2636</v>
      </c>
      <c r="O149" s="396">
        <v>5439</v>
      </c>
      <c r="P149" s="395">
        <v>0.62</v>
      </c>
      <c r="Q149" s="396">
        <v>-8795</v>
      </c>
      <c r="R149" s="396">
        <v>26017</v>
      </c>
      <c r="S149" s="396">
        <v>-30596</v>
      </c>
      <c r="T149" s="396">
        <v>1420755</v>
      </c>
      <c r="U149" s="396">
        <v>-902805</v>
      </c>
      <c r="V149" s="395">
        <v>4192.8</v>
      </c>
      <c r="W149" s="395">
        <v>2897.77</v>
      </c>
      <c r="X149" s="395">
        <v>77490</v>
      </c>
      <c r="Y149" s="395">
        <v>9474.4699999999993</v>
      </c>
      <c r="Z149" s="396">
        <v>-11345897</v>
      </c>
      <c r="AA149" s="396">
        <v>682708</v>
      </c>
      <c r="AB149" s="396">
        <v>9484458</v>
      </c>
      <c r="AC149" s="396">
        <v>10207916</v>
      </c>
    </row>
    <row r="150" spans="1:29">
      <c r="A150">
        <v>5609</v>
      </c>
      <c r="B150" s="395" t="s">
        <v>7883</v>
      </c>
      <c r="C150" s="395"/>
      <c r="D150" s="396">
        <v>681419</v>
      </c>
      <c r="E150" s="396">
        <v>903903</v>
      </c>
      <c r="F150" s="395">
        <v>4.0599999999999996</v>
      </c>
      <c r="G150" s="396">
        <v>-222484</v>
      </c>
      <c r="H150" s="396">
        <v>100138</v>
      </c>
      <c r="I150" s="396">
        <v>4539892</v>
      </c>
      <c r="J150" s="395">
        <v>260</v>
      </c>
      <c r="K150" s="395">
        <v>213</v>
      </c>
      <c r="L150" s="397">
        <v>0.81920000000000004</v>
      </c>
      <c r="M150" s="395">
        <v>47</v>
      </c>
      <c r="N150" s="396">
        <v>2621</v>
      </c>
      <c r="O150" s="396">
        <v>4244</v>
      </c>
      <c r="P150" s="395">
        <v>0.9</v>
      </c>
      <c r="Q150" s="396">
        <v>-4734</v>
      </c>
      <c r="R150" s="396">
        <v>16329</v>
      </c>
      <c r="S150" s="396">
        <v>-14997</v>
      </c>
      <c r="T150" s="396">
        <v>902242</v>
      </c>
      <c r="U150" s="396">
        <v>-548611</v>
      </c>
      <c r="V150" s="395">
        <v>2580.5100000000002</v>
      </c>
      <c r="W150" s="395">
        <v>1508.5</v>
      </c>
      <c r="X150" s="395">
        <v>77490</v>
      </c>
      <c r="Y150" s="395">
        <v>7438.77</v>
      </c>
      <c r="Z150" s="396">
        <v>5763159</v>
      </c>
      <c r="AA150" s="396">
        <v>681419</v>
      </c>
      <c r="AB150" s="396">
        <v>37322131</v>
      </c>
      <c r="AC150" s="396">
        <v>10207916</v>
      </c>
    </row>
    <row r="151" spans="1:29">
      <c r="A151">
        <v>6516</v>
      </c>
      <c r="B151" s="395" t="s">
        <v>8113</v>
      </c>
      <c r="C151" s="395"/>
      <c r="D151" s="396">
        <v>680155</v>
      </c>
      <c r="E151" s="396">
        <v>1079943</v>
      </c>
      <c r="F151" s="395">
        <v>2.7</v>
      </c>
      <c r="G151" s="396">
        <v>-399788</v>
      </c>
      <c r="H151" s="396">
        <v>101545</v>
      </c>
      <c r="I151" s="396">
        <v>5114008</v>
      </c>
      <c r="J151" s="395">
        <v>234</v>
      </c>
      <c r="K151" s="395">
        <v>157</v>
      </c>
      <c r="L151" s="397">
        <v>0.67090000000000005</v>
      </c>
      <c r="M151" s="395">
        <v>77</v>
      </c>
      <c r="N151" s="396">
        <v>2907</v>
      </c>
      <c r="O151" s="396">
        <v>6879</v>
      </c>
      <c r="P151" s="395">
        <v>1.32</v>
      </c>
      <c r="Q151" s="396">
        <v>-5192</v>
      </c>
      <c r="R151" s="396">
        <v>24883</v>
      </c>
      <c r="S151" s="396">
        <v>-37538</v>
      </c>
      <c r="T151" s="396">
        <v>1340498</v>
      </c>
      <c r="U151" s="396">
        <v>-694287</v>
      </c>
      <c r="V151" s="395">
        <v>3763.97</v>
      </c>
      <c r="W151" s="395">
        <v>2207.6</v>
      </c>
      <c r="X151" s="395">
        <v>77490</v>
      </c>
      <c r="Y151" s="395">
        <v>6937.34</v>
      </c>
      <c r="Z151" s="396">
        <v>-4340656</v>
      </c>
      <c r="AA151" s="396">
        <v>680155</v>
      </c>
      <c r="AB151" s="396">
        <v>13596253</v>
      </c>
      <c r="AC151" s="396">
        <v>10207916</v>
      </c>
    </row>
    <row r="152" spans="1:29">
      <c r="A152">
        <v>6589</v>
      </c>
      <c r="B152" s="395" t="s">
        <v>8144</v>
      </c>
      <c r="C152" s="395"/>
      <c r="D152" s="396">
        <v>674305</v>
      </c>
      <c r="E152" s="396">
        <v>906552</v>
      </c>
      <c r="F152" s="395">
        <v>3.9</v>
      </c>
      <c r="G152" s="396">
        <v>-232247</v>
      </c>
      <c r="H152" s="396">
        <v>104595</v>
      </c>
      <c r="I152" s="396">
        <v>2483632</v>
      </c>
      <c r="J152" s="395">
        <v>224</v>
      </c>
      <c r="K152" s="395">
        <v>181</v>
      </c>
      <c r="L152" s="397">
        <v>0.80800000000000005</v>
      </c>
      <c r="M152" s="395">
        <v>43</v>
      </c>
      <c r="N152" s="396">
        <v>3010</v>
      </c>
      <c r="O152" s="396">
        <v>5009</v>
      </c>
      <c r="P152" s="395">
        <v>0.93</v>
      </c>
      <c r="Q152" s="396">
        <v>-5401</v>
      </c>
      <c r="R152" s="396">
        <v>29947</v>
      </c>
      <c r="S152" s="396">
        <v>-17147</v>
      </c>
      <c r="T152" s="396">
        <v>837620</v>
      </c>
      <c r="U152" s="396">
        <v>-325058</v>
      </c>
      <c r="V152" s="395">
        <v>1726.58</v>
      </c>
      <c r="W152" s="395">
        <v>1371.41</v>
      </c>
      <c r="X152" s="395">
        <v>77220</v>
      </c>
      <c r="Y152" s="395">
        <v>3221.58</v>
      </c>
      <c r="Z152" s="396">
        <v>21784745</v>
      </c>
      <c r="AA152" s="396">
        <v>674305</v>
      </c>
      <c r="AB152" s="396">
        <v>48744681</v>
      </c>
      <c r="AC152" s="396">
        <v>10207916</v>
      </c>
    </row>
    <row r="153" spans="1:29">
      <c r="A153">
        <v>6426</v>
      </c>
      <c r="B153" s="395" t="s">
        <v>8074</v>
      </c>
      <c r="C153" s="395"/>
      <c r="D153" s="396">
        <v>670543</v>
      </c>
      <c r="E153" s="396">
        <v>1153929</v>
      </c>
      <c r="F153" s="395">
        <v>2.39</v>
      </c>
      <c r="G153" s="396">
        <v>-483386</v>
      </c>
      <c r="H153" s="396">
        <v>77910</v>
      </c>
      <c r="I153" s="396">
        <v>8496758</v>
      </c>
      <c r="J153" s="395">
        <v>236</v>
      </c>
      <c r="K153" s="395">
        <v>167</v>
      </c>
      <c r="L153" s="397">
        <v>0.70760000000000001</v>
      </c>
      <c r="M153" s="395">
        <v>69</v>
      </c>
      <c r="N153" s="396">
        <v>2841</v>
      </c>
      <c r="O153" s="396">
        <v>6910</v>
      </c>
      <c r="P153" s="395">
        <v>0.99</v>
      </c>
      <c r="Q153" s="396">
        <v>-7006</v>
      </c>
      <c r="R153" s="396">
        <v>22841</v>
      </c>
      <c r="S153" s="396">
        <v>-31657</v>
      </c>
      <c r="T153" s="396">
        <v>2639778</v>
      </c>
      <c r="U153" s="396">
        <v>-2071748</v>
      </c>
      <c r="V153" s="395">
        <v>11164.17</v>
      </c>
      <c r="W153" s="395">
        <v>7788.1</v>
      </c>
      <c r="X153" s="395">
        <v>77490</v>
      </c>
      <c r="Y153" s="395">
        <v>19335.23</v>
      </c>
      <c r="Z153" s="396">
        <v>-20699691</v>
      </c>
      <c r="AA153" s="396">
        <v>670543</v>
      </c>
      <c r="AB153" s="396">
        <v>-18729705</v>
      </c>
      <c r="AC153" s="396">
        <v>10207916</v>
      </c>
    </row>
    <row r="154" spans="1:29">
      <c r="A154">
        <v>2015</v>
      </c>
      <c r="B154" s="395" t="s">
        <v>6914</v>
      </c>
      <c r="C154" s="395"/>
      <c r="D154" s="396">
        <v>662820</v>
      </c>
      <c r="E154" s="396">
        <v>734240</v>
      </c>
      <c r="F154" s="395">
        <v>10.28</v>
      </c>
      <c r="G154" s="396">
        <v>-71420</v>
      </c>
      <c r="H154" s="396">
        <v>86735</v>
      </c>
      <c r="I154" s="396">
        <v>3156444</v>
      </c>
      <c r="J154" s="395">
        <v>274</v>
      </c>
      <c r="K154" s="395">
        <v>245</v>
      </c>
      <c r="L154" s="397">
        <v>0.89419999999999999</v>
      </c>
      <c r="M154" s="395">
        <v>29</v>
      </c>
      <c r="N154" s="396">
        <v>2419</v>
      </c>
      <c r="O154" s="396">
        <v>2997</v>
      </c>
      <c r="P154" s="395">
        <v>1.22</v>
      </c>
      <c r="Q154" s="396">
        <v>-2463</v>
      </c>
      <c r="R154" s="396">
        <v>14698</v>
      </c>
      <c r="S154" s="396">
        <v>-7246</v>
      </c>
      <c r="T154" s="396">
        <v>810317</v>
      </c>
      <c r="U154" s="396">
        <v>-251897</v>
      </c>
      <c r="V154" s="395">
        <v>3104.77</v>
      </c>
      <c r="W154" s="395">
        <v>2666.08</v>
      </c>
      <c r="X154" s="395">
        <v>77490</v>
      </c>
      <c r="Y154" s="395">
        <v>6811</v>
      </c>
      <c r="Z154" s="396">
        <v>2845425</v>
      </c>
      <c r="AA154" s="396">
        <v>662820</v>
      </c>
      <c r="AB154" s="396">
        <v>15005997</v>
      </c>
      <c r="AC154" s="396">
        <v>10207916</v>
      </c>
    </row>
    <row r="155" spans="1:29">
      <c r="A155">
        <v>1232</v>
      </c>
      <c r="B155" s="395" t="s">
        <v>6697</v>
      </c>
      <c r="C155" s="395"/>
      <c r="D155" s="396">
        <v>662117</v>
      </c>
      <c r="E155" s="396">
        <v>839637</v>
      </c>
      <c r="F155" s="395">
        <v>4.7300000000000004</v>
      </c>
      <c r="G155" s="396">
        <v>-177520</v>
      </c>
      <c r="H155" s="396">
        <v>148806</v>
      </c>
      <c r="I155" s="396">
        <v>10003610</v>
      </c>
      <c r="J155" s="395">
        <v>237</v>
      </c>
      <c r="K155" s="395">
        <v>176</v>
      </c>
      <c r="L155" s="397">
        <v>0.74260000000000004</v>
      </c>
      <c r="M155" s="395">
        <v>61</v>
      </c>
      <c r="N155" s="396">
        <v>2794</v>
      </c>
      <c r="O155" s="396">
        <v>4771</v>
      </c>
      <c r="P155" s="395">
        <v>1.64</v>
      </c>
      <c r="Q155" s="396">
        <v>-2910</v>
      </c>
      <c r="R155" s="396">
        <v>11702</v>
      </c>
      <c r="S155" s="396">
        <v>-13151</v>
      </c>
      <c r="T155" s="396">
        <v>918701</v>
      </c>
      <c r="U155" s="396">
        <v>-256069</v>
      </c>
      <c r="V155" s="395">
        <v>6823.98</v>
      </c>
      <c r="W155" s="395">
        <v>5347.08</v>
      </c>
      <c r="X155" s="395">
        <v>77490</v>
      </c>
      <c r="Y155" s="395">
        <v>11085.2</v>
      </c>
      <c r="Z155" s="396">
        <v>-1821507</v>
      </c>
      <c r="AA155" s="396">
        <v>662117</v>
      </c>
      <c r="AB155" s="396">
        <v>6810256</v>
      </c>
      <c r="AC155" s="396">
        <v>10207916</v>
      </c>
    </row>
    <row r="156" spans="1:29">
      <c r="A156">
        <v>3707</v>
      </c>
      <c r="B156" s="395" t="s">
        <v>7543</v>
      </c>
      <c r="C156" s="395"/>
      <c r="D156" s="396">
        <v>657187</v>
      </c>
      <c r="E156" s="396">
        <v>970785</v>
      </c>
      <c r="F156" s="395">
        <v>3.1</v>
      </c>
      <c r="G156" s="396">
        <v>-313598</v>
      </c>
      <c r="H156" s="396">
        <v>108963</v>
      </c>
      <c r="I156" s="396">
        <v>4766334</v>
      </c>
      <c r="J156" s="395">
        <v>280</v>
      </c>
      <c r="K156" s="395">
        <v>226</v>
      </c>
      <c r="L156" s="397">
        <v>0.80710000000000004</v>
      </c>
      <c r="M156" s="395">
        <v>54</v>
      </c>
      <c r="N156" s="396">
        <v>2347</v>
      </c>
      <c r="O156" s="396">
        <v>4296</v>
      </c>
      <c r="P156" s="395">
        <v>0.74</v>
      </c>
      <c r="Q156" s="396">
        <v>-5807</v>
      </c>
      <c r="R156" s="396">
        <v>17051</v>
      </c>
      <c r="S156" s="396">
        <v>-27538</v>
      </c>
      <c r="T156" s="396">
        <v>791152</v>
      </c>
      <c r="U156" s="396">
        <v>-634120</v>
      </c>
      <c r="V156" s="395">
        <v>1810.79</v>
      </c>
      <c r="W156" s="395">
        <v>1337.7</v>
      </c>
      <c r="X156" s="395">
        <v>77490</v>
      </c>
      <c r="Y156" s="395">
        <v>3790.72</v>
      </c>
      <c r="Z156" s="396">
        <v>11286640</v>
      </c>
      <c r="AA156" s="396">
        <v>657187</v>
      </c>
      <c r="AB156" s="396">
        <v>95491525</v>
      </c>
      <c r="AC156" s="396">
        <v>10207916</v>
      </c>
    </row>
    <row r="157" spans="1:29">
      <c r="A157">
        <v>2114</v>
      </c>
      <c r="B157" s="395" t="s">
        <v>6951</v>
      </c>
      <c r="C157" s="395"/>
      <c r="D157" s="396">
        <v>652967</v>
      </c>
      <c r="E157" s="396">
        <v>847437</v>
      </c>
      <c r="F157" s="395">
        <v>4.3600000000000003</v>
      </c>
      <c r="G157" s="396">
        <v>-194470</v>
      </c>
      <c r="H157" s="396">
        <v>119567</v>
      </c>
      <c r="I157" s="396">
        <v>4027935</v>
      </c>
      <c r="J157" s="395">
        <v>235</v>
      </c>
      <c r="K157" s="395">
        <v>197</v>
      </c>
      <c r="L157" s="397">
        <v>0.83830000000000005</v>
      </c>
      <c r="M157" s="395">
        <v>38</v>
      </c>
      <c r="N157" s="396">
        <v>2779</v>
      </c>
      <c r="O157" s="396">
        <v>4302</v>
      </c>
      <c r="P157" s="395">
        <v>0.84</v>
      </c>
      <c r="Q157" s="396">
        <v>-5118</v>
      </c>
      <c r="R157" s="396">
        <v>16027</v>
      </c>
      <c r="S157" s="396">
        <v>-17055</v>
      </c>
      <c r="T157" s="396">
        <v>715358</v>
      </c>
      <c r="U157" s="396">
        <v>-382265</v>
      </c>
      <c r="V157" s="395">
        <v>3234.21</v>
      </c>
      <c r="W157" s="395">
        <v>2719.4</v>
      </c>
      <c r="X157" s="395">
        <v>77490</v>
      </c>
      <c r="Y157" s="395">
        <v>5903.08</v>
      </c>
      <c r="Z157" s="396">
        <v>1280273</v>
      </c>
      <c r="AA157" s="396">
        <v>652967</v>
      </c>
      <c r="AB157" s="396">
        <v>33714363</v>
      </c>
      <c r="AC157" s="396">
        <v>10207916</v>
      </c>
    </row>
    <row r="158" spans="1:29">
      <c r="A158">
        <v>6505</v>
      </c>
      <c r="B158" s="395" t="s">
        <v>8105</v>
      </c>
      <c r="C158" s="395"/>
      <c r="D158" s="396">
        <v>652822</v>
      </c>
      <c r="E158" s="396">
        <v>815505</v>
      </c>
      <c r="F158" s="395">
        <v>5.01</v>
      </c>
      <c r="G158" s="396">
        <v>-162683</v>
      </c>
      <c r="H158" s="396">
        <v>114593</v>
      </c>
      <c r="I158" s="396">
        <v>7042187</v>
      </c>
      <c r="J158" s="395">
        <v>284</v>
      </c>
      <c r="K158" s="395">
        <v>235</v>
      </c>
      <c r="L158" s="397">
        <v>0.82750000000000001</v>
      </c>
      <c r="M158" s="395">
        <v>49</v>
      </c>
      <c r="N158" s="396">
        <v>2299</v>
      </c>
      <c r="O158" s="396">
        <v>3470</v>
      </c>
      <c r="P158" s="395">
        <v>1.05</v>
      </c>
      <c r="Q158" s="396">
        <v>-3320</v>
      </c>
      <c r="R158" s="396">
        <v>10025</v>
      </c>
      <c r="S158" s="396">
        <v>-15328</v>
      </c>
      <c r="T158" s="396">
        <v>818182</v>
      </c>
      <c r="U158" s="396">
        <v>-324687</v>
      </c>
      <c r="V158" s="395">
        <v>5191.1099999999997</v>
      </c>
      <c r="W158" s="395">
        <v>4089.29</v>
      </c>
      <c r="X158" s="395">
        <v>77490</v>
      </c>
      <c r="Y158" s="395">
        <v>10475.31</v>
      </c>
      <c r="Z158" s="396">
        <v>-4035286</v>
      </c>
      <c r="AA158" s="396">
        <v>652822</v>
      </c>
      <c r="AB158" s="396">
        <v>-2021745</v>
      </c>
      <c r="AC158" s="396">
        <v>10207916</v>
      </c>
    </row>
    <row r="159" spans="1:29">
      <c r="A159">
        <v>6576</v>
      </c>
      <c r="B159" s="395" t="s">
        <v>8137</v>
      </c>
      <c r="C159" s="395"/>
      <c r="D159" s="396">
        <v>650984</v>
      </c>
      <c r="E159" s="396">
        <v>892615</v>
      </c>
      <c r="F159" s="395">
        <v>3.69</v>
      </c>
      <c r="G159" s="396">
        <v>-241631</v>
      </c>
      <c r="H159" s="396">
        <v>88416</v>
      </c>
      <c r="I159" s="396">
        <v>3353434</v>
      </c>
      <c r="J159" s="395">
        <v>225</v>
      </c>
      <c r="K159" s="395">
        <v>172</v>
      </c>
      <c r="L159" s="397">
        <v>0.76439999999999997</v>
      </c>
      <c r="M159" s="395">
        <v>53</v>
      </c>
      <c r="N159" s="396">
        <v>2893</v>
      </c>
      <c r="O159" s="396">
        <v>5190</v>
      </c>
      <c r="P159" s="395">
        <v>1.1399999999999999</v>
      </c>
      <c r="Q159" s="396">
        <v>-4559</v>
      </c>
      <c r="R159" s="396">
        <v>23528</v>
      </c>
      <c r="S159" s="396">
        <v>-16031</v>
      </c>
      <c r="T159" s="396">
        <v>857618</v>
      </c>
      <c r="U159" s="396">
        <v>-368196</v>
      </c>
      <c r="V159" s="395">
        <v>3548.7</v>
      </c>
      <c r="W159" s="395">
        <v>2490.6799999999998</v>
      </c>
      <c r="X159" s="395">
        <v>77490</v>
      </c>
      <c r="Y159" s="395">
        <v>6982.26</v>
      </c>
      <c r="Z159" s="396">
        <v>-12767317</v>
      </c>
      <c r="AA159" s="396">
        <v>650984</v>
      </c>
      <c r="AB159" s="396">
        <v>15469933</v>
      </c>
      <c r="AC159" s="396">
        <v>10207916</v>
      </c>
    </row>
    <row r="160" spans="1:29">
      <c r="A160">
        <v>4904</v>
      </c>
      <c r="B160" s="395" t="s">
        <v>7702</v>
      </c>
      <c r="C160" s="395"/>
      <c r="D160" s="396">
        <v>646861</v>
      </c>
      <c r="E160" s="396">
        <v>649116</v>
      </c>
      <c r="F160" s="395">
        <v>287.86</v>
      </c>
      <c r="G160" s="396">
        <v>-2255</v>
      </c>
      <c r="H160" s="396">
        <v>74333</v>
      </c>
      <c r="I160" s="396">
        <v>9901982</v>
      </c>
      <c r="J160" s="395">
        <v>287</v>
      </c>
      <c r="K160" s="395">
        <v>280</v>
      </c>
      <c r="L160" s="397">
        <v>0.97560000000000002</v>
      </c>
      <c r="M160" s="395">
        <v>7</v>
      </c>
      <c r="N160" s="396">
        <v>2254</v>
      </c>
      <c r="O160" s="396">
        <v>2318</v>
      </c>
      <c r="P160" s="395">
        <v>7.2</v>
      </c>
      <c r="Q160" s="395">
        <v>-322</v>
      </c>
      <c r="R160" s="396">
        <v>4688</v>
      </c>
      <c r="S160" s="395">
        <v>-551</v>
      </c>
      <c r="T160" s="396">
        <v>723867</v>
      </c>
      <c r="U160" s="396">
        <v>-187848</v>
      </c>
      <c r="V160" s="395">
        <v>13744.4</v>
      </c>
      <c r="W160" s="395">
        <v>14052.31</v>
      </c>
      <c r="X160" s="395">
        <v>77490</v>
      </c>
      <c r="Y160" s="395">
        <v>1427.86</v>
      </c>
      <c r="Z160" s="396">
        <v>11013963</v>
      </c>
      <c r="AA160" s="396">
        <v>646861</v>
      </c>
      <c r="AB160" s="396">
        <v>12670072</v>
      </c>
      <c r="AC160" s="396">
        <v>10207916</v>
      </c>
    </row>
    <row r="161" spans="1:29">
      <c r="A161">
        <v>2408</v>
      </c>
      <c r="B161" s="395" t="s">
        <v>7041</v>
      </c>
      <c r="C161" s="395"/>
      <c r="D161" s="396">
        <v>639518</v>
      </c>
      <c r="E161" s="396">
        <v>1100976</v>
      </c>
      <c r="F161" s="395">
        <v>2.39</v>
      </c>
      <c r="G161" s="396">
        <v>-461458</v>
      </c>
      <c r="H161" s="396">
        <v>90965</v>
      </c>
      <c r="I161" s="396">
        <v>11384593</v>
      </c>
      <c r="J161" s="395">
        <v>285</v>
      </c>
      <c r="K161" s="395">
        <v>206</v>
      </c>
      <c r="L161" s="397">
        <v>0.7228</v>
      </c>
      <c r="M161" s="395">
        <v>79</v>
      </c>
      <c r="N161" s="396">
        <v>2244</v>
      </c>
      <c r="O161" s="396">
        <v>5345</v>
      </c>
      <c r="P161" s="395">
        <v>0.92</v>
      </c>
      <c r="Q161" s="396">
        <v>-5841</v>
      </c>
      <c r="R161" s="396">
        <v>15726</v>
      </c>
      <c r="S161" s="396">
        <v>-27526</v>
      </c>
      <c r="T161" s="396">
        <v>2545754</v>
      </c>
      <c r="U161" s="396">
        <v>-2038961</v>
      </c>
      <c r="V161" s="395">
        <v>12155.88</v>
      </c>
      <c r="W161" s="395">
        <v>7666.97</v>
      </c>
      <c r="X161" s="395">
        <v>77490</v>
      </c>
      <c r="Y161" s="395">
        <v>23861.14</v>
      </c>
      <c r="Z161" s="396">
        <v>-11292191</v>
      </c>
      <c r="AA161" s="396">
        <v>639518</v>
      </c>
      <c r="AB161" s="396">
        <v>-6669333</v>
      </c>
      <c r="AC161" s="396">
        <v>10207916</v>
      </c>
    </row>
    <row r="162" spans="1:29">
      <c r="A162">
        <v>6223</v>
      </c>
      <c r="B162" s="395" t="s">
        <v>8009</v>
      </c>
      <c r="C162" s="395"/>
      <c r="D162" s="396">
        <v>636766</v>
      </c>
      <c r="E162" s="396">
        <v>1092474</v>
      </c>
      <c r="F162" s="395">
        <v>2.4</v>
      </c>
      <c r="G162" s="396">
        <v>-455708</v>
      </c>
      <c r="H162" s="396">
        <v>132123</v>
      </c>
      <c r="I162" s="396">
        <v>3333378</v>
      </c>
      <c r="J162" s="395">
        <v>267</v>
      </c>
      <c r="K162" s="395">
        <v>206</v>
      </c>
      <c r="L162" s="397">
        <v>0.77149999999999996</v>
      </c>
      <c r="M162" s="395">
        <v>61</v>
      </c>
      <c r="N162" s="396">
        <v>2385</v>
      </c>
      <c r="O162" s="396">
        <v>5303</v>
      </c>
      <c r="P162" s="395">
        <v>0.71</v>
      </c>
      <c r="Q162" s="396">
        <v>-7471</v>
      </c>
      <c r="R162" s="396">
        <v>24542</v>
      </c>
      <c r="S162" s="396">
        <v>-27061</v>
      </c>
      <c r="T162" s="396">
        <v>865219</v>
      </c>
      <c r="U162" s="396">
        <v>-447144</v>
      </c>
      <c r="V162" s="395">
        <v>1743.13</v>
      </c>
      <c r="W162" s="395">
        <v>1111.92</v>
      </c>
      <c r="X162" s="395">
        <v>77490</v>
      </c>
      <c r="Y162" s="395">
        <v>3874.75</v>
      </c>
      <c r="Z162" s="396">
        <v>-23961398</v>
      </c>
      <c r="AA162" s="396">
        <v>636766</v>
      </c>
      <c r="AB162" s="396">
        <v>-4343569</v>
      </c>
      <c r="AC162" s="396">
        <v>10207916</v>
      </c>
    </row>
    <row r="163" spans="1:29">
      <c r="A163">
        <v>2233</v>
      </c>
      <c r="B163" s="395" t="s">
        <v>6964</v>
      </c>
      <c r="C163" s="395"/>
      <c r="D163" s="396">
        <v>633372</v>
      </c>
      <c r="E163" s="396">
        <v>895203</v>
      </c>
      <c r="F163" s="395">
        <v>3.42</v>
      </c>
      <c r="G163" s="396">
        <v>-261832</v>
      </c>
      <c r="H163" s="396">
        <v>117937</v>
      </c>
      <c r="I163" s="396">
        <v>7831202</v>
      </c>
      <c r="J163" s="395">
        <v>270</v>
      </c>
      <c r="K163" s="395">
        <v>222</v>
      </c>
      <c r="L163" s="397">
        <v>0.82220000000000004</v>
      </c>
      <c r="M163" s="395">
        <v>48</v>
      </c>
      <c r="N163" s="396">
        <v>2346</v>
      </c>
      <c r="O163" s="396">
        <v>4032</v>
      </c>
      <c r="P163" s="395">
        <v>0.74</v>
      </c>
      <c r="Q163" s="396">
        <v>-5455</v>
      </c>
      <c r="R163" s="396">
        <v>13749</v>
      </c>
      <c r="S163" s="396">
        <v>-16955</v>
      </c>
      <c r="T163" s="396">
        <v>1024184</v>
      </c>
      <c r="U163" s="396">
        <v>-759696</v>
      </c>
      <c r="V163" s="395">
        <v>4572.67</v>
      </c>
      <c r="W163" s="395">
        <v>3218.79</v>
      </c>
      <c r="X163" s="395">
        <v>77490</v>
      </c>
      <c r="Y163" s="395">
        <v>10834.38</v>
      </c>
      <c r="Z163" s="396">
        <v>12238156</v>
      </c>
      <c r="AA163" s="396">
        <v>633372</v>
      </c>
      <c r="AB163" s="396">
        <v>20483449</v>
      </c>
      <c r="AC163" s="396">
        <v>10207916</v>
      </c>
    </row>
    <row r="164" spans="1:29">
      <c r="A164">
        <v>6176</v>
      </c>
      <c r="B164" s="395" t="s">
        <v>7967</v>
      </c>
      <c r="C164" s="395"/>
      <c r="D164" s="396">
        <v>633099</v>
      </c>
      <c r="E164" s="396">
        <v>934101</v>
      </c>
      <c r="F164" s="395">
        <v>3.1</v>
      </c>
      <c r="G164" s="396">
        <v>-301002</v>
      </c>
      <c r="H164" s="396">
        <v>124684</v>
      </c>
      <c r="I164" s="396">
        <v>11625841</v>
      </c>
      <c r="J164" s="395">
        <v>282</v>
      </c>
      <c r="K164" s="395">
        <v>226</v>
      </c>
      <c r="L164" s="397">
        <v>0.8014</v>
      </c>
      <c r="M164" s="395">
        <v>56</v>
      </c>
      <c r="N164" s="396">
        <v>2245</v>
      </c>
      <c r="O164" s="396">
        <v>4133</v>
      </c>
      <c r="P164" s="395">
        <v>0.77</v>
      </c>
      <c r="Q164" s="396">
        <v>-5375</v>
      </c>
      <c r="R164" s="396">
        <v>12317</v>
      </c>
      <c r="S164" s="396">
        <v>-18936</v>
      </c>
      <c r="T164" s="396">
        <v>1181881</v>
      </c>
      <c r="U164" s="396">
        <v>-844935</v>
      </c>
      <c r="V164" s="395">
        <v>8876.02</v>
      </c>
      <c r="W164" s="395">
        <v>7521.14</v>
      </c>
      <c r="X164" s="395">
        <v>77490</v>
      </c>
      <c r="Y164" s="395">
        <v>14343.95</v>
      </c>
      <c r="Z164" s="396">
        <v>-7762592</v>
      </c>
      <c r="AA164" s="396">
        <v>633099</v>
      </c>
      <c r="AB164" s="396">
        <v>-2854552</v>
      </c>
      <c r="AC164" s="396">
        <v>10207916</v>
      </c>
    </row>
    <row r="165" spans="1:29">
      <c r="A165">
        <v>3045</v>
      </c>
      <c r="B165" s="395" t="s">
        <v>7283</v>
      </c>
      <c r="C165" s="395"/>
      <c r="D165" s="396">
        <v>631656</v>
      </c>
      <c r="E165" s="396">
        <v>639673</v>
      </c>
      <c r="F165" s="395">
        <v>79.790000000000006</v>
      </c>
      <c r="G165" s="396">
        <v>-8017</v>
      </c>
      <c r="H165" s="396">
        <v>115723</v>
      </c>
      <c r="I165" s="396">
        <v>11961582</v>
      </c>
      <c r="J165" s="395">
        <v>285</v>
      </c>
      <c r="K165" s="395">
        <v>274</v>
      </c>
      <c r="L165" s="397">
        <v>0.96140000000000003</v>
      </c>
      <c r="M165" s="395">
        <v>11</v>
      </c>
      <c r="N165" s="396">
        <v>2216</v>
      </c>
      <c r="O165" s="396">
        <v>2335</v>
      </c>
      <c r="P165" s="395">
        <v>3.2</v>
      </c>
      <c r="Q165" s="395">
        <v>-729</v>
      </c>
      <c r="R165" s="396">
        <v>6003</v>
      </c>
      <c r="S165" s="396">
        <v>-1897</v>
      </c>
      <c r="T165" s="396">
        <v>688396</v>
      </c>
      <c r="U165" s="396">
        <v>-271988</v>
      </c>
      <c r="V165" s="395">
        <v>10607.83</v>
      </c>
      <c r="W165" s="395">
        <v>10525.12</v>
      </c>
      <c r="X165" s="395">
        <v>77490</v>
      </c>
      <c r="Y165" s="395">
        <v>12667.91</v>
      </c>
      <c r="Z165" s="396">
        <v>2585389</v>
      </c>
      <c r="AA165" s="396">
        <v>631656</v>
      </c>
      <c r="AB165" s="396">
        <v>5861854</v>
      </c>
      <c r="AC165" s="396">
        <v>10207916</v>
      </c>
    </row>
    <row r="166" spans="1:29">
      <c r="A166">
        <v>6245</v>
      </c>
      <c r="B166" s="395" t="s">
        <v>8029</v>
      </c>
      <c r="C166" s="395"/>
      <c r="D166" s="396">
        <v>630605</v>
      </c>
      <c r="E166" s="396">
        <v>811338</v>
      </c>
      <c r="F166" s="395">
        <v>4.49</v>
      </c>
      <c r="G166" s="396">
        <v>-180733</v>
      </c>
      <c r="H166" s="396">
        <v>59813</v>
      </c>
      <c r="I166" s="396">
        <v>8869837</v>
      </c>
      <c r="J166" s="395">
        <v>253</v>
      </c>
      <c r="K166" s="395">
        <v>203</v>
      </c>
      <c r="L166" s="397">
        <v>0.8024</v>
      </c>
      <c r="M166" s="395">
        <v>50</v>
      </c>
      <c r="N166" s="396">
        <v>2493</v>
      </c>
      <c r="O166" s="396">
        <v>3997</v>
      </c>
      <c r="P166" s="395">
        <v>1.1100000000000001</v>
      </c>
      <c r="Q166" s="396">
        <v>-3615</v>
      </c>
      <c r="R166" s="396">
        <v>13148</v>
      </c>
      <c r="S166" s="396">
        <v>-8616</v>
      </c>
      <c r="T166" s="396">
        <v>1776828</v>
      </c>
      <c r="U166" s="396">
        <v>-1203848</v>
      </c>
      <c r="V166" s="395">
        <v>18621.57</v>
      </c>
      <c r="W166" s="395">
        <v>16728.759999999998</v>
      </c>
      <c r="X166" s="395">
        <v>77490</v>
      </c>
      <c r="Y166" s="395">
        <v>26306.400000000001</v>
      </c>
      <c r="Z166" s="396">
        <v>-11645926</v>
      </c>
      <c r="AA166" s="396">
        <v>630605</v>
      </c>
      <c r="AB166" s="396">
        <v>-8836312</v>
      </c>
      <c r="AC166" s="396">
        <v>10207916</v>
      </c>
    </row>
    <row r="167" spans="1:29">
      <c r="A167">
        <v>5285</v>
      </c>
      <c r="B167" s="395" t="s">
        <v>7792</v>
      </c>
      <c r="C167" s="395"/>
      <c r="D167" s="396">
        <v>628948</v>
      </c>
      <c r="E167" s="396">
        <v>872352</v>
      </c>
      <c r="F167" s="395">
        <v>3.58</v>
      </c>
      <c r="G167" s="396">
        <v>-243404</v>
      </c>
      <c r="H167" s="396">
        <v>102637</v>
      </c>
      <c r="I167" s="396">
        <v>2721469</v>
      </c>
      <c r="J167" s="395">
        <v>266</v>
      </c>
      <c r="K167" s="395">
        <v>224</v>
      </c>
      <c r="L167" s="397">
        <v>0.84209999999999996</v>
      </c>
      <c r="M167" s="395">
        <v>42</v>
      </c>
      <c r="N167" s="396">
        <v>2364</v>
      </c>
      <c r="O167" s="396">
        <v>3894</v>
      </c>
      <c r="P167" s="395">
        <v>0.67</v>
      </c>
      <c r="Q167" s="396">
        <v>-5795</v>
      </c>
      <c r="R167" s="396">
        <v>19111</v>
      </c>
      <c r="S167" s="396">
        <v>-23474</v>
      </c>
      <c r="T167" s="396">
        <v>739544</v>
      </c>
      <c r="U167" s="396">
        <v>-444052</v>
      </c>
      <c r="V167" s="395">
        <v>1708.49</v>
      </c>
      <c r="W167" s="395">
        <v>1274.72</v>
      </c>
      <c r="X167" s="395">
        <v>77490</v>
      </c>
      <c r="Y167" s="395">
        <v>4021.95</v>
      </c>
      <c r="Z167" s="396">
        <v>-515968</v>
      </c>
      <c r="AA167" s="396">
        <v>628948</v>
      </c>
      <c r="AB167" s="396">
        <v>11695022</v>
      </c>
      <c r="AC167" s="396">
        <v>10207916</v>
      </c>
    </row>
    <row r="168" spans="1:29">
      <c r="A168">
        <v>9958</v>
      </c>
      <c r="B168" s="395" t="s">
        <v>8430</v>
      </c>
      <c r="C168" s="395"/>
      <c r="D168" s="396">
        <v>621914</v>
      </c>
      <c r="E168" s="396">
        <v>878353</v>
      </c>
      <c r="F168" s="395">
        <v>3.43</v>
      </c>
      <c r="G168" s="396">
        <v>-256439</v>
      </c>
      <c r="H168" s="396">
        <v>128666</v>
      </c>
      <c r="I168" s="396">
        <v>5060396</v>
      </c>
      <c r="J168" s="395">
        <v>280</v>
      </c>
      <c r="K168" s="395">
        <v>219</v>
      </c>
      <c r="L168" s="397">
        <v>0.78210000000000002</v>
      </c>
      <c r="M168" s="395">
        <v>61</v>
      </c>
      <c r="N168" s="396">
        <v>2221</v>
      </c>
      <c r="O168" s="396">
        <v>4011</v>
      </c>
      <c r="P168" s="395">
        <v>0.95</v>
      </c>
      <c r="Q168" s="396">
        <v>-4204</v>
      </c>
      <c r="R168" s="396">
        <v>15065</v>
      </c>
      <c r="S168" s="396">
        <v>-12454</v>
      </c>
      <c r="T168" s="396">
        <v>912300</v>
      </c>
      <c r="U168" s="396">
        <v>-464232</v>
      </c>
      <c r="V168" s="395">
        <v>2802.05</v>
      </c>
      <c r="W168" s="395">
        <v>1903.08</v>
      </c>
      <c r="X168" s="395">
        <v>77490</v>
      </c>
      <c r="Y168" s="395">
        <v>6029.51</v>
      </c>
      <c r="Z168" s="396">
        <v>2186101</v>
      </c>
      <c r="AA168" s="396">
        <v>621914</v>
      </c>
      <c r="AB168" s="396">
        <v>1173356</v>
      </c>
      <c r="AC168" s="396">
        <v>10207916</v>
      </c>
    </row>
    <row r="169" spans="1:29">
      <c r="A169">
        <v>4174</v>
      </c>
      <c r="B169" s="395" t="s">
        <v>7593</v>
      </c>
      <c r="C169" s="395"/>
      <c r="D169" s="396">
        <v>615450</v>
      </c>
      <c r="E169" s="396">
        <v>843861</v>
      </c>
      <c r="F169" s="395">
        <v>3.69</v>
      </c>
      <c r="G169" s="396">
        <v>-228411</v>
      </c>
      <c r="H169" s="396">
        <v>109850</v>
      </c>
      <c r="I169" s="396">
        <v>5191423</v>
      </c>
      <c r="J169" s="395">
        <v>232</v>
      </c>
      <c r="K169" s="395">
        <v>181</v>
      </c>
      <c r="L169" s="397">
        <v>0.7802</v>
      </c>
      <c r="M169" s="395">
        <v>51</v>
      </c>
      <c r="N169" s="396">
        <v>2653</v>
      </c>
      <c r="O169" s="396">
        <v>4662</v>
      </c>
      <c r="P169" s="395">
        <v>1.04</v>
      </c>
      <c r="Q169" s="396">
        <v>-4479</v>
      </c>
      <c r="R169" s="396">
        <v>17085</v>
      </c>
      <c r="S169" s="396">
        <v>-16023</v>
      </c>
      <c r="T169" s="396">
        <v>1094822</v>
      </c>
      <c r="U169" s="396">
        <v>-692258</v>
      </c>
      <c r="V169" s="395">
        <v>3083.87</v>
      </c>
      <c r="W169" s="395">
        <v>1912.59</v>
      </c>
      <c r="X169" s="395">
        <v>77490</v>
      </c>
      <c r="Y169" s="395">
        <v>7240.75</v>
      </c>
      <c r="Z169" s="396">
        <v>-6922575</v>
      </c>
      <c r="AA169" s="396">
        <v>615450</v>
      </c>
      <c r="AB169" s="396">
        <v>-11508273</v>
      </c>
      <c r="AC169" s="396">
        <v>10207916</v>
      </c>
    </row>
    <row r="170" spans="1:29">
      <c r="A170">
        <v>1325</v>
      </c>
      <c r="B170" s="395" t="s">
        <v>6725</v>
      </c>
      <c r="C170" s="395"/>
      <c r="D170" s="396">
        <v>614186</v>
      </c>
      <c r="E170" s="396">
        <v>880818</v>
      </c>
      <c r="F170" s="395">
        <v>3.3</v>
      </c>
      <c r="G170" s="396">
        <v>-266632</v>
      </c>
      <c r="H170" s="396">
        <v>73447</v>
      </c>
      <c r="I170" s="396">
        <v>2360188</v>
      </c>
      <c r="J170" s="395">
        <v>271</v>
      </c>
      <c r="K170" s="395">
        <v>204</v>
      </c>
      <c r="L170" s="397">
        <v>0.75280000000000002</v>
      </c>
      <c r="M170" s="395">
        <v>67</v>
      </c>
      <c r="N170" s="396">
        <v>2266</v>
      </c>
      <c r="O170" s="396">
        <v>4318</v>
      </c>
      <c r="P170" s="395">
        <v>1.08</v>
      </c>
      <c r="Q170" s="396">
        <v>-3980</v>
      </c>
      <c r="R170" s="396">
        <v>13377</v>
      </c>
      <c r="S170" s="396">
        <v>-20300</v>
      </c>
      <c r="T170" s="396">
        <v>873226</v>
      </c>
      <c r="U170" s="396">
        <v>-468415</v>
      </c>
      <c r="V170" s="395">
        <v>3281.7</v>
      </c>
      <c r="W170" s="395">
        <v>2352.31</v>
      </c>
      <c r="X170" s="395">
        <v>77490</v>
      </c>
      <c r="Y170" s="395">
        <v>6111.49</v>
      </c>
      <c r="Z170" s="396">
        <v>-20487057</v>
      </c>
      <c r="AA170" s="396">
        <v>614186</v>
      </c>
      <c r="AB170" s="396">
        <v>-25068758</v>
      </c>
      <c r="AC170" s="396">
        <v>10207916</v>
      </c>
    </row>
    <row r="171" spans="1:29">
      <c r="A171">
        <v>3588</v>
      </c>
      <c r="B171" s="395" t="s">
        <v>7490</v>
      </c>
      <c r="C171" s="395"/>
      <c r="D171" s="396">
        <v>612962</v>
      </c>
      <c r="E171" s="396">
        <v>905684</v>
      </c>
      <c r="F171" s="395">
        <v>3.09</v>
      </c>
      <c r="G171" s="396">
        <v>-292722</v>
      </c>
      <c r="H171" s="396">
        <v>120438</v>
      </c>
      <c r="I171" s="396">
        <v>2191963</v>
      </c>
      <c r="J171" s="395">
        <v>273</v>
      </c>
      <c r="K171" s="395">
        <v>222</v>
      </c>
      <c r="L171" s="397">
        <v>0.81320000000000003</v>
      </c>
      <c r="M171" s="395">
        <v>51</v>
      </c>
      <c r="N171" s="396">
        <v>2245</v>
      </c>
      <c r="O171" s="396">
        <v>4080</v>
      </c>
      <c r="P171" s="395">
        <v>0.71</v>
      </c>
      <c r="Q171" s="396">
        <v>-5740</v>
      </c>
      <c r="R171" s="396">
        <v>17039</v>
      </c>
      <c r="S171" s="396">
        <v>-16566</v>
      </c>
      <c r="T171" s="396">
        <v>748702</v>
      </c>
      <c r="U171" s="396">
        <v>-206238</v>
      </c>
      <c r="V171" s="395">
        <v>1257.3699999999999</v>
      </c>
      <c r="W171" s="395">
        <v>878.19</v>
      </c>
      <c r="X171" s="395">
        <v>77490</v>
      </c>
      <c r="Y171" s="395">
        <v>2907.92</v>
      </c>
      <c r="Z171" s="396">
        <v>5750377</v>
      </c>
      <c r="AA171" s="396">
        <v>612962</v>
      </c>
      <c r="AB171" s="396">
        <v>53932670</v>
      </c>
      <c r="AC171" s="396">
        <v>10207916</v>
      </c>
    </row>
    <row r="172" spans="1:29">
      <c r="A172">
        <v>3086</v>
      </c>
      <c r="B172" s="395" t="s">
        <v>7308</v>
      </c>
      <c r="C172" s="395"/>
      <c r="D172" s="396">
        <v>608847</v>
      </c>
      <c r="E172" s="396">
        <v>854912</v>
      </c>
      <c r="F172" s="395">
        <v>3.47</v>
      </c>
      <c r="G172" s="396">
        <v>-246065</v>
      </c>
      <c r="H172" s="396">
        <v>86153</v>
      </c>
      <c r="I172" s="396">
        <v>2019744</v>
      </c>
      <c r="J172" s="395">
        <v>181</v>
      </c>
      <c r="K172" s="395">
        <v>134</v>
      </c>
      <c r="L172" s="397">
        <v>0.74029999999999996</v>
      </c>
      <c r="M172" s="395">
        <v>47</v>
      </c>
      <c r="N172" s="396">
        <v>3364</v>
      </c>
      <c r="O172" s="396">
        <v>6380</v>
      </c>
      <c r="P172" s="395">
        <v>1.22</v>
      </c>
      <c r="Q172" s="396">
        <v>-5235</v>
      </c>
      <c r="R172" s="396">
        <v>31161</v>
      </c>
      <c r="S172" s="396">
        <v>-41083</v>
      </c>
      <c r="T172" s="396">
        <v>989265</v>
      </c>
      <c r="U172" s="396">
        <v>-435687</v>
      </c>
      <c r="V172" s="395">
        <v>1574.75</v>
      </c>
      <c r="W172" s="395">
        <v>1058.1199999999999</v>
      </c>
      <c r="X172" s="395">
        <v>75600</v>
      </c>
      <c r="Y172" s="395">
        <v>3047.7</v>
      </c>
      <c r="Z172" s="396">
        <v>-4532300</v>
      </c>
      <c r="AA172" s="396">
        <v>608847</v>
      </c>
      <c r="AB172" s="396">
        <v>52279483</v>
      </c>
      <c r="AC172" s="396">
        <v>10207916</v>
      </c>
    </row>
    <row r="173" spans="1:29">
      <c r="A173">
        <v>2732</v>
      </c>
      <c r="B173" s="395" t="s">
        <v>7180</v>
      </c>
      <c r="C173" s="395"/>
      <c r="D173" s="396">
        <v>606229</v>
      </c>
      <c r="E173" s="396">
        <v>1004039</v>
      </c>
      <c r="F173" s="395">
        <v>2.52</v>
      </c>
      <c r="G173" s="396">
        <v>-397810</v>
      </c>
      <c r="H173" s="396">
        <v>104126</v>
      </c>
      <c r="I173" s="396">
        <v>6945257</v>
      </c>
      <c r="J173" s="395">
        <v>233</v>
      </c>
      <c r="K173" s="395">
        <v>170</v>
      </c>
      <c r="L173" s="397">
        <v>0.72960000000000003</v>
      </c>
      <c r="M173" s="395">
        <v>63</v>
      </c>
      <c r="N173" s="396">
        <v>2602</v>
      </c>
      <c r="O173" s="396">
        <v>5906</v>
      </c>
      <c r="P173" s="395">
        <v>0.94</v>
      </c>
      <c r="Q173" s="396">
        <v>-6314</v>
      </c>
      <c r="R173" s="396">
        <v>23652</v>
      </c>
      <c r="S173" s="396">
        <v>-24049</v>
      </c>
      <c r="T173" s="396">
        <v>1172315</v>
      </c>
      <c r="U173" s="396">
        <v>-740564</v>
      </c>
      <c r="V173" s="395">
        <v>7162.97</v>
      </c>
      <c r="W173" s="395">
        <v>4154.1899999999996</v>
      </c>
      <c r="X173" s="395">
        <v>77490</v>
      </c>
      <c r="Y173" s="395">
        <v>15281.9</v>
      </c>
      <c r="Z173" s="396">
        <v>-12230337</v>
      </c>
      <c r="AA173" s="396">
        <v>606229</v>
      </c>
      <c r="AB173" s="396">
        <v>-4076737</v>
      </c>
      <c r="AC173" s="396">
        <v>10207916</v>
      </c>
    </row>
    <row r="174" spans="1:29">
      <c r="A174">
        <v>2317</v>
      </c>
      <c r="B174" s="395" t="s">
        <v>6981</v>
      </c>
      <c r="C174" s="395"/>
      <c r="D174" s="396">
        <v>600660</v>
      </c>
      <c r="E174" s="396">
        <v>842073</v>
      </c>
      <c r="F174" s="395">
        <v>3.49</v>
      </c>
      <c r="G174" s="396">
        <v>-241413</v>
      </c>
      <c r="H174" s="396">
        <v>126004</v>
      </c>
      <c r="I174" s="396">
        <v>8734900</v>
      </c>
      <c r="J174" s="395">
        <v>282</v>
      </c>
      <c r="K174" s="395">
        <v>214</v>
      </c>
      <c r="L174" s="397">
        <v>0.75890000000000002</v>
      </c>
      <c r="M174" s="395">
        <v>68</v>
      </c>
      <c r="N174" s="396">
        <v>2130</v>
      </c>
      <c r="O174" s="396">
        <v>3935</v>
      </c>
      <c r="P174" s="395">
        <v>1.1100000000000001</v>
      </c>
      <c r="Q174" s="396">
        <v>-3550</v>
      </c>
      <c r="R174" s="396">
        <v>18564</v>
      </c>
      <c r="S174" s="396">
        <v>-15003</v>
      </c>
      <c r="T174" s="396">
        <v>1331788</v>
      </c>
      <c r="U174" s="396">
        <v>-750303</v>
      </c>
      <c r="V174" s="395">
        <v>6435.91</v>
      </c>
      <c r="W174" s="395">
        <v>5313.99</v>
      </c>
      <c r="X174" s="395">
        <v>77490</v>
      </c>
      <c r="Y174" s="395">
        <v>9966.68</v>
      </c>
      <c r="Z174" s="396">
        <v>-8943490</v>
      </c>
      <c r="AA174" s="396">
        <v>600660</v>
      </c>
      <c r="AB174" s="396">
        <v>6680301</v>
      </c>
      <c r="AC174" s="396">
        <v>10207916</v>
      </c>
    </row>
    <row r="175" spans="1:29">
      <c r="A175">
        <v>3374</v>
      </c>
      <c r="B175" s="395" t="s">
        <v>7408</v>
      </c>
      <c r="C175" s="395"/>
      <c r="D175" s="396">
        <v>592672</v>
      </c>
      <c r="E175" s="396">
        <v>1562625</v>
      </c>
      <c r="F175" s="395">
        <v>1.61</v>
      </c>
      <c r="G175" s="396">
        <v>-969953</v>
      </c>
      <c r="H175" s="396">
        <v>163225</v>
      </c>
      <c r="I175" s="396">
        <v>10547296</v>
      </c>
      <c r="J175" s="395">
        <v>265</v>
      </c>
      <c r="K175" s="395">
        <v>180</v>
      </c>
      <c r="L175" s="397">
        <v>0.67920000000000003</v>
      </c>
      <c r="M175" s="395">
        <v>85</v>
      </c>
      <c r="N175" s="396">
        <v>2236</v>
      </c>
      <c r="O175" s="396">
        <v>8681</v>
      </c>
      <c r="P175" s="395">
        <v>0.76</v>
      </c>
      <c r="Q175" s="396">
        <v>-11411</v>
      </c>
      <c r="R175" s="396">
        <v>35955</v>
      </c>
      <c r="S175" s="396">
        <v>-33029</v>
      </c>
      <c r="T175" s="396">
        <v>2136576</v>
      </c>
      <c r="U175" s="396">
        <v>-1644411</v>
      </c>
      <c r="V175" s="395">
        <v>5446.38</v>
      </c>
      <c r="W175" s="395">
        <v>3539.48</v>
      </c>
      <c r="X175" s="395">
        <v>77490</v>
      </c>
      <c r="Y175" s="395">
        <v>9484.5400000000009</v>
      </c>
      <c r="Z175" s="396">
        <v>-21194853</v>
      </c>
      <c r="AA175" s="396">
        <v>592672</v>
      </c>
      <c r="AB175" s="396">
        <v>-17295731</v>
      </c>
      <c r="AC175" s="396">
        <v>10207916</v>
      </c>
    </row>
    <row r="176" spans="1:29">
      <c r="A176">
        <v>3260</v>
      </c>
      <c r="B176" s="395" t="s">
        <v>7364</v>
      </c>
      <c r="C176" s="395"/>
      <c r="D176" s="396">
        <v>590923</v>
      </c>
      <c r="E176" s="396">
        <v>776381</v>
      </c>
      <c r="F176" s="395">
        <v>4.1900000000000004</v>
      </c>
      <c r="G176" s="396">
        <v>-185458</v>
      </c>
      <c r="H176" s="396">
        <v>98977</v>
      </c>
      <c r="I176" s="396">
        <v>5287874</v>
      </c>
      <c r="J176" s="395">
        <v>269</v>
      </c>
      <c r="K176" s="395">
        <v>221</v>
      </c>
      <c r="L176" s="397">
        <v>0.8216</v>
      </c>
      <c r="M176" s="395">
        <v>48</v>
      </c>
      <c r="N176" s="396">
        <v>2197</v>
      </c>
      <c r="O176" s="396">
        <v>3513</v>
      </c>
      <c r="P176" s="395">
        <v>0.91</v>
      </c>
      <c r="Q176" s="396">
        <v>-3864</v>
      </c>
      <c r="R176" s="396">
        <v>13678</v>
      </c>
      <c r="S176" s="396">
        <v>-28907</v>
      </c>
      <c r="T176" s="396">
        <v>785073</v>
      </c>
      <c r="U176" s="396">
        <v>-519157</v>
      </c>
      <c r="V176" s="395">
        <v>3483.03</v>
      </c>
      <c r="W176" s="395">
        <v>2514.62</v>
      </c>
      <c r="X176" s="395">
        <v>77490</v>
      </c>
      <c r="Y176" s="395">
        <v>7941.77</v>
      </c>
      <c r="Z176" s="396">
        <v>800574</v>
      </c>
      <c r="AA176" s="396">
        <v>590923</v>
      </c>
      <c r="AB176" s="396">
        <v>11529863</v>
      </c>
      <c r="AC176" s="396">
        <v>10207916</v>
      </c>
    </row>
    <row r="177" spans="1:29">
      <c r="A177">
        <v>3596</v>
      </c>
      <c r="B177" s="395" t="s">
        <v>7495</v>
      </c>
      <c r="C177" s="395"/>
      <c r="D177" s="396">
        <v>590291</v>
      </c>
      <c r="E177" s="396">
        <v>906243</v>
      </c>
      <c r="F177" s="395">
        <v>2.87</v>
      </c>
      <c r="G177" s="396">
        <v>-315952</v>
      </c>
      <c r="H177" s="396">
        <v>118345</v>
      </c>
      <c r="I177" s="396">
        <v>5505437</v>
      </c>
      <c r="J177" s="395">
        <v>279</v>
      </c>
      <c r="K177" s="395">
        <v>230</v>
      </c>
      <c r="L177" s="397">
        <v>0.82440000000000002</v>
      </c>
      <c r="M177" s="395">
        <v>49</v>
      </c>
      <c r="N177" s="396">
        <v>2116</v>
      </c>
      <c r="O177" s="396">
        <v>3940</v>
      </c>
      <c r="P177" s="395">
        <v>0.61</v>
      </c>
      <c r="Q177" s="396">
        <v>-6448</v>
      </c>
      <c r="R177" s="396">
        <v>19720</v>
      </c>
      <c r="S177" s="396">
        <v>-15811</v>
      </c>
      <c r="T177" s="396">
        <v>1113528</v>
      </c>
      <c r="U177" s="396">
        <v>-597638</v>
      </c>
      <c r="V177" s="395">
        <v>3634.92</v>
      </c>
      <c r="W177" s="395">
        <v>2644.37</v>
      </c>
      <c r="X177" s="395">
        <v>77490</v>
      </c>
      <c r="Y177" s="395">
        <v>8284.4699999999993</v>
      </c>
      <c r="Z177" s="396">
        <v>-698758</v>
      </c>
      <c r="AA177" s="396">
        <v>590291</v>
      </c>
      <c r="AB177" s="396">
        <v>13542258</v>
      </c>
      <c r="AC177" s="396">
        <v>10207916</v>
      </c>
    </row>
    <row r="178" spans="1:29">
      <c r="A178">
        <v>2481</v>
      </c>
      <c r="B178" s="395" t="s">
        <v>7094</v>
      </c>
      <c r="C178" s="395"/>
      <c r="D178" s="396">
        <v>587102</v>
      </c>
      <c r="E178" s="396">
        <v>852393</v>
      </c>
      <c r="F178" s="395">
        <v>3.21</v>
      </c>
      <c r="G178" s="396">
        <v>-265291</v>
      </c>
      <c r="H178" s="396">
        <v>93861</v>
      </c>
      <c r="I178" s="396">
        <v>2942875</v>
      </c>
      <c r="J178" s="395">
        <v>279</v>
      </c>
      <c r="K178" s="395">
        <v>234</v>
      </c>
      <c r="L178" s="397">
        <v>0.8387</v>
      </c>
      <c r="M178" s="395">
        <v>45</v>
      </c>
      <c r="N178" s="396">
        <v>2104</v>
      </c>
      <c r="O178" s="396">
        <v>3643</v>
      </c>
      <c r="P178" s="395">
        <v>0.62</v>
      </c>
      <c r="Q178" s="396">
        <v>-5895</v>
      </c>
      <c r="R178" s="396">
        <v>16446</v>
      </c>
      <c r="S178" s="396">
        <v>-18524</v>
      </c>
      <c r="T178" s="396">
        <v>687799</v>
      </c>
      <c r="U178" s="396">
        <v>-370217</v>
      </c>
      <c r="V178" s="395">
        <v>1676.78</v>
      </c>
      <c r="W178" s="395">
        <v>1168.18</v>
      </c>
      <c r="X178" s="395">
        <v>77490</v>
      </c>
      <c r="Y178" s="395">
        <v>4321.5600000000004</v>
      </c>
      <c r="Z178" s="396">
        <v>1753421</v>
      </c>
      <c r="AA178" s="396">
        <v>587102</v>
      </c>
      <c r="AB178" s="396">
        <v>39298265</v>
      </c>
      <c r="AC178" s="396">
        <v>10207916</v>
      </c>
    </row>
    <row r="179" spans="1:29">
      <c r="A179">
        <v>4536</v>
      </c>
      <c r="B179" s="395" t="s">
        <v>7638</v>
      </c>
      <c r="C179" s="395"/>
      <c r="D179" s="396">
        <v>583139</v>
      </c>
      <c r="E179" s="396">
        <v>1140127</v>
      </c>
      <c r="F179" s="395">
        <v>2.0499999999999998</v>
      </c>
      <c r="G179" s="396">
        <v>-556988</v>
      </c>
      <c r="H179" s="396">
        <v>152057</v>
      </c>
      <c r="I179" s="396">
        <v>16145835</v>
      </c>
      <c r="J179" s="395">
        <v>254</v>
      </c>
      <c r="K179" s="395">
        <v>156</v>
      </c>
      <c r="L179" s="397">
        <v>0.61419999999999997</v>
      </c>
      <c r="M179" s="395">
        <v>98</v>
      </c>
      <c r="N179" s="396">
        <v>2296</v>
      </c>
      <c r="O179" s="396">
        <v>7309</v>
      </c>
      <c r="P179" s="395">
        <v>1.29</v>
      </c>
      <c r="Q179" s="396">
        <v>-5684</v>
      </c>
      <c r="R179" s="396">
        <v>18965</v>
      </c>
      <c r="S179" s="396">
        <v>-23069</v>
      </c>
      <c r="T179" s="396">
        <v>1924530</v>
      </c>
      <c r="U179" s="396">
        <v>-1511072</v>
      </c>
      <c r="V179" s="395">
        <v>9595.92</v>
      </c>
      <c r="W179" s="395">
        <v>6306</v>
      </c>
      <c r="X179" s="395">
        <v>77490</v>
      </c>
      <c r="Y179" s="395">
        <v>14832.94</v>
      </c>
      <c r="Z179" s="396">
        <v>-12402524</v>
      </c>
      <c r="AA179" s="396">
        <v>583139</v>
      </c>
      <c r="AB179" s="396">
        <v>-6731596</v>
      </c>
      <c r="AC179" s="396">
        <v>10207916</v>
      </c>
    </row>
    <row r="180" spans="1:29">
      <c r="A180">
        <v>6456</v>
      </c>
      <c r="B180" s="395" t="s">
        <v>8085</v>
      </c>
      <c r="C180" s="395"/>
      <c r="D180" s="396">
        <v>581832</v>
      </c>
      <c r="E180" s="396">
        <v>1121730</v>
      </c>
      <c r="F180" s="395">
        <v>2.08</v>
      </c>
      <c r="G180" s="396">
        <v>-539898</v>
      </c>
      <c r="H180" s="396">
        <v>121126</v>
      </c>
      <c r="I180" s="396">
        <v>8456445</v>
      </c>
      <c r="J180" s="395">
        <v>277</v>
      </c>
      <c r="K180" s="395">
        <v>188</v>
      </c>
      <c r="L180" s="397">
        <v>0.67869999999999997</v>
      </c>
      <c r="M180" s="395">
        <v>89</v>
      </c>
      <c r="N180" s="396">
        <v>2100</v>
      </c>
      <c r="O180" s="396">
        <v>5967</v>
      </c>
      <c r="P180" s="395">
        <v>0.98</v>
      </c>
      <c r="Q180" s="396">
        <v>-6066</v>
      </c>
      <c r="R180" s="396">
        <v>26598</v>
      </c>
      <c r="S180" s="396">
        <v>-21880</v>
      </c>
      <c r="T180" s="396">
        <v>1293811</v>
      </c>
      <c r="U180" s="396">
        <v>-1023451</v>
      </c>
      <c r="V180" s="395">
        <v>5971.74</v>
      </c>
      <c r="W180" s="395">
        <v>3611.89</v>
      </c>
      <c r="X180" s="395">
        <v>77490</v>
      </c>
      <c r="Y180" s="395">
        <v>10956.6</v>
      </c>
      <c r="Z180" s="396">
        <v>-19578693</v>
      </c>
      <c r="AA180" s="396">
        <v>581832</v>
      </c>
      <c r="AB180" s="396">
        <v>-8561544</v>
      </c>
      <c r="AC180" s="396">
        <v>10207916</v>
      </c>
    </row>
    <row r="181" spans="1:29">
      <c r="A181">
        <v>8261</v>
      </c>
      <c r="B181" s="395" t="s">
        <v>8302</v>
      </c>
      <c r="C181" s="395"/>
      <c r="D181" s="396">
        <v>581567</v>
      </c>
      <c r="E181" s="396">
        <v>827708</v>
      </c>
      <c r="F181" s="395">
        <v>3.36</v>
      </c>
      <c r="G181" s="396">
        <v>-246141</v>
      </c>
      <c r="H181" s="396">
        <v>89733</v>
      </c>
      <c r="I181" s="396">
        <v>1987369</v>
      </c>
      <c r="J181" s="395">
        <v>257</v>
      </c>
      <c r="K181" s="395">
        <v>213</v>
      </c>
      <c r="L181" s="397">
        <v>0.82879999999999998</v>
      </c>
      <c r="M181" s="395">
        <v>44</v>
      </c>
      <c r="N181" s="396">
        <v>2263</v>
      </c>
      <c r="O181" s="396">
        <v>3886</v>
      </c>
      <c r="P181" s="395">
        <v>0.69</v>
      </c>
      <c r="Q181" s="396">
        <v>-5594</v>
      </c>
      <c r="R181" s="396">
        <v>17754</v>
      </c>
      <c r="S181" s="396">
        <v>-19478</v>
      </c>
      <c r="T181" s="396">
        <v>805527</v>
      </c>
      <c r="U181" s="396">
        <v>-304967</v>
      </c>
      <c r="V181" s="395">
        <v>1408.81</v>
      </c>
      <c r="W181" s="395">
        <v>990.93</v>
      </c>
      <c r="X181" s="395">
        <v>77490</v>
      </c>
      <c r="Y181" s="395">
        <v>3431.7</v>
      </c>
      <c r="Z181" s="396">
        <v>15641927</v>
      </c>
      <c r="AA181" s="396">
        <v>581567</v>
      </c>
      <c r="AB181" s="396">
        <v>49959091</v>
      </c>
      <c r="AC181" s="396">
        <v>10207916</v>
      </c>
    </row>
    <row r="182" spans="1:29">
      <c r="A182">
        <v>1303</v>
      </c>
      <c r="B182" s="395" t="s">
        <v>6709</v>
      </c>
      <c r="C182" s="395"/>
      <c r="D182" s="396">
        <v>581429</v>
      </c>
      <c r="E182" s="396">
        <v>658725</v>
      </c>
      <c r="F182" s="395">
        <v>8.52</v>
      </c>
      <c r="G182" s="396">
        <v>-77296</v>
      </c>
      <c r="H182" s="396">
        <v>97227</v>
      </c>
      <c r="I182" s="396">
        <v>6193696</v>
      </c>
      <c r="J182" s="395">
        <v>286</v>
      </c>
      <c r="K182" s="395">
        <v>241</v>
      </c>
      <c r="L182" s="397">
        <v>0.8427</v>
      </c>
      <c r="M182" s="395">
        <v>45</v>
      </c>
      <c r="N182" s="396">
        <v>2033</v>
      </c>
      <c r="O182" s="396">
        <v>2733</v>
      </c>
      <c r="P182" s="395">
        <v>1.59</v>
      </c>
      <c r="Q182" s="396">
        <v>-1718</v>
      </c>
      <c r="R182" s="396">
        <v>9568</v>
      </c>
      <c r="S182" s="396">
        <v>-4360</v>
      </c>
      <c r="T182" s="396">
        <v>692339</v>
      </c>
      <c r="U182" s="396">
        <v>-249382</v>
      </c>
      <c r="V182" s="395">
        <v>4895.6000000000004</v>
      </c>
      <c r="W182" s="395">
        <v>3683.3</v>
      </c>
      <c r="X182" s="395">
        <v>77490</v>
      </c>
      <c r="Y182" s="395">
        <v>11388.16</v>
      </c>
      <c r="Z182" s="396">
        <v>4384958</v>
      </c>
      <c r="AA182" s="396">
        <v>581429</v>
      </c>
      <c r="AB182" s="396">
        <v>15836748</v>
      </c>
      <c r="AC182" s="396">
        <v>10207916</v>
      </c>
    </row>
    <row r="183" spans="1:29">
      <c r="A183">
        <v>3010</v>
      </c>
      <c r="B183" s="395" t="s">
        <v>7251</v>
      </c>
      <c r="C183" s="395"/>
      <c r="D183" s="396">
        <v>576041</v>
      </c>
      <c r="E183" s="396">
        <v>626166</v>
      </c>
      <c r="F183" s="395">
        <v>12.49</v>
      </c>
      <c r="G183" s="396">
        <v>-50125</v>
      </c>
      <c r="H183" s="396">
        <v>90534</v>
      </c>
      <c r="I183" s="396">
        <v>4463633</v>
      </c>
      <c r="J183" s="395">
        <v>256</v>
      </c>
      <c r="K183" s="395">
        <v>226</v>
      </c>
      <c r="L183" s="397">
        <v>0.88280000000000003</v>
      </c>
      <c r="M183" s="395">
        <v>30</v>
      </c>
      <c r="N183" s="396">
        <v>2250</v>
      </c>
      <c r="O183" s="396">
        <v>2771</v>
      </c>
      <c r="P183" s="395">
        <v>1.66</v>
      </c>
      <c r="Q183" s="396">
        <v>-1671</v>
      </c>
      <c r="R183" s="396">
        <v>10494</v>
      </c>
      <c r="S183" s="396">
        <v>-6943</v>
      </c>
      <c r="T183" s="396">
        <v>788102</v>
      </c>
      <c r="U183" s="396">
        <v>-269496</v>
      </c>
      <c r="V183" s="395">
        <v>4247.12</v>
      </c>
      <c r="W183" s="395">
        <v>3867.37</v>
      </c>
      <c r="X183" s="395">
        <v>77490</v>
      </c>
      <c r="Y183" s="395">
        <v>7107.93</v>
      </c>
      <c r="Z183" s="396">
        <v>3538599</v>
      </c>
      <c r="AA183" s="396">
        <v>576041</v>
      </c>
      <c r="AB183" s="396">
        <v>25656981</v>
      </c>
      <c r="AC183" s="396">
        <v>10207916</v>
      </c>
    </row>
    <row r="184" spans="1:29">
      <c r="A184">
        <v>6592</v>
      </c>
      <c r="B184" s="395" t="s">
        <v>8147</v>
      </c>
      <c r="C184" s="395"/>
      <c r="D184" s="396">
        <v>565483</v>
      </c>
      <c r="E184" s="396">
        <v>633476</v>
      </c>
      <c r="F184" s="395">
        <v>9.32</v>
      </c>
      <c r="G184" s="396">
        <v>-67993</v>
      </c>
      <c r="H184" s="396">
        <v>101065</v>
      </c>
      <c r="I184" s="396">
        <v>3910205</v>
      </c>
      <c r="J184" s="395">
        <v>278</v>
      </c>
      <c r="K184" s="395">
        <v>262</v>
      </c>
      <c r="L184" s="397">
        <v>0.94240000000000002</v>
      </c>
      <c r="M184" s="395">
        <v>16</v>
      </c>
      <c r="N184" s="396">
        <v>2034</v>
      </c>
      <c r="O184" s="396">
        <v>2418</v>
      </c>
      <c r="P184" s="395">
        <v>0.56999999999999995</v>
      </c>
      <c r="Q184" s="396">
        <v>-4250</v>
      </c>
      <c r="R184" s="396">
        <v>7674</v>
      </c>
      <c r="S184" s="396">
        <v>-10478</v>
      </c>
      <c r="T184" s="396">
        <v>670007</v>
      </c>
      <c r="U184" s="396">
        <v>-175944</v>
      </c>
      <c r="V184" s="395">
        <v>4133.97</v>
      </c>
      <c r="W184" s="395">
        <v>3941.97</v>
      </c>
      <c r="X184" s="395">
        <v>77490</v>
      </c>
      <c r="Y184" s="395">
        <v>7278.13</v>
      </c>
      <c r="Z184" s="396">
        <v>5627711</v>
      </c>
      <c r="AA184" s="396">
        <v>565483</v>
      </c>
      <c r="AB184" s="396">
        <v>23766082</v>
      </c>
      <c r="AC184" s="396">
        <v>10207916</v>
      </c>
    </row>
    <row r="185" spans="1:29">
      <c r="A185">
        <v>2546</v>
      </c>
      <c r="B185" s="395" t="s">
        <v>7133</v>
      </c>
      <c r="C185" s="395"/>
      <c r="D185" s="396">
        <v>565103</v>
      </c>
      <c r="E185" s="396">
        <v>572590</v>
      </c>
      <c r="F185" s="395">
        <v>76.48</v>
      </c>
      <c r="G185" s="396">
        <v>-7487</v>
      </c>
      <c r="H185" s="396">
        <v>47296</v>
      </c>
      <c r="I185" s="396">
        <v>5330212</v>
      </c>
      <c r="J185" s="395">
        <v>236</v>
      </c>
      <c r="K185" s="395">
        <v>216</v>
      </c>
      <c r="L185" s="397">
        <v>0.9153</v>
      </c>
      <c r="M185" s="395">
        <v>20</v>
      </c>
      <c r="N185" s="396">
        <v>2395</v>
      </c>
      <c r="O185" s="396">
        <v>2651</v>
      </c>
      <c r="P185" s="395">
        <v>7.09</v>
      </c>
      <c r="Q185" s="395">
        <v>-374</v>
      </c>
      <c r="R185" s="396">
        <v>7835</v>
      </c>
      <c r="S185" s="396">
        <v>-1110</v>
      </c>
      <c r="T185" s="396">
        <v>635026</v>
      </c>
      <c r="U185" s="396">
        <v>-212154</v>
      </c>
      <c r="V185" s="395">
        <v>11597.81</v>
      </c>
      <c r="W185" s="395">
        <v>12283.81</v>
      </c>
      <c r="X185" s="395">
        <v>77490</v>
      </c>
      <c r="Y185" s="395">
        <v>4189</v>
      </c>
      <c r="Z185" s="396">
        <v>4768868</v>
      </c>
      <c r="AA185" s="396">
        <v>565103</v>
      </c>
      <c r="AB185" s="396">
        <v>6916886</v>
      </c>
      <c r="AC185" s="396">
        <v>10207916</v>
      </c>
    </row>
    <row r="186" spans="1:29">
      <c r="A186">
        <v>2421</v>
      </c>
      <c r="B186" s="395" t="s">
        <v>7050</v>
      </c>
      <c r="C186" s="395"/>
      <c r="D186" s="396">
        <v>562389</v>
      </c>
      <c r="E186" s="396">
        <v>807254</v>
      </c>
      <c r="F186" s="395">
        <v>3.3</v>
      </c>
      <c r="G186" s="396">
        <v>-244865</v>
      </c>
      <c r="H186" s="396">
        <v>48616</v>
      </c>
      <c r="I186" s="396">
        <v>7583259</v>
      </c>
      <c r="J186" s="395">
        <v>263</v>
      </c>
      <c r="K186" s="395">
        <v>194</v>
      </c>
      <c r="L186" s="397">
        <v>0.73760000000000003</v>
      </c>
      <c r="M186" s="395">
        <v>69</v>
      </c>
      <c r="N186" s="396">
        <v>2138</v>
      </c>
      <c r="O186" s="396">
        <v>4161</v>
      </c>
      <c r="P186" s="395">
        <v>1.17</v>
      </c>
      <c r="Q186" s="396">
        <v>-3549</v>
      </c>
      <c r="R186" s="396">
        <v>10587</v>
      </c>
      <c r="S186" s="396">
        <v>-8903</v>
      </c>
      <c r="T186" s="396">
        <v>1758904</v>
      </c>
      <c r="U186" s="396">
        <v>-1201761</v>
      </c>
      <c r="V186" s="395">
        <v>16552.48</v>
      </c>
      <c r="W186" s="395">
        <v>12304.41</v>
      </c>
      <c r="X186" s="395">
        <v>77490</v>
      </c>
      <c r="Y186" s="395">
        <v>28496.35</v>
      </c>
      <c r="Z186" s="396">
        <v>-13549097</v>
      </c>
      <c r="AA186" s="396">
        <v>562389</v>
      </c>
      <c r="AB186" s="396">
        <v>-8994554</v>
      </c>
      <c r="AC186" s="396">
        <v>10207916</v>
      </c>
    </row>
    <row r="187" spans="1:29">
      <c r="A187">
        <v>8279</v>
      </c>
      <c r="B187" s="395" t="s">
        <v>8305</v>
      </c>
      <c r="C187" s="395"/>
      <c r="D187" s="396">
        <v>562265</v>
      </c>
      <c r="E187" s="396">
        <v>657184</v>
      </c>
      <c r="F187" s="395">
        <v>6.92</v>
      </c>
      <c r="G187" s="396">
        <v>-94919</v>
      </c>
      <c r="H187" s="396">
        <v>59635</v>
      </c>
      <c r="I187" s="396">
        <v>6531306</v>
      </c>
      <c r="J187" s="395">
        <v>132</v>
      </c>
      <c r="K187" s="395">
        <v>107</v>
      </c>
      <c r="L187" s="397">
        <v>0.81059999999999999</v>
      </c>
      <c r="M187" s="395">
        <v>25</v>
      </c>
      <c r="N187" s="396">
        <v>4260</v>
      </c>
      <c r="O187" s="396">
        <v>6142</v>
      </c>
      <c r="P187" s="395">
        <v>1.62</v>
      </c>
      <c r="Q187" s="396">
        <v>-3797</v>
      </c>
      <c r="R187" s="396">
        <v>25365</v>
      </c>
      <c r="S187" s="396">
        <v>-11007</v>
      </c>
      <c r="T187" s="396">
        <v>1421100</v>
      </c>
      <c r="U187" s="396">
        <v>-966158</v>
      </c>
      <c r="V187" s="395">
        <v>15173.49</v>
      </c>
      <c r="W187" s="395">
        <v>12160.4</v>
      </c>
      <c r="X187" s="395">
        <v>76950</v>
      </c>
      <c r="Y187" s="395">
        <v>28069.52</v>
      </c>
      <c r="Z187" s="396">
        <v>-1298342</v>
      </c>
      <c r="AA187" s="396">
        <v>562265</v>
      </c>
      <c r="AB187" s="396">
        <v>8567410</v>
      </c>
      <c r="AC187" s="396">
        <v>10207916</v>
      </c>
    </row>
    <row r="188" spans="1:29">
      <c r="A188">
        <v>3563</v>
      </c>
      <c r="B188" s="395" t="s">
        <v>7480</v>
      </c>
      <c r="C188" s="395"/>
      <c r="D188" s="396">
        <v>560518</v>
      </c>
      <c r="E188" s="396">
        <v>2479229</v>
      </c>
      <c r="F188" s="395">
        <v>1.29</v>
      </c>
      <c r="G188" s="396">
        <v>-1918711</v>
      </c>
      <c r="H188" s="396">
        <v>269625</v>
      </c>
      <c r="I188" s="396">
        <v>21851768</v>
      </c>
      <c r="J188" s="395">
        <v>263</v>
      </c>
      <c r="K188" s="395">
        <v>177</v>
      </c>
      <c r="L188" s="397">
        <v>0.67300000000000004</v>
      </c>
      <c r="M188" s="395">
        <v>86</v>
      </c>
      <c r="N188" s="396">
        <v>2131</v>
      </c>
      <c r="O188" s="396">
        <v>14007</v>
      </c>
      <c r="P188" s="395">
        <v>0.63</v>
      </c>
      <c r="Q188" s="396">
        <v>-22311</v>
      </c>
      <c r="R188" s="396">
        <v>48058</v>
      </c>
      <c r="S188" s="396">
        <v>-70990</v>
      </c>
      <c r="T188" s="396">
        <v>2296502</v>
      </c>
      <c r="U188" s="396">
        <v>-1495616</v>
      </c>
      <c r="V188" s="395">
        <v>7313.59</v>
      </c>
      <c r="W188" s="395">
        <v>5444.18</v>
      </c>
      <c r="X188" s="395">
        <v>77490</v>
      </c>
      <c r="Y188" s="395">
        <v>11161.09</v>
      </c>
      <c r="Z188" s="396">
        <v>-23453334</v>
      </c>
      <c r="AA188" s="396">
        <v>560518</v>
      </c>
      <c r="AB188" s="396">
        <v>-13063027</v>
      </c>
      <c r="AC188" s="396">
        <v>10207916</v>
      </c>
    </row>
    <row r="189" spans="1:29">
      <c r="A189">
        <v>6278</v>
      </c>
      <c r="B189" s="395" t="s">
        <v>8048</v>
      </c>
      <c r="C189" s="395"/>
      <c r="D189" s="396">
        <v>560360</v>
      </c>
      <c r="E189" s="396">
        <v>860174</v>
      </c>
      <c r="F189" s="395">
        <v>2.87</v>
      </c>
      <c r="G189" s="396">
        <v>-299814</v>
      </c>
      <c r="H189" s="396">
        <v>131125</v>
      </c>
      <c r="I189" s="396">
        <v>2585289</v>
      </c>
      <c r="J189" s="395">
        <v>274</v>
      </c>
      <c r="K189" s="395">
        <v>222</v>
      </c>
      <c r="L189" s="397">
        <v>0.81020000000000003</v>
      </c>
      <c r="M189" s="395">
        <v>52</v>
      </c>
      <c r="N189" s="396">
        <v>2045</v>
      </c>
      <c r="O189" s="396">
        <v>3875</v>
      </c>
      <c r="P189" s="395">
        <v>0.67</v>
      </c>
      <c r="Q189" s="396">
        <v>-5766</v>
      </c>
      <c r="R189" s="396">
        <v>13071</v>
      </c>
      <c r="S189" s="396">
        <v>-26009</v>
      </c>
      <c r="T189" s="396">
        <v>871398</v>
      </c>
      <c r="U189" s="396">
        <v>-231228</v>
      </c>
      <c r="V189" s="395">
        <v>1718.97</v>
      </c>
      <c r="W189" s="395">
        <v>1205.78</v>
      </c>
      <c r="X189" s="395">
        <v>77490</v>
      </c>
      <c r="Y189" s="395">
        <v>3909.87</v>
      </c>
      <c r="Z189" s="396">
        <v>-8950638</v>
      </c>
      <c r="AA189" s="396">
        <v>560360</v>
      </c>
      <c r="AB189" s="396">
        <v>-5045168</v>
      </c>
      <c r="AC189" s="396">
        <v>10207916</v>
      </c>
    </row>
    <row r="190" spans="1:29">
      <c r="A190">
        <v>6640</v>
      </c>
      <c r="B190" s="395" t="s">
        <v>8162</v>
      </c>
      <c r="C190" s="395"/>
      <c r="D190" s="396">
        <v>558670</v>
      </c>
      <c r="E190" s="396">
        <v>710424</v>
      </c>
      <c r="F190" s="395">
        <v>4.68</v>
      </c>
      <c r="G190" s="396">
        <v>-151754</v>
      </c>
      <c r="H190" s="396">
        <v>53261</v>
      </c>
      <c r="I190" s="396">
        <v>2952074</v>
      </c>
      <c r="J190" s="395">
        <v>136</v>
      </c>
      <c r="K190" s="395">
        <v>113</v>
      </c>
      <c r="L190" s="397">
        <v>0.83089999999999997</v>
      </c>
      <c r="M190" s="395">
        <v>23</v>
      </c>
      <c r="N190" s="396">
        <v>4108</v>
      </c>
      <c r="O190" s="396">
        <v>6287</v>
      </c>
      <c r="P190" s="395">
        <v>0.95</v>
      </c>
      <c r="Q190" s="396">
        <v>-6598</v>
      </c>
      <c r="R190" s="396">
        <v>28518</v>
      </c>
      <c r="S190" s="396">
        <v>-37490</v>
      </c>
      <c r="T190" s="396">
        <v>800998</v>
      </c>
      <c r="U190" s="396">
        <v>-507018</v>
      </c>
      <c r="V190" s="395">
        <v>4191.8500000000004</v>
      </c>
      <c r="W190" s="395">
        <v>3429.99</v>
      </c>
      <c r="X190" s="395">
        <v>77220</v>
      </c>
      <c r="Y190" s="395">
        <v>7934.91</v>
      </c>
      <c r="Z190" s="396">
        <v>-13470084</v>
      </c>
      <c r="AA190" s="396">
        <v>558670</v>
      </c>
      <c r="AB190" s="396">
        <v>35070532</v>
      </c>
      <c r="AC190" s="396">
        <v>10207916</v>
      </c>
    </row>
    <row r="191" spans="1:29">
      <c r="A191">
        <v>6231</v>
      </c>
      <c r="B191" s="395" t="s">
        <v>8017</v>
      </c>
      <c r="C191" s="395"/>
      <c r="D191" s="396">
        <v>558494</v>
      </c>
      <c r="E191" s="396">
        <v>816152</v>
      </c>
      <c r="F191" s="395">
        <v>3.17</v>
      </c>
      <c r="G191" s="396">
        <v>-257658</v>
      </c>
      <c r="H191" s="396">
        <v>90413</v>
      </c>
      <c r="I191" s="396">
        <v>4055122</v>
      </c>
      <c r="J191" s="395">
        <v>261</v>
      </c>
      <c r="K191" s="395">
        <v>210</v>
      </c>
      <c r="L191" s="397">
        <v>0.80459999999999998</v>
      </c>
      <c r="M191" s="395">
        <v>51</v>
      </c>
      <c r="N191" s="396">
        <v>2140</v>
      </c>
      <c r="O191" s="396">
        <v>3886</v>
      </c>
      <c r="P191" s="395">
        <v>0.77</v>
      </c>
      <c r="Q191" s="396">
        <v>-5052</v>
      </c>
      <c r="R191" s="396">
        <v>20906</v>
      </c>
      <c r="S191" s="396">
        <v>-20469</v>
      </c>
      <c r="T191" s="396">
        <v>962828</v>
      </c>
      <c r="U191" s="396">
        <v>-503293</v>
      </c>
      <c r="V191" s="395">
        <v>2509.02</v>
      </c>
      <c r="W191" s="395">
        <v>1665.81</v>
      </c>
      <c r="X191" s="395">
        <v>77490</v>
      </c>
      <c r="Y191" s="395">
        <v>5981.04</v>
      </c>
      <c r="Z191" s="396">
        <v>-18867488</v>
      </c>
      <c r="AA191" s="396">
        <v>558494</v>
      </c>
      <c r="AB191" s="396">
        <v>-3350992</v>
      </c>
      <c r="AC191" s="396">
        <v>10207916</v>
      </c>
    </row>
    <row r="192" spans="1:29">
      <c r="A192">
        <v>6579</v>
      </c>
      <c r="B192" s="395" t="s">
        <v>8140</v>
      </c>
      <c r="C192" s="395"/>
      <c r="D192" s="396">
        <v>557265</v>
      </c>
      <c r="E192" s="396">
        <v>584493</v>
      </c>
      <c r="F192" s="395">
        <v>21.47</v>
      </c>
      <c r="G192" s="396">
        <v>-27227</v>
      </c>
      <c r="H192" s="396">
        <v>43457</v>
      </c>
      <c r="I192" s="396">
        <v>8809500</v>
      </c>
      <c r="J192" s="395">
        <v>156</v>
      </c>
      <c r="K192" s="395">
        <v>140</v>
      </c>
      <c r="L192" s="397">
        <v>0.89739999999999998</v>
      </c>
      <c r="M192" s="395">
        <v>16</v>
      </c>
      <c r="N192" s="396">
        <v>3572</v>
      </c>
      <c r="O192" s="396">
        <v>4175</v>
      </c>
      <c r="P192" s="395">
        <v>2.4500000000000002</v>
      </c>
      <c r="Q192" s="396">
        <v>-1702</v>
      </c>
      <c r="R192" s="396">
        <v>10721</v>
      </c>
      <c r="S192" s="396">
        <v>-4016</v>
      </c>
      <c r="T192" s="396">
        <v>1247765</v>
      </c>
      <c r="U192" s="396">
        <v>-851003</v>
      </c>
      <c r="V192" s="395">
        <v>29909.7</v>
      </c>
      <c r="W192" s="395">
        <v>28640.84</v>
      </c>
      <c r="X192" s="395">
        <v>76950</v>
      </c>
      <c r="Y192" s="395">
        <v>41012.19</v>
      </c>
      <c r="Z192" s="396">
        <v>-3038853</v>
      </c>
      <c r="AA192" s="396">
        <v>557265</v>
      </c>
      <c r="AB192" s="396">
        <v>-1548954</v>
      </c>
      <c r="AC192" s="396">
        <v>10207916</v>
      </c>
    </row>
    <row r="193" spans="1:29">
      <c r="A193">
        <v>3557</v>
      </c>
      <c r="B193" s="395" t="s">
        <v>7478</v>
      </c>
      <c r="C193" s="395"/>
      <c r="D193" s="396">
        <v>549306</v>
      </c>
      <c r="E193" s="396">
        <v>784551</v>
      </c>
      <c r="F193" s="395">
        <v>3.34</v>
      </c>
      <c r="G193" s="396">
        <v>-235245</v>
      </c>
      <c r="H193" s="396">
        <v>77837</v>
      </c>
      <c r="I193" s="396">
        <v>6181263</v>
      </c>
      <c r="J193" s="395">
        <v>230</v>
      </c>
      <c r="K193" s="395">
        <v>169</v>
      </c>
      <c r="L193" s="397">
        <v>0.73480000000000001</v>
      </c>
      <c r="M193" s="395">
        <v>61</v>
      </c>
      <c r="N193" s="396">
        <v>2388</v>
      </c>
      <c r="O193" s="396">
        <v>4642</v>
      </c>
      <c r="P193" s="395">
        <v>1.2</v>
      </c>
      <c r="Q193" s="396">
        <v>-3856</v>
      </c>
      <c r="R193" s="396">
        <v>10370</v>
      </c>
      <c r="S193" s="396">
        <v>-10093</v>
      </c>
      <c r="T193" s="396">
        <v>896608</v>
      </c>
      <c r="U193" s="396">
        <v>-377463</v>
      </c>
      <c r="V193" s="395">
        <v>6475.4</v>
      </c>
      <c r="W193" s="395">
        <v>5112.9799999999996</v>
      </c>
      <c r="X193" s="395">
        <v>77490</v>
      </c>
      <c r="Y193" s="395">
        <v>10249.969999999999</v>
      </c>
      <c r="Z193" s="396">
        <v>-14446237</v>
      </c>
      <c r="AA193" s="396">
        <v>549306</v>
      </c>
      <c r="AB193" s="396">
        <v>-12692802</v>
      </c>
      <c r="AC193" s="396">
        <v>10207916</v>
      </c>
    </row>
    <row r="194" spans="1:29">
      <c r="A194">
        <v>3042</v>
      </c>
      <c r="B194" s="395" t="s">
        <v>7280</v>
      </c>
      <c r="C194" s="395"/>
      <c r="D194" s="396">
        <v>549016</v>
      </c>
      <c r="E194" s="396">
        <v>1024745</v>
      </c>
      <c r="F194" s="395">
        <v>2.15</v>
      </c>
      <c r="G194" s="396">
        <v>-475730</v>
      </c>
      <c r="H194" s="396">
        <v>116647</v>
      </c>
      <c r="I194" s="396">
        <v>8514149</v>
      </c>
      <c r="J194" s="395">
        <v>274</v>
      </c>
      <c r="K194" s="395">
        <v>192</v>
      </c>
      <c r="L194" s="397">
        <v>0.70069999999999999</v>
      </c>
      <c r="M194" s="395">
        <v>82</v>
      </c>
      <c r="N194" s="396">
        <v>2004</v>
      </c>
      <c r="O194" s="396">
        <v>5337</v>
      </c>
      <c r="P194" s="395">
        <v>0.92</v>
      </c>
      <c r="Q194" s="396">
        <v>-5802</v>
      </c>
      <c r="R194" s="396">
        <v>20518</v>
      </c>
      <c r="S194" s="396">
        <v>-22775</v>
      </c>
      <c r="T194" s="396">
        <v>1336097</v>
      </c>
      <c r="U194" s="396">
        <v>-943613</v>
      </c>
      <c r="V194" s="395">
        <v>5377.91</v>
      </c>
      <c r="W194" s="395">
        <v>3262.43</v>
      </c>
      <c r="X194" s="395">
        <v>77490</v>
      </c>
      <c r="Y194" s="395">
        <v>10331.24</v>
      </c>
      <c r="Z194" s="396">
        <v>-6283202</v>
      </c>
      <c r="AA194" s="396">
        <v>549016</v>
      </c>
      <c r="AB194" s="396">
        <v>16620520</v>
      </c>
      <c r="AC194" s="396">
        <v>10207916</v>
      </c>
    </row>
    <row r="195" spans="1:29">
      <c r="A195">
        <v>1760</v>
      </c>
      <c r="B195" s="395" t="s">
        <v>6875</v>
      </c>
      <c r="C195" s="395"/>
      <c r="D195" s="396">
        <v>548117</v>
      </c>
      <c r="E195" s="396">
        <v>887034</v>
      </c>
      <c r="F195" s="395">
        <v>2.62</v>
      </c>
      <c r="G195" s="396">
        <v>-338917</v>
      </c>
      <c r="H195" s="396">
        <v>89978</v>
      </c>
      <c r="I195" s="396">
        <v>4945617</v>
      </c>
      <c r="J195" s="395">
        <v>267</v>
      </c>
      <c r="K195" s="395">
        <v>216</v>
      </c>
      <c r="L195" s="397">
        <v>0.80900000000000005</v>
      </c>
      <c r="M195" s="395">
        <v>51</v>
      </c>
      <c r="N195" s="396">
        <v>2053</v>
      </c>
      <c r="O195" s="396">
        <v>4107</v>
      </c>
      <c r="P195" s="395">
        <v>0.62</v>
      </c>
      <c r="Q195" s="396">
        <v>-6645</v>
      </c>
      <c r="R195" s="396">
        <v>15784</v>
      </c>
      <c r="S195" s="396">
        <v>-24994</v>
      </c>
      <c r="T195" s="396">
        <v>1111505</v>
      </c>
      <c r="U195" s="396">
        <v>-787380</v>
      </c>
      <c r="V195" s="395">
        <v>3619.62</v>
      </c>
      <c r="W195" s="395">
        <v>2633.76</v>
      </c>
      <c r="X195" s="395">
        <v>77220</v>
      </c>
      <c r="Y195" s="395">
        <v>7795.04</v>
      </c>
      <c r="Z195" s="396">
        <v>-15333373</v>
      </c>
      <c r="AA195" s="396">
        <v>548117</v>
      </c>
      <c r="AB195" s="396">
        <v>7761336</v>
      </c>
      <c r="AC195" s="396">
        <v>10207916</v>
      </c>
    </row>
    <row r="196" spans="1:29">
      <c r="A196">
        <v>2640</v>
      </c>
      <c r="B196" s="395" t="s">
        <v>7159</v>
      </c>
      <c r="C196" s="395"/>
      <c r="D196" s="396">
        <v>548059</v>
      </c>
      <c r="E196" s="396">
        <v>586955</v>
      </c>
      <c r="F196" s="395">
        <v>15.09</v>
      </c>
      <c r="G196" s="396">
        <v>-38896</v>
      </c>
      <c r="H196" s="396">
        <v>63030</v>
      </c>
      <c r="I196" s="396">
        <v>5135487</v>
      </c>
      <c r="J196" s="395">
        <v>195</v>
      </c>
      <c r="K196" s="395">
        <v>161</v>
      </c>
      <c r="L196" s="397">
        <v>0.8256</v>
      </c>
      <c r="M196" s="395">
        <v>34</v>
      </c>
      <c r="N196" s="396">
        <v>2811</v>
      </c>
      <c r="O196" s="396">
        <v>3646</v>
      </c>
      <c r="P196" s="395">
        <v>3.19</v>
      </c>
      <c r="Q196" s="396">
        <v>-1144</v>
      </c>
      <c r="R196" s="396">
        <v>10108</v>
      </c>
      <c r="S196" s="396">
        <v>-3533</v>
      </c>
      <c r="T196" s="396">
        <v>625066</v>
      </c>
      <c r="U196" s="396">
        <v>-281896</v>
      </c>
      <c r="V196" s="395">
        <v>9305.01</v>
      </c>
      <c r="W196" s="395">
        <v>9209.4</v>
      </c>
      <c r="X196" s="395">
        <v>77490</v>
      </c>
      <c r="Y196" s="395">
        <v>9757.76</v>
      </c>
      <c r="Z196" s="396">
        <v>2899106</v>
      </c>
      <c r="AA196" s="396">
        <v>548059</v>
      </c>
      <c r="AB196" s="396">
        <v>6351641</v>
      </c>
      <c r="AC196" s="396">
        <v>10207916</v>
      </c>
    </row>
    <row r="197" spans="1:29">
      <c r="A197">
        <v>2637</v>
      </c>
      <c r="B197" s="395" t="s">
        <v>7158</v>
      </c>
      <c r="C197" s="395"/>
      <c r="D197" s="396">
        <v>542383</v>
      </c>
      <c r="E197" s="396">
        <v>756860</v>
      </c>
      <c r="F197" s="395">
        <v>3.53</v>
      </c>
      <c r="G197" s="396">
        <v>-214476</v>
      </c>
      <c r="H197" s="396">
        <v>75785</v>
      </c>
      <c r="I197" s="396">
        <v>4291362</v>
      </c>
      <c r="J197" s="395">
        <v>278</v>
      </c>
      <c r="K197" s="395">
        <v>222</v>
      </c>
      <c r="L197" s="397">
        <v>0.79859999999999998</v>
      </c>
      <c r="M197" s="395">
        <v>56</v>
      </c>
      <c r="N197" s="396">
        <v>1951</v>
      </c>
      <c r="O197" s="396">
        <v>3409</v>
      </c>
      <c r="P197" s="395">
        <v>0.89</v>
      </c>
      <c r="Q197" s="396">
        <v>-3830</v>
      </c>
      <c r="R197" s="396">
        <v>15175</v>
      </c>
      <c r="S197" s="396">
        <v>-25165</v>
      </c>
      <c r="T197" s="396">
        <v>742480</v>
      </c>
      <c r="U197" s="396">
        <v>-430831</v>
      </c>
      <c r="V197" s="395">
        <v>3354.35</v>
      </c>
      <c r="W197" s="395">
        <v>2019.57</v>
      </c>
      <c r="X197" s="395">
        <v>77490</v>
      </c>
      <c r="Y197" s="395">
        <v>8645.7900000000009</v>
      </c>
      <c r="Z197" s="396">
        <v>29909863</v>
      </c>
      <c r="AA197" s="396">
        <v>542383</v>
      </c>
      <c r="AB197" s="396">
        <v>154195748</v>
      </c>
      <c r="AC197" s="396">
        <v>10207916</v>
      </c>
    </row>
    <row r="198" spans="1:29">
      <c r="A198">
        <v>5471</v>
      </c>
      <c r="B198" s="395" t="s">
        <v>7844</v>
      </c>
      <c r="C198" s="395"/>
      <c r="D198" s="396">
        <v>539519</v>
      </c>
      <c r="E198" s="396">
        <v>734913</v>
      </c>
      <c r="F198" s="395">
        <v>3.76</v>
      </c>
      <c r="G198" s="396">
        <v>-195394</v>
      </c>
      <c r="H198" s="396">
        <v>98667</v>
      </c>
      <c r="I198" s="396">
        <v>3028510</v>
      </c>
      <c r="J198" s="395">
        <v>267</v>
      </c>
      <c r="K198" s="395">
        <v>219</v>
      </c>
      <c r="L198" s="397">
        <v>0.82020000000000004</v>
      </c>
      <c r="M198" s="395">
        <v>48</v>
      </c>
      <c r="N198" s="396">
        <v>2021</v>
      </c>
      <c r="O198" s="396">
        <v>3356</v>
      </c>
      <c r="P198" s="395">
        <v>0.82</v>
      </c>
      <c r="Q198" s="396">
        <v>-4071</v>
      </c>
      <c r="R198" s="396">
        <v>14135</v>
      </c>
      <c r="S198" s="396">
        <v>-17127</v>
      </c>
      <c r="T198" s="396">
        <v>703822</v>
      </c>
      <c r="U198" s="396">
        <v>-275620</v>
      </c>
      <c r="V198" s="395">
        <v>2228.4699999999998</v>
      </c>
      <c r="W198" s="395">
        <v>1734.7</v>
      </c>
      <c r="X198" s="395">
        <v>77490</v>
      </c>
      <c r="Y198" s="395">
        <v>4481.2700000000004</v>
      </c>
      <c r="Z198" s="396">
        <v>-12094510</v>
      </c>
      <c r="AA198" s="396">
        <v>539519</v>
      </c>
      <c r="AB198" s="396">
        <v>18351919</v>
      </c>
      <c r="AC198" s="396">
        <v>10207916</v>
      </c>
    </row>
    <row r="199" spans="1:29">
      <c r="A199">
        <v>8431</v>
      </c>
      <c r="B199" s="395" t="s">
        <v>8336</v>
      </c>
      <c r="C199" s="395"/>
      <c r="D199" s="396">
        <v>537554</v>
      </c>
      <c r="E199" s="396">
        <v>763683</v>
      </c>
      <c r="F199" s="395">
        <v>3.38</v>
      </c>
      <c r="G199" s="396">
        <v>-226129</v>
      </c>
      <c r="H199" s="396">
        <v>74086</v>
      </c>
      <c r="I199" s="396">
        <v>4203530</v>
      </c>
      <c r="J199" s="395">
        <v>269</v>
      </c>
      <c r="K199" s="395">
        <v>216</v>
      </c>
      <c r="L199" s="397">
        <v>0.80300000000000005</v>
      </c>
      <c r="M199" s="395">
        <v>53</v>
      </c>
      <c r="N199" s="396">
        <v>1998</v>
      </c>
      <c r="O199" s="396">
        <v>3536</v>
      </c>
      <c r="P199" s="395">
        <v>0.83</v>
      </c>
      <c r="Q199" s="396">
        <v>-4267</v>
      </c>
      <c r="R199" s="396">
        <v>14664</v>
      </c>
      <c r="S199" s="396">
        <v>-23110</v>
      </c>
      <c r="T199" s="396">
        <v>820638</v>
      </c>
      <c r="U199" s="396">
        <v>-501786</v>
      </c>
      <c r="V199" s="395">
        <v>3722.33</v>
      </c>
      <c r="W199" s="395">
        <v>2927.11</v>
      </c>
      <c r="X199" s="395">
        <v>77490</v>
      </c>
      <c r="Y199" s="395">
        <v>6963.25</v>
      </c>
      <c r="Z199" s="396">
        <v>-14867476</v>
      </c>
      <c r="AA199" s="396">
        <v>537554</v>
      </c>
      <c r="AB199" s="396">
        <v>4653438</v>
      </c>
      <c r="AC199" s="396">
        <v>10207916</v>
      </c>
    </row>
    <row r="200" spans="1:29">
      <c r="A200">
        <v>4119</v>
      </c>
      <c r="B200" s="395" t="s">
        <v>7562</v>
      </c>
      <c r="C200" s="395"/>
      <c r="D200" s="396">
        <v>535811</v>
      </c>
      <c r="E200" s="396">
        <v>663119</v>
      </c>
      <c r="F200" s="395">
        <v>5.21</v>
      </c>
      <c r="G200" s="396">
        <v>-127308</v>
      </c>
      <c r="H200" s="396">
        <v>88730</v>
      </c>
      <c r="I200" s="396">
        <v>6482146</v>
      </c>
      <c r="J200" s="395">
        <v>253</v>
      </c>
      <c r="K200" s="395">
        <v>201</v>
      </c>
      <c r="L200" s="397">
        <v>0.79449999999999998</v>
      </c>
      <c r="M200" s="395">
        <v>52</v>
      </c>
      <c r="N200" s="396">
        <v>2118</v>
      </c>
      <c r="O200" s="396">
        <v>3299</v>
      </c>
      <c r="P200" s="395">
        <v>1.35</v>
      </c>
      <c r="Q200" s="396">
        <v>-2448</v>
      </c>
      <c r="R200" s="396">
        <v>10341</v>
      </c>
      <c r="S200" s="396">
        <v>-11007</v>
      </c>
      <c r="T200" s="396">
        <v>819245</v>
      </c>
      <c r="U200" s="396">
        <v>-333530</v>
      </c>
      <c r="V200" s="395">
        <v>7100.4</v>
      </c>
      <c r="W200" s="395">
        <v>5867.06</v>
      </c>
      <c r="X200" s="395">
        <v>77490</v>
      </c>
      <c r="Y200" s="395">
        <v>11867.69</v>
      </c>
      <c r="Z200" s="396">
        <v>-3400868</v>
      </c>
      <c r="AA200" s="396">
        <v>535811</v>
      </c>
      <c r="AB200" s="396">
        <v>12221806</v>
      </c>
      <c r="AC200" s="396">
        <v>10207916</v>
      </c>
    </row>
    <row r="201" spans="1:29">
      <c r="A201">
        <v>5403</v>
      </c>
      <c r="B201" s="395" t="s">
        <v>7826</v>
      </c>
      <c r="C201" s="395"/>
      <c r="D201" s="396">
        <v>535117</v>
      </c>
      <c r="E201" s="396">
        <v>574541</v>
      </c>
      <c r="F201" s="395">
        <v>14.57</v>
      </c>
      <c r="G201" s="396">
        <v>-39424</v>
      </c>
      <c r="H201" s="396">
        <v>56403</v>
      </c>
      <c r="I201" s="396">
        <v>5073730</v>
      </c>
      <c r="J201" s="395">
        <v>207</v>
      </c>
      <c r="K201" s="395">
        <v>187</v>
      </c>
      <c r="L201" s="397">
        <v>0.90339999999999998</v>
      </c>
      <c r="M201" s="395">
        <v>20</v>
      </c>
      <c r="N201" s="396">
        <v>2585</v>
      </c>
      <c r="O201" s="396">
        <v>3072</v>
      </c>
      <c r="P201" s="395">
        <v>1.56</v>
      </c>
      <c r="Q201" s="396">
        <v>-1971</v>
      </c>
      <c r="R201" s="396">
        <v>8636</v>
      </c>
      <c r="S201" s="396">
        <v>-6593</v>
      </c>
      <c r="T201" s="396">
        <v>597705</v>
      </c>
      <c r="U201" s="396">
        <v>-165984</v>
      </c>
      <c r="V201" s="395">
        <v>8325.49</v>
      </c>
      <c r="W201" s="395">
        <v>8170.42</v>
      </c>
      <c r="X201" s="395">
        <v>77490</v>
      </c>
      <c r="Y201" s="395">
        <v>9775.4</v>
      </c>
      <c r="Z201" s="396">
        <v>13112930</v>
      </c>
      <c r="AA201" s="396">
        <v>535117</v>
      </c>
      <c r="AB201" s="396">
        <v>23363097</v>
      </c>
      <c r="AC201" s="396">
        <v>10207916</v>
      </c>
    </row>
    <row r="202" spans="1:29">
      <c r="A202">
        <v>1580</v>
      </c>
      <c r="B202" s="395" t="s">
        <v>6819</v>
      </c>
      <c r="C202" s="395"/>
      <c r="D202" s="396">
        <v>534107</v>
      </c>
      <c r="E202" s="396">
        <v>671547</v>
      </c>
      <c r="F202" s="395">
        <v>4.8899999999999997</v>
      </c>
      <c r="G202" s="396">
        <v>-137440</v>
      </c>
      <c r="H202" s="396">
        <v>99713</v>
      </c>
      <c r="I202" s="396">
        <v>5499723</v>
      </c>
      <c r="J202" s="395">
        <v>236</v>
      </c>
      <c r="K202" s="395">
        <v>190</v>
      </c>
      <c r="L202" s="397">
        <v>0.80510000000000004</v>
      </c>
      <c r="M202" s="395">
        <v>46</v>
      </c>
      <c r="N202" s="396">
        <v>2263</v>
      </c>
      <c r="O202" s="396">
        <v>3534</v>
      </c>
      <c r="P202" s="395">
        <v>1.18</v>
      </c>
      <c r="Q202" s="396">
        <v>-2988</v>
      </c>
      <c r="R202" s="396">
        <v>9285</v>
      </c>
      <c r="S202" s="396">
        <v>-7422</v>
      </c>
      <c r="T202" s="396">
        <v>766528</v>
      </c>
      <c r="U202" s="396">
        <v>-212821</v>
      </c>
      <c r="V202" s="395">
        <v>5655.98</v>
      </c>
      <c r="W202" s="395">
        <v>5411.43</v>
      </c>
      <c r="X202" s="395">
        <v>77490</v>
      </c>
      <c r="Y202" s="395">
        <v>6666.09</v>
      </c>
      <c r="Z202" s="396">
        <v>3888381</v>
      </c>
      <c r="AA202" s="396">
        <v>534107</v>
      </c>
      <c r="AB202" s="396">
        <v>13644111</v>
      </c>
      <c r="AC202" s="396">
        <v>10207916</v>
      </c>
    </row>
    <row r="203" spans="1:29">
      <c r="A203">
        <v>4104</v>
      </c>
      <c r="B203" s="395" t="s">
        <v>7552</v>
      </c>
      <c r="C203" s="395"/>
      <c r="D203" s="396">
        <v>534045</v>
      </c>
      <c r="E203" s="396">
        <v>534422</v>
      </c>
      <c r="F203" s="398">
        <v>1417.56</v>
      </c>
      <c r="G203" s="395">
        <v>-377</v>
      </c>
      <c r="H203" s="396">
        <v>52087</v>
      </c>
      <c r="I203" s="396">
        <v>9498881</v>
      </c>
      <c r="J203" s="395">
        <v>223</v>
      </c>
      <c r="K203" s="395">
        <v>218</v>
      </c>
      <c r="L203" s="397">
        <v>0.97760000000000002</v>
      </c>
      <c r="M203" s="395">
        <v>5</v>
      </c>
      <c r="N203" s="396">
        <v>2395</v>
      </c>
      <c r="O203" s="396">
        <v>2451</v>
      </c>
      <c r="P203" s="395">
        <v>32.68</v>
      </c>
      <c r="Q203" s="395">
        <v>-75</v>
      </c>
      <c r="R203" s="396">
        <v>6573</v>
      </c>
      <c r="S203" s="395">
        <v>-244</v>
      </c>
      <c r="T203" s="396">
        <v>591609</v>
      </c>
      <c r="U203" s="396">
        <v>-280073</v>
      </c>
      <c r="V203" s="395">
        <v>24733.57</v>
      </c>
      <c r="W203" s="395">
        <v>25110.06</v>
      </c>
      <c r="X203" s="395">
        <v>77490</v>
      </c>
      <c r="Y203" s="395">
        <v>8319</v>
      </c>
      <c r="Z203" s="396">
        <v>5348710</v>
      </c>
      <c r="AA203" s="396">
        <v>534045</v>
      </c>
      <c r="AB203" s="396">
        <v>9000912</v>
      </c>
      <c r="AC203" s="396">
        <v>10207916</v>
      </c>
    </row>
    <row r="204" spans="1:29">
      <c r="A204">
        <v>6111</v>
      </c>
      <c r="B204" s="395" t="s">
        <v>7913</v>
      </c>
      <c r="C204" s="395"/>
      <c r="D204" s="396">
        <v>532914</v>
      </c>
      <c r="E204" s="396">
        <v>687259</v>
      </c>
      <c r="F204" s="395">
        <v>4.45</v>
      </c>
      <c r="G204" s="396">
        <v>-154345</v>
      </c>
      <c r="H204" s="396">
        <v>77958</v>
      </c>
      <c r="I204" s="396">
        <v>4372014</v>
      </c>
      <c r="J204" s="395">
        <v>264</v>
      </c>
      <c r="K204" s="395">
        <v>216</v>
      </c>
      <c r="L204" s="397">
        <v>0.81820000000000004</v>
      </c>
      <c r="M204" s="395">
        <v>48</v>
      </c>
      <c r="N204" s="396">
        <v>2019</v>
      </c>
      <c r="O204" s="396">
        <v>3182</v>
      </c>
      <c r="P204" s="395">
        <v>0.99</v>
      </c>
      <c r="Q204" s="396">
        <v>-3216</v>
      </c>
      <c r="R204" s="396">
        <v>13964</v>
      </c>
      <c r="S204" s="396">
        <v>-23105</v>
      </c>
      <c r="T204" s="396">
        <v>868356</v>
      </c>
      <c r="U204" s="396">
        <v>-333268</v>
      </c>
      <c r="V204" s="395">
        <v>5125.25</v>
      </c>
      <c r="W204" s="395">
        <v>4010.96</v>
      </c>
      <c r="X204" s="395">
        <v>77490</v>
      </c>
      <c r="Y204" s="395">
        <v>10139.56</v>
      </c>
      <c r="Z204" s="396">
        <v>-18718992</v>
      </c>
      <c r="AA204" s="396">
        <v>532914</v>
      </c>
      <c r="AB204" s="396">
        <v>13766345</v>
      </c>
      <c r="AC204" s="396">
        <v>10207916</v>
      </c>
    </row>
    <row r="205" spans="1:29">
      <c r="A205">
        <v>2548</v>
      </c>
      <c r="B205" s="395" t="s">
        <v>7135</v>
      </c>
      <c r="C205" s="395"/>
      <c r="D205" s="396">
        <v>531833</v>
      </c>
      <c r="E205" s="396">
        <v>639917</v>
      </c>
      <c r="F205" s="395">
        <v>5.92</v>
      </c>
      <c r="G205" s="396">
        <v>-108084</v>
      </c>
      <c r="H205" s="396">
        <v>101065</v>
      </c>
      <c r="I205" s="396">
        <v>7793305</v>
      </c>
      <c r="J205" s="395">
        <v>278</v>
      </c>
      <c r="K205" s="395">
        <v>207</v>
      </c>
      <c r="L205" s="397">
        <v>0.74460000000000004</v>
      </c>
      <c r="M205" s="395">
        <v>71</v>
      </c>
      <c r="N205" s="396">
        <v>1913</v>
      </c>
      <c r="O205" s="396">
        <v>3091</v>
      </c>
      <c r="P205" s="395">
        <v>2.0299999999999998</v>
      </c>
      <c r="Q205" s="396">
        <v>-1522</v>
      </c>
      <c r="R205" s="396">
        <v>8000</v>
      </c>
      <c r="S205" s="396">
        <v>-4070</v>
      </c>
      <c r="T205" s="396">
        <v>731439</v>
      </c>
      <c r="U205" s="396">
        <v>-196512</v>
      </c>
      <c r="V205" s="395">
        <v>8578.67</v>
      </c>
      <c r="W205" s="395">
        <v>7744.41</v>
      </c>
      <c r="X205" s="395">
        <v>77490</v>
      </c>
      <c r="Y205" s="395">
        <v>11010.96</v>
      </c>
      <c r="Z205" s="396">
        <v>1023384</v>
      </c>
      <c r="AA205" s="396">
        <v>531833</v>
      </c>
      <c r="AB205" s="396">
        <v>5587132</v>
      </c>
      <c r="AC205" s="396">
        <v>10207916</v>
      </c>
    </row>
    <row r="206" spans="1:29">
      <c r="A206">
        <v>5321</v>
      </c>
      <c r="B206" s="395" t="s">
        <v>7806</v>
      </c>
      <c r="C206" s="395"/>
      <c r="D206" s="396">
        <v>530714</v>
      </c>
      <c r="E206" s="396">
        <v>669734</v>
      </c>
      <c r="F206" s="395">
        <v>4.82</v>
      </c>
      <c r="G206" s="396">
        <v>-139020</v>
      </c>
      <c r="H206" s="396">
        <v>72186</v>
      </c>
      <c r="I206" s="396">
        <v>1750468</v>
      </c>
      <c r="J206" s="395">
        <v>242</v>
      </c>
      <c r="K206" s="395">
        <v>198</v>
      </c>
      <c r="L206" s="397">
        <v>0.81820000000000004</v>
      </c>
      <c r="M206" s="395">
        <v>44</v>
      </c>
      <c r="N206" s="396">
        <v>2193</v>
      </c>
      <c r="O206" s="396">
        <v>3382</v>
      </c>
      <c r="P206" s="395">
        <v>1.07</v>
      </c>
      <c r="Q206" s="396">
        <v>-3160</v>
      </c>
      <c r="R206" s="396">
        <v>15392</v>
      </c>
      <c r="S206" s="396">
        <v>-24488</v>
      </c>
      <c r="T206" s="396">
        <v>621505</v>
      </c>
      <c r="U206" s="396">
        <v>-172939</v>
      </c>
      <c r="V206" s="395">
        <v>2734.16</v>
      </c>
      <c r="W206" s="395">
        <v>2124.9299999999998</v>
      </c>
      <c r="X206" s="395">
        <v>77490</v>
      </c>
      <c r="Y206" s="395">
        <v>5475.7</v>
      </c>
      <c r="Z206" s="396">
        <v>11897798</v>
      </c>
      <c r="AA206" s="396">
        <v>530714</v>
      </c>
      <c r="AB206" s="396">
        <v>160379147</v>
      </c>
      <c r="AC206" s="396">
        <v>10207916</v>
      </c>
    </row>
    <row r="207" spans="1:29">
      <c r="A207">
        <v>2731</v>
      </c>
      <c r="B207" s="395" t="s">
        <v>7179</v>
      </c>
      <c r="C207" s="395"/>
      <c r="D207" s="396">
        <v>529605</v>
      </c>
      <c r="E207" s="396">
        <v>745880</v>
      </c>
      <c r="F207" s="395">
        <v>3.45</v>
      </c>
      <c r="G207" s="396">
        <v>-216275</v>
      </c>
      <c r="H207" s="396">
        <v>86795</v>
      </c>
      <c r="I207" s="396">
        <v>4671855</v>
      </c>
      <c r="J207" s="395">
        <v>244</v>
      </c>
      <c r="K207" s="395">
        <v>188</v>
      </c>
      <c r="L207" s="397">
        <v>0.77049999999999996</v>
      </c>
      <c r="M207" s="395">
        <v>56</v>
      </c>
      <c r="N207" s="396">
        <v>2171</v>
      </c>
      <c r="O207" s="396">
        <v>3967</v>
      </c>
      <c r="P207" s="395">
        <v>1.03</v>
      </c>
      <c r="Q207" s="396">
        <v>-3862</v>
      </c>
      <c r="R207" s="396">
        <v>20489</v>
      </c>
      <c r="S207" s="396">
        <v>-12380</v>
      </c>
      <c r="T207" s="396">
        <v>1145755</v>
      </c>
      <c r="U207" s="396">
        <v>-696849</v>
      </c>
      <c r="V207" s="395">
        <v>4450.5600000000004</v>
      </c>
      <c r="W207" s="395">
        <v>2663.78</v>
      </c>
      <c r="X207" s="395">
        <v>77490</v>
      </c>
      <c r="Y207" s="395">
        <v>10449.040000000001</v>
      </c>
      <c r="Z207" s="396">
        <v>10035812</v>
      </c>
      <c r="AA207" s="396">
        <v>529605</v>
      </c>
      <c r="AB207" s="396">
        <v>15834667</v>
      </c>
      <c r="AC207" s="396">
        <v>10207916</v>
      </c>
    </row>
    <row r="208" spans="1:29">
      <c r="A208">
        <v>6486</v>
      </c>
      <c r="B208" s="395" t="s">
        <v>8097</v>
      </c>
      <c r="C208" s="395"/>
      <c r="D208" s="396">
        <v>526342</v>
      </c>
      <c r="E208" s="396">
        <v>578487</v>
      </c>
      <c r="F208" s="395">
        <v>11.09</v>
      </c>
      <c r="G208" s="396">
        <v>-52145</v>
      </c>
      <c r="H208" s="396">
        <v>71822</v>
      </c>
      <c r="I208" s="396">
        <v>3562276</v>
      </c>
      <c r="J208" s="395">
        <v>229</v>
      </c>
      <c r="K208" s="395">
        <v>201</v>
      </c>
      <c r="L208" s="397">
        <v>0.87770000000000004</v>
      </c>
      <c r="M208" s="395">
        <v>28</v>
      </c>
      <c r="N208" s="396">
        <v>2298</v>
      </c>
      <c r="O208" s="396">
        <v>2878</v>
      </c>
      <c r="P208" s="395">
        <v>1.55</v>
      </c>
      <c r="Q208" s="396">
        <v>-1862</v>
      </c>
      <c r="R208" s="396">
        <v>8281</v>
      </c>
      <c r="S208" s="396">
        <v>-10260</v>
      </c>
      <c r="T208" s="396">
        <v>695288</v>
      </c>
      <c r="U208" s="396">
        <v>-288780</v>
      </c>
      <c r="V208" s="395">
        <v>6175.9</v>
      </c>
      <c r="W208" s="395">
        <v>5922</v>
      </c>
      <c r="X208" s="395">
        <v>77490</v>
      </c>
      <c r="Y208" s="395">
        <v>7998.46</v>
      </c>
      <c r="Z208" s="396">
        <v>-3471475</v>
      </c>
      <c r="AA208" s="396">
        <v>526342</v>
      </c>
      <c r="AB208" s="396">
        <v>-5114251</v>
      </c>
      <c r="AC208" s="396">
        <v>10207916</v>
      </c>
    </row>
    <row r="209" spans="1:29">
      <c r="A209">
        <v>3017</v>
      </c>
      <c r="B209" s="395" t="s">
        <v>7257</v>
      </c>
      <c r="C209" s="395"/>
      <c r="D209" s="396">
        <v>523244</v>
      </c>
      <c r="E209" s="396">
        <v>608635</v>
      </c>
      <c r="F209" s="395">
        <v>7.13</v>
      </c>
      <c r="G209" s="396">
        <v>-85390</v>
      </c>
      <c r="H209" s="396">
        <v>90043</v>
      </c>
      <c r="I209" s="396">
        <v>3137744</v>
      </c>
      <c r="J209" s="395">
        <v>283</v>
      </c>
      <c r="K209" s="395">
        <v>246</v>
      </c>
      <c r="L209" s="397">
        <v>0.86929999999999996</v>
      </c>
      <c r="M209" s="395">
        <v>37</v>
      </c>
      <c r="N209" s="396">
        <v>1849</v>
      </c>
      <c r="O209" s="396">
        <v>2474</v>
      </c>
      <c r="P209" s="395">
        <v>1.07</v>
      </c>
      <c r="Q209" s="396">
        <v>-2308</v>
      </c>
      <c r="R209" s="396">
        <v>8361</v>
      </c>
      <c r="S209" s="396">
        <v>-7891</v>
      </c>
      <c r="T209" s="396">
        <v>720171</v>
      </c>
      <c r="U209" s="396">
        <v>-202799</v>
      </c>
      <c r="V209" s="395">
        <v>2001.17</v>
      </c>
      <c r="W209" s="395">
        <v>1589.37</v>
      </c>
      <c r="X209" s="395">
        <v>77490</v>
      </c>
      <c r="Y209" s="395">
        <v>4739.03</v>
      </c>
      <c r="Z209" s="396">
        <v>18210303</v>
      </c>
      <c r="AA209" s="396">
        <v>523244</v>
      </c>
      <c r="AB209" s="396">
        <v>41501430</v>
      </c>
      <c r="AC209" s="396">
        <v>10207916</v>
      </c>
    </row>
    <row r="210" spans="1:29">
      <c r="A210">
        <v>1560</v>
      </c>
      <c r="B210" s="395" t="s">
        <v>6814</v>
      </c>
      <c r="C210" s="395"/>
      <c r="D210" s="396">
        <v>516197</v>
      </c>
      <c r="E210" s="396">
        <v>640918</v>
      </c>
      <c r="F210" s="395">
        <v>5.14</v>
      </c>
      <c r="G210" s="396">
        <v>-124721</v>
      </c>
      <c r="H210" s="396">
        <v>82890</v>
      </c>
      <c r="I210" s="396">
        <v>3148139</v>
      </c>
      <c r="J210" s="395">
        <v>260</v>
      </c>
      <c r="K210" s="395">
        <v>222</v>
      </c>
      <c r="L210" s="397">
        <v>0.8538</v>
      </c>
      <c r="M210" s="395">
        <v>38</v>
      </c>
      <c r="N210" s="396">
        <v>1985</v>
      </c>
      <c r="O210" s="396">
        <v>2887</v>
      </c>
      <c r="P210" s="395">
        <v>0.88</v>
      </c>
      <c r="Q210" s="396">
        <v>-3282</v>
      </c>
      <c r="R210" s="396">
        <v>11786</v>
      </c>
      <c r="S210" s="396">
        <v>-14967</v>
      </c>
      <c r="T210" s="396">
        <v>609431</v>
      </c>
      <c r="U210" s="396">
        <v>-188284</v>
      </c>
      <c r="V210" s="395">
        <v>2873.38</v>
      </c>
      <c r="W210" s="395">
        <v>2321.62</v>
      </c>
      <c r="X210" s="395">
        <v>77490</v>
      </c>
      <c r="Y210" s="395">
        <v>6096.84</v>
      </c>
      <c r="Z210" s="396">
        <v>4442086</v>
      </c>
      <c r="AA210" s="396">
        <v>516197</v>
      </c>
      <c r="AB210" s="396">
        <v>42670167</v>
      </c>
      <c r="AC210" s="396">
        <v>10207916</v>
      </c>
    </row>
    <row r="211" spans="1:29">
      <c r="A211">
        <v>4755</v>
      </c>
      <c r="B211" s="395" t="s">
        <v>7691</v>
      </c>
      <c r="C211" s="395"/>
      <c r="D211" s="396">
        <v>503999</v>
      </c>
      <c r="E211" s="396">
        <v>649891</v>
      </c>
      <c r="F211" s="395">
        <v>4.45</v>
      </c>
      <c r="G211" s="396">
        <v>-145892</v>
      </c>
      <c r="H211" s="396">
        <v>78305</v>
      </c>
      <c r="I211" s="396">
        <v>2508376</v>
      </c>
      <c r="J211" s="395">
        <v>227</v>
      </c>
      <c r="K211" s="395">
        <v>186</v>
      </c>
      <c r="L211" s="397">
        <v>0.81940000000000002</v>
      </c>
      <c r="M211" s="395">
        <v>41</v>
      </c>
      <c r="N211" s="396">
        <v>2220</v>
      </c>
      <c r="O211" s="396">
        <v>3494</v>
      </c>
      <c r="P211" s="395">
        <v>0.98</v>
      </c>
      <c r="Q211" s="396">
        <v>-3558</v>
      </c>
      <c r="R211" s="396">
        <v>28937</v>
      </c>
      <c r="S211" s="396">
        <v>-20161</v>
      </c>
      <c r="T211" s="396">
        <v>608713</v>
      </c>
      <c r="U211" s="396">
        <v>-468227</v>
      </c>
      <c r="V211" s="395">
        <v>2532</v>
      </c>
      <c r="W211" s="395">
        <v>1869.77</v>
      </c>
      <c r="X211" s="395">
        <v>77490</v>
      </c>
      <c r="Y211" s="395">
        <v>5536.27</v>
      </c>
      <c r="Z211" s="396">
        <v>9773194</v>
      </c>
      <c r="AA211" s="396">
        <v>503999</v>
      </c>
      <c r="AB211" s="396">
        <v>73058603</v>
      </c>
      <c r="AC211" s="396">
        <v>10207916</v>
      </c>
    </row>
    <row r="212" spans="1:29">
      <c r="A212">
        <v>9921</v>
      </c>
      <c r="B212" s="395" t="s">
        <v>8405</v>
      </c>
      <c r="C212" s="395"/>
      <c r="D212" s="396">
        <v>501607</v>
      </c>
      <c r="E212" s="396">
        <v>2204671</v>
      </c>
      <c r="F212" s="395">
        <v>1.29</v>
      </c>
      <c r="G212" s="396">
        <v>-1703064</v>
      </c>
      <c r="H212" s="396">
        <v>352608</v>
      </c>
      <c r="I212" s="396">
        <v>22605550</v>
      </c>
      <c r="J212" s="395">
        <v>279</v>
      </c>
      <c r="K212" s="395">
        <v>201</v>
      </c>
      <c r="L212" s="397">
        <v>0.72040000000000004</v>
      </c>
      <c r="M212" s="395">
        <v>78</v>
      </c>
      <c r="N212" s="396">
        <v>1798</v>
      </c>
      <c r="O212" s="396">
        <v>10969</v>
      </c>
      <c r="P212" s="395">
        <v>0.5</v>
      </c>
      <c r="Q212" s="396">
        <v>-21834</v>
      </c>
      <c r="R212" s="396">
        <v>32758</v>
      </c>
      <c r="S212" s="396">
        <v>-73260</v>
      </c>
      <c r="T212" s="396">
        <v>3210908</v>
      </c>
      <c r="U212" s="396">
        <v>-1995913</v>
      </c>
      <c r="V212" s="395">
        <v>4104.96</v>
      </c>
      <c r="W212" s="395">
        <v>2649.47</v>
      </c>
      <c r="X212" s="395">
        <v>77490</v>
      </c>
      <c r="Y212" s="395">
        <v>7855.64</v>
      </c>
      <c r="Z212" s="396">
        <v>1379603</v>
      </c>
      <c r="AA212" s="396">
        <v>501607</v>
      </c>
      <c r="AB212" s="396">
        <v>2847580</v>
      </c>
      <c r="AC212" s="396">
        <v>10207916</v>
      </c>
    </row>
    <row r="213" spans="1:29">
      <c r="A213">
        <v>4958</v>
      </c>
      <c r="B213" s="395" t="s">
        <v>7732</v>
      </c>
      <c r="C213" s="395"/>
      <c r="D213" s="396">
        <v>499594</v>
      </c>
      <c r="E213" s="396">
        <v>942821</v>
      </c>
      <c r="F213" s="395">
        <v>2.13</v>
      </c>
      <c r="G213" s="396">
        <v>-443227</v>
      </c>
      <c r="H213" s="396">
        <v>118690</v>
      </c>
      <c r="I213" s="396">
        <v>6994977</v>
      </c>
      <c r="J213" s="395">
        <v>283</v>
      </c>
      <c r="K213" s="395">
        <v>211</v>
      </c>
      <c r="L213" s="397">
        <v>0.74560000000000004</v>
      </c>
      <c r="M213" s="395">
        <v>72</v>
      </c>
      <c r="N213" s="396">
        <v>1765</v>
      </c>
      <c r="O213" s="396">
        <v>4468</v>
      </c>
      <c r="P213" s="395">
        <v>0.73</v>
      </c>
      <c r="Q213" s="396">
        <v>-6156</v>
      </c>
      <c r="R213" s="396">
        <v>21915</v>
      </c>
      <c r="S213" s="396">
        <v>-21472</v>
      </c>
      <c r="T213" s="396">
        <v>1385909</v>
      </c>
      <c r="U213" s="396">
        <v>-908710</v>
      </c>
      <c r="V213" s="395">
        <v>6480.66</v>
      </c>
      <c r="W213" s="395">
        <v>4410.92</v>
      </c>
      <c r="X213" s="395">
        <v>77490</v>
      </c>
      <c r="Y213" s="395">
        <v>12546.15</v>
      </c>
      <c r="Z213" s="396">
        <v>-12339420</v>
      </c>
      <c r="AA213" s="396">
        <v>499594</v>
      </c>
      <c r="AB213" s="396">
        <v>-6958888</v>
      </c>
      <c r="AC213" s="396">
        <v>10207916</v>
      </c>
    </row>
    <row r="214" spans="1:29">
      <c r="A214">
        <v>6204</v>
      </c>
      <c r="B214" s="395" t="s">
        <v>7991</v>
      </c>
      <c r="C214" s="395"/>
      <c r="D214" s="396">
        <v>496829</v>
      </c>
      <c r="E214" s="396">
        <v>697983</v>
      </c>
      <c r="F214" s="395">
        <v>3.47</v>
      </c>
      <c r="G214" s="396">
        <v>-201154</v>
      </c>
      <c r="H214" s="396">
        <v>69149</v>
      </c>
      <c r="I214" s="396">
        <v>3756200</v>
      </c>
      <c r="J214" s="395">
        <v>185</v>
      </c>
      <c r="K214" s="395">
        <v>134</v>
      </c>
      <c r="L214" s="397">
        <v>0.72430000000000005</v>
      </c>
      <c r="M214" s="395">
        <v>51</v>
      </c>
      <c r="N214" s="396">
        <v>2686</v>
      </c>
      <c r="O214" s="396">
        <v>5209</v>
      </c>
      <c r="P214" s="395">
        <v>1.32</v>
      </c>
      <c r="Q214" s="396">
        <v>-3944</v>
      </c>
      <c r="R214" s="396">
        <v>21576</v>
      </c>
      <c r="S214" s="396">
        <v>-19003</v>
      </c>
      <c r="T214" s="396">
        <v>746693</v>
      </c>
      <c r="U214" s="396">
        <v>-231917</v>
      </c>
      <c r="V214" s="395">
        <v>6742.29</v>
      </c>
      <c r="W214" s="395">
        <v>3984.16</v>
      </c>
      <c r="X214" s="395">
        <v>77490</v>
      </c>
      <c r="Y214" s="395">
        <v>13989.16</v>
      </c>
      <c r="Z214" s="396">
        <v>-15132887</v>
      </c>
      <c r="AA214" s="396">
        <v>496829</v>
      </c>
      <c r="AB214" s="396">
        <v>-15945360</v>
      </c>
      <c r="AC214" s="396">
        <v>10207916</v>
      </c>
    </row>
    <row r="215" spans="1:29">
      <c r="A215">
        <v>2393</v>
      </c>
      <c r="B215" s="395" t="s">
        <v>7032</v>
      </c>
      <c r="C215" s="395"/>
      <c r="D215" s="396">
        <v>496608</v>
      </c>
      <c r="E215" s="396">
        <v>626012</v>
      </c>
      <c r="F215" s="395">
        <v>4.84</v>
      </c>
      <c r="G215" s="396">
        <v>-129404</v>
      </c>
      <c r="H215" s="396">
        <v>56722</v>
      </c>
      <c r="I215" s="396">
        <v>3742149</v>
      </c>
      <c r="J215" s="395">
        <v>277</v>
      </c>
      <c r="K215" s="395">
        <v>226</v>
      </c>
      <c r="L215" s="397">
        <v>0.81589999999999996</v>
      </c>
      <c r="M215" s="395">
        <v>51</v>
      </c>
      <c r="N215" s="396">
        <v>1793</v>
      </c>
      <c r="O215" s="396">
        <v>2770</v>
      </c>
      <c r="P215" s="395">
        <v>1.0900000000000001</v>
      </c>
      <c r="Q215" s="396">
        <v>-2537</v>
      </c>
      <c r="R215" s="396">
        <v>11247</v>
      </c>
      <c r="S215" s="396">
        <v>-9525</v>
      </c>
      <c r="T215" s="396">
        <v>786339</v>
      </c>
      <c r="U215" s="396">
        <v>-404937</v>
      </c>
      <c r="V215" s="395">
        <v>4218.5200000000004</v>
      </c>
      <c r="W215" s="395">
        <v>3728.18</v>
      </c>
      <c r="X215" s="395">
        <v>77490</v>
      </c>
      <c r="Y215" s="395">
        <v>6391.41</v>
      </c>
      <c r="Z215" s="396">
        <v>-8719430</v>
      </c>
      <c r="AA215" s="396">
        <v>496608</v>
      </c>
      <c r="AB215" s="396">
        <v>6530198</v>
      </c>
      <c r="AC215" s="396">
        <v>10207916</v>
      </c>
    </row>
    <row r="216" spans="1:29">
      <c r="A216">
        <v>5278</v>
      </c>
      <c r="B216" s="395" t="s">
        <v>7788</v>
      </c>
      <c r="C216" s="395"/>
      <c r="D216" s="396">
        <v>496103</v>
      </c>
      <c r="E216" s="396">
        <v>552181</v>
      </c>
      <c r="F216" s="395">
        <v>9.85</v>
      </c>
      <c r="G216" s="396">
        <v>-56079</v>
      </c>
      <c r="H216" s="396">
        <v>73807</v>
      </c>
      <c r="I216" s="396">
        <v>3113851</v>
      </c>
      <c r="J216" s="395">
        <v>98</v>
      </c>
      <c r="K216" s="395">
        <v>83</v>
      </c>
      <c r="L216" s="397">
        <v>0.84689999999999999</v>
      </c>
      <c r="M216" s="395">
        <v>15</v>
      </c>
      <c r="N216" s="396">
        <v>5062</v>
      </c>
      <c r="O216" s="396">
        <v>6653</v>
      </c>
      <c r="P216" s="395">
        <v>1.78</v>
      </c>
      <c r="Q216" s="396">
        <v>-3739</v>
      </c>
      <c r="R216" s="396">
        <v>31207</v>
      </c>
      <c r="S216" s="396">
        <v>-7159</v>
      </c>
      <c r="T216" s="396">
        <v>861305</v>
      </c>
      <c r="U216" s="396">
        <v>-498432</v>
      </c>
      <c r="V216" s="395">
        <v>2682.07</v>
      </c>
      <c r="W216" s="395">
        <v>2161.88</v>
      </c>
      <c r="X216" s="395">
        <v>76140</v>
      </c>
      <c r="Y216" s="395">
        <v>5560.47</v>
      </c>
      <c r="Z216" s="396">
        <v>18068969</v>
      </c>
      <c r="AA216" s="396">
        <v>496103</v>
      </c>
      <c r="AB216" s="396">
        <v>55596968</v>
      </c>
      <c r="AC216" s="396">
        <v>10207916</v>
      </c>
    </row>
    <row r="217" spans="1:29">
      <c r="A217">
        <v>4952</v>
      </c>
      <c r="B217" s="395" t="s">
        <v>7729</v>
      </c>
      <c r="C217" s="395"/>
      <c r="D217" s="396">
        <v>492941</v>
      </c>
      <c r="E217" s="396">
        <v>650635</v>
      </c>
      <c r="F217" s="395">
        <v>4.13</v>
      </c>
      <c r="G217" s="396">
        <v>-157694</v>
      </c>
      <c r="H217" s="396">
        <v>69020</v>
      </c>
      <c r="I217" s="396">
        <v>3494637</v>
      </c>
      <c r="J217" s="395">
        <v>277</v>
      </c>
      <c r="K217" s="395">
        <v>226</v>
      </c>
      <c r="L217" s="397">
        <v>0.81589999999999996</v>
      </c>
      <c r="M217" s="395">
        <v>51</v>
      </c>
      <c r="N217" s="396">
        <v>1780</v>
      </c>
      <c r="O217" s="396">
        <v>2879</v>
      </c>
      <c r="P217" s="395">
        <v>0.93</v>
      </c>
      <c r="Q217" s="396">
        <v>-3092</v>
      </c>
      <c r="R217" s="396">
        <v>18606</v>
      </c>
      <c r="S217" s="396">
        <v>-12194</v>
      </c>
      <c r="T217" s="396">
        <v>568597</v>
      </c>
      <c r="U217" s="396">
        <v>-367176</v>
      </c>
      <c r="V217" s="395">
        <v>3426.76</v>
      </c>
      <c r="W217" s="395">
        <v>2380.21</v>
      </c>
      <c r="X217" s="395">
        <v>77490</v>
      </c>
      <c r="Y217" s="395">
        <v>8064.41</v>
      </c>
      <c r="Z217" s="396">
        <v>-4311836</v>
      </c>
      <c r="AA217" s="396">
        <v>492941</v>
      </c>
      <c r="AB217" s="396">
        <v>37054919</v>
      </c>
      <c r="AC217" s="396">
        <v>10207916</v>
      </c>
    </row>
    <row r="218" spans="1:29">
      <c r="A218">
        <v>8069</v>
      </c>
      <c r="B218" s="395" t="s">
        <v>8251</v>
      </c>
      <c r="C218" s="395"/>
      <c r="D218" s="396">
        <v>491223</v>
      </c>
      <c r="E218" s="396">
        <v>658736</v>
      </c>
      <c r="F218" s="395">
        <v>3.93</v>
      </c>
      <c r="G218" s="396">
        <v>-167513</v>
      </c>
      <c r="H218" s="396">
        <v>99838</v>
      </c>
      <c r="I218" s="396">
        <v>1226360</v>
      </c>
      <c r="J218" s="395">
        <v>285</v>
      </c>
      <c r="K218" s="395">
        <v>244</v>
      </c>
      <c r="L218" s="397">
        <v>0.85609999999999997</v>
      </c>
      <c r="M218" s="395">
        <v>41</v>
      </c>
      <c r="N218" s="396">
        <v>1724</v>
      </c>
      <c r="O218" s="396">
        <v>2700</v>
      </c>
      <c r="P218" s="395">
        <v>0.66</v>
      </c>
      <c r="Q218" s="396">
        <v>-4086</v>
      </c>
      <c r="R218" s="396">
        <v>12558</v>
      </c>
      <c r="S218" s="396">
        <v>-16576</v>
      </c>
      <c r="T218" s="396">
        <v>596599</v>
      </c>
      <c r="U218" s="396">
        <v>-121095</v>
      </c>
      <c r="V218" s="395">
        <v>897.17</v>
      </c>
      <c r="W218" s="395">
        <v>692.87</v>
      </c>
      <c r="X218" s="395">
        <v>77490</v>
      </c>
      <c r="Y218" s="395">
        <v>2113</v>
      </c>
      <c r="Z218" s="396">
        <v>41574139</v>
      </c>
      <c r="AA218" s="396">
        <v>491223</v>
      </c>
      <c r="AB218" s="396">
        <v>101814059</v>
      </c>
      <c r="AC218" s="396">
        <v>10207916</v>
      </c>
    </row>
    <row r="219" spans="1:29">
      <c r="A219">
        <v>6548</v>
      </c>
      <c r="B219" s="395" t="s">
        <v>8126</v>
      </c>
      <c r="C219" s="395"/>
      <c r="D219" s="396">
        <v>491030</v>
      </c>
      <c r="E219" s="396">
        <v>731288</v>
      </c>
      <c r="F219" s="395">
        <v>3.04</v>
      </c>
      <c r="G219" s="396">
        <v>-240258</v>
      </c>
      <c r="H219" s="396">
        <v>96774</v>
      </c>
      <c r="I219" s="396">
        <v>2832263</v>
      </c>
      <c r="J219" s="395">
        <v>278</v>
      </c>
      <c r="K219" s="395">
        <v>215</v>
      </c>
      <c r="L219" s="397">
        <v>0.77339999999999998</v>
      </c>
      <c r="M219" s="395">
        <v>63</v>
      </c>
      <c r="N219" s="396">
        <v>1766</v>
      </c>
      <c r="O219" s="396">
        <v>3401</v>
      </c>
      <c r="P219" s="395">
        <v>0.89</v>
      </c>
      <c r="Q219" s="396">
        <v>-3814</v>
      </c>
      <c r="R219" s="396">
        <v>15658</v>
      </c>
      <c r="S219" s="396">
        <v>-16019</v>
      </c>
      <c r="T219" s="396">
        <v>892974</v>
      </c>
      <c r="U219" s="396">
        <v>-418244</v>
      </c>
      <c r="V219" s="395">
        <v>2228.15</v>
      </c>
      <c r="W219" s="395">
        <v>1418.56</v>
      </c>
      <c r="X219" s="395">
        <v>77490</v>
      </c>
      <c r="Y219" s="395">
        <v>4991.03</v>
      </c>
      <c r="Z219" s="396">
        <v>3791814</v>
      </c>
      <c r="AA219" s="396">
        <v>491030</v>
      </c>
      <c r="AB219" s="396">
        <v>32350548</v>
      </c>
      <c r="AC219" s="396">
        <v>10207916</v>
      </c>
    </row>
    <row r="220" spans="1:29">
      <c r="A220">
        <v>2436</v>
      </c>
      <c r="B220" s="395" t="s">
        <v>7062</v>
      </c>
      <c r="C220" s="395"/>
      <c r="D220" s="396">
        <v>489205</v>
      </c>
      <c r="E220" s="396">
        <v>710038</v>
      </c>
      <c r="F220" s="395">
        <v>3.22</v>
      </c>
      <c r="G220" s="396">
        <v>-220833</v>
      </c>
      <c r="H220" s="396">
        <v>84895</v>
      </c>
      <c r="I220" s="396">
        <v>2155940</v>
      </c>
      <c r="J220" s="395">
        <v>277</v>
      </c>
      <c r="K220" s="395">
        <v>223</v>
      </c>
      <c r="L220" s="397">
        <v>0.80510000000000004</v>
      </c>
      <c r="M220" s="395">
        <v>54</v>
      </c>
      <c r="N220" s="396">
        <v>1766</v>
      </c>
      <c r="O220" s="396">
        <v>3184</v>
      </c>
      <c r="P220" s="395">
        <v>0.78</v>
      </c>
      <c r="Q220" s="396">
        <v>-4089</v>
      </c>
      <c r="R220" s="396">
        <v>17363</v>
      </c>
      <c r="S220" s="396">
        <v>-19010</v>
      </c>
      <c r="T220" s="396">
        <v>589354</v>
      </c>
      <c r="U220" s="396">
        <v>-201971</v>
      </c>
      <c r="V220" s="395">
        <v>1579.11</v>
      </c>
      <c r="W220" s="395">
        <v>1100.51</v>
      </c>
      <c r="X220" s="395">
        <v>77490</v>
      </c>
      <c r="Y220" s="395">
        <v>3555.56</v>
      </c>
      <c r="Z220" s="396">
        <v>-8606110</v>
      </c>
      <c r="AA220" s="396">
        <v>489205</v>
      </c>
      <c r="AB220" s="396">
        <v>39319884</v>
      </c>
      <c r="AC220" s="396">
        <v>10207916</v>
      </c>
    </row>
    <row r="221" spans="1:29">
      <c r="A221">
        <v>3546</v>
      </c>
      <c r="B221" s="395" t="s">
        <v>7471</v>
      </c>
      <c r="C221" s="395"/>
      <c r="D221" s="396">
        <v>486309</v>
      </c>
      <c r="E221" s="396">
        <v>815327</v>
      </c>
      <c r="F221" s="395">
        <v>2.48</v>
      </c>
      <c r="G221" s="396">
        <v>-329018</v>
      </c>
      <c r="H221" s="396">
        <v>93126</v>
      </c>
      <c r="I221" s="396">
        <v>3045788</v>
      </c>
      <c r="J221" s="395">
        <v>257</v>
      </c>
      <c r="K221" s="395">
        <v>183</v>
      </c>
      <c r="L221" s="397">
        <v>0.71209999999999996</v>
      </c>
      <c r="M221" s="395">
        <v>74</v>
      </c>
      <c r="N221" s="396">
        <v>1892</v>
      </c>
      <c r="O221" s="396">
        <v>4455</v>
      </c>
      <c r="P221" s="395">
        <v>1</v>
      </c>
      <c r="Q221" s="396">
        <v>-4446</v>
      </c>
      <c r="R221" s="396">
        <v>17873</v>
      </c>
      <c r="S221" s="396">
        <v>-17464</v>
      </c>
      <c r="T221" s="396">
        <v>859823</v>
      </c>
      <c r="U221" s="396">
        <v>-277082</v>
      </c>
      <c r="V221" s="395">
        <v>3761.47</v>
      </c>
      <c r="W221" s="395">
        <v>2578.25</v>
      </c>
      <c r="X221" s="395">
        <v>77490</v>
      </c>
      <c r="Y221" s="395">
        <v>6687.55</v>
      </c>
      <c r="Z221" s="396">
        <v>-15180087</v>
      </c>
      <c r="AA221" s="396">
        <v>486309</v>
      </c>
      <c r="AB221" s="396">
        <v>-5706179</v>
      </c>
      <c r="AC221" s="396">
        <v>10207916</v>
      </c>
    </row>
    <row r="222" spans="1:29">
      <c r="A222">
        <v>2301</v>
      </c>
      <c r="B222" s="395" t="s">
        <v>6972</v>
      </c>
      <c r="C222" s="395"/>
      <c r="D222" s="396">
        <v>486178</v>
      </c>
      <c r="E222" s="396">
        <v>502728</v>
      </c>
      <c r="F222" s="395">
        <v>30.38</v>
      </c>
      <c r="G222" s="396">
        <v>-16550</v>
      </c>
      <c r="H222" s="396">
        <v>70747</v>
      </c>
      <c r="I222" s="396">
        <v>2724847</v>
      </c>
      <c r="J222" s="395">
        <v>282</v>
      </c>
      <c r="K222" s="395">
        <v>267</v>
      </c>
      <c r="L222" s="397">
        <v>0.94679999999999997</v>
      </c>
      <c r="M222" s="395">
        <v>15</v>
      </c>
      <c r="N222" s="396">
        <v>1724</v>
      </c>
      <c r="O222" s="396">
        <v>1883</v>
      </c>
      <c r="P222" s="395">
        <v>1.71</v>
      </c>
      <c r="Q222" s="396">
        <v>-1103</v>
      </c>
      <c r="R222" s="396">
        <v>6261</v>
      </c>
      <c r="S222" s="396">
        <v>-2765</v>
      </c>
      <c r="T222" s="396">
        <v>496174</v>
      </c>
      <c r="U222" s="396">
        <v>-73939</v>
      </c>
      <c r="V222" s="395">
        <v>3312.02</v>
      </c>
      <c r="W222" s="395">
        <v>3174.38</v>
      </c>
      <c r="X222" s="395">
        <v>77490</v>
      </c>
      <c r="Y222" s="395">
        <v>5762.13</v>
      </c>
      <c r="Z222" s="396">
        <v>15568792</v>
      </c>
      <c r="AA222" s="396">
        <v>486178</v>
      </c>
      <c r="AB222" s="396">
        <v>26340608</v>
      </c>
      <c r="AC222" s="396">
        <v>10207916</v>
      </c>
    </row>
    <row r="223" spans="1:29">
      <c r="A223">
        <v>2338</v>
      </c>
      <c r="B223" s="395" t="s">
        <v>6992</v>
      </c>
      <c r="C223" s="395"/>
      <c r="D223" s="396">
        <v>485060</v>
      </c>
      <c r="E223" s="396">
        <v>782253</v>
      </c>
      <c r="F223" s="395">
        <v>2.63</v>
      </c>
      <c r="G223" s="396">
        <v>-297193</v>
      </c>
      <c r="H223" s="396">
        <v>90840</v>
      </c>
      <c r="I223" s="396">
        <v>2935726</v>
      </c>
      <c r="J223" s="395">
        <v>273</v>
      </c>
      <c r="K223" s="395">
        <v>215</v>
      </c>
      <c r="L223" s="397">
        <v>0.78749999999999998</v>
      </c>
      <c r="M223" s="395">
        <v>58</v>
      </c>
      <c r="N223" s="396">
        <v>1777</v>
      </c>
      <c r="O223" s="396">
        <v>3638</v>
      </c>
      <c r="P223" s="395">
        <v>0.71</v>
      </c>
      <c r="Q223" s="396">
        <v>-5124</v>
      </c>
      <c r="R223" s="396">
        <v>18582</v>
      </c>
      <c r="S223" s="396">
        <v>-23803</v>
      </c>
      <c r="T223" s="396">
        <v>651803</v>
      </c>
      <c r="U223" s="396">
        <v>-270875</v>
      </c>
      <c r="V223" s="395">
        <v>1910</v>
      </c>
      <c r="W223" s="395">
        <v>1268.1300000000001</v>
      </c>
      <c r="X223" s="395">
        <v>77490</v>
      </c>
      <c r="Y223" s="395">
        <v>4289.33</v>
      </c>
      <c r="Z223" s="396">
        <v>-1042060</v>
      </c>
      <c r="AA223" s="396">
        <v>485060</v>
      </c>
      <c r="AB223" s="396">
        <v>64923345</v>
      </c>
      <c r="AC223" s="396">
        <v>10207916</v>
      </c>
    </row>
    <row r="224" spans="1:29">
      <c r="A224">
        <v>6412</v>
      </c>
      <c r="B224" s="395" t="s">
        <v>8066</v>
      </c>
      <c r="C224" s="395"/>
      <c r="D224" s="396">
        <v>484440</v>
      </c>
      <c r="E224" s="396">
        <v>573821</v>
      </c>
      <c r="F224" s="395">
        <v>6.42</v>
      </c>
      <c r="G224" s="396">
        <v>-89381</v>
      </c>
      <c r="H224" s="396">
        <v>82836</v>
      </c>
      <c r="I224" s="396">
        <v>5983528</v>
      </c>
      <c r="J224" s="395">
        <v>276</v>
      </c>
      <c r="K224" s="395">
        <v>231</v>
      </c>
      <c r="L224" s="397">
        <v>0.83699999999999997</v>
      </c>
      <c r="M224" s="395">
        <v>45</v>
      </c>
      <c r="N224" s="396">
        <v>1755</v>
      </c>
      <c r="O224" s="396">
        <v>2484</v>
      </c>
      <c r="P224" s="395">
        <v>1.25</v>
      </c>
      <c r="Q224" s="396">
        <v>-1986</v>
      </c>
      <c r="R224" s="396">
        <v>8822</v>
      </c>
      <c r="S224" s="396">
        <v>-7138</v>
      </c>
      <c r="T224" s="396">
        <v>669129</v>
      </c>
      <c r="U224" s="396">
        <v>-343888</v>
      </c>
      <c r="V224" s="395">
        <v>6374.6</v>
      </c>
      <c r="W224" s="395">
        <v>4994.6499999999996</v>
      </c>
      <c r="X224" s="395">
        <v>77490</v>
      </c>
      <c r="Y224" s="395">
        <v>13458.31</v>
      </c>
      <c r="Z224" s="396">
        <v>-4226257</v>
      </c>
      <c r="AA224" s="396">
        <v>484440</v>
      </c>
      <c r="AB224" s="396">
        <v>12298876</v>
      </c>
      <c r="AC224" s="396">
        <v>10207916</v>
      </c>
    </row>
    <row r="225" spans="1:29">
      <c r="A225">
        <v>4162</v>
      </c>
      <c r="B225" s="395" t="s">
        <v>7586</v>
      </c>
      <c r="C225" s="395"/>
      <c r="D225" s="396">
        <v>483334</v>
      </c>
      <c r="E225" s="396">
        <v>579364</v>
      </c>
      <c r="F225" s="395">
        <v>6.03</v>
      </c>
      <c r="G225" s="396">
        <v>-96031</v>
      </c>
      <c r="H225" s="396">
        <v>69041</v>
      </c>
      <c r="I225" s="396">
        <v>4154771</v>
      </c>
      <c r="J225" s="395">
        <v>265</v>
      </c>
      <c r="K225" s="395">
        <v>227</v>
      </c>
      <c r="L225" s="397">
        <v>0.85660000000000003</v>
      </c>
      <c r="M225" s="395">
        <v>38</v>
      </c>
      <c r="N225" s="396">
        <v>1824</v>
      </c>
      <c r="O225" s="396">
        <v>2552</v>
      </c>
      <c r="P225" s="395">
        <v>1.01</v>
      </c>
      <c r="Q225" s="396">
        <v>-2527</v>
      </c>
      <c r="R225" s="396">
        <v>7447</v>
      </c>
      <c r="S225" s="396">
        <v>-14352</v>
      </c>
      <c r="T225" s="396">
        <v>613713</v>
      </c>
      <c r="U225" s="396">
        <v>-197045</v>
      </c>
      <c r="V225" s="395">
        <v>4430.32</v>
      </c>
      <c r="W225" s="395">
        <v>3955.27</v>
      </c>
      <c r="X225" s="395">
        <v>77490</v>
      </c>
      <c r="Y225" s="395">
        <v>7268.13</v>
      </c>
      <c r="Z225" s="396">
        <v>-17409717</v>
      </c>
      <c r="AA225" s="396">
        <v>483334</v>
      </c>
      <c r="AB225" s="396">
        <v>22748596</v>
      </c>
      <c r="AC225" s="396">
        <v>10207916</v>
      </c>
    </row>
    <row r="226" spans="1:29">
      <c r="A226">
        <v>9917</v>
      </c>
      <c r="B226" s="395" t="s">
        <v>8402</v>
      </c>
      <c r="C226" s="395"/>
      <c r="D226" s="396">
        <v>482958</v>
      </c>
      <c r="E226" s="396">
        <v>527918</v>
      </c>
      <c r="F226" s="395">
        <v>11.74</v>
      </c>
      <c r="G226" s="396">
        <v>-44960</v>
      </c>
      <c r="H226" s="396">
        <v>105240</v>
      </c>
      <c r="I226" s="396">
        <v>6903392</v>
      </c>
      <c r="J226" s="395">
        <v>271</v>
      </c>
      <c r="K226" s="395">
        <v>229</v>
      </c>
      <c r="L226" s="397">
        <v>0.84499999999999997</v>
      </c>
      <c r="M226" s="395">
        <v>42</v>
      </c>
      <c r="N226" s="396">
        <v>1782</v>
      </c>
      <c r="O226" s="396">
        <v>2305</v>
      </c>
      <c r="P226" s="395">
        <v>2.15</v>
      </c>
      <c r="Q226" s="396">
        <v>-1070</v>
      </c>
      <c r="R226" s="396">
        <v>5344</v>
      </c>
      <c r="S226" s="396">
        <v>-3919</v>
      </c>
      <c r="T226" s="396">
        <v>620749</v>
      </c>
      <c r="U226" s="396">
        <v>-197029</v>
      </c>
      <c r="V226" s="395">
        <v>6556.69</v>
      </c>
      <c r="W226" s="395">
        <v>5644.86</v>
      </c>
      <c r="X226" s="395">
        <v>77490</v>
      </c>
      <c r="Y226" s="395">
        <v>11528.36</v>
      </c>
      <c r="Z226" s="396">
        <v>9177285</v>
      </c>
      <c r="AA226" s="396">
        <v>482958</v>
      </c>
      <c r="AB226" s="396">
        <v>11118414</v>
      </c>
      <c r="AC226" s="396">
        <v>10207916</v>
      </c>
    </row>
    <row r="227" spans="1:29">
      <c r="A227">
        <v>2642</v>
      </c>
      <c r="B227" s="395" t="s">
        <v>7161</v>
      </c>
      <c r="C227" s="395"/>
      <c r="D227" s="396">
        <v>482625</v>
      </c>
      <c r="E227" s="396">
        <v>895380</v>
      </c>
      <c r="F227" s="395">
        <v>2.17</v>
      </c>
      <c r="G227" s="396">
        <v>-412755</v>
      </c>
      <c r="H227" s="396">
        <v>71443</v>
      </c>
      <c r="I227" s="396">
        <v>4468427</v>
      </c>
      <c r="J227" s="395">
        <v>257</v>
      </c>
      <c r="K227" s="395">
        <v>202</v>
      </c>
      <c r="L227" s="397">
        <v>0.78600000000000003</v>
      </c>
      <c r="M227" s="395">
        <v>55</v>
      </c>
      <c r="N227" s="396">
        <v>1878</v>
      </c>
      <c r="O227" s="396">
        <v>4433</v>
      </c>
      <c r="P227" s="395">
        <v>0.59</v>
      </c>
      <c r="Q227" s="396">
        <v>-7505</v>
      </c>
      <c r="R227" s="396">
        <v>24672</v>
      </c>
      <c r="S227" s="396">
        <v>-49731</v>
      </c>
      <c r="T227" s="396">
        <v>1388294</v>
      </c>
      <c r="U227" s="396">
        <v>-967952</v>
      </c>
      <c r="V227" s="395">
        <v>3323.55</v>
      </c>
      <c r="W227" s="395">
        <v>2412.33</v>
      </c>
      <c r="X227" s="395">
        <v>77490</v>
      </c>
      <c r="Y227" s="395">
        <v>6670.22</v>
      </c>
      <c r="Z227" s="396">
        <v>-13378717</v>
      </c>
      <c r="AA227" s="396">
        <v>482625</v>
      </c>
      <c r="AB227" s="396">
        <v>56770275</v>
      </c>
      <c r="AC227" s="396">
        <v>10207916</v>
      </c>
    </row>
    <row r="228" spans="1:29">
      <c r="A228">
        <v>4572</v>
      </c>
      <c r="B228" s="395" t="s">
        <v>7662</v>
      </c>
      <c r="C228" s="395"/>
      <c r="D228" s="396">
        <v>479321</v>
      </c>
      <c r="E228" s="396">
        <v>600719</v>
      </c>
      <c r="F228" s="395">
        <v>4.95</v>
      </c>
      <c r="G228" s="396">
        <v>-121398</v>
      </c>
      <c r="H228" s="396">
        <v>82179</v>
      </c>
      <c r="I228" s="396">
        <v>3653202</v>
      </c>
      <c r="J228" s="395">
        <v>206</v>
      </c>
      <c r="K228" s="395">
        <v>162</v>
      </c>
      <c r="L228" s="397">
        <v>0.78639999999999999</v>
      </c>
      <c r="M228" s="395">
        <v>44</v>
      </c>
      <c r="N228" s="396">
        <v>2327</v>
      </c>
      <c r="O228" s="396">
        <v>3708</v>
      </c>
      <c r="P228" s="395">
        <v>1.34</v>
      </c>
      <c r="Q228" s="396">
        <v>-2759</v>
      </c>
      <c r="R228" s="396">
        <v>11548</v>
      </c>
      <c r="S228" s="396">
        <v>-11438</v>
      </c>
      <c r="T228" s="396">
        <v>723866</v>
      </c>
      <c r="U228" s="396">
        <v>-301090</v>
      </c>
      <c r="V228" s="395">
        <v>3783.1</v>
      </c>
      <c r="W228" s="395">
        <v>3180.33</v>
      </c>
      <c r="X228" s="395">
        <v>77490</v>
      </c>
      <c r="Y228" s="395">
        <v>6002.39</v>
      </c>
      <c r="Z228" s="396">
        <v>-2507854</v>
      </c>
      <c r="AA228" s="396">
        <v>479321</v>
      </c>
      <c r="AB228" s="396">
        <v>11413713</v>
      </c>
      <c r="AC228" s="396">
        <v>10207916</v>
      </c>
    </row>
    <row r="229" spans="1:29">
      <c r="A229">
        <v>2451</v>
      </c>
      <c r="B229" s="395" t="s">
        <v>7072</v>
      </c>
      <c r="C229" s="395"/>
      <c r="D229" s="396">
        <v>477428</v>
      </c>
      <c r="E229" s="396">
        <v>526444</v>
      </c>
      <c r="F229" s="395">
        <v>10.74</v>
      </c>
      <c r="G229" s="396">
        <v>-49016</v>
      </c>
      <c r="H229" s="396">
        <v>78604</v>
      </c>
      <c r="I229" s="396">
        <v>3956185</v>
      </c>
      <c r="J229" s="395">
        <v>278</v>
      </c>
      <c r="K229" s="395">
        <v>250</v>
      </c>
      <c r="L229" s="397">
        <v>0.89929999999999999</v>
      </c>
      <c r="M229" s="395">
        <v>28</v>
      </c>
      <c r="N229" s="396">
        <v>1717</v>
      </c>
      <c r="O229" s="396">
        <v>2106</v>
      </c>
      <c r="P229" s="395">
        <v>1.2</v>
      </c>
      <c r="Q229" s="396">
        <v>-1751</v>
      </c>
      <c r="R229" s="396">
        <v>7522</v>
      </c>
      <c r="S229" s="396">
        <v>-6706</v>
      </c>
      <c r="T229" s="396">
        <v>520765</v>
      </c>
      <c r="U229" s="396">
        <v>-156659</v>
      </c>
      <c r="V229" s="395">
        <v>4310.1400000000003</v>
      </c>
      <c r="W229" s="395">
        <v>3862.77</v>
      </c>
      <c r="X229" s="395">
        <v>77490</v>
      </c>
      <c r="Y229" s="395">
        <v>8304.4599999999991</v>
      </c>
      <c r="Z229" s="396">
        <v>228130</v>
      </c>
      <c r="AA229" s="396">
        <v>477428</v>
      </c>
      <c r="AB229" s="396">
        <v>9682054</v>
      </c>
      <c r="AC229" s="396">
        <v>10207916</v>
      </c>
    </row>
    <row r="230" spans="1:29">
      <c r="A230">
        <v>6147</v>
      </c>
      <c r="B230" s="395" t="s">
        <v>7943</v>
      </c>
      <c r="C230" s="395"/>
      <c r="D230" s="396">
        <v>476824</v>
      </c>
      <c r="E230" s="396">
        <v>613210</v>
      </c>
      <c r="F230" s="395">
        <v>4.5</v>
      </c>
      <c r="G230" s="396">
        <v>-136386</v>
      </c>
      <c r="H230" s="396">
        <v>79033</v>
      </c>
      <c r="I230" s="396">
        <v>3742726</v>
      </c>
      <c r="J230" s="395">
        <v>275</v>
      </c>
      <c r="K230" s="395">
        <v>233</v>
      </c>
      <c r="L230" s="397">
        <v>0.84730000000000005</v>
      </c>
      <c r="M230" s="395">
        <v>42</v>
      </c>
      <c r="N230" s="396">
        <v>1734</v>
      </c>
      <c r="O230" s="396">
        <v>2632</v>
      </c>
      <c r="P230" s="395">
        <v>0.81</v>
      </c>
      <c r="Q230" s="396">
        <v>-3247</v>
      </c>
      <c r="R230" s="396">
        <v>10428</v>
      </c>
      <c r="S230" s="396">
        <v>-6486</v>
      </c>
      <c r="T230" s="396">
        <v>666195</v>
      </c>
      <c r="U230" s="396">
        <v>-306603</v>
      </c>
      <c r="V230" s="395">
        <v>3884.84</v>
      </c>
      <c r="W230" s="395">
        <v>2911.45</v>
      </c>
      <c r="X230" s="395">
        <v>77490</v>
      </c>
      <c r="Y230" s="395">
        <v>9284.83</v>
      </c>
      <c r="Z230" s="396">
        <v>3693347</v>
      </c>
      <c r="AA230" s="396">
        <v>476824</v>
      </c>
      <c r="AB230" s="396">
        <v>5880023</v>
      </c>
      <c r="AC230" s="396">
        <v>10207916</v>
      </c>
    </row>
    <row r="231" spans="1:29">
      <c r="A231">
        <v>3138</v>
      </c>
      <c r="B231" s="395" t="s">
        <v>7324</v>
      </c>
      <c r="C231" s="395"/>
      <c r="D231" s="396">
        <v>474388</v>
      </c>
      <c r="E231" s="396">
        <v>1873824</v>
      </c>
      <c r="F231" s="395">
        <v>1.34</v>
      </c>
      <c r="G231" s="396">
        <v>-1399436</v>
      </c>
      <c r="H231" s="396">
        <v>203703</v>
      </c>
      <c r="I231" s="396">
        <v>5529915</v>
      </c>
      <c r="J231" s="395">
        <v>222</v>
      </c>
      <c r="K231" s="395">
        <v>141</v>
      </c>
      <c r="L231" s="397">
        <v>0.6351</v>
      </c>
      <c r="M231" s="395">
        <v>81</v>
      </c>
      <c r="N231" s="396">
        <v>2137</v>
      </c>
      <c r="O231" s="396">
        <v>13290</v>
      </c>
      <c r="P231" s="395">
        <v>0.77</v>
      </c>
      <c r="Q231" s="396">
        <v>-17277</v>
      </c>
      <c r="R231" s="396">
        <v>53120</v>
      </c>
      <c r="S231" s="396">
        <v>-67726</v>
      </c>
      <c r="T231" s="396">
        <v>1432021</v>
      </c>
      <c r="U231" s="396">
        <v>-1073298</v>
      </c>
      <c r="V231" s="395">
        <v>1970.74</v>
      </c>
      <c r="W231" s="395">
        <v>684.28</v>
      </c>
      <c r="X231" s="395">
        <v>77490</v>
      </c>
      <c r="Y231" s="395">
        <v>4210.1400000000003</v>
      </c>
      <c r="Z231" s="396">
        <v>-27565845</v>
      </c>
      <c r="AA231" s="396">
        <v>474388</v>
      </c>
      <c r="AB231" s="396">
        <v>-1103983</v>
      </c>
      <c r="AC231" s="396">
        <v>10207916</v>
      </c>
    </row>
    <row r="232" spans="1:29">
      <c r="A232">
        <v>6684</v>
      </c>
      <c r="B232" s="395" t="s">
        <v>8184</v>
      </c>
      <c r="C232" s="395"/>
      <c r="D232" s="396">
        <v>473134</v>
      </c>
      <c r="E232" s="396">
        <v>846953</v>
      </c>
      <c r="F232" s="395">
        <v>2.27</v>
      </c>
      <c r="G232" s="396">
        <v>-373819</v>
      </c>
      <c r="H232" s="396">
        <v>82866</v>
      </c>
      <c r="I232" s="396">
        <v>4013986</v>
      </c>
      <c r="J232" s="395">
        <v>125</v>
      </c>
      <c r="K232" s="395">
        <v>85</v>
      </c>
      <c r="L232" s="397">
        <v>0.68</v>
      </c>
      <c r="M232" s="395">
        <v>40</v>
      </c>
      <c r="N232" s="396">
        <v>3785</v>
      </c>
      <c r="O232" s="396">
        <v>9964</v>
      </c>
      <c r="P232" s="395">
        <v>1.07</v>
      </c>
      <c r="Q232" s="396">
        <v>-9345</v>
      </c>
      <c r="R232" s="396">
        <v>32414</v>
      </c>
      <c r="S232" s="396">
        <v>-47746</v>
      </c>
      <c r="T232" s="396">
        <v>1081704</v>
      </c>
      <c r="U232" s="396">
        <v>-655353</v>
      </c>
      <c r="V232" s="395">
        <v>2055.13</v>
      </c>
      <c r="W232" s="395">
        <v>1159.8900000000001</v>
      </c>
      <c r="X232" s="395">
        <v>38340</v>
      </c>
      <c r="Y232" s="395">
        <v>3957.5</v>
      </c>
      <c r="Z232" s="396">
        <v>-10972182</v>
      </c>
      <c r="AA232" s="396">
        <v>473134</v>
      </c>
      <c r="AB232" s="396">
        <v>-17035194</v>
      </c>
      <c r="AC232" s="396">
        <v>10207916</v>
      </c>
    </row>
    <row r="233" spans="1:29">
      <c r="A233">
        <v>9939</v>
      </c>
      <c r="B233" s="395" t="s">
        <v>8418</v>
      </c>
      <c r="C233" s="395"/>
      <c r="D233" s="396">
        <v>472307</v>
      </c>
      <c r="E233" s="396">
        <v>624656</v>
      </c>
      <c r="F233" s="395">
        <v>4.0999999999999996</v>
      </c>
      <c r="G233" s="396">
        <v>-152349</v>
      </c>
      <c r="H233" s="396">
        <v>78335</v>
      </c>
      <c r="I233" s="396">
        <v>7412508</v>
      </c>
      <c r="J233" s="395">
        <v>273</v>
      </c>
      <c r="K233" s="395">
        <v>228</v>
      </c>
      <c r="L233" s="397">
        <v>0.83520000000000005</v>
      </c>
      <c r="M233" s="395">
        <v>45</v>
      </c>
      <c r="N233" s="396">
        <v>1730</v>
      </c>
      <c r="O233" s="396">
        <v>2740</v>
      </c>
      <c r="P233" s="395">
        <v>0.81</v>
      </c>
      <c r="Q233" s="396">
        <v>-3386</v>
      </c>
      <c r="R233" s="396">
        <v>8217</v>
      </c>
      <c r="S233" s="396">
        <v>-8408</v>
      </c>
      <c r="T233" s="396">
        <v>715379</v>
      </c>
      <c r="U233" s="396">
        <v>-484642</v>
      </c>
      <c r="V233" s="395">
        <v>7996.49</v>
      </c>
      <c r="W233" s="395">
        <v>5639.75</v>
      </c>
      <c r="X233" s="395">
        <v>77490</v>
      </c>
      <c r="Y233" s="395">
        <v>19937.310000000001</v>
      </c>
      <c r="Z233" s="396">
        <v>6601461</v>
      </c>
      <c r="AA233" s="396">
        <v>472307</v>
      </c>
      <c r="AB233" s="396">
        <v>16272365</v>
      </c>
      <c r="AC233" s="396">
        <v>10207916</v>
      </c>
    </row>
    <row r="234" spans="1:29">
      <c r="A234">
        <v>3092</v>
      </c>
      <c r="B234" s="395" t="s">
        <v>7312</v>
      </c>
      <c r="C234" s="395"/>
      <c r="D234" s="396">
        <v>471584</v>
      </c>
      <c r="E234" s="396">
        <v>639542</v>
      </c>
      <c r="F234" s="395">
        <v>3.81</v>
      </c>
      <c r="G234" s="396">
        <v>-167959</v>
      </c>
      <c r="H234" s="396">
        <v>69224</v>
      </c>
      <c r="I234" s="396">
        <v>3827690</v>
      </c>
      <c r="J234" s="395">
        <v>266</v>
      </c>
      <c r="K234" s="395">
        <v>215</v>
      </c>
      <c r="L234" s="397">
        <v>0.80830000000000002</v>
      </c>
      <c r="M234" s="395">
        <v>51</v>
      </c>
      <c r="N234" s="396">
        <v>1773</v>
      </c>
      <c r="O234" s="396">
        <v>2975</v>
      </c>
      <c r="P234" s="395">
        <v>0.9</v>
      </c>
      <c r="Q234" s="396">
        <v>-3293</v>
      </c>
      <c r="R234" s="396">
        <v>8938</v>
      </c>
      <c r="S234" s="396">
        <v>-10983</v>
      </c>
      <c r="T234" s="396">
        <v>655503</v>
      </c>
      <c r="U234" s="396">
        <v>-457383</v>
      </c>
      <c r="V234" s="395">
        <v>3713.02</v>
      </c>
      <c r="W234" s="395">
        <v>2899.95</v>
      </c>
      <c r="X234" s="395">
        <v>77490</v>
      </c>
      <c r="Y234" s="395">
        <v>7140.65</v>
      </c>
      <c r="Z234" s="396">
        <v>-9872856</v>
      </c>
      <c r="AA234" s="396">
        <v>471584</v>
      </c>
      <c r="AB234" s="396">
        <v>-7978</v>
      </c>
      <c r="AC234" s="396">
        <v>10207916</v>
      </c>
    </row>
    <row r="235" spans="1:29">
      <c r="A235">
        <v>4961</v>
      </c>
      <c r="B235" s="395" t="s">
        <v>7734</v>
      </c>
      <c r="C235" s="395"/>
      <c r="D235" s="396">
        <v>471007</v>
      </c>
      <c r="E235" s="396">
        <v>2694963</v>
      </c>
      <c r="F235" s="395">
        <v>1.21</v>
      </c>
      <c r="G235" s="396">
        <v>-2223956</v>
      </c>
      <c r="H235" s="396">
        <v>278489</v>
      </c>
      <c r="I235" s="396">
        <v>10849822</v>
      </c>
      <c r="J235" s="395">
        <v>279</v>
      </c>
      <c r="K235" s="395">
        <v>186</v>
      </c>
      <c r="L235" s="397">
        <v>0.66669999999999996</v>
      </c>
      <c r="M235" s="395">
        <v>93</v>
      </c>
      <c r="N235" s="396">
        <v>1688</v>
      </c>
      <c r="O235" s="396">
        <v>14489</v>
      </c>
      <c r="P235" s="395">
        <v>0.61</v>
      </c>
      <c r="Q235" s="396">
        <v>-23914</v>
      </c>
      <c r="R235" s="396">
        <v>74968</v>
      </c>
      <c r="S235" s="396">
        <v>-94577</v>
      </c>
      <c r="T235" s="396">
        <v>2499363</v>
      </c>
      <c r="U235" s="396">
        <v>-1958194</v>
      </c>
      <c r="V235" s="395">
        <v>3409.05</v>
      </c>
      <c r="W235" s="395">
        <v>1668.48</v>
      </c>
      <c r="X235" s="395">
        <v>77490</v>
      </c>
      <c r="Y235" s="395">
        <v>6890.19</v>
      </c>
      <c r="Z235" s="396">
        <v>-19279032</v>
      </c>
      <c r="AA235" s="396">
        <v>471007</v>
      </c>
      <c r="AB235" s="396">
        <v>31626127</v>
      </c>
      <c r="AC235" s="396">
        <v>10207916</v>
      </c>
    </row>
    <row r="236" spans="1:29">
      <c r="A236">
        <v>6196</v>
      </c>
      <c r="B236" s="395" t="s">
        <v>7984</v>
      </c>
      <c r="C236" s="395"/>
      <c r="D236" s="396">
        <v>470201</v>
      </c>
      <c r="E236" s="396">
        <v>926199</v>
      </c>
      <c r="F236" s="395">
        <v>2.0299999999999998</v>
      </c>
      <c r="G236" s="396">
        <v>-455998</v>
      </c>
      <c r="H236" s="396">
        <v>132510</v>
      </c>
      <c r="I236" s="396">
        <v>5140104</v>
      </c>
      <c r="J236" s="395">
        <v>260</v>
      </c>
      <c r="K236" s="395">
        <v>200</v>
      </c>
      <c r="L236" s="397">
        <v>0.76919999999999999</v>
      </c>
      <c r="M236" s="395">
        <v>60</v>
      </c>
      <c r="N236" s="396">
        <v>1808</v>
      </c>
      <c r="O236" s="396">
        <v>4631</v>
      </c>
      <c r="P236" s="395">
        <v>0.61</v>
      </c>
      <c r="Q236" s="396">
        <v>-7600</v>
      </c>
      <c r="R236" s="396">
        <v>20199</v>
      </c>
      <c r="S236" s="396">
        <v>-24173</v>
      </c>
      <c r="T236" s="396">
        <v>1081424</v>
      </c>
      <c r="U236" s="396">
        <v>-555185</v>
      </c>
      <c r="V236" s="395">
        <v>2914.33</v>
      </c>
      <c r="W236" s="395">
        <v>1596.59</v>
      </c>
      <c r="X236" s="395">
        <v>77490</v>
      </c>
      <c r="Y236" s="395">
        <v>7306.8</v>
      </c>
      <c r="Z236" s="396">
        <v>-6712497</v>
      </c>
      <c r="AA236" s="396">
        <v>470201</v>
      </c>
      <c r="AB236" s="396">
        <v>18430165</v>
      </c>
      <c r="AC236" s="396">
        <v>10207916</v>
      </c>
    </row>
    <row r="237" spans="1:29">
      <c r="A237">
        <v>8358</v>
      </c>
      <c r="B237" s="395" t="s">
        <v>8314</v>
      </c>
      <c r="C237" s="395"/>
      <c r="D237" s="396">
        <v>469809</v>
      </c>
      <c r="E237" s="396">
        <v>629854</v>
      </c>
      <c r="F237" s="395">
        <v>3.94</v>
      </c>
      <c r="G237" s="396">
        <v>-160045</v>
      </c>
      <c r="H237" s="396">
        <v>80932</v>
      </c>
      <c r="I237" s="396">
        <v>2557112</v>
      </c>
      <c r="J237" s="395">
        <v>274</v>
      </c>
      <c r="K237" s="395">
        <v>221</v>
      </c>
      <c r="L237" s="397">
        <v>0.80659999999999998</v>
      </c>
      <c r="M237" s="395">
        <v>53</v>
      </c>
      <c r="N237" s="396">
        <v>1715</v>
      </c>
      <c r="O237" s="396">
        <v>2850</v>
      </c>
      <c r="P237" s="395">
        <v>0.94</v>
      </c>
      <c r="Q237" s="396">
        <v>-3020</v>
      </c>
      <c r="R237" s="396">
        <v>13526</v>
      </c>
      <c r="S237" s="396">
        <v>-9659</v>
      </c>
      <c r="T237" s="396">
        <v>541604</v>
      </c>
      <c r="U237" s="396">
        <v>-179549</v>
      </c>
      <c r="V237" s="395">
        <v>2020.3</v>
      </c>
      <c r="W237" s="395">
        <v>1420.13</v>
      </c>
      <c r="X237" s="395">
        <v>77490</v>
      </c>
      <c r="Y237" s="395">
        <v>4522.92</v>
      </c>
      <c r="Z237" s="396">
        <v>942852</v>
      </c>
      <c r="AA237" s="396">
        <v>469809</v>
      </c>
      <c r="AB237" s="396">
        <v>17940404</v>
      </c>
      <c r="AC237" s="396">
        <v>10207916</v>
      </c>
    </row>
    <row r="238" spans="1:29">
      <c r="A238">
        <v>2480</v>
      </c>
      <c r="B238" s="395" t="s">
        <v>7093</v>
      </c>
      <c r="C238" s="395"/>
      <c r="D238" s="396">
        <v>467008</v>
      </c>
      <c r="E238" s="396">
        <v>474994</v>
      </c>
      <c r="F238" s="395">
        <v>59.48</v>
      </c>
      <c r="G238" s="396">
        <v>-7986</v>
      </c>
      <c r="H238" s="396">
        <v>80660</v>
      </c>
      <c r="I238" s="396">
        <v>5846923</v>
      </c>
      <c r="J238" s="395">
        <v>277</v>
      </c>
      <c r="K238" s="395">
        <v>270</v>
      </c>
      <c r="L238" s="397">
        <v>0.97470000000000001</v>
      </c>
      <c r="M238" s="395">
        <v>7</v>
      </c>
      <c r="N238" s="396">
        <v>1686</v>
      </c>
      <c r="O238" s="396">
        <v>1759</v>
      </c>
      <c r="P238" s="395">
        <v>1.54</v>
      </c>
      <c r="Q238" s="396">
        <v>-1141</v>
      </c>
      <c r="R238" s="396">
        <v>3829</v>
      </c>
      <c r="S238" s="396">
        <v>-2688</v>
      </c>
      <c r="T238" s="396">
        <v>471962</v>
      </c>
      <c r="U238" s="396">
        <v>-123750</v>
      </c>
      <c r="V238" s="395">
        <v>6072.58</v>
      </c>
      <c r="W238" s="395">
        <v>6124.88</v>
      </c>
      <c r="X238" s="395">
        <v>77490</v>
      </c>
      <c r="Y238" s="395">
        <v>4055.57</v>
      </c>
      <c r="Z238" s="396">
        <v>14036023</v>
      </c>
      <c r="AA238" s="396">
        <v>467008</v>
      </c>
      <c r="AB238" s="396">
        <v>24517482</v>
      </c>
      <c r="AC238" s="396">
        <v>10207916</v>
      </c>
    </row>
    <row r="239" spans="1:29">
      <c r="A239">
        <v>1533</v>
      </c>
      <c r="B239" s="395" t="s">
        <v>6805</v>
      </c>
      <c r="C239" s="395"/>
      <c r="D239" s="396">
        <v>464400</v>
      </c>
      <c r="E239" s="396">
        <v>657226</v>
      </c>
      <c r="F239" s="395">
        <v>3.41</v>
      </c>
      <c r="G239" s="396">
        <v>-192826</v>
      </c>
      <c r="H239" s="396">
        <v>59400</v>
      </c>
      <c r="I239" s="396">
        <v>2608187</v>
      </c>
      <c r="J239" s="395">
        <v>249</v>
      </c>
      <c r="K239" s="395">
        <v>192</v>
      </c>
      <c r="L239" s="397">
        <v>0.77110000000000001</v>
      </c>
      <c r="M239" s="395">
        <v>57</v>
      </c>
      <c r="N239" s="396">
        <v>1865</v>
      </c>
      <c r="O239" s="396">
        <v>3423</v>
      </c>
      <c r="P239" s="395">
        <v>1.01</v>
      </c>
      <c r="Q239" s="396">
        <v>-3383</v>
      </c>
      <c r="R239" s="396">
        <v>16207</v>
      </c>
      <c r="S239" s="396">
        <v>-10034</v>
      </c>
      <c r="T239" s="396">
        <v>921522</v>
      </c>
      <c r="U239" s="396">
        <v>-557550</v>
      </c>
      <c r="V239" s="395">
        <v>3004.94</v>
      </c>
      <c r="W239" s="395">
        <v>2045.21</v>
      </c>
      <c r="X239" s="395">
        <v>77490</v>
      </c>
      <c r="Y239" s="395">
        <v>6237.74</v>
      </c>
      <c r="Z239" s="396">
        <v>-2897997</v>
      </c>
      <c r="AA239" s="396">
        <v>464400</v>
      </c>
      <c r="AB239" s="396">
        <v>19682292</v>
      </c>
      <c r="AC239" s="396">
        <v>10207916</v>
      </c>
    </row>
    <row r="240" spans="1:29">
      <c r="A240">
        <v>6441</v>
      </c>
      <c r="B240" s="395" t="s">
        <v>8079</v>
      </c>
      <c r="C240" s="395"/>
      <c r="D240" s="396">
        <v>463701</v>
      </c>
      <c r="E240" s="396">
        <v>1224024</v>
      </c>
      <c r="F240" s="395">
        <v>1.61</v>
      </c>
      <c r="G240" s="396">
        <v>-760323</v>
      </c>
      <c r="H240" s="396">
        <v>82853</v>
      </c>
      <c r="I240" s="396">
        <v>3996315</v>
      </c>
      <c r="J240" s="395">
        <v>257</v>
      </c>
      <c r="K240" s="395">
        <v>169</v>
      </c>
      <c r="L240" s="397">
        <v>0.65759999999999996</v>
      </c>
      <c r="M240" s="395">
        <v>88</v>
      </c>
      <c r="N240" s="396">
        <v>1804</v>
      </c>
      <c r="O240" s="396">
        <v>7243</v>
      </c>
      <c r="P240" s="395">
        <v>0.84</v>
      </c>
      <c r="Q240" s="396">
        <v>-8640</v>
      </c>
      <c r="R240" s="396">
        <v>23219</v>
      </c>
      <c r="S240" s="396">
        <v>-31519</v>
      </c>
      <c r="T240" s="396">
        <v>1679714</v>
      </c>
      <c r="U240" s="396">
        <v>-1299695</v>
      </c>
      <c r="V240" s="395">
        <v>5175.8900000000003</v>
      </c>
      <c r="W240" s="395">
        <v>3335.67</v>
      </c>
      <c r="X240" s="395">
        <v>77490</v>
      </c>
      <c r="Y240" s="395">
        <v>8709.9500000000007</v>
      </c>
      <c r="Z240" s="396">
        <v>-31019758</v>
      </c>
      <c r="AA240" s="396">
        <v>463701</v>
      </c>
      <c r="AB240" s="396">
        <v>-29960529</v>
      </c>
      <c r="AC240" s="396">
        <v>10207916</v>
      </c>
    </row>
    <row r="241" spans="1:29">
      <c r="A241">
        <v>6180</v>
      </c>
      <c r="B241" s="395" t="s">
        <v>7970</v>
      </c>
      <c r="C241" s="395"/>
      <c r="D241" s="396">
        <v>459992</v>
      </c>
      <c r="E241" s="396">
        <v>494581</v>
      </c>
      <c r="F241" s="395">
        <v>14.3</v>
      </c>
      <c r="G241" s="396">
        <v>-34589</v>
      </c>
      <c r="H241" s="396">
        <v>63616</v>
      </c>
      <c r="I241" s="396">
        <v>4449444</v>
      </c>
      <c r="J241" s="395">
        <v>247</v>
      </c>
      <c r="K241" s="395">
        <v>223</v>
      </c>
      <c r="L241" s="397">
        <v>0.90280000000000005</v>
      </c>
      <c r="M241" s="395">
        <v>24</v>
      </c>
      <c r="N241" s="396">
        <v>1862</v>
      </c>
      <c r="O241" s="396">
        <v>2218</v>
      </c>
      <c r="P241" s="395">
        <v>1.54</v>
      </c>
      <c r="Q241" s="396">
        <v>-1441</v>
      </c>
      <c r="R241" s="396">
        <v>6848</v>
      </c>
      <c r="S241" s="396">
        <v>-5578</v>
      </c>
      <c r="T241" s="396">
        <v>575037</v>
      </c>
      <c r="U241" s="396">
        <v>-253411</v>
      </c>
      <c r="V241" s="395">
        <v>6167.89</v>
      </c>
      <c r="W241" s="395">
        <v>5814</v>
      </c>
      <c r="X241" s="395">
        <v>77490</v>
      </c>
      <c r="Y241" s="395">
        <v>9456.1299999999992</v>
      </c>
      <c r="Z241" s="396">
        <v>-1133355</v>
      </c>
      <c r="AA241" s="396">
        <v>459992</v>
      </c>
      <c r="AB241" s="396">
        <v>524378</v>
      </c>
      <c r="AC241" s="396">
        <v>10207916</v>
      </c>
    </row>
    <row r="242" spans="1:29">
      <c r="A242">
        <v>2397</v>
      </c>
      <c r="B242" s="395" t="s">
        <v>7034</v>
      </c>
      <c r="C242" s="395"/>
      <c r="D242" s="396">
        <v>459895</v>
      </c>
      <c r="E242" s="396">
        <v>541861</v>
      </c>
      <c r="F242" s="395">
        <v>6.61</v>
      </c>
      <c r="G242" s="396">
        <v>-81966</v>
      </c>
      <c r="H242" s="396">
        <v>55885</v>
      </c>
      <c r="I242" s="396">
        <v>3953408</v>
      </c>
      <c r="J242" s="395">
        <v>219</v>
      </c>
      <c r="K242" s="395">
        <v>162</v>
      </c>
      <c r="L242" s="397">
        <v>0.73970000000000002</v>
      </c>
      <c r="M242" s="395">
        <v>57</v>
      </c>
      <c r="N242" s="396">
        <v>2100</v>
      </c>
      <c r="O242" s="396">
        <v>3345</v>
      </c>
      <c r="P242" s="395">
        <v>2.33</v>
      </c>
      <c r="Q242" s="396">
        <v>-1438</v>
      </c>
      <c r="R242" s="396">
        <v>9251</v>
      </c>
      <c r="S242" s="396">
        <v>-4336</v>
      </c>
      <c r="T242" s="396">
        <v>575670</v>
      </c>
      <c r="U242" s="396">
        <v>-327298</v>
      </c>
      <c r="V242" s="395">
        <v>7260.07</v>
      </c>
      <c r="W242" s="395">
        <v>5156.43</v>
      </c>
      <c r="X242" s="395">
        <v>77490</v>
      </c>
      <c r="Y242" s="395">
        <v>13238.86</v>
      </c>
      <c r="Z242" s="396">
        <v>-951305</v>
      </c>
      <c r="AA242" s="396">
        <v>459895</v>
      </c>
      <c r="AB242" s="396">
        <v>-2693894</v>
      </c>
      <c r="AC242" s="396">
        <v>10207916</v>
      </c>
    </row>
    <row r="243" spans="1:29">
      <c r="A243">
        <v>3556</v>
      </c>
      <c r="B243" s="395" t="s">
        <v>7477</v>
      </c>
      <c r="C243" s="395"/>
      <c r="D243" s="396">
        <v>457949</v>
      </c>
      <c r="E243" s="396">
        <v>621590</v>
      </c>
      <c r="F243" s="395">
        <v>3.8</v>
      </c>
      <c r="G243" s="396">
        <v>-163640</v>
      </c>
      <c r="H243" s="396">
        <v>76498</v>
      </c>
      <c r="I243" s="396">
        <v>2239249</v>
      </c>
      <c r="J243" s="395">
        <v>255</v>
      </c>
      <c r="K243" s="395">
        <v>207</v>
      </c>
      <c r="L243" s="397">
        <v>0.81179999999999997</v>
      </c>
      <c r="M243" s="395">
        <v>48</v>
      </c>
      <c r="N243" s="396">
        <v>1796</v>
      </c>
      <c r="O243" s="396">
        <v>3003</v>
      </c>
      <c r="P243" s="395">
        <v>0.88</v>
      </c>
      <c r="Q243" s="396">
        <v>-3409</v>
      </c>
      <c r="R243" s="396">
        <v>13726</v>
      </c>
      <c r="S243" s="396">
        <v>-10823</v>
      </c>
      <c r="T243" s="396">
        <v>720831</v>
      </c>
      <c r="U243" s="396">
        <v>-297414</v>
      </c>
      <c r="V243" s="395">
        <v>2674.38</v>
      </c>
      <c r="W243" s="395">
        <v>2025.18</v>
      </c>
      <c r="X243" s="395">
        <v>77490</v>
      </c>
      <c r="Y243" s="395">
        <v>5474.06</v>
      </c>
      <c r="Z243" s="396">
        <v>297315</v>
      </c>
      <c r="AA243" s="396">
        <v>457949</v>
      </c>
      <c r="AB243" s="396">
        <v>22084714</v>
      </c>
      <c r="AC243" s="396">
        <v>10207916</v>
      </c>
    </row>
    <row r="244" spans="1:29">
      <c r="A244">
        <v>6205</v>
      </c>
      <c r="B244" s="395" t="s">
        <v>7992</v>
      </c>
      <c r="C244" s="395"/>
      <c r="D244" s="396">
        <v>457283</v>
      </c>
      <c r="E244" s="396">
        <v>613859</v>
      </c>
      <c r="F244" s="395">
        <v>3.92</v>
      </c>
      <c r="G244" s="396">
        <v>-156575</v>
      </c>
      <c r="H244" s="396">
        <v>48357</v>
      </c>
      <c r="I244" s="396">
        <v>3338925</v>
      </c>
      <c r="J244" s="395">
        <v>250</v>
      </c>
      <c r="K244" s="395">
        <v>215</v>
      </c>
      <c r="L244" s="397">
        <v>0.86</v>
      </c>
      <c r="M244" s="395">
        <v>35</v>
      </c>
      <c r="N244" s="396">
        <v>1829</v>
      </c>
      <c r="O244" s="396">
        <v>2855</v>
      </c>
      <c r="P244" s="395">
        <v>0.64</v>
      </c>
      <c r="Q244" s="396">
        <v>-4474</v>
      </c>
      <c r="R244" s="396">
        <v>8864</v>
      </c>
      <c r="S244" s="396">
        <v>-11398</v>
      </c>
      <c r="T244" s="396">
        <v>655833</v>
      </c>
      <c r="U244" s="396">
        <v>-264871</v>
      </c>
      <c r="V244" s="395">
        <v>8269.4500000000007</v>
      </c>
      <c r="W244" s="395">
        <v>6398.04</v>
      </c>
      <c r="X244" s="395">
        <v>77490</v>
      </c>
      <c r="Y244" s="395">
        <v>19765.259999999998</v>
      </c>
      <c r="Z244" s="396">
        <v>209560</v>
      </c>
      <c r="AA244" s="396">
        <v>457283</v>
      </c>
      <c r="AB244" s="396">
        <v>44094604</v>
      </c>
      <c r="AC244" s="396">
        <v>10207916</v>
      </c>
    </row>
    <row r="245" spans="1:29">
      <c r="A245">
        <v>2385</v>
      </c>
      <c r="B245" s="395" t="s">
        <v>7027</v>
      </c>
      <c r="C245" s="395"/>
      <c r="D245" s="396">
        <v>456812</v>
      </c>
      <c r="E245" s="396">
        <v>602870</v>
      </c>
      <c r="F245" s="395">
        <v>4.13</v>
      </c>
      <c r="G245" s="396">
        <v>-146058</v>
      </c>
      <c r="H245" s="396">
        <v>96788</v>
      </c>
      <c r="I245" s="396">
        <v>11894981</v>
      </c>
      <c r="J245" s="395">
        <v>284</v>
      </c>
      <c r="K245" s="395">
        <v>240</v>
      </c>
      <c r="L245" s="397">
        <v>0.84509999999999996</v>
      </c>
      <c r="M245" s="395">
        <v>44</v>
      </c>
      <c r="N245" s="396">
        <v>1608</v>
      </c>
      <c r="O245" s="396">
        <v>2512</v>
      </c>
      <c r="P245" s="395">
        <v>0.76</v>
      </c>
      <c r="Q245" s="396">
        <v>-3319</v>
      </c>
      <c r="R245" s="396">
        <v>5983</v>
      </c>
      <c r="S245" s="396">
        <v>-14558</v>
      </c>
      <c r="T245" s="396">
        <v>818446</v>
      </c>
      <c r="U245" s="396">
        <v>-513910</v>
      </c>
      <c r="V245" s="395">
        <v>11960.55</v>
      </c>
      <c r="W245" s="395">
        <v>10612.81</v>
      </c>
      <c r="X245" s="395">
        <v>77490</v>
      </c>
      <c r="Y245" s="395">
        <v>19311.89</v>
      </c>
      <c r="Z245" s="396">
        <v>5408604</v>
      </c>
      <c r="AA245" s="396">
        <v>456812</v>
      </c>
      <c r="AB245" s="396">
        <v>4808533</v>
      </c>
      <c r="AC245" s="396">
        <v>10207916</v>
      </c>
    </row>
    <row r="246" spans="1:29">
      <c r="A246">
        <v>3388</v>
      </c>
      <c r="B246" s="395" t="s">
        <v>7413</v>
      </c>
      <c r="C246" s="395"/>
      <c r="D246" s="396">
        <v>455291</v>
      </c>
      <c r="E246" s="396">
        <v>465362</v>
      </c>
      <c r="F246" s="395">
        <v>46.21</v>
      </c>
      <c r="G246" s="396">
        <v>-10071</v>
      </c>
      <c r="H246" s="396">
        <v>75413</v>
      </c>
      <c r="I246" s="396">
        <v>3523946</v>
      </c>
      <c r="J246" s="395">
        <v>237</v>
      </c>
      <c r="K246" s="395">
        <v>218</v>
      </c>
      <c r="L246" s="397">
        <v>0.91979999999999995</v>
      </c>
      <c r="M246" s="395">
        <v>19</v>
      </c>
      <c r="N246" s="396">
        <v>1921</v>
      </c>
      <c r="O246" s="396">
        <v>2135</v>
      </c>
      <c r="P246" s="395">
        <v>4.03</v>
      </c>
      <c r="Q246" s="395">
        <v>-530</v>
      </c>
      <c r="R246" s="396">
        <v>7700</v>
      </c>
      <c r="S246" s="396">
        <v>-1518</v>
      </c>
      <c r="T246" s="396">
        <v>500725</v>
      </c>
      <c r="U246" s="396">
        <v>-129105</v>
      </c>
      <c r="V246" s="395">
        <v>5369.38</v>
      </c>
      <c r="W246" s="395">
        <v>4938.42</v>
      </c>
      <c r="X246" s="395">
        <v>77490</v>
      </c>
      <c r="Y246" s="395">
        <v>10314.16</v>
      </c>
      <c r="Z246" s="396">
        <v>9853544</v>
      </c>
      <c r="AA246" s="396">
        <v>455291</v>
      </c>
      <c r="AB246" s="396">
        <v>17238793</v>
      </c>
      <c r="AC246" s="396">
        <v>10207916</v>
      </c>
    </row>
    <row r="247" spans="1:29">
      <c r="A247">
        <v>5223</v>
      </c>
      <c r="B247" s="395" t="s">
        <v>7772</v>
      </c>
      <c r="C247" s="395"/>
      <c r="D247" s="396">
        <v>450849</v>
      </c>
      <c r="E247" s="396">
        <v>911975</v>
      </c>
      <c r="F247" s="395">
        <v>1.98</v>
      </c>
      <c r="G247" s="396">
        <v>-461126</v>
      </c>
      <c r="H247" s="396">
        <v>64993</v>
      </c>
      <c r="I247" s="396">
        <v>7831621</v>
      </c>
      <c r="J247" s="395">
        <v>249</v>
      </c>
      <c r="K247" s="395">
        <v>180</v>
      </c>
      <c r="L247" s="397">
        <v>0.72289999999999999</v>
      </c>
      <c r="M247" s="395">
        <v>69</v>
      </c>
      <c r="N247" s="396">
        <v>1811</v>
      </c>
      <c r="O247" s="396">
        <v>5067</v>
      </c>
      <c r="P247" s="395">
        <v>0.76</v>
      </c>
      <c r="Q247" s="396">
        <v>-6683</v>
      </c>
      <c r="R247" s="396">
        <v>13688</v>
      </c>
      <c r="S247" s="396">
        <v>-39882</v>
      </c>
      <c r="T247" s="396">
        <v>1800232</v>
      </c>
      <c r="U247" s="396">
        <v>-1292043</v>
      </c>
      <c r="V247" s="395">
        <v>13098.36</v>
      </c>
      <c r="W247" s="395">
        <v>11213.07</v>
      </c>
      <c r="X247" s="395">
        <v>77490</v>
      </c>
      <c r="Y247" s="395">
        <v>18016.52</v>
      </c>
      <c r="Z247" s="396">
        <v>-16010528</v>
      </c>
      <c r="AA247" s="396">
        <v>450849</v>
      </c>
      <c r="AB247" s="396">
        <v>-11848003</v>
      </c>
      <c r="AC247" s="396">
        <v>10207916</v>
      </c>
    </row>
    <row r="248" spans="1:29">
      <c r="A248">
        <v>3257</v>
      </c>
      <c r="B248" s="395" t="s">
        <v>7362</v>
      </c>
      <c r="C248" s="395"/>
      <c r="D248" s="396">
        <v>450813</v>
      </c>
      <c r="E248" s="396">
        <v>632242</v>
      </c>
      <c r="F248" s="395">
        <v>3.48</v>
      </c>
      <c r="G248" s="396">
        <v>-181429</v>
      </c>
      <c r="H248" s="396">
        <v>79587</v>
      </c>
      <c r="I248" s="396">
        <v>3613080</v>
      </c>
      <c r="J248" s="395">
        <v>261</v>
      </c>
      <c r="K248" s="395">
        <v>198</v>
      </c>
      <c r="L248" s="397">
        <v>0.75860000000000005</v>
      </c>
      <c r="M248" s="395">
        <v>63</v>
      </c>
      <c r="N248" s="396">
        <v>1727</v>
      </c>
      <c r="O248" s="396">
        <v>3193</v>
      </c>
      <c r="P248" s="395">
        <v>1.1100000000000001</v>
      </c>
      <c r="Q248" s="396">
        <v>-2880</v>
      </c>
      <c r="R248" s="396">
        <v>11904</v>
      </c>
      <c r="S248" s="396">
        <v>-12527</v>
      </c>
      <c r="T248" s="396">
        <v>631615</v>
      </c>
      <c r="U248" s="396">
        <v>-310722</v>
      </c>
      <c r="V248" s="395">
        <v>3657.87</v>
      </c>
      <c r="W248" s="395">
        <v>2534.2199999999998</v>
      </c>
      <c r="X248" s="395">
        <v>77490</v>
      </c>
      <c r="Y248" s="395">
        <v>7189.35</v>
      </c>
      <c r="Z248" s="396">
        <v>-12773248</v>
      </c>
      <c r="AA248" s="396">
        <v>450813</v>
      </c>
      <c r="AB248" s="396">
        <v>774101</v>
      </c>
      <c r="AC248" s="396">
        <v>10207916</v>
      </c>
    </row>
    <row r="249" spans="1:29">
      <c r="A249">
        <v>5425</v>
      </c>
      <c r="B249" s="395" t="s">
        <v>7828</v>
      </c>
      <c r="C249" s="395"/>
      <c r="D249" s="396">
        <v>448292</v>
      </c>
      <c r="E249" s="396">
        <v>718628</v>
      </c>
      <c r="F249" s="395">
        <v>2.66</v>
      </c>
      <c r="G249" s="396">
        <v>-270336</v>
      </c>
      <c r="H249" s="396">
        <v>77179</v>
      </c>
      <c r="I249" s="396">
        <v>2466286</v>
      </c>
      <c r="J249" s="395">
        <v>285</v>
      </c>
      <c r="K249" s="395">
        <v>217</v>
      </c>
      <c r="L249" s="397">
        <v>0.76139999999999997</v>
      </c>
      <c r="M249" s="395">
        <v>68</v>
      </c>
      <c r="N249" s="396">
        <v>1573</v>
      </c>
      <c r="O249" s="396">
        <v>3312</v>
      </c>
      <c r="P249" s="395">
        <v>0.83</v>
      </c>
      <c r="Q249" s="396">
        <v>-3976</v>
      </c>
      <c r="R249" s="396">
        <v>11522</v>
      </c>
      <c r="S249" s="396">
        <v>-11632</v>
      </c>
      <c r="T249" s="396">
        <v>580406</v>
      </c>
      <c r="U249" s="396">
        <v>-313489</v>
      </c>
      <c r="V249" s="395">
        <v>2831.66</v>
      </c>
      <c r="W249" s="395">
        <v>1957.13</v>
      </c>
      <c r="X249" s="395">
        <v>77490</v>
      </c>
      <c r="Y249" s="395">
        <v>5622.44</v>
      </c>
      <c r="Z249" s="396">
        <v>-16502771</v>
      </c>
      <c r="AA249" s="396">
        <v>448292</v>
      </c>
      <c r="AB249" s="396">
        <v>8204236</v>
      </c>
      <c r="AC249" s="396">
        <v>10207916</v>
      </c>
    </row>
    <row r="250" spans="1:29">
      <c r="A250">
        <v>3217</v>
      </c>
      <c r="B250" s="395" t="s">
        <v>7347</v>
      </c>
      <c r="C250" s="395"/>
      <c r="D250" s="396">
        <v>446624</v>
      </c>
      <c r="E250" s="396">
        <v>1096624</v>
      </c>
      <c r="F250" s="395">
        <v>1.69</v>
      </c>
      <c r="G250" s="396">
        <v>-650000</v>
      </c>
      <c r="H250" s="396">
        <v>122976</v>
      </c>
      <c r="I250" s="396">
        <v>7267785</v>
      </c>
      <c r="J250" s="395">
        <v>275</v>
      </c>
      <c r="K250" s="395">
        <v>189</v>
      </c>
      <c r="L250" s="397">
        <v>0.68730000000000002</v>
      </c>
      <c r="M250" s="395">
        <v>86</v>
      </c>
      <c r="N250" s="396">
        <v>1624</v>
      </c>
      <c r="O250" s="396">
        <v>5802</v>
      </c>
      <c r="P250" s="395">
        <v>0.77</v>
      </c>
      <c r="Q250" s="396">
        <v>-7558</v>
      </c>
      <c r="R250" s="396">
        <v>29891</v>
      </c>
      <c r="S250" s="396">
        <v>-24945</v>
      </c>
      <c r="T250" s="396">
        <v>1836413</v>
      </c>
      <c r="U250" s="396">
        <v>-1294279</v>
      </c>
      <c r="V250" s="395">
        <v>4241.4399999999996</v>
      </c>
      <c r="W250" s="395">
        <v>2152.4</v>
      </c>
      <c r="X250" s="395">
        <v>77490</v>
      </c>
      <c r="Y250" s="395">
        <v>8832.48</v>
      </c>
      <c r="Z250" s="396">
        <v>-16803421</v>
      </c>
      <c r="AA250" s="396">
        <v>446624</v>
      </c>
      <c r="AB250" s="396">
        <v>-2837403</v>
      </c>
      <c r="AC250" s="396">
        <v>10207916</v>
      </c>
    </row>
    <row r="251" spans="1:29">
      <c r="A251">
        <v>3093</v>
      </c>
      <c r="B251" s="395" t="s">
        <v>7313</v>
      </c>
      <c r="C251" s="395"/>
      <c r="D251" s="396">
        <v>443915</v>
      </c>
      <c r="E251" s="396">
        <v>541397</v>
      </c>
      <c r="F251" s="395">
        <v>5.55</v>
      </c>
      <c r="G251" s="396">
        <v>-97482</v>
      </c>
      <c r="H251" s="396">
        <v>61162</v>
      </c>
      <c r="I251" s="396">
        <v>2471579</v>
      </c>
      <c r="J251" s="395">
        <v>219</v>
      </c>
      <c r="K251" s="395">
        <v>188</v>
      </c>
      <c r="L251" s="397">
        <v>0.85840000000000005</v>
      </c>
      <c r="M251" s="395">
        <v>31</v>
      </c>
      <c r="N251" s="396">
        <v>2027</v>
      </c>
      <c r="O251" s="396">
        <v>2880</v>
      </c>
      <c r="P251" s="395">
        <v>0.92</v>
      </c>
      <c r="Q251" s="396">
        <v>-3145</v>
      </c>
      <c r="R251" s="396">
        <v>11576</v>
      </c>
      <c r="S251" s="396">
        <v>-16380</v>
      </c>
      <c r="T251" s="396">
        <v>713043</v>
      </c>
      <c r="U251" s="396">
        <v>-301939</v>
      </c>
      <c r="V251" s="395">
        <v>2935.37</v>
      </c>
      <c r="W251" s="395">
        <v>2400.0300000000002</v>
      </c>
      <c r="X251" s="395">
        <v>77490</v>
      </c>
      <c r="Y251" s="395">
        <v>6181.94</v>
      </c>
      <c r="Z251" s="396">
        <v>26034945</v>
      </c>
      <c r="AA251" s="396">
        <v>443915</v>
      </c>
      <c r="AB251" s="396">
        <v>67861648</v>
      </c>
      <c r="AC251" s="396">
        <v>10207916</v>
      </c>
    </row>
    <row r="252" spans="1:29">
      <c r="A252">
        <v>6715</v>
      </c>
      <c r="B252" s="395" t="s">
        <v>8193</v>
      </c>
      <c r="C252" s="395"/>
      <c r="D252" s="396">
        <v>443840</v>
      </c>
      <c r="E252" s="396">
        <v>797717</v>
      </c>
      <c r="F252" s="395">
        <v>2.25</v>
      </c>
      <c r="G252" s="396">
        <v>-353877</v>
      </c>
      <c r="H252" s="396">
        <v>109219</v>
      </c>
      <c r="I252" s="396">
        <v>4865761</v>
      </c>
      <c r="J252" s="395">
        <v>228</v>
      </c>
      <c r="K252" s="395">
        <v>173</v>
      </c>
      <c r="L252" s="397">
        <v>0.75880000000000003</v>
      </c>
      <c r="M252" s="395">
        <v>55</v>
      </c>
      <c r="N252" s="396">
        <v>1947</v>
      </c>
      <c r="O252" s="396">
        <v>4611</v>
      </c>
      <c r="P252" s="395">
        <v>0.72</v>
      </c>
      <c r="Q252" s="396">
        <v>-6434</v>
      </c>
      <c r="R252" s="396">
        <v>19057</v>
      </c>
      <c r="S252" s="396">
        <v>-20450</v>
      </c>
      <c r="T252" s="396">
        <v>1059577</v>
      </c>
      <c r="U252" s="396">
        <v>-498251</v>
      </c>
      <c r="V252" s="395">
        <v>3700.34</v>
      </c>
      <c r="W252" s="395">
        <v>2820.27</v>
      </c>
      <c r="X252" s="395">
        <v>77490</v>
      </c>
      <c r="Y252" s="395">
        <v>6468.55</v>
      </c>
      <c r="Z252" s="396">
        <v>560274</v>
      </c>
      <c r="AA252" s="396">
        <v>443840</v>
      </c>
      <c r="AB252" s="396">
        <v>-8616346</v>
      </c>
      <c r="AC252" s="396">
        <v>10207916</v>
      </c>
    </row>
    <row r="253" spans="1:29">
      <c r="A253">
        <v>3680</v>
      </c>
      <c r="B253" s="395" t="s">
        <v>7527</v>
      </c>
      <c r="C253" s="395"/>
      <c r="D253" s="396">
        <v>443359</v>
      </c>
      <c r="E253" s="396">
        <v>2901317</v>
      </c>
      <c r="F253" s="395">
        <v>1.18</v>
      </c>
      <c r="G253" s="396">
        <v>-2457958</v>
      </c>
      <c r="H253" s="396">
        <v>308800</v>
      </c>
      <c r="I253" s="396">
        <v>17165164</v>
      </c>
      <c r="J253" s="395">
        <v>271</v>
      </c>
      <c r="K253" s="395">
        <v>189</v>
      </c>
      <c r="L253" s="397">
        <v>0.69740000000000002</v>
      </c>
      <c r="M253" s="395">
        <v>82</v>
      </c>
      <c r="N253" s="396">
        <v>1636</v>
      </c>
      <c r="O253" s="396">
        <v>15351</v>
      </c>
      <c r="P253" s="395">
        <v>0.51</v>
      </c>
      <c r="Q253" s="396">
        <v>-29975</v>
      </c>
      <c r="R253" s="396">
        <v>85485</v>
      </c>
      <c r="S253" s="396">
        <v>-99677</v>
      </c>
      <c r="T253" s="396">
        <v>3287156</v>
      </c>
      <c r="U253" s="396">
        <v>-2091151</v>
      </c>
      <c r="V253" s="395">
        <v>5198.83</v>
      </c>
      <c r="W253" s="395">
        <v>3526.1</v>
      </c>
      <c r="X253" s="395">
        <v>77490</v>
      </c>
      <c r="Y253" s="395">
        <v>9054.26</v>
      </c>
      <c r="Z253" s="396">
        <v>-14372074</v>
      </c>
      <c r="AA253" s="396">
        <v>443359</v>
      </c>
      <c r="AB253" s="396">
        <v>-4629831</v>
      </c>
      <c r="AC253" s="396">
        <v>10207916</v>
      </c>
    </row>
    <row r="254" spans="1:29">
      <c r="A254">
        <v>6150</v>
      </c>
      <c r="B254" s="395" t="s">
        <v>7945</v>
      </c>
      <c r="C254" s="395"/>
      <c r="D254" s="396">
        <v>442903</v>
      </c>
      <c r="E254" s="396">
        <v>1442399</v>
      </c>
      <c r="F254" s="395">
        <v>1.44</v>
      </c>
      <c r="G254" s="396">
        <v>-999496</v>
      </c>
      <c r="H254" s="396">
        <v>165297</v>
      </c>
      <c r="I254" s="396">
        <v>6405379</v>
      </c>
      <c r="J254" s="395">
        <v>268</v>
      </c>
      <c r="K254" s="395">
        <v>179</v>
      </c>
      <c r="L254" s="397">
        <v>0.66790000000000005</v>
      </c>
      <c r="M254" s="395">
        <v>89</v>
      </c>
      <c r="N254" s="396">
        <v>1653</v>
      </c>
      <c r="O254" s="396">
        <v>8058</v>
      </c>
      <c r="P254" s="395">
        <v>0.72</v>
      </c>
      <c r="Q254" s="396">
        <v>-11230</v>
      </c>
      <c r="R254" s="396">
        <v>40158</v>
      </c>
      <c r="S254" s="396">
        <v>-53738</v>
      </c>
      <c r="T254" s="396">
        <v>1278536</v>
      </c>
      <c r="U254" s="396">
        <v>-885244</v>
      </c>
      <c r="V254" s="395">
        <v>2390.0100000000002</v>
      </c>
      <c r="W254" s="395">
        <v>1209.8800000000001</v>
      </c>
      <c r="X254" s="395">
        <v>77490</v>
      </c>
      <c r="Y254" s="395">
        <v>4763.53</v>
      </c>
      <c r="Z254" s="396">
        <v>-16352733</v>
      </c>
      <c r="AA254" s="396">
        <v>442903</v>
      </c>
      <c r="AB254" s="396">
        <v>2977176</v>
      </c>
      <c r="AC254" s="396">
        <v>10207916</v>
      </c>
    </row>
    <row r="255" spans="1:29">
      <c r="A255">
        <v>4721</v>
      </c>
      <c r="B255" s="395" t="s">
        <v>7675</v>
      </c>
      <c r="C255" s="395"/>
      <c r="D255" s="396">
        <v>442569</v>
      </c>
      <c r="E255" s="396">
        <v>725538</v>
      </c>
      <c r="F255" s="395">
        <v>2.56</v>
      </c>
      <c r="G255" s="396">
        <v>-282969</v>
      </c>
      <c r="H255" s="396">
        <v>110197</v>
      </c>
      <c r="I255" s="396">
        <v>5921741</v>
      </c>
      <c r="J255" s="395">
        <v>261</v>
      </c>
      <c r="K255" s="395">
        <v>204</v>
      </c>
      <c r="L255" s="397">
        <v>0.78159999999999996</v>
      </c>
      <c r="M255" s="395">
        <v>57</v>
      </c>
      <c r="N255" s="396">
        <v>1696</v>
      </c>
      <c r="O255" s="396">
        <v>3557</v>
      </c>
      <c r="P255" s="395">
        <v>0.72</v>
      </c>
      <c r="Q255" s="396">
        <v>-4964</v>
      </c>
      <c r="R255" s="396">
        <v>16342</v>
      </c>
      <c r="S255" s="396">
        <v>-21610</v>
      </c>
      <c r="T255" s="396">
        <v>604945</v>
      </c>
      <c r="U255" s="396">
        <v>-538295</v>
      </c>
      <c r="V255" s="395">
        <v>2566.4499999999998</v>
      </c>
      <c r="W255" s="395">
        <v>1788.05</v>
      </c>
      <c r="X255" s="395">
        <v>77490</v>
      </c>
      <c r="Y255" s="395">
        <v>5352.3</v>
      </c>
      <c r="Z255" s="396">
        <v>1228723</v>
      </c>
      <c r="AA255" s="396">
        <v>442569</v>
      </c>
      <c r="AB255" s="396">
        <v>55854974</v>
      </c>
      <c r="AC255" s="396">
        <v>10207916</v>
      </c>
    </row>
    <row r="256" spans="1:29">
      <c r="A256">
        <v>9945</v>
      </c>
      <c r="B256" s="395" t="s">
        <v>8424</v>
      </c>
      <c r="C256" s="395"/>
      <c r="D256" s="396">
        <v>442022</v>
      </c>
      <c r="E256" s="396">
        <v>489208</v>
      </c>
      <c r="F256" s="395">
        <v>10.37</v>
      </c>
      <c r="G256" s="396">
        <v>-47186</v>
      </c>
      <c r="H256" s="396">
        <v>65673</v>
      </c>
      <c r="I256" s="396">
        <v>3053906</v>
      </c>
      <c r="J256" s="395">
        <v>277</v>
      </c>
      <c r="K256" s="395">
        <v>245</v>
      </c>
      <c r="L256" s="397">
        <v>0.88449999999999995</v>
      </c>
      <c r="M256" s="395">
        <v>32</v>
      </c>
      <c r="N256" s="396">
        <v>1596</v>
      </c>
      <c r="O256" s="396">
        <v>1997</v>
      </c>
      <c r="P256" s="395">
        <v>1.35</v>
      </c>
      <c r="Q256" s="396">
        <v>-1475</v>
      </c>
      <c r="R256" s="396">
        <v>7265</v>
      </c>
      <c r="S256" s="396">
        <v>-5178</v>
      </c>
      <c r="T256" s="396">
        <v>476311</v>
      </c>
      <c r="U256" s="396">
        <v>-190915</v>
      </c>
      <c r="V256" s="395">
        <v>2778.74</v>
      </c>
      <c r="W256" s="395">
        <v>2100.75</v>
      </c>
      <c r="X256" s="395">
        <v>77490</v>
      </c>
      <c r="Y256" s="395">
        <v>7969.59</v>
      </c>
      <c r="Z256" s="396">
        <v>27035777</v>
      </c>
      <c r="AA256" s="396">
        <v>442022</v>
      </c>
      <c r="AB256" s="396">
        <v>74751558</v>
      </c>
      <c r="AC256" s="396">
        <v>10207916</v>
      </c>
    </row>
    <row r="257" spans="1:29">
      <c r="A257">
        <v>6581</v>
      </c>
      <c r="B257" s="395" t="s">
        <v>8141</v>
      </c>
      <c r="C257" s="395"/>
      <c r="D257" s="396">
        <v>441676</v>
      </c>
      <c r="E257" s="396">
        <v>478365</v>
      </c>
      <c r="F257" s="395">
        <v>13.04</v>
      </c>
      <c r="G257" s="396">
        <v>-36689</v>
      </c>
      <c r="H257" s="396">
        <v>69040</v>
      </c>
      <c r="I257" s="396">
        <v>2129944</v>
      </c>
      <c r="J257" s="395">
        <v>223</v>
      </c>
      <c r="K257" s="395">
        <v>200</v>
      </c>
      <c r="L257" s="397">
        <v>0.89690000000000003</v>
      </c>
      <c r="M257" s="395">
        <v>23</v>
      </c>
      <c r="N257" s="396">
        <v>1981</v>
      </c>
      <c r="O257" s="396">
        <v>2392</v>
      </c>
      <c r="P257" s="395">
        <v>1.5</v>
      </c>
      <c r="Q257" s="396">
        <v>-1595</v>
      </c>
      <c r="R257" s="396">
        <v>8622</v>
      </c>
      <c r="S257" s="396">
        <v>-6208</v>
      </c>
      <c r="T257" s="396">
        <v>473382</v>
      </c>
      <c r="U257" s="396">
        <v>-130902</v>
      </c>
      <c r="V257" s="395">
        <v>2848.79</v>
      </c>
      <c r="W257" s="395">
        <v>2523.5700000000002</v>
      </c>
      <c r="X257" s="395">
        <v>77490</v>
      </c>
      <c r="Y257" s="395">
        <v>5676.78</v>
      </c>
      <c r="Z257" s="396">
        <v>3055325</v>
      </c>
      <c r="AA257" s="396">
        <v>441676</v>
      </c>
      <c r="AB257" s="396">
        <v>10040031</v>
      </c>
      <c r="AC257" s="396">
        <v>10207916</v>
      </c>
    </row>
    <row r="258" spans="1:29">
      <c r="A258">
        <v>6499</v>
      </c>
      <c r="B258" s="395" t="s">
        <v>8103</v>
      </c>
      <c r="C258" s="395"/>
      <c r="D258" s="396">
        <v>440731</v>
      </c>
      <c r="E258" s="396">
        <v>569904</v>
      </c>
      <c r="F258" s="395">
        <v>4.41</v>
      </c>
      <c r="G258" s="396">
        <v>-129173</v>
      </c>
      <c r="H258" s="396">
        <v>49387</v>
      </c>
      <c r="I258" s="396">
        <v>2349797</v>
      </c>
      <c r="J258" s="395">
        <v>171</v>
      </c>
      <c r="K258" s="395">
        <v>132</v>
      </c>
      <c r="L258" s="397">
        <v>0.77190000000000003</v>
      </c>
      <c r="M258" s="395">
        <v>39</v>
      </c>
      <c r="N258" s="396">
        <v>2577</v>
      </c>
      <c r="O258" s="396">
        <v>4317</v>
      </c>
      <c r="P258" s="395">
        <v>1.3</v>
      </c>
      <c r="Q258" s="396">
        <v>-3312</v>
      </c>
      <c r="R258" s="396">
        <v>11968</v>
      </c>
      <c r="S258" s="396">
        <v>-10276</v>
      </c>
      <c r="T258" s="396">
        <v>506250</v>
      </c>
      <c r="U258" s="396">
        <v>-200726</v>
      </c>
      <c r="V258" s="395">
        <v>3442.13</v>
      </c>
      <c r="W258" s="395">
        <v>2704.49</v>
      </c>
      <c r="X258" s="395">
        <v>77490</v>
      </c>
      <c r="Y258" s="395">
        <v>5938.77</v>
      </c>
      <c r="Z258" s="396">
        <v>-3543176</v>
      </c>
      <c r="AA258" s="396">
        <v>440731</v>
      </c>
      <c r="AB258" s="396">
        <v>29031074</v>
      </c>
      <c r="AC258" s="396">
        <v>10207916</v>
      </c>
    </row>
    <row r="259" spans="1:29">
      <c r="A259">
        <v>2455</v>
      </c>
      <c r="B259" s="395" t="s">
        <v>7075</v>
      </c>
      <c r="C259" s="395"/>
      <c r="D259" s="396">
        <v>440381</v>
      </c>
      <c r="E259" s="396">
        <v>1048641</v>
      </c>
      <c r="F259" s="395">
        <v>1.72</v>
      </c>
      <c r="G259" s="396">
        <v>-608260</v>
      </c>
      <c r="H259" s="396">
        <v>143152</v>
      </c>
      <c r="I259" s="396">
        <v>4730248</v>
      </c>
      <c r="J259" s="395">
        <v>285</v>
      </c>
      <c r="K259" s="395">
        <v>206</v>
      </c>
      <c r="L259" s="397">
        <v>0.7228</v>
      </c>
      <c r="M259" s="395">
        <v>79</v>
      </c>
      <c r="N259" s="396">
        <v>1545</v>
      </c>
      <c r="O259" s="396">
        <v>5090</v>
      </c>
      <c r="P259" s="395">
        <v>0.66</v>
      </c>
      <c r="Q259" s="396">
        <v>-7699</v>
      </c>
      <c r="R259" s="396">
        <v>22091</v>
      </c>
      <c r="S259" s="396">
        <v>-31033</v>
      </c>
      <c r="T259" s="396">
        <v>1117433</v>
      </c>
      <c r="U259" s="396">
        <v>-705733</v>
      </c>
      <c r="V259" s="395">
        <v>2914.92</v>
      </c>
      <c r="W259" s="395">
        <v>1577.83</v>
      </c>
      <c r="X259" s="395">
        <v>77490</v>
      </c>
      <c r="Y259" s="395">
        <v>6401.51</v>
      </c>
      <c r="Z259" s="396">
        <v>-4718554</v>
      </c>
      <c r="AA259" s="396">
        <v>440381</v>
      </c>
      <c r="AB259" s="396">
        <v>2596344</v>
      </c>
      <c r="AC259" s="396">
        <v>10207916</v>
      </c>
    </row>
    <row r="260" spans="1:29">
      <c r="A260">
        <v>6525</v>
      </c>
      <c r="B260" s="395" t="s">
        <v>8115</v>
      </c>
      <c r="C260" s="395"/>
      <c r="D260" s="396">
        <v>439762</v>
      </c>
      <c r="E260" s="396">
        <v>707961</v>
      </c>
      <c r="F260" s="395">
        <v>2.64</v>
      </c>
      <c r="G260" s="396">
        <v>-268198</v>
      </c>
      <c r="H260" s="396">
        <v>93500</v>
      </c>
      <c r="I260" s="396">
        <v>3693113</v>
      </c>
      <c r="J260" s="395">
        <v>259</v>
      </c>
      <c r="K260" s="395">
        <v>196</v>
      </c>
      <c r="L260" s="397">
        <v>0.75680000000000003</v>
      </c>
      <c r="M260" s="395">
        <v>63</v>
      </c>
      <c r="N260" s="396">
        <v>1698</v>
      </c>
      <c r="O260" s="396">
        <v>3612</v>
      </c>
      <c r="P260" s="395">
        <v>0.85</v>
      </c>
      <c r="Q260" s="396">
        <v>-4257</v>
      </c>
      <c r="R260" s="396">
        <v>17822</v>
      </c>
      <c r="S260" s="396">
        <v>-17448</v>
      </c>
      <c r="T260" s="396">
        <v>681369</v>
      </c>
      <c r="U260" s="396">
        <v>-338264</v>
      </c>
      <c r="V260" s="395">
        <v>2990.14</v>
      </c>
      <c r="W260" s="395">
        <v>1913.68</v>
      </c>
      <c r="X260" s="395">
        <v>77490</v>
      </c>
      <c r="Y260" s="395">
        <v>6339.14</v>
      </c>
      <c r="Z260" s="396">
        <v>-11458342</v>
      </c>
      <c r="AA260" s="396">
        <v>439762</v>
      </c>
      <c r="AB260" s="396">
        <v>16636630</v>
      </c>
      <c r="AC260" s="396">
        <v>10207916</v>
      </c>
    </row>
    <row r="261" spans="1:29">
      <c r="A261">
        <v>2912</v>
      </c>
      <c r="B261" s="395" t="s">
        <v>7232</v>
      </c>
      <c r="C261" s="395"/>
      <c r="D261" s="396">
        <v>438055</v>
      </c>
      <c r="E261" s="396">
        <v>1356863</v>
      </c>
      <c r="F261" s="395">
        <v>1.48</v>
      </c>
      <c r="G261" s="396">
        <v>-918808</v>
      </c>
      <c r="H261" s="396">
        <v>309086</v>
      </c>
      <c r="I261" s="396">
        <v>24677852</v>
      </c>
      <c r="J261" s="395">
        <v>282</v>
      </c>
      <c r="K261" s="395">
        <v>186</v>
      </c>
      <c r="L261" s="397">
        <v>0.65959999999999996</v>
      </c>
      <c r="M261" s="395">
        <v>96</v>
      </c>
      <c r="N261" s="396">
        <v>1553</v>
      </c>
      <c r="O261" s="396">
        <v>7295</v>
      </c>
      <c r="P261" s="395">
        <v>0.76</v>
      </c>
      <c r="Q261" s="396">
        <v>-9571</v>
      </c>
      <c r="R261" s="396">
        <v>15890</v>
      </c>
      <c r="S261" s="396">
        <v>-34607</v>
      </c>
      <c r="T261" s="396">
        <v>1878284</v>
      </c>
      <c r="U261" s="396">
        <v>-865410</v>
      </c>
      <c r="V261" s="395">
        <v>8549.2199999999993</v>
      </c>
      <c r="W261" s="395">
        <v>6383.12</v>
      </c>
      <c r="X261" s="395">
        <v>77490</v>
      </c>
      <c r="Y261" s="395">
        <v>12746.04</v>
      </c>
      <c r="Z261" s="396">
        <v>-3165969</v>
      </c>
      <c r="AA261" s="396">
        <v>438055</v>
      </c>
      <c r="AB261" s="396">
        <v>202748</v>
      </c>
      <c r="AC261" s="396">
        <v>10207916</v>
      </c>
    </row>
    <row r="262" spans="1:29">
      <c r="A262">
        <v>4416</v>
      </c>
      <c r="B262" s="395" t="s">
        <v>7611</v>
      </c>
      <c r="C262" s="395"/>
      <c r="D262" s="396">
        <v>436394</v>
      </c>
      <c r="E262" s="396">
        <v>458523</v>
      </c>
      <c r="F262" s="395">
        <v>20.72</v>
      </c>
      <c r="G262" s="396">
        <v>-22129</v>
      </c>
      <c r="H262" s="396">
        <v>50106</v>
      </c>
      <c r="I262" s="396">
        <v>1680887</v>
      </c>
      <c r="J262" s="395">
        <v>116</v>
      </c>
      <c r="K262" s="395">
        <v>104</v>
      </c>
      <c r="L262" s="397">
        <v>0.89659999999999995</v>
      </c>
      <c r="M262" s="395">
        <v>12</v>
      </c>
      <c r="N262" s="396">
        <v>3762</v>
      </c>
      <c r="O262" s="396">
        <v>4409</v>
      </c>
      <c r="P262" s="395">
        <v>2.39</v>
      </c>
      <c r="Q262" s="396">
        <v>-1844</v>
      </c>
      <c r="R262" s="396">
        <v>11031</v>
      </c>
      <c r="S262" s="396">
        <v>-5422</v>
      </c>
      <c r="T262" s="396">
        <v>445794</v>
      </c>
      <c r="U262" s="396">
        <v>-71503</v>
      </c>
      <c r="V262" s="395">
        <v>3165.59</v>
      </c>
      <c r="W262" s="395">
        <v>2804.9</v>
      </c>
      <c r="X262" s="395">
        <v>74520</v>
      </c>
      <c r="Y262" s="395">
        <v>6291.5</v>
      </c>
      <c r="Z262" s="396">
        <v>29841353</v>
      </c>
      <c r="AA262" s="396">
        <v>436394</v>
      </c>
      <c r="AB262" s="396">
        <v>17945574</v>
      </c>
      <c r="AC262" s="396">
        <v>10207916</v>
      </c>
    </row>
    <row r="263" spans="1:29">
      <c r="A263">
        <v>6206</v>
      </c>
      <c r="B263" s="395" t="s">
        <v>7993</v>
      </c>
      <c r="C263" s="395"/>
      <c r="D263" s="396">
        <v>430669</v>
      </c>
      <c r="E263" s="396">
        <v>473818</v>
      </c>
      <c r="F263" s="395">
        <v>10.98</v>
      </c>
      <c r="G263" s="396">
        <v>-43149</v>
      </c>
      <c r="H263" s="396">
        <v>69685</v>
      </c>
      <c r="I263" s="396">
        <v>3993761</v>
      </c>
      <c r="J263" s="395">
        <v>251</v>
      </c>
      <c r="K263" s="395">
        <v>215</v>
      </c>
      <c r="L263" s="397">
        <v>0.85660000000000003</v>
      </c>
      <c r="M263" s="395">
        <v>36</v>
      </c>
      <c r="N263" s="396">
        <v>1716</v>
      </c>
      <c r="O263" s="396">
        <v>2204</v>
      </c>
      <c r="P263" s="395">
        <v>1.84</v>
      </c>
      <c r="Q263" s="396">
        <v>-1199</v>
      </c>
      <c r="R263" s="396">
        <v>7746</v>
      </c>
      <c r="S263" s="396">
        <v>-6222</v>
      </c>
      <c r="T263" s="396">
        <v>534247</v>
      </c>
      <c r="U263" s="396">
        <v>-188092</v>
      </c>
      <c r="V263" s="395">
        <v>5852.95</v>
      </c>
      <c r="W263" s="395">
        <v>5141.8</v>
      </c>
      <c r="X263" s="395">
        <v>77490</v>
      </c>
      <c r="Y263" s="395">
        <v>10100.11</v>
      </c>
      <c r="Z263" s="396">
        <v>3994746</v>
      </c>
      <c r="AA263" s="396">
        <v>430669</v>
      </c>
      <c r="AB263" s="396">
        <v>11652777</v>
      </c>
      <c r="AC263" s="396">
        <v>10207916</v>
      </c>
    </row>
    <row r="264" spans="1:29">
      <c r="A264">
        <v>6642</v>
      </c>
      <c r="B264" s="395" t="s">
        <v>8164</v>
      </c>
      <c r="C264" s="395"/>
      <c r="D264" s="396">
        <v>430062</v>
      </c>
      <c r="E264" s="396">
        <v>772969</v>
      </c>
      <c r="F264" s="395">
        <v>2.25</v>
      </c>
      <c r="G264" s="396">
        <v>-342907</v>
      </c>
      <c r="H264" s="396">
        <v>67138</v>
      </c>
      <c r="I264" s="396">
        <v>3559817</v>
      </c>
      <c r="J264" s="395">
        <v>227</v>
      </c>
      <c r="K264" s="395">
        <v>151</v>
      </c>
      <c r="L264" s="397">
        <v>0.66520000000000001</v>
      </c>
      <c r="M264" s="395">
        <v>76</v>
      </c>
      <c r="N264" s="396">
        <v>1895</v>
      </c>
      <c r="O264" s="396">
        <v>5119</v>
      </c>
      <c r="P264" s="395">
        <v>1.1299999999999999</v>
      </c>
      <c r="Q264" s="396">
        <v>-4512</v>
      </c>
      <c r="R264" s="396">
        <v>19837</v>
      </c>
      <c r="S264" s="396">
        <v>-22396</v>
      </c>
      <c r="T264" s="396">
        <v>758433</v>
      </c>
      <c r="U264" s="396">
        <v>-376644</v>
      </c>
      <c r="V264" s="395">
        <v>5597.07</v>
      </c>
      <c r="W264" s="395">
        <v>3696.79</v>
      </c>
      <c r="X264" s="395">
        <v>77490</v>
      </c>
      <c r="Y264" s="395">
        <v>9372.6200000000008</v>
      </c>
      <c r="Z264" s="396">
        <v>-22871511</v>
      </c>
      <c r="AA264" s="396">
        <v>430062</v>
      </c>
      <c r="AB264" s="396">
        <v>24205386</v>
      </c>
      <c r="AC264" s="396">
        <v>10207916</v>
      </c>
    </row>
    <row r="265" spans="1:29">
      <c r="A265">
        <v>6706</v>
      </c>
      <c r="B265" s="395" t="s">
        <v>8191</v>
      </c>
      <c r="C265" s="395"/>
      <c r="D265" s="396">
        <v>429068</v>
      </c>
      <c r="E265" s="396">
        <v>1590926</v>
      </c>
      <c r="F265" s="395">
        <v>1.37</v>
      </c>
      <c r="G265" s="396">
        <v>-1161859</v>
      </c>
      <c r="H265" s="396">
        <v>210302</v>
      </c>
      <c r="I265" s="396">
        <v>6274485</v>
      </c>
      <c r="J265" s="395">
        <v>276</v>
      </c>
      <c r="K265" s="395">
        <v>214</v>
      </c>
      <c r="L265" s="397">
        <v>0.77539999999999998</v>
      </c>
      <c r="M265" s="395">
        <v>62</v>
      </c>
      <c r="N265" s="396">
        <v>1555</v>
      </c>
      <c r="O265" s="396">
        <v>7434</v>
      </c>
      <c r="P265" s="395">
        <v>0.4</v>
      </c>
      <c r="Q265" s="396">
        <v>-18740</v>
      </c>
      <c r="R265" s="396">
        <v>44392</v>
      </c>
      <c r="S265" s="396">
        <v>-68381</v>
      </c>
      <c r="T265" s="396">
        <v>1984627</v>
      </c>
      <c r="U265" s="396">
        <v>-1063798</v>
      </c>
      <c r="V265" s="395">
        <v>1907.34</v>
      </c>
      <c r="W265" s="395">
        <v>1082.52</v>
      </c>
      <c r="X265" s="395">
        <v>77490</v>
      </c>
      <c r="Y265" s="395">
        <v>4754.2700000000004</v>
      </c>
      <c r="Z265" s="396">
        <v>-2501795</v>
      </c>
      <c r="AA265" s="396">
        <v>429068</v>
      </c>
      <c r="AB265" s="396">
        <v>7262240</v>
      </c>
      <c r="AC265" s="396">
        <v>10207916</v>
      </c>
    </row>
    <row r="266" spans="1:29">
      <c r="A266">
        <v>1589</v>
      </c>
      <c r="B266" s="395" t="s">
        <v>6825</v>
      </c>
      <c r="C266" s="395"/>
      <c r="D266" s="396">
        <v>428310</v>
      </c>
      <c r="E266" s="396">
        <v>547055</v>
      </c>
      <c r="F266" s="395">
        <v>4.6100000000000003</v>
      </c>
      <c r="G266" s="396">
        <v>-118745</v>
      </c>
      <c r="H266" s="396">
        <v>74483</v>
      </c>
      <c r="I266" s="396">
        <v>3736250</v>
      </c>
      <c r="J266" s="395">
        <v>258</v>
      </c>
      <c r="K266" s="395">
        <v>203</v>
      </c>
      <c r="L266" s="397">
        <v>0.78680000000000005</v>
      </c>
      <c r="M266" s="395">
        <v>55</v>
      </c>
      <c r="N266" s="396">
        <v>1660</v>
      </c>
      <c r="O266" s="396">
        <v>2695</v>
      </c>
      <c r="P266" s="395">
        <v>1.25</v>
      </c>
      <c r="Q266" s="396">
        <v>-2159</v>
      </c>
      <c r="R266" s="396">
        <v>7840</v>
      </c>
      <c r="S266" s="396">
        <v>-12328</v>
      </c>
      <c r="T266" s="396">
        <v>543990</v>
      </c>
      <c r="U266" s="396">
        <v>-274526</v>
      </c>
      <c r="V266" s="395">
        <v>4800.45</v>
      </c>
      <c r="W266" s="395">
        <v>3575.73</v>
      </c>
      <c r="X266" s="395">
        <v>77490</v>
      </c>
      <c r="Y266" s="395">
        <v>9320.7800000000007</v>
      </c>
      <c r="Z266" s="396">
        <v>-15225309</v>
      </c>
      <c r="AA266" s="396">
        <v>428310</v>
      </c>
      <c r="AB266" s="396">
        <v>-10448469</v>
      </c>
      <c r="AC266" s="396">
        <v>10207916</v>
      </c>
    </row>
    <row r="267" spans="1:29">
      <c r="A267">
        <v>2430</v>
      </c>
      <c r="B267" s="395" t="s">
        <v>7058</v>
      </c>
      <c r="C267" s="395"/>
      <c r="D267" s="396">
        <v>426962</v>
      </c>
      <c r="E267" s="396">
        <v>475156</v>
      </c>
      <c r="F267" s="395">
        <v>9.86</v>
      </c>
      <c r="G267" s="396">
        <v>-48194</v>
      </c>
      <c r="H267" s="396">
        <v>36596</v>
      </c>
      <c r="I267" s="396">
        <v>2890650</v>
      </c>
      <c r="J267" s="395">
        <v>260</v>
      </c>
      <c r="K267" s="395">
        <v>229</v>
      </c>
      <c r="L267" s="397">
        <v>0.88080000000000003</v>
      </c>
      <c r="M267" s="395">
        <v>31</v>
      </c>
      <c r="N267" s="396">
        <v>1642</v>
      </c>
      <c r="O267" s="396">
        <v>2075</v>
      </c>
      <c r="P267" s="395">
        <v>1.33</v>
      </c>
      <c r="Q267" s="396">
        <v>-1555</v>
      </c>
      <c r="R267" s="396">
        <v>8945</v>
      </c>
      <c r="S267" s="396">
        <v>-8390</v>
      </c>
      <c r="T267" s="396">
        <v>654754</v>
      </c>
      <c r="U267" s="396">
        <v>-389113</v>
      </c>
      <c r="V267" s="395">
        <v>4526.33</v>
      </c>
      <c r="W267" s="395">
        <v>3945.26</v>
      </c>
      <c r="X267" s="395">
        <v>77490</v>
      </c>
      <c r="Y267" s="395">
        <v>8818.77</v>
      </c>
      <c r="Z267" s="396">
        <v>38037455</v>
      </c>
      <c r="AA267" s="396">
        <v>426962</v>
      </c>
      <c r="AB267" s="396">
        <v>68718445</v>
      </c>
      <c r="AC267" s="396">
        <v>10207916</v>
      </c>
    </row>
    <row r="268" spans="1:29">
      <c r="A268">
        <v>3317</v>
      </c>
      <c r="B268" s="395" t="s">
        <v>7389</v>
      </c>
      <c r="C268" s="395"/>
      <c r="D268" s="396">
        <v>426918</v>
      </c>
      <c r="E268" s="396">
        <v>620750</v>
      </c>
      <c r="F268" s="395">
        <v>3.2</v>
      </c>
      <c r="G268" s="396">
        <v>-193832</v>
      </c>
      <c r="H268" s="396">
        <v>75873</v>
      </c>
      <c r="I268" s="396">
        <v>2394524</v>
      </c>
      <c r="J268" s="395">
        <v>275</v>
      </c>
      <c r="K268" s="395">
        <v>216</v>
      </c>
      <c r="L268" s="397">
        <v>0.78549999999999998</v>
      </c>
      <c r="M268" s="395">
        <v>59</v>
      </c>
      <c r="N268" s="396">
        <v>1552</v>
      </c>
      <c r="O268" s="396">
        <v>2874</v>
      </c>
      <c r="P268" s="395">
        <v>0.87</v>
      </c>
      <c r="Q268" s="396">
        <v>-3285</v>
      </c>
      <c r="R268" s="396">
        <v>15180</v>
      </c>
      <c r="S268" s="396">
        <v>-16583</v>
      </c>
      <c r="T268" s="396">
        <v>606197</v>
      </c>
      <c r="U268" s="396">
        <v>-300523</v>
      </c>
      <c r="V268" s="395">
        <v>2181.0300000000002</v>
      </c>
      <c r="W268" s="395">
        <v>1437.82</v>
      </c>
      <c r="X268" s="395">
        <v>77490</v>
      </c>
      <c r="Y268" s="395">
        <v>4901.93</v>
      </c>
      <c r="Z268" s="396">
        <v>244446</v>
      </c>
      <c r="AA268" s="396">
        <v>426918</v>
      </c>
      <c r="AB268" s="396">
        <v>18460439</v>
      </c>
      <c r="AC268" s="396">
        <v>10207916</v>
      </c>
    </row>
    <row r="269" spans="1:29">
      <c r="A269">
        <v>2031</v>
      </c>
      <c r="B269" s="395" t="s">
        <v>6925</v>
      </c>
      <c r="C269" s="395"/>
      <c r="D269" s="396">
        <v>426561</v>
      </c>
      <c r="E269" s="396">
        <v>793441</v>
      </c>
      <c r="F269" s="395">
        <v>2.16</v>
      </c>
      <c r="G269" s="396">
        <v>-366880</v>
      </c>
      <c r="H269" s="396">
        <v>63892</v>
      </c>
      <c r="I269" s="396">
        <v>8787886</v>
      </c>
      <c r="J269" s="395">
        <v>270</v>
      </c>
      <c r="K269" s="395">
        <v>210</v>
      </c>
      <c r="L269" s="397">
        <v>0.77780000000000005</v>
      </c>
      <c r="M269" s="395">
        <v>60</v>
      </c>
      <c r="N269" s="396">
        <v>1580</v>
      </c>
      <c r="O269" s="396">
        <v>3778</v>
      </c>
      <c r="P269" s="395">
        <v>0.62</v>
      </c>
      <c r="Q269" s="396">
        <v>-6115</v>
      </c>
      <c r="R269" s="396">
        <v>12566</v>
      </c>
      <c r="S269" s="396">
        <v>-20941</v>
      </c>
      <c r="T269" s="396">
        <v>1739443</v>
      </c>
      <c r="U269" s="396">
        <v>-1470794</v>
      </c>
      <c r="V269" s="395">
        <v>12132.27</v>
      </c>
      <c r="W269" s="395">
        <v>7422.17</v>
      </c>
      <c r="X269" s="395">
        <v>77490</v>
      </c>
      <c r="Y269" s="395">
        <v>28617.65</v>
      </c>
      <c r="Z269" s="396">
        <v>16227850</v>
      </c>
      <c r="AA269" s="396">
        <v>426561</v>
      </c>
      <c r="AB269" s="396">
        <v>35139660</v>
      </c>
      <c r="AC269" s="396">
        <v>10207916</v>
      </c>
    </row>
    <row r="270" spans="1:29">
      <c r="A270">
        <v>6577</v>
      </c>
      <c r="B270" s="395" t="s">
        <v>8138</v>
      </c>
      <c r="C270" s="395"/>
      <c r="D270" s="396">
        <v>425386</v>
      </c>
      <c r="E270" s="396">
        <v>432330</v>
      </c>
      <c r="F270" s="395">
        <v>62.26</v>
      </c>
      <c r="G270" s="396">
        <v>-6944</v>
      </c>
      <c r="H270" s="396">
        <v>31459</v>
      </c>
      <c r="I270" s="396">
        <v>4187262</v>
      </c>
      <c r="J270" s="395">
        <v>115</v>
      </c>
      <c r="K270" s="395">
        <v>105</v>
      </c>
      <c r="L270" s="397">
        <v>0.91300000000000003</v>
      </c>
      <c r="M270" s="395">
        <v>10</v>
      </c>
      <c r="N270" s="396">
        <v>3699</v>
      </c>
      <c r="O270" s="396">
        <v>4117</v>
      </c>
      <c r="P270" s="395">
        <v>5.93</v>
      </c>
      <c r="Q270" s="395">
        <v>-694</v>
      </c>
      <c r="R270" s="396">
        <v>12770</v>
      </c>
      <c r="S270" s="396">
        <v>-2063</v>
      </c>
      <c r="T270" s="396">
        <v>597203</v>
      </c>
      <c r="U270" s="396">
        <v>-209229</v>
      </c>
      <c r="V270" s="395">
        <v>18374.560000000001</v>
      </c>
      <c r="W270" s="395">
        <v>19762.07</v>
      </c>
      <c r="X270" s="395">
        <v>77490</v>
      </c>
      <c r="Y270" s="395">
        <v>3805.7</v>
      </c>
      <c r="Z270" s="396">
        <v>3654575</v>
      </c>
      <c r="AA270" s="396">
        <v>425386</v>
      </c>
      <c r="AB270" s="396">
        <v>3908269</v>
      </c>
      <c r="AC270" s="396">
        <v>10207916</v>
      </c>
    </row>
    <row r="271" spans="1:29">
      <c r="A271">
        <v>1722</v>
      </c>
      <c r="B271" s="395" t="s">
        <v>6860</v>
      </c>
      <c r="C271" s="395"/>
      <c r="D271" s="396">
        <v>425106</v>
      </c>
      <c r="E271" s="396">
        <v>447402</v>
      </c>
      <c r="F271" s="395">
        <v>20.07</v>
      </c>
      <c r="G271" s="396">
        <v>-22296</v>
      </c>
      <c r="H271" s="396">
        <v>67704</v>
      </c>
      <c r="I271" s="396">
        <v>2610770</v>
      </c>
      <c r="J271" s="395">
        <v>271</v>
      </c>
      <c r="K271" s="395">
        <v>252</v>
      </c>
      <c r="L271" s="397">
        <v>0.92989999999999995</v>
      </c>
      <c r="M271" s="395">
        <v>19</v>
      </c>
      <c r="N271" s="396">
        <v>1569</v>
      </c>
      <c r="O271" s="396">
        <v>1775</v>
      </c>
      <c r="P271" s="395">
        <v>1.51</v>
      </c>
      <c r="Q271" s="396">
        <v>-1173</v>
      </c>
      <c r="R271" s="396">
        <v>4928</v>
      </c>
      <c r="S271" s="396">
        <v>-3739</v>
      </c>
      <c r="T271" s="396">
        <v>460283</v>
      </c>
      <c r="U271" s="396">
        <v>-56541</v>
      </c>
      <c r="V271" s="395">
        <v>3429.26</v>
      </c>
      <c r="W271" s="395">
        <v>3174.9</v>
      </c>
      <c r="X271" s="395">
        <v>77490</v>
      </c>
      <c r="Y271" s="395">
        <v>6802.89</v>
      </c>
      <c r="Z271" s="396">
        <v>7562117</v>
      </c>
      <c r="AA271" s="396">
        <v>425106</v>
      </c>
      <c r="AB271" s="396">
        <v>23209406</v>
      </c>
      <c r="AC271" s="396">
        <v>10207916</v>
      </c>
    </row>
    <row r="272" spans="1:29">
      <c r="A272">
        <v>6281</v>
      </c>
      <c r="B272" s="395" t="s">
        <v>8050</v>
      </c>
      <c r="C272" s="395"/>
      <c r="D272" s="396">
        <v>422094</v>
      </c>
      <c r="E272" s="396">
        <v>432078</v>
      </c>
      <c r="F272" s="395">
        <v>43.28</v>
      </c>
      <c r="G272" s="396">
        <v>-9984</v>
      </c>
      <c r="H272" s="396">
        <v>72085</v>
      </c>
      <c r="I272" s="396">
        <v>5798677</v>
      </c>
      <c r="J272" s="395">
        <v>217</v>
      </c>
      <c r="K272" s="395">
        <v>197</v>
      </c>
      <c r="L272" s="397">
        <v>0.90780000000000005</v>
      </c>
      <c r="M272" s="395">
        <v>20</v>
      </c>
      <c r="N272" s="396">
        <v>1945</v>
      </c>
      <c r="O272" s="396">
        <v>2193</v>
      </c>
      <c r="P272" s="395">
        <v>4.3899999999999997</v>
      </c>
      <c r="Q272" s="395">
        <v>-499</v>
      </c>
      <c r="R272" s="396">
        <v>7912</v>
      </c>
      <c r="S272" s="396">
        <v>-1440</v>
      </c>
      <c r="T272" s="396">
        <v>518777</v>
      </c>
      <c r="U272" s="396">
        <v>-140237</v>
      </c>
      <c r="V272" s="395">
        <v>10171.52</v>
      </c>
      <c r="W272" s="395">
        <v>9666.26</v>
      </c>
      <c r="X272" s="395">
        <v>77490</v>
      </c>
      <c r="Y272" s="395">
        <v>15148.35</v>
      </c>
      <c r="Z272" s="396">
        <v>6767487</v>
      </c>
      <c r="AA272" s="396">
        <v>422094</v>
      </c>
      <c r="AB272" s="396">
        <v>11185132</v>
      </c>
      <c r="AC272" s="396">
        <v>10207916</v>
      </c>
    </row>
    <row r="273" spans="1:29">
      <c r="A273">
        <v>2348</v>
      </c>
      <c r="B273" s="395" t="s">
        <v>6998</v>
      </c>
      <c r="C273" s="395"/>
      <c r="D273" s="396">
        <v>420159</v>
      </c>
      <c r="E273" s="396">
        <v>621527</v>
      </c>
      <c r="F273" s="395">
        <v>3.09</v>
      </c>
      <c r="G273" s="396">
        <v>-201368</v>
      </c>
      <c r="H273" s="396">
        <v>105158</v>
      </c>
      <c r="I273" s="396">
        <v>2817519</v>
      </c>
      <c r="J273" s="395">
        <v>260</v>
      </c>
      <c r="K273" s="395">
        <v>219</v>
      </c>
      <c r="L273" s="397">
        <v>0.84230000000000005</v>
      </c>
      <c r="M273" s="395">
        <v>41</v>
      </c>
      <c r="N273" s="396">
        <v>1616</v>
      </c>
      <c r="O273" s="396">
        <v>2838</v>
      </c>
      <c r="P273" s="395">
        <v>0.57999999999999996</v>
      </c>
      <c r="Q273" s="396">
        <v>-4911</v>
      </c>
      <c r="R273" s="396">
        <v>7568</v>
      </c>
      <c r="S273" s="396">
        <v>-17436</v>
      </c>
      <c r="T273" s="396">
        <v>618391</v>
      </c>
      <c r="U273" s="396">
        <v>-236152</v>
      </c>
      <c r="V273" s="395">
        <v>2541.66</v>
      </c>
      <c r="W273" s="395">
        <v>2170.5100000000002</v>
      </c>
      <c r="X273" s="395">
        <v>77490</v>
      </c>
      <c r="Y273" s="395">
        <v>4524.12</v>
      </c>
      <c r="Z273" s="396">
        <v>7665064</v>
      </c>
      <c r="AA273" s="396">
        <v>420159</v>
      </c>
      <c r="AB273" s="396">
        <v>19167228</v>
      </c>
      <c r="AC273" s="396">
        <v>10207916</v>
      </c>
    </row>
    <row r="274" spans="1:29">
      <c r="A274">
        <v>6414</v>
      </c>
      <c r="B274" s="395" t="s">
        <v>8067</v>
      </c>
      <c r="C274" s="395"/>
      <c r="D274" s="396">
        <v>418566</v>
      </c>
      <c r="E274" s="396">
        <v>2212398</v>
      </c>
      <c r="F274" s="395">
        <v>1.23</v>
      </c>
      <c r="G274" s="396">
        <v>-1793832</v>
      </c>
      <c r="H274" s="396">
        <v>246517</v>
      </c>
      <c r="I274" s="396">
        <v>14881707</v>
      </c>
      <c r="J274" s="395">
        <v>276</v>
      </c>
      <c r="K274" s="395">
        <v>182</v>
      </c>
      <c r="L274" s="397">
        <v>0.65939999999999999</v>
      </c>
      <c r="M274" s="395">
        <v>94</v>
      </c>
      <c r="N274" s="396">
        <v>1517</v>
      </c>
      <c r="O274" s="396">
        <v>12156</v>
      </c>
      <c r="P274" s="395">
        <v>0.64</v>
      </c>
      <c r="Q274" s="396">
        <v>-19083</v>
      </c>
      <c r="R274" s="396">
        <v>40689</v>
      </c>
      <c r="S274" s="396">
        <v>-84437</v>
      </c>
      <c r="T274" s="396">
        <v>2561073</v>
      </c>
      <c r="U274" s="396">
        <v>-1612573</v>
      </c>
      <c r="V274" s="395">
        <v>6227.85</v>
      </c>
      <c r="W274" s="395">
        <v>4064.08</v>
      </c>
      <c r="X274" s="395">
        <v>77490</v>
      </c>
      <c r="Y274" s="395">
        <v>10417.280000000001</v>
      </c>
      <c r="Z274" s="396">
        <v>-23892662</v>
      </c>
      <c r="AA274" s="396">
        <v>418566</v>
      </c>
      <c r="AB274" s="396">
        <v>-11080947</v>
      </c>
      <c r="AC274" s="396">
        <v>10207916</v>
      </c>
    </row>
    <row r="275" spans="1:29">
      <c r="A275">
        <v>8027</v>
      </c>
      <c r="B275" s="395" t="s">
        <v>8229</v>
      </c>
      <c r="C275" s="395"/>
      <c r="D275" s="396">
        <v>418247</v>
      </c>
      <c r="E275" s="396">
        <v>687198</v>
      </c>
      <c r="F275" s="395">
        <v>2.56</v>
      </c>
      <c r="G275" s="396">
        <v>-268951</v>
      </c>
      <c r="H275" s="396">
        <v>77436</v>
      </c>
      <c r="I275" s="396">
        <v>4504160</v>
      </c>
      <c r="J275" s="395">
        <v>257</v>
      </c>
      <c r="K275" s="395">
        <v>201</v>
      </c>
      <c r="L275" s="397">
        <v>0.78210000000000002</v>
      </c>
      <c r="M275" s="395">
        <v>56</v>
      </c>
      <c r="N275" s="396">
        <v>1627</v>
      </c>
      <c r="O275" s="396">
        <v>3419</v>
      </c>
      <c r="P275" s="395">
        <v>0.71</v>
      </c>
      <c r="Q275" s="396">
        <v>-4803</v>
      </c>
      <c r="R275" s="396">
        <v>14323</v>
      </c>
      <c r="S275" s="396">
        <v>-17662</v>
      </c>
      <c r="T275" s="396">
        <v>827068</v>
      </c>
      <c r="U275" s="396">
        <v>-523745</v>
      </c>
      <c r="V275" s="395">
        <v>4283.0200000000004</v>
      </c>
      <c r="W275" s="395">
        <v>2904.79</v>
      </c>
      <c r="X275" s="395">
        <v>77490</v>
      </c>
      <c r="Y275" s="395">
        <v>9229.89</v>
      </c>
      <c r="Z275" s="396">
        <v>-14575599</v>
      </c>
      <c r="AA275" s="396">
        <v>418247</v>
      </c>
      <c r="AB275" s="396">
        <v>-14593818</v>
      </c>
      <c r="AC275" s="396">
        <v>10207916</v>
      </c>
    </row>
    <row r="276" spans="1:29">
      <c r="A276">
        <v>5215</v>
      </c>
      <c r="B276" s="395" t="s">
        <v>7769</v>
      </c>
      <c r="C276" s="395"/>
      <c r="D276" s="396">
        <v>416961</v>
      </c>
      <c r="E276" s="396">
        <v>1189687</v>
      </c>
      <c r="F276" s="395">
        <v>1.54</v>
      </c>
      <c r="G276" s="396">
        <v>-772726</v>
      </c>
      <c r="H276" s="396">
        <v>100860</v>
      </c>
      <c r="I276" s="396">
        <v>7495050</v>
      </c>
      <c r="J276" s="395">
        <v>251</v>
      </c>
      <c r="K276" s="395">
        <v>172</v>
      </c>
      <c r="L276" s="397">
        <v>0.68530000000000002</v>
      </c>
      <c r="M276" s="395">
        <v>79</v>
      </c>
      <c r="N276" s="396">
        <v>1661</v>
      </c>
      <c r="O276" s="396">
        <v>6917</v>
      </c>
      <c r="P276" s="395">
        <v>0.71</v>
      </c>
      <c r="Q276" s="396">
        <v>-9781</v>
      </c>
      <c r="R276" s="396">
        <v>30273</v>
      </c>
      <c r="S276" s="396">
        <v>-36571</v>
      </c>
      <c r="T276" s="396">
        <v>1551047</v>
      </c>
      <c r="U276" s="396">
        <v>-1308674</v>
      </c>
      <c r="V276" s="395">
        <v>7452</v>
      </c>
      <c r="W276" s="395">
        <v>4915.8</v>
      </c>
      <c r="X276" s="395">
        <v>77490</v>
      </c>
      <c r="Y276" s="395">
        <v>12973.86</v>
      </c>
      <c r="Z276" s="396">
        <v>-26527767</v>
      </c>
      <c r="AA276" s="396">
        <v>416961</v>
      </c>
      <c r="AB276" s="396">
        <v>-24001158</v>
      </c>
      <c r="AC276" s="396">
        <v>10207916</v>
      </c>
    </row>
    <row r="277" spans="1:29">
      <c r="A277">
        <v>4137</v>
      </c>
      <c r="B277" s="395" t="s">
        <v>7573</v>
      </c>
      <c r="C277" s="395"/>
      <c r="D277" s="396">
        <v>413897</v>
      </c>
      <c r="E277" s="396">
        <v>1738558</v>
      </c>
      <c r="F277" s="395">
        <v>1.31</v>
      </c>
      <c r="G277" s="396">
        <v>-1324661</v>
      </c>
      <c r="H277" s="396">
        <v>227303</v>
      </c>
      <c r="I277" s="396">
        <v>12774338</v>
      </c>
      <c r="J277" s="395">
        <v>260</v>
      </c>
      <c r="K277" s="395">
        <v>189</v>
      </c>
      <c r="L277" s="397">
        <v>0.72689999999999999</v>
      </c>
      <c r="M277" s="395">
        <v>71</v>
      </c>
      <c r="N277" s="396">
        <v>1592</v>
      </c>
      <c r="O277" s="396">
        <v>9199</v>
      </c>
      <c r="P277" s="395">
        <v>0.49</v>
      </c>
      <c r="Q277" s="396">
        <v>-18657</v>
      </c>
      <c r="R277" s="396">
        <v>25202</v>
      </c>
      <c r="S277" s="396">
        <v>-48415</v>
      </c>
      <c r="T277" s="396">
        <v>2017211</v>
      </c>
      <c r="U277" s="396">
        <v>-1294143</v>
      </c>
      <c r="V277" s="395">
        <v>6384.42</v>
      </c>
      <c r="W277" s="395">
        <v>4820.41</v>
      </c>
      <c r="X277" s="395">
        <v>77490</v>
      </c>
      <c r="Y277" s="395">
        <v>10547.76</v>
      </c>
      <c r="Z277" s="396">
        <v>196717</v>
      </c>
      <c r="AA277" s="396">
        <v>413897</v>
      </c>
      <c r="AB277" s="396">
        <v>3727461</v>
      </c>
      <c r="AC277" s="396">
        <v>10207916</v>
      </c>
    </row>
    <row r="278" spans="1:29">
      <c r="A278">
        <v>4549</v>
      </c>
      <c r="B278" s="395" t="s">
        <v>7645</v>
      </c>
      <c r="C278" s="395"/>
      <c r="D278" s="396">
        <v>408075</v>
      </c>
      <c r="E278" s="396">
        <v>461659</v>
      </c>
      <c r="F278" s="395">
        <v>8.6199999999999992</v>
      </c>
      <c r="G278" s="396">
        <v>-53584</v>
      </c>
      <c r="H278" s="396">
        <v>73025</v>
      </c>
      <c r="I278" s="396">
        <v>3130524</v>
      </c>
      <c r="J278" s="395">
        <v>208</v>
      </c>
      <c r="K278" s="395">
        <v>184</v>
      </c>
      <c r="L278" s="397">
        <v>0.88460000000000005</v>
      </c>
      <c r="M278" s="395">
        <v>24</v>
      </c>
      <c r="N278" s="396">
        <v>1962</v>
      </c>
      <c r="O278" s="396">
        <v>2509</v>
      </c>
      <c r="P278" s="395">
        <v>1.1200000000000001</v>
      </c>
      <c r="Q278" s="396">
        <v>-2233</v>
      </c>
      <c r="R278" s="396">
        <v>10771</v>
      </c>
      <c r="S278" s="396">
        <v>-7965</v>
      </c>
      <c r="T278" s="396">
        <v>469153</v>
      </c>
      <c r="U278" s="396">
        <v>-169554</v>
      </c>
      <c r="V278" s="395">
        <v>3648.25</v>
      </c>
      <c r="W278" s="395">
        <v>3130.33</v>
      </c>
      <c r="X278" s="395">
        <v>77220</v>
      </c>
      <c r="Y278" s="395">
        <v>7619.04</v>
      </c>
      <c r="Z278" s="396">
        <v>9418182</v>
      </c>
      <c r="AA278" s="396">
        <v>408075</v>
      </c>
      <c r="AB278" s="396">
        <v>17079345</v>
      </c>
      <c r="AC278" s="396">
        <v>10207916</v>
      </c>
    </row>
    <row r="279" spans="1:29">
      <c r="A279">
        <v>3357</v>
      </c>
      <c r="B279" s="395" t="s">
        <v>7402</v>
      </c>
      <c r="C279" s="395"/>
      <c r="D279" s="396">
        <v>406036</v>
      </c>
      <c r="E279" s="396">
        <v>1069065</v>
      </c>
      <c r="F279" s="395">
        <v>1.61</v>
      </c>
      <c r="G279" s="396">
        <v>-663029</v>
      </c>
      <c r="H279" s="396">
        <v>101904</v>
      </c>
      <c r="I279" s="396">
        <v>8340567</v>
      </c>
      <c r="J279" s="395">
        <v>184</v>
      </c>
      <c r="K279" s="395">
        <v>113</v>
      </c>
      <c r="L279" s="397">
        <v>0.61409999999999998</v>
      </c>
      <c r="M279" s="395">
        <v>71</v>
      </c>
      <c r="N279" s="396">
        <v>2207</v>
      </c>
      <c r="O279" s="396">
        <v>9461</v>
      </c>
      <c r="P279" s="395">
        <v>1.01</v>
      </c>
      <c r="Q279" s="396">
        <v>-9338</v>
      </c>
      <c r="R279" s="396">
        <v>29498</v>
      </c>
      <c r="S279" s="396">
        <v>-39127</v>
      </c>
      <c r="T279" s="396">
        <v>1576825</v>
      </c>
      <c r="U279" s="396">
        <v>-1205214</v>
      </c>
      <c r="V279" s="395">
        <v>4967.3</v>
      </c>
      <c r="W279" s="395">
        <v>2786</v>
      </c>
      <c r="X279" s="395">
        <v>58320</v>
      </c>
      <c r="Y279" s="395">
        <v>8438.94</v>
      </c>
      <c r="Z279" s="396">
        <v>-21579415</v>
      </c>
      <c r="AA279" s="396">
        <v>406036</v>
      </c>
      <c r="AB279" s="396">
        <v>-14798195</v>
      </c>
      <c r="AC279" s="396">
        <v>10207916</v>
      </c>
    </row>
    <row r="280" spans="1:29">
      <c r="A280">
        <v>1231</v>
      </c>
      <c r="B280" s="395" t="s">
        <v>6696</v>
      </c>
      <c r="C280" s="395"/>
      <c r="D280" s="396">
        <v>405655</v>
      </c>
      <c r="E280" s="396">
        <v>426437</v>
      </c>
      <c r="F280" s="395">
        <v>20.52</v>
      </c>
      <c r="G280" s="396">
        <v>-20782</v>
      </c>
      <c r="H280" s="396">
        <v>63947</v>
      </c>
      <c r="I280" s="396">
        <v>4027671</v>
      </c>
      <c r="J280" s="395">
        <v>243</v>
      </c>
      <c r="K280" s="395">
        <v>225</v>
      </c>
      <c r="L280" s="397">
        <v>0.92589999999999995</v>
      </c>
      <c r="M280" s="395">
        <v>18</v>
      </c>
      <c r="N280" s="396">
        <v>1669</v>
      </c>
      <c r="O280" s="396">
        <v>1895</v>
      </c>
      <c r="P280" s="395">
        <v>1.64</v>
      </c>
      <c r="Q280" s="396">
        <v>-1155</v>
      </c>
      <c r="R280" s="396">
        <v>8093</v>
      </c>
      <c r="S280" s="396">
        <v>-3633</v>
      </c>
      <c r="T280" s="396">
        <v>422455</v>
      </c>
      <c r="U280" s="396">
        <v>-189513</v>
      </c>
      <c r="V280" s="395">
        <v>4216.49</v>
      </c>
      <c r="W280" s="395">
        <v>3871.18</v>
      </c>
      <c r="X280" s="395">
        <v>77490</v>
      </c>
      <c r="Y280" s="395">
        <v>8532.7800000000007</v>
      </c>
      <c r="Z280" s="396">
        <v>18091390</v>
      </c>
      <c r="AA280" s="396">
        <v>405655</v>
      </c>
      <c r="AB280" s="396">
        <v>46719942</v>
      </c>
      <c r="AC280" s="396">
        <v>10207916</v>
      </c>
    </row>
    <row r="281" spans="1:29">
      <c r="A281">
        <v>3178</v>
      </c>
      <c r="B281" s="395" t="s">
        <v>7336</v>
      </c>
      <c r="C281" s="395"/>
      <c r="D281" s="396">
        <v>405497</v>
      </c>
      <c r="E281" s="396">
        <v>784892</v>
      </c>
      <c r="F281" s="395">
        <v>2.0699999999999998</v>
      </c>
      <c r="G281" s="396">
        <v>-379395</v>
      </c>
      <c r="H281" s="396">
        <v>76876</v>
      </c>
      <c r="I281" s="396">
        <v>4345426</v>
      </c>
      <c r="J281" s="395">
        <v>260</v>
      </c>
      <c r="K281" s="395">
        <v>200</v>
      </c>
      <c r="L281" s="397">
        <v>0.76919999999999999</v>
      </c>
      <c r="M281" s="395">
        <v>60</v>
      </c>
      <c r="N281" s="396">
        <v>1560</v>
      </c>
      <c r="O281" s="396">
        <v>3924</v>
      </c>
      <c r="P281" s="395">
        <v>0.62</v>
      </c>
      <c r="Q281" s="396">
        <v>-6323</v>
      </c>
      <c r="R281" s="396">
        <v>19620</v>
      </c>
      <c r="S281" s="396">
        <v>-24769</v>
      </c>
      <c r="T281" s="396">
        <v>1130580</v>
      </c>
      <c r="U281" s="396">
        <v>-756061</v>
      </c>
      <c r="V281" s="395">
        <v>3185.18</v>
      </c>
      <c r="W281" s="395">
        <v>2008.73</v>
      </c>
      <c r="X281" s="395">
        <v>77490</v>
      </c>
      <c r="Y281" s="395">
        <v>7106.68</v>
      </c>
      <c r="Z281" s="396">
        <v>-15258413</v>
      </c>
      <c r="AA281" s="396">
        <v>405497</v>
      </c>
      <c r="AB281" s="396">
        <v>16530314</v>
      </c>
      <c r="AC281" s="396">
        <v>10207916</v>
      </c>
    </row>
    <row r="282" spans="1:29">
      <c r="A282">
        <v>2612</v>
      </c>
      <c r="B282" s="395" t="s">
        <v>7147</v>
      </c>
      <c r="C282" s="395"/>
      <c r="D282" s="396">
        <v>404577</v>
      </c>
      <c r="E282" s="396">
        <v>524828</v>
      </c>
      <c r="F282" s="395">
        <v>4.3600000000000003</v>
      </c>
      <c r="G282" s="396">
        <v>-120251</v>
      </c>
      <c r="H282" s="396">
        <v>57753</v>
      </c>
      <c r="I282" s="396">
        <v>1454375</v>
      </c>
      <c r="J282" s="395">
        <v>265</v>
      </c>
      <c r="K282" s="395">
        <v>222</v>
      </c>
      <c r="L282" s="397">
        <v>0.8377</v>
      </c>
      <c r="M282" s="395">
        <v>43</v>
      </c>
      <c r="N282" s="396">
        <v>1527</v>
      </c>
      <c r="O282" s="396">
        <v>2364</v>
      </c>
      <c r="P282" s="395">
        <v>0.85</v>
      </c>
      <c r="Q282" s="396">
        <v>-2797</v>
      </c>
      <c r="R282" s="396">
        <v>13015</v>
      </c>
      <c r="S282" s="396">
        <v>-9619</v>
      </c>
      <c r="T282" s="396">
        <v>446206</v>
      </c>
      <c r="U282" s="396">
        <v>-127428</v>
      </c>
      <c r="V282" s="395">
        <v>1611.24</v>
      </c>
      <c r="W282" s="395">
        <v>1154.5899999999999</v>
      </c>
      <c r="X282" s="395">
        <v>77490</v>
      </c>
      <c r="Y282" s="395">
        <v>3968.84</v>
      </c>
      <c r="Z282" s="396">
        <v>6286389</v>
      </c>
      <c r="AA282" s="396">
        <v>404577</v>
      </c>
      <c r="AB282" s="396">
        <v>29543963</v>
      </c>
      <c r="AC282" s="396">
        <v>10207916</v>
      </c>
    </row>
    <row r="283" spans="1:29">
      <c r="A283">
        <v>3036</v>
      </c>
      <c r="B283" s="395" t="s">
        <v>7275</v>
      </c>
      <c r="C283" s="395"/>
      <c r="D283" s="396">
        <v>403867</v>
      </c>
      <c r="E283" s="396">
        <v>445184</v>
      </c>
      <c r="F283" s="395">
        <v>10.77</v>
      </c>
      <c r="G283" s="396">
        <v>-41317</v>
      </c>
      <c r="H283" s="396">
        <v>68593</v>
      </c>
      <c r="I283" s="396">
        <v>1267984</v>
      </c>
      <c r="J283" s="395">
        <v>282</v>
      </c>
      <c r="K283" s="395">
        <v>253</v>
      </c>
      <c r="L283" s="397">
        <v>0.8972</v>
      </c>
      <c r="M283" s="395">
        <v>29</v>
      </c>
      <c r="N283" s="396">
        <v>1432</v>
      </c>
      <c r="O283" s="396">
        <v>1760</v>
      </c>
      <c r="P283" s="395">
        <v>1.24</v>
      </c>
      <c r="Q283" s="396">
        <v>-1425</v>
      </c>
      <c r="R283" s="396">
        <v>8676</v>
      </c>
      <c r="S283" s="396">
        <v>-6455</v>
      </c>
      <c r="T283" s="396">
        <v>407960</v>
      </c>
      <c r="U283" s="396">
        <v>-77749</v>
      </c>
      <c r="V283" s="395">
        <v>1863.78</v>
      </c>
      <c r="W283" s="395">
        <v>1610.2</v>
      </c>
      <c r="X283" s="395">
        <v>77490</v>
      </c>
      <c r="Y283" s="395">
        <v>4076.07</v>
      </c>
      <c r="Z283" s="396">
        <v>36240548</v>
      </c>
      <c r="AA283" s="396">
        <v>403867</v>
      </c>
      <c r="AB283" s="396">
        <v>61227194</v>
      </c>
      <c r="AC283" s="396">
        <v>10207916</v>
      </c>
    </row>
    <row r="284" spans="1:29">
      <c r="A284">
        <v>8383</v>
      </c>
      <c r="B284" s="395" t="s">
        <v>8317</v>
      </c>
      <c r="C284" s="395"/>
      <c r="D284" s="396">
        <v>403414</v>
      </c>
      <c r="E284" s="396">
        <v>438063</v>
      </c>
      <c r="F284" s="395">
        <v>12.64</v>
      </c>
      <c r="G284" s="396">
        <v>-34649</v>
      </c>
      <c r="H284" s="396">
        <v>40532</v>
      </c>
      <c r="I284" s="396">
        <v>6642426</v>
      </c>
      <c r="J284" s="395">
        <v>241</v>
      </c>
      <c r="K284" s="395">
        <v>211</v>
      </c>
      <c r="L284" s="397">
        <v>0.87549999999999994</v>
      </c>
      <c r="M284" s="395">
        <v>30</v>
      </c>
      <c r="N284" s="396">
        <v>1674</v>
      </c>
      <c r="O284" s="396">
        <v>2076</v>
      </c>
      <c r="P284" s="395">
        <v>1.8</v>
      </c>
      <c r="Q284" s="396">
        <v>-1155</v>
      </c>
      <c r="R284" s="396">
        <v>6918</v>
      </c>
      <c r="S284" s="396">
        <v>-2551</v>
      </c>
      <c r="T284" s="396">
        <v>613204</v>
      </c>
      <c r="U284" s="396">
        <v>-261766</v>
      </c>
      <c r="V284" s="395">
        <v>19343.650000000001</v>
      </c>
      <c r="W284" s="395">
        <v>19774.2</v>
      </c>
      <c r="X284" s="395">
        <v>77490</v>
      </c>
      <c r="Y284" s="395">
        <v>16315.43</v>
      </c>
      <c r="Z284" s="396">
        <v>-2669395</v>
      </c>
      <c r="AA284" s="396">
        <v>403414</v>
      </c>
      <c r="AB284" s="396">
        <v>1198411</v>
      </c>
      <c r="AC284" s="396">
        <v>10207916</v>
      </c>
    </row>
    <row r="285" spans="1:29">
      <c r="A285">
        <v>6263</v>
      </c>
      <c r="B285" s="395" t="s">
        <v>8037</v>
      </c>
      <c r="C285" s="395"/>
      <c r="D285" s="396">
        <v>402416</v>
      </c>
      <c r="E285" s="396">
        <v>425917</v>
      </c>
      <c r="F285" s="395">
        <v>18.12</v>
      </c>
      <c r="G285" s="396">
        <v>-23501</v>
      </c>
      <c r="H285" s="396">
        <v>51441</v>
      </c>
      <c r="I285" s="396">
        <v>4556553</v>
      </c>
      <c r="J285" s="395">
        <v>189</v>
      </c>
      <c r="K285" s="395">
        <v>173</v>
      </c>
      <c r="L285" s="397">
        <v>0.9153</v>
      </c>
      <c r="M285" s="395">
        <v>16</v>
      </c>
      <c r="N285" s="396">
        <v>2129</v>
      </c>
      <c r="O285" s="396">
        <v>2462</v>
      </c>
      <c r="P285" s="395">
        <v>1.68</v>
      </c>
      <c r="Q285" s="396">
        <v>-1469</v>
      </c>
      <c r="R285" s="396">
        <v>6794</v>
      </c>
      <c r="S285" s="396">
        <v>-2993</v>
      </c>
      <c r="T285" s="396">
        <v>438031</v>
      </c>
      <c r="U285" s="396">
        <v>-135612</v>
      </c>
      <c r="V285" s="395">
        <v>8653.2800000000007</v>
      </c>
      <c r="W285" s="395">
        <v>9128.16</v>
      </c>
      <c r="X285" s="395">
        <v>77490</v>
      </c>
      <c r="Y285" s="395">
        <v>3518.63</v>
      </c>
      <c r="Z285" s="396">
        <v>5367873</v>
      </c>
      <c r="AA285" s="396">
        <v>402416</v>
      </c>
      <c r="AB285" s="396">
        <v>11086624</v>
      </c>
      <c r="AC285" s="396">
        <v>10207916</v>
      </c>
    </row>
    <row r="286" spans="1:29">
      <c r="A286">
        <v>8091</v>
      </c>
      <c r="B286" s="395" t="s">
        <v>8267</v>
      </c>
      <c r="C286" s="395"/>
      <c r="D286" s="396">
        <v>402137</v>
      </c>
      <c r="E286" s="396">
        <v>495207</v>
      </c>
      <c r="F286" s="395">
        <v>5.32</v>
      </c>
      <c r="G286" s="396">
        <v>-93070</v>
      </c>
      <c r="H286" s="396">
        <v>69316</v>
      </c>
      <c r="I286" s="396">
        <v>3466704</v>
      </c>
      <c r="J286" s="395">
        <v>241</v>
      </c>
      <c r="K286" s="395">
        <v>214</v>
      </c>
      <c r="L286" s="397">
        <v>0.88800000000000001</v>
      </c>
      <c r="M286" s="395">
        <v>27</v>
      </c>
      <c r="N286" s="396">
        <v>1669</v>
      </c>
      <c r="O286" s="396">
        <v>2314</v>
      </c>
      <c r="P286" s="395">
        <v>0.67</v>
      </c>
      <c r="Q286" s="396">
        <v>-3447</v>
      </c>
      <c r="R286" s="396">
        <v>8756</v>
      </c>
      <c r="S286" s="396">
        <v>-15492</v>
      </c>
      <c r="T286" s="396">
        <v>553103</v>
      </c>
      <c r="U286" s="396">
        <v>-259361</v>
      </c>
      <c r="V286" s="395">
        <v>3927.61</v>
      </c>
      <c r="W286" s="395">
        <v>3290.93</v>
      </c>
      <c r="X286" s="395">
        <v>77490</v>
      </c>
      <c r="Y286" s="395">
        <v>8973.89</v>
      </c>
      <c r="Z286" s="396">
        <v>-3148939</v>
      </c>
      <c r="AA286" s="396">
        <v>402137</v>
      </c>
      <c r="AB286" s="396">
        <v>16847244</v>
      </c>
      <c r="AC286" s="396">
        <v>10207916</v>
      </c>
    </row>
    <row r="287" spans="1:29">
      <c r="A287">
        <v>2387</v>
      </c>
      <c r="B287" s="395" t="s">
        <v>7028</v>
      </c>
      <c r="C287" s="395"/>
      <c r="D287" s="396">
        <v>401961</v>
      </c>
      <c r="E287" s="396">
        <v>723948</v>
      </c>
      <c r="F287" s="395">
        <v>2.25</v>
      </c>
      <c r="G287" s="396">
        <v>-321986</v>
      </c>
      <c r="H287" s="396">
        <v>56180</v>
      </c>
      <c r="I287" s="396">
        <v>4468172</v>
      </c>
      <c r="J287" s="395">
        <v>261</v>
      </c>
      <c r="K287" s="395">
        <v>172</v>
      </c>
      <c r="L287" s="397">
        <v>0.65900000000000003</v>
      </c>
      <c r="M287" s="395">
        <v>89</v>
      </c>
      <c r="N287" s="396">
        <v>1540</v>
      </c>
      <c r="O287" s="396">
        <v>4209</v>
      </c>
      <c r="P287" s="395">
        <v>1.1599999999999999</v>
      </c>
      <c r="Q287" s="396">
        <v>-3618</v>
      </c>
      <c r="R287" s="396">
        <v>14899</v>
      </c>
      <c r="S287" s="396">
        <v>-11366</v>
      </c>
      <c r="T287" s="396">
        <v>1059166</v>
      </c>
      <c r="U287" s="396">
        <v>-612074</v>
      </c>
      <c r="V287" s="395">
        <v>8645.84</v>
      </c>
      <c r="W287" s="395">
        <v>6018.83</v>
      </c>
      <c r="X287" s="395">
        <v>77490</v>
      </c>
      <c r="Y287" s="395">
        <v>13722.74</v>
      </c>
      <c r="Z287" s="396">
        <v>-23584185</v>
      </c>
      <c r="AA287" s="396">
        <v>401961</v>
      </c>
      <c r="AB287" s="396">
        <v>-17520128</v>
      </c>
      <c r="AC287" s="396">
        <v>10207916</v>
      </c>
    </row>
    <row r="288" spans="1:29">
      <c r="A288">
        <v>8084</v>
      </c>
      <c r="B288" s="395" t="s">
        <v>8261</v>
      </c>
      <c r="C288" s="395"/>
      <c r="D288" s="396">
        <v>400625</v>
      </c>
      <c r="E288" s="396">
        <v>605658</v>
      </c>
      <c r="F288" s="395">
        <v>2.95</v>
      </c>
      <c r="G288" s="396">
        <v>-205033</v>
      </c>
      <c r="H288" s="396">
        <v>44675</v>
      </c>
      <c r="I288" s="396">
        <v>3630901</v>
      </c>
      <c r="J288" s="395">
        <v>148</v>
      </c>
      <c r="K288" s="395">
        <v>110</v>
      </c>
      <c r="L288" s="397">
        <v>0.74319999999999997</v>
      </c>
      <c r="M288" s="395">
        <v>38</v>
      </c>
      <c r="N288" s="396">
        <v>2707</v>
      </c>
      <c r="O288" s="396">
        <v>5506</v>
      </c>
      <c r="P288" s="395">
        <v>1.02</v>
      </c>
      <c r="Q288" s="396">
        <v>-5396</v>
      </c>
      <c r="R288" s="396">
        <v>19059</v>
      </c>
      <c r="S288" s="396">
        <v>-13578</v>
      </c>
      <c r="T288" s="396">
        <v>1144371</v>
      </c>
      <c r="U288" s="396">
        <v>-911041</v>
      </c>
      <c r="V288" s="395">
        <v>6393.55</v>
      </c>
      <c r="W288" s="395">
        <v>3439.25</v>
      </c>
      <c r="X288" s="395">
        <v>77490</v>
      </c>
      <c r="Y288" s="395">
        <v>14945.5</v>
      </c>
      <c r="Z288" s="396">
        <v>-13650682</v>
      </c>
      <c r="AA288" s="396">
        <v>400625</v>
      </c>
      <c r="AB288" s="396">
        <v>-5767347</v>
      </c>
      <c r="AC288" s="396">
        <v>10207916</v>
      </c>
    </row>
    <row r="289" spans="1:29">
      <c r="A289">
        <v>8432</v>
      </c>
      <c r="B289" s="395" t="s">
        <v>8337</v>
      </c>
      <c r="C289" s="395"/>
      <c r="D289" s="396">
        <v>397734</v>
      </c>
      <c r="E289" s="396">
        <v>497662</v>
      </c>
      <c r="F289" s="395">
        <v>4.9800000000000004</v>
      </c>
      <c r="G289" s="396">
        <v>-99928</v>
      </c>
      <c r="H289" s="396">
        <v>32844</v>
      </c>
      <c r="I289" s="396">
        <v>4654994</v>
      </c>
      <c r="J289" s="395">
        <v>176</v>
      </c>
      <c r="K289" s="395">
        <v>129</v>
      </c>
      <c r="L289" s="397">
        <v>0.73299999999999998</v>
      </c>
      <c r="M289" s="395">
        <v>47</v>
      </c>
      <c r="N289" s="396">
        <v>2260</v>
      </c>
      <c r="O289" s="396">
        <v>3858</v>
      </c>
      <c r="P289" s="395">
        <v>1.81</v>
      </c>
      <c r="Q289" s="396">
        <v>-2126</v>
      </c>
      <c r="R289" s="396">
        <v>8962</v>
      </c>
      <c r="S289" s="396">
        <v>-4101</v>
      </c>
      <c r="T289" s="396">
        <v>1004458</v>
      </c>
      <c r="U289" s="396">
        <v>-606756</v>
      </c>
      <c r="V289" s="395">
        <v>18991.740000000002</v>
      </c>
      <c r="W289" s="395">
        <v>14744.29</v>
      </c>
      <c r="X289" s="395">
        <v>77490</v>
      </c>
      <c r="Y289" s="395">
        <v>30649.64</v>
      </c>
      <c r="Z289" s="396">
        <v>-9656867</v>
      </c>
      <c r="AA289" s="396">
        <v>397734</v>
      </c>
      <c r="AB289" s="396">
        <v>-12453312</v>
      </c>
      <c r="AC289" s="396">
        <v>10207916</v>
      </c>
    </row>
    <row r="290" spans="1:29">
      <c r="A290">
        <v>3580</v>
      </c>
      <c r="B290" s="395" t="s">
        <v>7486</v>
      </c>
      <c r="C290" s="395"/>
      <c r="D290" s="396">
        <v>397316</v>
      </c>
      <c r="E290" s="396">
        <v>603438</v>
      </c>
      <c r="F290" s="395">
        <v>2.93</v>
      </c>
      <c r="G290" s="396">
        <v>-206122</v>
      </c>
      <c r="H290" s="396">
        <v>57284</v>
      </c>
      <c r="I290" s="396">
        <v>3135226</v>
      </c>
      <c r="J290" s="395">
        <v>242</v>
      </c>
      <c r="K290" s="395">
        <v>189</v>
      </c>
      <c r="L290" s="397">
        <v>0.78100000000000003</v>
      </c>
      <c r="M290" s="395">
        <v>53</v>
      </c>
      <c r="N290" s="396">
        <v>1642</v>
      </c>
      <c r="O290" s="396">
        <v>3193</v>
      </c>
      <c r="P290" s="395">
        <v>0.82</v>
      </c>
      <c r="Q290" s="396">
        <v>-3889</v>
      </c>
      <c r="R290" s="396">
        <v>13774</v>
      </c>
      <c r="S290" s="396">
        <v>-14781</v>
      </c>
      <c r="T290" s="396">
        <v>671818</v>
      </c>
      <c r="U290" s="396">
        <v>-477661</v>
      </c>
      <c r="V290" s="395">
        <v>4377.09</v>
      </c>
      <c r="W290" s="395">
        <v>3225.34</v>
      </c>
      <c r="X290" s="395">
        <v>77490</v>
      </c>
      <c r="Y290" s="395">
        <v>8484.26</v>
      </c>
      <c r="Z290" s="396">
        <v>-13859168</v>
      </c>
      <c r="AA290" s="396">
        <v>397316</v>
      </c>
      <c r="AB290" s="396">
        <v>2560277</v>
      </c>
      <c r="AC290" s="396">
        <v>10207916</v>
      </c>
    </row>
    <row r="291" spans="1:29">
      <c r="A291">
        <v>2606</v>
      </c>
      <c r="B291" s="395" t="s">
        <v>7141</v>
      </c>
      <c r="C291" s="395"/>
      <c r="D291" s="396">
        <v>396730</v>
      </c>
      <c r="E291" s="396">
        <v>558418</v>
      </c>
      <c r="F291" s="395">
        <v>3.45</v>
      </c>
      <c r="G291" s="396">
        <v>-161687</v>
      </c>
      <c r="H291" s="396">
        <v>62628</v>
      </c>
      <c r="I291" s="396">
        <v>2322496</v>
      </c>
      <c r="J291" s="395">
        <v>274</v>
      </c>
      <c r="K291" s="395">
        <v>229</v>
      </c>
      <c r="L291" s="397">
        <v>0.83579999999999999</v>
      </c>
      <c r="M291" s="395">
        <v>45</v>
      </c>
      <c r="N291" s="396">
        <v>1448</v>
      </c>
      <c r="O291" s="396">
        <v>2439</v>
      </c>
      <c r="P291" s="395">
        <v>0.68</v>
      </c>
      <c r="Q291" s="396">
        <v>-3593</v>
      </c>
      <c r="R291" s="396">
        <v>12445</v>
      </c>
      <c r="S291" s="396">
        <v>-19347</v>
      </c>
      <c r="T291" s="396">
        <v>624432</v>
      </c>
      <c r="U291" s="396">
        <v>-360105</v>
      </c>
      <c r="V291" s="395">
        <v>1999.85</v>
      </c>
      <c r="W291" s="395">
        <v>1411.92</v>
      </c>
      <c r="X291" s="395">
        <v>77490</v>
      </c>
      <c r="Y291" s="395">
        <v>4991.78</v>
      </c>
      <c r="Z291" s="396">
        <v>-4635461</v>
      </c>
      <c r="AA291" s="396">
        <v>396730</v>
      </c>
      <c r="AB291" s="396">
        <v>42309194</v>
      </c>
      <c r="AC291" s="396">
        <v>10207916</v>
      </c>
    </row>
    <row r="292" spans="1:29">
      <c r="A292">
        <v>2347</v>
      </c>
      <c r="B292" s="395" t="s">
        <v>6997</v>
      </c>
      <c r="C292" s="395"/>
      <c r="D292" s="396">
        <v>396501</v>
      </c>
      <c r="E292" s="396">
        <v>418451</v>
      </c>
      <c r="F292" s="395">
        <v>19.059999999999999</v>
      </c>
      <c r="G292" s="396">
        <v>-21950</v>
      </c>
      <c r="H292" s="396">
        <v>64729</v>
      </c>
      <c r="I292" s="396">
        <v>5229057</v>
      </c>
      <c r="J292" s="395">
        <v>283</v>
      </c>
      <c r="K292" s="395">
        <v>264</v>
      </c>
      <c r="L292" s="397">
        <v>0.93289999999999995</v>
      </c>
      <c r="M292" s="395">
        <v>19</v>
      </c>
      <c r="N292" s="396">
        <v>1401</v>
      </c>
      <c r="O292" s="396">
        <v>1585</v>
      </c>
      <c r="P292" s="395">
        <v>1.37</v>
      </c>
      <c r="Q292" s="396">
        <v>-1155</v>
      </c>
      <c r="R292" s="396">
        <v>5993</v>
      </c>
      <c r="S292" s="396">
        <v>-4856</v>
      </c>
      <c r="T292" s="396">
        <v>439123</v>
      </c>
      <c r="U292" s="396">
        <v>-234225</v>
      </c>
      <c r="V292" s="395">
        <v>5942.82</v>
      </c>
      <c r="W292" s="395">
        <v>5599.28</v>
      </c>
      <c r="X292" s="395">
        <v>77490</v>
      </c>
      <c r="Y292" s="395">
        <v>10716.21</v>
      </c>
      <c r="Z292" s="396">
        <v>23173271</v>
      </c>
      <c r="AA292" s="396">
        <v>396501</v>
      </c>
      <c r="AB292" s="396">
        <v>31979877</v>
      </c>
      <c r="AC292" s="396">
        <v>10207916</v>
      </c>
    </row>
    <row r="293" spans="1:29">
      <c r="A293">
        <v>3416</v>
      </c>
      <c r="B293" s="395" t="s">
        <v>7418</v>
      </c>
      <c r="C293" s="395"/>
      <c r="D293" s="396">
        <v>395565</v>
      </c>
      <c r="E293" s="396">
        <v>481729</v>
      </c>
      <c r="F293" s="395">
        <v>5.59</v>
      </c>
      <c r="G293" s="396">
        <v>-86164</v>
      </c>
      <c r="H293" s="396">
        <v>78643</v>
      </c>
      <c r="I293" s="396">
        <v>3348852</v>
      </c>
      <c r="J293" s="395">
        <v>253</v>
      </c>
      <c r="K293" s="395">
        <v>203</v>
      </c>
      <c r="L293" s="397">
        <v>0.8024</v>
      </c>
      <c r="M293" s="395">
        <v>50</v>
      </c>
      <c r="N293" s="396">
        <v>1563</v>
      </c>
      <c r="O293" s="396">
        <v>2373</v>
      </c>
      <c r="P293" s="395">
        <v>1.38</v>
      </c>
      <c r="Q293" s="396">
        <v>-1723</v>
      </c>
      <c r="R293" s="396">
        <v>9616</v>
      </c>
      <c r="S293" s="396">
        <v>-4312</v>
      </c>
      <c r="T293" s="396">
        <v>467833</v>
      </c>
      <c r="U293" s="396">
        <v>-113407</v>
      </c>
      <c r="V293" s="395">
        <v>4237.82</v>
      </c>
      <c r="W293" s="395">
        <v>3548.54</v>
      </c>
      <c r="X293" s="395">
        <v>77490</v>
      </c>
      <c r="Y293" s="395">
        <v>7036.3</v>
      </c>
      <c r="Z293" s="396">
        <v>-972821</v>
      </c>
      <c r="AA293" s="396">
        <v>395565</v>
      </c>
      <c r="AB293" s="396">
        <v>5209762</v>
      </c>
      <c r="AC293" s="396">
        <v>10207916</v>
      </c>
    </row>
    <row r="294" spans="1:29">
      <c r="A294">
        <v>9914</v>
      </c>
      <c r="B294" s="395" t="s">
        <v>8401</v>
      </c>
      <c r="C294" s="395"/>
      <c r="D294" s="396">
        <v>395544</v>
      </c>
      <c r="E294" s="396">
        <v>2109767</v>
      </c>
      <c r="F294" s="395">
        <v>1.23</v>
      </c>
      <c r="G294" s="396">
        <v>-1714223</v>
      </c>
      <c r="H294" s="396">
        <v>340125</v>
      </c>
      <c r="I294" s="396">
        <v>22411162</v>
      </c>
      <c r="J294" s="395">
        <v>281</v>
      </c>
      <c r="K294" s="395">
        <v>204</v>
      </c>
      <c r="L294" s="397">
        <v>0.72599999999999998</v>
      </c>
      <c r="M294" s="395">
        <v>77</v>
      </c>
      <c r="N294" s="396">
        <v>1408</v>
      </c>
      <c r="O294" s="396">
        <v>10342</v>
      </c>
      <c r="P294" s="395">
        <v>0.46</v>
      </c>
      <c r="Q294" s="396">
        <v>-22263</v>
      </c>
      <c r="R294" s="396">
        <v>29778</v>
      </c>
      <c r="S294" s="396">
        <v>-70182</v>
      </c>
      <c r="T294" s="396">
        <v>2840376</v>
      </c>
      <c r="U294" s="396">
        <v>-1771269</v>
      </c>
      <c r="V294" s="395">
        <v>4407.28</v>
      </c>
      <c r="W294" s="395">
        <v>3099.15</v>
      </c>
      <c r="X294" s="395">
        <v>77490</v>
      </c>
      <c r="Y294" s="395">
        <v>7872.97</v>
      </c>
      <c r="Z294" s="396">
        <v>4798637</v>
      </c>
      <c r="AA294" s="396">
        <v>395544</v>
      </c>
      <c r="AB294" s="396">
        <v>6249579</v>
      </c>
      <c r="AC294" s="396">
        <v>10207916</v>
      </c>
    </row>
    <row r="295" spans="1:29">
      <c r="A295">
        <v>4737</v>
      </c>
      <c r="B295" s="395" t="s">
        <v>7682</v>
      </c>
      <c r="C295" s="395"/>
      <c r="D295" s="396">
        <v>392636</v>
      </c>
      <c r="E295" s="396">
        <v>597107</v>
      </c>
      <c r="F295" s="395">
        <v>2.92</v>
      </c>
      <c r="G295" s="396">
        <v>-204471</v>
      </c>
      <c r="H295" s="396">
        <v>61402</v>
      </c>
      <c r="I295" s="396">
        <v>7683380</v>
      </c>
      <c r="J295" s="395">
        <v>210</v>
      </c>
      <c r="K295" s="395">
        <v>158</v>
      </c>
      <c r="L295" s="397">
        <v>0.75239999999999996</v>
      </c>
      <c r="M295" s="395">
        <v>52</v>
      </c>
      <c r="N295" s="396">
        <v>1870</v>
      </c>
      <c r="O295" s="396">
        <v>3779</v>
      </c>
      <c r="P295" s="395">
        <v>0.96</v>
      </c>
      <c r="Q295" s="396">
        <v>-3932</v>
      </c>
      <c r="R295" s="396">
        <v>8590</v>
      </c>
      <c r="S295" s="396">
        <v>-8889</v>
      </c>
      <c r="T295" s="396">
        <v>690030</v>
      </c>
      <c r="U295" s="396">
        <v>-494513</v>
      </c>
      <c r="V295" s="395">
        <v>14180.23</v>
      </c>
      <c r="W295" s="395">
        <v>14629.53</v>
      </c>
      <c r="X295" s="395">
        <v>77490</v>
      </c>
      <c r="Y295" s="395">
        <v>12815.06</v>
      </c>
      <c r="Z295" s="396">
        <v>-8848568</v>
      </c>
      <c r="AA295" s="396">
        <v>392636</v>
      </c>
      <c r="AB295" s="396">
        <v>1574036</v>
      </c>
      <c r="AC295" s="396">
        <v>10207916</v>
      </c>
    </row>
    <row r="296" spans="1:29">
      <c r="A296">
        <v>5388</v>
      </c>
      <c r="B296" s="395" t="s">
        <v>7823</v>
      </c>
      <c r="C296" s="395"/>
      <c r="D296" s="396">
        <v>392526</v>
      </c>
      <c r="E296" s="396">
        <v>536724</v>
      </c>
      <c r="F296" s="395">
        <v>3.72</v>
      </c>
      <c r="G296" s="396">
        <v>-144198</v>
      </c>
      <c r="H296" s="396">
        <v>74505</v>
      </c>
      <c r="I296" s="396">
        <v>4323841</v>
      </c>
      <c r="J296" s="395">
        <v>265</v>
      </c>
      <c r="K296" s="395">
        <v>213</v>
      </c>
      <c r="L296" s="397">
        <v>0.80379999999999996</v>
      </c>
      <c r="M296" s="395">
        <v>52</v>
      </c>
      <c r="N296" s="396">
        <v>1481</v>
      </c>
      <c r="O296" s="396">
        <v>2520</v>
      </c>
      <c r="P296" s="395">
        <v>0.91</v>
      </c>
      <c r="Q296" s="396">
        <v>-2773</v>
      </c>
      <c r="R296" s="396">
        <v>8838</v>
      </c>
      <c r="S296" s="396">
        <v>-6795</v>
      </c>
      <c r="T296" s="396">
        <v>620768</v>
      </c>
      <c r="U296" s="396">
        <v>-318748</v>
      </c>
      <c r="V296" s="395">
        <v>5504.7</v>
      </c>
      <c r="W296" s="395">
        <v>4026</v>
      </c>
      <c r="X296" s="395">
        <v>77490</v>
      </c>
      <c r="Y296" s="395">
        <v>11561.69</v>
      </c>
      <c r="Z296" s="396">
        <v>-11606229</v>
      </c>
      <c r="AA296" s="396">
        <v>392526</v>
      </c>
      <c r="AB296" s="396">
        <v>2342982</v>
      </c>
      <c r="AC296" s="396">
        <v>10207916</v>
      </c>
    </row>
    <row r="297" spans="1:29">
      <c r="A297">
        <v>4953</v>
      </c>
      <c r="B297" s="395" t="s">
        <v>7730</v>
      </c>
      <c r="C297" s="395"/>
      <c r="D297" s="396">
        <v>392495</v>
      </c>
      <c r="E297" s="396">
        <v>576607</v>
      </c>
      <c r="F297" s="395">
        <v>3.13</v>
      </c>
      <c r="G297" s="396">
        <v>-184112</v>
      </c>
      <c r="H297" s="396">
        <v>95207</v>
      </c>
      <c r="I297" s="396">
        <v>6851464</v>
      </c>
      <c r="J297" s="395">
        <v>254</v>
      </c>
      <c r="K297" s="395">
        <v>190</v>
      </c>
      <c r="L297" s="397">
        <v>0.748</v>
      </c>
      <c r="M297" s="395">
        <v>64</v>
      </c>
      <c r="N297" s="396">
        <v>1545</v>
      </c>
      <c r="O297" s="396">
        <v>3035</v>
      </c>
      <c r="P297" s="395">
        <v>1.05</v>
      </c>
      <c r="Q297" s="396">
        <v>-2877</v>
      </c>
      <c r="R297" s="396">
        <v>13428</v>
      </c>
      <c r="S297" s="396">
        <v>-11925</v>
      </c>
      <c r="T297" s="396">
        <v>613321</v>
      </c>
      <c r="U297" s="396">
        <v>-352422</v>
      </c>
      <c r="V297" s="395">
        <v>6688.63</v>
      </c>
      <c r="W297" s="395">
        <v>4970.3100000000004</v>
      </c>
      <c r="X297" s="395">
        <v>77490</v>
      </c>
      <c r="Y297" s="395">
        <v>11789.89</v>
      </c>
      <c r="Z297" s="396">
        <v>-10174682</v>
      </c>
      <c r="AA297" s="396">
        <v>392495</v>
      </c>
      <c r="AB297" s="396">
        <v>-3198950</v>
      </c>
      <c r="AC297" s="396">
        <v>10207916</v>
      </c>
    </row>
    <row r="298" spans="1:29">
      <c r="A298">
        <v>4945</v>
      </c>
      <c r="B298" s="395" t="s">
        <v>7726</v>
      </c>
      <c r="C298" s="395"/>
      <c r="D298" s="396">
        <v>390747</v>
      </c>
      <c r="E298" s="396">
        <v>584485</v>
      </c>
      <c r="F298" s="395">
        <v>3.02</v>
      </c>
      <c r="G298" s="396">
        <v>-193738</v>
      </c>
      <c r="H298" s="396">
        <v>57882</v>
      </c>
      <c r="I298" s="396">
        <v>2180963</v>
      </c>
      <c r="J298" s="395">
        <v>221</v>
      </c>
      <c r="K298" s="395">
        <v>176</v>
      </c>
      <c r="L298" s="397">
        <v>0.7964</v>
      </c>
      <c r="M298" s="395">
        <v>45</v>
      </c>
      <c r="N298" s="396">
        <v>1768</v>
      </c>
      <c r="O298" s="396">
        <v>3321</v>
      </c>
      <c r="P298" s="395">
        <v>0.77</v>
      </c>
      <c r="Q298" s="396">
        <v>-4305</v>
      </c>
      <c r="R298" s="396">
        <v>12856</v>
      </c>
      <c r="S298" s="396">
        <v>-16161</v>
      </c>
      <c r="T298" s="396">
        <v>610004</v>
      </c>
      <c r="U298" s="396">
        <v>-262849</v>
      </c>
      <c r="V298" s="395">
        <v>2669.76</v>
      </c>
      <c r="W298" s="395">
        <v>1741.31</v>
      </c>
      <c r="X298" s="395">
        <v>77490</v>
      </c>
      <c r="Y298" s="395">
        <v>6301.02</v>
      </c>
      <c r="Z298" s="396">
        <v>-9650479</v>
      </c>
      <c r="AA298" s="396">
        <v>390747</v>
      </c>
      <c r="AB298" s="396">
        <v>46478751</v>
      </c>
      <c r="AC298" s="396">
        <v>10207916</v>
      </c>
    </row>
    <row r="299" spans="1:29">
      <c r="A299">
        <v>3702</v>
      </c>
      <c r="B299" s="395" t="s">
        <v>7538</v>
      </c>
      <c r="C299" s="395"/>
      <c r="D299" s="396">
        <v>390728</v>
      </c>
      <c r="E299" s="396">
        <v>407799</v>
      </c>
      <c r="F299" s="395">
        <v>23.89</v>
      </c>
      <c r="G299" s="396">
        <v>-17071</v>
      </c>
      <c r="H299" s="396">
        <v>57729</v>
      </c>
      <c r="I299" s="396">
        <v>3657006</v>
      </c>
      <c r="J299" s="395">
        <v>283</v>
      </c>
      <c r="K299" s="395">
        <v>247</v>
      </c>
      <c r="L299" s="397">
        <v>0.87280000000000002</v>
      </c>
      <c r="M299" s="395">
        <v>36</v>
      </c>
      <c r="N299" s="396">
        <v>1381</v>
      </c>
      <c r="O299" s="396">
        <v>1651</v>
      </c>
      <c r="P299" s="395">
        <v>3.48</v>
      </c>
      <c r="Q299" s="395">
        <v>-474</v>
      </c>
      <c r="R299" s="396">
        <v>4954</v>
      </c>
      <c r="S299" s="396">
        <v>-1829</v>
      </c>
      <c r="T299" s="396">
        <v>414542</v>
      </c>
      <c r="U299" s="396">
        <v>-181785</v>
      </c>
      <c r="V299" s="395">
        <v>4735.95</v>
      </c>
      <c r="W299" s="395">
        <v>3955.79</v>
      </c>
      <c r="X299" s="395">
        <v>77490</v>
      </c>
      <c r="Y299" s="395">
        <v>10088.719999999999</v>
      </c>
      <c r="Z299" s="396">
        <v>8528522</v>
      </c>
      <c r="AA299" s="396">
        <v>390728</v>
      </c>
      <c r="AB299" s="396">
        <v>20813599</v>
      </c>
      <c r="AC299" s="396">
        <v>10207916</v>
      </c>
    </row>
    <row r="300" spans="1:29">
      <c r="A300">
        <v>2465</v>
      </c>
      <c r="B300" s="395" t="s">
        <v>7083</v>
      </c>
      <c r="C300" s="395"/>
      <c r="D300" s="396">
        <v>390388</v>
      </c>
      <c r="E300" s="396">
        <v>517297</v>
      </c>
      <c r="F300" s="395">
        <v>4.08</v>
      </c>
      <c r="G300" s="396">
        <v>-126909</v>
      </c>
      <c r="H300" s="396">
        <v>54312</v>
      </c>
      <c r="I300" s="396">
        <v>1016588</v>
      </c>
      <c r="J300" s="395">
        <v>228</v>
      </c>
      <c r="K300" s="395">
        <v>175</v>
      </c>
      <c r="L300" s="397">
        <v>0.76749999999999996</v>
      </c>
      <c r="M300" s="395">
        <v>53</v>
      </c>
      <c r="N300" s="396">
        <v>1712</v>
      </c>
      <c r="O300" s="396">
        <v>2956</v>
      </c>
      <c r="P300" s="395">
        <v>1.23</v>
      </c>
      <c r="Q300" s="396">
        <v>-2395</v>
      </c>
      <c r="R300" s="396">
        <v>11617</v>
      </c>
      <c r="S300" s="396">
        <v>-16439</v>
      </c>
      <c r="T300" s="396">
        <v>434335</v>
      </c>
      <c r="U300" s="396">
        <v>-172314</v>
      </c>
      <c r="V300" s="395">
        <v>1240.97</v>
      </c>
      <c r="W300" s="395">
        <v>825.63</v>
      </c>
      <c r="X300" s="395">
        <v>77490</v>
      </c>
      <c r="Y300" s="395">
        <v>2612.38</v>
      </c>
      <c r="Z300" s="396">
        <v>12139863</v>
      </c>
      <c r="AA300" s="396">
        <v>390388</v>
      </c>
      <c r="AB300" s="396">
        <v>91955319</v>
      </c>
      <c r="AC300" s="396">
        <v>10207916</v>
      </c>
    </row>
    <row r="301" spans="1:29">
      <c r="A301">
        <v>2368</v>
      </c>
      <c r="B301" s="395" t="s">
        <v>7015</v>
      </c>
      <c r="C301" s="395"/>
      <c r="D301" s="396">
        <v>389620</v>
      </c>
      <c r="E301" s="396">
        <v>503011</v>
      </c>
      <c r="F301" s="395">
        <v>4.4400000000000004</v>
      </c>
      <c r="G301" s="396">
        <v>-113391</v>
      </c>
      <c r="H301" s="396">
        <v>73680</v>
      </c>
      <c r="I301" s="396">
        <v>1130716</v>
      </c>
      <c r="J301" s="395">
        <v>276</v>
      </c>
      <c r="K301" s="395">
        <v>233</v>
      </c>
      <c r="L301" s="397">
        <v>0.84419999999999995</v>
      </c>
      <c r="M301" s="395">
        <v>43</v>
      </c>
      <c r="N301" s="396">
        <v>1412</v>
      </c>
      <c r="O301" s="396">
        <v>2159</v>
      </c>
      <c r="P301" s="395">
        <v>0.82</v>
      </c>
      <c r="Q301" s="396">
        <v>-2637</v>
      </c>
      <c r="R301" s="396">
        <v>11921</v>
      </c>
      <c r="S301" s="396">
        <v>-8587</v>
      </c>
      <c r="T301" s="396">
        <v>429375</v>
      </c>
      <c r="U301" s="396">
        <v>-89126</v>
      </c>
      <c r="V301" s="395">
        <v>998.16</v>
      </c>
      <c r="W301" s="395">
        <v>780.08</v>
      </c>
      <c r="X301" s="395">
        <v>77490</v>
      </c>
      <c r="Y301" s="395">
        <v>2179.84</v>
      </c>
      <c r="Z301" s="396">
        <v>12988794</v>
      </c>
      <c r="AA301" s="396">
        <v>389620</v>
      </c>
      <c r="AB301" s="396">
        <v>26776080</v>
      </c>
      <c r="AC301" s="396">
        <v>10207916</v>
      </c>
    </row>
    <row r="302" spans="1:29">
      <c r="A302">
        <v>3455</v>
      </c>
      <c r="B302" s="395" t="s">
        <v>7430</v>
      </c>
      <c r="C302" s="395"/>
      <c r="D302" s="396">
        <v>389569</v>
      </c>
      <c r="E302" s="396">
        <v>495878</v>
      </c>
      <c r="F302" s="395">
        <v>4.66</v>
      </c>
      <c r="G302" s="396">
        <v>-106309</v>
      </c>
      <c r="H302" s="396">
        <v>71231</v>
      </c>
      <c r="I302" s="396">
        <v>2525459</v>
      </c>
      <c r="J302" s="395">
        <v>260</v>
      </c>
      <c r="K302" s="395">
        <v>222</v>
      </c>
      <c r="L302" s="397">
        <v>0.8538</v>
      </c>
      <c r="M302" s="395">
        <v>38</v>
      </c>
      <c r="N302" s="396">
        <v>1498</v>
      </c>
      <c r="O302" s="396">
        <v>2234</v>
      </c>
      <c r="P302" s="395">
        <v>0.8</v>
      </c>
      <c r="Q302" s="396">
        <v>-2798</v>
      </c>
      <c r="R302" s="396">
        <v>9375</v>
      </c>
      <c r="S302" s="396">
        <v>-10785</v>
      </c>
      <c r="T302" s="396">
        <v>480716</v>
      </c>
      <c r="U302" s="396">
        <v>-158009</v>
      </c>
      <c r="V302" s="395">
        <v>3137.47</v>
      </c>
      <c r="W302" s="395">
        <v>2663.17</v>
      </c>
      <c r="X302" s="395">
        <v>77490</v>
      </c>
      <c r="Y302" s="395">
        <v>5908.39</v>
      </c>
      <c r="Z302" s="396">
        <v>5743998</v>
      </c>
      <c r="AA302" s="396">
        <v>389569</v>
      </c>
      <c r="AB302" s="396">
        <v>38223117</v>
      </c>
      <c r="AC302" s="396">
        <v>10207916</v>
      </c>
    </row>
    <row r="303" spans="1:29">
      <c r="A303">
        <v>3305</v>
      </c>
      <c r="B303" s="395" t="s">
        <v>7382</v>
      </c>
      <c r="C303" s="395"/>
      <c r="D303" s="396">
        <v>389311</v>
      </c>
      <c r="E303" s="396">
        <v>470008</v>
      </c>
      <c r="F303" s="395">
        <v>5.82</v>
      </c>
      <c r="G303" s="396">
        <v>-80697</v>
      </c>
      <c r="H303" s="396">
        <v>62448</v>
      </c>
      <c r="I303" s="396">
        <v>1445053</v>
      </c>
      <c r="J303" s="395">
        <v>276</v>
      </c>
      <c r="K303" s="395">
        <v>235</v>
      </c>
      <c r="L303" s="397">
        <v>0.85140000000000005</v>
      </c>
      <c r="M303" s="395">
        <v>41</v>
      </c>
      <c r="N303" s="396">
        <v>1411</v>
      </c>
      <c r="O303" s="396">
        <v>2000</v>
      </c>
      <c r="P303" s="395">
        <v>1.02</v>
      </c>
      <c r="Q303" s="396">
        <v>-1968</v>
      </c>
      <c r="R303" s="396">
        <v>8510</v>
      </c>
      <c r="S303" s="396">
        <v>-8382</v>
      </c>
      <c r="T303" s="396">
        <v>402318</v>
      </c>
      <c r="U303" s="396">
        <v>-134052</v>
      </c>
      <c r="V303" s="395">
        <v>1350.56</v>
      </c>
      <c r="W303" s="395">
        <v>1010.2</v>
      </c>
      <c r="X303" s="395">
        <v>77490</v>
      </c>
      <c r="Y303" s="395">
        <v>3301.44</v>
      </c>
      <c r="Z303" s="396">
        <v>11937422</v>
      </c>
      <c r="AA303" s="396">
        <v>389311</v>
      </c>
      <c r="AB303" s="396">
        <v>77661308</v>
      </c>
      <c r="AC303" s="396">
        <v>10207916</v>
      </c>
    </row>
    <row r="304" spans="1:29">
      <c r="A304">
        <v>6667</v>
      </c>
      <c r="B304" s="395" t="s">
        <v>8174</v>
      </c>
      <c r="C304" s="395"/>
      <c r="D304" s="396">
        <v>387688</v>
      </c>
      <c r="E304" s="396">
        <v>587215</v>
      </c>
      <c r="F304" s="395">
        <v>2.94</v>
      </c>
      <c r="G304" s="396">
        <v>-199527</v>
      </c>
      <c r="H304" s="396">
        <v>72652</v>
      </c>
      <c r="I304" s="396">
        <v>3426142</v>
      </c>
      <c r="J304" s="395">
        <v>252</v>
      </c>
      <c r="K304" s="395">
        <v>202</v>
      </c>
      <c r="L304" s="397">
        <v>0.80159999999999998</v>
      </c>
      <c r="M304" s="395">
        <v>50</v>
      </c>
      <c r="N304" s="396">
        <v>1538</v>
      </c>
      <c r="O304" s="396">
        <v>2907</v>
      </c>
      <c r="P304" s="395">
        <v>0.73</v>
      </c>
      <c r="Q304" s="396">
        <v>-3991</v>
      </c>
      <c r="R304" s="396">
        <v>13349</v>
      </c>
      <c r="S304" s="396">
        <v>-24526</v>
      </c>
      <c r="T304" s="396">
        <v>639246</v>
      </c>
      <c r="U304" s="396">
        <v>-324531</v>
      </c>
      <c r="V304" s="395">
        <v>3137.06</v>
      </c>
      <c r="W304" s="395">
        <v>2423.91</v>
      </c>
      <c r="X304" s="395">
        <v>77490</v>
      </c>
      <c r="Y304" s="395">
        <v>6018.16</v>
      </c>
      <c r="Z304" s="396">
        <v>-16340814</v>
      </c>
      <c r="AA304" s="396">
        <v>387688</v>
      </c>
      <c r="AB304" s="396">
        <v>14327294</v>
      </c>
      <c r="AC304" s="396">
        <v>10207916</v>
      </c>
    </row>
    <row r="305" spans="1:29">
      <c r="A305">
        <v>6641</v>
      </c>
      <c r="B305" s="395" t="s">
        <v>8163</v>
      </c>
      <c r="C305" s="395"/>
      <c r="D305" s="396">
        <v>386164</v>
      </c>
      <c r="E305" s="396">
        <v>422214</v>
      </c>
      <c r="F305" s="395">
        <v>11.71</v>
      </c>
      <c r="G305" s="396">
        <v>-36050</v>
      </c>
      <c r="H305" s="396">
        <v>36884</v>
      </c>
      <c r="I305" s="396">
        <v>6333902</v>
      </c>
      <c r="J305" s="395">
        <v>140</v>
      </c>
      <c r="K305" s="395">
        <v>121</v>
      </c>
      <c r="L305" s="397">
        <v>0.86429999999999996</v>
      </c>
      <c r="M305" s="395">
        <v>19</v>
      </c>
      <c r="N305" s="396">
        <v>2758</v>
      </c>
      <c r="O305" s="396">
        <v>3489</v>
      </c>
      <c r="P305" s="395">
        <v>1.84</v>
      </c>
      <c r="Q305" s="396">
        <v>-1897</v>
      </c>
      <c r="R305" s="396">
        <v>8661</v>
      </c>
      <c r="S305" s="396">
        <v>-6093</v>
      </c>
      <c r="T305" s="396">
        <v>703652</v>
      </c>
      <c r="U305" s="396">
        <v>-415364</v>
      </c>
      <c r="V305" s="395">
        <v>22135.56</v>
      </c>
      <c r="W305" s="395">
        <v>20036.54</v>
      </c>
      <c r="X305" s="395">
        <v>77490</v>
      </c>
      <c r="Y305" s="395">
        <v>35503</v>
      </c>
      <c r="Z305" s="396">
        <v>241693</v>
      </c>
      <c r="AA305" s="396">
        <v>386164</v>
      </c>
      <c r="AB305" s="396">
        <v>1649246</v>
      </c>
      <c r="AC305" s="396">
        <v>10207916</v>
      </c>
    </row>
    <row r="306" spans="1:29">
      <c r="A306">
        <v>6213</v>
      </c>
      <c r="B306" s="395" t="s">
        <v>7999</v>
      </c>
      <c r="C306" s="395"/>
      <c r="D306" s="396">
        <v>385221</v>
      </c>
      <c r="E306" s="396">
        <v>1059612</v>
      </c>
      <c r="F306" s="395">
        <v>1.57</v>
      </c>
      <c r="G306" s="396">
        <v>-674391</v>
      </c>
      <c r="H306" s="396">
        <v>150279</v>
      </c>
      <c r="I306" s="396">
        <v>7411487</v>
      </c>
      <c r="J306" s="395">
        <v>275</v>
      </c>
      <c r="K306" s="395">
        <v>200</v>
      </c>
      <c r="L306" s="397">
        <v>0.72729999999999995</v>
      </c>
      <c r="M306" s="395">
        <v>75</v>
      </c>
      <c r="N306" s="396">
        <v>1401</v>
      </c>
      <c r="O306" s="396">
        <v>5298</v>
      </c>
      <c r="P306" s="395">
        <v>0.59</v>
      </c>
      <c r="Q306" s="396">
        <v>-8992</v>
      </c>
      <c r="R306" s="396">
        <v>19021</v>
      </c>
      <c r="S306" s="396">
        <v>-32113</v>
      </c>
      <c r="T306" s="396">
        <v>909051</v>
      </c>
      <c r="U306" s="396">
        <v>-462947</v>
      </c>
      <c r="V306" s="395">
        <v>4163.63</v>
      </c>
      <c r="W306" s="395">
        <v>3186.68</v>
      </c>
      <c r="X306" s="395">
        <v>77490</v>
      </c>
      <c r="Y306" s="395">
        <v>6768.83</v>
      </c>
      <c r="Z306" s="396">
        <v>-16162319</v>
      </c>
      <c r="AA306" s="396">
        <v>385221</v>
      </c>
      <c r="AB306" s="396">
        <v>-6132915</v>
      </c>
      <c r="AC306" s="396">
        <v>10207916</v>
      </c>
    </row>
    <row r="307" spans="1:29">
      <c r="A307">
        <v>4971</v>
      </c>
      <c r="B307" s="395" t="s">
        <v>7738</v>
      </c>
      <c r="C307" s="395"/>
      <c r="D307" s="396">
        <v>384787</v>
      </c>
      <c r="E307" s="396">
        <v>545640</v>
      </c>
      <c r="F307" s="395">
        <v>3.39</v>
      </c>
      <c r="G307" s="396">
        <v>-160853</v>
      </c>
      <c r="H307" s="396">
        <v>62911</v>
      </c>
      <c r="I307" s="396">
        <v>4726370</v>
      </c>
      <c r="J307" s="395">
        <v>252</v>
      </c>
      <c r="K307" s="395">
        <v>200</v>
      </c>
      <c r="L307" s="397">
        <v>0.79369999999999996</v>
      </c>
      <c r="M307" s="395">
        <v>52</v>
      </c>
      <c r="N307" s="396">
        <v>1527</v>
      </c>
      <c r="O307" s="396">
        <v>2728</v>
      </c>
      <c r="P307" s="395">
        <v>0.88</v>
      </c>
      <c r="Q307" s="396">
        <v>-3093</v>
      </c>
      <c r="R307" s="396">
        <v>9431</v>
      </c>
      <c r="S307" s="396">
        <v>-14819</v>
      </c>
      <c r="T307" s="396">
        <v>591801</v>
      </c>
      <c r="U307" s="396">
        <v>-473339</v>
      </c>
      <c r="V307" s="395">
        <v>3916.81</v>
      </c>
      <c r="W307" s="395">
        <v>2746.36</v>
      </c>
      <c r="X307" s="395">
        <v>77490</v>
      </c>
      <c r="Y307" s="395">
        <v>8418.5</v>
      </c>
      <c r="Z307" s="396">
        <v>1584307</v>
      </c>
      <c r="AA307" s="396">
        <v>384787</v>
      </c>
      <c r="AB307" s="396">
        <v>19889532</v>
      </c>
      <c r="AC307" s="396">
        <v>10207916</v>
      </c>
    </row>
    <row r="308" spans="1:29">
      <c r="A308">
        <v>8109</v>
      </c>
      <c r="B308" s="395" t="s">
        <v>8278</v>
      </c>
      <c r="C308" s="395"/>
      <c r="D308" s="396">
        <v>383686</v>
      </c>
      <c r="E308" s="396">
        <v>413970</v>
      </c>
      <c r="F308" s="395">
        <v>13.67</v>
      </c>
      <c r="G308" s="396">
        <v>-30284</v>
      </c>
      <c r="H308" s="396">
        <v>56591</v>
      </c>
      <c r="I308" s="396">
        <v>2607745</v>
      </c>
      <c r="J308" s="395">
        <v>191</v>
      </c>
      <c r="K308" s="395">
        <v>173</v>
      </c>
      <c r="L308" s="397">
        <v>0.90580000000000005</v>
      </c>
      <c r="M308" s="395">
        <v>18</v>
      </c>
      <c r="N308" s="396">
        <v>2009</v>
      </c>
      <c r="O308" s="396">
        <v>2393</v>
      </c>
      <c r="P308" s="395">
        <v>1.42</v>
      </c>
      <c r="Q308" s="396">
        <v>-1682</v>
      </c>
      <c r="R308" s="396">
        <v>7395</v>
      </c>
      <c r="S308" s="396">
        <v>-3294</v>
      </c>
      <c r="T308" s="396">
        <v>429336</v>
      </c>
      <c r="U308" s="396">
        <v>-52898</v>
      </c>
      <c r="V308" s="395">
        <v>5406.61</v>
      </c>
      <c r="W308" s="395">
        <v>5019.24</v>
      </c>
      <c r="X308" s="395">
        <v>77490</v>
      </c>
      <c r="Y308" s="395">
        <v>9129.61</v>
      </c>
      <c r="Z308" s="396">
        <v>-3213432</v>
      </c>
      <c r="AA308" s="396">
        <v>383686</v>
      </c>
      <c r="AB308" s="396">
        <v>6793754</v>
      </c>
      <c r="AC308" s="396">
        <v>10207916</v>
      </c>
    </row>
    <row r="309" spans="1:29">
      <c r="A309">
        <v>6651</v>
      </c>
      <c r="B309" s="395" t="s">
        <v>8167</v>
      </c>
      <c r="C309" s="395"/>
      <c r="D309" s="396">
        <v>379444</v>
      </c>
      <c r="E309" s="396">
        <v>823835</v>
      </c>
      <c r="F309" s="395">
        <v>1.85</v>
      </c>
      <c r="G309" s="396">
        <v>-444391</v>
      </c>
      <c r="H309" s="396">
        <v>102203</v>
      </c>
      <c r="I309" s="396">
        <v>2765960</v>
      </c>
      <c r="J309" s="395">
        <v>224</v>
      </c>
      <c r="K309" s="395">
        <v>162</v>
      </c>
      <c r="L309" s="397">
        <v>0.72319999999999995</v>
      </c>
      <c r="M309" s="395">
        <v>62</v>
      </c>
      <c r="N309" s="396">
        <v>1694</v>
      </c>
      <c r="O309" s="396">
        <v>5085</v>
      </c>
      <c r="P309" s="395">
        <v>0.71</v>
      </c>
      <c r="Q309" s="396">
        <v>-7168</v>
      </c>
      <c r="R309" s="396">
        <v>18023</v>
      </c>
      <c r="S309" s="396">
        <v>-26226</v>
      </c>
      <c r="T309" s="396">
        <v>674792</v>
      </c>
      <c r="U309" s="396">
        <v>-341937</v>
      </c>
      <c r="V309" s="395">
        <v>1881.03</v>
      </c>
      <c r="W309" s="395">
        <v>1163.03</v>
      </c>
      <c r="X309" s="395">
        <v>72090</v>
      </c>
      <c r="Y309" s="395">
        <v>3757.1</v>
      </c>
      <c r="Z309" s="396">
        <v>-20415706</v>
      </c>
      <c r="AA309" s="396">
        <v>379444</v>
      </c>
      <c r="AB309" s="396">
        <v>18272418</v>
      </c>
      <c r="AC309" s="396">
        <v>10207916</v>
      </c>
    </row>
    <row r="310" spans="1:29">
      <c r="A310">
        <v>1788</v>
      </c>
      <c r="B310" s="395" t="s">
        <v>6885</v>
      </c>
      <c r="C310" s="395"/>
      <c r="D310" s="396">
        <v>378948</v>
      </c>
      <c r="E310" s="396">
        <v>380192</v>
      </c>
      <c r="F310" s="395">
        <v>305.62</v>
      </c>
      <c r="G310" s="396">
        <v>-1244</v>
      </c>
      <c r="H310" s="396">
        <v>66815</v>
      </c>
      <c r="I310" s="396">
        <v>4713511</v>
      </c>
      <c r="J310" s="395">
        <v>122</v>
      </c>
      <c r="K310" s="395">
        <v>118</v>
      </c>
      <c r="L310" s="397">
        <v>0.96719999999999995</v>
      </c>
      <c r="M310" s="395">
        <v>4</v>
      </c>
      <c r="N310" s="396">
        <v>3106</v>
      </c>
      <c r="O310" s="396">
        <v>3222</v>
      </c>
      <c r="P310" s="395">
        <v>10.36</v>
      </c>
      <c r="Q310" s="395">
        <v>-311</v>
      </c>
      <c r="R310" s="396">
        <v>8458</v>
      </c>
      <c r="S310" s="395">
        <v>-584</v>
      </c>
      <c r="T310" s="396">
        <v>399742</v>
      </c>
      <c r="U310" s="396">
        <v>-74718</v>
      </c>
      <c r="V310" s="395">
        <v>6779.35</v>
      </c>
      <c r="W310" s="395">
        <v>6787.03</v>
      </c>
      <c r="X310" s="395">
        <v>77490</v>
      </c>
      <c r="Y310" s="395">
        <v>6553</v>
      </c>
      <c r="Z310" s="396">
        <v>7986195</v>
      </c>
      <c r="AA310" s="396">
        <v>378948</v>
      </c>
      <c r="AB310" s="396">
        <v>13018194</v>
      </c>
      <c r="AC310" s="396">
        <v>10207916</v>
      </c>
    </row>
    <row r="311" spans="1:29">
      <c r="A311">
        <v>6477</v>
      </c>
      <c r="B311" s="395" t="s">
        <v>8094</v>
      </c>
      <c r="C311" s="395"/>
      <c r="D311" s="396">
        <v>378611</v>
      </c>
      <c r="E311" s="396">
        <v>547242</v>
      </c>
      <c r="F311" s="395">
        <v>3.25</v>
      </c>
      <c r="G311" s="396">
        <v>-168631</v>
      </c>
      <c r="H311" s="396">
        <v>53057</v>
      </c>
      <c r="I311" s="396">
        <v>1822697</v>
      </c>
      <c r="J311" s="395">
        <v>262</v>
      </c>
      <c r="K311" s="395">
        <v>213</v>
      </c>
      <c r="L311" s="397">
        <v>0.81299999999999994</v>
      </c>
      <c r="M311" s="395">
        <v>49</v>
      </c>
      <c r="N311" s="396">
        <v>1445</v>
      </c>
      <c r="O311" s="396">
        <v>2569</v>
      </c>
      <c r="P311" s="395">
        <v>0.75</v>
      </c>
      <c r="Q311" s="396">
        <v>-3441</v>
      </c>
      <c r="R311" s="396">
        <v>14569</v>
      </c>
      <c r="S311" s="396">
        <v>-14539</v>
      </c>
      <c r="T311" s="396">
        <v>622888</v>
      </c>
      <c r="U311" s="396">
        <v>-334592</v>
      </c>
      <c r="V311" s="395">
        <v>1796.29</v>
      </c>
      <c r="W311" s="395">
        <v>1144.92</v>
      </c>
      <c r="X311" s="395">
        <v>77490</v>
      </c>
      <c r="Y311" s="395">
        <v>4627.78</v>
      </c>
      <c r="Z311" s="396">
        <v>-4581922</v>
      </c>
      <c r="AA311" s="396">
        <v>378611</v>
      </c>
      <c r="AB311" s="396">
        <v>-8172696</v>
      </c>
      <c r="AC311" s="396">
        <v>10207916</v>
      </c>
    </row>
    <row r="312" spans="1:29">
      <c r="A312">
        <v>1736</v>
      </c>
      <c r="B312" s="395" t="s">
        <v>6871</v>
      </c>
      <c r="C312" s="395"/>
      <c r="D312" s="396">
        <v>373500</v>
      </c>
      <c r="E312" s="396">
        <v>638420</v>
      </c>
      <c r="F312" s="395">
        <v>2.41</v>
      </c>
      <c r="G312" s="396">
        <v>-264920</v>
      </c>
      <c r="H312" s="396">
        <v>77969</v>
      </c>
      <c r="I312" s="396">
        <v>2627716</v>
      </c>
      <c r="J312" s="395">
        <v>267</v>
      </c>
      <c r="K312" s="395">
        <v>182</v>
      </c>
      <c r="L312" s="397">
        <v>0.68159999999999998</v>
      </c>
      <c r="M312" s="395">
        <v>85</v>
      </c>
      <c r="N312" s="396">
        <v>1399</v>
      </c>
      <c r="O312" s="396">
        <v>3508</v>
      </c>
      <c r="P312" s="395">
        <v>1.1299999999999999</v>
      </c>
      <c r="Q312" s="396">
        <v>-3117</v>
      </c>
      <c r="R312" s="396">
        <v>12095</v>
      </c>
      <c r="S312" s="396">
        <v>-11609</v>
      </c>
      <c r="T312" s="396">
        <v>621075</v>
      </c>
      <c r="U312" s="396">
        <v>-279121</v>
      </c>
      <c r="V312" s="395">
        <v>3723.4</v>
      </c>
      <c r="W312" s="395">
        <v>2537.12</v>
      </c>
      <c r="X312" s="395">
        <v>77490</v>
      </c>
      <c r="Y312" s="395">
        <v>6263.44</v>
      </c>
      <c r="Z312" s="396">
        <v>-23751653</v>
      </c>
      <c r="AA312" s="396">
        <v>373500</v>
      </c>
      <c r="AB312" s="396">
        <v>-21104258</v>
      </c>
      <c r="AC312" s="396">
        <v>10207916</v>
      </c>
    </row>
    <row r="313" spans="1:29">
      <c r="A313">
        <v>6462</v>
      </c>
      <c r="B313" s="395" t="s">
        <v>8088</v>
      </c>
      <c r="C313" s="395"/>
      <c r="D313" s="396">
        <v>371182</v>
      </c>
      <c r="E313" s="396">
        <v>1567824</v>
      </c>
      <c r="F313" s="395">
        <v>1.31</v>
      </c>
      <c r="G313" s="396">
        <v>-1196642</v>
      </c>
      <c r="H313" s="396">
        <v>150854</v>
      </c>
      <c r="I313" s="396">
        <v>8499563</v>
      </c>
      <c r="J313" s="395">
        <v>268</v>
      </c>
      <c r="K313" s="395">
        <v>176</v>
      </c>
      <c r="L313" s="397">
        <v>0.65669999999999995</v>
      </c>
      <c r="M313" s="395">
        <v>92</v>
      </c>
      <c r="N313" s="396">
        <v>1385</v>
      </c>
      <c r="O313" s="396">
        <v>8908</v>
      </c>
      <c r="P313" s="395">
        <v>0.68</v>
      </c>
      <c r="Q313" s="396">
        <v>-13007</v>
      </c>
      <c r="R313" s="396">
        <v>25298</v>
      </c>
      <c r="S313" s="396">
        <v>-29706</v>
      </c>
      <c r="T313" s="396">
        <v>1620733</v>
      </c>
      <c r="U313" s="396">
        <v>-1096480</v>
      </c>
      <c r="V313" s="395">
        <v>5568.7</v>
      </c>
      <c r="W313" s="395">
        <v>3839.73</v>
      </c>
      <c r="X313" s="395">
        <v>77490</v>
      </c>
      <c r="Y313" s="395">
        <v>8876.2800000000007</v>
      </c>
      <c r="Z313" s="396">
        <v>-23352415</v>
      </c>
      <c r="AA313" s="396">
        <v>371182</v>
      </c>
      <c r="AB313" s="396">
        <v>-19597596</v>
      </c>
      <c r="AC313" s="396">
        <v>10207916</v>
      </c>
    </row>
    <row r="314" spans="1:29">
      <c r="A314">
        <v>8938</v>
      </c>
      <c r="B314" s="395" t="s">
        <v>8386</v>
      </c>
      <c r="C314" s="395"/>
      <c r="D314" s="396">
        <v>371062</v>
      </c>
      <c r="E314" s="396">
        <v>528314</v>
      </c>
      <c r="F314" s="395">
        <v>3.36</v>
      </c>
      <c r="G314" s="396">
        <v>-157252</v>
      </c>
      <c r="H314" s="396">
        <v>75328</v>
      </c>
      <c r="I314" s="396">
        <v>3669719</v>
      </c>
      <c r="J314" s="395">
        <v>257</v>
      </c>
      <c r="K314" s="395">
        <v>218</v>
      </c>
      <c r="L314" s="397">
        <v>0.84819999999999995</v>
      </c>
      <c r="M314" s="395">
        <v>39</v>
      </c>
      <c r="N314" s="396">
        <v>1444</v>
      </c>
      <c r="O314" s="396">
        <v>2423</v>
      </c>
      <c r="P314" s="395">
        <v>0.6</v>
      </c>
      <c r="Q314" s="396">
        <v>-4032</v>
      </c>
      <c r="R314" s="396">
        <v>9041</v>
      </c>
      <c r="S314" s="396">
        <v>-15007</v>
      </c>
      <c r="T314" s="396">
        <v>457154</v>
      </c>
      <c r="U314" s="396">
        <v>-159252</v>
      </c>
      <c r="V314" s="395">
        <v>3377.05</v>
      </c>
      <c r="W314" s="395">
        <v>2880.13</v>
      </c>
      <c r="X314" s="395">
        <v>77490</v>
      </c>
      <c r="Y314" s="395">
        <v>6154.69</v>
      </c>
      <c r="Z314" s="396">
        <v>-6238985</v>
      </c>
      <c r="AA314" s="396">
        <v>371062</v>
      </c>
      <c r="AB314" s="396">
        <v>46937188</v>
      </c>
      <c r="AC314" s="396">
        <v>10207916</v>
      </c>
    </row>
    <row r="315" spans="1:29">
      <c r="A315">
        <v>8916</v>
      </c>
      <c r="B315" s="395" t="s">
        <v>8370</v>
      </c>
      <c r="C315" s="395"/>
      <c r="D315" s="396">
        <v>369748</v>
      </c>
      <c r="E315" s="396">
        <v>371986</v>
      </c>
      <c r="F315" s="395">
        <v>166.21</v>
      </c>
      <c r="G315" s="396">
        <v>-2238</v>
      </c>
      <c r="H315" s="396">
        <v>41380</v>
      </c>
      <c r="I315" s="396">
        <v>6808189</v>
      </c>
      <c r="J315" s="395">
        <v>243</v>
      </c>
      <c r="K315" s="395">
        <v>241</v>
      </c>
      <c r="L315" s="397">
        <v>0.99180000000000001</v>
      </c>
      <c r="M315" s="395">
        <v>2</v>
      </c>
      <c r="N315" s="396">
        <v>1522</v>
      </c>
      <c r="O315" s="396">
        <v>1544</v>
      </c>
      <c r="P315" s="395">
        <v>1.38</v>
      </c>
      <c r="Q315" s="396">
        <v>-1119</v>
      </c>
      <c r="R315" s="396">
        <v>3390</v>
      </c>
      <c r="S315" s="396">
        <v>-2078</v>
      </c>
      <c r="T315" s="396">
        <v>388043</v>
      </c>
      <c r="U315" s="396">
        <v>-210304</v>
      </c>
      <c r="V315" s="395">
        <v>19340.52</v>
      </c>
      <c r="W315" s="395">
        <v>19448.21</v>
      </c>
      <c r="X315" s="395">
        <v>77490</v>
      </c>
      <c r="Y315" s="395">
        <v>6364</v>
      </c>
      <c r="Z315" s="396">
        <v>4726674</v>
      </c>
      <c r="AA315" s="396">
        <v>369748</v>
      </c>
      <c r="AB315" s="396">
        <v>7217310</v>
      </c>
      <c r="AC315" s="396">
        <v>10207916</v>
      </c>
    </row>
    <row r="316" spans="1:29">
      <c r="A316">
        <v>1102</v>
      </c>
      <c r="B316" s="395" t="s">
        <v>6677</v>
      </c>
      <c r="C316" s="395"/>
      <c r="D316" s="396">
        <v>367891</v>
      </c>
      <c r="E316" s="396">
        <v>422141</v>
      </c>
      <c r="F316" s="395">
        <v>7.78</v>
      </c>
      <c r="G316" s="396">
        <v>-54250</v>
      </c>
      <c r="H316" s="396">
        <v>53277</v>
      </c>
      <c r="I316" s="396">
        <v>7349331</v>
      </c>
      <c r="J316" s="395">
        <v>284</v>
      </c>
      <c r="K316" s="395">
        <v>250</v>
      </c>
      <c r="L316" s="397">
        <v>0.88029999999999997</v>
      </c>
      <c r="M316" s="395">
        <v>34</v>
      </c>
      <c r="N316" s="396">
        <v>1295</v>
      </c>
      <c r="O316" s="396">
        <v>1689</v>
      </c>
      <c r="P316" s="395">
        <v>1.06</v>
      </c>
      <c r="Q316" s="396">
        <v>-1596</v>
      </c>
      <c r="R316" s="396">
        <v>4622</v>
      </c>
      <c r="S316" s="396">
        <v>-3374</v>
      </c>
      <c r="T316" s="396">
        <v>621029</v>
      </c>
      <c r="U316" s="396">
        <v>-389248</v>
      </c>
      <c r="V316" s="395">
        <v>13764.63</v>
      </c>
      <c r="W316" s="395">
        <v>12169.92</v>
      </c>
      <c r="X316" s="395">
        <v>77490</v>
      </c>
      <c r="Y316" s="395">
        <v>25490.41</v>
      </c>
      <c r="Z316" s="396">
        <v>7691332</v>
      </c>
      <c r="AA316" s="396">
        <v>367891</v>
      </c>
      <c r="AB316" s="396">
        <v>8370789</v>
      </c>
      <c r="AC316" s="396">
        <v>10207916</v>
      </c>
    </row>
    <row r="317" spans="1:29">
      <c r="A317">
        <v>3548</v>
      </c>
      <c r="B317" s="395" t="s">
        <v>7472</v>
      </c>
      <c r="C317" s="395"/>
      <c r="D317" s="396">
        <v>367722</v>
      </c>
      <c r="E317" s="396">
        <v>693546</v>
      </c>
      <c r="F317" s="395">
        <v>2.13</v>
      </c>
      <c r="G317" s="396">
        <v>-325824</v>
      </c>
      <c r="H317" s="396">
        <v>72717</v>
      </c>
      <c r="I317" s="396">
        <v>5449322</v>
      </c>
      <c r="J317" s="395">
        <v>258</v>
      </c>
      <c r="K317" s="395">
        <v>184</v>
      </c>
      <c r="L317" s="397">
        <v>0.71319999999999995</v>
      </c>
      <c r="M317" s="395">
        <v>74</v>
      </c>
      <c r="N317" s="396">
        <v>1425</v>
      </c>
      <c r="O317" s="396">
        <v>3769</v>
      </c>
      <c r="P317" s="395">
        <v>0.86</v>
      </c>
      <c r="Q317" s="396">
        <v>-4403</v>
      </c>
      <c r="R317" s="396">
        <v>16023</v>
      </c>
      <c r="S317" s="396">
        <v>-13837</v>
      </c>
      <c r="T317" s="396">
        <v>1043707</v>
      </c>
      <c r="U317" s="396">
        <v>-851569</v>
      </c>
      <c r="V317" s="395">
        <v>6554.59</v>
      </c>
      <c r="W317" s="395">
        <v>3909.28</v>
      </c>
      <c r="X317" s="395">
        <v>77490</v>
      </c>
      <c r="Y317" s="395">
        <v>13132.12</v>
      </c>
      <c r="Z317" s="396">
        <v>-15654486</v>
      </c>
      <c r="AA317" s="396">
        <v>367722</v>
      </c>
      <c r="AB317" s="396">
        <v>3202048</v>
      </c>
      <c r="AC317" s="396">
        <v>10207916</v>
      </c>
    </row>
    <row r="318" spans="1:29">
      <c r="A318">
        <v>8435</v>
      </c>
      <c r="B318" s="395" t="s">
        <v>8339</v>
      </c>
      <c r="C318" s="395"/>
      <c r="D318" s="396">
        <v>365538</v>
      </c>
      <c r="E318" s="396">
        <v>365538</v>
      </c>
      <c r="F318" s="395">
        <v>0</v>
      </c>
      <c r="G318" s="395">
        <v>0</v>
      </c>
      <c r="H318" s="396">
        <v>35137</v>
      </c>
      <c r="I318" s="396">
        <v>5831495</v>
      </c>
      <c r="J318" s="395">
        <v>149</v>
      </c>
      <c r="K318" s="395">
        <v>149</v>
      </c>
      <c r="L318" s="397">
        <v>1</v>
      </c>
      <c r="M318" s="395">
        <v>0</v>
      </c>
      <c r="N318" s="396">
        <v>2453</v>
      </c>
      <c r="O318" s="396">
        <v>2453</v>
      </c>
      <c r="P318" s="395">
        <v>0</v>
      </c>
      <c r="Q318" s="395">
        <v>0</v>
      </c>
      <c r="R318" s="396">
        <v>7490</v>
      </c>
      <c r="S318" s="395">
        <v>0</v>
      </c>
      <c r="T318" s="396">
        <v>435641</v>
      </c>
      <c r="U318" s="396">
        <v>-100693</v>
      </c>
      <c r="V318" s="395">
        <v>20756.91</v>
      </c>
      <c r="W318" s="395">
        <v>20756.91</v>
      </c>
      <c r="X318" s="395">
        <v>77490</v>
      </c>
      <c r="Y318" s="395">
        <v>0</v>
      </c>
      <c r="Z318" s="396">
        <v>11953264</v>
      </c>
      <c r="AA318" s="396">
        <v>365538</v>
      </c>
      <c r="AB318" s="396">
        <v>17990623</v>
      </c>
      <c r="AC318" s="396">
        <v>10207916</v>
      </c>
    </row>
    <row r="319" spans="1:29">
      <c r="A319">
        <v>3551</v>
      </c>
      <c r="B319" s="395" t="s">
        <v>7474</v>
      </c>
      <c r="C319" s="395"/>
      <c r="D319" s="396">
        <v>364626</v>
      </c>
      <c r="E319" s="396">
        <v>453758</v>
      </c>
      <c r="F319" s="395">
        <v>5.09</v>
      </c>
      <c r="G319" s="396">
        <v>-89132</v>
      </c>
      <c r="H319" s="396">
        <v>64880</v>
      </c>
      <c r="I319" s="396">
        <v>2990477</v>
      </c>
      <c r="J319" s="395">
        <v>258</v>
      </c>
      <c r="K319" s="395">
        <v>220</v>
      </c>
      <c r="L319" s="397">
        <v>0.85270000000000001</v>
      </c>
      <c r="M319" s="395">
        <v>38</v>
      </c>
      <c r="N319" s="396">
        <v>1413</v>
      </c>
      <c r="O319" s="396">
        <v>2063</v>
      </c>
      <c r="P319" s="395">
        <v>0.88</v>
      </c>
      <c r="Q319" s="396">
        <v>-2346</v>
      </c>
      <c r="R319" s="396">
        <v>9045</v>
      </c>
      <c r="S319" s="396">
        <v>-8038</v>
      </c>
      <c r="T319" s="396">
        <v>568963</v>
      </c>
      <c r="U319" s="396">
        <v>-252172</v>
      </c>
      <c r="V319" s="395">
        <v>3524.49</v>
      </c>
      <c r="W319" s="395">
        <v>2678.78</v>
      </c>
      <c r="X319" s="395">
        <v>77490</v>
      </c>
      <c r="Y319" s="395">
        <v>8420.7099999999991</v>
      </c>
      <c r="Z319" s="396">
        <v>-6078441</v>
      </c>
      <c r="AA319" s="396">
        <v>364626</v>
      </c>
      <c r="AB319" s="396">
        <v>21414628</v>
      </c>
      <c r="AC319" s="396">
        <v>10207916</v>
      </c>
    </row>
    <row r="320" spans="1:29">
      <c r="A320">
        <v>3030</v>
      </c>
      <c r="B320" s="395" t="s">
        <v>7269</v>
      </c>
      <c r="C320" s="395"/>
      <c r="D320" s="396">
        <v>364560</v>
      </c>
      <c r="E320" s="396">
        <v>389509</v>
      </c>
      <c r="F320" s="395">
        <v>15.61</v>
      </c>
      <c r="G320" s="396">
        <v>-24949</v>
      </c>
      <c r="H320" s="396">
        <v>58773</v>
      </c>
      <c r="I320" s="396">
        <v>6165903</v>
      </c>
      <c r="J320" s="395">
        <v>248</v>
      </c>
      <c r="K320" s="395">
        <v>234</v>
      </c>
      <c r="L320" s="397">
        <v>0.94350000000000001</v>
      </c>
      <c r="M320" s="395">
        <v>14</v>
      </c>
      <c r="N320" s="396">
        <v>1470</v>
      </c>
      <c r="O320" s="396">
        <v>1665</v>
      </c>
      <c r="P320" s="395">
        <v>0.93</v>
      </c>
      <c r="Q320" s="396">
        <v>-1782</v>
      </c>
      <c r="R320" s="396">
        <v>5772</v>
      </c>
      <c r="S320" s="396">
        <v>-6753</v>
      </c>
      <c r="T320" s="396">
        <v>389134</v>
      </c>
      <c r="U320" s="396">
        <v>-154096</v>
      </c>
      <c r="V320" s="395">
        <v>9346.57</v>
      </c>
      <c r="W320" s="395">
        <v>9456.91</v>
      </c>
      <c r="X320" s="395">
        <v>77490</v>
      </c>
      <c r="Y320" s="395">
        <v>7502.29</v>
      </c>
      <c r="Z320" s="396">
        <v>-1687107</v>
      </c>
      <c r="AA320" s="396">
        <v>364560</v>
      </c>
      <c r="AB320" s="396">
        <v>8042149</v>
      </c>
      <c r="AC320" s="396">
        <v>10207916</v>
      </c>
    </row>
    <row r="321" spans="1:29">
      <c r="A321">
        <v>2009</v>
      </c>
      <c r="B321" s="395" t="s">
        <v>6909</v>
      </c>
      <c r="C321" s="395"/>
      <c r="D321" s="396">
        <v>360318</v>
      </c>
      <c r="E321" s="396">
        <v>441978</v>
      </c>
      <c r="F321" s="395">
        <v>5.41</v>
      </c>
      <c r="G321" s="396">
        <v>-81660</v>
      </c>
      <c r="H321" s="396">
        <v>48732</v>
      </c>
      <c r="I321" s="396">
        <v>2454658</v>
      </c>
      <c r="J321" s="395">
        <v>258</v>
      </c>
      <c r="K321" s="395">
        <v>203</v>
      </c>
      <c r="L321" s="397">
        <v>0.78680000000000005</v>
      </c>
      <c r="M321" s="395">
        <v>55</v>
      </c>
      <c r="N321" s="396">
        <v>1397</v>
      </c>
      <c r="O321" s="396">
        <v>2177</v>
      </c>
      <c r="P321" s="395">
        <v>1.47</v>
      </c>
      <c r="Q321" s="396">
        <v>-1485</v>
      </c>
      <c r="R321" s="396">
        <v>9952</v>
      </c>
      <c r="S321" s="396">
        <v>-7356</v>
      </c>
      <c r="T321" s="396">
        <v>400752</v>
      </c>
      <c r="U321" s="396">
        <v>-228943</v>
      </c>
      <c r="V321" s="395">
        <v>3104.69</v>
      </c>
      <c r="W321" s="395">
        <v>2363.96</v>
      </c>
      <c r="X321" s="395">
        <v>77490</v>
      </c>
      <c r="Y321" s="395">
        <v>5838.65</v>
      </c>
      <c r="Z321" s="396">
        <v>4434797</v>
      </c>
      <c r="AA321" s="396">
        <v>360318</v>
      </c>
      <c r="AB321" s="396">
        <v>38849217</v>
      </c>
      <c r="AC321" s="396">
        <v>10207916</v>
      </c>
    </row>
    <row r="322" spans="1:29">
      <c r="A322">
        <v>3454</v>
      </c>
      <c r="B322" s="395" t="s">
        <v>7429</v>
      </c>
      <c r="C322" s="395"/>
      <c r="D322" s="396">
        <v>358952</v>
      </c>
      <c r="E322" s="396">
        <v>464028</v>
      </c>
      <c r="F322" s="395">
        <v>4.42</v>
      </c>
      <c r="G322" s="396">
        <v>-105076</v>
      </c>
      <c r="H322" s="396">
        <v>74126</v>
      </c>
      <c r="I322" s="396">
        <v>6442635</v>
      </c>
      <c r="J322" s="395">
        <v>232</v>
      </c>
      <c r="K322" s="395">
        <v>173</v>
      </c>
      <c r="L322" s="397">
        <v>0.74570000000000003</v>
      </c>
      <c r="M322" s="395">
        <v>59</v>
      </c>
      <c r="N322" s="396">
        <v>1547</v>
      </c>
      <c r="O322" s="396">
        <v>2682</v>
      </c>
      <c r="P322" s="395">
        <v>1.51</v>
      </c>
      <c r="Q322" s="396">
        <v>-1781</v>
      </c>
      <c r="R322" s="396">
        <v>12399</v>
      </c>
      <c r="S322" s="396">
        <v>-6440</v>
      </c>
      <c r="T322" s="396">
        <v>511860</v>
      </c>
      <c r="U322" s="396">
        <v>-405503</v>
      </c>
      <c r="V322" s="395">
        <v>7537.57</v>
      </c>
      <c r="W322" s="395">
        <v>4733.43</v>
      </c>
      <c r="X322" s="395">
        <v>77490</v>
      </c>
      <c r="Y322" s="395">
        <v>15759.88</v>
      </c>
      <c r="Z322" s="396">
        <v>-7822359</v>
      </c>
      <c r="AA322" s="396">
        <v>358952</v>
      </c>
      <c r="AB322" s="396">
        <v>-7042402</v>
      </c>
      <c r="AC322" s="396">
        <v>10207916</v>
      </c>
    </row>
    <row r="323" spans="1:29">
      <c r="A323">
        <v>6591</v>
      </c>
      <c r="B323" s="395" t="s">
        <v>8146</v>
      </c>
      <c r="C323" s="395"/>
      <c r="D323" s="396">
        <v>358902</v>
      </c>
      <c r="E323" s="396">
        <v>608324</v>
      </c>
      <c r="F323" s="395">
        <v>2.44</v>
      </c>
      <c r="G323" s="396">
        <v>-249422</v>
      </c>
      <c r="H323" s="396">
        <v>60761</v>
      </c>
      <c r="I323" s="396">
        <v>5591729</v>
      </c>
      <c r="J323" s="395">
        <v>250</v>
      </c>
      <c r="K323" s="395">
        <v>196</v>
      </c>
      <c r="L323" s="397">
        <v>0.78400000000000003</v>
      </c>
      <c r="M323" s="395">
        <v>54</v>
      </c>
      <c r="N323" s="396">
        <v>1436</v>
      </c>
      <c r="O323" s="396">
        <v>3104</v>
      </c>
      <c r="P323" s="395">
        <v>0.67</v>
      </c>
      <c r="Q323" s="396">
        <v>-4619</v>
      </c>
      <c r="R323" s="396">
        <v>10745</v>
      </c>
      <c r="S323" s="396">
        <v>-11842</v>
      </c>
      <c r="T323" s="396">
        <v>882343</v>
      </c>
      <c r="U323" s="396">
        <v>-713745</v>
      </c>
      <c r="V323" s="395">
        <v>7439.69</v>
      </c>
      <c r="W323" s="395">
        <v>4595.46</v>
      </c>
      <c r="X323" s="395">
        <v>77490</v>
      </c>
      <c r="Y323" s="395">
        <v>17763.189999999999</v>
      </c>
      <c r="Z323" s="396">
        <v>-10474566</v>
      </c>
      <c r="AA323" s="396">
        <v>358902</v>
      </c>
      <c r="AB323" s="396">
        <v>-504448</v>
      </c>
      <c r="AC323" s="396">
        <v>10207916</v>
      </c>
    </row>
    <row r="324" spans="1:29">
      <c r="A324">
        <v>4967</v>
      </c>
      <c r="B324" s="395" t="s">
        <v>7736</v>
      </c>
      <c r="C324" s="395"/>
      <c r="D324" s="396">
        <v>358464</v>
      </c>
      <c r="E324" s="396">
        <v>547360</v>
      </c>
      <c r="F324" s="395">
        <v>2.9</v>
      </c>
      <c r="G324" s="396">
        <v>-188897</v>
      </c>
      <c r="H324" s="396">
        <v>55795</v>
      </c>
      <c r="I324" s="396">
        <v>3216615</v>
      </c>
      <c r="J324" s="395">
        <v>260</v>
      </c>
      <c r="K324" s="395">
        <v>202</v>
      </c>
      <c r="L324" s="397">
        <v>0.77690000000000003</v>
      </c>
      <c r="M324" s="395">
        <v>58</v>
      </c>
      <c r="N324" s="396">
        <v>1379</v>
      </c>
      <c r="O324" s="396">
        <v>2710</v>
      </c>
      <c r="P324" s="395">
        <v>0.83</v>
      </c>
      <c r="Q324" s="396">
        <v>-3257</v>
      </c>
      <c r="R324" s="396">
        <v>10253</v>
      </c>
      <c r="S324" s="396">
        <v>-24383</v>
      </c>
      <c r="T324" s="396">
        <v>632593</v>
      </c>
      <c r="U324" s="396">
        <v>-460529</v>
      </c>
      <c r="V324" s="395">
        <v>3758.22</v>
      </c>
      <c r="W324" s="395">
        <v>2471.1</v>
      </c>
      <c r="X324" s="395">
        <v>77490</v>
      </c>
      <c r="Y324" s="395">
        <v>8240.93</v>
      </c>
      <c r="Z324" s="396">
        <v>-11120261</v>
      </c>
      <c r="AA324" s="396">
        <v>358464</v>
      </c>
      <c r="AB324" s="396">
        <v>-9729385</v>
      </c>
      <c r="AC324" s="396">
        <v>10207916</v>
      </c>
    </row>
    <row r="325" spans="1:29">
      <c r="A325">
        <v>8942</v>
      </c>
      <c r="B325" s="395" t="s">
        <v>8389</v>
      </c>
      <c r="C325" s="395"/>
      <c r="D325" s="396">
        <v>357097</v>
      </c>
      <c r="E325" s="396">
        <v>421914</v>
      </c>
      <c r="F325" s="395">
        <v>6.51</v>
      </c>
      <c r="G325" s="396">
        <v>-64817</v>
      </c>
      <c r="H325" s="396">
        <v>68332</v>
      </c>
      <c r="I325" s="396">
        <v>3337185</v>
      </c>
      <c r="J325" s="395">
        <v>248</v>
      </c>
      <c r="K325" s="395">
        <v>208</v>
      </c>
      <c r="L325" s="397">
        <v>0.8387</v>
      </c>
      <c r="M325" s="395">
        <v>40</v>
      </c>
      <c r="N325" s="396">
        <v>1440</v>
      </c>
      <c r="O325" s="396">
        <v>2028</v>
      </c>
      <c r="P325" s="395">
        <v>1.25</v>
      </c>
      <c r="Q325" s="396">
        <v>-1620</v>
      </c>
      <c r="R325" s="396">
        <v>5632</v>
      </c>
      <c r="S325" s="396">
        <v>-5995</v>
      </c>
      <c r="T325" s="396">
        <v>408768</v>
      </c>
      <c r="U325" s="396">
        <v>-195671</v>
      </c>
      <c r="V325" s="395">
        <v>4719.28</v>
      </c>
      <c r="W325" s="395">
        <v>4306.46</v>
      </c>
      <c r="X325" s="395">
        <v>77490</v>
      </c>
      <c r="Y325" s="395">
        <v>6865.95</v>
      </c>
      <c r="Z325" s="396">
        <v>-5822253</v>
      </c>
      <c r="AA325" s="396">
        <v>357097</v>
      </c>
      <c r="AB325" s="396">
        <v>8905222</v>
      </c>
      <c r="AC325" s="396">
        <v>10207916</v>
      </c>
    </row>
    <row r="326" spans="1:29">
      <c r="A326">
        <v>4994</v>
      </c>
      <c r="B326" s="395" t="s">
        <v>7748</v>
      </c>
      <c r="C326" s="395"/>
      <c r="D326" s="396">
        <v>356987</v>
      </c>
      <c r="E326" s="396">
        <v>795856</v>
      </c>
      <c r="F326" s="395">
        <v>1.81</v>
      </c>
      <c r="G326" s="396">
        <v>-438869</v>
      </c>
      <c r="H326" s="396">
        <v>62891</v>
      </c>
      <c r="I326" s="396">
        <v>9253899</v>
      </c>
      <c r="J326" s="395">
        <v>246</v>
      </c>
      <c r="K326" s="395">
        <v>176</v>
      </c>
      <c r="L326" s="397">
        <v>0.71540000000000004</v>
      </c>
      <c r="M326" s="395">
        <v>70</v>
      </c>
      <c r="N326" s="396">
        <v>1451</v>
      </c>
      <c r="O326" s="396">
        <v>4522</v>
      </c>
      <c r="P326" s="395">
        <v>0.72</v>
      </c>
      <c r="Q326" s="396">
        <v>-6270</v>
      </c>
      <c r="R326" s="396">
        <v>12678</v>
      </c>
      <c r="S326" s="396">
        <v>-20918</v>
      </c>
      <c r="T326" s="396">
        <v>1677043</v>
      </c>
      <c r="U326" s="396">
        <v>-1218391</v>
      </c>
      <c r="V326" s="395">
        <v>15800.35</v>
      </c>
      <c r="W326" s="395">
        <v>13728.28</v>
      </c>
      <c r="X326" s="395">
        <v>77490</v>
      </c>
      <c r="Y326" s="395">
        <v>21010.11</v>
      </c>
      <c r="Z326" s="396">
        <v>-20708704</v>
      </c>
      <c r="AA326" s="396">
        <v>356987</v>
      </c>
      <c r="AB326" s="396">
        <v>-20293200</v>
      </c>
      <c r="AC326" s="396">
        <v>10207916</v>
      </c>
    </row>
    <row r="327" spans="1:29">
      <c r="A327">
        <v>2377</v>
      </c>
      <c r="B327" s="395" t="s">
        <v>7022</v>
      </c>
      <c r="C327" s="395"/>
      <c r="D327" s="396">
        <v>356810</v>
      </c>
      <c r="E327" s="396">
        <v>1400452</v>
      </c>
      <c r="F327" s="395">
        <v>1.34</v>
      </c>
      <c r="G327" s="396">
        <v>-1043642</v>
      </c>
      <c r="H327" s="396">
        <v>175877</v>
      </c>
      <c r="I327" s="396">
        <v>13306525</v>
      </c>
      <c r="J327" s="395">
        <v>284</v>
      </c>
      <c r="K327" s="395">
        <v>200</v>
      </c>
      <c r="L327" s="397">
        <v>0.70420000000000005</v>
      </c>
      <c r="M327" s="395">
        <v>84</v>
      </c>
      <c r="N327" s="396">
        <v>1256</v>
      </c>
      <c r="O327" s="396">
        <v>7002</v>
      </c>
      <c r="P327" s="395">
        <v>0.56000000000000005</v>
      </c>
      <c r="Q327" s="396">
        <v>-12424</v>
      </c>
      <c r="R327" s="396">
        <v>30515</v>
      </c>
      <c r="S327" s="396">
        <v>-27100</v>
      </c>
      <c r="T327" s="396">
        <v>2094559</v>
      </c>
      <c r="U327" s="396">
        <v>-1311264</v>
      </c>
      <c r="V327" s="395">
        <v>6599.1</v>
      </c>
      <c r="W327" s="395">
        <v>4987.62</v>
      </c>
      <c r="X327" s="395">
        <v>77490</v>
      </c>
      <c r="Y327" s="395">
        <v>10435.950000000001</v>
      </c>
      <c r="Z327" s="396">
        <v>-5935895</v>
      </c>
      <c r="AA327" s="396">
        <v>356810</v>
      </c>
      <c r="AB327" s="396">
        <v>5479188</v>
      </c>
      <c r="AC327" s="396">
        <v>10207916</v>
      </c>
    </row>
    <row r="328" spans="1:29">
      <c r="A328">
        <v>8349</v>
      </c>
      <c r="B328" s="395" t="s">
        <v>8312</v>
      </c>
      <c r="C328" s="395"/>
      <c r="D328" s="396">
        <v>353261</v>
      </c>
      <c r="E328" s="396">
        <v>585509</v>
      </c>
      <c r="F328" s="395">
        <v>2.52</v>
      </c>
      <c r="G328" s="396">
        <v>-232248</v>
      </c>
      <c r="H328" s="396">
        <v>63603</v>
      </c>
      <c r="I328" s="396">
        <v>5880448</v>
      </c>
      <c r="J328" s="395">
        <v>238</v>
      </c>
      <c r="K328" s="395">
        <v>169</v>
      </c>
      <c r="L328" s="397">
        <v>0.71009999999999995</v>
      </c>
      <c r="M328" s="395">
        <v>69</v>
      </c>
      <c r="N328" s="396">
        <v>1484</v>
      </c>
      <c r="O328" s="396">
        <v>3465</v>
      </c>
      <c r="P328" s="395">
        <v>1.03</v>
      </c>
      <c r="Q328" s="396">
        <v>-3366</v>
      </c>
      <c r="R328" s="396">
        <v>11836</v>
      </c>
      <c r="S328" s="396">
        <v>-9809</v>
      </c>
      <c r="T328" s="396">
        <v>605383</v>
      </c>
      <c r="U328" s="396">
        <v>-381808</v>
      </c>
      <c r="V328" s="395">
        <v>9936.7999999999993</v>
      </c>
      <c r="W328" s="395">
        <v>7495.47</v>
      </c>
      <c r="X328" s="395">
        <v>77490</v>
      </c>
      <c r="Y328" s="395">
        <v>15916.3</v>
      </c>
      <c r="Z328" s="396">
        <v>-8318519</v>
      </c>
      <c r="AA328" s="396">
        <v>353261</v>
      </c>
      <c r="AB328" s="396">
        <v>-6438491</v>
      </c>
      <c r="AC328" s="396">
        <v>10207916</v>
      </c>
    </row>
    <row r="329" spans="1:29">
      <c r="A329">
        <v>5608</v>
      </c>
      <c r="B329" s="395" t="s">
        <v>7882</v>
      </c>
      <c r="C329" s="395"/>
      <c r="D329" s="396">
        <v>351180</v>
      </c>
      <c r="E329" s="396">
        <v>510149</v>
      </c>
      <c r="F329" s="395">
        <v>3.21</v>
      </c>
      <c r="G329" s="396">
        <v>-158969</v>
      </c>
      <c r="H329" s="396">
        <v>42550</v>
      </c>
      <c r="I329" s="396">
        <v>2501995</v>
      </c>
      <c r="J329" s="395">
        <v>266</v>
      </c>
      <c r="K329" s="395">
        <v>226</v>
      </c>
      <c r="L329" s="397">
        <v>0.84960000000000002</v>
      </c>
      <c r="M329" s="395">
        <v>40</v>
      </c>
      <c r="N329" s="396">
        <v>1320</v>
      </c>
      <c r="O329" s="396">
        <v>2257</v>
      </c>
      <c r="P329" s="395">
        <v>0.56999999999999995</v>
      </c>
      <c r="Q329" s="396">
        <v>-3974</v>
      </c>
      <c r="R329" s="396">
        <v>8858</v>
      </c>
      <c r="S329" s="396">
        <v>-14825</v>
      </c>
      <c r="T329" s="396">
        <v>512390</v>
      </c>
      <c r="U329" s="396">
        <v>-324465</v>
      </c>
      <c r="V329" s="395">
        <v>2372.44</v>
      </c>
      <c r="W329" s="395">
        <v>1696.87</v>
      </c>
      <c r="X329" s="395">
        <v>77490</v>
      </c>
      <c r="Y329" s="395">
        <v>6189.42</v>
      </c>
      <c r="Z329" s="396">
        <v>94016688</v>
      </c>
      <c r="AA329" s="396">
        <v>351180</v>
      </c>
      <c r="AB329" s="396">
        <v>126581481</v>
      </c>
      <c r="AC329" s="396">
        <v>10207916</v>
      </c>
    </row>
    <row r="330" spans="1:29">
      <c r="A330">
        <v>1730</v>
      </c>
      <c r="B330" s="395" t="s">
        <v>6865</v>
      </c>
      <c r="C330" s="395"/>
      <c r="D330" s="396">
        <v>351079</v>
      </c>
      <c r="E330" s="396">
        <v>390439</v>
      </c>
      <c r="F330" s="395">
        <v>9.92</v>
      </c>
      <c r="G330" s="396">
        <v>-39359</v>
      </c>
      <c r="H330" s="396">
        <v>47673</v>
      </c>
      <c r="I330" s="396">
        <v>6102774</v>
      </c>
      <c r="J330" s="395">
        <v>173</v>
      </c>
      <c r="K330" s="395">
        <v>151</v>
      </c>
      <c r="L330" s="397">
        <v>0.87280000000000002</v>
      </c>
      <c r="M330" s="395">
        <v>22</v>
      </c>
      <c r="N330" s="396">
        <v>2029</v>
      </c>
      <c r="O330" s="396">
        <v>2586</v>
      </c>
      <c r="P330" s="395">
        <v>1.45</v>
      </c>
      <c r="Q330" s="396">
        <v>-1789</v>
      </c>
      <c r="R330" s="396">
        <v>5241</v>
      </c>
      <c r="S330" s="396">
        <v>-5594</v>
      </c>
      <c r="T330" s="396">
        <v>441939</v>
      </c>
      <c r="U330" s="396">
        <v>-251650</v>
      </c>
      <c r="V330" s="395">
        <v>16044.36</v>
      </c>
      <c r="W330" s="395">
        <v>17094.150000000001</v>
      </c>
      <c r="X330" s="395">
        <v>77490</v>
      </c>
      <c r="Y330" s="395">
        <v>8839</v>
      </c>
      <c r="Z330" s="396">
        <v>-4203206</v>
      </c>
      <c r="AA330" s="396">
        <v>351079</v>
      </c>
      <c r="AB330" s="396">
        <v>-4345165</v>
      </c>
      <c r="AC330" s="396">
        <v>10207916</v>
      </c>
    </row>
    <row r="331" spans="1:29">
      <c r="A331">
        <v>6290</v>
      </c>
      <c r="B331" s="395" t="s">
        <v>8058</v>
      </c>
      <c r="C331" s="395"/>
      <c r="D331" s="396">
        <v>350201</v>
      </c>
      <c r="E331" s="396">
        <v>445864</v>
      </c>
      <c r="F331" s="395">
        <v>4.66</v>
      </c>
      <c r="G331" s="396">
        <v>-95663</v>
      </c>
      <c r="H331" s="396">
        <v>60760</v>
      </c>
      <c r="I331" s="396">
        <v>2653629</v>
      </c>
      <c r="J331" s="395">
        <v>258</v>
      </c>
      <c r="K331" s="395">
        <v>222</v>
      </c>
      <c r="L331" s="397">
        <v>0.86050000000000004</v>
      </c>
      <c r="M331" s="395">
        <v>36</v>
      </c>
      <c r="N331" s="396">
        <v>1357</v>
      </c>
      <c r="O331" s="396">
        <v>2008</v>
      </c>
      <c r="P331" s="395">
        <v>0.76</v>
      </c>
      <c r="Q331" s="396">
        <v>-2657</v>
      </c>
      <c r="R331" s="396">
        <v>9964</v>
      </c>
      <c r="S331" s="396">
        <v>-12080</v>
      </c>
      <c r="T331" s="396">
        <v>451486</v>
      </c>
      <c r="U331" s="396">
        <v>-192640</v>
      </c>
      <c r="V331" s="395">
        <v>2953.09</v>
      </c>
      <c r="W331" s="395">
        <v>2404.88</v>
      </c>
      <c r="X331" s="395">
        <v>77490</v>
      </c>
      <c r="Y331" s="395">
        <v>6333.67</v>
      </c>
      <c r="Z331" s="396">
        <v>-3281757</v>
      </c>
      <c r="AA331" s="396">
        <v>350201</v>
      </c>
      <c r="AB331" s="396">
        <v>796081</v>
      </c>
      <c r="AC331" s="396">
        <v>10207916</v>
      </c>
    </row>
    <row r="332" spans="1:29">
      <c r="A332">
        <v>1507</v>
      </c>
      <c r="B332" s="395" t="s">
        <v>6786</v>
      </c>
      <c r="C332" s="395"/>
      <c r="D332" s="396">
        <v>349615</v>
      </c>
      <c r="E332" s="396">
        <v>370227</v>
      </c>
      <c r="F332" s="395">
        <v>17.96</v>
      </c>
      <c r="G332" s="396">
        <v>-20612</v>
      </c>
      <c r="H332" s="396">
        <v>57232</v>
      </c>
      <c r="I332" s="396">
        <v>5119437</v>
      </c>
      <c r="J332" s="395">
        <v>227</v>
      </c>
      <c r="K332" s="395">
        <v>134</v>
      </c>
      <c r="L332" s="397">
        <v>0.59030000000000005</v>
      </c>
      <c r="M332" s="395">
        <v>93</v>
      </c>
      <c r="N332" s="396">
        <v>1540</v>
      </c>
      <c r="O332" s="396">
        <v>2763</v>
      </c>
      <c r="P332" s="395">
        <v>12.45</v>
      </c>
      <c r="Q332" s="395">
        <v>-222</v>
      </c>
      <c r="R332" s="396">
        <v>5858</v>
      </c>
      <c r="S332" s="396">
        <v>-2150</v>
      </c>
      <c r="T332" s="396">
        <v>476607</v>
      </c>
      <c r="U332" s="396">
        <v>-235372</v>
      </c>
      <c r="V332" s="395">
        <v>11911.14</v>
      </c>
      <c r="W332" s="395">
        <v>10013.459999999999</v>
      </c>
      <c r="X332" s="395">
        <v>77490</v>
      </c>
      <c r="Y332" s="395">
        <v>14645.42</v>
      </c>
      <c r="Z332" s="396">
        <v>2158337</v>
      </c>
      <c r="AA332" s="396">
        <v>349615</v>
      </c>
      <c r="AB332" s="396">
        <v>2935303</v>
      </c>
      <c r="AC332" s="396">
        <v>10207916</v>
      </c>
    </row>
    <row r="333" spans="1:29">
      <c r="A333">
        <v>4728</v>
      </c>
      <c r="B333" s="395" t="s">
        <v>7678</v>
      </c>
      <c r="C333" s="395"/>
      <c r="D333" s="396">
        <v>347855</v>
      </c>
      <c r="E333" s="396">
        <v>529014</v>
      </c>
      <c r="F333" s="395">
        <v>2.92</v>
      </c>
      <c r="G333" s="396">
        <v>-181159</v>
      </c>
      <c r="H333" s="396">
        <v>78902</v>
      </c>
      <c r="I333" s="396">
        <v>4859551</v>
      </c>
      <c r="J333" s="395">
        <v>237</v>
      </c>
      <c r="K333" s="395">
        <v>187</v>
      </c>
      <c r="L333" s="397">
        <v>0.78900000000000003</v>
      </c>
      <c r="M333" s="395">
        <v>50</v>
      </c>
      <c r="N333" s="396">
        <v>1468</v>
      </c>
      <c r="O333" s="396">
        <v>2829</v>
      </c>
      <c r="P333" s="395">
        <v>0.78</v>
      </c>
      <c r="Q333" s="396">
        <v>-3623</v>
      </c>
      <c r="R333" s="396">
        <v>8125</v>
      </c>
      <c r="S333" s="396">
        <v>-12522</v>
      </c>
      <c r="T333" s="396">
        <v>637011</v>
      </c>
      <c r="U333" s="396">
        <v>-394725</v>
      </c>
      <c r="V333" s="395">
        <v>6477.77</v>
      </c>
      <c r="W333" s="395">
        <v>5164.42</v>
      </c>
      <c r="X333" s="395">
        <v>77220</v>
      </c>
      <c r="Y333" s="395">
        <v>11389.7</v>
      </c>
      <c r="Z333" s="396">
        <v>5121179</v>
      </c>
      <c r="AA333" s="396">
        <v>347855</v>
      </c>
      <c r="AB333" s="396">
        <v>27863057</v>
      </c>
      <c r="AC333" s="396">
        <v>10207916</v>
      </c>
    </row>
    <row r="334" spans="1:29">
      <c r="A334">
        <v>6173</v>
      </c>
      <c r="B334" s="395" t="s">
        <v>7964</v>
      </c>
      <c r="C334" s="395"/>
      <c r="D334" s="396">
        <v>346259</v>
      </c>
      <c r="E334" s="396">
        <v>565350</v>
      </c>
      <c r="F334" s="395">
        <v>2.58</v>
      </c>
      <c r="G334" s="396">
        <v>-219091</v>
      </c>
      <c r="H334" s="396">
        <v>67325</v>
      </c>
      <c r="I334" s="396">
        <v>3620470</v>
      </c>
      <c r="J334" s="395">
        <v>266</v>
      </c>
      <c r="K334" s="395">
        <v>203</v>
      </c>
      <c r="L334" s="397">
        <v>0.76319999999999999</v>
      </c>
      <c r="M334" s="395">
        <v>63</v>
      </c>
      <c r="N334" s="396">
        <v>1302</v>
      </c>
      <c r="O334" s="396">
        <v>2785</v>
      </c>
      <c r="P334" s="395">
        <v>0.8</v>
      </c>
      <c r="Q334" s="396">
        <v>-3478</v>
      </c>
      <c r="R334" s="396">
        <v>10279</v>
      </c>
      <c r="S334" s="396">
        <v>-17788</v>
      </c>
      <c r="T334" s="396">
        <v>675496</v>
      </c>
      <c r="U334" s="396">
        <v>-500304</v>
      </c>
      <c r="V334" s="395">
        <v>4061.61</v>
      </c>
      <c r="W334" s="395">
        <v>2893.78</v>
      </c>
      <c r="X334" s="395">
        <v>77490</v>
      </c>
      <c r="Y334" s="395">
        <v>7824.62</v>
      </c>
      <c r="Z334" s="396">
        <v>-21886851</v>
      </c>
      <c r="AA334" s="396">
        <v>346259</v>
      </c>
      <c r="AB334" s="396">
        <v>-8526113</v>
      </c>
      <c r="AC334" s="396">
        <v>10207916</v>
      </c>
    </row>
    <row r="335" spans="1:29">
      <c r="A335">
        <v>3338</v>
      </c>
      <c r="B335" s="395" t="s">
        <v>7396</v>
      </c>
      <c r="C335" s="395"/>
      <c r="D335" s="396">
        <v>346201</v>
      </c>
      <c r="E335" s="396">
        <v>591963</v>
      </c>
      <c r="F335" s="395">
        <v>2.41</v>
      </c>
      <c r="G335" s="396">
        <v>-245762</v>
      </c>
      <c r="H335" s="396">
        <v>56866</v>
      </c>
      <c r="I335" s="396">
        <v>2768519</v>
      </c>
      <c r="J335" s="395">
        <v>267</v>
      </c>
      <c r="K335" s="395">
        <v>202</v>
      </c>
      <c r="L335" s="397">
        <v>0.75660000000000005</v>
      </c>
      <c r="M335" s="395">
        <v>65</v>
      </c>
      <c r="N335" s="396">
        <v>1297</v>
      </c>
      <c r="O335" s="396">
        <v>2931</v>
      </c>
      <c r="P335" s="395">
        <v>0.78</v>
      </c>
      <c r="Q335" s="396">
        <v>-3781</v>
      </c>
      <c r="R335" s="396">
        <v>12910</v>
      </c>
      <c r="S335" s="396">
        <v>-13543</v>
      </c>
      <c r="T335" s="396">
        <v>604180</v>
      </c>
      <c r="U335" s="396">
        <v>-335737</v>
      </c>
      <c r="V335" s="395">
        <v>4301.3100000000004</v>
      </c>
      <c r="W335" s="395">
        <v>2838.87</v>
      </c>
      <c r="X335" s="395">
        <v>77490</v>
      </c>
      <c r="Y335" s="395">
        <v>8846.1200000000008</v>
      </c>
      <c r="Z335" s="396">
        <v>-21397615</v>
      </c>
      <c r="AA335" s="396">
        <v>346201</v>
      </c>
      <c r="AB335" s="396">
        <v>-6380330</v>
      </c>
      <c r="AC335" s="396">
        <v>10207916</v>
      </c>
    </row>
    <row r="336" spans="1:29">
      <c r="A336">
        <v>1215</v>
      </c>
      <c r="B336" s="395" t="s">
        <v>6687</v>
      </c>
      <c r="C336" s="395"/>
      <c r="D336" s="396">
        <v>345941</v>
      </c>
      <c r="E336" s="396">
        <v>439761</v>
      </c>
      <c r="F336" s="395">
        <v>4.6900000000000004</v>
      </c>
      <c r="G336" s="396">
        <v>-93820</v>
      </c>
      <c r="H336" s="396">
        <v>88059</v>
      </c>
      <c r="I336" s="396">
        <v>4588556</v>
      </c>
      <c r="J336" s="395">
        <v>276</v>
      </c>
      <c r="K336" s="395">
        <v>244</v>
      </c>
      <c r="L336" s="397">
        <v>0.8841</v>
      </c>
      <c r="M336" s="395">
        <v>32</v>
      </c>
      <c r="N336" s="396">
        <v>1253</v>
      </c>
      <c r="O336" s="396">
        <v>1802</v>
      </c>
      <c r="P336" s="395">
        <v>0.61</v>
      </c>
      <c r="Q336" s="396">
        <v>-2932</v>
      </c>
      <c r="R336" s="396">
        <v>5187</v>
      </c>
      <c r="S336" s="396">
        <v>-4835</v>
      </c>
      <c r="T336" s="396">
        <v>476131</v>
      </c>
      <c r="U336" s="396">
        <v>-100904</v>
      </c>
      <c r="V336" s="395">
        <v>4772.2299999999996</v>
      </c>
      <c r="W336" s="395">
        <v>4664.96</v>
      </c>
      <c r="X336" s="395">
        <v>77490</v>
      </c>
      <c r="Y336" s="395">
        <v>5590.19</v>
      </c>
      <c r="Z336" s="396">
        <v>-340704</v>
      </c>
      <c r="AA336" s="396">
        <v>345941</v>
      </c>
      <c r="AB336" s="396">
        <v>8142828</v>
      </c>
      <c r="AC336" s="396">
        <v>10207916</v>
      </c>
    </row>
    <row r="337" spans="1:29">
      <c r="A337">
        <v>8446</v>
      </c>
      <c r="B337" s="395" t="s">
        <v>8347</v>
      </c>
      <c r="C337" s="395"/>
      <c r="D337" s="396">
        <v>345209</v>
      </c>
      <c r="E337" s="396">
        <v>844908</v>
      </c>
      <c r="F337" s="395">
        <v>1.69</v>
      </c>
      <c r="G337" s="396">
        <v>-499699</v>
      </c>
      <c r="H337" s="396">
        <v>84956</v>
      </c>
      <c r="I337" s="396">
        <v>15260752</v>
      </c>
      <c r="J337" s="395">
        <v>221</v>
      </c>
      <c r="K337" s="395">
        <v>155</v>
      </c>
      <c r="L337" s="397">
        <v>0.70140000000000002</v>
      </c>
      <c r="M337" s="395">
        <v>66</v>
      </c>
      <c r="N337" s="396">
        <v>1562</v>
      </c>
      <c r="O337" s="396">
        <v>5451</v>
      </c>
      <c r="P337" s="395">
        <v>0.72</v>
      </c>
      <c r="Q337" s="396">
        <v>-7571</v>
      </c>
      <c r="R337" s="396">
        <v>11642</v>
      </c>
      <c r="S337" s="396">
        <v>-21209</v>
      </c>
      <c r="T337" s="396">
        <v>1763911</v>
      </c>
      <c r="U337" s="396">
        <v>-1381569</v>
      </c>
      <c r="V337" s="395">
        <v>21965.13</v>
      </c>
      <c r="W337" s="395">
        <v>18352.59</v>
      </c>
      <c r="X337" s="395">
        <v>77490</v>
      </c>
      <c r="Y337" s="395">
        <v>30449.14</v>
      </c>
      <c r="Z337" s="396">
        <v>-11269638</v>
      </c>
      <c r="AA337" s="396">
        <v>345209</v>
      </c>
      <c r="AB337" s="396">
        <v>-6793464</v>
      </c>
      <c r="AC337" s="396">
        <v>10207916</v>
      </c>
    </row>
    <row r="338" spans="1:29">
      <c r="A338">
        <v>3029</v>
      </c>
      <c r="B338" s="395" t="s">
        <v>7268</v>
      </c>
      <c r="C338" s="395"/>
      <c r="D338" s="396">
        <v>344669</v>
      </c>
      <c r="E338" s="396">
        <v>368203</v>
      </c>
      <c r="F338" s="395">
        <v>15.65</v>
      </c>
      <c r="G338" s="396">
        <v>-23534</v>
      </c>
      <c r="H338" s="396">
        <v>49021</v>
      </c>
      <c r="I338" s="396">
        <v>2709081</v>
      </c>
      <c r="J338" s="395">
        <v>269</v>
      </c>
      <c r="K338" s="395">
        <v>237</v>
      </c>
      <c r="L338" s="397">
        <v>0.88100000000000001</v>
      </c>
      <c r="M338" s="395">
        <v>32</v>
      </c>
      <c r="N338" s="396">
        <v>1281</v>
      </c>
      <c r="O338" s="396">
        <v>1554</v>
      </c>
      <c r="P338" s="395">
        <v>2.11</v>
      </c>
      <c r="Q338" s="395">
        <v>-735</v>
      </c>
      <c r="R338" s="396">
        <v>4974</v>
      </c>
      <c r="S338" s="396">
        <v>-3543</v>
      </c>
      <c r="T338" s="396">
        <v>351306</v>
      </c>
      <c r="U338" s="396">
        <v>-122878</v>
      </c>
      <c r="V338" s="395">
        <v>4805.3900000000003</v>
      </c>
      <c r="W338" s="395">
        <v>4480.82</v>
      </c>
      <c r="X338" s="395">
        <v>77490</v>
      </c>
      <c r="Y338" s="395">
        <v>7209.19</v>
      </c>
      <c r="Z338" s="396">
        <v>-3316565</v>
      </c>
      <c r="AA338" s="396">
        <v>344669</v>
      </c>
      <c r="AB338" s="396">
        <v>17140681</v>
      </c>
      <c r="AC338" s="396">
        <v>10207916</v>
      </c>
    </row>
    <row r="339" spans="1:29">
      <c r="A339">
        <v>2013</v>
      </c>
      <c r="B339" s="395" t="s">
        <v>6912</v>
      </c>
      <c r="C339" s="395"/>
      <c r="D339" s="396">
        <v>344502</v>
      </c>
      <c r="E339" s="396">
        <v>395355</v>
      </c>
      <c r="F339" s="395">
        <v>7.77</v>
      </c>
      <c r="G339" s="396">
        <v>-50853</v>
      </c>
      <c r="H339" s="396">
        <v>53198</v>
      </c>
      <c r="I339" s="396">
        <v>1510502</v>
      </c>
      <c r="J339" s="395">
        <v>261</v>
      </c>
      <c r="K339" s="395">
        <v>219</v>
      </c>
      <c r="L339" s="397">
        <v>0.83909999999999996</v>
      </c>
      <c r="M339" s="395">
        <v>42</v>
      </c>
      <c r="N339" s="396">
        <v>1320</v>
      </c>
      <c r="O339" s="396">
        <v>1805</v>
      </c>
      <c r="P339" s="395">
        <v>1.49</v>
      </c>
      <c r="Q339" s="396">
        <v>-1211</v>
      </c>
      <c r="R339" s="396">
        <v>7782</v>
      </c>
      <c r="S339" s="396">
        <v>-5473</v>
      </c>
      <c r="T339" s="396">
        <v>387831</v>
      </c>
      <c r="U339" s="396">
        <v>-151330</v>
      </c>
      <c r="V339" s="395">
        <v>1636.17</v>
      </c>
      <c r="W339" s="395">
        <v>1253.54</v>
      </c>
      <c r="X339" s="395">
        <v>77490</v>
      </c>
      <c r="Y339" s="395">
        <v>3631.31</v>
      </c>
      <c r="Z339" s="396">
        <v>39175304</v>
      </c>
      <c r="AA339" s="396">
        <v>344502</v>
      </c>
      <c r="AB339" s="396">
        <v>42427002</v>
      </c>
      <c r="AC339" s="396">
        <v>10207916</v>
      </c>
    </row>
    <row r="340" spans="1:29">
      <c r="A340">
        <v>1513</v>
      </c>
      <c r="B340" s="395" t="s">
        <v>6788</v>
      </c>
      <c r="C340" s="395"/>
      <c r="D340" s="396">
        <v>344416</v>
      </c>
      <c r="E340" s="396">
        <v>407200</v>
      </c>
      <c r="F340" s="395">
        <v>6.49</v>
      </c>
      <c r="G340" s="396">
        <v>-62784</v>
      </c>
      <c r="H340" s="396">
        <v>49541</v>
      </c>
      <c r="I340" s="396">
        <v>2634541</v>
      </c>
      <c r="J340" s="395">
        <v>255</v>
      </c>
      <c r="K340" s="395">
        <v>207</v>
      </c>
      <c r="L340" s="397">
        <v>0.81179999999999997</v>
      </c>
      <c r="M340" s="395">
        <v>48</v>
      </c>
      <c r="N340" s="396">
        <v>1351</v>
      </c>
      <c r="O340" s="396">
        <v>1967</v>
      </c>
      <c r="P340" s="395">
        <v>1.5</v>
      </c>
      <c r="Q340" s="396">
        <v>-1308</v>
      </c>
      <c r="R340" s="396">
        <v>6656</v>
      </c>
      <c r="S340" s="396">
        <v>-5518</v>
      </c>
      <c r="T340" s="396">
        <v>379181</v>
      </c>
      <c r="U340" s="396">
        <v>-183657</v>
      </c>
      <c r="V340" s="395">
        <v>4873.5200000000004</v>
      </c>
      <c r="W340" s="395">
        <v>3986.17</v>
      </c>
      <c r="X340" s="395">
        <v>77490</v>
      </c>
      <c r="Y340" s="395">
        <v>8700.2099999999991</v>
      </c>
      <c r="Z340" s="396">
        <v>-7741484</v>
      </c>
      <c r="AA340" s="396">
        <v>344416</v>
      </c>
      <c r="AB340" s="396">
        <v>-563839</v>
      </c>
      <c r="AC340" s="396">
        <v>10207916</v>
      </c>
    </row>
    <row r="341" spans="1:29">
      <c r="A341">
        <v>8482</v>
      </c>
      <c r="B341" s="395" t="s">
        <v>8363</v>
      </c>
      <c r="C341" s="395"/>
      <c r="D341" s="396">
        <v>343073</v>
      </c>
      <c r="E341" s="396">
        <v>466544</v>
      </c>
      <c r="F341" s="395">
        <v>3.78</v>
      </c>
      <c r="G341" s="396">
        <v>-123471</v>
      </c>
      <c r="H341" s="396">
        <v>57004</v>
      </c>
      <c r="I341" s="396">
        <v>3123075</v>
      </c>
      <c r="J341" s="395">
        <v>180</v>
      </c>
      <c r="K341" s="395">
        <v>144</v>
      </c>
      <c r="L341" s="397">
        <v>0.8</v>
      </c>
      <c r="M341" s="395">
        <v>36</v>
      </c>
      <c r="N341" s="396">
        <v>1906</v>
      </c>
      <c r="O341" s="396">
        <v>3240</v>
      </c>
      <c r="P341" s="395">
        <v>0.94</v>
      </c>
      <c r="Q341" s="396">
        <v>-3430</v>
      </c>
      <c r="R341" s="396">
        <v>13456</v>
      </c>
      <c r="S341" s="396">
        <v>-9598</v>
      </c>
      <c r="T341" s="396">
        <v>681763</v>
      </c>
      <c r="U341" s="396">
        <v>-315188</v>
      </c>
      <c r="V341" s="395">
        <v>5750.74</v>
      </c>
      <c r="W341" s="395">
        <v>5546.72</v>
      </c>
      <c r="X341" s="395">
        <v>75870</v>
      </c>
      <c r="Y341" s="395">
        <v>6566.86</v>
      </c>
      <c r="Z341" s="396">
        <v>-13022365</v>
      </c>
      <c r="AA341" s="396">
        <v>343073</v>
      </c>
      <c r="AB341" s="396">
        <v>-12718308</v>
      </c>
      <c r="AC341" s="396">
        <v>10207916</v>
      </c>
    </row>
    <row r="342" spans="1:29">
      <c r="A342">
        <v>2542</v>
      </c>
      <c r="B342" s="395" t="s">
        <v>7130</v>
      </c>
      <c r="C342" s="395"/>
      <c r="D342" s="396">
        <v>342779</v>
      </c>
      <c r="E342" s="396">
        <v>363739</v>
      </c>
      <c r="F342" s="395">
        <v>17.350000000000001</v>
      </c>
      <c r="G342" s="396">
        <v>-20960</v>
      </c>
      <c r="H342" s="396">
        <v>50430</v>
      </c>
      <c r="I342" s="396">
        <v>3238377</v>
      </c>
      <c r="J342" s="395">
        <v>272</v>
      </c>
      <c r="K342" s="395">
        <v>244</v>
      </c>
      <c r="L342" s="397">
        <v>0.89710000000000001</v>
      </c>
      <c r="M342" s="395">
        <v>28</v>
      </c>
      <c r="N342" s="396">
        <v>1260</v>
      </c>
      <c r="O342" s="396">
        <v>1491</v>
      </c>
      <c r="P342" s="395">
        <v>1.99</v>
      </c>
      <c r="Q342" s="395">
        <v>-749</v>
      </c>
      <c r="R342" s="396">
        <v>3430</v>
      </c>
      <c r="S342" s="396">
        <v>-2432</v>
      </c>
      <c r="T342" s="396">
        <v>384923</v>
      </c>
      <c r="U342" s="396">
        <v>-92031</v>
      </c>
      <c r="V342" s="395">
        <v>6774.15</v>
      </c>
      <c r="W342" s="395">
        <v>6591.25</v>
      </c>
      <c r="X342" s="395">
        <v>77490</v>
      </c>
      <c r="Y342" s="395">
        <v>8368.0400000000009</v>
      </c>
      <c r="Z342" s="396">
        <v>375531</v>
      </c>
      <c r="AA342" s="396">
        <v>342779</v>
      </c>
      <c r="AB342" s="396">
        <v>6413427</v>
      </c>
      <c r="AC342" s="396">
        <v>10207916</v>
      </c>
    </row>
    <row r="343" spans="1:29">
      <c r="A343">
        <v>2228</v>
      </c>
      <c r="B343" s="395" t="s">
        <v>6961</v>
      </c>
      <c r="C343" s="395"/>
      <c r="D343" s="396">
        <v>342209</v>
      </c>
      <c r="E343" s="396">
        <v>481444</v>
      </c>
      <c r="F343" s="395">
        <v>3.46</v>
      </c>
      <c r="G343" s="396">
        <v>-139235</v>
      </c>
      <c r="H343" s="396">
        <v>68748</v>
      </c>
      <c r="I343" s="396">
        <v>6408795</v>
      </c>
      <c r="J343" s="395">
        <v>233</v>
      </c>
      <c r="K343" s="395">
        <v>187</v>
      </c>
      <c r="L343" s="397">
        <v>0.80259999999999998</v>
      </c>
      <c r="M343" s="395">
        <v>46</v>
      </c>
      <c r="N343" s="396">
        <v>1469</v>
      </c>
      <c r="O343" s="396">
        <v>2575</v>
      </c>
      <c r="P343" s="395">
        <v>0.85</v>
      </c>
      <c r="Q343" s="396">
        <v>-3027</v>
      </c>
      <c r="R343" s="396">
        <v>7416</v>
      </c>
      <c r="S343" s="396">
        <v>-9721</v>
      </c>
      <c r="T343" s="396">
        <v>454129</v>
      </c>
      <c r="U343" s="396">
        <v>-291113</v>
      </c>
      <c r="V343" s="395">
        <v>9085.66</v>
      </c>
      <c r="W343" s="395">
        <v>7838.16</v>
      </c>
      <c r="X343" s="395">
        <v>77490</v>
      </c>
      <c r="Y343" s="395">
        <v>14157.02</v>
      </c>
      <c r="Z343" s="396">
        <v>-14731659</v>
      </c>
      <c r="AA343" s="396">
        <v>342209</v>
      </c>
      <c r="AB343" s="396">
        <v>-7594403</v>
      </c>
      <c r="AC343" s="396">
        <v>10207916</v>
      </c>
    </row>
    <row r="344" spans="1:29">
      <c r="A344">
        <v>4128</v>
      </c>
      <c r="B344" s="395" t="s">
        <v>7568</v>
      </c>
      <c r="C344" s="395"/>
      <c r="D344" s="396">
        <v>340831</v>
      </c>
      <c r="E344" s="396">
        <v>505898</v>
      </c>
      <c r="F344" s="395">
        <v>3.06</v>
      </c>
      <c r="G344" s="396">
        <v>-165067</v>
      </c>
      <c r="H344" s="396">
        <v>65764</v>
      </c>
      <c r="I344" s="396">
        <v>3374314</v>
      </c>
      <c r="J344" s="395">
        <v>263</v>
      </c>
      <c r="K344" s="395">
        <v>200</v>
      </c>
      <c r="L344" s="397">
        <v>0.76049999999999995</v>
      </c>
      <c r="M344" s="395">
        <v>63</v>
      </c>
      <c r="N344" s="396">
        <v>1296</v>
      </c>
      <c r="O344" s="396">
        <v>2529</v>
      </c>
      <c r="P344" s="395">
        <v>0.97</v>
      </c>
      <c r="Q344" s="396">
        <v>-2620</v>
      </c>
      <c r="R344" s="396">
        <v>7744</v>
      </c>
      <c r="S344" s="396">
        <v>-7845</v>
      </c>
      <c r="T344" s="396">
        <v>565327</v>
      </c>
      <c r="U344" s="396">
        <v>-327007</v>
      </c>
      <c r="V344" s="395">
        <v>3482.37</v>
      </c>
      <c r="W344" s="395">
        <v>2318.15</v>
      </c>
      <c r="X344" s="395">
        <v>77490</v>
      </c>
      <c r="Y344" s="395">
        <v>7178.32</v>
      </c>
      <c r="Z344" s="396">
        <v>-19396948</v>
      </c>
      <c r="AA344" s="396">
        <v>340831</v>
      </c>
      <c r="AB344" s="396">
        <v>-3177180</v>
      </c>
      <c r="AC344" s="396">
        <v>10207916</v>
      </c>
    </row>
    <row r="345" spans="1:29">
      <c r="A345">
        <v>6182</v>
      </c>
      <c r="B345" s="395" t="s">
        <v>7971</v>
      </c>
      <c r="C345" s="395"/>
      <c r="D345" s="396">
        <v>340381</v>
      </c>
      <c r="E345" s="396">
        <v>489267</v>
      </c>
      <c r="F345" s="395">
        <v>3.29</v>
      </c>
      <c r="G345" s="396">
        <v>-148886</v>
      </c>
      <c r="H345" s="396">
        <v>67879</v>
      </c>
      <c r="I345" s="396">
        <v>1367835</v>
      </c>
      <c r="J345" s="395">
        <v>273</v>
      </c>
      <c r="K345" s="395">
        <v>217</v>
      </c>
      <c r="L345" s="397">
        <v>0.79490000000000005</v>
      </c>
      <c r="M345" s="395">
        <v>56</v>
      </c>
      <c r="N345" s="396">
        <v>1247</v>
      </c>
      <c r="O345" s="396">
        <v>2255</v>
      </c>
      <c r="P345" s="395">
        <v>0.85</v>
      </c>
      <c r="Q345" s="396">
        <v>-2659</v>
      </c>
      <c r="R345" s="396">
        <v>10413</v>
      </c>
      <c r="S345" s="396">
        <v>-8765</v>
      </c>
      <c r="T345" s="396">
        <v>470575</v>
      </c>
      <c r="U345" s="396">
        <v>-153214</v>
      </c>
      <c r="V345" s="395">
        <v>1376.03</v>
      </c>
      <c r="W345" s="395">
        <v>926.5</v>
      </c>
      <c r="X345" s="395">
        <v>77490</v>
      </c>
      <c r="Y345" s="395">
        <v>3117.98</v>
      </c>
      <c r="Z345" s="396">
        <v>-8741305</v>
      </c>
      <c r="AA345" s="396">
        <v>340381</v>
      </c>
      <c r="AB345" s="396">
        <v>35192987</v>
      </c>
      <c r="AC345" s="396">
        <v>10207916</v>
      </c>
    </row>
    <row r="346" spans="1:29">
      <c r="A346">
        <v>6664</v>
      </c>
      <c r="B346" s="395" t="s">
        <v>8172</v>
      </c>
      <c r="C346" s="395"/>
      <c r="D346" s="396">
        <v>340051</v>
      </c>
      <c r="E346" s="396">
        <v>387867</v>
      </c>
      <c r="F346" s="395">
        <v>8.11</v>
      </c>
      <c r="G346" s="396">
        <v>-47816</v>
      </c>
      <c r="H346" s="396">
        <v>64576</v>
      </c>
      <c r="I346" s="396">
        <v>2463211</v>
      </c>
      <c r="J346" s="395">
        <v>226</v>
      </c>
      <c r="K346" s="395">
        <v>198</v>
      </c>
      <c r="L346" s="397">
        <v>0.87609999999999999</v>
      </c>
      <c r="M346" s="395">
        <v>28</v>
      </c>
      <c r="N346" s="396">
        <v>1505</v>
      </c>
      <c r="O346" s="396">
        <v>1959</v>
      </c>
      <c r="P346" s="395">
        <v>1.1499999999999999</v>
      </c>
      <c r="Q346" s="396">
        <v>-1708</v>
      </c>
      <c r="R346" s="396">
        <v>6626</v>
      </c>
      <c r="S346" s="396">
        <v>-2793</v>
      </c>
      <c r="T346" s="396">
        <v>374547</v>
      </c>
      <c r="U346" s="396">
        <v>-122945</v>
      </c>
      <c r="V346" s="395">
        <v>3593.37</v>
      </c>
      <c r="W346" s="395">
        <v>2883.89</v>
      </c>
      <c r="X346" s="395">
        <v>77490</v>
      </c>
      <c r="Y346" s="395">
        <v>8610.39</v>
      </c>
      <c r="Z346" s="396">
        <v>-266342</v>
      </c>
      <c r="AA346" s="396">
        <v>340051</v>
      </c>
      <c r="AB346" s="396">
        <v>20549777</v>
      </c>
      <c r="AC346" s="396">
        <v>10207916</v>
      </c>
    </row>
    <row r="347" spans="1:29">
      <c r="A347">
        <v>3078</v>
      </c>
      <c r="B347" s="395" t="s">
        <v>7304</v>
      </c>
      <c r="C347" s="395"/>
      <c r="D347" s="396">
        <v>338981</v>
      </c>
      <c r="E347" s="396">
        <v>426179</v>
      </c>
      <c r="F347" s="395">
        <v>4.8899999999999997</v>
      </c>
      <c r="G347" s="396">
        <v>-87198</v>
      </c>
      <c r="H347" s="396">
        <v>48097</v>
      </c>
      <c r="I347" s="396">
        <v>2602586</v>
      </c>
      <c r="J347" s="395">
        <v>256</v>
      </c>
      <c r="K347" s="395">
        <v>220</v>
      </c>
      <c r="L347" s="397">
        <v>0.85940000000000005</v>
      </c>
      <c r="M347" s="395">
        <v>36</v>
      </c>
      <c r="N347" s="396">
        <v>1324</v>
      </c>
      <c r="O347" s="396">
        <v>1937</v>
      </c>
      <c r="P347" s="395">
        <v>0.8</v>
      </c>
      <c r="Q347" s="396">
        <v>-2422</v>
      </c>
      <c r="R347" s="396">
        <v>7854</v>
      </c>
      <c r="S347" s="396">
        <v>-14039</v>
      </c>
      <c r="T347" s="396">
        <v>384433</v>
      </c>
      <c r="U347" s="396">
        <v>-207503</v>
      </c>
      <c r="V347" s="395">
        <v>4917.5200000000004</v>
      </c>
      <c r="W347" s="395">
        <v>4064.5</v>
      </c>
      <c r="X347" s="395">
        <v>77490</v>
      </c>
      <c r="Y347" s="395">
        <v>10130.42</v>
      </c>
      <c r="Z347" s="396">
        <v>-18635644</v>
      </c>
      <c r="AA347" s="396">
        <v>338981</v>
      </c>
      <c r="AB347" s="396">
        <v>-6256821</v>
      </c>
      <c r="AC347" s="396">
        <v>10207916</v>
      </c>
    </row>
    <row r="348" spans="1:29">
      <c r="A348">
        <v>3479</v>
      </c>
      <c r="B348" s="395" t="s">
        <v>7433</v>
      </c>
      <c r="C348" s="395"/>
      <c r="D348" s="396">
        <v>338517</v>
      </c>
      <c r="E348" s="396">
        <v>431068</v>
      </c>
      <c r="F348" s="395">
        <v>4.66</v>
      </c>
      <c r="G348" s="396">
        <v>-92550</v>
      </c>
      <c r="H348" s="396">
        <v>52394</v>
      </c>
      <c r="I348" s="396">
        <v>3924214</v>
      </c>
      <c r="J348" s="395">
        <v>240</v>
      </c>
      <c r="K348" s="395">
        <v>186</v>
      </c>
      <c r="L348" s="397">
        <v>0.77500000000000002</v>
      </c>
      <c r="M348" s="395">
        <v>54</v>
      </c>
      <c r="N348" s="396">
        <v>1410</v>
      </c>
      <c r="O348" s="396">
        <v>2318</v>
      </c>
      <c r="P348" s="395">
        <v>1.35</v>
      </c>
      <c r="Q348" s="396">
        <v>-1714</v>
      </c>
      <c r="R348" s="396">
        <v>10586</v>
      </c>
      <c r="S348" s="396">
        <v>-5742</v>
      </c>
      <c r="T348" s="396">
        <v>510134</v>
      </c>
      <c r="U348" s="396">
        <v>-244059</v>
      </c>
      <c r="V348" s="395">
        <v>7478.16</v>
      </c>
      <c r="W348" s="395">
        <v>5430.94</v>
      </c>
      <c r="X348" s="395">
        <v>77490</v>
      </c>
      <c r="Y348" s="395">
        <v>14529.69</v>
      </c>
      <c r="Z348" s="396">
        <v>732804</v>
      </c>
      <c r="AA348" s="396">
        <v>338517</v>
      </c>
      <c r="AB348" s="396">
        <v>1309713</v>
      </c>
      <c r="AC348" s="396">
        <v>10207916</v>
      </c>
    </row>
    <row r="349" spans="1:29">
      <c r="A349">
        <v>3213</v>
      </c>
      <c r="B349" s="395" t="s">
        <v>7346</v>
      </c>
      <c r="C349" s="395"/>
      <c r="D349" s="396">
        <v>334152</v>
      </c>
      <c r="E349" s="396">
        <v>348636</v>
      </c>
      <c r="F349" s="395">
        <v>24.07</v>
      </c>
      <c r="G349" s="396">
        <v>-14484</v>
      </c>
      <c r="H349" s="396">
        <v>56838</v>
      </c>
      <c r="I349" s="396">
        <v>3291619</v>
      </c>
      <c r="J349" s="395">
        <v>239</v>
      </c>
      <c r="K349" s="395">
        <v>215</v>
      </c>
      <c r="L349" s="397">
        <v>0.89959999999999996</v>
      </c>
      <c r="M349" s="395">
        <v>24</v>
      </c>
      <c r="N349" s="396">
        <v>1398</v>
      </c>
      <c r="O349" s="396">
        <v>1622</v>
      </c>
      <c r="P349" s="395">
        <v>2.69</v>
      </c>
      <c r="Q349" s="395">
        <v>-604</v>
      </c>
      <c r="R349" s="396">
        <v>6175</v>
      </c>
      <c r="S349" s="396">
        <v>-1849</v>
      </c>
      <c r="T349" s="396">
        <v>413718</v>
      </c>
      <c r="U349" s="396">
        <v>-134931</v>
      </c>
      <c r="V349" s="395">
        <v>5228.92</v>
      </c>
      <c r="W349" s="395">
        <v>4978.47</v>
      </c>
      <c r="X349" s="395">
        <v>77490</v>
      </c>
      <c r="Y349" s="395">
        <v>7472.54</v>
      </c>
      <c r="Z349" s="396">
        <v>-8828</v>
      </c>
      <c r="AA349" s="396">
        <v>334152</v>
      </c>
      <c r="AB349" s="396">
        <v>16833863</v>
      </c>
      <c r="AC349" s="396">
        <v>10207916</v>
      </c>
    </row>
    <row r="350" spans="1:29">
      <c r="A350">
        <v>2375</v>
      </c>
      <c r="B350" s="395" t="s">
        <v>7020</v>
      </c>
      <c r="C350" s="395"/>
      <c r="D350" s="396">
        <v>333014</v>
      </c>
      <c r="E350" s="396">
        <v>1138911</v>
      </c>
      <c r="F350" s="395">
        <v>1.41</v>
      </c>
      <c r="G350" s="396">
        <v>-805898</v>
      </c>
      <c r="H350" s="396">
        <v>111763</v>
      </c>
      <c r="I350" s="396">
        <v>8361863</v>
      </c>
      <c r="J350" s="395">
        <v>268</v>
      </c>
      <c r="K350" s="395">
        <v>177</v>
      </c>
      <c r="L350" s="397">
        <v>0.66039999999999999</v>
      </c>
      <c r="M350" s="395">
        <v>91</v>
      </c>
      <c r="N350" s="396">
        <v>1243</v>
      </c>
      <c r="O350" s="396">
        <v>6435</v>
      </c>
      <c r="P350" s="395">
        <v>0.73</v>
      </c>
      <c r="Q350" s="396">
        <v>-8856</v>
      </c>
      <c r="R350" s="396">
        <v>20648</v>
      </c>
      <c r="S350" s="396">
        <v>-25272</v>
      </c>
      <c r="T350" s="396">
        <v>1758676</v>
      </c>
      <c r="U350" s="396">
        <v>-1396800</v>
      </c>
      <c r="V350" s="395">
        <v>5666.93</v>
      </c>
      <c r="W350" s="395">
        <v>3119.28</v>
      </c>
      <c r="X350" s="395">
        <v>77490</v>
      </c>
      <c r="Y350" s="395">
        <v>10622.24</v>
      </c>
      <c r="Z350" s="396">
        <v>-21193790</v>
      </c>
      <c r="AA350" s="396">
        <v>333014</v>
      </c>
      <c r="AB350" s="396">
        <v>-5596376</v>
      </c>
      <c r="AC350" s="396">
        <v>10207916</v>
      </c>
    </row>
    <row r="351" spans="1:29">
      <c r="A351">
        <v>6261</v>
      </c>
      <c r="B351" s="395" t="s">
        <v>8036</v>
      </c>
      <c r="C351" s="395"/>
      <c r="D351" s="396">
        <v>332125</v>
      </c>
      <c r="E351" s="396">
        <v>545214</v>
      </c>
      <c r="F351" s="395">
        <v>2.56</v>
      </c>
      <c r="G351" s="396">
        <v>-213089</v>
      </c>
      <c r="H351" s="396">
        <v>84832</v>
      </c>
      <c r="I351" s="396">
        <v>2418443</v>
      </c>
      <c r="J351" s="395">
        <v>260</v>
      </c>
      <c r="K351" s="395">
        <v>207</v>
      </c>
      <c r="L351" s="397">
        <v>0.79620000000000002</v>
      </c>
      <c r="M351" s="395">
        <v>53</v>
      </c>
      <c r="N351" s="396">
        <v>1277</v>
      </c>
      <c r="O351" s="396">
        <v>2634</v>
      </c>
      <c r="P351" s="395">
        <v>0.66</v>
      </c>
      <c r="Q351" s="396">
        <v>-4021</v>
      </c>
      <c r="R351" s="396">
        <v>11690</v>
      </c>
      <c r="S351" s="396">
        <v>-9136</v>
      </c>
      <c r="T351" s="396">
        <v>511263</v>
      </c>
      <c r="U351" s="396">
        <v>-233270</v>
      </c>
      <c r="V351" s="395">
        <v>3056.19</v>
      </c>
      <c r="W351" s="395">
        <v>2352.7800000000002</v>
      </c>
      <c r="X351" s="395">
        <v>77490</v>
      </c>
      <c r="Y351" s="395">
        <v>5803.47</v>
      </c>
      <c r="Z351" s="396">
        <v>-9146407</v>
      </c>
      <c r="AA351" s="396">
        <v>332125</v>
      </c>
      <c r="AB351" s="396">
        <v>16692197</v>
      </c>
      <c r="AC351" s="396">
        <v>10207916</v>
      </c>
    </row>
    <row r="352" spans="1:29">
      <c r="A352">
        <v>2472</v>
      </c>
      <c r="B352" s="395" t="s">
        <v>7088</v>
      </c>
      <c r="C352" s="395"/>
      <c r="D352" s="396">
        <v>330324</v>
      </c>
      <c r="E352" s="396">
        <v>653630</v>
      </c>
      <c r="F352" s="395">
        <v>2.02</v>
      </c>
      <c r="G352" s="396">
        <v>-323306</v>
      </c>
      <c r="H352" s="396">
        <v>73772</v>
      </c>
      <c r="I352" s="396">
        <v>4787292</v>
      </c>
      <c r="J352" s="395">
        <v>264</v>
      </c>
      <c r="K352" s="395">
        <v>182</v>
      </c>
      <c r="L352" s="397">
        <v>0.68940000000000001</v>
      </c>
      <c r="M352" s="395">
        <v>82</v>
      </c>
      <c r="N352" s="396">
        <v>1251</v>
      </c>
      <c r="O352" s="396">
        <v>3591</v>
      </c>
      <c r="P352" s="395">
        <v>0.91</v>
      </c>
      <c r="Q352" s="396">
        <v>-3943</v>
      </c>
      <c r="R352" s="396">
        <v>16951</v>
      </c>
      <c r="S352" s="396">
        <v>-10203</v>
      </c>
      <c r="T352" s="396">
        <v>1134947</v>
      </c>
      <c r="U352" s="396">
        <v>-777002</v>
      </c>
      <c r="V352" s="395">
        <v>6435.89</v>
      </c>
      <c r="W352" s="395">
        <v>4269.6899999999996</v>
      </c>
      <c r="X352" s="395">
        <v>77490</v>
      </c>
      <c r="Y352" s="395">
        <v>11243.82</v>
      </c>
      <c r="Z352" s="396">
        <v>-11334602</v>
      </c>
      <c r="AA352" s="396">
        <v>330324</v>
      </c>
      <c r="AB352" s="396">
        <v>1819625</v>
      </c>
      <c r="AC352" s="396">
        <v>10207916</v>
      </c>
    </row>
    <row r="353" spans="1:29">
      <c r="A353">
        <v>8163</v>
      </c>
      <c r="B353" s="395" t="s">
        <v>8288</v>
      </c>
      <c r="C353" s="395"/>
      <c r="D353" s="396">
        <v>328060</v>
      </c>
      <c r="E353" s="396">
        <v>356511</v>
      </c>
      <c r="F353" s="395">
        <v>12.53</v>
      </c>
      <c r="G353" s="396">
        <v>-28451</v>
      </c>
      <c r="H353" s="396">
        <v>47946</v>
      </c>
      <c r="I353" s="396">
        <v>3534899</v>
      </c>
      <c r="J353" s="395">
        <v>261</v>
      </c>
      <c r="K353" s="395">
        <v>227</v>
      </c>
      <c r="L353" s="397">
        <v>0.86970000000000003</v>
      </c>
      <c r="M353" s="395">
        <v>34</v>
      </c>
      <c r="N353" s="396">
        <v>1257</v>
      </c>
      <c r="O353" s="396">
        <v>1571</v>
      </c>
      <c r="P353" s="395">
        <v>1.88</v>
      </c>
      <c r="Q353" s="395">
        <v>-837</v>
      </c>
      <c r="R353" s="396">
        <v>5633</v>
      </c>
      <c r="S353" s="396">
        <v>-4184</v>
      </c>
      <c r="T353" s="396">
        <v>430013</v>
      </c>
      <c r="U353" s="396">
        <v>-260028</v>
      </c>
      <c r="V353" s="395">
        <v>5277.12</v>
      </c>
      <c r="W353" s="395">
        <v>4158.95</v>
      </c>
      <c r="X353" s="395">
        <v>77490</v>
      </c>
      <c r="Y353" s="395">
        <v>12742.59</v>
      </c>
      <c r="Z353" s="396">
        <v>-4521995</v>
      </c>
      <c r="AA353" s="396">
        <v>328060</v>
      </c>
      <c r="AB353" s="396">
        <v>10108875</v>
      </c>
      <c r="AC353" s="396">
        <v>10207916</v>
      </c>
    </row>
    <row r="354" spans="1:29">
      <c r="A354">
        <v>3130</v>
      </c>
      <c r="B354" s="395" t="s">
        <v>7322</v>
      </c>
      <c r="C354" s="395"/>
      <c r="D354" s="396">
        <v>327918</v>
      </c>
      <c r="E354" s="396">
        <v>339763</v>
      </c>
      <c r="F354" s="395">
        <v>28.68</v>
      </c>
      <c r="G354" s="396">
        <v>-11845</v>
      </c>
      <c r="H354" s="396">
        <v>55094</v>
      </c>
      <c r="I354" s="396">
        <v>4081977</v>
      </c>
      <c r="J354" s="395">
        <v>81</v>
      </c>
      <c r="K354" s="395">
        <v>76</v>
      </c>
      <c r="L354" s="397">
        <v>0.93830000000000002</v>
      </c>
      <c r="M354" s="395">
        <v>5</v>
      </c>
      <c r="N354" s="396">
        <v>4048</v>
      </c>
      <c r="O354" s="396">
        <v>4471</v>
      </c>
      <c r="P354" s="395">
        <v>1.89</v>
      </c>
      <c r="Q354" s="396">
        <v>-2369</v>
      </c>
      <c r="R354" s="396">
        <v>11290</v>
      </c>
      <c r="S354" s="396">
        <v>-3173</v>
      </c>
      <c r="T354" s="396">
        <v>345158</v>
      </c>
      <c r="U354" s="396">
        <v>-98661</v>
      </c>
      <c r="V354" s="395">
        <v>4511.42</v>
      </c>
      <c r="W354" s="395">
        <v>4685.25</v>
      </c>
      <c r="X354" s="395">
        <v>72360</v>
      </c>
      <c r="Y354" s="395">
        <v>1869.2</v>
      </c>
      <c r="Z354" s="396">
        <v>13203132</v>
      </c>
      <c r="AA354" s="396">
        <v>327918</v>
      </c>
      <c r="AB354" s="396">
        <v>14579742</v>
      </c>
      <c r="AC354" s="396">
        <v>10207916</v>
      </c>
    </row>
    <row r="355" spans="1:29">
      <c r="A355">
        <v>4540</v>
      </c>
      <c r="B355" s="395" t="s">
        <v>7640</v>
      </c>
      <c r="C355" s="395"/>
      <c r="D355" s="396">
        <v>327898</v>
      </c>
      <c r="E355" s="396">
        <v>468904</v>
      </c>
      <c r="F355" s="395">
        <v>3.33</v>
      </c>
      <c r="G355" s="396">
        <v>-141006</v>
      </c>
      <c r="H355" s="396">
        <v>54048</v>
      </c>
      <c r="I355" s="396">
        <v>4500003</v>
      </c>
      <c r="J355" s="395">
        <v>253</v>
      </c>
      <c r="K355" s="395">
        <v>203</v>
      </c>
      <c r="L355" s="397">
        <v>0.8024</v>
      </c>
      <c r="M355" s="395">
        <v>50</v>
      </c>
      <c r="N355" s="396">
        <v>1296</v>
      </c>
      <c r="O355" s="396">
        <v>2310</v>
      </c>
      <c r="P355" s="395">
        <v>0.82</v>
      </c>
      <c r="Q355" s="396">
        <v>-2820</v>
      </c>
      <c r="R355" s="396">
        <v>10498</v>
      </c>
      <c r="S355" s="396">
        <v>-13550</v>
      </c>
      <c r="T355" s="396">
        <v>469274</v>
      </c>
      <c r="U355" s="396">
        <v>-220074</v>
      </c>
      <c r="V355" s="395">
        <v>7039.48</v>
      </c>
      <c r="W355" s="395">
        <v>5427.84</v>
      </c>
      <c r="X355" s="395">
        <v>77490</v>
      </c>
      <c r="Y355" s="395">
        <v>13582.72</v>
      </c>
      <c r="Z355" s="396">
        <v>-9412017</v>
      </c>
      <c r="AA355" s="396">
        <v>327898</v>
      </c>
      <c r="AB355" s="396">
        <v>-8270685</v>
      </c>
      <c r="AC355" s="396">
        <v>10207916</v>
      </c>
    </row>
    <row r="356" spans="1:29">
      <c r="A356">
        <v>4142</v>
      </c>
      <c r="B356" s="395" t="s">
        <v>7577</v>
      </c>
      <c r="C356" s="395"/>
      <c r="D356" s="396">
        <v>327811</v>
      </c>
      <c r="E356" s="396">
        <v>456140</v>
      </c>
      <c r="F356" s="395">
        <v>3.55</v>
      </c>
      <c r="G356" s="396">
        <v>-128329</v>
      </c>
      <c r="H356" s="396">
        <v>52839</v>
      </c>
      <c r="I356" s="396">
        <v>1833092</v>
      </c>
      <c r="J356" s="395">
        <v>261</v>
      </c>
      <c r="K356" s="395">
        <v>195</v>
      </c>
      <c r="L356" s="397">
        <v>0.74709999999999999</v>
      </c>
      <c r="M356" s="395">
        <v>66</v>
      </c>
      <c r="N356" s="396">
        <v>1256</v>
      </c>
      <c r="O356" s="396">
        <v>2339</v>
      </c>
      <c r="P356" s="395">
        <v>1.2</v>
      </c>
      <c r="Q356" s="396">
        <v>-1944</v>
      </c>
      <c r="R356" s="396">
        <v>6083</v>
      </c>
      <c r="S356" s="396">
        <v>-7306</v>
      </c>
      <c r="T356" s="396">
        <v>451547</v>
      </c>
      <c r="U356" s="396">
        <v>-151083</v>
      </c>
      <c r="V356" s="395">
        <v>3048</v>
      </c>
      <c r="W356" s="395">
        <v>2372.19</v>
      </c>
      <c r="X356" s="395">
        <v>77490</v>
      </c>
      <c r="Y356" s="395">
        <v>5044.7</v>
      </c>
      <c r="Z356" s="396">
        <v>-20952822</v>
      </c>
      <c r="AA356" s="396">
        <v>327811</v>
      </c>
      <c r="AB356" s="396">
        <v>-15045832</v>
      </c>
      <c r="AC356" s="396">
        <v>10207916</v>
      </c>
    </row>
    <row r="357" spans="1:29">
      <c r="A357">
        <v>6192</v>
      </c>
      <c r="B357" s="395" t="s">
        <v>7981</v>
      </c>
      <c r="C357" s="395"/>
      <c r="D357" s="396">
        <v>326252</v>
      </c>
      <c r="E357" s="396">
        <v>429475</v>
      </c>
      <c r="F357" s="395">
        <v>4.16</v>
      </c>
      <c r="G357" s="396">
        <v>-103223</v>
      </c>
      <c r="H357" s="396">
        <v>68890</v>
      </c>
      <c r="I357" s="396">
        <v>4692633</v>
      </c>
      <c r="J357" s="395">
        <v>239</v>
      </c>
      <c r="K357" s="395">
        <v>188</v>
      </c>
      <c r="L357" s="397">
        <v>0.78659999999999997</v>
      </c>
      <c r="M357" s="395">
        <v>51</v>
      </c>
      <c r="N357" s="396">
        <v>1365</v>
      </c>
      <c r="O357" s="396">
        <v>2284</v>
      </c>
      <c r="P357" s="395">
        <v>1.1299999999999999</v>
      </c>
      <c r="Q357" s="396">
        <v>-2024</v>
      </c>
      <c r="R357" s="396">
        <v>7517</v>
      </c>
      <c r="S357" s="396">
        <v>-4294</v>
      </c>
      <c r="T357" s="396">
        <v>546092</v>
      </c>
      <c r="U357" s="396">
        <v>-239123</v>
      </c>
      <c r="V357" s="395">
        <v>6423</v>
      </c>
      <c r="W357" s="395">
        <v>5862.79</v>
      </c>
      <c r="X357" s="395">
        <v>77490</v>
      </c>
      <c r="Y357" s="395">
        <v>8488.08</v>
      </c>
      <c r="Z357" s="396">
        <v>672102</v>
      </c>
      <c r="AA357" s="396">
        <v>326252</v>
      </c>
      <c r="AB357" s="396">
        <v>4251054</v>
      </c>
      <c r="AC357" s="396">
        <v>10207916</v>
      </c>
    </row>
    <row r="358" spans="1:29">
      <c r="A358">
        <v>2540</v>
      </c>
      <c r="B358" s="395" t="s">
        <v>7129</v>
      </c>
      <c r="C358" s="395"/>
      <c r="D358" s="396">
        <v>325436</v>
      </c>
      <c r="E358" s="396">
        <v>406544</v>
      </c>
      <c r="F358" s="395">
        <v>5.01</v>
      </c>
      <c r="G358" s="396">
        <v>-81108</v>
      </c>
      <c r="H358" s="396">
        <v>62764</v>
      </c>
      <c r="I358" s="396">
        <v>3016412</v>
      </c>
      <c r="J358" s="395">
        <v>207</v>
      </c>
      <c r="K358" s="395">
        <v>166</v>
      </c>
      <c r="L358" s="397">
        <v>0.80189999999999995</v>
      </c>
      <c r="M358" s="395">
        <v>41</v>
      </c>
      <c r="N358" s="396">
        <v>1572</v>
      </c>
      <c r="O358" s="396">
        <v>2449</v>
      </c>
      <c r="P358" s="395">
        <v>1.24</v>
      </c>
      <c r="Q358" s="396">
        <v>-1978</v>
      </c>
      <c r="R358" s="396">
        <v>10814</v>
      </c>
      <c r="S358" s="396">
        <v>-7324</v>
      </c>
      <c r="T358" s="396">
        <v>383213</v>
      </c>
      <c r="U358" s="396">
        <v>-217684</v>
      </c>
      <c r="V358" s="395">
        <v>3921.72</v>
      </c>
      <c r="W358" s="395">
        <v>2988.19</v>
      </c>
      <c r="X358" s="395">
        <v>77220</v>
      </c>
      <c r="Y358" s="395">
        <v>7701.37</v>
      </c>
      <c r="Z358" s="396">
        <v>4420284</v>
      </c>
      <c r="AA358" s="396">
        <v>325436</v>
      </c>
      <c r="AB358" s="396">
        <v>24024257</v>
      </c>
      <c r="AC358" s="396">
        <v>10207916</v>
      </c>
    </row>
    <row r="359" spans="1:29">
      <c r="A359">
        <v>8210</v>
      </c>
      <c r="B359" s="395" t="s">
        <v>8294</v>
      </c>
      <c r="C359" s="395"/>
      <c r="D359" s="396">
        <v>324691</v>
      </c>
      <c r="E359" s="396">
        <v>521907</v>
      </c>
      <c r="F359" s="395">
        <v>2.65</v>
      </c>
      <c r="G359" s="396">
        <v>-197216</v>
      </c>
      <c r="H359" s="396">
        <v>79786</v>
      </c>
      <c r="I359" s="396">
        <v>9055516</v>
      </c>
      <c r="J359" s="395">
        <v>253</v>
      </c>
      <c r="K359" s="395">
        <v>206</v>
      </c>
      <c r="L359" s="397">
        <v>0.81420000000000003</v>
      </c>
      <c r="M359" s="395">
        <v>47</v>
      </c>
      <c r="N359" s="396">
        <v>1283</v>
      </c>
      <c r="O359" s="396">
        <v>2534</v>
      </c>
      <c r="P359" s="395">
        <v>0.6</v>
      </c>
      <c r="Q359" s="396">
        <v>-4196</v>
      </c>
      <c r="R359" s="396">
        <v>10334</v>
      </c>
      <c r="S359" s="396">
        <v>-16336</v>
      </c>
      <c r="T359" s="396">
        <v>896875</v>
      </c>
      <c r="U359" s="396">
        <v>-707751</v>
      </c>
      <c r="V359" s="395">
        <v>9725.67</v>
      </c>
      <c r="W359" s="395">
        <v>8630.64</v>
      </c>
      <c r="X359" s="395">
        <v>77490</v>
      </c>
      <c r="Y359" s="395">
        <v>14525.19</v>
      </c>
      <c r="Z359" s="396">
        <v>-9245283</v>
      </c>
      <c r="AA359" s="396">
        <v>324691</v>
      </c>
      <c r="AB359" s="396">
        <v>-1675208</v>
      </c>
      <c r="AC359" s="396">
        <v>10207916</v>
      </c>
    </row>
    <row r="360" spans="1:29">
      <c r="A360">
        <v>8054</v>
      </c>
      <c r="B360" s="395" t="s">
        <v>8245</v>
      </c>
      <c r="C360" s="395"/>
      <c r="D360" s="396">
        <v>323975</v>
      </c>
      <c r="E360" s="396">
        <v>536894</v>
      </c>
      <c r="F360" s="395">
        <v>2.52</v>
      </c>
      <c r="G360" s="396">
        <v>-212919</v>
      </c>
      <c r="H360" s="396">
        <v>53688</v>
      </c>
      <c r="I360" s="396">
        <v>2149440</v>
      </c>
      <c r="J360" s="395">
        <v>270</v>
      </c>
      <c r="K360" s="395">
        <v>205</v>
      </c>
      <c r="L360" s="397">
        <v>0.75929999999999997</v>
      </c>
      <c r="M360" s="395">
        <v>65</v>
      </c>
      <c r="N360" s="396">
        <v>1200</v>
      </c>
      <c r="O360" s="396">
        <v>2619</v>
      </c>
      <c r="P360" s="395">
        <v>0.8</v>
      </c>
      <c r="Q360" s="396">
        <v>-3276</v>
      </c>
      <c r="R360" s="396">
        <v>12087</v>
      </c>
      <c r="S360" s="396">
        <v>-22482</v>
      </c>
      <c r="T360" s="396">
        <v>629229</v>
      </c>
      <c r="U360" s="396">
        <v>-353170</v>
      </c>
      <c r="V360" s="395">
        <v>2164.96</v>
      </c>
      <c r="W360" s="395">
        <v>1097.8900000000001</v>
      </c>
      <c r="X360" s="395">
        <v>77490</v>
      </c>
      <c r="Y360" s="395">
        <v>5530.35</v>
      </c>
      <c r="Z360" s="396">
        <v>26001425</v>
      </c>
      <c r="AA360" s="396">
        <v>323975</v>
      </c>
      <c r="AB360" s="396">
        <v>86579278</v>
      </c>
      <c r="AC360" s="396">
        <v>10207916</v>
      </c>
    </row>
    <row r="361" spans="1:29">
      <c r="A361">
        <v>4764</v>
      </c>
      <c r="B361" s="395" t="s">
        <v>7694</v>
      </c>
      <c r="C361" s="395"/>
      <c r="D361" s="396">
        <v>322237</v>
      </c>
      <c r="E361" s="396">
        <v>440690</v>
      </c>
      <c r="F361" s="395">
        <v>3.72</v>
      </c>
      <c r="G361" s="396">
        <v>-118453</v>
      </c>
      <c r="H361" s="396">
        <v>43119</v>
      </c>
      <c r="I361" s="396">
        <v>6177155</v>
      </c>
      <c r="J361" s="395">
        <v>175</v>
      </c>
      <c r="K361" s="395">
        <v>108</v>
      </c>
      <c r="L361" s="397">
        <v>0.61709999999999998</v>
      </c>
      <c r="M361" s="395">
        <v>67</v>
      </c>
      <c r="N361" s="396">
        <v>1841</v>
      </c>
      <c r="O361" s="396">
        <v>4080</v>
      </c>
      <c r="P361" s="395">
        <v>2.31</v>
      </c>
      <c r="Q361" s="396">
        <v>-1768</v>
      </c>
      <c r="R361" s="396">
        <v>10442</v>
      </c>
      <c r="S361" s="396">
        <v>-4769</v>
      </c>
      <c r="T361" s="396">
        <v>948094</v>
      </c>
      <c r="U361" s="396">
        <v>-641568</v>
      </c>
      <c r="V361" s="395">
        <v>18144.22</v>
      </c>
      <c r="W361" s="395">
        <v>22038.28</v>
      </c>
      <c r="X361" s="395">
        <v>75870</v>
      </c>
      <c r="Y361" s="395">
        <v>11867.22</v>
      </c>
      <c r="Z361" s="396">
        <v>-4470027</v>
      </c>
      <c r="AA361" s="396">
        <v>322237</v>
      </c>
      <c r="AB361" s="396">
        <v>-2316534</v>
      </c>
      <c r="AC361" s="396">
        <v>10207916</v>
      </c>
    </row>
    <row r="362" spans="1:29">
      <c r="A362">
        <v>6727</v>
      </c>
      <c r="B362" s="395" t="s">
        <v>8196</v>
      </c>
      <c r="C362" s="395"/>
      <c r="D362" s="396">
        <v>321668</v>
      </c>
      <c r="E362" s="396">
        <v>473364</v>
      </c>
      <c r="F362" s="395">
        <v>3.12</v>
      </c>
      <c r="G362" s="396">
        <v>-151696</v>
      </c>
      <c r="H362" s="396">
        <v>50182</v>
      </c>
      <c r="I362" s="396">
        <v>2109790</v>
      </c>
      <c r="J362" s="395">
        <v>176</v>
      </c>
      <c r="K362" s="395">
        <v>153</v>
      </c>
      <c r="L362" s="397">
        <v>0.86929999999999996</v>
      </c>
      <c r="M362" s="395">
        <v>23</v>
      </c>
      <c r="N362" s="396">
        <v>1828</v>
      </c>
      <c r="O362" s="396">
        <v>3094</v>
      </c>
      <c r="P362" s="395">
        <v>0.47</v>
      </c>
      <c r="Q362" s="396">
        <v>-6595</v>
      </c>
      <c r="R362" s="396">
        <v>14387</v>
      </c>
      <c r="S362" s="396">
        <v>-41825</v>
      </c>
      <c r="T362" s="396">
        <v>442271</v>
      </c>
      <c r="U362" s="396">
        <v>-248713</v>
      </c>
      <c r="V362" s="395">
        <v>1752.8</v>
      </c>
      <c r="W362" s="395">
        <v>1390.14</v>
      </c>
      <c r="X362" s="395">
        <v>77490</v>
      </c>
      <c r="Y362" s="395">
        <v>4165.22</v>
      </c>
      <c r="Z362" s="396">
        <v>-483192</v>
      </c>
      <c r="AA362" s="396">
        <v>321668</v>
      </c>
      <c r="AB362" s="396">
        <v>16911894</v>
      </c>
      <c r="AC362" s="396">
        <v>10207916</v>
      </c>
    </row>
    <row r="363" spans="1:29">
      <c r="A363">
        <v>3541</v>
      </c>
      <c r="B363" s="395" t="s">
        <v>7468</v>
      </c>
      <c r="C363" s="395"/>
      <c r="D363" s="396">
        <v>320452</v>
      </c>
      <c r="E363" s="396">
        <v>457520</v>
      </c>
      <c r="F363" s="395">
        <v>3.34</v>
      </c>
      <c r="G363" s="396">
        <v>-137068</v>
      </c>
      <c r="H363" s="396">
        <v>52138</v>
      </c>
      <c r="I363" s="396">
        <v>2719575</v>
      </c>
      <c r="J363" s="395">
        <v>229</v>
      </c>
      <c r="K363" s="395">
        <v>183</v>
      </c>
      <c r="L363" s="397">
        <v>0.79910000000000003</v>
      </c>
      <c r="M363" s="395">
        <v>46</v>
      </c>
      <c r="N363" s="396">
        <v>1399</v>
      </c>
      <c r="O363" s="396">
        <v>2500</v>
      </c>
      <c r="P363" s="395">
        <v>0.84</v>
      </c>
      <c r="Q363" s="396">
        <v>-2980</v>
      </c>
      <c r="R363" s="396">
        <v>9313</v>
      </c>
      <c r="S363" s="396">
        <v>-7020</v>
      </c>
      <c r="T363" s="396">
        <v>669365</v>
      </c>
      <c r="U363" s="396">
        <v>-364733</v>
      </c>
      <c r="V363" s="395">
        <v>3889.74</v>
      </c>
      <c r="W363" s="395">
        <v>2562.38</v>
      </c>
      <c r="X363" s="395">
        <v>77490</v>
      </c>
      <c r="Y363" s="395">
        <v>9170.33</v>
      </c>
      <c r="Z363" s="396">
        <v>-10547185</v>
      </c>
      <c r="AA363" s="396">
        <v>320452</v>
      </c>
      <c r="AB363" s="396">
        <v>2611963</v>
      </c>
      <c r="AC363" s="396">
        <v>10207916</v>
      </c>
    </row>
    <row r="364" spans="1:29">
      <c r="A364">
        <v>1210</v>
      </c>
      <c r="B364" s="395" t="s">
        <v>6685</v>
      </c>
      <c r="C364" s="395"/>
      <c r="D364" s="396">
        <v>320267</v>
      </c>
      <c r="E364" s="396">
        <v>370977</v>
      </c>
      <c r="F364" s="395">
        <v>7.32</v>
      </c>
      <c r="G364" s="396">
        <v>-50711</v>
      </c>
      <c r="H364" s="396">
        <v>58709</v>
      </c>
      <c r="I364" s="396">
        <v>6224066</v>
      </c>
      <c r="J364" s="395">
        <v>266</v>
      </c>
      <c r="K364" s="395">
        <v>223</v>
      </c>
      <c r="L364" s="397">
        <v>0.83830000000000005</v>
      </c>
      <c r="M364" s="395">
        <v>43</v>
      </c>
      <c r="N364" s="396">
        <v>1204</v>
      </c>
      <c r="O364" s="396">
        <v>1664</v>
      </c>
      <c r="P364" s="395">
        <v>1.41</v>
      </c>
      <c r="Q364" s="396">
        <v>-1179</v>
      </c>
      <c r="R364" s="396">
        <v>5574</v>
      </c>
      <c r="S364" s="396">
        <v>-2615</v>
      </c>
      <c r="T364" s="396">
        <v>390920</v>
      </c>
      <c r="U364" s="396">
        <v>-208598</v>
      </c>
      <c r="V364" s="395">
        <v>9336.98</v>
      </c>
      <c r="W364" s="395">
        <v>8757.76</v>
      </c>
      <c r="X364" s="395">
        <v>77490</v>
      </c>
      <c r="Y364" s="395">
        <v>12340.86</v>
      </c>
      <c r="Z364" s="396">
        <v>-2179613</v>
      </c>
      <c r="AA364" s="396">
        <v>320267</v>
      </c>
      <c r="AB364" s="396">
        <v>5311315</v>
      </c>
      <c r="AC364" s="396">
        <v>10207916</v>
      </c>
    </row>
    <row r="365" spans="1:29">
      <c r="A365">
        <v>2881</v>
      </c>
      <c r="B365" s="395" t="s">
        <v>7211</v>
      </c>
      <c r="C365" s="395"/>
      <c r="D365" s="396">
        <v>320056</v>
      </c>
      <c r="E365" s="396">
        <v>468140</v>
      </c>
      <c r="F365" s="395">
        <v>3.16</v>
      </c>
      <c r="G365" s="396">
        <v>-148084</v>
      </c>
      <c r="H365" s="396">
        <v>79440</v>
      </c>
      <c r="I365" s="396">
        <v>2927342</v>
      </c>
      <c r="J365" s="395">
        <v>282</v>
      </c>
      <c r="K365" s="395">
        <v>233</v>
      </c>
      <c r="L365" s="397">
        <v>0.82620000000000005</v>
      </c>
      <c r="M365" s="395">
        <v>49</v>
      </c>
      <c r="N365" s="396">
        <v>1135</v>
      </c>
      <c r="O365" s="396">
        <v>2009</v>
      </c>
      <c r="P365" s="395">
        <v>0.66</v>
      </c>
      <c r="Q365" s="396">
        <v>-3022</v>
      </c>
      <c r="R365" s="396">
        <v>7539</v>
      </c>
      <c r="S365" s="396">
        <v>-8807</v>
      </c>
      <c r="T365" s="396">
        <v>474288</v>
      </c>
      <c r="U365" s="396">
        <v>-187808</v>
      </c>
      <c r="V365" s="395">
        <v>2685.66</v>
      </c>
      <c r="W365" s="395">
        <v>2134.41</v>
      </c>
      <c r="X365" s="395">
        <v>77490</v>
      </c>
      <c r="Y365" s="395">
        <v>5306.92</v>
      </c>
      <c r="Z365" s="396">
        <v>13717298</v>
      </c>
      <c r="AA365" s="396">
        <v>320056</v>
      </c>
      <c r="AB365" s="396">
        <v>39521081</v>
      </c>
      <c r="AC365" s="396">
        <v>10207916</v>
      </c>
    </row>
    <row r="366" spans="1:29">
      <c r="A366">
        <v>6768</v>
      </c>
      <c r="B366" s="395" t="s">
        <v>8211</v>
      </c>
      <c r="C366" s="395"/>
      <c r="D366" s="396">
        <v>319343</v>
      </c>
      <c r="E366" s="396">
        <v>408416</v>
      </c>
      <c r="F366" s="395">
        <v>4.59</v>
      </c>
      <c r="G366" s="396">
        <v>-89073</v>
      </c>
      <c r="H366" s="396">
        <v>46474</v>
      </c>
      <c r="I366" s="396">
        <v>4560358</v>
      </c>
      <c r="J366" s="395">
        <v>162</v>
      </c>
      <c r="K366" s="395">
        <v>124</v>
      </c>
      <c r="L366" s="397">
        <v>0.76539999999999997</v>
      </c>
      <c r="M366" s="395">
        <v>38</v>
      </c>
      <c r="N366" s="396">
        <v>1971</v>
      </c>
      <c r="O366" s="396">
        <v>3294</v>
      </c>
      <c r="P366" s="395">
        <v>1.41</v>
      </c>
      <c r="Q366" s="396">
        <v>-2344</v>
      </c>
      <c r="R366" s="396">
        <v>9325</v>
      </c>
      <c r="S366" s="396">
        <v>-18731</v>
      </c>
      <c r="T366" s="396">
        <v>501470</v>
      </c>
      <c r="U366" s="396">
        <v>-198930</v>
      </c>
      <c r="V366" s="395">
        <v>7806.86</v>
      </c>
      <c r="W366" s="395">
        <v>6341.72</v>
      </c>
      <c r="X366" s="395">
        <v>59130</v>
      </c>
      <c r="Y366" s="395">
        <v>12587.87</v>
      </c>
      <c r="Z366" s="396">
        <v>-12570137</v>
      </c>
      <c r="AA366" s="396">
        <v>319343</v>
      </c>
      <c r="AB366" s="396">
        <v>-11046688</v>
      </c>
      <c r="AC366" s="396">
        <v>10207916</v>
      </c>
    </row>
    <row r="367" spans="1:29">
      <c r="A367">
        <v>2712</v>
      </c>
      <c r="B367" s="395" t="s">
        <v>7169</v>
      </c>
      <c r="C367" s="395"/>
      <c r="D367" s="396">
        <v>318669</v>
      </c>
      <c r="E367" s="396">
        <v>384784</v>
      </c>
      <c r="F367" s="395">
        <v>5.82</v>
      </c>
      <c r="G367" s="396">
        <v>-66115</v>
      </c>
      <c r="H367" s="396">
        <v>23901</v>
      </c>
      <c r="I367" s="396">
        <v>2842553</v>
      </c>
      <c r="J367" s="395">
        <v>151</v>
      </c>
      <c r="K367" s="395">
        <v>127</v>
      </c>
      <c r="L367" s="397">
        <v>0.84109999999999996</v>
      </c>
      <c r="M367" s="395">
        <v>24</v>
      </c>
      <c r="N367" s="396">
        <v>2110</v>
      </c>
      <c r="O367" s="396">
        <v>3030</v>
      </c>
      <c r="P367" s="395">
        <v>1.1000000000000001</v>
      </c>
      <c r="Q367" s="396">
        <v>-2755</v>
      </c>
      <c r="R367" s="396">
        <v>13307</v>
      </c>
      <c r="S367" s="396">
        <v>-7136</v>
      </c>
      <c r="T367" s="396">
        <v>771121</v>
      </c>
      <c r="U367" s="396">
        <v>-452613</v>
      </c>
      <c r="V367" s="395">
        <v>14312.97</v>
      </c>
      <c r="W367" s="395">
        <v>12911.35</v>
      </c>
      <c r="X367" s="395">
        <v>76140</v>
      </c>
      <c r="Y367" s="395">
        <v>21729.88</v>
      </c>
      <c r="Z367" s="396">
        <v>-13369970</v>
      </c>
      <c r="AA367" s="396">
        <v>318669</v>
      </c>
      <c r="AB367" s="396">
        <v>-12253365</v>
      </c>
      <c r="AC367" s="396">
        <v>10207916</v>
      </c>
    </row>
    <row r="368" spans="1:29">
      <c r="A368">
        <v>5876</v>
      </c>
      <c r="B368" s="395" t="s">
        <v>7891</v>
      </c>
      <c r="C368" s="395"/>
      <c r="D368" s="396">
        <v>318561</v>
      </c>
      <c r="E368" s="396">
        <v>353221</v>
      </c>
      <c r="F368" s="395">
        <v>10.19</v>
      </c>
      <c r="G368" s="396">
        <v>-34660</v>
      </c>
      <c r="H368" s="396">
        <v>51086</v>
      </c>
      <c r="I368" s="396">
        <v>2938153</v>
      </c>
      <c r="J368" s="395">
        <v>286</v>
      </c>
      <c r="K368" s="395">
        <v>252</v>
      </c>
      <c r="L368" s="397">
        <v>0.88109999999999999</v>
      </c>
      <c r="M368" s="395">
        <v>34</v>
      </c>
      <c r="N368" s="396">
        <v>1114</v>
      </c>
      <c r="O368" s="396">
        <v>1402</v>
      </c>
      <c r="P368" s="395">
        <v>1.38</v>
      </c>
      <c r="Q368" s="396">
        <v>-1019</v>
      </c>
      <c r="R368" s="396">
        <v>4329</v>
      </c>
      <c r="S368" s="396">
        <v>-2891</v>
      </c>
      <c r="T368" s="396">
        <v>422666</v>
      </c>
      <c r="U368" s="396">
        <v>-184777</v>
      </c>
      <c r="V368" s="395">
        <v>4503.79</v>
      </c>
      <c r="W368" s="395">
        <v>4441.8599999999997</v>
      </c>
      <c r="X368" s="395">
        <v>77490</v>
      </c>
      <c r="Y368" s="395">
        <v>4962.79</v>
      </c>
      <c r="Z368" s="396">
        <v>13714189</v>
      </c>
      <c r="AA368" s="396">
        <v>318561</v>
      </c>
      <c r="AB368" s="396">
        <v>8126512</v>
      </c>
      <c r="AC368" s="396">
        <v>10207916</v>
      </c>
    </row>
    <row r="369" spans="1:29">
      <c r="A369">
        <v>9930</v>
      </c>
      <c r="B369" s="395" t="s">
        <v>8411</v>
      </c>
      <c r="C369" s="395"/>
      <c r="D369" s="396">
        <v>316787</v>
      </c>
      <c r="E369" s="396">
        <v>324070</v>
      </c>
      <c r="F369" s="395">
        <v>44.5</v>
      </c>
      <c r="G369" s="396">
        <v>-7283</v>
      </c>
      <c r="H369" s="396">
        <v>38556</v>
      </c>
      <c r="I369" s="396">
        <v>5322012</v>
      </c>
      <c r="J369" s="395">
        <v>205</v>
      </c>
      <c r="K369" s="395">
        <v>193</v>
      </c>
      <c r="L369" s="397">
        <v>0.9415</v>
      </c>
      <c r="M369" s="395">
        <v>12</v>
      </c>
      <c r="N369" s="396">
        <v>1545</v>
      </c>
      <c r="O369" s="396">
        <v>1679</v>
      </c>
      <c r="P369" s="395">
        <v>2.77</v>
      </c>
      <c r="Q369" s="395">
        <v>-607</v>
      </c>
      <c r="R369" s="396">
        <v>3486</v>
      </c>
      <c r="S369" s="396">
        <v>-2144</v>
      </c>
      <c r="T369" s="396">
        <v>350625</v>
      </c>
      <c r="U369" s="396">
        <v>-118897</v>
      </c>
      <c r="V369" s="395">
        <v>15849.1</v>
      </c>
      <c r="W369" s="395">
        <v>16565.25</v>
      </c>
      <c r="X369" s="395">
        <v>77490</v>
      </c>
      <c r="Y369" s="395">
        <v>4331.08</v>
      </c>
      <c r="Z369" s="396">
        <v>-1019998</v>
      </c>
      <c r="AA369" s="396">
        <v>316787</v>
      </c>
      <c r="AB369" s="396">
        <v>1664735</v>
      </c>
      <c r="AC369" s="396">
        <v>10207916</v>
      </c>
    </row>
    <row r="370" spans="1:29">
      <c r="A370">
        <v>5508</v>
      </c>
      <c r="B370" s="395" t="s">
        <v>7857</v>
      </c>
      <c r="C370" s="395"/>
      <c r="D370" s="396">
        <v>316567</v>
      </c>
      <c r="E370" s="396">
        <v>338095</v>
      </c>
      <c r="F370" s="395">
        <v>15.7</v>
      </c>
      <c r="G370" s="396">
        <v>-21528</v>
      </c>
      <c r="H370" s="396">
        <v>52455</v>
      </c>
      <c r="I370" s="396">
        <v>1192913</v>
      </c>
      <c r="J370" s="395">
        <v>233</v>
      </c>
      <c r="K370" s="395">
        <v>210</v>
      </c>
      <c r="L370" s="397">
        <v>0.90129999999999999</v>
      </c>
      <c r="M370" s="395">
        <v>23</v>
      </c>
      <c r="N370" s="396">
        <v>1359</v>
      </c>
      <c r="O370" s="396">
        <v>1610</v>
      </c>
      <c r="P370" s="395">
        <v>1.72</v>
      </c>
      <c r="Q370" s="395">
        <v>-936</v>
      </c>
      <c r="R370" s="396">
        <v>4712</v>
      </c>
      <c r="S370" s="396">
        <v>-2166</v>
      </c>
      <c r="T370" s="396">
        <v>348054</v>
      </c>
      <c r="U370" s="396">
        <v>-32062</v>
      </c>
      <c r="V370" s="395">
        <v>2002.3</v>
      </c>
      <c r="W370" s="395">
        <v>1754.39</v>
      </c>
      <c r="X370" s="395">
        <v>77490</v>
      </c>
      <c r="Y370" s="395">
        <v>4265.91</v>
      </c>
      <c r="Z370" s="396">
        <v>24597203</v>
      </c>
      <c r="AA370" s="396">
        <v>316567</v>
      </c>
      <c r="AB370" s="396">
        <v>44808856</v>
      </c>
      <c r="AC370" s="396">
        <v>10207916</v>
      </c>
    </row>
    <row r="371" spans="1:29">
      <c r="A371">
        <v>6728</v>
      </c>
      <c r="B371" s="395" t="s">
        <v>8197</v>
      </c>
      <c r="C371" s="395"/>
      <c r="D371" s="396">
        <v>316488</v>
      </c>
      <c r="E371" s="396">
        <v>339119</v>
      </c>
      <c r="F371" s="395">
        <v>14.98</v>
      </c>
      <c r="G371" s="396">
        <v>-22631</v>
      </c>
      <c r="H371" s="396">
        <v>38045</v>
      </c>
      <c r="I371" s="396">
        <v>927068</v>
      </c>
      <c r="J371" s="395">
        <v>112</v>
      </c>
      <c r="K371" s="395">
        <v>101</v>
      </c>
      <c r="L371" s="397">
        <v>0.90180000000000005</v>
      </c>
      <c r="M371" s="395">
        <v>11</v>
      </c>
      <c r="N371" s="396">
        <v>2826</v>
      </c>
      <c r="O371" s="396">
        <v>3358</v>
      </c>
      <c r="P371" s="395">
        <v>1.63</v>
      </c>
      <c r="Q371" s="396">
        <v>-2057</v>
      </c>
      <c r="R371" s="396">
        <v>13320</v>
      </c>
      <c r="S371" s="396">
        <v>-7025</v>
      </c>
      <c r="T371" s="396">
        <v>317816</v>
      </c>
      <c r="U371" s="396">
        <v>-54713</v>
      </c>
      <c r="V371" s="395">
        <v>1972.18</v>
      </c>
      <c r="W371" s="395">
        <v>1891.5</v>
      </c>
      <c r="X371" s="395">
        <v>76680</v>
      </c>
      <c r="Y371" s="395">
        <v>2713</v>
      </c>
      <c r="Z371" s="396">
        <v>40831821</v>
      </c>
      <c r="AA371" s="396">
        <v>316488</v>
      </c>
      <c r="AB371" s="396">
        <v>92221982</v>
      </c>
      <c r="AC371" s="396">
        <v>10207916</v>
      </c>
    </row>
    <row r="372" spans="1:29">
      <c r="A372">
        <v>2754</v>
      </c>
      <c r="B372" s="395" t="s">
        <v>7190</v>
      </c>
      <c r="C372" s="395"/>
      <c r="D372" s="396">
        <v>315722</v>
      </c>
      <c r="E372" s="396">
        <v>473981</v>
      </c>
      <c r="F372" s="395">
        <v>2.99</v>
      </c>
      <c r="G372" s="396">
        <v>-158259</v>
      </c>
      <c r="H372" s="396">
        <v>65895</v>
      </c>
      <c r="I372" s="396">
        <v>3947622</v>
      </c>
      <c r="J372" s="395">
        <v>222</v>
      </c>
      <c r="K372" s="395">
        <v>158</v>
      </c>
      <c r="L372" s="397">
        <v>0.7117</v>
      </c>
      <c r="M372" s="395">
        <v>64</v>
      </c>
      <c r="N372" s="396">
        <v>1422</v>
      </c>
      <c r="O372" s="396">
        <v>3000</v>
      </c>
      <c r="P372" s="395">
        <v>1.21</v>
      </c>
      <c r="Q372" s="396">
        <v>-2473</v>
      </c>
      <c r="R372" s="396">
        <v>11636</v>
      </c>
      <c r="S372" s="396">
        <v>-7302</v>
      </c>
      <c r="T372" s="396">
        <v>769103</v>
      </c>
      <c r="U372" s="396">
        <v>-510542</v>
      </c>
      <c r="V372" s="395">
        <v>6693.67</v>
      </c>
      <c r="W372" s="395">
        <v>4337.01</v>
      </c>
      <c r="X372" s="395">
        <v>77490</v>
      </c>
      <c r="Y372" s="395">
        <v>12511.67</v>
      </c>
      <c r="Z372" s="396">
        <v>-7724448</v>
      </c>
      <c r="AA372" s="396">
        <v>315722</v>
      </c>
      <c r="AB372" s="396">
        <v>1206030</v>
      </c>
      <c r="AC372" s="396">
        <v>10207916</v>
      </c>
    </row>
    <row r="373" spans="1:29">
      <c r="A373">
        <v>1785</v>
      </c>
      <c r="B373" s="395" t="s">
        <v>6883</v>
      </c>
      <c r="C373" s="395"/>
      <c r="D373" s="396">
        <v>315184</v>
      </c>
      <c r="E373" s="396">
        <v>403366</v>
      </c>
      <c r="F373" s="395">
        <v>4.57</v>
      </c>
      <c r="G373" s="396">
        <v>-88182</v>
      </c>
      <c r="H373" s="396">
        <v>52914</v>
      </c>
      <c r="I373" s="396">
        <v>1315409</v>
      </c>
      <c r="J373" s="395">
        <v>265</v>
      </c>
      <c r="K373" s="395">
        <v>214</v>
      </c>
      <c r="L373" s="397">
        <v>0.8075</v>
      </c>
      <c r="M373" s="395">
        <v>51</v>
      </c>
      <c r="N373" s="396">
        <v>1189</v>
      </c>
      <c r="O373" s="396">
        <v>1885</v>
      </c>
      <c r="P373" s="395">
        <v>1.0900000000000001</v>
      </c>
      <c r="Q373" s="396">
        <v>-1729</v>
      </c>
      <c r="R373" s="396">
        <v>7425</v>
      </c>
      <c r="S373" s="396">
        <v>-7906</v>
      </c>
      <c r="T373" s="396">
        <v>372349</v>
      </c>
      <c r="U373" s="396">
        <v>-103400</v>
      </c>
      <c r="V373" s="395">
        <v>1914.07</v>
      </c>
      <c r="W373" s="395">
        <v>1453.85</v>
      </c>
      <c r="X373" s="395">
        <v>77490</v>
      </c>
      <c r="Y373" s="395">
        <v>3845.18</v>
      </c>
      <c r="Z373" s="396">
        <v>1530276</v>
      </c>
      <c r="AA373" s="396">
        <v>315184</v>
      </c>
      <c r="AB373" s="396">
        <v>7784099</v>
      </c>
      <c r="AC373" s="396">
        <v>10207916</v>
      </c>
    </row>
    <row r="374" spans="1:29">
      <c r="A374">
        <v>3666</v>
      </c>
      <c r="B374" s="395" t="s">
        <v>7521</v>
      </c>
      <c r="C374" s="395"/>
      <c r="D374" s="396">
        <v>313271</v>
      </c>
      <c r="E374" s="396">
        <v>575478</v>
      </c>
      <c r="F374" s="395">
        <v>2.19</v>
      </c>
      <c r="G374" s="396">
        <v>-262207</v>
      </c>
      <c r="H374" s="396">
        <v>44474</v>
      </c>
      <c r="I374" s="396">
        <v>2336736</v>
      </c>
      <c r="J374" s="395">
        <v>256</v>
      </c>
      <c r="K374" s="395">
        <v>185</v>
      </c>
      <c r="L374" s="397">
        <v>0.72270000000000001</v>
      </c>
      <c r="M374" s="395">
        <v>71</v>
      </c>
      <c r="N374" s="396">
        <v>1224</v>
      </c>
      <c r="O374" s="396">
        <v>3111</v>
      </c>
      <c r="P374" s="395">
        <v>0.84</v>
      </c>
      <c r="Q374" s="396">
        <v>-3693</v>
      </c>
      <c r="R374" s="396">
        <v>11552</v>
      </c>
      <c r="S374" s="396">
        <v>-18507</v>
      </c>
      <c r="T374" s="396">
        <v>529590</v>
      </c>
      <c r="U374" s="396">
        <v>-408227</v>
      </c>
      <c r="V374" s="395">
        <v>4863.75</v>
      </c>
      <c r="W374" s="395">
        <v>3553.46</v>
      </c>
      <c r="X374" s="395">
        <v>77490</v>
      </c>
      <c r="Y374" s="395">
        <v>8277.89</v>
      </c>
      <c r="Z374" s="396">
        <v>-32157334</v>
      </c>
      <c r="AA374" s="396">
        <v>313271</v>
      </c>
      <c r="AB374" s="396">
        <v>-31531717</v>
      </c>
      <c r="AC374" s="396">
        <v>10207916</v>
      </c>
    </row>
    <row r="375" spans="1:29">
      <c r="A375">
        <v>8996</v>
      </c>
      <c r="B375" s="395" t="s">
        <v>8390</v>
      </c>
      <c r="C375" s="395"/>
      <c r="D375" s="396">
        <v>313101</v>
      </c>
      <c r="E375" s="396">
        <v>455602</v>
      </c>
      <c r="F375" s="395">
        <v>3.2</v>
      </c>
      <c r="G375" s="396">
        <v>-142501</v>
      </c>
      <c r="H375" s="396">
        <v>53999</v>
      </c>
      <c r="I375" s="396">
        <v>2380796</v>
      </c>
      <c r="J375" s="395">
        <v>258</v>
      </c>
      <c r="K375" s="395">
        <v>208</v>
      </c>
      <c r="L375" s="397">
        <v>0.80620000000000003</v>
      </c>
      <c r="M375" s="395">
        <v>50</v>
      </c>
      <c r="N375" s="396">
        <v>1214</v>
      </c>
      <c r="O375" s="396">
        <v>2190</v>
      </c>
      <c r="P375" s="395">
        <v>0.77</v>
      </c>
      <c r="Q375" s="396">
        <v>-2850</v>
      </c>
      <c r="R375" s="396">
        <v>8473</v>
      </c>
      <c r="S375" s="396">
        <v>-9613</v>
      </c>
      <c r="T375" s="396">
        <v>438173</v>
      </c>
      <c r="U375" s="396">
        <v>-205320</v>
      </c>
      <c r="V375" s="395">
        <v>4160.22</v>
      </c>
      <c r="W375" s="395">
        <v>2996.82</v>
      </c>
      <c r="X375" s="395">
        <v>77490</v>
      </c>
      <c r="Y375" s="395">
        <v>9000</v>
      </c>
      <c r="Z375" s="396">
        <v>-13497743</v>
      </c>
      <c r="AA375" s="396">
        <v>313101</v>
      </c>
      <c r="AB375" s="396">
        <v>9152801</v>
      </c>
      <c r="AC375" s="396">
        <v>10207916</v>
      </c>
    </row>
    <row r="376" spans="1:29">
      <c r="A376">
        <v>8183</v>
      </c>
      <c r="B376" s="395" t="s">
        <v>8292</v>
      </c>
      <c r="C376" s="395"/>
      <c r="D376" s="396">
        <v>312625</v>
      </c>
      <c r="E376" s="396">
        <v>462818</v>
      </c>
      <c r="F376" s="395">
        <v>3.08</v>
      </c>
      <c r="G376" s="396">
        <v>-150193</v>
      </c>
      <c r="H376" s="396">
        <v>48365</v>
      </c>
      <c r="I376" s="396">
        <v>1946228</v>
      </c>
      <c r="J376" s="395">
        <v>253</v>
      </c>
      <c r="K376" s="395">
        <v>197</v>
      </c>
      <c r="L376" s="397">
        <v>0.77869999999999995</v>
      </c>
      <c r="M376" s="395">
        <v>56</v>
      </c>
      <c r="N376" s="396">
        <v>1236</v>
      </c>
      <c r="O376" s="396">
        <v>2349</v>
      </c>
      <c r="P376" s="395">
        <v>0.88</v>
      </c>
      <c r="Q376" s="396">
        <v>-2682</v>
      </c>
      <c r="R376" s="396">
        <v>12139</v>
      </c>
      <c r="S376" s="396">
        <v>-9605</v>
      </c>
      <c r="T376" s="396">
        <v>605769</v>
      </c>
      <c r="U376" s="396">
        <v>-328147</v>
      </c>
      <c r="V376" s="395">
        <v>2557.4699999999998</v>
      </c>
      <c r="W376" s="395">
        <v>1527.92</v>
      </c>
      <c r="X376" s="395">
        <v>77490</v>
      </c>
      <c r="Y376" s="395">
        <v>6179.29</v>
      </c>
      <c r="Z376" s="396">
        <v>-1931081</v>
      </c>
      <c r="AA376" s="396">
        <v>312625</v>
      </c>
      <c r="AB376" s="396">
        <v>85981413</v>
      </c>
      <c r="AC376" s="396">
        <v>10207916</v>
      </c>
    </row>
    <row r="377" spans="1:29">
      <c r="A377">
        <v>9942</v>
      </c>
      <c r="B377" s="395" t="s">
        <v>8421</v>
      </c>
      <c r="C377" s="395"/>
      <c r="D377" s="396">
        <v>311483</v>
      </c>
      <c r="E377" s="396">
        <v>506643</v>
      </c>
      <c r="F377" s="395">
        <v>2.6</v>
      </c>
      <c r="G377" s="396">
        <v>-195160</v>
      </c>
      <c r="H377" s="396">
        <v>84443</v>
      </c>
      <c r="I377" s="396">
        <v>4020585</v>
      </c>
      <c r="J377" s="395">
        <v>232</v>
      </c>
      <c r="K377" s="395">
        <v>180</v>
      </c>
      <c r="L377" s="397">
        <v>0.77590000000000003</v>
      </c>
      <c r="M377" s="395">
        <v>52</v>
      </c>
      <c r="N377" s="396">
        <v>1343</v>
      </c>
      <c r="O377" s="396">
        <v>2815</v>
      </c>
      <c r="P377" s="395">
        <v>0.75</v>
      </c>
      <c r="Q377" s="396">
        <v>-3753</v>
      </c>
      <c r="R377" s="396">
        <v>12055</v>
      </c>
      <c r="S377" s="396">
        <v>-11292</v>
      </c>
      <c r="T377" s="396">
        <v>430815</v>
      </c>
      <c r="U377" s="396">
        <v>-165871</v>
      </c>
      <c r="V377" s="395">
        <v>3656.78</v>
      </c>
      <c r="W377" s="395">
        <v>2614.31</v>
      </c>
      <c r="X377" s="395">
        <v>77490</v>
      </c>
      <c r="Y377" s="395">
        <v>7265.37</v>
      </c>
      <c r="Z377" s="396">
        <v>-8323453</v>
      </c>
      <c r="AA377" s="396">
        <v>311483</v>
      </c>
      <c r="AB377" s="396">
        <v>17578945</v>
      </c>
      <c r="AC377" s="396">
        <v>10207916</v>
      </c>
    </row>
    <row r="378" spans="1:29">
      <c r="A378">
        <v>2478</v>
      </c>
      <c r="B378" s="395" t="s">
        <v>7092</v>
      </c>
      <c r="C378" s="395"/>
      <c r="D378" s="396">
        <v>311424</v>
      </c>
      <c r="E378" s="396">
        <v>587135</v>
      </c>
      <c r="F378" s="395">
        <v>2.13</v>
      </c>
      <c r="G378" s="396">
        <v>-275711</v>
      </c>
      <c r="H378" s="396">
        <v>69366</v>
      </c>
      <c r="I378" s="396">
        <v>6433687</v>
      </c>
      <c r="J378" s="395">
        <v>243</v>
      </c>
      <c r="K378" s="395">
        <v>156</v>
      </c>
      <c r="L378" s="397">
        <v>0.64200000000000002</v>
      </c>
      <c r="M378" s="395">
        <v>87</v>
      </c>
      <c r="N378" s="396">
        <v>1282</v>
      </c>
      <c r="O378" s="396">
        <v>3764</v>
      </c>
      <c r="P378" s="395">
        <v>1.19</v>
      </c>
      <c r="Q378" s="396">
        <v>-3169</v>
      </c>
      <c r="R378" s="396">
        <v>15824</v>
      </c>
      <c r="S378" s="396">
        <v>-10929</v>
      </c>
      <c r="T378" s="396">
        <v>1231454</v>
      </c>
      <c r="U378" s="396">
        <v>-917364</v>
      </c>
      <c r="V378" s="395">
        <v>7854.14</v>
      </c>
      <c r="W378" s="395">
        <v>5030.1400000000003</v>
      </c>
      <c r="X378" s="395">
        <v>77490</v>
      </c>
      <c r="Y378" s="395">
        <v>12917.87</v>
      </c>
      <c r="Z378" s="396">
        <v>-16916519</v>
      </c>
      <c r="AA378" s="396">
        <v>311424</v>
      </c>
      <c r="AB378" s="396">
        <v>-13983277</v>
      </c>
      <c r="AC378" s="396">
        <v>10207916</v>
      </c>
    </row>
    <row r="379" spans="1:29">
      <c r="A379">
        <v>2211</v>
      </c>
      <c r="B379" s="395" t="s">
        <v>6958</v>
      </c>
      <c r="C379" s="395"/>
      <c r="D379" s="396">
        <v>311241</v>
      </c>
      <c r="E379" s="396">
        <v>442594</v>
      </c>
      <c r="F379" s="395">
        <v>3.37</v>
      </c>
      <c r="G379" s="396">
        <v>-131353</v>
      </c>
      <c r="H379" s="396">
        <v>42182</v>
      </c>
      <c r="I379" s="396">
        <v>4506458</v>
      </c>
      <c r="J379" s="395">
        <v>188</v>
      </c>
      <c r="K379" s="395">
        <v>155</v>
      </c>
      <c r="L379" s="397">
        <v>0.82450000000000001</v>
      </c>
      <c r="M379" s="395">
        <v>33</v>
      </c>
      <c r="N379" s="396">
        <v>1656</v>
      </c>
      <c r="O379" s="396">
        <v>2855</v>
      </c>
      <c r="P379" s="395">
        <v>0.72</v>
      </c>
      <c r="Q379" s="396">
        <v>-3980</v>
      </c>
      <c r="R379" s="396">
        <v>8662</v>
      </c>
      <c r="S379" s="396">
        <v>-14217</v>
      </c>
      <c r="T379" s="396">
        <v>635901</v>
      </c>
      <c r="U379" s="396">
        <v>-371839</v>
      </c>
      <c r="V379" s="395">
        <v>6759.72</v>
      </c>
      <c r="W379" s="395">
        <v>5371.47</v>
      </c>
      <c r="X379" s="395">
        <v>61290</v>
      </c>
      <c r="Y379" s="395">
        <v>13280.27</v>
      </c>
      <c r="Z379" s="396">
        <v>-7415958</v>
      </c>
      <c r="AA379" s="396">
        <v>311241</v>
      </c>
      <c r="AB379" s="396">
        <v>-8621374</v>
      </c>
      <c r="AC379" s="396">
        <v>10207916</v>
      </c>
    </row>
    <row r="380" spans="1:29">
      <c r="A380">
        <v>4133</v>
      </c>
      <c r="B380" s="395" t="s">
        <v>7572</v>
      </c>
      <c r="C380" s="395"/>
      <c r="D380" s="396">
        <v>310200</v>
      </c>
      <c r="E380" s="396">
        <v>491755</v>
      </c>
      <c r="F380" s="395">
        <v>2.71</v>
      </c>
      <c r="G380" s="396">
        <v>-181555</v>
      </c>
      <c r="H380" s="396">
        <v>51580</v>
      </c>
      <c r="I380" s="396">
        <v>1598620</v>
      </c>
      <c r="J380" s="395">
        <v>254</v>
      </c>
      <c r="K380" s="395">
        <v>197</v>
      </c>
      <c r="L380" s="397">
        <v>0.77559999999999996</v>
      </c>
      <c r="M380" s="395">
        <v>57</v>
      </c>
      <c r="N380" s="396">
        <v>1221</v>
      </c>
      <c r="O380" s="396">
        <v>2496</v>
      </c>
      <c r="P380" s="395">
        <v>0.78</v>
      </c>
      <c r="Q380" s="396">
        <v>-3185</v>
      </c>
      <c r="R380" s="396">
        <v>8734</v>
      </c>
      <c r="S380" s="396">
        <v>-13489</v>
      </c>
      <c r="T380" s="396">
        <v>391146</v>
      </c>
      <c r="U380" s="396">
        <v>-173949</v>
      </c>
      <c r="V380" s="395">
        <v>2876.57</v>
      </c>
      <c r="W380" s="395">
        <v>2176.9699999999998</v>
      </c>
      <c r="X380" s="395">
        <v>77490</v>
      </c>
      <c r="Y380" s="395">
        <v>5294.47</v>
      </c>
      <c r="Z380" s="396">
        <v>-28388033</v>
      </c>
      <c r="AA380" s="396">
        <v>310200</v>
      </c>
      <c r="AB380" s="396">
        <v>-17511430</v>
      </c>
      <c r="AC380" s="396">
        <v>10207916</v>
      </c>
    </row>
    <row r="381" spans="1:29">
      <c r="A381">
        <v>1599</v>
      </c>
      <c r="B381" s="395" t="s">
        <v>6832</v>
      </c>
      <c r="C381" s="395"/>
      <c r="D381" s="396">
        <v>308831</v>
      </c>
      <c r="E381" s="396">
        <v>350744</v>
      </c>
      <c r="F381" s="395">
        <v>8.3699999999999992</v>
      </c>
      <c r="G381" s="396">
        <v>-41913</v>
      </c>
      <c r="H381" s="396">
        <v>43270</v>
      </c>
      <c r="I381" s="396">
        <v>2337024</v>
      </c>
      <c r="J381" s="395">
        <v>247</v>
      </c>
      <c r="K381" s="395">
        <v>219</v>
      </c>
      <c r="L381" s="397">
        <v>0.88660000000000005</v>
      </c>
      <c r="M381" s="395">
        <v>28</v>
      </c>
      <c r="N381" s="396">
        <v>1250</v>
      </c>
      <c r="O381" s="396">
        <v>1602</v>
      </c>
      <c r="P381" s="395">
        <v>1.07</v>
      </c>
      <c r="Q381" s="396">
        <v>-1497</v>
      </c>
      <c r="R381" s="396">
        <v>5241</v>
      </c>
      <c r="S381" s="396">
        <v>-9687</v>
      </c>
      <c r="T381" s="396">
        <v>346637</v>
      </c>
      <c r="U381" s="396">
        <v>-113967</v>
      </c>
      <c r="V381" s="395">
        <v>4771.66</v>
      </c>
      <c r="W381" s="395">
        <v>4780.53</v>
      </c>
      <c r="X381" s="395">
        <v>77490</v>
      </c>
      <c r="Y381" s="395">
        <v>4702.29</v>
      </c>
      <c r="Z381" s="396">
        <v>3714220</v>
      </c>
      <c r="AA381" s="396">
        <v>308831</v>
      </c>
      <c r="AB381" s="396">
        <v>24078982</v>
      </c>
      <c r="AC381" s="396">
        <v>10207916</v>
      </c>
    </row>
    <row r="382" spans="1:29">
      <c r="A382">
        <v>1229</v>
      </c>
      <c r="B382" s="395" t="s">
        <v>6695</v>
      </c>
      <c r="C382" s="395"/>
      <c r="D382" s="396">
        <v>308264</v>
      </c>
      <c r="E382" s="396">
        <v>338693</v>
      </c>
      <c r="F382" s="395">
        <v>11.13</v>
      </c>
      <c r="G382" s="396">
        <v>-30429</v>
      </c>
      <c r="H382" s="396">
        <v>59311</v>
      </c>
      <c r="I382" s="396">
        <v>1861232</v>
      </c>
      <c r="J382" s="395">
        <v>278</v>
      </c>
      <c r="K382" s="395">
        <v>258</v>
      </c>
      <c r="L382" s="397">
        <v>0.92810000000000004</v>
      </c>
      <c r="M382" s="395">
        <v>20</v>
      </c>
      <c r="N382" s="396">
        <v>1109</v>
      </c>
      <c r="O382" s="396">
        <v>1313</v>
      </c>
      <c r="P382" s="395">
        <v>0.86</v>
      </c>
      <c r="Q382" s="396">
        <v>-1521</v>
      </c>
      <c r="R382" s="396">
        <v>6344</v>
      </c>
      <c r="S382" s="396">
        <v>-7270</v>
      </c>
      <c r="T382" s="396">
        <v>354922</v>
      </c>
      <c r="U382" s="396">
        <v>-60562</v>
      </c>
      <c r="V382" s="395">
        <v>3147.02</v>
      </c>
      <c r="W382" s="395">
        <v>3015.15</v>
      </c>
      <c r="X382" s="395">
        <v>77490</v>
      </c>
      <c r="Y382" s="395">
        <v>4848.1000000000004</v>
      </c>
      <c r="Z382" s="396">
        <v>17391561</v>
      </c>
      <c r="AA382" s="396">
        <v>308264</v>
      </c>
      <c r="AB382" s="396">
        <v>35234291</v>
      </c>
      <c r="AC382" s="396">
        <v>10207916</v>
      </c>
    </row>
    <row r="383" spans="1:29">
      <c r="A383">
        <v>3176</v>
      </c>
      <c r="B383" s="395" t="s">
        <v>7335</v>
      </c>
      <c r="C383" s="395"/>
      <c r="D383" s="396">
        <v>307108</v>
      </c>
      <c r="E383" s="396">
        <v>400341</v>
      </c>
      <c r="F383" s="395">
        <v>4.29</v>
      </c>
      <c r="G383" s="396">
        <v>-93233</v>
      </c>
      <c r="H383" s="396">
        <v>45842</v>
      </c>
      <c r="I383" s="396">
        <v>2067643</v>
      </c>
      <c r="J383" s="395">
        <v>188</v>
      </c>
      <c r="K383" s="395">
        <v>139</v>
      </c>
      <c r="L383" s="397">
        <v>0.73939999999999995</v>
      </c>
      <c r="M383" s="395">
        <v>49</v>
      </c>
      <c r="N383" s="396">
        <v>1634</v>
      </c>
      <c r="O383" s="396">
        <v>2880</v>
      </c>
      <c r="P383" s="395">
        <v>1.51</v>
      </c>
      <c r="Q383" s="396">
        <v>-1903</v>
      </c>
      <c r="R383" s="396">
        <v>9036</v>
      </c>
      <c r="S383" s="396">
        <v>-7791</v>
      </c>
      <c r="T383" s="396">
        <v>407714</v>
      </c>
      <c r="U383" s="396">
        <v>-293485</v>
      </c>
      <c r="V383" s="395">
        <v>2646.89</v>
      </c>
      <c r="W383" s="395">
        <v>1562.41</v>
      </c>
      <c r="X383" s="395">
        <v>77490</v>
      </c>
      <c r="Y383" s="395">
        <v>5723.27</v>
      </c>
      <c r="Z383" s="396">
        <v>-22120602</v>
      </c>
      <c r="AA383" s="396">
        <v>307108</v>
      </c>
      <c r="AB383" s="396">
        <v>-8432998</v>
      </c>
      <c r="AC383" s="396">
        <v>10207916</v>
      </c>
    </row>
    <row r="384" spans="1:29">
      <c r="A384">
        <v>3004</v>
      </c>
      <c r="B384" s="395" t="s">
        <v>7247</v>
      </c>
      <c r="C384" s="395"/>
      <c r="D384" s="396">
        <v>306347</v>
      </c>
      <c r="E384" s="396">
        <v>458822</v>
      </c>
      <c r="F384" s="395">
        <v>3.01</v>
      </c>
      <c r="G384" s="396">
        <v>-152475</v>
      </c>
      <c r="H384" s="396">
        <v>55253</v>
      </c>
      <c r="I384" s="396">
        <v>5147738</v>
      </c>
      <c r="J384" s="395">
        <v>232</v>
      </c>
      <c r="K384" s="395">
        <v>172</v>
      </c>
      <c r="L384" s="397">
        <v>0.74139999999999995</v>
      </c>
      <c r="M384" s="395">
        <v>60</v>
      </c>
      <c r="N384" s="396">
        <v>1320</v>
      </c>
      <c r="O384" s="396">
        <v>2668</v>
      </c>
      <c r="P384" s="395">
        <v>1.05</v>
      </c>
      <c r="Q384" s="396">
        <v>-2541</v>
      </c>
      <c r="R384" s="396">
        <v>9993</v>
      </c>
      <c r="S384" s="396">
        <v>-6539</v>
      </c>
      <c r="T384" s="396">
        <v>635600</v>
      </c>
      <c r="U384" s="396">
        <v>-399486</v>
      </c>
      <c r="V384" s="395">
        <v>7374.18</v>
      </c>
      <c r="W384" s="395">
        <v>5218.26</v>
      </c>
      <c r="X384" s="395">
        <v>77490</v>
      </c>
      <c r="Y384" s="395">
        <v>13554.48</v>
      </c>
      <c r="Z384" s="396">
        <v>-10971466</v>
      </c>
      <c r="AA384" s="396">
        <v>306347</v>
      </c>
      <c r="AB384" s="396">
        <v>186472</v>
      </c>
      <c r="AC384" s="396">
        <v>10207916</v>
      </c>
    </row>
    <row r="385" spans="1:29">
      <c r="A385">
        <v>1626</v>
      </c>
      <c r="B385" s="395" t="s">
        <v>6845</v>
      </c>
      <c r="C385" s="395"/>
      <c r="D385" s="396">
        <v>306114</v>
      </c>
      <c r="E385" s="396">
        <v>363537</v>
      </c>
      <c r="F385" s="395">
        <v>6.33</v>
      </c>
      <c r="G385" s="396">
        <v>-57423</v>
      </c>
      <c r="H385" s="396">
        <v>23696</v>
      </c>
      <c r="I385" s="396">
        <v>2479677</v>
      </c>
      <c r="J385" s="395">
        <v>243</v>
      </c>
      <c r="K385" s="395">
        <v>185</v>
      </c>
      <c r="L385" s="397">
        <v>0.76129999999999998</v>
      </c>
      <c r="M385" s="395">
        <v>57</v>
      </c>
      <c r="N385" s="396">
        <v>1260</v>
      </c>
      <c r="O385" s="396">
        <v>1965</v>
      </c>
      <c r="P385" s="395">
        <v>1.95</v>
      </c>
      <c r="Q385" s="396">
        <v>-1007</v>
      </c>
      <c r="R385" s="396">
        <v>5413</v>
      </c>
      <c r="S385" s="396">
        <v>-3308</v>
      </c>
      <c r="T385" s="396">
        <v>626866</v>
      </c>
      <c r="U385" s="396">
        <v>-355793</v>
      </c>
      <c r="V385" s="395">
        <v>9297.51</v>
      </c>
      <c r="W385" s="395">
        <v>7540.88</v>
      </c>
      <c r="X385" s="395">
        <v>77490</v>
      </c>
      <c r="Y385" s="395">
        <v>15144.49</v>
      </c>
      <c r="Z385" s="396">
        <v>-3401354</v>
      </c>
      <c r="AA385" s="396">
        <v>306114</v>
      </c>
      <c r="AB385" s="396">
        <v>-3243813</v>
      </c>
      <c r="AC385" s="396">
        <v>10207916</v>
      </c>
    </row>
    <row r="386" spans="1:29">
      <c r="A386">
        <v>2392</v>
      </c>
      <c r="B386" s="395" t="s">
        <v>7031</v>
      </c>
      <c r="C386" s="395"/>
      <c r="D386" s="396">
        <v>306057</v>
      </c>
      <c r="E386" s="396">
        <v>400906</v>
      </c>
      <c r="F386" s="395">
        <v>4.2300000000000004</v>
      </c>
      <c r="G386" s="396">
        <v>-94849</v>
      </c>
      <c r="H386" s="396">
        <v>43769</v>
      </c>
      <c r="I386" s="396">
        <v>3129409</v>
      </c>
      <c r="J386" s="395">
        <v>258</v>
      </c>
      <c r="K386" s="395">
        <v>178</v>
      </c>
      <c r="L386" s="397">
        <v>0.68989999999999996</v>
      </c>
      <c r="M386" s="395">
        <v>80</v>
      </c>
      <c r="N386" s="396">
        <v>1186</v>
      </c>
      <c r="O386" s="396">
        <v>2252</v>
      </c>
      <c r="P386" s="395">
        <v>1.9</v>
      </c>
      <c r="Q386" s="396">
        <v>-1186</v>
      </c>
      <c r="R386" s="396">
        <v>9233</v>
      </c>
      <c r="S386" s="396">
        <v>-4520</v>
      </c>
      <c r="T386" s="396">
        <v>603298</v>
      </c>
      <c r="U386" s="396">
        <v>-320798</v>
      </c>
      <c r="V386" s="395">
        <v>7986.77</v>
      </c>
      <c r="W386" s="395">
        <v>5847.52</v>
      </c>
      <c r="X386" s="395">
        <v>77490</v>
      </c>
      <c r="Y386" s="395">
        <v>12746.6</v>
      </c>
      <c r="Z386" s="396">
        <v>-12056837</v>
      </c>
      <c r="AA386" s="396">
        <v>306057</v>
      </c>
      <c r="AB386" s="396">
        <v>-8086483</v>
      </c>
      <c r="AC386" s="396">
        <v>10207916</v>
      </c>
    </row>
    <row r="387" spans="1:29">
      <c r="A387">
        <v>6417</v>
      </c>
      <c r="B387" s="395" t="s">
        <v>8070</v>
      </c>
      <c r="C387" s="395"/>
      <c r="D387" s="396">
        <v>305236</v>
      </c>
      <c r="E387" s="396">
        <v>375588</v>
      </c>
      <c r="F387" s="395">
        <v>5.34</v>
      </c>
      <c r="G387" s="396">
        <v>-70353</v>
      </c>
      <c r="H387" s="396">
        <v>38342</v>
      </c>
      <c r="I387" s="396">
        <v>6844700</v>
      </c>
      <c r="J387" s="395">
        <v>128</v>
      </c>
      <c r="K387" s="395">
        <v>84</v>
      </c>
      <c r="L387" s="397">
        <v>0.65629999999999999</v>
      </c>
      <c r="M387" s="395">
        <v>44</v>
      </c>
      <c r="N387" s="396">
        <v>2385</v>
      </c>
      <c r="O387" s="396">
        <v>4471</v>
      </c>
      <c r="P387" s="395">
        <v>2.8</v>
      </c>
      <c r="Q387" s="396">
        <v>-1599</v>
      </c>
      <c r="R387" s="396">
        <v>17337</v>
      </c>
      <c r="S387" s="396">
        <v>-3622</v>
      </c>
      <c r="T387" s="396">
        <v>1508533</v>
      </c>
      <c r="U387" s="396">
        <v>-1190451</v>
      </c>
      <c r="V387" s="395">
        <v>18254.2</v>
      </c>
      <c r="W387" s="395">
        <v>18384.98</v>
      </c>
      <c r="X387" s="395">
        <v>68850</v>
      </c>
      <c r="Y387" s="395">
        <v>18004.52</v>
      </c>
      <c r="Z387" s="396">
        <v>3227386</v>
      </c>
      <c r="AA387" s="396">
        <v>305236</v>
      </c>
      <c r="AB387" s="396">
        <v>6973450</v>
      </c>
      <c r="AC387" s="396">
        <v>10207916</v>
      </c>
    </row>
    <row r="388" spans="1:29">
      <c r="A388">
        <v>6776</v>
      </c>
      <c r="B388" s="395" t="s">
        <v>8213</v>
      </c>
      <c r="C388" s="395"/>
      <c r="D388" s="396">
        <v>304402</v>
      </c>
      <c r="E388" s="396">
        <v>355693</v>
      </c>
      <c r="F388" s="395">
        <v>6.93</v>
      </c>
      <c r="G388" s="396">
        <v>-51291</v>
      </c>
      <c r="H388" s="396">
        <v>27504</v>
      </c>
      <c r="I388" s="396">
        <v>2669048</v>
      </c>
      <c r="J388" s="395">
        <v>157</v>
      </c>
      <c r="K388" s="395">
        <v>119</v>
      </c>
      <c r="L388" s="397">
        <v>0.75800000000000001</v>
      </c>
      <c r="M388" s="395">
        <v>38</v>
      </c>
      <c r="N388" s="396">
        <v>1939</v>
      </c>
      <c r="O388" s="396">
        <v>2989</v>
      </c>
      <c r="P388" s="395">
        <v>2.21</v>
      </c>
      <c r="Q388" s="396">
        <v>-1350</v>
      </c>
      <c r="R388" s="396">
        <v>11536</v>
      </c>
      <c r="S388" s="396">
        <v>-3320</v>
      </c>
      <c r="T388" s="396">
        <v>458505</v>
      </c>
      <c r="U388" s="396">
        <v>-196060</v>
      </c>
      <c r="V388" s="395">
        <v>9075.7999999999993</v>
      </c>
      <c r="W388" s="395">
        <v>9405.5</v>
      </c>
      <c r="X388" s="395">
        <v>62910</v>
      </c>
      <c r="Y388" s="395">
        <v>8043.32</v>
      </c>
      <c r="Z388" s="396">
        <v>-3975198</v>
      </c>
      <c r="AA388" s="396">
        <v>304402</v>
      </c>
      <c r="AB388" s="396">
        <v>-6872117</v>
      </c>
      <c r="AC388" s="396">
        <v>10207916</v>
      </c>
    </row>
    <row r="389" spans="1:29">
      <c r="A389">
        <v>4147</v>
      </c>
      <c r="B389" s="395" t="s">
        <v>7578</v>
      </c>
      <c r="C389" s="395"/>
      <c r="D389" s="396">
        <v>304256</v>
      </c>
      <c r="E389" s="396">
        <v>500508</v>
      </c>
      <c r="F389" s="395">
        <v>2.5499999999999998</v>
      </c>
      <c r="G389" s="396">
        <v>-196252</v>
      </c>
      <c r="H389" s="396">
        <v>60244</v>
      </c>
      <c r="I389" s="396">
        <v>3263605</v>
      </c>
      <c r="J389" s="395">
        <v>211</v>
      </c>
      <c r="K389" s="395">
        <v>153</v>
      </c>
      <c r="L389" s="397">
        <v>0.72509999999999997</v>
      </c>
      <c r="M389" s="395">
        <v>58</v>
      </c>
      <c r="N389" s="396">
        <v>1442</v>
      </c>
      <c r="O389" s="396">
        <v>3271</v>
      </c>
      <c r="P389" s="395">
        <v>0.97</v>
      </c>
      <c r="Q389" s="396">
        <v>-3384</v>
      </c>
      <c r="R389" s="396">
        <v>14326</v>
      </c>
      <c r="S389" s="396">
        <v>-11609</v>
      </c>
      <c r="T389" s="396">
        <v>843302</v>
      </c>
      <c r="U389" s="396">
        <v>-529102</v>
      </c>
      <c r="V389" s="395">
        <v>4388.2700000000004</v>
      </c>
      <c r="W389" s="395">
        <v>2896.5</v>
      </c>
      <c r="X389" s="395">
        <v>77490</v>
      </c>
      <c r="Y389" s="395">
        <v>8323.4500000000007</v>
      </c>
      <c r="Z389" s="396">
        <v>-21781336</v>
      </c>
      <c r="AA389" s="396">
        <v>304256</v>
      </c>
      <c r="AB389" s="396">
        <v>-13134958</v>
      </c>
      <c r="AC389" s="396">
        <v>10207916</v>
      </c>
    </row>
    <row r="390" spans="1:29">
      <c r="A390">
        <v>8442</v>
      </c>
      <c r="B390" s="395" t="s">
        <v>8344</v>
      </c>
      <c r="C390" s="395"/>
      <c r="D390" s="396">
        <v>304160</v>
      </c>
      <c r="E390" s="396">
        <v>368830</v>
      </c>
      <c r="F390" s="395">
        <v>5.7</v>
      </c>
      <c r="G390" s="396">
        <v>-64670</v>
      </c>
      <c r="H390" s="396">
        <v>30190</v>
      </c>
      <c r="I390" s="396">
        <v>2598600</v>
      </c>
      <c r="J390" s="395">
        <v>175</v>
      </c>
      <c r="K390" s="395">
        <v>140</v>
      </c>
      <c r="L390" s="397">
        <v>0.8</v>
      </c>
      <c r="M390" s="395">
        <v>35</v>
      </c>
      <c r="N390" s="396">
        <v>1738</v>
      </c>
      <c r="O390" s="396">
        <v>2635</v>
      </c>
      <c r="P390" s="395">
        <v>1.43</v>
      </c>
      <c r="Q390" s="396">
        <v>-1848</v>
      </c>
      <c r="R390" s="396">
        <v>7882</v>
      </c>
      <c r="S390" s="396">
        <v>-4907</v>
      </c>
      <c r="T390" s="396">
        <v>564685</v>
      </c>
      <c r="U390" s="396">
        <v>-244802</v>
      </c>
      <c r="V390" s="395">
        <v>9812.99</v>
      </c>
      <c r="W390" s="395">
        <v>8462.09</v>
      </c>
      <c r="X390" s="395">
        <v>77490</v>
      </c>
      <c r="Y390" s="395">
        <v>15216.6</v>
      </c>
      <c r="Z390" s="396">
        <v>343469</v>
      </c>
      <c r="AA390" s="396">
        <v>304160</v>
      </c>
      <c r="AB390" s="396">
        <v>2454255</v>
      </c>
      <c r="AC390" s="396">
        <v>10207916</v>
      </c>
    </row>
    <row r="391" spans="1:29">
      <c r="A391">
        <v>2498</v>
      </c>
      <c r="B391" s="395" t="s">
        <v>7108</v>
      </c>
      <c r="C391" s="395"/>
      <c r="D391" s="396">
        <v>303795</v>
      </c>
      <c r="E391" s="396">
        <v>421415</v>
      </c>
      <c r="F391" s="395">
        <v>3.58</v>
      </c>
      <c r="G391" s="396">
        <v>-117620</v>
      </c>
      <c r="H391" s="396">
        <v>53305</v>
      </c>
      <c r="I391" s="396">
        <v>1887723</v>
      </c>
      <c r="J391" s="395">
        <v>277</v>
      </c>
      <c r="K391" s="395">
        <v>220</v>
      </c>
      <c r="L391" s="397">
        <v>0.79420000000000002</v>
      </c>
      <c r="M391" s="395">
        <v>57</v>
      </c>
      <c r="N391" s="396">
        <v>1097</v>
      </c>
      <c r="O391" s="396">
        <v>1916</v>
      </c>
      <c r="P391" s="395">
        <v>0.93</v>
      </c>
      <c r="Q391" s="396">
        <v>-2064</v>
      </c>
      <c r="R391" s="396">
        <v>9844</v>
      </c>
      <c r="S391" s="396">
        <v>-13603</v>
      </c>
      <c r="T391" s="396">
        <v>349584</v>
      </c>
      <c r="U391" s="396">
        <v>-294595</v>
      </c>
      <c r="V391" s="395">
        <v>2859.45</v>
      </c>
      <c r="W391" s="395">
        <v>2158.7199999999998</v>
      </c>
      <c r="X391" s="395">
        <v>77490</v>
      </c>
      <c r="Y391" s="395">
        <v>5564.02</v>
      </c>
      <c r="Z391" s="396">
        <v>881650</v>
      </c>
      <c r="AA391" s="396">
        <v>303795</v>
      </c>
      <c r="AB391" s="396">
        <v>43381494</v>
      </c>
      <c r="AC391" s="396">
        <v>10207916</v>
      </c>
    </row>
    <row r="392" spans="1:29">
      <c r="A392">
        <v>6655</v>
      </c>
      <c r="B392" s="395" t="s">
        <v>8169</v>
      </c>
      <c r="C392" s="395"/>
      <c r="D392" s="396">
        <v>303679</v>
      </c>
      <c r="E392" s="396">
        <v>336138</v>
      </c>
      <c r="F392" s="395">
        <v>10.36</v>
      </c>
      <c r="G392" s="396">
        <v>-32459</v>
      </c>
      <c r="H392" s="396">
        <v>56428</v>
      </c>
      <c r="I392" s="396">
        <v>2016274</v>
      </c>
      <c r="J392" s="395">
        <v>193</v>
      </c>
      <c r="K392" s="395">
        <v>169</v>
      </c>
      <c r="L392" s="397">
        <v>0.87560000000000004</v>
      </c>
      <c r="M392" s="395">
        <v>24</v>
      </c>
      <c r="N392" s="396">
        <v>1573</v>
      </c>
      <c r="O392" s="396">
        <v>1989</v>
      </c>
      <c r="P392" s="395">
        <v>1.47</v>
      </c>
      <c r="Q392" s="396">
        <v>-1352</v>
      </c>
      <c r="R392" s="396">
        <v>6508</v>
      </c>
      <c r="S392" s="396">
        <v>-8308</v>
      </c>
      <c r="T392" s="396">
        <v>326595</v>
      </c>
      <c r="U392" s="396">
        <v>-52147</v>
      </c>
      <c r="V392" s="395">
        <v>2459.37</v>
      </c>
      <c r="W392" s="395">
        <v>2173.38</v>
      </c>
      <c r="X392" s="395">
        <v>77220</v>
      </c>
      <c r="Y392" s="395">
        <v>4473.25</v>
      </c>
      <c r="Z392" s="396">
        <v>18136926</v>
      </c>
      <c r="AA392" s="396">
        <v>303679</v>
      </c>
      <c r="AB392" s="396">
        <v>57306552</v>
      </c>
      <c r="AC392" s="396">
        <v>10207916</v>
      </c>
    </row>
    <row r="393" spans="1:29">
      <c r="A393">
        <v>8044</v>
      </c>
      <c r="B393" s="395" t="s">
        <v>8239</v>
      </c>
      <c r="C393" s="395"/>
      <c r="D393" s="396">
        <v>302567</v>
      </c>
      <c r="E393" s="396">
        <v>835037</v>
      </c>
      <c r="F393" s="395">
        <v>1.57</v>
      </c>
      <c r="G393" s="396">
        <v>-532470</v>
      </c>
      <c r="H393" s="396">
        <v>116833</v>
      </c>
      <c r="I393" s="396">
        <v>2816406</v>
      </c>
      <c r="J393" s="395">
        <v>263</v>
      </c>
      <c r="K393" s="395">
        <v>208</v>
      </c>
      <c r="L393" s="397">
        <v>0.79090000000000005</v>
      </c>
      <c r="M393" s="395">
        <v>55</v>
      </c>
      <c r="N393" s="396">
        <v>1150</v>
      </c>
      <c r="O393" s="396">
        <v>4015</v>
      </c>
      <c r="P393" s="395">
        <v>0.41</v>
      </c>
      <c r="Q393" s="396">
        <v>-9681</v>
      </c>
      <c r="R393" s="396">
        <v>14053</v>
      </c>
      <c r="S393" s="396">
        <v>-38907</v>
      </c>
      <c r="T393" s="396">
        <v>817141</v>
      </c>
      <c r="U393" s="396">
        <v>-387103</v>
      </c>
      <c r="V393" s="395">
        <v>2011.05</v>
      </c>
      <c r="W393" s="395">
        <v>1325.53</v>
      </c>
      <c r="X393" s="395">
        <v>77220</v>
      </c>
      <c r="Y393" s="395">
        <v>4603.58</v>
      </c>
      <c r="Z393" s="396">
        <v>-8296440</v>
      </c>
      <c r="AA393" s="396">
        <v>302567</v>
      </c>
      <c r="AB393" s="396">
        <v>-3888554</v>
      </c>
      <c r="AC393" s="396">
        <v>10207916</v>
      </c>
    </row>
    <row r="394" spans="1:29">
      <c r="A394">
        <v>8112</v>
      </c>
      <c r="B394" s="395" t="s">
        <v>8281</v>
      </c>
      <c r="C394" s="395"/>
      <c r="D394" s="396">
        <v>301342</v>
      </c>
      <c r="E394" s="396">
        <v>338703</v>
      </c>
      <c r="F394" s="395">
        <v>9.07</v>
      </c>
      <c r="G394" s="396">
        <v>-37361</v>
      </c>
      <c r="H394" s="396">
        <v>49606</v>
      </c>
      <c r="I394" s="396">
        <v>2052400</v>
      </c>
      <c r="J394" s="395">
        <v>281</v>
      </c>
      <c r="K394" s="395">
        <v>246</v>
      </c>
      <c r="L394" s="397">
        <v>0.87539999999999996</v>
      </c>
      <c r="M394" s="395">
        <v>35</v>
      </c>
      <c r="N394" s="396">
        <v>1072</v>
      </c>
      <c r="O394" s="396">
        <v>1377</v>
      </c>
      <c r="P394" s="395">
        <v>1.29</v>
      </c>
      <c r="Q394" s="396">
        <v>-1067</v>
      </c>
      <c r="R394" s="396">
        <v>5545</v>
      </c>
      <c r="S394" s="396">
        <v>-4989</v>
      </c>
      <c r="T394" s="396">
        <v>372387</v>
      </c>
      <c r="U394" s="396">
        <v>-124906</v>
      </c>
      <c r="V394" s="395">
        <v>3186.03</v>
      </c>
      <c r="W394" s="395">
        <v>2555.37</v>
      </c>
      <c r="X394" s="395">
        <v>77490</v>
      </c>
      <c r="Y394" s="395">
        <v>7618.69</v>
      </c>
      <c r="Z394" s="396">
        <v>12273001</v>
      </c>
      <c r="AA394" s="396">
        <v>301342</v>
      </c>
      <c r="AB394" s="396">
        <v>30921432</v>
      </c>
      <c r="AC394" s="396">
        <v>10207916</v>
      </c>
    </row>
    <row r="395" spans="1:29">
      <c r="A395">
        <v>2460</v>
      </c>
      <c r="B395" s="395" t="s">
        <v>7079</v>
      </c>
      <c r="C395" s="395"/>
      <c r="D395" s="396">
        <v>301275</v>
      </c>
      <c r="E395" s="396">
        <v>342938</v>
      </c>
      <c r="F395" s="395">
        <v>8.23</v>
      </c>
      <c r="G395" s="396">
        <v>-41663</v>
      </c>
      <c r="H395" s="396">
        <v>31525</v>
      </c>
      <c r="I395" s="396">
        <v>1420166</v>
      </c>
      <c r="J395" s="395">
        <v>268</v>
      </c>
      <c r="K395" s="395">
        <v>228</v>
      </c>
      <c r="L395" s="397">
        <v>0.85070000000000001</v>
      </c>
      <c r="M395" s="395">
        <v>40</v>
      </c>
      <c r="N395" s="396">
        <v>1124</v>
      </c>
      <c r="O395" s="396">
        <v>1504</v>
      </c>
      <c r="P395" s="395">
        <v>1.44</v>
      </c>
      <c r="Q395" s="396">
        <v>-1042</v>
      </c>
      <c r="R395" s="396">
        <v>6607</v>
      </c>
      <c r="S395" s="396">
        <v>-5768</v>
      </c>
      <c r="T395" s="396">
        <v>368945</v>
      </c>
      <c r="U395" s="396">
        <v>-186052</v>
      </c>
      <c r="V395" s="395">
        <v>2789.14</v>
      </c>
      <c r="W395" s="395">
        <v>2131.5100000000002</v>
      </c>
      <c r="X395" s="395">
        <v>77490</v>
      </c>
      <c r="Y395" s="395">
        <v>6537.63</v>
      </c>
      <c r="Z395" s="396">
        <v>51668939</v>
      </c>
      <c r="AA395" s="396">
        <v>301275</v>
      </c>
      <c r="AB395" s="396">
        <v>14484375</v>
      </c>
      <c r="AC395" s="396">
        <v>10207916</v>
      </c>
    </row>
    <row r="396" spans="1:29">
      <c r="A396">
        <v>3122</v>
      </c>
      <c r="B396" s="395" t="s">
        <v>7320</v>
      </c>
      <c r="C396" s="395"/>
      <c r="D396" s="396">
        <v>301161</v>
      </c>
      <c r="E396" s="396">
        <v>438511</v>
      </c>
      <c r="F396" s="395">
        <v>3.19</v>
      </c>
      <c r="G396" s="396">
        <v>-137350</v>
      </c>
      <c r="H396" s="396">
        <v>46839</v>
      </c>
      <c r="I396" s="396">
        <v>1428012</v>
      </c>
      <c r="J396" s="395">
        <v>262</v>
      </c>
      <c r="K396" s="395">
        <v>206</v>
      </c>
      <c r="L396" s="397">
        <v>0.7863</v>
      </c>
      <c r="M396" s="395">
        <v>56</v>
      </c>
      <c r="N396" s="396">
        <v>1149</v>
      </c>
      <c r="O396" s="396">
        <v>2129</v>
      </c>
      <c r="P396" s="395">
        <v>0.87</v>
      </c>
      <c r="Q396" s="396">
        <v>-2453</v>
      </c>
      <c r="R396" s="396">
        <v>8097</v>
      </c>
      <c r="S396" s="396">
        <v>-11300</v>
      </c>
      <c r="T396" s="396">
        <v>330173</v>
      </c>
      <c r="U396" s="396">
        <v>-173827</v>
      </c>
      <c r="V396" s="395">
        <v>1427.15</v>
      </c>
      <c r="W396" s="395">
        <v>855.57</v>
      </c>
      <c r="X396" s="395">
        <v>77490</v>
      </c>
      <c r="Y396" s="395">
        <v>3529.75</v>
      </c>
      <c r="Z396" s="396">
        <v>8490066</v>
      </c>
      <c r="AA396" s="396">
        <v>301161</v>
      </c>
      <c r="AB396" s="396">
        <v>89830688</v>
      </c>
      <c r="AC396" s="396">
        <v>10207916</v>
      </c>
    </row>
    <row r="397" spans="1:29">
      <c r="A397">
        <v>8213</v>
      </c>
      <c r="B397" s="395" t="s">
        <v>8295</v>
      </c>
      <c r="C397" s="395"/>
      <c r="D397" s="396">
        <v>300606</v>
      </c>
      <c r="E397" s="396">
        <v>328253</v>
      </c>
      <c r="F397" s="395">
        <v>11.87</v>
      </c>
      <c r="G397" s="396">
        <v>-27647</v>
      </c>
      <c r="H397" s="396">
        <v>52493</v>
      </c>
      <c r="I397" s="396">
        <v>4585307</v>
      </c>
      <c r="J397" s="395">
        <v>269</v>
      </c>
      <c r="K397" s="395">
        <v>242</v>
      </c>
      <c r="L397" s="397">
        <v>0.89959999999999996</v>
      </c>
      <c r="M397" s="395">
        <v>27</v>
      </c>
      <c r="N397" s="396">
        <v>1117</v>
      </c>
      <c r="O397" s="396">
        <v>1356</v>
      </c>
      <c r="P397" s="395">
        <v>1.32</v>
      </c>
      <c r="Q397" s="396">
        <v>-1024</v>
      </c>
      <c r="R397" s="396">
        <v>4461</v>
      </c>
      <c r="S397" s="396">
        <v>-5759</v>
      </c>
      <c r="T397" s="396">
        <v>394685</v>
      </c>
      <c r="U397" s="396">
        <v>-233732</v>
      </c>
      <c r="V397" s="395">
        <v>6946.68</v>
      </c>
      <c r="W397" s="395">
        <v>6510.33</v>
      </c>
      <c r="X397" s="395">
        <v>77490</v>
      </c>
      <c r="Y397" s="395">
        <v>10857.7</v>
      </c>
      <c r="Z397" s="396">
        <v>1857665</v>
      </c>
      <c r="AA397" s="396">
        <v>300606</v>
      </c>
      <c r="AB397" s="396">
        <v>9331041</v>
      </c>
      <c r="AC397" s="396">
        <v>10207916</v>
      </c>
    </row>
    <row r="398" spans="1:29">
      <c r="A398">
        <v>3090</v>
      </c>
      <c r="B398" s="395" t="s">
        <v>7311</v>
      </c>
      <c r="C398" s="395"/>
      <c r="D398" s="396">
        <v>298058</v>
      </c>
      <c r="E398" s="396">
        <v>334965</v>
      </c>
      <c r="F398" s="395">
        <v>9.08</v>
      </c>
      <c r="G398" s="396">
        <v>-36907</v>
      </c>
      <c r="H398" s="396">
        <v>53231</v>
      </c>
      <c r="I398" s="396">
        <v>4059392</v>
      </c>
      <c r="J398" s="395">
        <v>246</v>
      </c>
      <c r="K398" s="395">
        <v>211</v>
      </c>
      <c r="L398" s="397">
        <v>0.85770000000000002</v>
      </c>
      <c r="M398" s="395">
        <v>35</v>
      </c>
      <c r="N398" s="396">
        <v>1212</v>
      </c>
      <c r="O398" s="396">
        <v>1588</v>
      </c>
      <c r="P398" s="395">
        <v>1.51</v>
      </c>
      <c r="Q398" s="396">
        <v>-1054</v>
      </c>
      <c r="R398" s="396">
        <v>4903</v>
      </c>
      <c r="S398" s="396">
        <v>-4269</v>
      </c>
      <c r="T398" s="396">
        <v>361562</v>
      </c>
      <c r="U398" s="396">
        <v>-142351</v>
      </c>
      <c r="V398" s="395">
        <v>5660.89</v>
      </c>
      <c r="W398" s="395">
        <v>4983.22</v>
      </c>
      <c r="X398" s="395">
        <v>77490</v>
      </c>
      <c r="Y398" s="395">
        <v>9746.2900000000009</v>
      </c>
      <c r="Z398" s="396">
        <v>4614250</v>
      </c>
      <c r="AA398" s="396">
        <v>298058</v>
      </c>
      <c r="AB398" s="396">
        <v>5392738</v>
      </c>
      <c r="AC398" s="396">
        <v>10207916</v>
      </c>
    </row>
    <row r="399" spans="1:29">
      <c r="A399">
        <v>8150</v>
      </c>
      <c r="B399" s="395" t="s">
        <v>8286</v>
      </c>
      <c r="C399" s="395"/>
      <c r="D399" s="396">
        <v>298040</v>
      </c>
      <c r="E399" s="396">
        <v>400809</v>
      </c>
      <c r="F399" s="395">
        <v>3.9</v>
      </c>
      <c r="G399" s="396">
        <v>-102769</v>
      </c>
      <c r="H399" s="396">
        <v>53010</v>
      </c>
      <c r="I399" s="396">
        <v>3370944</v>
      </c>
      <c r="J399" s="395">
        <v>280</v>
      </c>
      <c r="K399" s="395">
        <v>241</v>
      </c>
      <c r="L399" s="397">
        <v>0.86070000000000002</v>
      </c>
      <c r="M399" s="395">
        <v>39</v>
      </c>
      <c r="N399" s="396">
        <v>1064</v>
      </c>
      <c r="O399" s="396">
        <v>1663</v>
      </c>
      <c r="P399" s="395">
        <v>0.63</v>
      </c>
      <c r="Q399" s="396">
        <v>-2635</v>
      </c>
      <c r="R399" s="396">
        <v>5582</v>
      </c>
      <c r="S399" s="396">
        <v>-11169</v>
      </c>
      <c r="T399" s="396">
        <v>329492</v>
      </c>
      <c r="U399" s="396">
        <v>-201760</v>
      </c>
      <c r="V399" s="395">
        <v>3574.3</v>
      </c>
      <c r="W399" s="395">
        <v>2780.46</v>
      </c>
      <c r="X399" s="395">
        <v>77490</v>
      </c>
      <c r="Y399" s="395">
        <v>8479.85</v>
      </c>
      <c r="Z399" s="396">
        <v>-185195</v>
      </c>
      <c r="AA399" s="396">
        <v>298040</v>
      </c>
      <c r="AB399" s="396">
        <v>28626537</v>
      </c>
      <c r="AC399" s="396">
        <v>10207916</v>
      </c>
    </row>
    <row r="400" spans="1:29">
      <c r="A400">
        <v>1225</v>
      </c>
      <c r="B400" s="395" t="s">
        <v>6693</v>
      </c>
      <c r="C400" s="395"/>
      <c r="D400" s="396">
        <v>297949</v>
      </c>
      <c r="E400" s="396">
        <v>359248</v>
      </c>
      <c r="F400" s="395">
        <v>5.86</v>
      </c>
      <c r="G400" s="396">
        <v>-61300</v>
      </c>
      <c r="H400" s="396">
        <v>47228</v>
      </c>
      <c r="I400" s="396">
        <v>1513606</v>
      </c>
      <c r="J400" s="395">
        <v>243</v>
      </c>
      <c r="K400" s="395">
        <v>218</v>
      </c>
      <c r="L400" s="397">
        <v>0.89710000000000001</v>
      </c>
      <c r="M400" s="395">
        <v>25</v>
      </c>
      <c r="N400" s="396">
        <v>1226</v>
      </c>
      <c r="O400" s="396">
        <v>1648</v>
      </c>
      <c r="P400" s="395">
        <v>0.67</v>
      </c>
      <c r="Q400" s="396">
        <v>-2452</v>
      </c>
      <c r="R400" s="396">
        <v>7275</v>
      </c>
      <c r="S400" s="396">
        <v>-10310</v>
      </c>
      <c r="T400" s="396">
        <v>329854</v>
      </c>
      <c r="U400" s="396">
        <v>-70836</v>
      </c>
      <c r="V400" s="395">
        <v>2491.14</v>
      </c>
      <c r="W400" s="395">
        <v>2350.7600000000002</v>
      </c>
      <c r="X400" s="395">
        <v>77490</v>
      </c>
      <c r="Y400" s="395">
        <v>3715.32</v>
      </c>
      <c r="Z400" s="396">
        <v>19563584</v>
      </c>
      <c r="AA400" s="396">
        <v>297949</v>
      </c>
      <c r="AB400" s="396">
        <v>29374238</v>
      </c>
      <c r="AC400" s="396">
        <v>10207916</v>
      </c>
    </row>
    <row r="401" spans="1:29">
      <c r="A401">
        <v>3022</v>
      </c>
      <c r="B401" s="395" t="s">
        <v>7261</v>
      </c>
      <c r="C401" s="395"/>
      <c r="D401" s="396">
        <v>297180</v>
      </c>
      <c r="E401" s="396">
        <v>399158</v>
      </c>
      <c r="F401" s="395">
        <v>3.91</v>
      </c>
      <c r="G401" s="396">
        <v>-101977</v>
      </c>
      <c r="H401" s="396">
        <v>51868</v>
      </c>
      <c r="I401" s="396">
        <v>4137551</v>
      </c>
      <c r="J401" s="395">
        <v>259</v>
      </c>
      <c r="K401" s="395">
        <v>218</v>
      </c>
      <c r="L401" s="397">
        <v>0.8417</v>
      </c>
      <c r="M401" s="395">
        <v>41</v>
      </c>
      <c r="N401" s="396">
        <v>1147</v>
      </c>
      <c r="O401" s="396">
        <v>1831</v>
      </c>
      <c r="P401" s="395">
        <v>0.74</v>
      </c>
      <c r="Q401" s="396">
        <v>-2487</v>
      </c>
      <c r="R401" s="396">
        <v>7405</v>
      </c>
      <c r="S401" s="396">
        <v>-8727</v>
      </c>
      <c r="T401" s="396">
        <v>355672</v>
      </c>
      <c r="U401" s="396">
        <v>-146878</v>
      </c>
      <c r="V401" s="395">
        <v>7448.78</v>
      </c>
      <c r="W401" s="395">
        <v>6694.5</v>
      </c>
      <c r="X401" s="395">
        <v>77490</v>
      </c>
      <c r="Y401" s="395">
        <v>11459.34</v>
      </c>
      <c r="Z401" s="396">
        <v>-10295303</v>
      </c>
      <c r="AA401" s="396">
        <v>297180</v>
      </c>
      <c r="AB401" s="396">
        <v>-5953120</v>
      </c>
      <c r="AC401" s="396">
        <v>10207916</v>
      </c>
    </row>
    <row r="402" spans="1:29">
      <c r="A402">
        <v>1519</v>
      </c>
      <c r="B402" s="395" t="s">
        <v>6793</v>
      </c>
      <c r="C402" s="395"/>
      <c r="D402" s="396">
        <v>295131</v>
      </c>
      <c r="E402" s="396">
        <v>359439</v>
      </c>
      <c r="F402" s="395">
        <v>5.59</v>
      </c>
      <c r="G402" s="396">
        <v>-64308</v>
      </c>
      <c r="H402" s="396">
        <v>44162</v>
      </c>
      <c r="I402" s="396">
        <v>1528000</v>
      </c>
      <c r="J402" s="395">
        <v>263</v>
      </c>
      <c r="K402" s="395">
        <v>225</v>
      </c>
      <c r="L402" s="397">
        <v>0.85550000000000004</v>
      </c>
      <c r="M402" s="395">
        <v>38</v>
      </c>
      <c r="N402" s="396">
        <v>1122</v>
      </c>
      <c r="O402" s="396">
        <v>1598</v>
      </c>
      <c r="P402" s="395">
        <v>0.94</v>
      </c>
      <c r="Q402" s="396">
        <v>-1692</v>
      </c>
      <c r="R402" s="396">
        <v>5239</v>
      </c>
      <c r="S402" s="396">
        <v>-6765</v>
      </c>
      <c r="T402" s="396">
        <v>389986</v>
      </c>
      <c r="U402" s="396">
        <v>-109989</v>
      </c>
      <c r="V402" s="395">
        <v>2561.9499999999998</v>
      </c>
      <c r="W402" s="395">
        <v>2036.56</v>
      </c>
      <c r="X402" s="395">
        <v>77490</v>
      </c>
      <c r="Y402" s="395">
        <v>5672.82</v>
      </c>
      <c r="Z402" s="396">
        <v>-10676249</v>
      </c>
      <c r="AA402" s="396">
        <v>295131</v>
      </c>
      <c r="AB402" s="396">
        <v>-6524263</v>
      </c>
      <c r="AC402" s="396">
        <v>10207916</v>
      </c>
    </row>
    <row r="403" spans="1:29">
      <c r="A403">
        <v>4114</v>
      </c>
      <c r="B403" s="395" t="s">
        <v>7560</v>
      </c>
      <c r="C403" s="395"/>
      <c r="D403" s="396">
        <v>292299</v>
      </c>
      <c r="E403" s="396">
        <v>302641</v>
      </c>
      <c r="F403" s="395">
        <v>29.26</v>
      </c>
      <c r="G403" s="396">
        <v>-10342</v>
      </c>
      <c r="H403" s="396">
        <v>24868</v>
      </c>
      <c r="I403" s="396">
        <v>2075187</v>
      </c>
      <c r="J403" s="395">
        <v>244</v>
      </c>
      <c r="K403" s="395">
        <v>217</v>
      </c>
      <c r="L403" s="397">
        <v>0.88929999999999998</v>
      </c>
      <c r="M403" s="395">
        <v>27</v>
      </c>
      <c r="N403" s="396">
        <v>1198</v>
      </c>
      <c r="O403" s="396">
        <v>1395</v>
      </c>
      <c r="P403" s="395">
        <v>3.64</v>
      </c>
      <c r="Q403" s="395">
        <v>-383</v>
      </c>
      <c r="R403" s="396">
        <v>3727</v>
      </c>
      <c r="S403" s="396">
        <v>-1108</v>
      </c>
      <c r="T403" s="396">
        <v>322034</v>
      </c>
      <c r="U403" s="396">
        <v>-111890</v>
      </c>
      <c r="V403" s="395">
        <v>7909.22</v>
      </c>
      <c r="W403" s="395">
        <v>8043.28</v>
      </c>
      <c r="X403" s="395">
        <v>77490</v>
      </c>
      <c r="Y403" s="395">
        <v>6831.78</v>
      </c>
      <c r="Z403" s="396">
        <v>-1694577</v>
      </c>
      <c r="AA403" s="396">
        <v>292299</v>
      </c>
      <c r="AB403" s="396">
        <v>3157929</v>
      </c>
      <c r="AC403" s="396">
        <v>10207916</v>
      </c>
    </row>
    <row r="404" spans="1:29">
      <c r="A404">
        <v>5351</v>
      </c>
      <c r="B404" s="395" t="s">
        <v>7814</v>
      </c>
      <c r="C404" s="395"/>
      <c r="D404" s="396">
        <v>291875</v>
      </c>
      <c r="E404" s="396">
        <v>501890</v>
      </c>
      <c r="F404" s="395">
        <v>2.39</v>
      </c>
      <c r="G404" s="396">
        <v>-210015</v>
      </c>
      <c r="H404" s="396">
        <v>53175</v>
      </c>
      <c r="I404" s="396">
        <v>2851030</v>
      </c>
      <c r="J404" s="395">
        <v>269</v>
      </c>
      <c r="K404" s="395">
        <v>212</v>
      </c>
      <c r="L404" s="397">
        <v>0.78810000000000002</v>
      </c>
      <c r="M404" s="395">
        <v>57</v>
      </c>
      <c r="N404" s="396">
        <v>1085</v>
      </c>
      <c r="O404" s="396">
        <v>2367</v>
      </c>
      <c r="P404" s="395">
        <v>0.64</v>
      </c>
      <c r="Q404" s="396">
        <v>-3684</v>
      </c>
      <c r="R404" s="396">
        <v>13987</v>
      </c>
      <c r="S404" s="396">
        <v>-14270</v>
      </c>
      <c r="T404" s="396">
        <v>495458</v>
      </c>
      <c r="U404" s="396">
        <v>-409428</v>
      </c>
      <c r="V404" s="395">
        <v>1620.22</v>
      </c>
      <c r="W404" s="395">
        <v>998.33</v>
      </c>
      <c r="X404" s="395">
        <v>77490</v>
      </c>
      <c r="Y404" s="395">
        <v>3933.21</v>
      </c>
      <c r="Z404" s="396">
        <v>-1048210</v>
      </c>
      <c r="AA404" s="396">
        <v>291875</v>
      </c>
      <c r="AB404" s="396">
        <v>106874494</v>
      </c>
      <c r="AC404" s="396">
        <v>10207916</v>
      </c>
    </row>
    <row r="405" spans="1:29">
      <c r="A405">
        <v>3083</v>
      </c>
      <c r="B405" s="395" t="s">
        <v>7306</v>
      </c>
      <c r="C405" s="395"/>
      <c r="D405" s="396">
        <v>291314</v>
      </c>
      <c r="E405" s="396">
        <v>536001</v>
      </c>
      <c r="F405" s="395">
        <v>2.19</v>
      </c>
      <c r="G405" s="396">
        <v>-244687</v>
      </c>
      <c r="H405" s="396">
        <v>55236</v>
      </c>
      <c r="I405" s="396">
        <v>4079616</v>
      </c>
      <c r="J405" s="395">
        <v>258</v>
      </c>
      <c r="K405" s="395">
        <v>189</v>
      </c>
      <c r="L405" s="397">
        <v>0.73260000000000003</v>
      </c>
      <c r="M405" s="395">
        <v>69</v>
      </c>
      <c r="N405" s="396">
        <v>1129</v>
      </c>
      <c r="O405" s="396">
        <v>2836</v>
      </c>
      <c r="P405" s="395">
        <v>0.8</v>
      </c>
      <c r="Q405" s="396">
        <v>-3546</v>
      </c>
      <c r="R405" s="396">
        <v>13592</v>
      </c>
      <c r="S405" s="396">
        <v>-9158</v>
      </c>
      <c r="T405" s="396">
        <v>645246</v>
      </c>
      <c r="U405" s="396">
        <v>-504237</v>
      </c>
      <c r="V405" s="395">
        <v>6392.28</v>
      </c>
      <c r="W405" s="395">
        <v>4206.41</v>
      </c>
      <c r="X405" s="395">
        <v>77490</v>
      </c>
      <c r="Y405" s="395">
        <v>12379.68</v>
      </c>
      <c r="Z405" s="396">
        <v>-21846771</v>
      </c>
      <c r="AA405" s="396">
        <v>291314</v>
      </c>
      <c r="AB405" s="396">
        <v>-11776800</v>
      </c>
      <c r="AC405" s="396">
        <v>10207916</v>
      </c>
    </row>
    <row r="406" spans="1:29">
      <c r="A406">
        <v>8089</v>
      </c>
      <c r="B406" s="395" t="s">
        <v>8266</v>
      </c>
      <c r="C406" s="395"/>
      <c r="D406" s="396">
        <v>291173</v>
      </c>
      <c r="E406" s="396">
        <v>666228</v>
      </c>
      <c r="F406" s="395">
        <v>1.78</v>
      </c>
      <c r="G406" s="396">
        <v>-375055</v>
      </c>
      <c r="H406" s="396">
        <v>29737</v>
      </c>
      <c r="I406" s="396">
        <v>4605109</v>
      </c>
      <c r="J406" s="395">
        <v>230</v>
      </c>
      <c r="K406" s="395">
        <v>162</v>
      </c>
      <c r="L406" s="397">
        <v>0.70430000000000004</v>
      </c>
      <c r="M406" s="395">
        <v>68</v>
      </c>
      <c r="N406" s="396">
        <v>1266</v>
      </c>
      <c r="O406" s="396">
        <v>4113</v>
      </c>
      <c r="P406" s="395">
        <v>0.75</v>
      </c>
      <c r="Q406" s="396">
        <v>-5516</v>
      </c>
      <c r="R406" s="396">
        <v>8594</v>
      </c>
      <c r="S406" s="396">
        <v>-14895</v>
      </c>
      <c r="T406" s="396">
        <v>1210835</v>
      </c>
      <c r="U406" s="396">
        <v>-873244</v>
      </c>
      <c r="V406" s="395">
        <v>18558.45</v>
      </c>
      <c r="W406" s="395">
        <v>17084.990000000002</v>
      </c>
      <c r="X406" s="395">
        <v>77490</v>
      </c>
      <c r="Y406" s="395">
        <v>22068.74</v>
      </c>
      <c r="Z406" s="396">
        <v>-27771661</v>
      </c>
      <c r="AA406" s="396">
        <v>291173</v>
      </c>
      <c r="AB406" s="396">
        <v>-20211616</v>
      </c>
      <c r="AC406" s="396">
        <v>10207916</v>
      </c>
    </row>
    <row r="407" spans="1:29">
      <c r="A407">
        <v>3005</v>
      </c>
      <c r="B407" s="395" t="s">
        <v>7248</v>
      </c>
      <c r="C407" s="395"/>
      <c r="D407" s="396">
        <v>291053</v>
      </c>
      <c r="E407" s="396">
        <v>391035</v>
      </c>
      <c r="F407" s="395">
        <v>3.91</v>
      </c>
      <c r="G407" s="396">
        <v>-99982</v>
      </c>
      <c r="H407" s="396">
        <v>61997</v>
      </c>
      <c r="I407" s="396">
        <v>3256415</v>
      </c>
      <c r="J407" s="395">
        <v>283</v>
      </c>
      <c r="K407" s="395">
        <v>226</v>
      </c>
      <c r="L407" s="397">
        <v>0.79859999999999998</v>
      </c>
      <c r="M407" s="395">
        <v>57</v>
      </c>
      <c r="N407" s="396">
        <v>1028</v>
      </c>
      <c r="O407" s="396">
        <v>1730</v>
      </c>
      <c r="P407" s="395">
        <v>0.99</v>
      </c>
      <c r="Q407" s="396">
        <v>-1754</v>
      </c>
      <c r="R407" s="396">
        <v>9598</v>
      </c>
      <c r="S407" s="396">
        <v>-4631</v>
      </c>
      <c r="T407" s="396">
        <v>510794</v>
      </c>
      <c r="U407" s="396">
        <v>-258893</v>
      </c>
      <c r="V407" s="395">
        <v>5047.38</v>
      </c>
      <c r="W407" s="395">
        <v>3990.97</v>
      </c>
      <c r="X407" s="395">
        <v>77490</v>
      </c>
      <c r="Y407" s="395">
        <v>9235.93</v>
      </c>
      <c r="Z407" s="396">
        <v>2450053</v>
      </c>
      <c r="AA407" s="396">
        <v>291053</v>
      </c>
      <c r="AB407" s="396">
        <v>11180068</v>
      </c>
      <c r="AC407" s="396">
        <v>10207916</v>
      </c>
    </row>
    <row r="408" spans="1:29">
      <c r="A408">
        <v>2886</v>
      </c>
      <c r="B408" s="395" t="s">
        <v>7216</v>
      </c>
      <c r="C408" s="395"/>
      <c r="D408" s="396">
        <v>288238</v>
      </c>
      <c r="E408" s="396">
        <v>289696</v>
      </c>
      <c r="F408" s="395">
        <v>198.69</v>
      </c>
      <c r="G408" s="396">
        <v>-1458</v>
      </c>
      <c r="H408" s="396">
        <v>38535</v>
      </c>
      <c r="I408" s="396">
        <v>3315235</v>
      </c>
      <c r="J408" s="395">
        <v>287</v>
      </c>
      <c r="K408" s="395">
        <v>281</v>
      </c>
      <c r="L408" s="397">
        <v>0.97909999999999997</v>
      </c>
      <c r="M408" s="395">
        <v>6</v>
      </c>
      <c r="N408" s="396">
        <v>1004</v>
      </c>
      <c r="O408" s="396">
        <v>1031</v>
      </c>
      <c r="P408" s="395">
        <v>4.24</v>
      </c>
      <c r="Q408" s="395">
        <v>-243</v>
      </c>
      <c r="R408" s="396">
        <v>2471</v>
      </c>
      <c r="S408" s="395">
        <v>-605</v>
      </c>
      <c r="T408" s="396">
        <v>312011</v>
      </c>
      <c r="U408" s="396">
        <v>-59609</v>
      </c>
      <c r="V408" s="395">
        <v>7150.16</v>
      </c>
      <c r="W408" s="395">
        <v>7157.98</v>
      </c>
      <c r="X408" s="395">
        <v>77490</v>
      </c>
      <c r="Y408" s="395">
        <v>6783.67</v>
      </c>
      <c r="Z408" s="396">
        <v>15183227</v>
      </c>
      <c r="AA408" s="396">
        <v>288238</v>
      </c>
      <c r="AB408" s="396">
        <v>17991003</v>
      </c>
      <c r="AC408" s="396">
        <v>10207916</v>
      </c>
    </row>
    <row r="409" spans="1:29">
      <c r="A409">
        <v>5222</v>
      </c>
      <c r="B409" s="395" t="s">
        <v>7771</v>
      </c>
      <c r="C409" s="395"/>
      <c r="D409" s="396">
        <v>287367</v>
      </c>
      <c r="E409" s="396">
        <v>594203</v>
      </c>
      <c r="F409" s="395">
        <v>1.94</v>
      </c>
      <c r="G409" s="396">
        <v>-306836</v>
      </c>
      <c r="H409" s="396">
        <v>67133</v>
      </c>
      <c r="I409" s="396">
        <v>5666566</v>
      </c>
      <c r="J409" s="395">
        <v>87</v>
      </c>
      <c r="K409" s="395">
        <v>66</v>
      </c>
      <c r="L409" s="397">
        <v>0.75860000000000005</v>
      </c>
      <c r="M409" s="395">
        <v>21</v>
      </c>
      <c r="N409" s="396">
        <v>3303</v>
      </c>
      <c r="O409" s="396">
        <v>9003</v>
      </c>
      <c r="P409" s="395">
        <v>0.62</v>
      </c>
      <c r="Q409" s="396">
        <v>-14611</v>
      </c>
      <c r="R409" s="396">
        <v>26350</v>
      </c>
      <c r="S409" s="396">
        <v>-38289</v>
      </c>
      <c r="T409" s="396">
        <v>964976</v>
      </c>
      <c r="U409" s="396">
        <v>-846347</v>
      </c>
      <c r="V409" s="395">
        <v>2567.92</v>
      </c>
      <c r="W409" s="395">
        <v>1798.23</v>
      </c>
      <c r="X409" s="395">
        <v>24840</v>
      </c>
      <c r="Y409" s="395">
        <v>4986.95</v>
      </c>
      <c r="Z409" s="396">
        <v>-10358786</v>
      </c>
      <c r="AA409" s="396">
        <v>287367</v>
      </c>
      <c r="AB409" s="396">
        <v>-2071250</v>
      </c>
      <c r="AC409" s="396">
        <v>10207916</v>
      </c>
    </row>
    <row r="410" spans="1:29">
      <c r="A410">
        <v>6195</v>
      </c>
      <c r="B410" s="395" t="s">
        <v>7983</v>
      </c>
      <c r="C410" s="395"/>
      <c r="D410" s="396">
        <v>287162</v>
      </c>
      <c r="E410" s="396">
        <v>301531</v>
      </c>
      <c r="F410" s="395">
        <v>20.98</v>
      </c>
      <c r="G410" s="396">
        <v>-14369</v>
      </c>
      <c r="H410" s="396">
        <v>44214</v>
      </c>
      <c r="I410" s="396">
        <v>2885175</v>
      </c>
      <c r="J410" s="395">
        <v>205</v>
      </c>
      <c r="K410" s="395">
        <v>191</v>
      </c>
      <c r="L410" s="397">
        <v>0.93169999999999997</v>
      </c>
      <c r="M410" s="395">
        <v>14</v>
      </c>
      <c r="N410" s="396">
        <v>1401</v>
      </c>
      <c r="O410" s="396">
        <v>1579</v>
      </c>
      <c r="P410" s="395">
        <v>1.54</v>
      </c>
      <c r="Q410" s="396">
        <v>-1026</v>
      </c>
      <c r="R410" s="396">
        <v>5698</v>
      </c>
      <c r="S410" s="396">
        <v>-5731</v>
      </c>
      <c r="T410" s="396">
        <v>329672</v>
      </c>
      <c r="U410" s="396">
        <v>-176568</v>
      </c>
      <c r="V410" s="395">
        <v>6440.9</v>
      </c>
      <c r="W410" s="395">
        <v>6379.71</v>
      </c>
      <c r="X410" s="395">
        <v>77220</v>
      </c>
      <c r="Y410" s="395">
        <v>7275.71</v>
      </c>
      <c r="Z410" s="396">
        <v>-207949</v>
      </c>
      <c r="AA410" s="396">
        <v>287162</v>
      </c>
      <c r="AB410" s="396">
        <v>9449474</v>
      </c>
      <c r="AC410" s="396">
        <v>10207916</v>
      </c>
    </row>
    <row r="411" spans="1:29">
      <c r="A411">
        <v>2034</v>
      </c>
      <c r="B411" s="395" t="s">
        <v>6928</v>
      </c>
      <c r="C411" s="395"/>
      <c r="D411" s="396">
        <v>286446</v>
      </c>
      <c r="E411" s="396">
        <v>362051</v>
      </c>
      <c r="F411" s="395">
        <v>4.79</v>
      </c>
      <c r="G411" s="396">
        <v>-75605</v>
      </c>
      <c r="H411" s="396">
        <v>34000</v>
      </c>
      <c r="I411" s="396">
        <v>4015544</v>
      </c>
      <c r="J411" s="395">
        <v>256</v>
      </c>
      <c r="K411" s="395">
        <v>211</v>
      </c>
      <c r="L411" s="397">
        <v>0.82420000000000004</v>
      </c>
      <c r="M411" s="395">
        <v>45</v>
      </c>
      <c r="N411" s="396">
        <v>1119</v>
      </c>
      <c r="O411" s="396">
        <v>1716</v>
      </c>
      <c r="P411" s="395">
        <v>1.02</v>
      </c>
      <c r="Q411" s="396">
        <v>-1680</v>
      </c>
      <c r="R411" s="396">
        <v>4870</v>
      </c>
      <c r="S411" s="396">
        <v>-7915</v>
      </c>
      <c r="T411" s="396">
        <v>580526</v>
      </c>
      <c r="U411" s="396">
        <v>-394374</v>
      </c>
      <c r="V411" s="395">
        <v>10158.57</v>
      </c>
      <c r="W411" s="395">
        <v>8172.14</v>
      </c>
      <c r="X411" s="395">
        <v>77490</v>
      </c>
      <c r="Y411" s="395">
        <v>19472.71</v>
      </c>
      <c r="Z411" s="396">
        <v>9995667</v>
      </c>
      <c r="AA411" s="396">
        <v>286446</v>
      </c>
      <c r="AB411" s="396">
        <v>11636480</v>
      </c>
      <c r="AC411" s="396">
        <v>10207916</v>
      </c>
    </row>
    <row r="412" spans="1:29">
      <c r="A412">
        <v>8028</v>
      </c>
      <c r="B412" s="395" t="s">
        <v>8230</v>
      </c>
      <c r="C412" s="395"/>
      <c r="D412" s="396">
        <v>285742</v>
      </c>
      <c r="E412" s="396">
        <v>431788</v>
      </c>
      <c r="F412" s="395">
        <v>2.96</v>
      </c>
      <c r="G412" s="396">
        <v>-146046</v>
      </c>
      <c r="H412" s="396">
        <v>52964</v>
      </c>
      <c r="I412" s="396">
        <v>2471688</v>
      </c>
      <c r="J412" s="395">
        <v>255</v>
      </c>
      <c r="K412" s="395">
        <v>194</v>
      </c>
      <c r="L412" s="397">
        <v>0.76080000000000003</v>
      </c>
      <c r="M412" s="395">
        <v>61</v>
      </c>
      <c r="N412" s="396">
        <v>1121</v>
      </c>
      <c r="O412" s="396">
        <v>2226</v>
      </c>
      <c r="P412" s="395">
        <v>0.93</v>
      </c>
      <c r="Q412" s="396">
        <v>-2394</v>
      </c>
      <c r="R412" s="396">
        <v>11025</v>
      </c>
      <c r="S412" s="396">
        <v>-8214</v>
      </c>
      <c r="T412" s="396">
        <v>531406</v>
      </c>
      <c r="U412" s="396">
        <v>-291376</v>
      </c>
      <c r="V412" s="395">
        <v>3510.89</v>
      </c>
      <c r="W412" s="395">
        <v>2432.63</v>
      </c>
      <c r="X412" s="395">
        <v>77490</v>
      </c>
      <c r="Y412" s="395">
        <v>6940.1</v>
      </c>
      <c r="Z412" s="396">
        <v>-21395088</v>
      </c>
      <c r="AA412" s="396">
        <v>285742</v>
      </c>
      <c r="AB412" s="396">
        <v>-4382754</v>
      </c>
      <c r="AC412" s="396">
        <v>10207916</v>
      </c>
    </row>
    <row r="413" spans="1:29">
      <c r="A413">
        <v>9933</v>
      </c>
      <c r="B413" s="395" t="s">
        <v>8413</v>
      </c>
      <c r="C413" s="395"/>
      <c r="D413" s="396">
        <v>285069</v>
      </c>
      <c r="E413" s="396">
        <v>293953</v>
      </c>
      <c r="F413" s="395">
        <v>33.090000000000003</v>
      </c>
      <c r="G413" s="396">
        <v>-8884</v>
      </c>
      <c r="H413" s="396">
        <v>40678</v>
      </c>
      <c r="I413" s="396">
        <v>4466627</v>
      </c>
      <c r="J413" s="395">
        <v>266</v>
      </c>
      <c r="K413" s="395">
        <v>250</v>
      </c>
      <c r="L413" s="397">
        <v>0.93979999999999997</v>
      </c>
      <c r="M413" s="395">
        <v>16</v>
      </c>
      <c r="N413" s="396">
        <v>1072</v>
      </c>
      <c r="O413" s="396">
        <v>1176</v>
      </c>
      <c r="P413" s="395">
        <v>2.12</v>
      </c>
      <c r="Q413" s="395">
        <v>-555</v>
      </c>
      <c r="R413" s="396">
        <v>3301</v>
      </c>
      <c r="S413" s="396">
        <v>-1252</v>
      </c>
      <c r="T413" s="396">
        <v>314960</v>
      </c>
      <c r="U413" s="396">
        <v>-138214</v>
      </c>
      <c r="V413" s="395">
        <v>10249.129999999999</v>
      </c>
      <c r="W413" s="395">
        <v>10350.64</v>
      </c>
      <c r="X413" s="395">
        <v>77490</v>
      </c>
      <c r="Y413" s="395">
        <v>8663.06</v>
      </c>
      <c r="Z413" s="396">
        <v>5266099</v>
      </c>
      <c r="AA413" s="396">
        <v>285069</v>
      </c>
      <c r="AB413" s="396">
        <v>11673323</v>
      </c>
      <c r="AC413" s="396">
        <v>10207916</v>
      </c>
    </row>
    <row r="414" spans="1:29">
      <c r="A414">
        <v>3693</v>
      </c>
      <c r="B414" s="395" t="s">
        <v>7535</v>
      </c>
      <c r="C414" s="395"/>
      <c r="D414" s="396">
        <v>284564</v>
      </c>
      <c r="E414" s="396">
        <v>489929</v>
      </c>
      <c r="F414" s="395">
        <v>2.39</v>
      </c>
      <c r="G414" s="396">
        <v>-205365</v>
      </c>
      <c r="H414" s="396">
        <v>42227</v>
      </c>
      <c r="I414" s="396">
        <v>1869815</v>
      </c>
      <c r="J414" s="395">
        <v>217</v>
      </c>
      <c r="K414" s="395">
        <v>159</v>
      </c>
      <c r="L414" s="397">
        <v>0.73270000000000002</v>
      </c>
      <c r="M414" s="395">
        <v>58</v>
      </c>
      <c r="N414" s="396">
        <v>1311</v>
      </c>
      <c r="O414" s="396">
        <v>3081</v>
      </c>
      <c r="P414" s="395">
        <v>0.87</v>
      </c>
      <c r="Q414" s="396">
        <v>-3541</v>
      </c>
      <c r="R414" s="396">
        <v>8387</v>
      </c>
      <c r="S414" s="396">
        <v>-13208</v>
      </c>
      <c r="T414" s="396">
        <v>468451</v>
      </c>
      <c r="U414" s="396">
        <v>-232592</v>
      </c>
      <c r="V414" s="395">
        <v>4169.7700000000004</v>
      </c>
      <c r="W414" s="395">
        <v>2800.81</v>
      </c>
      <c r="X414" s="395">
        <v>77490</v>
      </c>
      <c r="Y414" s="395">
        <v>7922.62</v>
      </c>
      <c r="Z414" s="396">
        <v>-10956841</v>
      </c>
      <c r="AA414" s="396">
        <v>284564</v>
      </c>
      <c r="AB414" s="396">
        <v>1707167</v>
      </c>
      <c r="AC414" s="396">
        <v>10207916</v>
      </c>
    </row>
    <row r="415" spans="1:29">
      <c r="A415">
        <v>3484</v>
      </c>
      <c r="B415" s="395" t="s">
        <v>7436</v>
      </c>
      <c r="C415" s="395"/>
      <c r="D415" s="396">
        <v>283732</v>
      </c>
      <c r="E415" s="396">
        <v>596643</v>
      </c>
      <c r="F415" s="395">
        <v>1.91</v>
      </c>
      <c r="G415" s="396">
        <v>-312911</v>
      </c>
      <c r="H415" s="396">
        <v>79728</v>
      </c>
      <c r="I415" s="396">
        <v>3383114</v>
      </c>
      <c r="J415" s="395">
        <v>262</v>
      </c>
      <c r="K415" s="395">
        <v>204</v>
      </c>
      <c r="L415" s="397">
        <v>0.77859999999999996</v>
      </c>
      <c r="M415" s="395">
        <v>58</v>
      </c>
      <c r="N415" s="396">
        <v>1083</v>
      </c>
      <c r="O415" s="396">
        <v>2925</v>
      </c>
      <c r="P415" s="395">
        <v>0.54</v>
      </c>
      <c r="Q415" s="396">
        <v>-5395</v>
      </c>
      <c r="R415" s="396">
        <v>14732</v>
      </c>
      <c r="S415" s="396">
        <v>-14621</v>
      </c>
      <c r="T415" s="396">
        <v>821646</v>
      </c>
      <c r="U415" s="396">
        <v>-459168</v>
      </c>
      <c r="V415" s="395">
        <v>2645.98</v>
      </c>
      <c r="W415" s="395">
        <v>1677.26</v>
      </c>
      <c r="X415" s="395">
        <v>77490</v>
      </c>
      <c r="Y415" s="395">
        <v>6053.21</v>
      </c>
      <c r="Z415" s="396">
        <v>-8408756</v>
      </c>
      <c r="AA415" s="396">
        <v>283732</v>
      </c>
      <c r="AB415" s="396">
        <v>12842541</v>
      </c>
      <c r="AC415" s="396">
        <v>10207916</v>
      </c>
    </row>
    <row r="416" spans="1:29">
      <c r="A416">
        <v>4974</v>
      </c>
      <c r="B416" s="395" t="s">
        <v>7741</v>
      </c>
      <c r="C416" s="395"/>
      <c r="D416" s="396">
        <v>281554</v>
      </c>
      <c r="E416" s="396">
        <v>350973</v>
      </c>
      <c r="F416" s="395">
        <v>5.0599999999999996</v>
      </c>
      <c r="G416" s="396">
        <v>-69419</v>
      </c>
      <c r="H416" s="396">
        <v>54537</v>
      </c>
      <c r="I416" s="396">
        <v>4348315</v>
      </c>
      <c r="J416" s="395">
        <v>239</v>
      </c>
      <c r="K416" s="395">
        <v>185</v>
      </c>
      <c r="L416" s="397">
        <v>0.77410000000000001</v>
      </c>
      <c r="M416" s="395">
        <v>54</v>
      </c>
      <c r="N416" s="396">
        <v>1178</v>
      </c>
      <c r="O416" s="396">
        <v>1897</v>
      </c>
      <c r="P416" s="395">
        <v>1.48</v>
      </c>
      <c r="Q416" s="396">
        <v>-1286</v>
      </c>
      <c r="R416" s="396">
        <v>7185</v>
      </c>
      <c r="S416" s="396">
        <v>-6541</v>
      </c>
      <c r="T416" s="396">
        <v>377914</v>
      </c>
      <c r="U416" s="396">
        <v>-211579</v>
      </c>
      <c r="V416" s="395">
        <v>7546.16</v>
      </c>
      <c r="W416" s="395">
        <v>5147.1400000000003</v>
      </c>
      <c r="X416" s="395">
        <v>77490</v>
      </c>
      <c r="Y416" s="395">
        <v>15765.02</v>
      </c>
      <c r="Z416" s="396">
        <v>-2127784</v>
      </c>
      <c r="AA416" s="396">
        <v>281554</v>
      </c>
      <c r="AB416" s="396">
        <v>6026036</v>
      </c>
      <c r="AC416" s="396">
        <v>10207916</v>
      </c>
    </row>
    <row r="417" spans="1:29">
      <c r="A417">
        <v>8147</v>
      </c>
      <c r="B417" s="395" t="s">
        <v>8285</v>
      </c>
      <c r="C417" s="395"/>
      <c r="D417" s="396">
        <v>280788</v>
      </c>
      <c r="E417" s="396">
        <v>325556</v>
      </c>
      <c r="F417" s="395">
        <v>7.27</v>
      </c>
      <c r="G417" s="396">
        <v>-44768</v>
      </c>
      <c r="H417" s="396">
        <v>44164</v>
      </c>
      <c r="I417" s="396">
        <v>2375620</v>
      </c>
      <c r="J417" s="395">
        <v>216</v>
      </c>
      <c r="K417" s="395">
        <v>191</v>
      </c>
      <c r="L417" s="397">
        <v>0.88429999999999997</v>
      </c>
      <c r="M417" s="395">
        <v>25</v>
      </c>
      <c r="N417" s="396">
        <v>1300</v>
      </c>
      <c r="O417" s="396">
        <v>1704</v>
      </c>
      <c r="P417" s="395">
        <v>0.95</v>
      </c>
      <c r="Q417" s="396">
        <v>-1791</v>
      </c>
      <c r="R417" s="396">
        <v>7106</v>
      </c>
      <c r="S417" s="396">
        <v>-11707</v>
      </c>
      <c r="T417" s="396">
        <v>369876</v>
      </c>
      <c r="U417" s="396">
        <v>-100111</v>
      </c>
      <c r="V417" s="395">
        <v>4423.43</v>
      </c>
      <c r="W417" s="395">
        <v>3582.89</v>
      </c>
      <c r="X417" s="395">
        <v>77220</v>
      </c>
      <c r="Y417" s="395">
        <v>10845.16</v>
      </c>
      <c r="Z417" s="396">
        <v>7037770</v>
      </c>
      <c r="AA417" s="396">
        <v>280788</v>
      </c>
      <c r="AB417" s="396">
        <v>26821464</v>
      </c>
      <c r="AC417" s="396">
        <v>10207916</v>
      </c>
    </row>
    <row r="418" spans="1:29">
      <c r="A418">
        <v>3577</v>
      </c>
      <c r="B418" s="395" t="s">
        <v>7485</v>
      </c>
      <c r="C418" s="395"/>
      <c r="D418" s="396">
        <v>279998</v>
      </c>
      <c r="E418" s="396">
        <v>305041</v>
      </c>
      <c r="F418" s="395">
        <v>12.18</v>
      </c>
      <c r="G418" s="396">
        <v>-25043</v>
      </c>
      <c r="H418" s="396">
        <v>43102</v>
      </c>
      <c r="I418" s="396">
        <v>1033662</v>
      </c>
      <c r="J418" s="395">
        <v>218</v>
      </c>
      <c r="K418" s="395">
        <v>188</v>
      </c>
      <c r="L418" s="397">
        <v>0.86240000000000006</v>
      </c>
      <c r="M418" s="395">
        <v>30</v>
      </c>
      <c r="N418" s="396">
        <v>1284</v>
      </c>
      <c r="O418" s="396">
        <v>1623</v>
      </c>
      <c r="P418" s="395">
        <v>1.94</v>
      </c>
      <c r="Q418" s="395">
        <v>-835</v>
      </c>
      <c r="R418" s="396">
        <v>10001</v>
      </c>
      <c r="S418" s="396">
        <v>-2246</v>
      </c>
      <c r="T418" s="396">
        <v>293564</v>
      </c>
      <c r="U418" s="396">
        <v>-53819</v>
      </c>
      <c r="V418" s="395">
        <v>1452.26</v>
      </c>
      <c r="W418" s="395">
        <v>1284.43</v>
      </c>
      <c r="X418" s="395">
        <v>77490</v>
      </c>
      <c r="Y418" s="395">
        <v>2504</v>
      </c>
      <c r="Z418" s="396">
        <v>50136116</v>
      </c>
      <c r="AA418" s="396">
        <v>279998</v>
      </c>
      <c r="AB418" s="396">
        <v>79883747</v>
      </c>
      <c r="AC418" s="396">
        <v>10207916</v>
      </c>
    </row>
    <row r="419" spans="1:29">
      <c r="A419">
        <v>5243</v>
      </c>
      <c r="B419" s="395" t="s">
        <v>7778</v>
      </c>
      <c r="C419" s="395"/>
      <c r="D419" s="396">
        <v>276325</v>
      </c>
      <c r="E419" s="396">
        <v>610422</v>
      </c>
      <c r="F419" s="395">
        <v>1.83</v>
      </c>
      <c r="G419" s="396">
        <v>-334098</v>
      </c>
      <c r="H419" s="396">
        <v>69234</v>
      </c>
      <c r="I419" s="396">
        <v>3350059</v>
      </c>
      <c r="J419" s="395">
        <v>261</v>
      </c>
      <c r="K419" s="395">
        <v>186</v>
      </c>
      <c r="L419" s="397">
        <v>0.71260000000000001</v>
      </c>
      <c r="M419" s="395">
        <v>75</v>
      </c>
      <c r="N419" s="396">
        <v>1059</v>
      </c>
      <c r="O419" s="396">
        <v>3282</v>
      </c>
      <c r="P419" s="395">
        <v>0.74</v>
      </c>
      <c r="Q419" s="396">
        <v>-4455</v>
      </c>
      <c r="R419" s="396">
        <v>15265</v>
      </c>
      <c r="S419" s="396">
        <v>-12491</v>
      </c>
      <c r="T419" s="396">
        <v>815221</v>
      </c>
      <c r="U419" s="396">
        <v>-490215</v>
      </c>
      <c r="V419" s="395">
        <v>3585.74</v>
      </c>
      <c r="W419" s="395">
        <v>2277.09</v>
      </c>
      <c r="X419" s="395">
        <v>77490</v>
      </c>
      <c r="Y419" s="395">
        <v>6831.17</v>
      </c>
      <c r="Z419" s="396">
        <v>-17896672</v>
      </c>
      <c r="AA419" s="396">
        <v>276325</v>
      </c>
      <c r="AB419" s="396">
        <v>-4250019</v>
      </c>
      <c r="AC419" s="396">
        <v>10207916</v>
      </c>
    </row>
    <row r="420" spans="1:29">
      <c r="A420">
        <v>3310</v>
      </c>
      <c r="B420" s="395" t="s">
        <v>7385</v>
      </c>
      <c r="C420" s="395"/>
      <c r="D420" s="396">
        <v>276069</v>
      </c>
      <c r="E420" s="396">
        <v>297605</v>
      </c>
      <c r="F420" s="395">
        <v>13.82</v>
      </c>
      <c r="G420" s="396">
        <v>-21537</v>
      </c>
      <c r="H420" s="396">
        <v>22390</v>
      </c>
      <c r="I420" s="396">
        <v>2170935</v>
      </c>
      <c r="J420" s="395">
        <v>171</v>
      </c>
      <c r="K420" s="395">
        <v>151</v>
      </c>
      <c r="L420" s="397">
        <v>0.88300000000000001</v>
      </c>
      <c r="M420" s="395">
        <v>20</v>
      </c>
      <c r="N420" s="396">
        <v>1614</v>
      </c>
      <c r="O420" s="396">
        <v>1971</v>
      </c>
      <c r="P420" s="395">
        <v>1.83</v>
      </c>
      <c r="Q420" s="396">
        <v>-1077</v>
      </c>
      <c r="R420" s="396">
        <v>5899</v>
      </c>
      <c r="S420" s="396">
        <v>-4003</v>
      </c>
      <c r="T420" s="396">
        <v>311090</v>
      </c>
      <c r="U420" s="396">
        <v>-63449</v>
      </c>
      <c r="V420" s="395">
        <v>11702.6</v>
      </c>
      <c r="W420" s="395">
        <v>11705.2</v>
      </c>
      <c r="X420" s="395">
        <v>77490</v>
      </c>
      <c r="Y420" s="395">
        <v>11683</v>
      </c>
      <c r="Z420" s="396">
        <v>-6414037</v>
      </c>
      <c r="AA420" s="396">
        <v>276069</v>
      </c>
      <c r="AB420" s="396">
        <v>19613996</v>
      </c>
      <c r="AC420" s="396">
        <v>10207916</v>
      </c>
    </row>
    <row r="421" spans="1:29">
      <c r="A421">
        <v>8424</v>
      </c>
      <c r="B421" s="395" t="s">
        <v>8333</v>
      </c>
      <c r="C421" s="395"/>
      <c r="D421" s="396">
        <v>275535</v>
      </c>
      <c r="E421" s="396">
        <v>279573</v>
      </c>
      <c r="F421" s="395">
        <v>69.239999999999995</v>
      </c>
      <c r="G421" s="396">
        <v>-4038</v>
      </c>
      <c r="H421" s="396">
        <v>33553</v>
      </c>
      <c r="I421" s="396">
        <v>3703511</v>
      </c>
      <c r="J421" s="395">
        <v>139</v>
      </c>
      <c r="K421" s="395">
        <v>130</v>
      </c>
      <c r="L421" s="397">
        <v>0.93530000000000002</v>
      </c>
      <c r="M421" s="395">
        <v>9</v>
      </c>
      <c r="N421" s="396">
        <v>1982</v>
      </c>
      <c r="O421" s="396">
        <v>2151</v>
      </c>
      <c r="P421" s="395">
        <v>4.79</v>
      </c>
      <c r="Q421" s="395">
        <v>-449</v>
      </c>
      <c r="R421" s="396">
        <v>6328</v>
      </c>
      <c r="S421" s="396">
        <v>-1038</v>
      </c>
      <c r="T421" s="396">
        <v>320032</v>
      </c>
      <c r="U421" s="396">
        <v>-69488</v>
      </c>
      <c r="V421" s="395">
        <v>13699.76</v>
      </c>
      <c r="W421" s="395">
        <v>14048.77</v>
      </c>
      <c r="X421" s="395">
        <v>76950</v>
      </c>
      <c r="Y421" s="395">
        <v>8658.44</v>
      </c>
      <c r="Z421" s="396">
        <v>6913845</v>
      </c>
      <c r="AA421" s="396">
        <v>275535</v>
      </c>
      <c r="AB421" s="396">
        <v>19672950</v>
      </c>
      <c r="AC421" s="396">
        <v>10207916</v>
      </c>
    </row>
    <row r="422" spans="1:29">
      <c r="A422">
        <v>6208</v>
      </c>
      <c r="B422" s="395" t="s">
        <v>7995</v>
      </c>
      <c r="C422" s="395"/>
      <c r="D422" s="396">
        <v>275276</v>
      </c>
      <c r="E422" s="396">
        <v>297598</v>
      </c>
      <c r="F422" s="395">
        <v>13.33</v>
      </c>
      <c r="G422" s="396">
        <v>-22322</v>
      </c>
      <c r="H422" s="396">
        <v>46839</v>
      </c>
      <c r="I422" s="396">
        <v>1134461</v>
      </c>
      <c r="J422" s="395">
        <v>254</v>
      </c>
      <c r="K422" s="395">
        <v>233</v>
      </c>
      <c r="L422" s="397">
        <v>0.9173</v>
      </c>
      <c r="M422" s="395">
        <v>21</v>
      </c>
      <c r="N422" s="396">
        <v>1084</v>
      </c>
      <c r="O422" s="396">
        <v>1277</v>
      </c>
      <c r="P422" s="395">
        <v>1.2</v>
      </c>
      <c r="Q422" s="396">
        <v>-1063</v>
      </c>
      <c r="R422" s="396">
        <v>4097</v>
      </c>
      <c r="S422" s="396">
        <v>-3568</v>
      </c>
      <c r="T422" s="396">
        <v>276834</v>
      </c>
      <c r="U422" s="396">
        <v>-42234</v>
      </c>
      <c r="V422" s="395">
        <v>1872.35</v>
      </c>
      <c r="W422" s="395">
        <v>1717.21</v>
      </c>
      <c r="X422" s="395">
        <v>77490</v>
      </c>
      <c r="Y422" s="395">
        <v>3593.76</v>
      </c>
      <c r="Z422" s="396">
        <v>17550351</v>
      </c>
      <c r="AA422" s="396">
        <v>275276</v>
      </c>
      <c r="AB422" s="396">
        <v>27516869</v>
      </c>
      <c r="AC422" s="396">
        <v>10207916</v>
      </c>
    </row>
    <row r="423" spans="1:29">
      <c r="A423">
        <v>1315</v>
      </c>
      <c r="B423" s="395" t="s">
        <v>6719</v>
      </c>
      <c r="C423" s="395"/>
      <c r="D423" s="396">
        <v>274808</v>
      </c>
      <c r="E423" s="396">
        <v>357477</v>
      </c>
      <c r="F423" s="395">
        <v>4.32</v>
      </c>
      <c r="G423" s="396">
        <v>-82669</v>
      </c>
      <c r="H423" s="396">
        <v>57847</v>
      </c>
      <c r="I423" s="396">
        <v>4738992</v>
      </c>
      <c r="J423" s="395">
        <v>198</v>
      </c>
      <c r="K423" s="395">
        <v>140</v>
      </c>
      <c r="L423" s="397">
        <v>0.70709999999999995</v>
      </c>
      <c r="M423" s="395">
        <v>58</v>
      </c>
      <c r="N423" s="396">
        <v>1388</v>
      </c>
      <c r="O423" s="396">
        <v>2553</v>
      </c>
      <c r="P423" s="395">
        <v>1.79</v>
      </c>
      <c r="Q423" s="396">
        <v>-1425</v>
      </c>
      <c r="R423" s="396">
        <v>7412</v>
      </c>
      <c r="S423" s="396">
        <v>-6717</v>
      </c>
      <c r="T423" s="396">
        <v>473625</v>
      </c>
      <c r="U423" s="396">
        <v>-297385</v>
      </c>
      <c r="V423" s="395">
        <v>8166.67</v>
      </c>
      <c r="W423" s="395">
        <v>6190.35</v>
      </c>
      <c r="X423" s="395">
        <v>75600</v>
      </c>
      <c r="Y423" s="395">
        <v>12937.09</v>
      </c>
      <c r="Z423" s="396">
        <v>-8849040</v>
      </c>
      <c r="AA423" s="396">
        <v>274808</v>
      </c>
      <c r="AB423" s="396">
        <v>-3815772</v>
      </c>
      <c r="AC423" s="396">
        <v>10207916</v>
      </c>
    </row>
    <row r="424" spans="1:29">
      <c r="A424">
        <v>6217</v>
      </c>
      <c r="B424" s="395" t="s">
        <v>8003</v>
      </c>
      <c r="C424" s="395"/>
      <c r="D424" s="396">
        <v>274629</v>
      </c>
      <c r="E424" s="396">
        <v>383801</v>
      </c>
      <c r="F424" s="395">
        <v>3.52</v>
      </c>
      <c r="G424" s="396">
        <v>-109172</v>
      </c>
      <c r="H424" s="396">
        <v>48048</v>
      </c>
      <c r="I424" s="396">
        <v>2055579</v>
      </c>
      <c r="J424" s="395">
        <v>262</v>
      </c>
      <c r="K424" s="395">
        <v>218</v>
      </c>
      <c r="L424" s="397">
        <v>0.83209999999999995</v>
      </c>
      <c r="M424" s="395">
        <v>44</v>
      </c>
      <c r="N424" s="396">
        <v>1048</v>
      </c>
      <c r="O424" s="396">
        <v>1761</v>
      </c>
      <c r="P424" s="395">
        <v>0.71</v>
      </c>
      <c r="Q424" s="396">
        <v>-2481</v>
      </c>
      <c r="R424" s="396">
        <v>6814</v>
      </c>
      <c r="S424" s="396">
        <v>-11573</v>
      </c>
      <c r="T424" s="396">
        <v>316149</v>
      </c>
      <c r="U424" s="396">
        <v>-184934</v>
      </c>
      <c r="V424" s="395">
        <v>2096.4299999999998</v>
      </c>
      <c r="W424" s="395">
        <v>1443.65</v>
      </c>
      <c r="X424" s="395">
        <v>77490</v>
      </c>
      <c r="Y424" s="395">
        <v>5330.66</v>
      </c>
      <c r="Z424" s="396">
        <v>12023421</v>
      </c>
      <c r="AA424" s="396">
        <v>274629</v>
      </c>
      <c r="AB424" s="396">
        <v>26447172</v>
      </c>
      <c r="AC424" s="396">
        <v>10207916</v>
      </c>
    </row>
    <row r="425" spans="1:29">
      <c r="A425">
        <v>3605</v>
      </c>
      <c r="B425" s="395" t="s">
        <v>7497</v>
      </c>
      <c r="C425" s="395"/>
      <c r="D425" s="396">
        <v>274179</v>
      </c>
      <c r="E425" s="396">
        <v>436121</v>
      </c>
      <c r="F425" s="395">
        <v>2.69</v>
      </c>
      <c r="G425" s="396">
        <v>-161942</v>
      </c>
      <c r="H425" s="396">
        <v>54343</v>
      </c>
      <c r="I425" s="396">
        <v>3233656</v>
      </c>
      <c r="J425" s="395">
        <v>278</v>
      </c>
      <c r="K425" s="395">
        <v>208</v>
      </c>
      <c r="L425" s="397">
        <v>0.74819999999999998</v>
      </c>
      <c r="M425" s="395">
        <v>69</v>
      </c>
      <c r="N425" s="395">
        <v>986</v>
      </c>
      <c r="O425" s="396">
        <v>2097</v>
      </c>
      <c r="P425" s="395">
        <v>0.89</v>
      </c>
      <c r="Q425" s="396">
        <v>-2347</v>
      </c>
      <c r="R425" s="396">
        <v>8918</v>
      </c>
      <c r="S425" s="396">
        <v>-9264</v>
      </c>
      <c r="T425" s="396">
        <v>581027</v>
      </c>
      <c r="U425" s="396">
        <v>-432760</v>
      </c>
      <c r="V425" s="395">
        <v>3279.95</v>
      </c>
      <c r="W425" s="395">
        <v>1770.28</v>
      </c>
      <c r="X425" s="395">
        <v>77490</v>
      </c>
      <c r="Y425" s="395">
        <v>7811.41</v>
      </c>
      <c r="Z425" s="396">
        <v>4752128</v>
      </c>
      <c r="AA425" s="396">
        <v>274179</v>
      </c>
      <c r="AB425" s="396">
        <v>6390339</v>
      </c>
      <c r="AC425" s="396">
        <v>10207916</v>
      </c>
    </row>
    <row r="426" spans="1:29">
      <c r="A426">
        <v>1586</v>
      </c>
      <c r="B426" s="395" t="s">
        <v>6823</v>
      </c>
      <c r="C426" s="395"/>
      <c r="D426" s="396">
        <v>273362</v>
      </c>
      <c r="E426" s="396">
        <v>333588</v>
      </c>
      <c r="F426" s="395">
        <v>5.54</v>
      </c>
      <c r="G426" s="396">
        <v>-60226</v>
      </c>
      <c r="H426" s="396">
        <v>47084</v>
      </c>
      <c r="I426" s="396">
        <v>2594305</v>
      </c>
      <c r="J426" s="395">
        <v>270</v>
      </c>
      <c r="K426" s="395">
        <v>208</v>
      </c>
      <c r="L426" s="397">
        <v>0.77039999999999997</v>
      </c>
      <c r="M426" s="395">
        <v>62</v>
      </c>
      <c r="N426" s="396">
        <v>1012</v>
      </c>
      <c r="O426" s="396">
        <v>1604</v>
      </c>
      <c r="P426" s="395">
        <v>1.65</v>
      </c>
      <c r="Q426" s="395">
        <v>-971</v>
      </c>
      <c r="R426" s="396">
        <v>4331</v>
      </c>
      <c r="S426" s="396">
        <v>-4737</v>
      </c>
      <c r="T426" s="396">
        <v>321714</v>
      </c>
      <c r="U426" s="396">
        <v>-83923</v>
      </c>
      <c r="V426" s="395">
        <v>5667.01</v>
      </c>
      <c r="W426" s="395">
        <v>4969.7</v>
      </c>
      <c r="X426" s="395">
        <v>77490</v>
      </c>
      <c r="Y426" s="395">
        <v>8006.37</v>
      </c>
      <c r="Z426" s="396">
        <v>-7076635</v>
      </c>
      <c r="AA426" s="396">
        <v>273362</v>
      </c>
      <c r="AB426" s="396">
        <v>-1206233</v>
      </c>
      <c r="AC426" s="396">
        <v>10207916</v>
      </c>
    </row>
    <row r="427" spans="1:29">
      <c r="A427">
        <v>9943</v>
      </c>
      <c r="B427" s="395" t="s">
        <v>8422</v>
      </c>
      <c r="C427" s="395"/>
      <c r="D427" s="396">
        <v>272827</v>
      </c>
      <c r="E427" s="396">
        <v>401966</v>
      </c>
      <c r="F427" s="395">
        <v>3.11</v>
      </c>
      <c r="G427" s="396">
        <v>-129139</v>
      </c>
      <c r="H427" s="396">
        <v>61058</v>
      </c>
      <c r="I427" s="396">
        <v>4702196</v>
      </c>
      <c r="J427" s="395">
        <v>241</v>
      </c>
      <c r="K427" s="395">
        <v>143</v>
      </c>
      <c r="L427" s="397">
        <v>0.59340000000000004</v>
      </c>
      <c r="M427" s="395">
        <v>98</v>
      </c>
      <c r="N427" s="396">
        <v>1132</v>
      </c>
      <c r="O427" s="396">
        <v>2811</v>
      </c>
      <c r="P427" s="395">
        <v>2.13</v>
      </c>
      <c r="Q427" s="396">
        <v>-1318</v>
      </c>
      <c r="R427" s="396">
        <v>8554</v>
      </c>
      <c r="S427" s="396">
        <v>-4547</v>
      </c>
      <c r="T427" s="396">
        <v>604104</v>
      </c>
      <c r="U427" s="396">
        <v>-278406</v>
      </c>
      <c r="V427" s="395">
        <v>8680.11</v>
      </c>
      <c r="W427" s="395">
        <v>4949.8100000000004</v>
      </c>
      <c r="X427" s="395">
        <v>77490</v>
      </c>
      <c r="Y427" s="395">
        <v>14123.31</v>
      </c>
      <c r="Z427" s="396">
        <v>-181639</v>
      </c>
      <c r="AA427" s="396">
        <v>272827</v>
      </c>
      <c r="AB427" s="396">
        <v>-207111</v>
      </c>
      <c r="AC427" s="396">
        <v>10207916</v>
      </c>
    </row>
    <row r="428" spans="1:29">
      <c r="A428">
        <v>1752</v>
      </c>
      <c r="B428" s="395" t="s">
        <v>6874</v>
      </c>
      <c r="C428" s="395"/>
      <c r="D428" s="396">
        <v>272726</v>
      </c>
      <c r="E428" s="396">
        <v>294570</v>
      </c>
      <c r="F428" s="395">
        <v>13.49</v>
      </c>
      <c r="G428" s="396">
        <v>-21844</v>
      </c>
      <c r="H428" s="396">
        <v>34647</v>
      </c>
      <c r="I428" s="396">
        <v>4125244</v>
      </c>
      <c r="J428" s="395">
        <v>223</v>
      </c>
      <c r="K428" s="395">
        <v>196</v>
      </c>
      <c r="L428" s="397">
        <v>0.87890000000000001</v>
      </c>
      <c r="M428" s="395">
        <v>27</v>
      </c>
      <c r="N428" s="396">
        <v>1223</v>
      </c>
      <c r="O428" s="396">
        <v>1503</v>
      </c>
      <c r="P428" s="395">
        <v>1.86</v>
      </c>
      <c r="Q428" s="395">
        <v>-809</v>
      </c>
      <c r="R428" s="396">
        <v>4438</v>
      </c>
      <c r="S428" s="396">
        <v>-2772</v>
      </c>
      <c r="T428" s="396">
        <v>480499</v>
      </c>
      <c r="U428" s="396">
        <v>-301864</v>
      </c>
      <c r="V428" s="395">
        <v>12104.06</v>
      </c>
      <c r="W428" s="395">
        <v>12517.64</v>
      </c>
      <c r="X428" s="395">
        <v>77490</v>
      </c>
      <c r="Y428" s="395">
        <v>9101.7800000000007</v>
      </c>
      <c r="Z428" s="396">
        <v>1677883</v>
      </c>
      <c r="AA428" s="396">
        <v>272726</v>
      </c>
      <c r="AB428" s="396">
        <v>-696848</v>
      </c>
      <c r="AC428" s="396">
        <v>10207916</v>
      </c>
    </row>
    <row r="429" spans="1:29">
      <c r="A429">
        <v>8467</v>
      </c>
      <c r="B429" s="395" t="s">
        <v>8355</v>
      </c>
      <c r="C429" s="395"/>
      <c r="D429" s="396">
        <v>272295</v>
      </c>
      <c r="E429" s="396">
        <v>320161</v>
      </c>
      <c r="F429" s="395">
        <v>6.69</v>
      </c>
      <c r="G429" s="396">
        <v>-47866</v>
      </c>
      <c r="H429" s="396">
        <v>21906</v>
      </c>
      <c r="I429" s="396">
        <v>1784651</v>
      </c>
      <c r="J429" s="395">
        <v>127</v>
      </c>
      <c r="K429" s="395">
        <v>101</v>
      </c>
      <c r="L429" s="397">
        <v>0.79530000000000001</v>
      </c>
      <c r="M429" s="395">
        <v>26</v>
      </c>
      <c r="N429" s="396">
        <v>2144</v>
      </c>
      <c r="O429" s="396">
        <v>3170</v>
      </c>
      <c r="P429" s="395">
        <v>1.72</v>
      </c>
      <c r="Q429" s="396">
        <v>-1841</v>
      </c>
      <c r="R429" s="396">
        <v>7034</v>
      </c>
      <c r="S429" s="396">
        <v>-5629</v>
      </c>
      <c r="T429" s="396">
        <v>371985</v>
      </c>
      <c r="U429" s="396">
        <v>-170476</v>
      </c>
      <c r="V429" s="395">
        <v>6476.91</v>
      </c>
      <c r="W429" s="395">
        <v>5137.8</v>
      </c>
      <c r="X429" s="395">
        <v>66690</v>
      </c>
      <c r="Y429" s="395">
        <v>11678.85</v>
      </c>
      <c r="Z429" s="396">
        <v>9243340</v>
      </c>
      <c r="AA429" s="396">
        <v>272295</v>
      </c>
      <c r="AB429" s="396">
        <v>-9535033</v>
      </c>
      <c r="AC429" s="396">
        <v>10207916</v>
      </c>
    </row>
    <row r="430" spans="1:29">
      <c r="A430">
        <v>3645</v>
      </c>
      <c r="B430" s="395" t="s">
        <v>7513</v>
      </c>
      <c r="C430" s="395"/>
      <c r="D430" s="396">
        <v>271569</v>
      </c>
      <c r="E430" s="396">
        <v>436575</v>
      </c>
      <c r="F430" s="395">
        <v>2.65</v>
      </c>
      <c r="G430" s="396">
        <v>-165006</v>
      </c>
      <c r="H430" s="396">
        <v>50953</v>
      </c>
      <c r="I430" s="396">
        <v>3027124</v>
      </c>
      <c r="J430" s="395">
        <v>264</v>
      </c>
      <c r="K430" s="395">
        <v>215</v>
      </c>
      <c r="L430" s="397">
        <v>0.81440000000000001</v>
      </c>
      <c r="M430" s="395">
        <v>49</v>
      </c>
      <c r="N430" s="396">
        <v>1029</v>
      </c>
      <c r="O430" s="396">
        <v>2031</v>
      </c>
      <c r="P430" s="395">
        <v>0.6</v>
      </c>
      <c r="Q430" s="396">
        <v>-3367</v>
      </c>
      <c r="R430" s="396">
        <v>7724</v>
      </c>
      <c r="S430" s="396">
        <v>-9464</v>
      </c>
      <c r="T430" s="396">
        <v>420493</v>
      </c>
      <c r="U430" s="396">
        <v>-261395</v>
      </c>
      <c r="V430" s="395">
        <v>4313.91</v>
      </c>
      <c r="W430" s="395">
        <v>3410.21</v>
      </c>
      <c r="X430" s="395">
        <v>77490</v>
      </c>
      <c r="Y430" s="395">
        <v>8279.14</v>
      </c>
      <c r="Z430" s="396">
        <v>-13056305</v>
      </c>
      <c r="AA430" s="396">
        <v>271569</v>
      </c>
      <c r="AB430" s="396">
        <v>-7588952</v>
      </c>
      <c r="AC430" s="396">
        <v>10207916</v>
      </c>
    </row>
    <row r="431" spans="1:29">
      <c r="A431">
        <v>2027</v>
      </c>
      <c r="B431" s="395" t="s">
        <v>6921</v>
      </c>
      <c r="C431" s="395"/>
      <c r="D431" s="396">
        <v>271377</v>
      </c>
      <c r="E431" s="396">
        <v>401385</v>
      </c>
      <c r="F431" s="395">
        <v>3.09</v>
      </c>
      <c r="G431" s="396">
        <v>-130008</v>
      </c>
      <c r="H431" s="396">
        <v>48309</v>
      </c>
      <c r="I431" s="396">
        <v>3448443</v>
      </c>
      <c r="J431" s="395">
        <v>270</v>
      </c>
      <c r="K431" s="395">
        <v>207</v>
      </c>
      <c r="L431" s="397">
        <v>0.76670000000000005</v>
      </c>
      <c r="M431" s="395">
        <v>63</v>
      </c>
      <c r="N431" s="396">
        <v>1005</v>
      </c>
      <c r="O431" s="396">
        <v>1939</v>
      </c>
      <c r="P431" s="395">
        <v>0.94</v>
      </c>
      <c r="Q431" s="396">
        <v>-2064</v>
      </c>
      <c r="R431" s="396">
        <v>9020</v>
      </c>
      <c r="S431" s="396">
        <v>-9880</v>
      </c>
      <c r="T431" s="396">
        <v>725742</v>
      </c>
      <c r="U431" s="396">
        <v>-569540</v>
      </c>
      <c r="V431" s="395">
        <v>4121.93</v>
      </c>
      <c r="W431" s="395">
        <v>2654.37</v>
      </c>
      <c r="X431" s="395">
        <v>77490</v>
      </c>
      <c r="Y431" s="395">
        <v>8943.92</v>
      </c>
      <c r="Z431" s="396">
        <v>-7178871</v>
      </c>
      <c r="AA431" s="396">
        <v>271377</v>
      </c>
      <c r="AB431" s="396">
        <v>30468552</v>
      </c>
      <c r="AC431" s="396">
        <v>10207916</v>
      </c>
    </row>
    <row r="432" spans="1:29">
      <c r="A432">
        <v>2545</v>
      </c>
      <c r="B432" s="395" t="s">
        <v>7132</v>
      </c>
      <c r="C432" s="395"/>
      <c r="D432" s="396">
        <v>271297</v>
      </c>
      <c r="E432" s="396">
        <v>288977</v>
      </c>
      <c r="F432" s="395">
        <v>16.34</v>
      </c>
      <c r="G432" s="396">
        <v>-17680</v>
      </c>
      <c r="H432" s="396">
        <v>41540</v>
      </c>
      <c r="I432" s="396">
        <v>2149174</v>
      </c>
      <c r="J432" s="395">
        <v>258</v>
      </c>
      <c r="K432" s="395">
        <v>230</v>
      </c>
      <c r="L432" s="397">
        <v>0.89149999999999996</v>
      </c>
      <c r="M432" s="395">
        <v>28</v>
      </c>
      <c r="N432" s="396">
        <v>1052</v>
      </c>
      <c r="O432" s="396">
        <v>1256</v>
      </c>
      <c r="P432" s="395">
        <v>1.99</v>
      </c>
      <c r="Q432" s="395">
        <v>-631</v>
      </c>
      <c r="R432" s="396">
        <v>4487</v>
      </c>
      <c r="S432" s="396">
        <v>-1625</v>
      </c>
      <c r="T432" s="396">
        <v>315252</v>
      </c>
      <c r="U432" s="396">
        <v>-75240</v>
      </c>
      <c r="V432" s="395">
        <v>4901.72</v>
      </c>
      <c r="W432" s="395">
        <v>4228.21</v>
      </c>
      <c r="X432" s="395">
        <v>77490</v>
      </c>
      <c r="Y432" s="395">
        <v>10434.07</v>
      </c>
      <c r="Z432" s="396">
        <v>8461159</v>
      </c>
      <c r="AA432" s="396">
        <v>271297</v>
      </c>
      <c r="AB432" s="396">
        <v>11603909</v>
      </c>
      <c r="AC432" s="396">
        <v>10207916</v>
      </c>
    </row>
    <row r="433" spans="1:29">
      <c r="A433">
        <v>3669</v>
      </c>
      <c r="B433" s="395" t="s">
        <v>7522</v>
      </c>
      <c r="C433" s="395"/>
      <c r="D433" s="396">
        <v>270491</v>
      </c>
      <c r="E433" s="396">
        <v>1244992</v>
      </c>
      <c r="F433" s="395">
        <v>1.28</v>
      </c>
      <c r="G433" s="396">
        <v>-974501</v>
      </c>
      <c r="H433" s="396">
        <v>72301</v>
      </c>
      <c r="I433" s="396">
        <v>8717294</v>
      </c>
      <c r="J433" s="395">
        <v>263</v>
      </c>
      <c r="K433" s="395">
        <v>162</v>
      </c>
      <c r="L433" s="397">
        <v>0.61599999999999999</v>
      </c>
      <c r="M433" s="395">
        <v>101</v>
      </c>
      <c r="N433" s="396">
        <v>1028</v>
      </c>
      <c r="O433" s="396">
        <v>7685</v>
      </c>
      <c r="P433" s="395">
        <v>0.8</v>
      </c>
      <c r="Q433" s="396">
        <v>-9649</v>
      </c>
      <c r="R433" s="396">
        <v>18024</v>
      </c>
      <c r="S433" s="396">
        <v>-26305</v>
      </c>
      <c r="T433" s="396">
        <v>2350035</v>
      </c>
      <c r="U433" s="396">
        <v>-1949440</v>
      </c>
      <c r="V433" s="395">
        <v>12122.85</v>
      </c>
      <c r="W433" s="395">
        <v>7155.6</v>
      </c>
      <c r="X433" s="395">
        <v>77490</v>
      </c>
      <c r="Y433" s="395">
        <v>20090.12</v>
      </c>
      <c r="Z433" s="396">
        <v>-25758731</v>
      </c>
      <c r="AA433" s="396">
        <v>270491</v>
      </c>
      <c r="AB433" s="396">
        <v>-15883432</v>
      </c>
      <c r="AC433" s="396">
        <v>10207916</v>
      </c>
    </row>
    <row r="434" spans="1:29">
      <c r="A434">
        <v>2354</v>
      </c>
      <c r="B434" s="395" t="s">
        <v>7003</v>
      </c>
      <c r="C434" s="395"/>
      <c r="D434" s="396">
        <v>269235</v>
      </c>
      <c r="E434" s="396">
        <v>563351</v>
      </c>
      <c r="F434" s="395">
        <v>1.92</v>
      </c>
      <c r="G434" s="396">
        <v>-294116</v>
      </c>
      <c r="H434" s="396">
        <v>74850</v>
      </c>
      <c r="I434" s="396">
        <v>8159824</v>
      </c>
      <c r="J434" s="395">
        <v>278</v>
      </c>
      <c r="K434" s="395">
        <v>175</v>
      </c>
      <c r="L434" s="397">
        <v>0.62949999999999995</v>
      </c>
      <c r="M434" s="395">
        <v>103</v>
      </c>
      <c r="N434" s="395">
        <v>968</v>
      </c>
      <c r="O434" s="396">
        <v>3219</v>
      </c>
      <c r="P434" s="395">
        <v>1.1299999999999999</v>
      </c>
      <c r="Q434" s="396">
        <v>-2855</v>
      </c>
      <c r="R434" s="396">
        <v>13640</v>
      </c>
      <c r="S434" s="396">
        <v>-8665</v>
      </c>
      <c r="T434" s="396">
        <v>804631</v>
      </c>
      <c r="U434" s="396">
        <v>-517703</v>
      </c>
      <c r="V434" s="395">
        <v>11176.26</v>
      </c>
      <c r="W434" s="395">
        <v>8889.51</v>
      </c>
      <c r="X434" s="395">
        <v>77490</v>
      </c>
      <c r="Y434" s="395">
        <v>15061.5</v>
      </c>
      <c r="Z434" s="396">
        <v>-6651367</v>
      </c>
      <c r="AA434" s="396">
        <v>269235</v>
      </c>
      <c r="AB434" s="396">
        <v>8972658</v>
      </c>
      <c r="AC434" s="396">
        <v>10207916</v>
      </c>
    </row>
    <row r="435" spans="1:29">
      <c r="A435">
        <v>4552</v>
      </c>
      <c r="B435" s="395" t="s">
        <v>7648</v>
      </c>
      <c r="C435" s="395"/>
      <c r="D435" s="396">
        <v>269023</v>
      </c>
      <c r="E435" s="396">
        <v>359653</v>
      </c>
      <c r="F435" s="395">
        <v>3.97</v>
      </c>
      <c r="G435" s="396">
        <v>-90630</v>
      </c>
      <c r="H435" s="396">
        <v>30806</v>
      </c>
      <c r="I435" s="396">
        <v>3897052</v>
      </c>
      <c r="J435" s="395">
        <v>233</v>
      </c>
      <c r="K435" s="395">
        <v>178</v>
      </c>
      <c r="L435" s="397">
        <v>0.76390000000000002</v>
      </c>
      <c r="M435" s="395">
        <v>55</v>
      </c>
      <c r="N435" s="396">
        <v>1155</v>
      </c>
      <c r="O435" s="396">
        <v>2021</v>
      </c>
      <c r="P435" s="395">
        <v>1.23</v>
      </c>
      <c r="Q435" s="396">
        <v>-1648</v>
      </c>
      <c r="R435" s="396">
        <v>6166</v>
      </c>
      <c r="S435" s="396">
        <v>-3657</v>
      </c>
      <c r="T435" s="396">
        <v>630843</v>
      </c>
      <c r="U435" s="396">
        <v>-371992</v>
      </c>
      <c r="V435" s="395">
        <v>13811.43</v>
      </c>
      <c r="W435" s="395">
        <v>10323.67</v>
      </c>
      <c r="X435" s="395">
        <v>77490</v>
      </c>
      <c r="Y435" s="395">
        <v>25099.09</v>
      </c>
      <c r="Z435" s="396">
        <v>-6502633</v>
      </c>
      <c r="AA435" s="396">
        <v>269023</v>
      </c>
      <c r="AB435" s="396">
        <v>-2248370</v>
      </c>
      <c r="AC435" s="396">
        <v>10207916</v>
      </c>
    </row>
    <row r="436" spans="1:29">
      <c r="A436">
        <v>5706</v>
      </c>
      <c r="B436" s="395" t="s">
        <v>7887</v>
      </c>
      <c r="C436" s="395"/>
      <c r="D436" s="396">
        <v>268225</v>
      </c>
      <c r="E436" s="396">
        <v>359683</v>
      </c>
      <c r="F436" s="395">
        <v>3.93</v>
      </c>
      <c r="G436" s="396">
        <v>-91458</v>
      </c>
      <c r="H436" s="396">
        <v>42943</v>
      </c>
      <c r="I436" s="396">
        <v>1776881</v>
      </c>
      <c r="J436" s="395">
        <v>251</v>
      </c>
      <c r="K436" s="395">
        <v>200</v>
      </c>
      <c r="L436" s="397">
        <v>0.79679999999999995</v>
      </c>
      <c r="M436" s="395">
        <v>51</v>
      </c>
      <c r="N436" s="396">
        <v>1069</v>
      </c>
      <c r="O436" s="396">
        <v>1798</v>
      </c>
      <c r="P436" s="395">
        <v>1</v>
      </c>
      <c r="Q436" s="396">
        <v>-1793</v>
      </c>
      <c r="R436" s="396">
        <v>9559</v>
      </c>
      <c r="S436" s="396">
        <v>-7324</v>
      </c>
      <c r="T436" s="396">
        <v>527107</v>
      </c>
      <c r="U436" s="396">
        <v>-295948</v>
      </c>
      <c r="V436" s="395">
        <v>3600.6</v>
      </c>
      <c r="W436" s="395">
        <v>2260.75</v>
      </c>
      <c r="X436" s="395">
        <v>77490</v>
      </c>
      <c r="Y436" s="395">
        <v>8854.92</v>
      </c>
      <c r="Z436" s="396">
        <v>32159660</v>
      </c>
      <c r="AA436" s="396">
        <v>268225</v>
      </c>
      <c r="AB436" s="396">
        <v>50393335</v>
      </c>
      <c r="AC436" s="396">
        <v>10207916</v>
      </c>
    </row>
    <row r="437" spans="1:29">
      <c r="A437">
        <v>6123</v>
      </c>
      <c r="B437" s="395" t="s">
        <v>7924</v>
      </c>
      <c r="C437" s="395"/>
      <c r="D437" s="396">
        <v>268018</v>
      </c>
      <c r="E437" s="396">
        <v>284188</v>
      </c>
      <c r="F437" s="395">
        <v>17.579999999999998</v>
      </c>
      <c r="G437" s="396">
        <v>-16170</v>
      </c>
      <c r="H437" s="396">
        <v>45307</v>
      </c>
      <c r="I437" s="396">
        <v>2685320</v>
      </c>
      <c r="J437" s="395">
        <v>225</v>
      </c>
      <c r="K437" s="395">
        <v>203</v>
      </c>
      <c r="L437" s="397">
        <v>0.9022</v>
      </c>
      <c r="M437" s="395">
        <v>22</v>
      </c>
      <c r="N437" s="396">
        <v>1191</v>
      </c>
      <c r="O437" s="396">
        <v>1400</v>
      </c>
      <c r="P437" s="395">
        <v>1.9</v>
      </c>
      <c r="Q437" s="395">
        <v>-735</v>
      </c>
      <c r="R437" s="396">
        <v>5001</v>
      </c>
      <c r="S437" s="396">
        <v>-2316</v>
      </c>
      <c r="T437" s="396">
        <v>356429</v>
      </c>
      <c r="U437" s="396">
        <v>-137100</v>
      </c>
      <c r="V437" s="395">
        <v>6512.09</v>
      </c>
      <c r="W437" s="395">
        <v>6579.59</v>
      </c>
      <c r="X437" s="395">
        <v>77490</v>
      </c>
      <c r="Y437" s="395">
        <v>5889.27</v>
      </c>
      <c r="Z437" s="396">
        <v>8096644</v>
      </c>
      <c r="AA437" s="396">
        <v>268018</v>
      </c>
      <c r="AB437" s="396">
        <v>22275910</v>
      </c>
      <c r="AC437" s="396">
        <v>10207916</v>
      </c>
    </row>
    <row r="438" spans="1:29">
      <c r="A438">
        <v>6541</v>
      </c>
      <c r="B438" s="395" t="s">
        <v>8123</v>
      </c>
      <c r="C438" s="395"/>
      <c r="D438" s="396">
        <v>267894</v>
      </c>
      <c r="E438" s="396">
        <v>631442</v>
      </c>
      <c r="F438" s="395">
        <v>1.74</v>
      </c>
      <c r="G438" s="396">
        <v>-363548</v>
      </c>
      <c r="H438" s="396">
        <v>45206</v>
      </c>
      <c r="I438" s="396">
        <v>5172092</v>
      </c>
      <c r="J438" s="395">
        <v>200</v>
      </c>
      <c r="K438" s="395">
        <v>141</v>
      </c>
      <c r="L438" s="397">
        <v>0.70499999999999996</v>
      </c>
      <c r="M438" s="395">
        <v>59</v>
      </c>
      <c r="N438" s="396">
        <v>1339</v>
      </c>
      <c r="O438" s="396">
        <v>4478</v>
      </c>
      <c r="P438" s="395">
        <v>0.73</v>
      </c>
      <c r="Q438" s="396">
        <v>-6162</v>
      </c>
      <c r="R438" s="396">
        <v>14902</v>
      </c>
      <c r="S438" s="396">
        <v>-33194</v>
      </c>
      <c r="T438" s="396">
        <v>1465061</v>
      </c>
      <c r="U438" s="396">
        <v>-1227906</v>
      </c>
      <c r="V438" s="395">
        <v>9863.2800000000007</v>
      </c>
      <c r="W438" s="395">
        <v>5898.89</v>
      </c>
      <c r="X438" s="395">
        <v>77490</v>
      </c>
      <c r="Y438" s="395">
        <v>19337.53</v>
      </c>
      <c r="Z438" s="396">
        <v>-18955606</v>
      </c>
      <c r="AA438" s="396">
        <v>267894</v>
      </c>
      <c r="AB438" s="396">
        <v>22324900</v>
      </c>
      <c r="AC438" s="396">
        <v>10207916</v>
      </c>
    </row>
    <row r="439" spans="1:29">
      <c r="A439">
        <v>2441</v>
      </c>
      <c r="B439" s="395" t="s">
        <v>7066</v>
      </c>
      <c r="C439" s="395"/>
      <c r="D439" s="396">
        <v>267384</v>
      </c>
      <c r="E439" s="396">
        <v>520036</v>
      </c>
      <c r="F439" s="395">
        <v>2.06</v>
      </c>
      <c r="G439" s="396">
        <v>-252652</v>
      </c>
      <c r="H439" s="396">
        <v>86861</v>
      </c>
      <c r="I439" s="396">
        <v>4944162</v>
      </c>
      <c r="J439" s="395">
        <v>283</v>
      </c>
      <c r="K439" s="395">
        <v>197</v>
      </c>
      <c r="L439" s="397">
        <v>0.69610000000000005</v>
      </c>
      <c r="M439" s="395">
        <v>86</v>
      </c>
      <c r="N439" s="395">
        <v>945</v>
      </c>
      <c r="O439" s="396">
        <v>2640</v>
      </c>
      <c r="P439" s="395">
        <v>0.9</v>
      </c>
      <c r="Q439" s="396">
        <v>-2938</v>
      </c>
      <c r="R439" s="396">
        <v>11644</v>
      </c>
      <c r="S439" s="396">
        <v>-10554</v>
      </c>
      <c r="T439" s="396">
        <v>455424</v>
      </c>
      <c r="U439" s="396">
        <v>-259095</v>
      </c>
      <c r="V439" s="395">
        <v>4519.7</v>
      </c>
      <c r="W439" s="395">
        <v>2257.7600000000002</v>
      </c>
      <c r="X439" s="395">
        <v>77490</v>
      </c>
      <c r="Y439" s="395">
        <v>9701.1</v>
      </c>
      <c r="Z439" s="396">
        <v>-5554996</v>
      </c>
      <c r="AA439" s="396">
        <v>267384</v>
      </c>
      <c r="AB439" s="396">
        <v>17887682</v>
      </c>
      <c r="AC439" s="396">
        <v>10207916</v>
      </c>
    </row>
    <row r="440" spans="1:29">
      <c r="A440">
        <v>1784</v>
      </c>
      <c r="B440" s="395" t="s">
        <v>6882</v>
      </c>
      <c r="C440" s="395"/>
      <c r="D440" s="396">
        <v>267353</v>
      </c>
      <c r="E440" s="396">
        <v>309677</v>
      </c>
      <c r="F440" s="395">
        <v>7.32</v>
      </c>
      <c r="G440" s="396">
        <v>-42324</v>
      </c>
      <c r="H440" s="396">
        <v>38897</v>
      </c>
      <c r="I440" s="396">
        <v>1596137</v>
      </c>
      <c r="J440" s="395">
        <v>231</v>
      </c>
      <c r="K440" s="395">
        <v>198</v>
      </c>
      <c r="L440" s="397">
        <v>0.85709999999999997</v>
      </c>
      <c r="M440" s="395">
        <v>33</v>
      </c>
      <c r="N440" s="396">
        <v>1157</v>
      </c>
      <c r="O440" s="396">
        <v>1564</v>
      </c>
      <c r="P440" s="395">
        <v>1.22</v>
      </c>
      <c r="Q440" s="396">
        <v>-1283</v>
      </c>
      <c r="R440" s="396">
        <v>4625</v>
      </c>
      <c r="S440" s="396">
        <v>-4071</v>
      </c>
      <c r="T440" s="396">
        <v>296846</v>
      </c>
      <c r="U440" s="396">
        <v>-127990</v>
      </c>
      <c r="V440" s="395">
        <v>3570.45</v>
      </c>
      <c r="W440" s="395">
        <v>2661.45</v>
      </c>
      <c r="X440" s="395">
        <v>77490</v>
      </c>
      <c r="Y440" s="395">
        <v>9024.4500000000007</v>
      </c>
      <c r="Z440" s="396">
        <v>10581409</v>
      </c>
      <c r="AA440" s="396">
        <v>267353</v>
      </c>
      <c r="AB440" s="396">
        <v>-4778805</v>
      </c>
      <c r="AC440" s="396">
        <v>10207916</v>
      </c>
    </row>
    <row r="441" spans="1:29">
      <c r="A441">
        <v>9910</v>
      </c>
      <c r="B441" s="395" t="s">
        <v>8398</v>
      </c>
      <c r="C441" s="395"/>
      <c r="D441" s="396">
        <v>266957</v>
      </c>
      <c r="E441" s="396">
        <v>1547734</v>
      </c>
      <c r="F441" s="395">
        <v>1.21</v>
      </c>
      <c r="G441" s="396">
        <v>-1280777</v>
      </c>
      <c r="H441" s="396">
        <v>241873</v>
      </c>
      <c r="I441" s="396">
        <v>18729120</v>
      </c>
      <c r="J441" s="395">
        <v>282</v>
      </c>
      <c r="K441" s="395">
        <v>200</v>
      </c>
      <c r="L441" s="397">
        <v>0.70920000000000005</v>
      </c>
      <c r="M441" s="395">
        <v>82</v>
      </c>
      <c r="N441" s="395">
        <v>947</v>
      </c>
      <c r="O441" s="396">
        <v>7739</v>
      </c>
      <c r="P441" s="395">
        <v>0.5</v>
      </c>
      <c r="Q441" s="396">
        <v>-15619</v>
      </c>
      <c r="R441" s="396">
        <v>21645</v>
      </c>
      <c r="S441" s="396">
        <v>-51353</v>
      </c>
      <c r="T441" s="396">
        <v>1730430</v>
      </c>
      <c r="U441" s="396">
        <v>-1044977</v>
      </c>
      <c r="V441" s="395">
        <v>5285.71</v>
      </c>
      <c r="W441" s="395">
        <v>3765.82</v>
      </c>
      <c r="X441" s="395">
        <v>77490</v>
      </c>
      <c r="Y441" s="395">
        <v>8992.73</v>
      </c>
      <c r="Z441" s="396">
        <v>-2827022</v>
      </c>
      <c r="AA441" s="396">
        <v>266957</v>
      </c>
      <c r="AB441" s="396">
        <v>-1756684</v>
      </c>
      <c r="AC441" s="396">
        <v>10207916</v>
      </c>
    </row>
    <row r="442" spans="1:29">
      <c r="A442">
        <v>6449</v>
      </c>
      <c r="B442" s="395" t="s">
        <v>8083</v>
      </c>
      <c r="C442" s="395"/>
      <c r="D442" s="396">
        <v>266709</v>
      </c>
      <c r="E442" s="396">
        <v>409941</v>
      </c>
      <c r="F442" s="395">
        <v>2.86</v>
      </c>
      <c r="G442" s="396">
        <v>-143231</v>
      </c>
      <c r="H442" s="396">
        <v>53117</v>
      </c>
      <c r="I442" s="396">
        <v>2918587</v>
      </c>
      <c r="J442" s="395">
        <v>226</v>
      </c>
      <c r="K442" s="395">
        <v>168</v>
      </c>
      <c r="L442" s="397">
        <v>0.74339999999999995</v>
      </c>
      <c r="M442" s="395">
        <v>58</v>
      </c>
      <c r="N442" s="396">
        <v>1180</v>
      </c>
      <c r="O442" s="396">
        <v>2440</v>
      </c>
      <c r="P442" s="395">
        <v>0.99</v>
      </c>
      <c r="Q442" s="396">
        <v>-2470</v>
      </c>
      <c r="R442" s="396">
        <v>9269</v>
      </c>
      <c r="S442" s="396">
        <v>-9669</v>
      </c>
      <c r="T442" s="396">
        <v>425414</v>
      </c>
      <c r="U442" s="396">
        <v>-233459</v>
      </c>
      <c r="V442" s="395">
        <v>4802.17</v>
      </c>
      <c r="W442" s="395">
        <v>3476.73</v>
      </c>
      <c r="X442" s="395">
        <v>77490</v>
      </c>
      <c r="Y442" s="395">
        <v>8641.36</v>
      </c>
      <c r="Z442" s="396">
        <v>-11745973</v>
      </c>
      <c r="AA442" s="396">
        <v>266709</v>
      </c>
      <c r="AB442" s="396">
        <v>1601338</v>
      </c>
      <c r="AC442" s="396">
        <v>10207916</v>
      </c>
    </row>
    <row r="443" spans="1:29">
      <c r="A443">
        <v>1732</v>
      </c>
      <c r="B443" s="395" t="s">
        <v>6867</v>
      </c>
      <c r="C443" s="395"/>
      <c r="D443" s="396">
        <v>266521</v>
      </c>
      <c r="E443" s="396">
        <v>396979</v>
      </c>
      <c r="F443" s="395">
        <v>3.04</v>
      </c>
      <c r="G443" s="396">
        <v>-130458</v>
      </c>
      <c r="H443" s="396">
        <v>30602</v>
      </c>
      <c r="I443" s="396">
        <v>1745100</v>
      </c>
      <c r="J443" s="395">
        <v>241</v>
      </c>
      <c r="K443" s="395">
        <v>187</v>
      </c>
      <c r="L443" s="397">
        <v>0.77590000000000003</v>
      </c>
      <c r="M443" s="395">
        <v>54</v>
      </c>
      <c r="N443" s="396">
        <v>1106</v>
      </c>
      <c r="O443" s="396">
        <v>2123</v>
      </c>
      <c r="P443" s="395">
        <v>0.88</v>
      </c>
      <c r="Q443" s="396">
        <v>-2416</v>
      </c>
      <c r="R443" s="396">
        <v>7982</v>
      </c>
      <c r="S443" s="396">
        <v>-13160</v>
      </c>
      <c r="T443" s="396">
        <v>533412</v>
      </c>
      <c r="U443" s="396">
        <v>-334583</v>
      </c>
      <c r="V443" s="395">
        <v>3601.29</v>
      </c>
      <c r="W443" s="395">
        <v>2488.21</v>
      </c>
      <c r="X443" s="395">
        <v>77490</v>
      </c>
      <c r="Y443" s="395">
        <v>7455.85</v>
      </c>
      <c r="Z443" s="396">
        <v>-13211427</v>
      </c>
      <c r="AA443" s="396">
        <v>266521</v>
      </c>
      <c r="AB443" s="396">
        <v>20818939</v>
      </c>
      <c r="AC443" s="396">
        <v>10207916</v>
      </c>
    </row>
    <row r="444" spans="1:29">
      <c r="A444">
        <v>2464</v>
      </c>
      <c r="B444" s="395" t="s">
        <v>7082</v>
      </c>
      <c r="C444" s="395"/>
      <c r="D444" s="396">
        <v>266076</v>
      </c>
      <c r="E444" s="396">
        <v>326849</v>
      </c>
      <c r="F444" s="395">
        <v>5.38</v>
      </c>
      <c r="G444" s="396">
        <v>-60773</v>
      </c>
      <c r="H444" s="396">
        <v>46107</v>
      </c>
      <c r="I444" s="396">
        <v>1507245</v>
      </c>
      <c r="J444" s="395">
        <v>260</v>
      </c>
      <c r="K444" s="395">
        <v>209</v>
      </c>
      <c r="L444" s="397">
        <v>0.80379999999999996</v>
      </c>
      <c r="M444" s="395">
        <v>51</v>
      </c>
      <c r="N444" s="396">
        <v>1023</v>
      </c>
      <c r="O444" s="396">
        <v>1564</v>
      </c>
      <c r="P444" s="395">
        <v>1.31</v>
      </c>
      <c r="Q444" s="396">
        <v>-1192</v>
      </c>
      <c r="R444" s="396">
        <v>6526</v>
      </c>
      <c r="S444" s="396">
        <v>-3895</v>
      </c>
      <c r="T444" s="396">
        <v>342386</v>
      </c>
      <c r="U444" s="396">
        <v>-123716</v>
      </c>
      <c r="V444" s="395">
        <v>2899.43</v>
      </c>
      <c r="W444" s="395">
        <v>2451.84</v>
      </c>
      <c r="X444" s="395">
        <v>77490</v>
      </c>
      <c r="Y444" s="395">
        <v>4733.6899999999996</v>
      </c>
      <c r="Z444" s="396">
        <v>-4504195</v>
      </c>
      <c r="AA444" s="396">
        <v>266076</v>
      </c>
      <c r="AB444" s="396">
        <v>-988802</v>
      </c>
      <c r="AC444" s="396">
        <v>10207916</v>
      </c>
    </row>
    <row r="445" spans="1:29">
      <c r="A445">
        <v>5538</v>
      </c>
      <c r="B445" s="395" t="s">
        <v>7875</v>
      </c>
      <c r="C445" s="395"/>
      <c r="D445" s="396">
        <v>262820</v>
      </c>
      <c r="E445" s="396">
        <v>312706</v>
      </c>
      <c r="F445" s="395">
        <v>6.27</v>
      </c>
      <c r="G445" s="396">
        <v>-49886</v>
      </c>
      <c r="H445" s="396">
        <v>43130</v>
      </c>
      <c r="I445" s="396">
        <v>995383</v>
      </c>
      <c r="J445" s="395">
        <v>230</v>
      </c>
      <c r="K445" s="395">
        <v>191</v>
      </c>
      <c r="L445" s="397">
        <v>0.83040000000000003</v>
      </c>
      <c r="M445" s="395">
        <v>39</v>
      </c>
      <c r="N445" s="396">
        <v>1143</v>
      </c>
      <c r="O445" s="396">
        <v>1637</v>
      </c>
      <c r="P445" s="395">
        <v>1.28</v>
      </c>
      <c r="Q445" s="396">
        <v>-1279</v>
      </c>
      <c r="R445" s="396">
        <v>5039</v>
      </c>
      <c r="S445" s="396">
        <v>-5341</v>
      </c>
      <c r="T445" s="396">
        <v>313226</v>
      </c>
      <c r="U445" s="396">
        <v>-85168</v>
      </c>
      <c r="V445" s="395">
        <v>2279.69</v>
      </c>
      <c r="W445" s="395">
        <v>1704.81</v>
      </c>
      <c r="X445" s="395">
        <v>77490</v>
      </c>
      <c r="Y445" s="395">
        <v>5095.13</v>
      </c>
      <c r="Z445" s="396">
        <v>13015227</v>
      </c>
      <c r="AA445" s="396">
        <v>262820</v>
      </c>
      <c r="AB445" s="396">
        <v>32883165</v>
      </c>
      <c r="AC445" s="396">
        <v>10207916</v>
      </c>
    </row>
    <row r="446" spans="1:29">
      <c r="A446">
        <v>8050</v>
      </c>
      <c r="B446" s="395" t="s">
        <v>8244</v>
      </c>
      <c r="C446" s="395"/>
      <c r="D446" s="396">
        <v>262788</v>
      </c>
      <c r="E446" s="396">
        <v>279942</v>
      </c>
      <c r="F446" s="395">
        <v>16.32</v>
      </c>
      <c r="G446" s="396">
        <v>-17154</v>
      </c>
      <c r="H446" s="396">
        <v>39042</v>
      </c>
      <c r="I446" s="396">
        <v>2446168</v>
      </c>
      <c r="J446" s="395">
        <v>245</v>
      </c>
      <c r="K446" s="395">
        <v>212</v>
      </c>
      <c r="L446" s="397">
        <v>0.86529999999999996</v>
      </c>
      <c r="M446" s="395">
        <v>33</v>
      </c>
      <c r="N446" s="396">
        <v>1073</v>
      </c>
      <c r="O446" s="396">
        <v>1320</v>
      </c>
      <c r="P446" s="395">
        <v>2.54</v>
      </c>
      <c r="Q446" s="395">
        <v>-520</v>
      </c>
      <c r="R446" s="396">
        <v>5850</v>
      </c>
      <c r="S446" s="396">
        <v>-3416</v>
      </c>
      <c r="T446" s="396">
        <v>386518</v>
      </c>
      <c r="U446" s="396">
        <v>-205009</v>
      </c>
      <c r="V446" s="395">
        <v>5393.3</v>
      </c>
      <c r="W446" s="395">
        <v>5088.32</v>
      </c>
      <c r="X446" s="395">
        <v>77490</v>
      </c>
      <c r="Y446" s="395">
        <v>7352.61</v>
      </c>
      <c r="Z446" s="396">
        <v>-2305242</v>
      </c>
      <c r="AA446" s="396">
        <v>262788</v>
      </c>
      <c r="AB446" s="396">
        <v>5348471</v>
      </c>
      <c r="AC446" s="396">
        <v>10207916</v>
      </c>
    </row>
    <row r="447" spans="1:29">
      <c r="A447">
        <v>6151</v>
      </c>
      <c r="B447" s="395" t="s">
        <v>7946</v>
      </c>
      <c r="C447" s="395"/>
      <c r="D447" s="396">
        <v>262154</v>
      </c>
      <c r="E447" s="396">
        <v>301861</v>
      </c>
      <c r="F447" s="395">
        <v>7.6</v>
      </c>
      <c r="G447" s="396">
        <v>-39707</v>
      </c>
      <c r="H447" s="396">
        <v>33406</v>
      </c>
      <c r="I447" s="396">
        <v>2620170</v>
      </c>
      <c r="J447" s="395">
        <v>223</v>
      </c>
      <c r="K447" s="395">
        <v>180</v>
      </c>
      <c r="L447" s="397">
        <v>0.80720000000000003</v>
      </c>
      <c r="M447" s="395">
        <v>43</v>
      </c>
      <c r="N447" s="396">
        <v>1176</v>
      </c>
      <c r="O447" s="396">
        <v>1677</v>
      </c>
      <c r="P447" s="395">
        <v>1.82</v>
      </c>
      <c r="Q447" s="395">
        <v>-923</v>
      </c>
      <c r="R447" s="396">
        <v>4906</v>
      </c>
      <c r="S447" s="396">
        <v>-5932</v>
      </c>
      <c r="T447" s="396">
        <v>353983</v>
      </c>
      <c r="U447" s="396">
        <v>-188706</v>
      </c>
      <c r="V447" s="395">
        <v>5889.32</v>
      </c>
      <c r="W447" s="395">
        <v>4582.7700000000004</v>
      </c>
      <c r="X447" s="395">
        <v>77490</v>
      </c>
      <c r="Y447" s="395">
        <v>11358.63</v>
      </c>
      <c r="Z447" s="396">
        <v>-2799517</v>
      </c>
      <c r="AA447" s="396">
        <v>262154</v>
      </c>
      <c r="AB447" s="396">
        <v>32428946</v>
      </c>
      <c r="AC447" s="396">
        <v>10207916</v>
      </c>
    </row>
    <row r="448" spans="1:29">
      <c r="A448">
        <v>3323</v>
      </c>
      <c r="B448" s="395" t="s">
        <v>7392</v>
      </c>
      <c r="C448" s="395"/>
      <c r="D448" s="396">
        <v>261931</v>
      </c>
      <c r="E448" s="396">
        <v>440110</v>
      </c>
      <c r="F448" s="395">
        <v>2.4700000000000002</v>
      </c>
      <c r="G448" s="396">
        <v>-178179</v>
      </c>
      <c r="H448" s="396">
        <v>46051</v>
      </c>
      <c r="I448" s="396">
        <v>2387921</v>
      </c>
      <c r="J448" s="395">
        <v>251</v>
      </c>
      <c r="K448" s="395">
        <v>196</v>
      </c>
      <c r="L448" s="397">
        <v>0.78090000000000004</v>
      </c>
      <c r="M448" s="395">
        <v>55</v>
      </c>
      <c r="N448" s="396">
        <v>1044</v>
      </c>
      <c r="O448" s="396">
        <v>2245</v>
      </c>
      <c r="P448" s="395">
        <v>0.69</v>
      </c>
      <c r="Q448" s="396">
        <v>-3240</v>
      </c>
      <c r="R448" s="396">
        <v>9196</v>
      </c>
      <c r="S448" s="396">
        <v>-15656</v>
      </c>
      <c r="T448" s="396">
        <v>516331</v>
      </c>
      <c r="U448" s="396">
        <v>-405854</v>
      </c>
      <c r="V448" s="395">
        <v>3972.06</v>
      </c>
      <c r="W448" s="395">
        <v>2713.98</v>
      </c>
      <c r="X448" s="395">
        <v>77490</v>
      </c>
      <c r="Y448" s="395">
        <v>8455.3799999999992</v>
      </c>
      <c r="Z448" s="396">
        <v>-14309350</v>
      </c>
      <c r="AA448" s="396">
        <v>261931</v>
      </c>
      <c r="AB448" s="396">
        <v>-5248527</v>
      </c>
      <c r="AC448" s="396">
        <v>10207916</v>
      </c>
    </row>
    <row r="449" spans="1:29">
      <c r="A449">
        <v>4438</v>
      </c>
      <c r="B449" s="395" t="s">
        <v>7620</v>
      </c>
      <c r="C449" s="395"/>
      <c r="D449" s="396">
        <v>260778</v>
      </c>
      <c r="E449" s="396">
        <v>996337</v>
      </c>
      <c r="F449" s="395">
        <v>1.35</v>
      </c>
      <c r="G449" s="396">
        <v>-735559</v>
      </c>
      <c r="H449" s="396">
        <v>111811</v>
      </c>
      <c r="I449" s="396">
        <v>9017459</v>
      </c>
      <c r="J449" s="395">
        <v>228</v>
      </c>
      <c r="K449" s="395">
        <v>148</v>
      </c>
      <c r="L449" s="397">
        <v>0.64910000000000001</v>
      </c>
      <c r="M449" s="395">
        <v>80</v>
      </c>
      <c r="N449" s="396">
        <v>1144</v>
      </c>
      <c r="O449" s="396">
        <v>6732</v>
      </c>
      <c r="P449" s="395">
        <v>0.73</v>
      </c>
      <c r="Q449" s="396">
        <v>-9194</v>
      </c>
      <c r="R449" s="396">
        <v>18915</v>
      </c>
      <c r="S449" s="396">
        <v>-34017</v>
      </c>
      <c r="T449" s="396">
        <v>1357962</v>
      </c>
      <c r="U449" s="396">
        <v>-751875</v>
      </c>
      <c r="V449" s="395">
        <v>6926.7</v>
      </c>
      <c r="W449" s="395">
        <v>4219.63</v>
      </c>
      <c r="X449" s="395">
        <v>77490</v>
      </c>
      <c r="Y449" s="395">
        <v>11934.79</v>
      </c>
      <c r="Z449" s="396">
        <v>-1357428</v>
      </c>
      <c r="AA449" s="396">
        <v>260778</v>
      </c>
      <c r="AB449" s="396">
        <v>3303330</v>
      </c>
      <c r="AC449" s="396">
        <v>10207916</v>
      </c>
    </row>
    <row r="450" spans="1:29">
      <c r="A450">
        <v>8048</v>
      </c>
      <c r="B450" s="395" t="s">
        <v>8242</v>
      </c>
      <c r="C450" s="395"/>
      <c r="D450" s="396">
        <v>260622</v>
      </c>
      <c r="E450" s="396">
        <v>283714</v>
      </c>
      <c r="F450" s="395">
        <v>12.29</v>
      </c>
      <c r="G450" s="396">
        <v>-23092</v>
      </c>
      <c r="H450" s="396">
        <v>29748</v>
      </c>
      <c r="I450" s="396">
        <v>2501465</v>
      </c>
      <c r="J450" s="395">
        <v>208</v>
      </c>
      <c r="K450" s="395">
        <v>177</v>
      </c>
      <c r="L450" s="397">
        <v>0.85099999999999998</v>
      </c>
      <c r="M450" s="395">
        <v>31</v>
      </c>
      <c r="N450" s="396">
        <v>1253</v>
      </c>
      <c r="O450" s="396">
        <v>1603</v>
      </c>
      <c r="P450" s="395">
        <v>2.15</v>
      </c>
      <c r="Q450" s="395">
        <v>-745</v>
      </c>
      <c r="R450" s="396">
        <v>4459</v>
      </c>
      <c r="S450" s="396">
        <v>-2443</v>
      </c>
      <c r="T450" s="396">
        <v>275396</v>
      </c>
      <c r="U450" s="396">
        <v>-115130</v>
      </c>
      <c r="V450" s="395">
        <v>7958.26</v>
      </c>
      <c r="W450" s="395">
        <v>8039.53</v>
      </c>
      <c r="X450" s="395">
        <v>77490</v>
      </c>
      <c r="Y450" s="395">
        <v>7494.26</v>
      </c>
      <c r="Z450" s="396">
        <v>10246007</v>
      </c>
      <c r="AA450" s="396">
        <v>260622</v>
      </c>
      <c r="AB450" s="396">
        <v>11887135</v>
      </c>
      <c r="AC450" s="396">
        <v>10207916</v>
      </c>
    </row>
    <row r="451" spans="1:29">
      <c r="A451">
        <v>3346</v>
      </c>
      <c r="B451" s="395" t="s">
        <v>7398</v>
      </c>
      <c r="C451" s="395"/>
      <c r="D451" s="396">
        <v>260427</v>
      </c>
      <c r="E451" s="396">
        <v>561060</v>
      </c>
      <c r="F451" s="395">
        <v>1.87</v>
      </c>
      <c r="G451" s="396">
        <v>-300633</v>
      </c>
      <c r="H451" s="396">
        <v>47980</v>
      </c>
      <c r="I451" s="396">
        <v>2375329</v>
      </c>
      <c r="J451" s="395">
        <v>258</v>
      </c>
      <c r="K451" s="395">
        <v>187</v>
      </c>
      <c r="L451" s="397">
        <v>0.7248</v>
      </c>
      <c r="M451" s="395">
        <v>71</v>
      </c>
      <c r="N451" s="396">
        <v>1009</v>
      </c>
      <c r="O451" s="396">
        <v>3000</v>
      </c>
      <c r="P451" s="395">
        <v>0.71</v>
      </c>
      <c r="Q451" s="396">
        <v>-4234</v>
      </c>
      <c r="R451" s="396">
        <v>13874</v>
      </c>
      <c r="S451" s="396">
        <v>-15234</v>
      </c>
      <c r="T451" s="396">
        <v>711635</v>
      </c>
      <c r="U451" s="396">
        <v>-429129</v>
      </c>
      <c r="V451" s="395">
        <v>3795.66</v>
      </c>
      <c r="W451" s="395">
        <v>2572.48</v>
      </c>
      <c r="X451" s="395">
        <v>77490</v>
      </c>
      <c r="Y451" s="395">
        <v>7017.27</v>
      </c>
      <c r="Z451" s="396">
        <v>-20695075</v>
      </c>
      <c r="AA451" s="396">
        <v>260427</v>
      </c>
      <c r="AB451" s="396">
        <v>-11783806</v>
      </c>
      <c r="AC451" s="396">
        <v>10207916</v>
      </c>
    </row>
    <row r="452" spans="1:29">
      <c r="A452">
        <v>2250</v>
      </c>
      <c r="B452" s="395" t="s">
        <v>6971</v>
      </c>
      <c r="C452" s="395"/>
      <c r="D452" s="396">
        <v>260327</v>
      </c>
      <c r="E452" s="396">
        <v>915057</v>
      </c>
      <c r="F452" s="395">
        <v>1.4</v>
      </c>
      <c r="G452" s="396">
        <v>-654730</v>
      </c>
      <c r="H452" s="396">
        <v>77173</v>
      </c>
      <c r="I452" s="396">
        <v>7755949</v>
      </c>
      <c r="J452" s="395">
        <v>143</v>
      </c>
      <c r="K452" s="395">
        <v>85</v>
      </c>
      <c r="L452" s="397">
        <v>0.59440000000000004</v>
      </c>
      <c r="M452" s="395">
        <v>58</v>
      </c>
      <c r="N452" s="396">
        <v>1820</v>
      </c>
      <c r="O452" s="396">
        <v>10765</v>
      </c>
      <c r="P452" s="395">
        <v>0.95</v>
      </c>
      <c r="Q452" s="396">
        <v>-11288</v>
      </c>
      <c r="R452" s="396">
        <v>26051</v>
      </c>
      <c r="S452" s="396">
        <v>-43586</v>
      </c>
      <c r="T452" s="396">
        <v>1631197</v>
      </c>
      <c r="U452" s="396">
        <v>-1341780</v>
      </c>
      <c r="V452" s="395">
        <v>7063.92</v>
      </c>
      <c r="W452" s="395">
        <v>4128.8599999999997</v>
      </c>
      <c r="X452" s="395">
        <v>52110</v>
      </c>
      <c r="Y452" s="395">
        <v>11365.31</v>
      </c>
      <c r="Z452" s="396">
        <v>-11888904</v>
      </c>
      <c r="AA452" s="396">
        <v>260327</v>
      </c>
      <c r="AB452" s="396">
        <v>-16507147</v>
      </c>
      <c r="AC452" s="396">
        <v>10207916</v>
      </c>
    </row>
    <row r="453" spans="1:29">
      <c r="A453">
        <v>8103</v>
      </c>
      <c r="B453" s="395" t="s">
        <v>8274</v>
      </c>
      <c r="C453" s="395"/>
      <c r="D453" s="396">
        <v>260113</v>
      </c>
      <c r="E453" s="396">
        <v>335646</v>
      </c>
      <c r="F453" s="395">
        <v>4.4400000000000004</v>
      </c>
      <c r="G453" s="396">
        <v>-75534</v>
      </c>
      <c r="H453" s="396">
        <v>47226</v>
      </c>
      <c r="I453" s="396">
        <v>1736613</v>
      </c>
      <c r="J453" s="395">
        <v>269</v>
      </c>
      <c r="K453" s="395">
        <v>229</v>
      </c>
      <c r="L453" s="397">
        <v>0.85129999999999995</v>
      </c>
      <c r="M453" s="395">
        <v>40</v>
      </c>
      <c r="N453" s="395">
        <v>967</v>
      </c>
      <c r="O453" s="396">
        <v>1466</v>
      </c>
      <c r="P453" s="395">
        <v>0.78</v>
      </c>
      <c r="Q453" s="396">
        <v>-1888</v>
      </c>
      <c r="R453" s="396">
        <v>6100</v>
      </c>
      <c r="S453" s="396">
        <v>-7276</v>
      </c>
      <c r="T453" s="396">
        <v>309190</v>
      </c>
      <c r="U453" s="396">
        <v>-149836</v>
      </c>
      <c r="V453" s="395">
        <v>2055.59</v>
      </c>
      <c r="W453" s="395">
        <v>1721.55</v>
      </c>
      <c r="X453" s="395">
        <v>77490</v>
      </c>
      <c r="Y453" s="395">
        <v>3967.97</v>
      </c>
      <c r="Z453" s="396">
        <v>10904172</v>
      </c>
      <c r="AA453" s="396">
        <v>260113</v>
      </c>
      <c r="AB453" s="396">
        <v>15682131</v>
      </c>
      <c r="AC453" s="396">
        <v>10207916</v>
      </c>
    </row>
    <row r="454" spans="1:29">
      <c r="A454">
        <v>2014</v>
      </c>
      <c r="B454" s="395" t="s">
        <v>6913</v>
      </c>
      <c r="C454" s="395"/>
      <c r="D454" s="396">
        <v>259652</v>
      </c>
      <c r="E454" s="396">
        <v>501449</v>
      </c>
      <c r="F454" s="395">
        <v>2.0699999999999998</v>
      </c>
      <c r="G454" s="396">
        <v>-241797</v>
      </c>
      <c r="H454" s="396">
        <v>42780</v>
      </c>
      <c r="I454" s="396">
        <v>4225904</v>
      </c>
      <c r="J454" s="395">
        <v>279</v>
      </c>
      <c r="K454" s="395">
        <v>206</v>
      </c>
      <c r="L454" s="397">
        <v>0.73839999999999995</v>
      </c>
      <c r="M454" s="395">
        <v>73</v>
      </c>
      <c r="N454" s="395">
        <v>931</v>
      </c>
      <c r="O454" s="396">
        <v>2434</v>
      </c>
      <c r="P454" s="395">
        <v>0.73</v>
      </c>
      <c r="Q454" s="396">
        <v>-3312</v>
      </c>
      <c r="R454" s="396">
        <v>9449</v>
      </c>
      <c r="S454" s="396">
        <v>-11252</v>
      </c>
      <c r="T454" s="396">
        <v>952032</v>
      </c>
      <c r="U454" s="396">
        <v>-798024</v>
      </c>
      <c r="V454" s="395">
        <v>6350.43</v>
      </c>
      <c r="W454" s="395">
        <v>3217.49</v>
      </c>
      <c r="X454" s="395">
        <v>77490</v>
      </c>
      <c r="Y454" s="395">
        <v>15191.32</v>
      </c>
      <c r="Z454" s="396">
        <v>6135500</v>
      </c>
      <c r="AA454" s="396">
        <v>259652</v>
      </c>
      <c r="AB454" s="396">
        <v>83876878</v>
      </c>
      <c r="AC454" s="396">
        <v>10207916</v>
      </c>
    </row>
    <row r="455" spans="1:29">
      <c r="A455">
        <v>4164</v>
      </c>
      <c r="B455" s="395" t="s">
        <v>7588</v>
      </c>
      <c r="C455" s="395"/>
      <c r="D455" s="396">
        <v>258723</v>
      </c>
      <c r="E455" s="396">
        <v>280391</v>
      </c>
      <c r="F455" s="395">
        <v>12.94</v>
      </c>
      <c r="G455" s="396">
        <v>-21668</v>
      </c>
      <c r="H455" s="396">
        <v>39172</v>
      </c>
      <c r="I455" s="396">
        <v>2480121</v>
      </c>
      <c r="J455" s="395">
        <v>260</v>
      </c>
      <c r="K455" s="395">
        <v>235</v>
      </c>
      <c r="L455" s="397">
        <v>0.90380000000000005</v>
      </c>
      <c r="M455" s="395">
        <v>25</v>
      </c>
      <c r="N455" s="395">
        <v>995</v>
      </c>
      <c r="O455" s="396">
        <v>1193</v>
      </c>
      <c r="P455" s="395">
        <v>1.38</v>
      </c>
      <c r="Q455" s="395">
        <v>-867</v>
      </c>
      <c r="R455" s="396">
        <v>3806</v>
      </c>
      <c r="S455" s="396">
        <v>-2206</v>
      </c>
      <c r="T455" s="396">
        <v>307960</v>
      </c>
      <c r="U455" s="396">
        <v>-122431</v>
      </c>
      <c r="V455" s="395">
        <v>5248.25</v>
      </c>
      <c r="W455" s="395">
        <v>5264</v>
      </c>
      <c r="X455" s="395">
        <v>77490</v>
      </c>
      <c r="Y455" s="395">
        <v>5100.16</v>
      </c>
      <c r="Z455" s="396">
        <v>291311</v>
      </c>
      <c r="AA455" s="396">
        <v>258723</v>
      </c>
      <c r="AB455" s="396">
        <v>5847943</v>
      </c>
      <c r="AC455" s="396">
        <v>10207916</v>
      </c>
    </row>
    <row r="456" spans="1:29">
      <c r="A456">
        <v>1526</v>
      </c>
      <c r="B456" s="395" t="s">
        <v>6798</v>
      </c>
      <c r="C456" s="395"/>
      <c r="D456" s="396">
        <v>257937</v>
      </c>
      <c r="E456" s="396">
        <v>343328</v>
      </c>
      <c r="F456" s="395">
        <v>4.0199999999999996</v>
      </c>
      <c r="G456" s="396">
        <v>-85391</v>
      </c>
      <c r="H456" s="396">
        <v>49389</v>
      </c>
      <c r="I456" s="396">
        <v>1028776</v>
      </c>
      <c r="J456" s="395">
        <v>248</v>
      </c>
      <c r="K456" s="395">
        <v>200</v>
      </c>
      <c r="L456" s="397">
        <v>0.80649999999999999</v>
      </c>
      <c r="M456" s="395">
        <v>48</v>
      </c>
      <c r="N456" s="396">
        <v>1040</v>
      </c>
      <c r="O456" s="396">
        <v>1717</v>
      </c>
      <c r="P456" s="395">
        <v>0.97</v>
      </c>
      <c r="Q456" s="396">
        <v>-1779</v>
      </c>
      <c r="R456" s="396">
        <v>10017</v>
      </c>
      <c r="S456" s="396">
        <v>-8220</v>
      </c>
      <c r="T456" s="396">
        <v>396329</v>
      </c>
      <c r="U456" s="396">
        <v>-198948</v>
      </c>
      <c r="V456" s="395">
        <v>1980.92</v>
      </c>
      <c r="W456" s="395">
        <v>1421.86</v>
      </c>
      <c r="X456" s="395">
        <v>77490</v>
      </c>
      <c r="Y456" s="395">
        <v>4310.3100000000004</v>
      </c>
      <c r="Z456" s="396">
        <v>-11883359</v>
      </c>
      <c r="AA456" s="396">
        <v>257937</v>
      </c>
      <c r="AB456" s="396">
        <v>3668857</v>
      </c>
      <c r="AC456" s="396">
        <v>10207916</v>
      </c>
    </row>
    <row r="457" spans="1:29">
      <c r="A457">
        <v>8131</v>
      </c>
      <c r="B457" s="395" t="s">
        <v>8284</v>
      </c>
      <c r="C457" s="395"/>
      <c r="D457" s="396">
        <v>257810</v>
      </c>
      <c r="E457" s="396">
        <v>276922</v>
      </c>
      <c r="F457" s="395">
        <v>14.49</v>
      </c>
      <c r="G457" s="396">
        <v>-19112</v>
      </c>
      <c r="H457" s="396">
        <v>40344</v>
      </c>
      <c r="I457" s="396">
        <v>4770555</v>
      </c>
      <c r="J457" s="395">
        <v>253</v>
      </c>
      <c r="K457" s="395">
        <v>231</v>
      </c>
      <c r="L457" s="397">
        <v>0.91300000000000003</v>
      </c>
      <c r="M457" s="395">
        <v>22</v>
      </c>
      <c r="N457" s="396">
        <v>1019</v>
      </c>
      <c r="O457" s="396">
        <v>1199</v>
      </c>
      <c r="P457" s="395">
        <v>1.38</v>
      </c>
      <c r="Q457" s="395">
        <v>-869</v>
      </c>
      <c r="R457" s="396">
        <v>4295</v>
      </c>
      <c r="S457" s="396">
        <v>-3822</v>
      </c>
      <c r="T457" s="396">
        <v>266503</v>
      </c>
      <c r="U457" s="396">
        <v>-93366</v>
      </c>
      <c r="V457" s="395">
        <v>11549.27</v>
      </c>
      <c r="W457" s="395">
        <v>11628.75</v>
      </c>
      <c r="X457" s="395">
        <v>77490</v>
      </c>
      <c r="Y457" s="395">
        <v>10714.68</v>
      </c>
      <c r="Z457" s="396">
        <v>1769215</v>
      </c>
      <c r="AA457" s="396">
        <v>257810</v>
      </c>
      <c r="AB457" s="396">
        <v>7760353</v>
      </c>
      <c r="AC457" s="396">
        <v>10207916</v>
      </c>
    </row>
    <row r="458" spans="1:29">
      <c r="A458">
        <v>6166</v>
      </c>
      <c r="B458" s="395" t="s">
        <v>7958</v>
      </c>
      <c r="C458" s="395"/>
      <c r="D458" s="396">
        <v>256609</v>
      </c>
      <c r="E458" s="396">
        <v>392053</v>
      </c>
      <c r="F458" s="395">
        <v>2.89</v>
      </c>
      <c r="G458" s="396">
        <v>-135444</v>
      </c>
      <c r="H458" s="396">
        <v>60329</v>
      </c>
      <c r="I458" s="396">
        <v>2152000</v>
      </c>
      <c r="J458" s="395">
        <v>238</v>
      </c>
      <c r="K458" s="395">
        <v>181</v>
      </c>
      <c r="L458" s="397">
        <v>0.76049999999999995</v>
      </c>
      <c r="M458" s="395">
        <v>57</v>
      </c>
      <c r="N458" s="396">
        <v>1078</v>
      </c>
      <c r="O458" s="396">
        <v>2166</v>
      </c>
      <c r="P458" s="395">
        <v>0.91</v>
      </c>
      <c r="Q458" s="396">
        <v>-2376</v>
      </c>
      <c r="R458" s="396">
        <v>7169</v>
      </c>
      <c r="S458" s="396">
        <v>-7463</v>
      </c>
      <c r="T458" s="396">
        <v>376345</v>
      </c>
      <c r="U458" s="396">
        <v>-119329</v>
      </c>
      <c r="V458" s="395">
        <v>2957.4</v>
      </c>
      <c r="W458" s="395">
        <v>1995.64</v>
      </c>
      <c r="X458" s="395">
        <v>77490</v>
      </c>
      <c r="Y458" s="395">
        <v>6011.44</v>
      </c>
      <c r="Z458" s="396">
        <v>-14170004</v>
      </c>
      <c r="AA458" s="396">
        <v>256609</v>
      </c>
      <c r="AB458" s="396">
        <v>-3242422</v>
      </c>
      <c r="AC458" s="396">
        <v>10207916</v>
      </c>
    </row>
    <row r="459" spans="1:29">
      <c r="A459">
        <v>1720</v>
      </c>
      <c r="B459" s="395" t="s">
        <v>6858</v>
      </c>
      <c r="C459" s="395"/>
      <c r="D459" s="396">
        <v>256324</v>
      </c>
      <c r="E459" s="396">
        <v>264847</v>
      </c>
      <c r="F459" s="395">
        <v>31.07</v>
      </c>
      <c r="G459" s="396">
        <v>-8523</v>
      </c>
      <c r="H459" s="396">
        <v>40145</v>
      </c>
      <c r="I459" s="396">
        <v>2799234</v>
      </c>
      <c r="J459" s="395">
        <v>250</v>
      </c>
      <c r="K459" s="395">
        <v>233</v>
      </c>
      <c r="L459" s="397">
        <v>0.93200000000000005</v>
      </c>
      <c r="M459" s="395">
        <v>17</v>
      </c>
      <c r="N459" s="396">
        <v>1025</v>
      </c>
      <c r="O459" s="396">
        <v>1137</v>
      </c>
      <c r="P459" s="395">
        <v>2.27</v>
      </c>
      <c r="Q459" s="395">
        <v>-501</v>
      </c>
      <c r="R459" s="396">
        <v>2704</v>
      </c>
      <c r="S459" s="396">
        <v>-2124</v>
      </c>
      <c r="T459" s="396">
        <v>286922</v>
      </c>
      <c r="U459" s="396">
        <v>-74191</v>
      </c>
      <c r="V459" s="395">
        <v>5918.14</v>
      </c>
      <c r="W459" s="395">
        <v>6078.26</v>
      </c>
      <c r="X459" s="395">
        <v>77220</v>
      </c>
      <c r="Y459" s="395">
        <v>3723.53</v>
      </c>
      <c r="Z459" s="396">
        <v>331389</v>
      </c>
      <c r="AA459" s="396">
        <v>256324</v>
      </c>
      <c r="AB459" s="396">
        <v>9026874</v>
      </c>
      <c r="AC459" s="396">
        <v>10207916</v>
      </c>
    </row>
    <row r="460" spans="1:29">
      <c r="A460">
        <v>2457</v>
      </c>
      <c r="B460" s="395" t="s">
        <v>7076</v>
      </c>
      <c r="C460" s="395"/>
      <c r="D460" s="396">
        <v>255713</v>
      </c>
      <c r="E460" s="396">
        <v>326335</v>
      </c>
      <c r="F460" s="395">
        <v>4.62</v>
      </c>
      <c r="G460" s="396">
        <v>-70622</v>
      </c>
      <c r="H460" s="396">
        <v>38187</v>
      </c>
      <c r="I460" s="396">
        <v>951662</v>
      </c>
      <c r="J460" s="395">
        <v>270</v>
      </c>
      <c r="K460" s="395">
        <v>227</v>
      </c>
      <c r="L460" s="397">
        <v>0.8407</v>
      </c>
      <c r="M460" s="395">
        <v>43</v>
      </c>
      <c r="N460" s="395">
        <v>947</v>
      </c>
      <c r="O460" s="396">
        <v>1438</v>
      </c>
      <c r="P460" s="395">
        <v>0.88</v>
      </c>
      <c r="Q460" s="396">
        <v>-1642</v>
      </c>
      <c r="R460" s="396">
        <v>6754</v>
      </c>
      <c r="S460" s="396">
        <v>-6234</v>
      </c>
      <c r="T460" s="396">
        <v>279015</v>
      </c>
      <c r="U460" s="396">
        <v>-108174</v>
      </c>
      <c r="V460" s="395">
        <v>1440.09</v>
      </c>
      <c r="W460" s="395">
        <v>1072.01</v>
      </c>
      <c r="X460" s="395">
        <v>77490</v>
      </c>
      <c r="Y460" s="395">
        <v>3383.21</v>
      </c>
      <c r="Z460" s="396">
        <v>-4111067</v>
      </c>
      <c r="AA460" s="396">
        <v>255713</v>
      </c>
      <c r="AB460" s="396">
        <v>81996933</v>
      </c>
      <c r="AC460" s="396">
        <v>10207916</v>
      </c>
    </row>
    <row r="461" spans="1:29">
      <c r="A461">
        <v>4557</v>
      </c>
      <c r="B461" s="395" t="s">
        <v>7652</v>
      </c>
      <c r="C461" s="395"/>
      <c r="D461" s="396">
        <v>254462</v>
      </c>
      <c r="E461" s="396">
        <v>269810</v>
      </c>
      <c r="F461" s="395">
        <v>17.579999999999998</v>
      </c>
      <c r="G461" s="396">
        <v>-15348</v>
      </c>
      <c r="H461" s="396">
        <v>41152</v>
      </c>
      <c r="I461" s="396">
        <v>3852966</v>
      </c>
      <c r="J461" s="395">
        <v>152</v>
      </c>
      <c r="K461" s="395">
        <v>125</v>
      </c>
      <c r="L461" s="397">
        <v>0.82240000000000002</v>
      </c>
      <c r="M461" s="395">
        <v>24</v>
      </c>
      <c r="N461" s="396">
        <v>1674</v>
      </c>
      <c r="O461" s="396">
        <v>2158</v>
      </c>
      <c r="P461" s="395">
        <v>3.38</v>
      </c>
      <c r="Q461" s="395">
        <v>-639</v>
      </c>
      <c r="R461" s="396">
        <v>4544</v>
      </c>
      <c r="S461" s="396">
        <v>-1703</v>
      </c>
      <c r="T461" s="396">
        <v>289008</v>
      </c>
      <c r="U461" s="396">
        <v>-129635</v>
      </c>
      <c r="V461" s="395">
        <v>8145.7</v>
      </c>
      <c r="W461" s="395">
        <v>8488.7099999999991</v>
      </c>
      <c r="X461" s="395">
        <v>77490</v>
      </c>
      <c r="Y461" s="395">
        <v>6590.17</v>
      </c>
      <c r="Z461" s="396">
        <v>15435084</v>
      </c>
      <c r="AA461" s="396">
        <v>254462</v>
      </c>
      <c r="AB461" s="396">
        <v>13266322</v>
      </c>
      <c r="AC461" s="396">
        <v>10207916</v>
      </c>
    </row>
    <row r="462" spans="1:29">
      <c r="A462">
        <v>2471</v>
      </c>
      <c r="B462" s="395" t="s">
        <v>7087</v>
      </c>
      <c r="C462" s="395"/>
      <c r="D462" s="396">
        <v>254355</v>
      </c>
      <c r="E462" s="396">
        <v>293502</v>
      </c>
      <c r="F462" s="395">
        <v>7.5</v>
      </c>
      <c r="G462" s="396">
        <v>-39148</v>
      </c>
      <c r="H462" s="396">
        <v>23766</v>
      </c>
      <c r="I462" s="396">
        <v>2337808</v>
      </c>
      <c r="J462" s="395">
        <v>221</v>
      </c>
      <c r="K462" s="395">
        <v>185</v>
      </c>
      <c r="L462" s="397">
        <v>0.83709999999999996</v>
      </c>
      <c r="M462" s="395">
        <v>36</v>
      </c>
      <c r="N462" s="396">
        <v>1151</v>
      </c>
      <c r="O462" s="396">
        <v>1586</v>
      </c>
      <c r="P462" s="395">
        <v>1.46</v>
      </c>
      <c r="Q462" s="396">
        <v>-1087</v>
      </c>
      <c r="R462" s="396">
        <v>4804</v>
      </c>
      <c r="S462" s="396">
        <v>-2869</v>
      </c>
      <c r="T462" s="396">
        <v>470682</v>
      </c>
      <c r="U462" s="396">
        <v>-253644</v>
      </c>
      <c r="V462" s="395">
        <v>10431.69</v>
      </c>
      <c r="W462" s="395">
        <v>9579.02</v>
      </c>
      <c r="X462" s="395">
        <v>77490</v>
      </c>
      <c r="Y462" s="395">
        <v>14813.47</v>
      </c>
      <c r="Z462" s="396">
        <v>-7639477</v>
      </c>
      <c r="AA462" s="396">
        <v>254355</v>
      </c>
      <c r="AB462" s="396">
        <v>-1055991</v>
      </c>
      <c r="AC462" s="396">
        <v>10207916</v>
      </c>
    </row>
    <row r="463" spans="1:29">
      <c r="A463">
        <v>9926</v>
      </c>
      <c r="B463" s="395" t="s">
        <v>8408</v>
      </c>
      <c r="C463" s="395"/>
      <c r="D463" s="396">
        <v>253930</v>
      </c>
      <c r="E463" s="396">
        <v>263771</v>
      </c>
      <c r="F463" s="395">
        <v>26.8</v>
      </c>
      <c r="G463" s="396">
        <v>-9841</v>
      </c>
      <c r="H463" s="396">
        <v>21780</v>
      </c>
      <c r="I463" s="396">
        <v>2388711</v>
      </c>
      <c r="J463" s="395">
        <v>110</v>
      </c>
      <c r="K463" s="395">
        <v>98</v>
      </c>
      <c r="L463" s="397">
        <v>0.89090000000000003</v>
      </c>
      <c r="M463" s="395">
        <v>12</v>
      </c>
      <c r="N463" s="396">
        <v>2308</v>
      </c>
      <c r="O463" s="396">
        <v>2692</v>
      </c>
      <c r="P463" s="395">
        <v>3.28</v>
      </c>
      <c r="Q463" s="395">
        <v>-820</v>
      </c>
      <c r="R463" s="396">
        <v>6028</v>
      </c>
      <c r="S463" s="396">
        <v>-2148</v>
      </c>
      <c r="T463" s="396">
        <v>317750</v>
      </c>
      <c r="U463" s="396">
        <v>-65605</v>
      </c>
      <c r="V463" s="395">
        <v>12104.48</v>
      </c>
      <c r="W463" s="395">
        <v>12778.34</v>
      </c>
      <c r="X463" s="395">
        <v>72630</v>
      </c>
      <c r="Y463" s="395">
        <v>6601.33</v>
      </c>
      <c r="Z463" s="396">
        <v>14157924</v>
      </c>
      <c r="AA463" s="396">
        <v>253930</v>
      </c>
      <c r="AB463" s="396">
        <v>2877077</v>
      </c>
      <c r="AC463" s="396">
        <v>10207916</v>
      </c>
    </row>
    <row r="464" spans="1:29">
      <c r="A464">
        <v>3163</v>
      </c>
      <c r="B464" s="395" t="s">
        <v>7330</v>
      </c>
      <c r="C464" s="395"/>
      <c r="D464" s="396">
        <v>253763</v>
      </c>
      <c r="E464" s="396">
        <v>392339</v>
      </c>
      <c r="F464" s="395">
        <v>2.83</v>
      </c>
      <c r="G464" s="396">
        <v>-138576</v>
      </c>
      <c r="H464" s="396">
        <v>47303</v>
      </c>
      <c r="I464" s="396">
        <v>2977172</v>
      </c>
      <c r="J464" s="395">
        <v>263</v>
      </c>
      <c r="K464" s="395">
        <v>218</v>
      </c>
      <c r="L464" s="397">
        <v>0.82889999999999997</v>
      </c>
      <c r="M464" s="395">
        <v>45</v>
      </c>
      <c r="N464" s="395">
        <v>965</v>
      </c>
      <c r="O464" s="396">
        <v>1800</v>
      </c>
      <c r="P464" s="395">
        <v>0.57999999999999996</v>
      </c>
      <c r="Q464" s="396">
        <v>-3079</v>
      </c>
      <c r="R464" s="396">
        <v>10131</v>
      </c>
      <c r="S464" s="396">
        <v>-12214</v>
      </c>
      <c r="T464" s="396">
        <v>433706</v>
      </c>
      <c r="U464" s="396">
        <v>-253970</v>
      </c>
      <c r="V464" s="395">
        <v>5022.25</v>
      </c>
      <c r="W464" s="395">
        <v>3929.1</v>
      </c>
      <c r="X464" s="395">
        <v>77490</v>
      </c>
      <c r="Y464" s="395">
        <v>10317.959999999999</v>
      </c>
      <c r="Z464" s="396">
        <v>-17715691</v>
      </c>
      <c r="AA464" s="396">
        <v>253763</v>
      </c>
      <c r="AB464" s="396">
        <v>-9236702</v>
      </c>
      <c r="AC464" s="396">
        <v>10207916</v>
      </c>
    </row>
    <row r="465" spans="1:29">
      <c r="A465">
        <v>8271</v>
      </c>
      <c r="B465" s="395" t="s">
        <v>8303</v>
      </c>
      <c r="C465" s="395"/>
      <c r="D465" s="396">
        <v>253501</v>
      </c>
      <c r="E465" s="396">
        <v>331033</v>
      </c>
      <c r="F465" s="395">
        <v>4.2699999999999996</v>
      </c>
      <c r="G465" s="396">
        <v>-77532</v>
      </c>
      <c r="H465" s="396">
        <v>46949</v>
      </c>
      <c r="I465" s="396">
        <v>2317580</v>
      </c>
      <c r="J465" s="395">
        <v>257</v>
      </c>
      <c r="K465" s="395">
        <v>222</v>
      </c>
      <c r="L465" s="397">
        <v>0.86380000000000001</v>
      </c>
      <c r="M465" s="395">
        <v>35</v>
      </c>
      <c r="N465" s="395">
        <v>986</v>
      </c>
      <c r="O465" s="396">
        <v>1491</v>
      </c>
      <c r="P465" s="395">
        <v>0.67</v>
      </c>
      <c r="Q465" s="396">
        <v>-2215</v>
      </c>
      <c r="R465" s="396">
        <v>6279</v>
      </c>
      <c r="S465" s="396">
        <v>-9352</v>
      </c>
      <c r="T465" s="396">
        <v>302964</v>
      </c>
      <c r="U465" s="396">
        <v>-157717</v>
      </c>
      <c r="V465" s="395">
        <v>3043.3</v>
      </c>
      <c r="W465" s="395">
        <v>2462.56</v>
      </c>
      <c r="X465" s="395">
        <v>77490</v>
      </c>
      <c r="Y465" s="395">
        <v>6726.86</v>
      </c>
      <c r="Z465" s="396">
        <v>-9984377</v>
      </c>
      <c r="AA465" s="396">
        <v>253501</v>
      </c>
      <c r="AB465" s="396">
        <v>12998810</v>
      </c>
      <c r="AC465" s="396">
        <v>10207916</v>
      </c>
    </row>
    <row r="466" spans="1:29">
      <c r="A466">
        <v>1338</v>
      </c>
      <c r="B466" s="395" t="s">
        <v>6729</v>
      </c>
      <c r="C466" s="395"/>
      <c r="D466" s="396">
        <v>249119</v>
      </c>
      <c r="E466" s="396">
        <v>486581</v>
      </c>
      <c r="F466" s="395">
        <v>2.0499999999999998</v>
      </c>
      <c r="G466" s="396">
        <v>-237462</v>
      </c>
      <c r="H466" s="396">
        <v>59484</v>
      </c>
      <c r="I466" s="396">
        <v>4165030</v>
      </c>
      <c r="J466" s="395">
        <v>246</v>
      </c>
      <c r="K466" s="395">
        <v>173</v>
      </c>
      <c r="L466" s="397">
        <v>0.70330000000000004</v>
      </c>
      <c r="M466" s="395">
        <v>73</v>
      </c>
      <c r="N466" s="396">
        <v>1013</v>
      </c>
      <c r="O466" s="396">
        <v>2813</v>
      </c>
      <c r="P466" s="395">
        <v>0.86</v>
      </c>
      <c r="Q466" s="396">
        <v>-3253</v>
      </c>
      <c r="R466" s="396">
        <v>10754</v>
      </c>
      <c r="S466" s="396">
        <v>-12981</v>
      </c>
      <c r="T466" s="396">
        <v>607465</v>
      </c>
      <c r="U466" s="396">
        <v>-497390</v>
      </c>
      <c r="V466" s="395">
        <v>6522.51</v>
      </c>
      <c r="W466" s="395">
        <v>4310.5</v>
      </c>
      <c r="X466" s="395">
        <v>77490</v>
      </c>
      <c r="Y466" s="395">
        <v>11764.66</v>
      </c>
      <c r="Z466" s="396">
        <v>-14284268</v>
      </c>
      <c r="AA466" s="396">
        <v>249119</v>
      </c>
      <c r="AB466" s="396">
        <v>-4682972</v>
      </c>
      <c r="AC466" s="396">
        <v>10207916</v>
      </c>
    </row>
    <row r="467" spans="1:29">
      <c r="A467">
        <v>1568</v>
      </c>
      <c r="B467" s="395" t="s">
        <v>6816</v>
      </c>
      <c r="C467" s="395"/>
      <c r="D467" s="396">
        <v>249035</v>
      </c>
      <c r="E467" s="396">
        <v>385173</v>
      </c>
      <c r="F467" s="395">
        <v>2.83</v>
      </c>
      <c r="G467" s="396">
        <v>-136138</v>
      </c>
      <c r="H467" s="396">
        <v>24789</v>
      </c>
      <c r="I467" s="396">
        <v>1878258</v>
      </c>
      <c r="J467" s="395">
        <v>239</v>
      </c>
      <c r="K467" s="395">
        <v>173</v>
      </c>
      <c r="L467" s="397">
        <v>0.7238</v>
      </c>
      <c r="M467" s="395">
        <v>66</v>
      </c>
      <c r="N467" s="396">
        <v>1042</v>
      </c>
      <c r="O467" s="396">
        <v>2226</v>
      </c>
      <c r="P467" s="395">
        <v>1.08</v>
      </c>
      <c r="Q467" s="396">
        <v>-2063</v>
      </c>
      <c r="R467" s="396">
        <v>6349</v>
      </c>
      <c r="S467" s="396">
        <v>-7228</v>
      </c>
      <c r="T467" s="396">
        <v>416153</v>
      </c>
      <c r="U467" s="396">
        <v>-166658</v>
      </c>
      <c r="V467" s="395">
        <v>7727.18</v>
      </c>
      <c r="W467" s="395">
        <v>6567.82</v>
      </c>
      <c r="X467" s="395">
        <v>77490</v>
      </c>
      <c r="Y467" s="395">
        <v>10766.09</v>
      </c>
      <c r="Z467" s="396">
        <v>-19992521</v>
      </c>
      <c r="AA467" s="396">
        <v>249035</v>
      </c>
      <c r="AB467" s="396">
        <v>-3930827</v>
      </c>
      <c r="AC467" s="396">
        <v>10207916</v>
      </c>
    </row>
    <row r="468" spans="1:29">
      <c r="A468">
        <v>6443</v>
      </c>
      <c r="B468" s="395" t="s">
        <v>8081</v>
      </c>
      <c r="C468" s="395"/>
      <c r="D468" s="396">
        <v>248631</v>
      </c>
      <c r="E468" s="396">
        <v>311349</v>
      </c>
      <c r="F468" s="395">
        <v>4.96</v>
      </c>
      <c r="G468" s="396">
        <v>-62718</v>
      </c>
      <c r="H468" s="396">
        <v>38519</v>
      </c>
      <c r="I468" s="396">
        <v>800776</v>
      </c>
      <c r="J468" s="395">
        <v>263</v>
      </c>
      <c r="K468" s="395">
        <v>222</v>
      </c>
      <c r="L468" s="397">
        <v>0.84409999999999996</v>
      </c>
      <c r="M468" s="395">
        <v>41</v>
      </c>
      <c r="N468" s="395">
        <v>945</v>
      </c>
      <c r="O468" s="396">
        <v>1402</v>
      </c>
      <c r="P468" s="395">
        <v>0.92</v>
      </c>
      <c r="Q468" s="396">
        <v>-1530</v>
      </c>
      <c r="R468" s="396">
        <v>6319</v>
      </c>
      <c r="S468" s="396">
        <v>-7503</v>
      </c>
      <c r="T468" s="396">
        <v>328241</v>
      </c>
      <c r="U468" s="396">
        <v>-84734</v>
      </c>
      <c r="V468" s="395">
        <v>1273.44</v>
      </c>
      <c r="W468" s="395">
        <v>939.16</v>
      </c>
      <c r="X468" s="395">
        <v>77490</v>
      </c>
      <c r="Y468" s="395">
        <v>3083.46</v>
      </c>
      <c r="Z468" s="396">
        <v>2426017</v>
      </c>
      <c r="AA468" s="396">
        <v>248631</v>
      </c>
      <c r="AB468" s="396">
        <v>-1507143</v>
      </c>
      <c r="AC468" s="396">
        <v>10207916</v>
      </c>
    </row>
    <row r="469" spans="1:29">
      <c r="A469">
        <v>8284</v>
      </c>
      <c r="B469" s="395" t="s">
        <v>8306</v>
      </c>
      <c r="C469" s="395"/>
      <c r="D469" s="396">
        <v>248631</v>
      </c>
      <c r="E469" s="396">
        <v>248929</v>
      </c>
      <c r="F469" s="395">
        <v>835.33</v>
      </c>
      <c r="G469" s="395">
        <v>-298</v>
      </c>
      <c r="H469" s="396">
        <v>22941</v>
      </c>
      <c r="I469" s="396">
        <v>4266097</v>
      </c>
      <c r="J469" s="395">
        <v>119</v>
      </c>
      <c r="K469" s="395">
        <v>118</v>
      </c>
      <c r="L469" s="397">
        <v>0.99160000000000004</v>
      </c>
      <c r="M469" s="395">
        <v>1</v>
      </c>
      <c r="N469" s="396">
        <v>2089</v>
      </c>
      <c r="O469" s="396">
        <v>2110</v>
      </c>
      <c r="P469" s="395">
        <v>7.08</v>
      </c>
      <c r="Q469" s="395">
        <v>-298</v>
      </c>
      <c r="R469" s="396">
        <v>6111</v>
      </c>
      <c r="S469" s="395">
        <v>-298</v>
      </c>
      <c r="T469" s="396">
        <v>363517</v>
      </c>
      <c r="U469" s="396">
        <v>-141626</v>
      </c>
      <c r="V469" s="395">
        <v>27395.79</v>
      </c>
      <c r="W469" s="395">
        <v>27626.47</v>
      </c>
      <c r="X469" s="395">
        <v>76680</v>
      </c>
      <c r="Y469" s="395">
        <v>175</v>
      </c>
      <c r="Z469" s="396">
        <v>1894377</v>
      </c>
      <c r="AA469" s="396">
        <v>248631</v>
      </c>
      <c r="AB469" s="396">
        <v>4340610</v>
      </c>
      <c r="AC469" s="396">
        <v>10207916</v>
      </c>
    </row>
    <row r="470" spans="1:29">
      <c r="A470">
        <v>2028</v>
      </c>
      <c r="B470" s="395" t="s">
        <v>6922</v>
      </c>
      <c r="C470" s="395"/>
      <c r="D470" s="396">
        <v>248503</v>
      </c>
      <c r="E470" s="396">
        <v>371095</v>
      </c>
      <c r="F470" s="395">
        <v>3.03</v>
      </c>
      <c r="G470" s="396">
        <v>-122592</v>
      </c>
      <c r="H470" s="396">
        <v>37547</v>
      </c>
      <c r="I470" s="396">
        <v>1757790</v>
      </c>
      <c r="J470" s="395">
        <v>232</v>
      </c>
      <c r="K470" s="395">
        <v>188</v>
      </c>
      <c r="L470" s="397">
        <v>0.81030000000000002</v>
      </c>
      <c r="M470" s="395">
        <v>44</v>
      </c>
      <c r="N470" s="396">
        <v>1071</v>
      </c>
      <c r="O470" s="396">
        <v>1974</v>
      </c>
      <c r="P470" s="395">
        <v>0.71</v>
      </c>
      <c r="Q470" s="396">
        <v>-2786</v>
      </c>
      <c r="R470" s="396">
        <v>6373</v>
      </c>
      <c r="S470" s="396">
        <v>-8623</v>
      </c>
      <c r="T470" s="396">
        <v>317777</v>
      </c>
      <c r="U470" s="396">
        <v>-196834</v>
      </c>
      <c r="V470" s="395">
        <v>2558.14</v>
      </c>
      <c r="W470" s="395">
        <v>1489.97</v>
      </c>
      <c r="X470" s="395">
        <v>77490</v>
      </c>
      <c r="Y470" s="395">
        <v>7122.14</v>
      </c>
      <c r="Z470" s="396">
        <v>30742895</v>
      </c>
      <c r="AA470" s="396">
        <v>248503</v>
      </c>
      <c r="AB470" s="396">
        <v>32534000</v>
      </c>
      <c r="AC470" s="396">
        <v>10207916</v>
      </c>
    </row>
    <row r="471" spans="1:29">
      <c r="A471">
        <v>2608</v>
      </c>
      <c r="B471" s="395" t="s">
        <v>7143</v>
      </c>
      <c r="C471" s="395"/>
      <c r="D471" s="396">
        <v>247580</v>
      </c>
      <c r="E471" s="396">
        <v>487132</v>
      </c>
      <c r="F471" s="395">
        <v>2.0299999999999998</v>
      </c>
      <c r="G471" s="396">
        <v>-239553</v>
      </c>
      <c r="H471" s="396">
        <v>51314</v>
      </c>
      <c r="I471" s="396">
        <v>2653613</v>
      </c>
      <c r="J471" s="395">
        <v>259</v>
      </c>
      <c r="K471" s="395">
        <v>190</v>
      </c>
      <c r="L471" s="397">
        <v>0.73360000000000003</v>
      </c>
      <c r="M471" s="395">
        <v>69</v>
      </c>
      <c r="N471" s="395">
        <v>956</v>
      </c>
      <c r="O471" s="396">
        <v>2564</v>
      </c>
      <c r="P471" s="395">
        <v>0.74</v>
      </c>
      <c r="Q471" s="396">
        <v>-3472</v>
      </c>
      <c r="R471" s="396">
        <v>9792</v>
      </c>
      <c r="S471" s="396">
        <v>-15447</v>
      </c>
      <c r="T471" s="396">
        <v>625207</v>
      </c>
      <c r="U471" s="396">
        <v>-383701</v>
      </c>
      <c r="V471" s="395">
        <v>4995.5600000000004</v>
      </c>
      <c r="W471" s="395">
        <v>3883.78</v>
      </c>
      <c r="X471" s="395">
        <v>77490</v>
      </c>
      <c r="Y471" s="395">
        <v>8056.97</v>
      </c>
      <c r="Z471" s="396">
        <v>-23139771</v>
      </c>
      <c r="AA471" s="396">
        <v>247580</v>
      </c>
      <c r="AB471" s="396">
        <v>-2323961</v>
      </c>
      <c r="AC471" s="396">
        <v>10207916</v>
      </c>
    </row>
    <row r="472" spans="1:29">
      <c r="A472">
        <v>4555</v>
      </c>
      <c r="B472" s="395" t="s">
        <v>7650</v>
      </c>
      <c r="C472" s="395"/>
      <c r="D472" s="396">
        <v>247274</v>
      </c>
      <c r="E472" s="396">
        <v>346098</v>
      </c>
      <c r="F472" s="395">
        <v>3.5</v>
      </c>
      <c r="G472" s="396">
        <v>-98825</v>
      </c>
      <c r="H472" s="396">
        <v>50131</v>
      </c>
      <c r="I472" s="396">
        <v>5461697</v>
      </c>
      <c r="J472" s="395">
        <v>226</v>
      </c>
      <c r="K472" s="395">
        <v>173</v>
      </c>
      <c r="L472" s="397">
        <v>0.76549999999999996</v>
      </c>
      <c r="M472" s="395">
        <v>53</v>
      </c>
      <c r="N472" s="396">
        <v>1094</v>
      </c>
      <c r="O472" s="396">
        <v>2001</v>
      </c>
      <c r="P472" s="395">
        <v>1.07</v>
      </c>
      <c r="Q472" s="396">
        <v>-1865</v>
      </c>
      <c r="R472" s="396">
        <v>7689</v>
      </c>
      <c r="S472" s="396">
        <v>-9849</v>
      </c>
      <c r="T472" s="396">
        <v>531203</v>
      </c>
      <c r="U472" s="396">
        <v>-324633</v>
      </c>
      <c r="V472" s="395">
        <v>11737.32</v>
      </c>
      <c r="W472" s="395">
        <v>9271.8799999999992</v>
      </c>
      <c r="X472" s="395">
        <v>77490</v>
      </c>
      <c r="Y472" s="395">
        <v>19784.89</v>
      </c>
      <c r="Z472" s="396">
        <v>-12851566</v>
      </c>
      <c r="AA472" s="396">
        <v>247274</v>
      </c>
      <c r="AB472" s="396">
        <v>6982747</v>
      </c>
      <c r="AC472" s="396">
        <v>10207916</v>
      </c>
    </row>
    <row r="473" spans="1:29">
      <c r="A473">
        <v>3628</v>
      </c>
      <c r="B473" s="395" t="s">
        <v>7507</v>
      </c>
      <c r="C473" s="395"/>
      <c r="D473" s="396">
        <v>247200</v>
      </c>
      <c r="E473" s="396">
        <v>277630</v>
      </c>
      <c r="F473" s="395">
        <v>9.1199999999999992</v>
      </c>
      <c r="G473" s="396">
        <v>-30430</v>
      </c>
      <c r="H473" s="396">
        <v>27766</v>
      </c>
      <c r="I473" s="396">
        <v>2863026</v>
      </c>
      <c r="J473" s="395">
        <v>172</v>
      </c>
      <c r="K473" s="395">
        <v>148</v>
      </c>
      <c r="L473" s="397">
        <v>0.86050000000000004</v>
      </c>
      <c r="M473" s="395">
        <v>24</v>
      </c>
      <c r="N473" s="396">
        <v>1437</v>
      </c>
      <c r="O473" s="396">
        <v>1876</v>
      </c>
      <c r="P473" s="395">
        <v>1.48</v>
      </c>
      <c r="Q473" s="396">
        <v>-1268</v>
      </c>
      <c r="R473" s="396">
        <v>5463</v>
      </c>
      <c r="S473" s="396">
        <v>-4417</v>
      </c>
      <c r="T473" s="396">
        <v>342130</v>
      </c>
      <c r="U473" s="396">
        <v>-134253</v>
      </c>
      <c r="V473" s="395">
        <v>11359.74</v>
      </c>
      <c r="W473" s="395">
        <v>11352.47</v>
      </c>
      <c r="X473" s="395">
        <v>76950</v>
      </c>
      <c r="Y473" s="395">
        <v>11404.62</v>
      </c>
      <c r="Z473" s="396">
        <v>4413146</v>
      </c>
      <c r="AA473" s="396">
        <v>247200</v>
      </c>
      <c r="AB473" s="396">
        <v>28574624</v>
      </c>
      <c r="AC473" s="396">
        <v>10207916</v>
      </c>
    </row>
    <row r="474" spans="1:29">
      <c r="A474">
        <v>3609</v>
      </c>
      <c r="B474" s="395" t="s">
        <v>7499</v>
      </c>
      <c r="C474" s="395"/>
      <c r="D474" s="396">
        <v>246711</v>
      </c>
      <c r="E474" s="396">
        <v>300592</v>
      </c>
      <c r="F474" s="395">
        <v>5.58</v>
      </c>
      <c r="G474" s="396">
        <v>-53881</v>
      </c>
      <c r="H474" s="396">
        <v>40484</v>
      </c>
      <c r="I474" s="396">
        <v>1891927</v>
      </c>
      <c r="J474" s="395">
        <v>214</v>
      </c>
      <c r="K474" s="395">
        <v>164</v>
      </c>
      <c r="L474" s="397">
        <v>0.76639999999999997</v>
      </c>
      <c r="M474" s="395">
        <v>50</v>
      </c>
      <c r="N474" s="396">
        <v>1153</v>
      </c>
      <c r="O474" s="396">
        <v>1833</v>
      </c>
      <c r="P474" s="395">
        <v>1.7</v>
      </c>
      <c r="Q474" s="396">
        <v>-1078</v>
      </c>
      <c r="R474" s="396">
        <v>6657</v>
      </c>
      <c r="S474" s="396">
        <v>-4823</v>
      </c>
      <c r="T474" s="396">
        <v>309885</v>
      </c>
      <c r="U474" s="396">
        <v>-123479</v>
      </c>
      <c r="V474" s="395">
        <v>2630.23</v>
      </c>
      <c r="W474" s="395">
        <v>1595.99</v>
      </c>
      <c r="X474" s="395">
        <v>77490</v>
      </c>
      <c r="Y474" s="395">
        <v>6022.54</v>
      </c>
      <c r="Z474" s="396">
        <v>19543876</v>
      </c>
      <c r="AA474" s="396">
        <v>246711</v>
      </c>
      <c r="AB474" s="396">
        <v>47092934</v>
      </c>
      <c r="AC474" s="396">
        <v>10207916</v>
      </c>
    </row>
    <row r="475" spans="1:29">
      <c r="A475">
        <v>2449</v>
      </c>
      <c r="B475" s="395" t="s">
        <v>7070</v>
      </c>
      <c r="C475" s="395"/>
      <c r="D475" s="396">
        <v>246484</v>
      </c>
      <c r="E475" s="396">
        <v>321982</v>
      </c>
      <c r="F475" s="395">
        <v>4.26</v>
      </c>
      <c r="G475" s="396">
        <v>-75498</v>
      </c>
      <c r="H475" s="396">
        <v>49144</v>
      </c>
      <c r="I475" s="396">
        <v>1404113</v>
      </c>
      <c r="J475" s="395">
        <v>284</v>
      </c>
      <c r="K475" s="395">
        <v>227</v>
      </c>
      <c r="L475" s="397">
        <v>0.79930000000000001</v>
      </c>
      <c r="M475" s="395">
        <v>57</v>
      </c>
      <c r="N475" s="395">
        <v>868</v>
      </c>
      <c r="O475" s="396">
        <v>1418</v>
      </c>
      <c r="P475" s="395">
        <v>1.07</v>
      </c>
      <c r="Q475" s="396">
        <v>-1325</v>
      </c>
      <c r="R475" s="396">
        <v>5786</v>
      </c>
      <c r="S475" s="396">
        <v>-4326</v>
      </c>
      <c r="T475" s="396">
        <v>281449</v>
      </c>
      <c r="U475" s="396">
        <v>-125256</v>
      </c>
      <c r="V475" s="395">
        <v>1982.13</v>
      </c>
      <c r="W475" s="395">
        <v>1275.4100000000001</v>
      </c>
      <c r="X475" s="395">
        <v>77490</v>
      </c>
      <c r="Y475" s="395">
        <v>4796.6099999999997</v>
      </c>
      <c r="Z475" s="396">
        <v>8068353</v>
      </c>
      <c r="AA475" s="396">
        <v>246484</v>
      </c>
      <c r="AB475" s="396">
        <v>14131894</v>
      </c>
      <c r="AC475" s="396">
        <v>10207916</v>
      </c>
    </row>
    <row r="476" spans="1:29">
      <c r="A476">
        <v>2613</v>
      </c>
      <c r="B476" s="395" t="s">
        <v>7148</v>
      </c>
      <c r="C476" s="395"/>
      <c r="D476" s="396">
        <v>246479</v>
      </c>
      <c r="E476" s="396">
        <v>554985</v>
      </c>
      <c r="F476" s="395">
        <v>1.8</v>
      </c>
      <c r="G476" s="396">
        <v>-308506</v>
      </c>
      <c r="H476" s="396">
        <v>28571</v>
      </c>
      <c r="I476" s="396">
        <v>4302081</v>
      </c>
      <c r="J476" s="395">
        <v>251</v>
      </c>
      <c r="K476" s="395">
        <v>189</v>
      </c>
      <c r="L476" s="397">
        <v>0.753</v>
      </c>
      <c r="M476" s="395">
        <v>62</v>
      </c>
      <c r="N476" s="395">
        <v>982</v>
      </c>
      <c r="O476" s="396">
        <v>2936</v>
      </c>
      <c r="P476" s="395">
        <v>0.59</v>
      </c>
      <c r="Q476" s="396">
        <v>-4976</v>
      </c>
      <c r="R476" s="396">
        <v>9190</v>
      </c>
      <c r="S476" s="396">
        <v>-19517</v>
      </c>
      <c r="T476" s="396">
        <v>1292890</v>
      </c>
      <c r="U476" s="396">
        <v>-1099319</v>
      </c>
      <c r="V476" s="395">
        <v>13541.42</v>
      </c>
      <c r="W476" s="395">
        <v>8662.2000000000007</v>
      </c>
      <c r="X476" s="395">
        <v>77490</v>
      </c>
      <c r="Y476" s="395">
        <v>28415.19</v>
      </c>
      <c r="Z476" s="396">
        <v>-12042847</v>
      </c>
      <c r="AA476" s="396">
        <v>246479</v>
      </c>
      <c r="AB476" s="396">
        <v>38561677</v>
      </c>
      <c r="AC476" s="396">
        <v>10207916</v>
      </c>
    </row>
    <row r="477" spans="1:29">
      <c r="A477">
        <v>2477</v>
      </c>
      <c r="B477" s="395" t="s">
        <v>7091</v>
      </c>
      <c r="C477" s="395"/>
      <c r="D477" s="396">
        <v>246270</v>
      </c>
      <c r="E477" s="396">
        <v>384695</v>
      </c>
      <c r="F477" s="395">
        <v>2.78</v>
      </c>
      <c r="G477" s="396">
        <v>-138425</v>
      </c>
      <c r="H477" s="396">
        <v>33007</v>
      </c>
      <c r="I477" s="396">
        <v>2837876</v>
      </c>
      <c r="J477" s="395">
        <v>254</v>
      </c>
      <c r="K477" s="395">
        <v>191</v>
      </c>
      <c r="L477" s="397">
        <v>0.752</v>
      </c>
      <c r="M477" s="395">
        <v>63</v>
      </c>
      <c r="N477" s="395">
        <v>970</v>
      </c>
      <c r="O477" s="396">
        <v>2014</v>
      </c>
      <c r="P477" s="395">
        <v>0.92</v>
      </c>
      <c r="Q477" s="396">
        <v>-2197</v>
      </c>
      <c r="R477" s="396">
        <v>6689</v>
      </c>
      <c r="S477" s="396">
        <v>-6711</v>
      </c>
      <c r="T477" s="396">
        <v>535008</v>
      </c>
      <c r="U477" s="396">
        <v>-361898</v>
      </c>
      <c r="V477" s="395">
        <v>7588.76</v>
      </c>
      <c r="W477" s="395">
        <v>4647.32</v>
      </c>
      <c r="X477" s="395">
        <v>77490</v>
      </c>
      <c r="Y477" s="395">
        <v>16506.46</v>
      </c>
      <c r="Z477" s="396">
        <v>-8717310</v>
      </c>
      <c r="AA477" s="396">
        <v>246270</v>
      </c>
      <c r="AB477" s="396">
        <v>-2370873</v>
      </c>
      <c r="AC477" s="396">
        <v>10207916</v>
      </c>
    </row>
    <row r="478" spans="1:29">
      <c r="A478">
        <v>3512</v>
      </c>
      <c r="B478" s="395" t="s">
        <v>7448</v>
      </c>
      <c r="C478" s="395"/>
      <c r="D478" s="396">
        <v>244854</v>
      </c>
      <c r="E478" s="396">
        <v>301230</v>
      </c>
      <c r="F478" s="395">
        <v>5.34</v>
      </c>
      <c r="G478" s="396">
        <v>-56376</v>
      </c>
      <c r="H478" s="396">
        <v>23459</v>
      </c>
      <c r="I478" s="396">
        <v>2997614</v>
      </c>
      <c r="J478" s="395">
        <v>174</v>
      </c>
      <c r="K478" s="395">
        <v>129</v>
      </c>
      <c r="L478" s="397">
        <v>0.74139999999999995</v>
      </c>
      <c r="M478" s="395">
        <v>45</v>
      </c>
      <c r="N478" s="396">
        <v>1407</v>
      </c>
      <c r="O478" s="396">
        <v>2335</v>
      </c>
      <c r="P478" s="395">
        <v>1.86</v>
      </c>
      <c r="Q478" s="396">
        <v>-1253</v>
      </c>
      <c r="R478" s="396">
        <v>5076</v>
      </c>
      <c r="S478" s="396">
        <v>-9202</v>
      </c>
      <c r="T478" s="396">
        <v>451384</v>
      </c>
      <c r="U478" s="396">
        <v>-243094</v>
      </c>
      <c r="V478" s="395">
        <v>13937.36</v>
      </c>
      <c r="W478" s="395">
        <v>12324.02</v>
      </c>
      <c r="X478" s="395">
        <v>77490</v>
      </c>
      <c r="Y478" s="395">
        <v>18562.240000000002</v>
      </c>
      <c r="Z478" s="396">
        <v>-3762161</v>
      </c>
      <c r="AA478" s="396">
        <v>244854</v>
      </c>
      <c r="AB478" s="396">
        <v>10163070</v>
      </c>
      <c r="AC478" s="396">
        <v>10207916</v>
      </c>
    </row>
    <row r="479" spans="1:29">
      <c r="A479">
        <v>2038</v>
      </c>
      <c r="B479" s="395" t="s">
        <v>6930</v>
      </c>
      <c r="C479" s="395"/>
      <c r="D479" s="396">
        <v>244482</v>
      </c>
      <c r="E479" s="396">
        <v>489957</v>
      </c>
      <c r="F479" s="395">
        <v>2</v>
      </c>
      <c r="G479" s="396">
        <v>-245475</v>
      </c>
      <c r="H479" s="396">
        <v>36733</v>
      </c>
      <c r="I479" s="396">
        <v>3242828</v>
      </c>
      <c r="J479" s="395">
        <v>265</v>
      </c>
      <c r="K479" s="395">
        <v>191</v>
      </c>
      <c r="L479" s="397">
        <v>0.7208</v>
      </c>
      <c r="M479" s="395">
        <v>74</v>
      </c>
      <c r="N479" s="395">
        <v>923</v>
      </c>
      <c r="O479" s="396">
        <v>2565</v>
      </c>
      <c r="P479" s="395">
        <v>0.77</v>
      </c>
      <c r="Q479" s="396">
        <v>-3317</v>
      </c>
      <c r="R479" s="396">
        <v>10407</v>
      </c>
      <c r="S479" s="396">
        <v>-16517</v>
      </c>
      <c r="T479" s="396">
        <v>795406</v>
      </c>
      <c r="U479" s="396">
        <v>-651043</v>
      </c>
      <c r="V479" s="395">
        <v>5081.22</v>
      </c>
      <c r="W479" s="395">
        <v>2713.3</v>
      </c>
      <c r="X479" s="395">
        <v>77490</v>
      </c>
      <c r="Y479" s="395">
        <v>11193.01</v>
      </c>
      <c r="Z479" s="396">
        <v>-17479729</v>
      </c>
      <c r="AA479" s="396">
        <v>244482</v>
      </c>
      <c r="AB479" s="396">
        <v>25631071</v>
      </c>
      <c r="AC479" s="396">
        <v>10207916</v>
      </c>
    </row>
    <row r="480" spans="1:29">
      <c r="A480">
        <v>4942</v>
      </c>
      <c r="B480" s="395" t="s">
        <v>7723</v>
      </c>
      <c r="C480" s="395"/>
      <c r="D480" s="396">
        <v>244339</v>
      </c>
      <c r="E480" s="396">
        <v>292217</v>
      </c>
      <c r="F480" s="395">
        <v>6.1</v>
      </c>
      <c r="G480" s="396">
        <v>-47878</v>
      </c>
      <c r="H480" s="396">
        <v>45739</v>
      </c>
      <c r="I480" s="396">
        <v>3549603</v>
      </c>
      <c r="J480" s="395">
        <v>247</v>
      </c>
      <c r="K480" s="395">
        <v>205</v>
      </c>
      <c r="L480" s="397">
        <v>0.83</v>
      </c>
      <c r="M480" s="395">
        <v>42</v>
      </c>
      <c r="N480" s="395">
        <v>989</v>
      </c>
      <c r="O480" s="396">
        <v>1425</v>
      </c>
      <c r="P480" s="395">
        <v>1.25</v>
      </c>
      <c r="Q480" s="396">
        <v>-1140</v>
      </c>
      <c r="R480" s="396">
        <v>5930</v>
      </c>
      <c r="S480" s="396">
        <v>-3138</v>
      </c>
      <c r="T480" s="396">
        <v>314566</v>
      </c>
      <c r="U480" s="396">
        <v>-144615</v>
      </c>
      <c r="V480" s="395">
        <v>6374.35</v>
      </c>
      <c r="W480" s="395">
        <v>5049.29</v>
      </c>
      <c r="X480" s="395">
        <v>77490</v>
      </c>
      <c r="Y480" s="395">
        <v>12841.9</v>
      </c>
      <c r="Z480" s="396">
        <v>2378473</v>
      </c>
      <c r="AA480" s="396">
        <v>244339</v>
      </c>
      <c r="AB480" s="396">
        <v>18038534</v>
      </c>
      <c r="AC480" s="396">
        <v>10207916</v>
      </c>
    </row>
    <row r="481" spans="1:29">
      <c r="A481">
        <v>8415</v>
      </c>
      <c r="B481" s="395" t="s">
        <v>8326</v>
      </c>
      <c r="C481" s="395"/>
      <c r="D481" s="396">
        <v>243060</v>
      </c>
      <c r="E481" s="396">
        <v>282299</v>
      </c>
      <c r="F481" s="395">
        <v>7.19</v>
      </c>
      <c r="G481" s="396">
        <v>-39239</v>
      </c>
      <c r="H481" s="396">
        <v>35947</v>
      </c>
      <c r="I481" s="396">
        <v>1226436</v>
      </c>
      <c r="J481" s="395">
        <v>248</v>
      </c>
      <c r="K481" s="395">
        <v>213</v>
      </c>
      <c r="L481" s="397">
        <v>0.8589</v>
      </c>
      <c r="M481" s="395">
        <v>35</v>
      </c>
      <c r="N481" s="395">
        <v>980</v>
      </c>
      <c r="O481" s="396">
        <v>1325</v>
      </c>
      <c r="P481" s="395">
        <v>1.18</v>
      </c>
      <c r="Q481" s="396">
        <v>-1121</v>
      </c>
      <c r="R481" s="396">
        <v>4397</v>
      </c>
      <c r="S481" s="396">
        <v>-5012</v>
      </c>
      <c r="T481" s="396">
        <v>261111</v>
      </c>
      <c r="U481" s="396">
        <v>-98720</v>
      </c>
      <c r="V481" s="395">
        <v>2218.69</v>
      </c>
      <c r="W481" s="395">
        <v>1834.77</v>
      </c>
      <c r="X481" s="395">
        <v>77490</v>
      </c>
      <c r="Y481" s="395">
        <v>4555.0600000000004</v>
      </c>
      <c r="Z481" s="396">
        <v>-3060009</v>
      </c>
      <c r="AA481" s="396">
        <v>243060</v>
      </c>
      <c r="AB481" s="396">
        <v>25652330</v>
      </c>
      <c r="AC481" s="396">
        <v>10207916</v>
      </c>
    </row>
    <row r="482" spans="1:29">
      <c r="A482">
        <v>4722</v>
      </c>
      <c r="B482" s="395" t="s">
        <v>7676</v>
      </c>
      <c r="C482" s="395"/>
      <c r="D482" s="396">
        <v>242523</v>
      </c>
      <c r="E482" s="396">
        <v>272178</v>
      </c>
      <c r="F482" s="395">
        <v>9.18</v>
      </c>
      <c r="G482" s="396">
        <v>-29655</v>
      </c>
      <c r="H482" s="396">
        <v>40198</v>
      </c>
      <c r="I482" s="396">
        <v>1282300</v>
      </c>
      <c r="J482" s="395">
        <v>261</v>
      </c>
      <c r="K482" s="395">
        <v>238</v>
      </c>
      <c r="L482" s="397">
        <v>0.91190000000000004</v>
      </c>
      <c r="M482" s="395">
        <v>23</v>
      </c>
      <c r="N482" s="395">
        <v>929</v>
      </c>
      <c r="O482" s="396">
        <v>1144</v>
      </c>
      <c r="P482" s="395">
        <v>0.89</v>
      </c>
      <c r="Q482" s="396">
        <v>-1289</v>
      </c>
      <c r="R482" s="396">
        <v>3205</v>
      </c>
      <c r="S482" s="396">
        <v>-3980</v>
      </c>
      <c r="T482" s="396">
        <v>248306</v>
      </c>
      <c r="U482" s="396">
        <v>-42394</v>
      </c>
      <c r="V482" s="395">
        <v>2140.48</v>
      </c>
      <c r="W482" s="395">
        <v>1781.91</v>
      </c>
      <c r="X482" s="395">
        <v>77490</v>
      </c>
      <c r="Y482" s="395">
        <v>5850.83</v>
      </c>
      <c r="Z482" s="396">
        <v>14182506</v>
      </c>
      <c r="AA482" s="396">
        <v>242523</v>
      </c>
      <c r="AB482" s="396">
        <v>23828350</v>
      </c>
      <c r="AC482" s="396">
        <v>10207916</v>
      </c>
    </row>
    <row r="483" spans="1:29">
      <c r="A483">
        <v>2328</v>
      </c>
      <c r="B483" s="395" t="s">
        <v>6986</v>
      </c>
      <c r="C483" s="395"/>
      <c r="D483" s="396">
        <v>240828</v>
      </c>
      <c r="E483" s="396">
        <v>306371</v>
      </c>
      <c r="F483" s="395">
        <v>4.67</v>
      </c>
      <c r="G483" s="396">
        <v>-65542</v>
      </c>
      <c r="H483" s="396">
        <v>40281</v>
      </c>
      <c r="I483" s="396">
        <v>1621488</v>
      </c>
      <c r="J483" s="395">
        <v>248</v>
      </c>
      <c r="K483" s="395">
        <v>204</v>
      </c>
      <c r="L483" s="397">
        <v>0.8226</v>
      </c>
      <c r="M483" s="395">
        <v>44</v>
      </c>
      <c r="N483" s="395">
        <v>971</v>
      </c>
      <c r="O483" s="396">
        <v>1502</v>
      </c>
      <c r="P483" s="395">
        <v>1.01</v>
      </c>
      <c r="Q483" s="396">
        <v>-1490</v>
      </c>
      <c r="R483" s="396">
        <v>7299</v>
      </c>
      <c r="S483" s="396">
        <v>-5977</v>
      </c>
      <c r="T483" s="396">
        <v>386408</v>
      </c>
      <c r="U483" s="396">
        <v>-200683</v>
      </c>
      <c r="V483" s="395">
        <v>3066.7</v>
      </c>
      <c r="W483" s="395">
        <v>2337.08</v>
      </c>
      <c r="X483" s="395">
        <v>77490</v>
      </c>
      <c r="Y483" s="395">
        <v>6449.48</v>
      </c>
      <c r="Z483" s="396">
        <v>8365484</v>
      </c>
      <c r="AA483" s="396">
        <v>240828</v>
      </c>
      <c r="AB483" s="396">
        <v>17510269</v>
      </c>
      <c r="AC483" s="396">
        <v>10207916</v>
      </c>
    </row>
    <row r="484" spans="1:29">
      <c r="A484">
        <v>4568</v>
      </c>
      <c r="B484" s="395" t="s">
        <v>7660</v>
      </c>
      <c r="C484" s="395"/>
      <c r="D484" s="396">
        <v>240662</v>
      </c>
      <c r="E484" s="396">
        <v>259535</v>
      </c>
      <c r="F484" s="395">
        <v>13.75</v>
      </c>
      <c r="G484" s="396">
        <v>-18874</v>
      </c>
      <c r="H484" s="396">
        <v>31794</v>
      </c>
      <c r="I484" s="396">
        <v>3384652</v>
      </c>
      <c r="J484" s="395">
        <v>113</v>
      </c>
      <c r="K484" s="395">
        <v>99</v>
      </c>
      <c r="L484" s="397">
        <v>0.87609999999999999</v>
      </c>
      <c r="M484" s="395">
        <v>14</v>
      </c>
      <c r="N484" s="396">
        <v>2130</v>
      </c>
      <c r="O484" s="396">
        <v>2622</v>
      </c>
      <c r="P484" s="395">
        <v>1.95</v>
      </c>
      <c r="Q484" s="396">
        <v>-1348</v>
      </c>
      <c r="R484" s="396">
        <v>7123</v>
      </c>
      <c r="S484" s="396">
        <v>-3697</v>
      </c>
      <c r="T484" s="396">
        <v>301395</v>
      </c>
      <c r="U484" s="396">
        <v>-158144</v>
      </c>
      <c r="V484" s="395">
        <v>13957.96</v>
      </c>
      <c r="W484" s="395">
        <v>13087.28</v>
      </c>
      <c r="X484" s="395">
        <v>76410</v>
      </c>
      <c r="Y484" s="395">
        <v>20114.86</v>
      </c>
      <c r="Z484" s="396">
        <v>582030</v>
      </c>
      <c r="AA484" s="396">
        <v>240662</v>
      </c>
      <c r="AB484" s="396">
        <v>4624094</v>
      </c>
      <c r="AC484" s="396">
        <v>10207916</v>
      </c>
    </row>
    <row r="485" spans="1:29">
      <c r="A485">
        <v>8489</v>
      </c>
      <c r="B485" s="395" t="s">
        <v>8365</v>
      </c>
      <c r="C485" s="395"/>
      <c r="D485" s="396">
        <v>240287</v>
      </c>
      <c r="E485" s="396">
        <v>383416</v>
      </c>
      <c r="F485" s="395">
        <v>2.68</v>
      </c>
      <c r="G485" s="396">
        <v>-143129</v>
      </c>
      <c r="H485" s="396">
        <v>39993</v>
      </c>
      <c r="I485" s="396">
        <v>1951983</v>
      </c>
      <c r="J485" s="395">
        <v>244</v>
      </c>
      <c r="K485" s="395">
        <v>174</v>
      </c>
      <c r="L485" s="397">
        <v>0.71309999999999996</v>
      </c>
      <c r="M485" s="395">
        <v>70</v>
      </c>
      <c r="N485" s="395">
        <v>985</v>
      </c>
      <c r="O485" s="396">
        <v>2204</v>
      </c>
      <c r="P485" s="395">
        <v>1.08</v>
      </c>
      <c r="Q485" s="396">
        <v>-2045</v>
      </c>
      <c r="R485" s="396">
        <v>14632</v>
      </c>
      <c r="S485" s="396">
        <v>-6693</v>
      </c>
      <c r="T485" s="396">
        <v>690632</v>
      </c>
      <c r="U485" s="396">
        <v>-425704</v>
      </c>
      <c r="V485" s="395">
        <v>4956.1899999999996</v>
      </c>
      <c r="W485" s="395">
        <v>3965.37</v>
      </c>
      <c r="X485" s="395">
        <v>77490</v>
      </c>
      <c r="Y485" s="395">
        <v>7419.07</v>
      </c>
      <c r="Z485" s="396">
        <v>-24244128</v>
      </c>
      <c r="AA485" s="396">
        <v>240287</v>
      </c>
      <c r="AB485" s="396">
        <v>-19571490</v>
      </c>
      <c r="AC485" s="396">
        <v>10207916</v>
      </c>
    </row>
    <row r="486" spans="1:29">
      <c r="A486">
        <v>3224</v>
      </c>
      <c r="B486" s="395" t="s">
        <v>7351</v>
      </c>
      <c r="C486" s="395"/>
      <c r="D486" s="396">
        <v>240107</v>
      </c>
      <c r="E486" s="396">
        <v>347466</v>
      </c>
      <c r="F486" s="395">
        <v>3.24</v>
      </c>
      <c r="G486" s="396">
        <v>-107359</v>
      </c>
      <c r="H486" s="396">
        <v>45743</v>
      </c>
      <c r="I486" s="396">
        <v>2085992</v>
      </c>
      <c r="J486" s="395">
        <v>239</v>
      </c>
      <c r="K486" s="395">
        <v>188</v>
      </c>
      <c r="L486" s="397">
        <v>0.78659999999999997</v>
      </c>
      <c r="M486" s="395">
        <v>51</v>
      </c>
      <c r="N486" s="396">
        <v>1005</v>
      </c>
      <c r="O486" s="396">
        <v>1848</v>
      </c>
      <c r="P486" s="395">
        <v>0.88</v>
      </c>
      <c r="Q486" s="396">
        <v>-2105</v>
      </c>
      <c r="R486" s="396">
        <v>6379</v>
      </c>
      <c r="S486" s="396">
        <v>-5645</v>
      </c>
      <c r="T486" s="396">
        <v>301561</v>
      </c>
      <c r="U486" s="396">
        <v>-123973</v>
      </c>
      <c r="V486" s="395">
        <v>3857.9</v>
      </c>
      <c r="W486" s="395">
        <v>2744.74</v>
      </c>
      <c r="X486" s="395">
        <v>77490</v>
      </c>
      <c r="Y486" s="395">
        <v>7961.27</v>
      </c>
      <c r="Z486" s="396">
        <v>-9123836</v>
      </c>
      <c r="AA486" s="396">
        <v>240107</v>
      </c>
      <c r="AB486" s="396">
        <v>3452099</v>
      </c>
      <c r="AC486" s="396">
        <v>10207916</v>
      </c>
    </row>
    <row r="487" spans="1:29">
      <c r="A487">
        <v>6227</v>
      </c>
      <c r="B487" s="395" t="s">
        <v>8013</v>
      </c>
      <c r="C487" s="395"/>
      <c r="D487" s="396">
        <v>240018</v>
      </c>
      <c r="E487" s="396">
        <v>315300</v>
      </c>
      <c r="F487" s="395">
        <v>4.1900000000000004</v>
      </c>
      <c r="G487" s="396">
        <v>-75282</v>
      </c>
      <c r="H487" s="396">
        <v>32288</v>
      </c>
      <c r="I487" s="396">
        <v>1255209</v>
      </c>
      <c r="J487" s="395">
        <v>246</v>
      </c>
      <c r="K487" s="395">
        <v>200</v>
      </c>
      <c r="L487" s="397">
        <v>0.81299999999999994</v>
      </c>
      <c r="M487" s="395">
        <v>46</v>
      </c>
      <c r="N487" s="395">
        <v>976</v>
      </c>
      <c r="O487" s="396">
        <v>1577</v>
      </c>
      <c r="P487" s="395">
        <v>0.96</v>
      </c>
      <c r="Q487" s="396">
        <v>-1637</v>
      </c>
      <c r="R487" s="396">
        <v>5227</v>
      </c>
      <c r="S487" s="396">
        <v>-7586</v>
      </c>
      <c r="T487" s="396">
        <v>284856</v>
      </c>
      <c r="U487" s="396">
        <v>-112685</v>
      </c>
      <c r="V487" s="395">
        <v>3250.89</v>
      </c>
      <c r="W487" s="395">
        <v>2319.44</v>
      </c>
      <c r="X487" s="395">
        <v>77490</v>
      </c>
      <c r="Y487" s="395">
        <v>7300.67</v>
      </c>
      <c r="Z487" s="396">
        <v>-4877232</v>
      </c>
      <c r="AA487" s="396">
        <v>240018</v>
      </c>
      <c r="AB487" s="396">
        <v>24261742</v>
      </c>
      <c r="AC487" s="396">
        <v>10207916</v>
      </c>
    </row>
    <row r="488" spans="1:29">
      <c r="A488">
        <v>6175</v>
      </c>
      <c r="B488" s="395" t="s">
        <v>7966</v>
      </c>
      <c r="C488" s="395"/>
      <c r="D488" s="396">
        <v>239467</v>
      </c>
      <c r="E488" s="396">
        <v>340177</v>
      </c>
      <c r="F488" s="395">
        <v>3.38</v>
      </c>
      <c r="G488" s="396">
        <v>-100710</v>
      </c>
      <c r="H488" s="396">
        <v>45897</v>
      </c>
      <c r="I488" s="396">
        <v>735988</v>
      </c>
      <c r="J488" s="395">
        <v>264</v>
      </c>
      <c r="K488" s="395">
        <v>209</v>
      </c>
      <c r="L488" s="397">
        <v>0.79169999999999996</v>
      </c>
      <c r="M488" s="395">
        <v>55</v>
      </c>
      <c r="N488" s="395">
        <v>907</v>
      </c>
      <c r="O488" s="396">
        <v>1628</v>
      </c>
      <c r="P488" s="395">
        <v>0.89</v>
      </c>
      <c r="Q488" s="396">
        <v>-1831</v>
      </c>
      <c r="R488" s="396">
        <v>5970</v>
      </c>
      <c r="S488" s="396">
        <v>-8711</v>
      </c>
      <c r="T488" s="396">
        <v>316125</v>
      </c>
      <c r="U488" s="396">
        <v>-66554</v>
      </c>
      <c r="V488" s="395">
        <v>1498.98</v>
      </c>
      <c r="W488" s="395">
        <v>1098.7</v>
      </c>
      <c r="X488" s="395">
        <v>77490</v>
      </c>
      <c r="Y488" s="395">
        <v>3020.04</v>
      </c>
      <c r="Z488" s="396">
        <v>-22480632</v>
      </c>
      <c r="AA488" s="396">
        <v>239467</v>
      </c>
      <c r="AB488" s="396">
        <v>10369875</v>
      </c>
      <c r="AC488" s="396">
        <v>10207916</v>
      </c>
    </row>
    <row r="489" spans="1:29">
      <c r="A489">
        <v>9940</v>
      </c>
      <c r="B489" s="395" t="s">
        <v>8419</v>
      </c>
      <c r="C489" s="395"/>
      <c r="D489" s="396">
        <v>239261</v>
      </c>
      <c r="E489" s="396">
        <v>248770</v>
      </c>
      <c r="F489" s="395">
        <v>26.16</v>
      </c>
      <c r="G489" s="396">
        <v>-9509</v>
      </c>
      <c r="H489" s="396">
        <v>35244</v>
      </c>
      <c r="I489" s="396">
        <v>2757232</v>
      </c>
      <c r="J489" s="395">
        <v>274</v>
      </c>
      <c r="K489" s="395">
        <v>258</v>
      </c>
      <c r="L489" s="397">
        <v>0.94159999999999999</v>
      </c>
      <c r="M489" s="395">
        <v>16</v>
      </c>
      <c r="N489" s="395">
        <v>873</v>
      </c>
      <c r="O489" s="395">
        <v>964</v>
      </c>
      <c r="P489" s="395">
        <v>1.62</v>
      </c>
      <c r="Q489" s="395">
        <v>-594</v>
      </c>
      <c r="R489" s="396">
        <v>4031</v>
      </c>
      <c r="S489" s="396">
        <v>-1628</v>
      </c>
      <c r="T489" s="396">
        <v>263454</v>
      </c>
      <c r="U489" s="396">
        <v>-130211</v>
      </c>
      <c r="V489" s="395">
        <v>6836.73</v>
      </c>
      <c r="W489" s="395">
        <v>6477.97</v>
      </c>
      <c r="X489" s="395">
        <v>77490</v>
      </c>
      <c r="Y489" s="395">
        <v>12621.81</v>
      </c>
      <c r="Z489" s="396">
        <v>1700132</v>
      </c>
      <c r="AA489" s="396">
        <v>239261</v>
      </c>
      <c r="AB489" s="396">
        <v>15117276</v>
      </c>
      <c r="AC489" s="396">
        <v>10207916</v>
      </c>
    </row>
    <row r="490" spans="1:29">
      <c r="A490">
        <v>2497</v>
      </c>
      <c r="B490" s="395" t="s">
        <v>7107</v>
      </c>
      <c r="C490" s="395"/>
      <c r="D490" s="396">
        <v>238837</v>
      </c>
      <c r="E490" s="396">
        <v>438189</v>
      </c>
      <c r="F490" s="395">
        <v>2.2000000000000002</v>
      </c>
      <c r="G490" s="396">
        <v>-199352</v>
      </c>
      <c r="H490" s="396">
        <v>51213</v>
      </c>
      <c r="I490" s="396">
        <v>1724426</v>
      </c>
      <c r="J490" s="395">
        <v>260</v>
      </c>
      <c r="K490" s="395">
        <v>207</v>
      </c>
      <c r="L490" s="397">
        <v>0.79620000000000002</v>
      </c>
      <c r="M490" s="395">
        <v>53</v>
      </c>
      <c r="N490" s="395">
        <v>919</v>
      </c>
      <c r="O490" s="396">
        <v>2117</v>
      </c>
      <c r="P490" s="395">
        <v>0.56000000000000005</v>
      </c>
      <c r="Q490" s="396">
        <v>-3761</v>
      </c>
      <c r="R490" s="396">
        <v>7132</v>
      </c>
      <c r="S490" s="396">
        <v>-14436</v>
      </c>
      <c r="T490" s="396">
        <v>460207</v>
      </c>
      <c r="U490" s="396">
        <v>-227625</v>
      </c>
      <c r="V490" s="395">
        <v>3239.4</v>
      </c>
      <c r="W490" s="395">
        <v>2075.89</v>
      </c>
      <c r="X490" s="395">
        <v>77490</v>
      </c>
      <c r="Y490" s="395">
        <v>7783.68</v>
      </c>
      <c r="Z490" s="396">
        <v>54622157</v>
      </c>
      <c r="AA490" s="396">
        <v>238837</v>
      </c>
      <c r="AB490" s="396">
        <v>106029141</v>
      </c>
      <c r="AC490" s="396">
        <v>10207916</v>
      </c>
    </row>
    <row r="491" spans="1:29">
      <c r="A491">
        <v>4107</v>
      </c>
      <c r="B491" s="395" t="s">
        <v>7555</v>
      </c>
      <c r="C491" s="395"/>
      <c r="D491" s="396">
        <v>238483</v>
      </c>
      <c r="E491" s="396">
        <v>636359</v>
      </c>
      <c r="F491" s="395">
        <v>1.6</v>
      </c>
      <c r="G491" s="396">
        <v>-397876</v>
      </c>
      <c r="H491" s="396">
        <v>95576</v>
      </c>
      <c r="I491" s="396">
        <v>5228826</v>
      </c>
      <c r="J491" s="395">
        <v>204</v>
      </c>
      <c r="K491" s="395">
        <v>139</v>
      </c>
      <c r="L491" s="397">
        <v>0.68140000000000001</v>
      </c>
      <c r="M491" s="395">
        <v>65</v>
      </c>
      <c r="N491" s="396">
        <v>1169</v>
      </c>
      <c r="O491" s="396">
        <v>4578</v>
      </c>
      <c r="P491" s="395">
        <v>0.75</v>
      </c>
      <c r="Q491" s="396">
        <v>-6121</v>
      </c>
      <c r="R491" s="396">
        <v>11536</v>
      </c>
      <c r="S491" s="396">
        <v>-9941</v>
      </c>
      <c r="T491" s="396">
        <v>722210</v>
      </c>
      <c r="U491" s="396">
        <v>-465997</v>
      </c>
      <c r="V491" s="395">
        <v>7294.98</v>
      </c>
      <c r="W491" s="395">
        <v>5896.06</v>
      </c>
      <c r="X491" s="395">
        <v>77490</v>
      </c>
      <c r="Y491" s="395">
        <v>10286.52</v>
      </c>
      <c r="Z491" s="396">
        <v>-10603834</v>
      </c>
      <c r="AA491" s="396">
        <v>238483</v>
      </c>
      <c r="AB491" s="396">
        <v>-8965318</v>
      </c>
      <c r="AC491" s="396">
        <v>10207916</v>
      </c>
    </row>
    <row r="492" spans="1:29">
      <c r="A492">
        <v>9960</v>
      </c>
      <c r="B492" s="395" t="s">
        <v>8431</v>
      </c>
      <c r="C492" s="395"/>
      <c r="D492" s="396">
        <v>238165</v>
      </c>
      <c r="E492" s="396">
        <v>262547</v>
      </c>
      <c r="F492" s="395">
        <v>10.77</v>
      </c>
      <c r="G492" s="396">
        <v>-24382</v>
      </c>
      <c r="H492" s="396">
        <v>17743</v>
      </c>
      <c r="I492" s="396">
        <v>2349484</v>
      </c>
      <c r="J492" s="395">
        <v>154</v>
      </c>
      <c r="K492" s="395">
        <v>124</v>
      </c>
      <c r="L492" s="397">
        <v>0.80520000000000003</v>
      </c>
      <c r="M492" s="395">
        <v>30</v>
      </c>
      <c r="N492" s="396">
        <v>1547</v>
      </c>
      <c r="O492" s="396">
        <v>2117</v>
      </c>
      <c r="P492" s="395">
        <v>2.6</v>
      </c>
      <c r="Q492" s="395">
        <v>-813</v>
      </c>
      <c r="R492" s="396">
        <v>3908</v>
      </c>
      <c r="S492" s="396">
        <v>-2067</v>
      </c>
      <c r="T492" s="396">
        <v>311925</v>
      </c>
      <c r="U492" s="396">
        <v>-88678</v>
      </c>
      <c r="V492" s="395">
        <v>11770.27</v>
      </c>
      <c r="W492" s="395">
        <v>11852.26</v>
      </c>
      <c r="X492" s="395">
        <v>75330</v>
      </c>
      <c r="Y492" s="395">
        <v>11431.4</v>
      </c>
      <c r="Z492" s="396">
        <v>-7926287</v>
      </c>
      <c r="AA492" s="396">
        <v>238165</v>
      </c>
      <c r="AB492" s="396">
        <v>-10989139</v>
      </c>
      <c r="AC492" s="396">
        <v>10207916</v>
      </c>
    </row>
    <row r="493" spans="1:29">
      <c r="A493">
        <v>6282</v>
      </c>
      <c r="B493" s="395" t="s">
        <v>8051</v>
      </c>
      <c r="C493" s="395"/>
      <c r="D493" s="396">
        <v>237321</v>
      </c>
      <c r="E493" s="396">
        <v>262849</v>
      </c>
      <c r="F493" s="395">
        <v>10.3</v>
      </c>
      <c r="G493" s="396">
        <v>-25528</v>
      </c>
      <c r="H493" s="396">
        <v>31639</v>
      </c>
      <c r="I493" s="396">
        <v>1531934</v>
      </c>
      <c r="J493" s="395">
        <v>259</v>
      </c>
      <c r="K493" s="395">
        <v>224</v>
      </c>
      <c r="L493" s="397">
        <v>0.8649</v>
      </c>
      <c r="M493" s="395">
        <v>35</v>
      </c>
      <c r="N493" s="395">
        <v>916</v>
      </c>
      <c r="O493" s="396">
        <v>1173</v>
      </c>
      <c r="P493" s="395">
        <v>1.61</v>
      </c>
      <c r="Q493" s="395">
        <v>-729</v>
      </c>
      <c r="R493" s="396">
        <v>6170</v>
      </c>
      <c r="S493" s="396">
        <v>-2794</v>
      </c>
      <c r="T493" s="396">
        <v>355567</v>
      </c>
      <c r="U493" s="396">
        <v>-146592</v>
      </c>
      <c r="V493" s="395">
        <v>3046.76</v>
      </c>
      <c r="W493" s="395">
        <v>2472.4499999999998</v>
      </c>
      <c r="X493" s="395">
        <v>77490</v>
      </c>
      <c r="Y493" s="395">
        <v>6722.34</v>
      </c>
      <c r="Z493" s="396">
        <v>602689</v>
      </c>
      <c r="AA493" s="396">
        <v>237321</v>
      </c>
      <c r="AB493" s="396">
        <v>9754232</v>
      </c>
      <c r="AC493" s="396">
        <v>10207916</v>
      </c>
    </row>
    <row r="494" spans="1:29">
      <c r="A494">
        <v>2313</v>
      </c>
      <c r="B494" s="395" t="s">
        <v>6978</v>
      </c>
      <c r="C494" s="395"/>
      <c r="D494" s="396">
        <v>236779</v>
      </c>
      <c r="E494" s="396">
        <v>377766</v>
      </c>
      <c r="F494" s="395">
        <v>2.68</v>
      </c>
      <c r="G494" s="396">
        <v>-140987</v>
      </c>
      <c r="H494" s="396">
        <v>47752</v>
      </c>
      <c r="I494" s="396">
        <v>2938653</v>
      </c>
      <c r="J494" s="395">
        <v>281</v>
      </c>
      <c r="K494" s="395">
        <v>222</v>
      </c>
      <c r="L494" s="397">
        <v>0.79</v>
      </c>
      <c r="M494" s="395">
        <v>59</v>
      </c>
      <c r="N494" s="395">
        <v>843</v>
      </c>
      <c r="O494" s="396">
        <v>1702</v>
      </c>
      <c r="P494" s="395">
        <v>0.71</v>
      </c>
      <c r="Q494" s="396">
        <v>-2390</v>
      </c>
      <c r="R494" s="396">
        <v>7654</v>
      </c>
      <c r="S494" s="396">
        <v>-6328</v>
      </c>
      <c r="T494" s="396">
        <v>458311</v>
      </c>
      <c r="U494" s="396">
        <v>-320295</v>
      </c>
      <c r="V494" s="395">
        <v>4733.5200000000004</v>
      </c>
      <c r="W494" s="395">
        <v>3389.64</v>
      </c>
      <c r="X494" s="395">
        <v>77490</v>
      </c>
      <c r="Y494" s="395">
        <v>9790.15</v>
      </c>
      <c r="Z494" s="396">
        <v>-15139229</v>
      </c>
      <c r="AA494" s="396">
        <v>236779</v>
      </c>
      <c r="AB494" s="396">
        <v>3112471</v>
      </c>
      <c r="AC494" s="396">
        <v>10207916</v>
      </c>
    </row>
    <row r="495" spans="1:29">
      <c r="A495">
        <v>2415</v>
      </c>
      <c r="B495" s="395" t="s">
        <v>7046</v>
      </c>
      <c r="C495" s="395"/>
      <c r="D495" s="396">
        <v>236734</v>
      </c>
      <c r="E495" s="396">
        <v>423104</v>
      </c>
      <c r="F495" s="395">
        <v>2.27</v>
      </c>
      <c r="G495" s="396">
        <v>-186370</v>
      </c>
      <c r="H495" s="396">
        <v>43901</v>
      </c>
      <c r="I495" s="396">
        <v>2310159</v>
      </c>
      <c r="J495" s="395">
        <v>261</v>
      </c>
      <c r="K495" s="395">
        <v>191</v>
      </c>
      <c r="L495" s="397">
        <v>0.73180000000000001</v>
      </c>
      <c r="M495" s="395">
        <v>70</v>
      </c>
      <c r="N495" s="395">
        <v>907</v>
      </c>
      <c r="O495" s="396">
        <v>2215</v>
      </c>
      <c r="P495" s="395">
        <v>0.83</v>
      </c>
      <c r="Q495" s="396">
        <v>-2662</v>
      </c>
      <c r="R495" s="396">
        <v>9097</v>
      </c>
      <c r="S495" s="396">
        <v>-9854</v>
      </c>
      <c r="T495" s="396">
        <v>553882</v>
      </c>
      <c r="U495" s="396">
        <v>-431523</v>
      </c>
      <c r="V495" s="395">
        <v>3983.87</v>
      </c>
      <c r="W495" s="395">
        <v>2095.56</v>
      </c>
      <c r="X495" s="395">
        <v>77490</v>
      </c>
      <c r="Y495" s="395">
        <v>9136.27</v>
      </c>
      <c r="Z495" s="396">
        <v>-1157595</v>
      </c>
      <c r="AA495" s="396">
        <v>236734</v>
      </c>
      <c r="AB495" s="396">
        <v>23563325</v>
      </c>
      <c r="AC495" s="396">
        <v>10207916</v>
      </c>
    </row>
    <row r="496" spans="1:29">
      <c r="A496">
        <v>1264</v>
      </c>
      <c r="B496" s="395" t="s">
        <v>6706</v>
      </c>
      <c r="C496" s="395"/>
      <c r="D496" s="396">
        <v>236349</v>
      </c>
      <c r="E496" s="396">
        <v>723088</v>
      </c>
      <c r="F496" s="395">
        <v>1.49</v>
      </c>
      <c r="G496" s="396">
        <v>-486739</v>
      </c>
      <c r="H496" s="396">
        <v>127809</v>
      </c>
      <c r="I496" s="396">
        <v>10995105</v>
      </c>
      <c r="J496" s="395">
        <v>109</v>
      </c>
      <c r="K496" s="395">
        <v>74</v>
      </c>
      <c r="L496" s="397">
        <v>0.67889999999999995</v>
      </c>
      <c r="M496" s="395">
        <v>35</v>
      </c>
      <c r="N496" s="396">
        <v>2168</v>
      </c>
      <c r="O496" s="396">
        <v>9771</v>
      </c>
      <c r="P496" s="395">
        <v>0.7</v>
      </c>
      <c r="Q496" s="396">
        <v>-13907</v>
      </c>
      <c r="R496" s="396">
        <v>22772</v>
      </c>
      <c r="S496" s="396">
        <v>-29188</v>
      </c>
      <c r="T496" s="396">
        <v>821500</v>
      </c>
      <c r="U496" s="396">
        <v>-583120</v>
      </c>
      <c r="V496" s="395">
        <v>9803.99</v>
      </c>
      <c r="W496" s="395">
        <v>5253.54</v>
      </c>
      <c r="X496" s="395">
        <v>76410</v>
      </c>
      <c r="Y496" s="395">
        <v>19424.939999999999</v>
      </c>
      <c r="Z496" s="396">
        <v>11435438</v>
      </c>
      <c r="AA496" s="396">
        <v>236349</v>
      </c>
      <c r="AB496" s="396">
        <v>15395916</v>
      </c>
      <c r="AC496" s="396">
        <v>10207916</v>
      </c>
    </row>
    <row r="497" spans="1:29">
      <c r="A497">
        <v>6285</v>
      </c>
      <c r="B497" s="395" t="s">
        <v>8054</v>
      </c>
      <c r="C497" s="395"/>
      <c r="D497" s="396">
        <v>236009</v>
      </c>
      <c r="E497" s="396">
        <v>440840</v>
      </c>
      <c r="F497" s="395">
        <v>2.15</v>
      </c>
      <c r="G497" s="396">
        <v>-204831</v>
      </c>
      <c r="H497" s="396">
        <v>79758</v>
      </c>
      <c r="I497" s="396">
        <v>2717840</v>
      </c>
      <c r="J497" s="395">
        <v>269</v>
      </c>
      <c r="K497" s="395">
        <v>190</v>
      </c>
      <c r="L497" s="397">
        <v>0.70630000000000004</v>
      </c>
      <c r="M497" s="395">
        <v>79</v>
      </c>
      <c r="N497" s="395">
        <v>877</v>
      </c>
      <c r="O497" s="396">
        <v>2320</v>
      </c>
      <c r="P497" s="395">
        <v>0.89</v>
      </c>
      <c r="Q497" s="396">
        <v>-2593</v>
      </c>
      <c r="R497" s="396">
        <v>7544</v>
      </c>
      <c r="S497" s="396">
        <v>-8997</v>
      </c>
      <c r="T497" s="396">
        <v>449476</v>
      </c>
      <c r="U497" s="396">
        <v>-218311</v>
      </c>
      <c r="V497" s="395">
        <v>3619.6</v>
      </c>
      <c r="W497" s="395">
        <v>2437.21</v>
      </c>
      <c r="X497" s="395">
        <v>77490</v>
      </c>
      <c r="Y497" s="395">
        <v>6463.33</v>
      </c>
      <c r="Z497" s="396">
        <v>-15046072</v>
      </c>
      <c r="AA497" s="396">
        <v>236009</v>
      </c>
      <c r="AB497" s="396">
        <v>-6698826</v>
      </c>
      <c r="AC497" s="396">
        <v>10207916</v>
      </c>
    </row>
    <row r="498" spans="1:29">
      <c r="A498">
        <v>2239</v>
      </c>
      <c r="B498" s="395" t="s">
        <v>6967</v>
      </c>
      <c r="C498" s="395"/>
      <c r="D498" s="396">
        <v>234637</v>
      </c>
      <c r="E498" s="396">
        <v>1149002</v>
      </c>
      <c r="F498" s="395">
        <v>1.26</v>
      </c>
      <c r="G498" s="396">
        <v>-914365</v>
      </c>
      <c r="H498" s="396">
        <v>86702</v>
      </c>
      <c r="I498" s="396">
        <v>9548105</v>
      </c>
      <c r="J498" s="395">
        <v>250</v>
      </c>
      <c r="K498" s="395">
        <v>149</v>
      </c>
      <c r="L498" s="397">
        <v>0.59599999999999997</v>
      </c>
      <c r="M498" s="395">
        <v>101</v>
      </c>
      <c r="N498" s="395">
        <v>939</v>
      </c>
      <c r="O498" s="396">
        <v>7711</v>
      </c>
      <c r="P498" s="395">
        <v>0.85</v>
      </c>
      <c r="Q498" s="396">
        <v>-9053</v>
      </c>
      <c r="R498" s="396">
        <v>23429</v>
      </c>
      <c r="S498" s="396">
        <v>-40682</v>
      </c>
      <c r="T498" s="396">
        <v>2797682</v>
      </c>
      <c r="U498" s="396">
        <v>-2394182</v>
      </c>
      <c r="V498" s="395">
        <v>10832.27</v>
      </c>
      <c r="W498" s="395">
        <v>5411.48</v>
      </c>
      <c r="X498" s="395">
        <v>77490</v>
      </c>
      <c r="Y498" s="395">
        <v>18829.27</v>
      </c>
      <c r="Z498" s="396">
        <v>-26466245</v>
      </c>
      <c r="AA498" s="396">
        <v>234637</v>
      </c>
      <c r="AB498" s="396">
        <v>-15832243</v>
      </c>
      <c r="AC498" s="396">
        <v>10207916</v>
      </c>
    </row>
    <row r="499" spans="1:29">
      <c r="A499">
        <v>6552</v>
      </c>
      <c r="B499" s="395" t="s">
        <v>8127</v>
      </c>
      <c r="C499" s="395"/>
      <c r="D499" s="396">
        <v>233756</v>
      </c>
      <c r="E499" s="396">
        <v>736989</v>
      </c>
      <c r="F499" s="395">
        <v>1.46</v>
      </c>
      <c r="G499" s="396">
        <v>-503233</v>
      </c>
      <c r="H499" s="396">
        <v>62448</v>
      </c>
      <c r="I499" s="396">
        <v>4998337</v>
      </c>
      <c r="J499" s="395">
        <v>259</v>
      </c>
      <c r="K499" s="395">
        <v>146</v>
      </c>
      <c r="L499" s="397">
        <v>0.56369999999999998</v>
      </c>
      <c r="M499" s="395">
        <v>113</v>
      </c>
      <c r="N499" s="395">
        <v>903</v>
      </c>
      <c r="O499" s="396">
        <v>5048</v>
      </c>
      <c r="P499" s="395">
        <v>1.1299999999999999</v>
      </c>
      <c r="Q499" s="396">
        <v>-4453</v>
      </c>
      <c r="R499" s="396">
        <v>18888</v>
      </c>
      <c r="S499" s="396">
        <v>-16883</v>
      </c>
      <c r="T499" s="396">
        <v>1477018</v>
      </c>
      <c r="U499" s="396">
        <v>-1173283</v>
      </c>
      <c r="V499" s="395">
        <v>6752.47</v>
      </c>
      <c r="W499" s="395">
        <v>3289.27</v>
      </c>
      <c r="X499" s="395">
        <v>77490</v>
      </c>
      <c r="Y499" s="395">
        <v>11227.04</v>
      </c>
      <c r="Z499" s="396">
        <v>-16199215</v>
      </c>
      <c r="AA499" s="396">
        <v>233756</v>
      </c>
      <c r="AB499" s="396">
        <v>-4349078</v>
      </c>
      <c r="AC499" s="396">
        <v>10207916</v>
      </c>
    </row>
    <row r="500" spans="1:29">
      <c r="A500">
        <v>4560</v>
      </c>
      <c r="B500" s="395" t="s">
        <v>7654</v>
      </c>
      <c r="C500" s="395"/>
      <c r="D500" s="396">
        <v>233714</v>
      </c>
      <c r="E500" s="396">
        <v>294183</v>
      </c>
      <c r="F500" s="395">
        <v>4.87</v>
      </c>
      <c r="G500" s="396">
        <v>-60469</v>
      </c>
      <c r="H500" s="396">
        <v>45269</v>
      </c>
      <c r="I500" s="396">
        <v>3076938</v>
      </c>
      <c r="J500" s="395">
        <v>265</v>
      </c>
      <c r="K500" s="395">
        <v>167</v>
      </c>
      <c r="L500" s="397">
        <v>0.63019999999999998</v>
      </c>
      <c r="M500" s="395">
        <v>98</v>
      </c>
      <c r="N500" s="395">
        <v>882</v>
      </c>
      <c r="O500" s="396">
        <v>1762</v>
      </c>
      <c r="P500" s="395">
        <v>2.86</v>
      </c>
      <c r="Q500" s="395">
        <v>-617</v>
      </c>
      <c r="R500" s="396">
        <v>3778</v>
      </c>
      <c r="S500" s="396">
        <v>-2176</v>
      </c>
      <c r="T500" s="396">
        <v>347186</v>
      </c>
      <c r="U500" s="396">
        <v>-93197</v>
      </c>
      <c r="V500" s="395">
        <v>8133.26</v>
      </c>
      <c r="W500" s="395">
        <v>6818.28</v>
      </c>
      <c r="X500" s="395">
        <v>77490</v>
      </c>
      <c r="Y500" s="395">
        <v>10374.1</v>
      </c>
      <c r="Z500" s="396">
        <v>-2519015</v>
      </c>
      <c r="AA500" s="396">
        <v>233714</v>
      </c>
      <c r="AB500" s="396">
        <v>-2684563</v>
      </c>
      <c r="AC500" s="396">
        <v>10207916</v>
      </c>
    </row>
    <row r="501" spans="1:29">
      <c r="A501">
        <v>6189</v>
      </c>
      <c r="B501" s="395" t="s">
        <v>7978</v>
      </c>
      <c r="C501" s="395"/>
      <c r="D501" s="396">
        <v>232723</v>
      </c>
      <c r="E501" s="396">
        <v>237660</v>
      </c>
      <c r="F501" s="395">
        <v>48.14</v>
      </c>
      <c r="G501" s="396">
        <v>-4937</v>
      </c>
      <c r="H501" s="396">
        <v>41899</v>
      </c>
      <c r="I501" s="396">
        <v>2109721</v>
      </c>
      <c r="J501" s="395">
        <v>258</v>
      </c>
      <c r="K501" s="395">
        <v>238</v>
      </c>
      <c r="L501" s="397">
        <v>0.92249999999999999</v>
      </c>
      <c r="M501" s="395">
        <v>20</v>
      </c>
      <c r="N501" s="395">
        <v>902</v>
      </c>
      <c r="O501" s="395">
        <v>999</v>
      </c>
      <c r="P501" s="395">
        <v>4.04</v>
      </c>
      <c r="Q501" s="395">
        <v>-247</v>
      </c>
      <c r="R501" s="396">
        <v>3289</v>
      </c>
      <c r="S501" s="395">
        <v>-570</v>
      </c>
      <c r="T501" s="396">
        <v>246439</v>
      </c>
      <c r="U501" s="396">
        <v>-45461</v>
      </c>
      <c r="V501" s="395">
        <v>4642.7</v>
      </c>
      <c r="W501" s="395">
        <v>4589.97</v>
      </c>
      <c r="X501" s="395">
        <v>77490</v>
      </c>
      <c r="Y501" s="395">
        <v>5270.2</v>
      </c>
      <c r="Z501" s="396">
        <v>8818157</v>
      </c>
      <c r="AA501" s="396">
        <v>232723</v>
      </c>
      <c r="AB501" s="396">
        <v>16435028</v>
      </c>
      <c r="AC501" s="396">
        <v>10207916</v>
      </c>
    </row>
    <row r="502" spans="1:29">
      <c r="A502">
        <v>2337</v>
      </c>
      <c r="B502" s="395" t="s">
        <v>6991</v>
      </c>
      <c r="C502" s="395"/>
      <c r="D502" s="396">
        <v>231116</v>
      </c>
      <c r="E502" s="396">
        <v>335023</v>
      </c>
      <c r="F502" s="395">
        <v>3.22</v>
      </c>
      <c r="G502" s="396">
        <v>-103907</v>
      </c>
      <c r="H502" s="396">
        <v>46758</v>
      </c>
      <c r="I502" s="396">
        <v>2077433</v>
      </c>
      <c r="J502" s="395">
        <v>276</v>
      </c>
      <c r="K502" s="395">
        <v>209</v>
      </c>
      <c r="L502" s="397">
        <v>0.75719999999999998</v>
      </c>
      <c r="M502" s="395">
        <v>67</v>
      </c>
      <c r="N502" s="395">
        <v>837</v>
      </c>
      <c r="O502" s="396">
        <v>1603</v>
      </c>
      <c r="P502" s="395">
        <v>1.03</v>
      </c>
      <c r="Q502" s="396">
        <v>-1551</v>
      </c>
      <c r="R502" s="396">
        <v>6646</v>
      </c>
      <c r="S502" s="396">
        <v>-6530</v>
      </c>
      <c r="T502" s="396">
        <v>295736</v>
      </c>
      <c r="U502" s="396">
        <v>-157068</v>
      </c>
      <c r="V502" s="395">
        <v>3320.27</v>
      </c>
      <c r="W502" s="395">
        <v>2402.3000000000002</v>
      </c>
      <c r="X502" s="395">
        <v>77490</v>
      </c>
      <c r="Y502" s="395">
        <v>6183.79</v>
      </c>
      <c r="Z502" s="396">
        <v>-12516751</v>
      </c>
      <c r="AA502" s="396">
        <v>231116</v>
      </c>
      <c r="AB502" s="396">
        <v>259327</v>
      </c>
      <c r="AC502" s="396">
        <v>10207916</v>
      </c>
    </row>
    <row r="503" spans="1:29">
      <c r="A503">
        <v>2850</v>
      </c>
      <c r="B503" s="395" t="s">
        <v>7205</v>
      </c>
      <c r="C503" s="395"/>
      <c r="D503" s="396">
        <v>230539</v>
      </c>
      <c r="E503" s="396">
        <v>234876</v>
      </c>
      <c r="F503" s="395">
        <v>54.16</v>
      </c>
      <c r="G503" s="396">
        <v>-4337</v>
      </c>
      <c r="H503" s="396">
        <v>42245</v>
      </c>
      <c r="I503" s="396">
        <v>1748759</v>
      </c>
      <c r="J503" s="395">
        <v>241</v>
      </c>
      <c r="K503" s="395">
        <v>227</v>
      </c>
      <c r="L503" s="397">
        <v>0.94189999999999996</v>
      </c>
      <c r="M503" s="395">
        <v>14</v>
      </c>
      <c r="N503" s="395">
        <v>957</v>
      </c>
      <c r="O503" s="396">
        <v>1035</v>
      </c>
      <c r="P503" s="395">
        <v>3.34</v>
      </c>
      <c r="Q503" s="395">
        <v>-310</v>
      </c>
      <c r="R503" s="396">
        <v>2892</v>
      </c>
      <c r="S503" s="395">
        <v>-866</v>
      </c>
      <c r="T503" s="396">
        <v>250997</v>
      </c>
      <c r="U503" s="396">
        <v>-50543</v>
      </c>
      <c r="V503" s="395">
        <v>4314.57</v>
      </c>
      <c r="W503" s="395">
        <v>4110.45</v>
      </c>
      <c r="X503" s="395">
        <v>77490</v>
      </c>
      <c r="Y503" s="395">
        <v>7624.21</v>
      </c>
      <c r="Z503" s="396">
        <v>7417331</v>
      </c>
      <c r="AA503" s="396">
        <v>230539</v>
      </c>
      <c r="AB503" s="396">
        <v>16826245</v>
      </c>
      <c r="AC503" s="396">
        <v>10207916</v>
      </c>
    </row>
    <row r="504" spans="1:29">
      <c r="A504">
        <v>1234</v>
      </c>
      <c r="B504" s="395" t="s">
        <v>6699</v>
      </c>
      <c r="C504" s="395"/>
      <c r="D504" s="396">
        <v>230257</v>
      </c>
      <c r="E504" s="396">
        <v>243877</v>
      </c>
      <c r="F504" s="395">
        <v>17.91</v>
      </c>
      <c r="G504" s="396">
        <v>-13620</v>
      </c>
      <c r="H504" s="396">
        <v>31223</v>
      </c>
      <c r="I504" s="396">
        <v>4469161</v>
      </c>
      <c r="J504" s="395">
        <v>220</v>
      </c>
      <c r="K504" s="395">
        <v>195</v>
      </c>
      <c r="L504" s="397">
        <v>0.88639999999999997</v>
      </c>
      <c r="M504" s="395">
        <v>25</v>
      </c>
      <c r="N504" s="396">
        <v>1047</v>
      </c>
      <c r="O504" s="396">
        <v>1251</v>
      </c>
      <c r="P504" s="395">
        <v>2.2999999999999998</v>
      </c>
      <c r="Q504" s="395">
        <v>-545</v>
      </c>
      <c r="R504" s="396">
        <v>3935</v>
      </c>
      <c r="S504" s="395">
        <v>-893</v>
      </c>
      <c r="T504" s="396">
        <v>255229</v>
      </c>
      <c r="U504" s="396">
        <v>-83514</v>
      </c>
      <c r="V504" s="395">
        <v>14497.31</v>
      </c>
      <c r="W504" s="395">
        <v>15812.32</v>
      </c>
      <c r="X504" s="395">
        <v>77490</v>
      </c>
      <c r="Y504" s="395">
        <v>4240.2</v>
      </c>
      <c r="Z504" s="396">
        <v>7046651</v>
      </c>
      <c r="AA504" s="396">
        <v>230257</v>
      </c>
      <c r="AB504" s="396">
        <v>6058171</v>
      </c>
      <c r="AC504" s="396">
        <v>10207916</v>
      </c>
    </row>
    <row r="505" spans="1:29">
      <c r="A505">
        <v>3402</v>
      </c>
      <c r="B505" s="395" t="s">
        <v>7415</v>
      </c>
      <c r="C505" s="395"/>
      <c r="D505" s="396">
        <v>230254</v>
      </c>
      <c r="E505" s="396">
        <v>254383</v>
      </c>
      <c r="F505" s="395">
        <v>10.54</v>
      </c>
      <c r="G505" s="396">
        <v>-24129</v>
      </c>
      <c r="H505" s="396">
        <v>39319</v>
      </c>
      <c r="I505" s="396">
        <v>1773106</v>
      </c>
      <c r="J505" s="395">
        <v>232</v>
      </c>
      <c r="K505" s="395">
        <v>204</v>
      </c>
      <c r="L505" s="397">
        <v>0.87929999999999997</v>
      </c>
      <c r="M505" s="395">
        <v>28</v>
      </c>
      <c r="N505" s="395">
        <v>992</v>
      </c>
      <c r="O505" s="396">
        <v>1247</v>
      </c>
      <c r="P505" s="395">
        <v>1.45</v>
      </c>
      <c r="Q505" s="395">
        <v>-862</v>
      </c>
      <c r="R505" s="396">
        <v>3842</v>
      </c>
      <c r="S505" s="396">
        <v>-3675</v>
      </c>
      <c r="T505" s="396">
        <v>238132</v>
      </c>
      <c r="U505" s="396">
        <v>-79580</v>
      </c>
      <c r="V505" s="395">
        <v>2414.34</v>
      </c>
      <c r="W505" s="395">
        <v>1933.05</v>
      </c>
      <c r="X505" s="395">
        <v>77490</v>
      </c>
      <c r="Y505" s="395">
        <v>5920.82</v>
      </c>
      <c r="Z505" s="396">
        <v>21787935</v>
      </c>
      <c r="AA505" s="396">
        <v>230254</v>
      </c>
      <c r="AB505" s="396">
        <v>39285399</v>
      </c>
      <c r="AC505" s="396">
        <v>10207916</v>
      </c>
    </row>
    <row r="506" spans="1:29">
      <c r="A506">
        <v>2504</v>
      </c>
      <c r="B506" s="395" t="s">
        <v>7110</v>
      </c>
      <c r="C506" s="395"/>
      <c r="D506" s="396">
        <v>229305</v>
      </c>
      <c r="E506" s="396">
        <v>261894</v>
      </c>
      <c r="F506" s="395">
        <v>8.0399999999999991</v>
      </c>
      <c r="G506" s="396">
        <v>-32590</v>
      </c>
      <c r="H506" s="396">
        <v>27139</v>
      </c>
      <c r="I506" s="396">
        <v>2243592</v>
      </c>
      <c r="J506" s="395">
        <v>262</v>
      </c>
      <c r="K506" s="395">
        <v>227</v>
      </c>
      <c r="L506" s="397">
        <v>0.86639999999999995</v>
      </c>
      <c r="M506" s="395">
        <v>35</v>
      </c>
      <c r="N506" s="395">
        <v>875</v>
      </c>
      <c r="O506" s="396">
        <v>1154</v>
      </c>
      <c r="P506" s="395">
        <v>1.24</v>
      </c>
      <c r="Q506" s="395">
        <v>-931</v>
      </c>
      <c r="R506" s="396">
        <v>4960</v>
      </c>
      <c r="S506" s="396">
        <v>-2915</v>
      </c>
      <c r="T506" s="396">
        <v>354477</v>
      </c>
      <c r="U506" s="396">
        <v>-166417</v>
      </c>
      <c r="V506" s="395">
        <v>6423.52</v>
      </c>
      <c r="W506" s="395">
        <v>5776.21</v>
      </c>
      <c r="X506" s="395">
        <v>77490</v>
      </c>
      <c r="Y506" s="395">
        <v>10621.77</v>
      </c>
      <c r="Z506" s="396">
        <v>-1750474</v>
      </c>
      <c r="AA506" s="396">
        <v>229305</v>
      </c>
      <c r="AB506" s="396">
        <v>8325750</v>
      </c>
      <c r="AC506" s="396">
        <v>10207916</v>
      </c>
    </row>
    <row r="507" spans="1:29">
      <c r="A507">
        <v>4130</v>
      </c>
      <c r="B507" s="395" t="s">
        <v>7570</v>
      </c>
      <c r="C507" s="395"/>
      <c r="D507" s="396">
        <v>228231</v>
      </c>
      <c r="E507" s="396">
        <v>284716</v>
      </c>
      <c r="F507" s="395">
        <v>5.04</v>
      </c>
      <c r="G507" s="396">
        <v>-56485</v>
      </c>
      <c r="H507" s="396">
        <v>26372</v>
      </c>
      <c r="I507" s="396">
        <v>3866071</v>
      </c>
      <c r="J507" s="395">
        <v>256</v>
      </c>
      <c r="K507" s="395">
        <v>205</v>
      </c>
      <c r="L507" s="397">
        <v>0.80079999999999996</v>
      </c>
      <c r="M507" s="395">
        <v>51</v>
      </c>
      <c r="N507" s="395">
        <v>892</v>
      </c>
      <c r="O507" s="396">
        <v>1389</v>
      </c>
      <c r="P507" s="395">
        <v>1.25</v>
      </c>
      <c r="Q507" s="396">
        <v>-1108</v>
      </c>
      <c r="R507" s="396">
        <v>3906</v>
      </c>
      <c r="S507" s="396">
        <v>-3147</v>
      </c>
      <c r="T507" s="396">
        <v>630893</v>
      </c>
      <c r="U507" s="396">
        <v>-414302</v>
      </c>
      <c r="V507" s="395">
        <v>15276.6</v>
      </c>
      <c r="W507" s="395">
        <v>14261.25</v>
      </c>
      <c r="X507" s="395">
        <v>77490</v>
      </c>
      <c r="Y507" s="395">
        <v>19357.88</v>
      </c>
      <c r="Z507" s="396">
        <v>-9669808</v>
      </c>
      <c r="AA507" s="396">
        <v>228231</v>
      </c>
      <c r="AB507" s="396">
        <v>-8752469</v>
      </c>
      <c r="AC507" s="396">
        <v>10207916</v>
      </c>
    </row>
    <row r="508" spans="1:29">
      <c r="A508">
        <v>6143</v>
      </c>
      <c r="B508" s="395" t="s">
        <v>7940</v>
      </c>
      <c r="C508" s="395"/>
      <c r="D508" s="396">
        <v>227143</v>
      </c>
      <c r="E508" s="396">
        <v>395570</v>
      </c>
      <c r="F508" s="395">
        <v>2.35</v>
      </c>
      <c r="G508" s="396">
        <v>-168427</v>
      </c>
      <c r="H508" s="396">
        <v>54653</v>
      </c>
      <c r="I508" s="396">
        <v>1736471</v>
      </c>
      <c r="J508" s="395">
        <v>271</v>
      </c>
      <c r="K508" s="395">
        <v>221</v>
      </c>
      <c r="L508" s="397">
        <v>0.8155</v>
      </c>
      <c r="M508" s="395">
        <v>50</v>
      </c>
      <c r="N508" s="395">
        <v>838</v>
      </c>
      <c r="O508" s="396">
        <v>1790</v>
      </c>
      <c r="P508" s="395">
        <v>0.53</v>
      </c>
      <c r="Q508" s="396">
        <v>-3369</v>
      </c>
      <c r="R508" s="396">
        <v>7717</v>
      </c>
      <c r="S508" s="396">
        <v>-12961</v>
      </c>
      <c r="T508" s="396">
        <v>344313</v>
      </c>
      <c r="U508" s="396">
        <v>-103694</v>
      </c>
      <c r="V508" s="395">
        <v>2089.15</v>
      </c>
      <c r="W508" s="395">
        <v>1640.89</v>
      </c>
      <c r="X508" s="395">
        <v>77490</v>
      </c>
      <c r="Y508" s="395">
        <v>4070.44</v>
      </c>
      <c r="Z508" s="396">
        <v>-3757695</v>
      </c>
      <c r="AA508" s="396">
        <v>227143</v>
      </c>
      <c r="AB508" s="396">
        <v>12156788</v>
      </c>
      <c r="AC508" s="396">
        <v>10207916</v>
      </c>
    </row>
    <row r="509" spans="1:29">
      <c r="A509">
        <v>3147</v>
      </c>
      <c r="B509" s="395" t="s">
        <v>7326</v>
      </c>
      <c r="C509" s="395"/>
      <c r="D509" s="396">
        <v>226274</v>
      </c>
      <c r="E509" s="396">
        <v>306160</v>
      </c>
      <c r="F509" s="395">
        <v>3.83</v>
      </c>
      <c r="G509" s="396">
        <v>-79886</v>
      </c>
      <c r="H509" s="396">
        <v>45509</v>
      </c>
      <c r="I509" s="396">
        <v>1163085</v>
      </c>
      <c r="J509" s="395">
        <v>231</v>
      </c>
      <c r="K509" s="395">
        <v>194</v>
      </c>
      <c r="L509" s="397">
        <v>0.83979999999999999</v>
      </c>
      <c r="M509" s="395">
        <v>37</v>
      </c>
      <c r="N509" s="395">
        <v>980</v>
      </c>
      <c r="O509" s="396">
        <v>1578</v>
      </c>
      <c r="P509" s="395">
        <v>0.73</v>
      </c>
      <c r="Q509" s="396">
        <v>-2159</v>
      </c>
      <c r="R509" s="396">
        <v>6982</v>
      </c>
      <c r="S509" s="396">
        <v>-9501</v>
      </c>
      <c r="T509" s="396">
        <v>262422</v>
      </c>
      <c r="U509" s="396">
        <v>-113392</v>
      </c>
      <c r="V509" s="395">
        <v>1660.95</v>
      </c>
      <c r="W509" s="395">
        <v>1035.5</v>
      </c>
      <c r="X509" s="395">
        <v>77490</v>
      </c>
      <c r="Y509" s="395">
        <v>4940.32</v>
      </c>
      <c r="Z509" s="396">
        <v>17705065</v>
      </c>
      <c r="AA509" s="396">
        <v>226274</v>
      </c>
      <c r="AB509" s="396">
        <v>30252222</v>
      </c>
      <c r="AC509" s="396">
        <v>10207916</v>
      </c>
    </row>
    <row r="510" spans="1:29">
      <c r="A510">
        <v>6612</v>
      </c>
      <c r="B510" s="395" t="s">
        <v>8155</v>
      </c>
      <c r="C510" s="395"/>
      <c r="D510" s="396">
        <v>225369</v>
      </c>
      <c r="E510" s="396">
        <v>295767</v>
      </c>
      <c r="F510" s="395">
        <v>4.2</v>
      </c>
      <c r="G510" s="396">
        <v>-70399</v>
      </c>
      <c r="H510" s="396">
        <v>38834</v>
      </c>
      <c r="I510" s="396">
        <v>3823846</v>
      </c>
      <c r="J510" s="395">
        <v>143</v>
      </c>
      <c r="K510" s="395">
        <v>118</v>
      </c>
      <c r="L510" s="397">
        <v>0.82520000000000004</v>
      </c>
      <c r="M510" s="395">
        <v>25</v>
      </c>
      <c r="N510" s="396">
        <v>1576</v>
      </c>
      <c r="O510" s="396">
        <v>2507</v>
      </c>
      <c r="P510" s="395">
        <v>0.89</v>
      </c>
      <c r="Q510" s="396">
        <v>-2816</v>
      </c>
      <c r="R510" s="396">
        <v>7512</v>
      </c>
      <c r="S510" s="396">
        <v>-9680</v>
      </c>
      <c r="T510" s="396">
        <v>459214</v>
      </c>
      <c r="U510" s="396">
        <v>-297246</v>
      </c>
      <c r="V510" s="395">
        <v>11891.29</v>
      </c>
      <c r="W510" s="395">
        <v>8432.7199999999993</v>
      </c>
      <c r="X510" s="395">
        <v>77490</v>
      </c>
      <c r="Y510" s="395">
        <v>28215.72</v>
      </c>
      <c r="Z510" s="396">
        <v>11093175</v>
      </c>
      <c r="AA510" s="396">
        <v>225369</v>
      </c>
      <c r="AB510" s="396">
        <v>17449107</v>
      </c>
      <c r="AC510" s="396">
        <v>10207916</v>
      </c>
    </row>
    <row r="511" spans="1:29">
      <c r="A511">
        <v>3088</v>
      </c>
      <c r="B511" s="395" t="s">
        <v>7309</v>
      </c>
      <c r="C511" s="395"/>
      <c r="D511" s="396">
        <v>225277</v>
      </c>
      <c r="E511" s="396">
        <v>335358</v>
      </c>
      <c r="F511" s="395">
        <v>3.05</v>
      </c>
      <c r="G511" s="396">
        <v>-110081</v>
      </c>
      <c r="H511" s="396">
        <v>55143</v>
      </c>
      <c r="I511" s="396">
        <v>2756075</v>
      </c>
      <c r="J511" s="395">
        <v>251</v>
      </c>
      <c r="K511" s="395">
        <v>222</v>
      </c>
      <c r="L511" s="397">
        <v>0.88449999999999995</v>
      </c>
      <c r="M511" s="395">
        <v>29</v>
      </c>
      <c r="N511" s="395">
        <v>898</v>
      </c>
      <c r="O511" s="396">
        <v>1511</v>
      </c>
      <c r="P511" s="395">
        <v>0.4</v>
      </c>
      <c r="Q511" s="396">
        <v>-3796</v>
      </c>
      <c r="R511" s="396">
        <v>4245</v>
      </c>
      <c r="S511" s="396">
        <v>-14559</v>
      </c>
      <c r="T511" s="396">
        <v>343398</v>
      </c>
      <c r="U511" s="396">
        <v>-106881</v>
      </c>
      <c r="V511" s="395">
        <v>4905.09</v>
      </c>
      <c r="W511" s="395">
        <v>4711.3100000000004</v>
      </c>
      <c r="X511" s="395">
        <v>77490</v>
      </c>
      <c r="Y511" s="395">
        <v>6388.52</v>
      </c>
      <c r="Z511" s="396">
        <v>-1486742</v>
      </c>
      <c r="AA511" s="396">
        <v>225277</v>
      </c>
      <c r="AB511" s="396">
        <v>9294695</v>
      </c>
      <c r="AC511" s="396">
        <v>10207916</v>
      </c>
    </row>
    <row r="512" spans="1:29">
      <c r="A512">
        <v>3704</v>
      </c>
      <c r="B512" s="395" t="s">
        <v>7540</v>
      </c>
      <c r="C512" s="395"/>
      <c r="D512" s="396">
        <v>224669</v>
      </c>
      <c r="E512" s="396">
        <v>360626</v>
      </c>
      <c r="F512" s="395">
        <v>2.65</v>
      </c>
      <c r="G512" s="396">
        <v>-135957</v>
      </c>
      <c r="H512" s="396">
        <v>34306</v>
      </c>
      <c r="I512" s="396">
        <v>3270459</v>
      </c>
      <c r="J512" s="395">
        <v>266</v>
      </c>
      <c r="K512" s="395">
        <v>192</v>
      </c>
      <c r="L512" s="397">
        <v>0.7218</v>
      </c>
      <c r="M512" s="395">
        <v>74</v>
      </c>
      <c r="N512" s="395">
        <v>845</v>
      </c>
      <c r="O512" s="396">
        <v>1878</v>
      </c>
      <c r="P512" s="395">
        <v>1.02</v>
      </c>
      <c r="Q512" s="396">
        <v>-1837</v>
      </c>
      <c r="R512" s="396">
        <v>6149</v>
      </c>
      <c r="S512" s="396">
        <v>-12185</v>
      </c>
      <c r="T512" s="396">
        <v>741778</v>
      </c>
      <c r="U512" s="396">
        <v>-558005</v>
      </c>
      <c r="V512" s="395">
        <v>8353.61</v>
      </c>
      <c r="W512" s="395">
        <v>5524.17</v>
      </c>
      <c r="X512" s="395">
        <v>77490</v>
      </c>
      <c r="Y512" s="395">
        <v>15694.84</v>
      </c>
      <c r="Z512" s="396">
        <v>-21048342</v>
      </c>
      <c r="AA512" s="396">
        <v>224669</v>
      </c>
      <c r="AB512" s="396">
        <v>-10502779</v>
      </c>
      <c r="AC512" s="396">
        <v>10207916</v>
      </c>
    </row>
    <row r="513" spans="1:29">
      <c r="A513">
        <v>6432</v>
      </c>
      <c r="B513" s="395" t="s">
        <v>8076</v>
      </c>
      <c r="C513" s="395"/>
      <c r="D513" s="396">
        <v>224083</v>
      </c>
      <c r="E513" s="396">
        <v>263429</v>
      </c>
      <c r="F513" s="395">
        <v>6.7</v>
      </c>
      <c r="G513" s="396">
        <v>-39346</v>
      </c>
      <c r="H513" s="396">
        <v>35736</v>
      </c>
      <c r="I513" s="396">
        <v>1303775</v>
      </c>
      <c r="J513" s="395">
        <v>226</v>
      </c>
      <c r="K513" s="395">
        <v>192</v>
      </c>
      <c r="L513" s="397">
        <v>0.84960000000000002</v>
      </c>
      <c r="M513" s="395">
        <v>34</v>
      </c>
      <c r="N513" s="395">
        <v>992</v>
      </c>
      <c r="O513" s="396">
        <v>1372</v>
      </c>
      <c r="P513" s="395">
        <v>1.19</v>
      </c>
      <c r="Q513" s="396">
        <v>-1157</v>
      </c>
      <c r="R513" s="396">
        <v>4397</v>
      </c>
      <c r="S513" s="396">
        <v>-5799</v>
      </c>
      <c r="T513" s="396">
        <v>261756</v>
      </c>
      <c r="U513" s="396">
        <v>-118162</v>
      </c>
      <c r="V513" s="395">
        <v>2520.0700000000002</v>
      </c>
      <c r="W513" s="395">
        <v>1957.07</v>
      </c>
      <c r="X513" s="395">
        <v>77490</v>
      </c>
      <c r="Y513" s="395">
        <v>5699.35</v>
      </c>
      <c r="Z513" s="396">
        <v>6231157</v>
      </c>
      <c r="AA513" s="396">
        <v>224083</v>
      </c>
      <c r="AB513" s="396">
        <v>-182268</v>
      </c>
      <c r="AC513" s="396">
        <v>10207916</v>
      </c>
    </row>
    <row r="514" spans="1:29">
      <c r="A514">
        <v>4745</v>
      </c>
      <c r="B514" s="395" t="s">
        <v>7687</v>
      </c>
      <c r="C514" s="395"/>
      <c r="D514" s="396">
        <v>223828</v>
      </c>
      <c r="E514" s="396">
        <v>252537</v>
      </c>
      <c r="F514" s="395">
        <v>8.8000000000000007</v>
      </c>
      <c r="G514" s="396">
        <v>-28709</v>
      </c>
      <c r="H514" s="396">
        <v>19751</v>
      </c>
      <c r="I514" s="396">
        <v>3673206</v>
      </c>
      <c r="J514" s="395">
        <v>177</v>
      </c>
      <c r="K514" s="395">
        <v>132</v>
      </c>
      <c r="L514" s="397">
        <v>0.74580000000000002</v>
      </c>
      <c r="M514" s="395">
        <v>45</v>
      </c>
      <c r="N514" s="396">
        <v>1265</v>
      </c>
      <c r="O514" s="396">
        <v>1913</v>
      </c>
      <c r="P514" s="395">
        <v>3</v>
      </c>
      <c r="Q514" s="395">
        <v>-638</v>
      </c>
      <c r="R514" s="396">
        <v>4648</v>
      </c>
      <c r="S514" s="396">
        <v>-2037</v>
      </c>
      <c r="T514" s="396">
        <v>650881</v>
      </c>
      <c r="U514" s="396">
        <v>-432284</v>
      </c>
      <c r="V514" s="395">
        <v>23061.599999999999</v>
      </c>
      <c r="W514" s="395">
        <v>16981.97</v>
      </c>
      <c r="X514" s="395">
        <v>77220</v>
      </c>
      <c r="Y514" s="395">
        <v>40895.199999999997</v>
      </c>
      <c r="Z514" s="396">
        <v>-1184943</v>
      </c>
      <c r="AA514" s="396">
        <v>223828</v>
      </c>
      <c r="AB514" s="396">
        <v>-3149403</v>
      </c>
      <c r="AC514" s="396">
        <v>10207916</v>
      </c>
    </row>
    <row r="515" spans="1:29">
      <c r="A515">
        <v>6257</v>
      </c>
      <c r="B515" s="395" t="s">
        <v>8034</v>
      </c>
      <c r="C515" s="395"/>
      <c r="D515" s="396">
        <v>223474</v>
      </c>
      <c r="E515" s="396">
        <v>357329</v>
      </c>
      <c r="F515" s="395">
        <v>2.67</v>
      </c>
      <c r="G515" s="396">
        <v>-133855</v>
      </c>
      <c r="H515" s="396">
        <v>62577</v>
      </c>
      <c r="I515" s="396">
        <v>3892148</v>
      </c>
      <c r="J515" s="395">
        <v>274</v>
      </c>
      <c r="K515" s="395">
        <v>192</v>
      </c>
      <c r="L515" s="397">
        <v>0.70069999999999999</v>
      </c>
      <c r="M515" s="395">
        <v>82</v>
      </c>
      <c r="N515" s="395">
        <v>816</v>
      </c>
      <c r="O515" s="396">
        <v>1861</v>
      </c>
      <c r="P515" s="395">
        <v>1.1399999999999999</v>
      </c>
      <c r="Q515" s="396">
        <v>-1632</v>
      </c>
      <c r="R515" s="396">
        <v>7451</v>
      </c>
      <c r="S515" s="396">
        <v>-6418</v>
      </c>
      <c r="T515" s="396">
        <v>302956</v>
      </c>
      <c r="U515" s="396">
        <v>-279615</v>
      </c>
      <c r="V515" s="395">
        <v>4762.41</v>
      </c>
      <c r="W515" s="395">
        <v>2623.36</v>
      </c>
      <c r="X515" s="395">
        <v>77490</v>
      </c>
      <c r="Y515" s="395">
        <v>9770.89</v>
      </c>
      <c r="Z515" s="396">
        <v>-4606031</v>
      </c>
      <c r="AA515" s="396">
        <v>223474</v>
      </c>
      <c r="AB515" s="396">
        <v>16611598</v>
      </c>
      <c r="AC515" s="396">
        <v>10207916</v>
      </c>
    </row>
    <row r="516" spans="1:29">
      <c r="A516">
        <v>2462</v>
      </c>
      <c r="B516" s="395" t="s">
        <v>7081</v>
      </c>
      <c r="C516" s="395"/>
      <c r="D516" s="396">
        <v>222860</v>
      </c>
      <c r="E516" s="396">
        <v>302625</v>
      </c>
      <c r="F516" s="395">
        <v>3.79</v>
      </c>
      <c r="G516" s="396">
        <v>-79766</v>
      </c>
      <c r="H516" s="396">
        <v>31981</v>
      </c>
      <c r="I516" s="396">
        <v>2249944</v>
      </c>
      <c r="J516" s="395">
        <v>264</v>
      </c>
      <c r="K516" s="395">
        <v>199</v>
      </c>
      <c r="L516" s="397">
        <v>0.75380000000000003</v>
      </c>
      <c r="M516" s="395">
        <v>65</v>
      </c>
      <c r="N516" s="395">
        <v>844</v>
      </c>
      <c r="O516" s="396">
        <v>1521</v>
      </c>
      <c r="P516" s="395">
        <v>1.24</v>
      </c>
      <c r="Q516" s="396">
        <v>-1227</v>
      </c>
      <c r="R516" s="396">
        <v>5233</v>
      </c>
      <c r="S516" s="396">
        <v>-4236</v>
      </c>
      <c r="T516" s="396">
        <v>428938</v>
      </c>
      <c r="U516" s="396">
        <v>-282552</v>
      </c>
      <c r="V516" s="395">
        <v>5480.57</v>
      </c>
      <c r="W516" s="395">
        <v>3728.81</v>
      </c>
      <c r="X516" s="395">
        <v>77490</v>
      </c>
      <c r="Y516" s="395">
        <v>10843.66</v>
      </c>
      <c r="Z516" s="396">
        <v>-13888866</v>
      </c>
      <c r="AA516" s="396">
        <v>222860</v>
      </c>
      <c r="AB516" s="396">
        <v>6599477</v>
      </c>
      <c r="AC516" s="396">
        <v>10207916</v>
      </c>
    </row>
    <row r="517" spans="1:29">
      <c r="A517">
        <v>3689</v>
      </c>
      <c r="B517" s="395" t="s">
        <v>7533</v>
      </c>
      <c r="C517" s="395"/>
      <c r="D517" s="396">
        <v>221098</v>
      </c>
      <c r="E517" s="396">
        <v>313833</v>
      </c>
      <c r="F517" s="395">
        <v>3.38</v>
      </c>
      <c r="G517" s="396">
        <v>-92735</v>
      </c>
      <c r="H517" s="396">
        <v>39718</v>
      </c>
      <c r="I517" s="396">
        <v>902429</v>
      </c>
      <c r="J517" s="395">
        <v>257</v>
      </c>
      <c r="K517" s="395">
        <v>207</v>
      </c>
      <c r="L517" s="397">
        <v>0.8054</v>
      </c>
      <c r="M517" s="395">
        <v>50</v>
      </c>
      <c r="N517" s="395">
        <v>860</v>
      </c>
      <c r="O517" s="396">
        <v>1516</v>
      </c>
      <c r="P517" s="395">
        <v>0.82</v>
      </c>
      <c r="Q517" s="396">
        <v>-1855</v>
      </c>
      <c r="R517" s="396">
        <v>5922</v>
      </c>
      <c r="S517" s="396">
        <v>-8106</v>
      </c>
      <c r="T517" s="396">
        <v>254606</v>
      </c>
      <c r="U517" s="396">
        <v>-109868</v>
      </c>
      <c r="V517" s="395">
        <v>1910.18</v>
      </c>
      <c r="W517" s="395">
        <v>1589.6</v>
      </c>
      <c r="X517" s="395">
        <v>77490</v>
      </c>
      <c r="Y517" s="395">
        <v>3237.38</v>
      </c>
      <c r="Z517" s="396">
        <v>-240603</v>
      </c>
      <c r="AA517" s="396">
        <v>221098</v>
      </c>
      <c r="AB517" s="396">
        <v>25101142</v>
      </c>
      <c r="AC517" s="396">
        <v>10207916</v>
      </c>
    </row>
    <row r="518" spans="1:29">
      <c r="A518">
        <v>1308</v>
      </c>
      <c r="B518" s="395" t="s">
        <v>6713</v>
      </c>
      <c r="C518" s="395"/>
      <c r="D518" s="396">
        <v>221078</v>
      </c>
      <c r="E518" s="396">
        <v>316276</v>
      </c>
      <c r="F518" s="395">
        <v>3.32</v>
      </c>
      <c r="G518" s="396">
        <v>-95198</v>
      </c>
      <c r="H518" s="396">
        <v>38137</v>
      </c>
      <c r="I518" s="396">
        <v>3397430</v>
      </c>
      <c r="J518" s="395">
        <v>281</v>
      </c>
      <c r="K518" s="395">
        <v>229</v>
      </c>
      <c r="L518" s="397">
        <v>0.81489999999999996</v>
      </c>
      <c r="M518" s="395">
        <v>50</v>
      </c>
      <c r="N518" s="395">
        <v>787</v>
      </c>
      <c r="O518" s="396">
        <v>1381</v>
      </c>
      <c r="P518" s="395">
        <v>0.73</v>
      </c>
      <c r="Q518" s="396">
        <v>-1904</v>
      </c>
      <c r="R518" s="396">
        <v>4353</v>
      </c>
      <c r="S518" s="396">
        <v>-10627</v>
      </c>
      <c r="T518" s="396">
        <v>368392</v>
      </c>
      <c r="U518" s="396">
        <v>-284924</v>
      </c>
      <c r="V518" s="395">
        <v>5319.33</v>
      </c>
      <c r="W518" s="395">
        <v>3775.71</v>
      </c>
      <c r="X518" s="395">
        <v>77490</v>
      </c>
      <c r="Y518" s="395">
        <v>12256.74</v>
      </c>
      <c r="Z518" s="396">
        <v>-5658797</v>
      </c>
      <c r="AA518" s="396">
        <v>221078</v>
      </c>
      <c r="AB518" s="396">
        <v>42013779</v>
      </c>
      <c r="AC518" s="396">
        <v>10207916</v>
      </c>
    </row>
    <row r="519" spans="1:29">
      <c r="A519">
        <v>2420</v>
      </c>
      <c r="B519" s="395" t="s">
        <v>7049</v>
      </c>
      <c r="C519" s="395"/>
      <c r="D519" s="396">
        <v>220404</v>
      </c>
      <c r="E519" s="396">
        <v>268932</v>
      </c>
      <c r="F519" s="395">
        <v>5.54</v>
      </c>
      <c r="G519" s="396">
        <v>-48528</v>
      </c>
      <c r="H519" s="396">
        <v>43099</v>
      </c>
      <c r="I519" s="396">
        <v>2151520</v>
      </c>
      <c r="J519" s="395">
        <v>265</v>
      </c>
      <c r="K519" s="395">
        <v>226</v>
      </c>
      <c r="L519" s="397">
        <v>0.8528</v>
      </c>
      <c r="M519" s="395">
        <v>39</v>
      </c>
      <c r="N519" s="395">
        <v>832</v>
      </c>
      <c r="O519" s="396">
        <v>1190</v>
      </c>
      <c r="P519" s="395">
        <v>0.96</v>
      </c>
      <c r="Q519" s="396">
        <v>-1244</v>
      </c>
      <c r="R519" s="396">
        <v>3854</v>
      </c>
      <c r="S519" s="396">
        <v>-4585</v>
      </c>
      <c r="T519" s="396">
        <v>244833</v>
      </c>
      <c r="U519" s="396">
        <v>-92462</v>
      </c>
      <c r="V519" s="395">
        <v>3901.92</v>
      </c>
      <c r="W519" s="395">
        <v>2935.14</v>
      </c>
      <c r="X519" s="395">
        <v>77490</v>
      </c>
      <c r="Y519" s="395">
        <v>9504.33</v>
      </c>
      <c r="Z519" s="396">
        <v>551605</v>
      </c>
      <c r="AA519" s="396">
        <v>220404</v>
      </c>
      <c r="AB519" s="396">
        <v>18105743</v>
      </c>
      <c r="AC519" s="396">
        <v>10207916</v>
      </c>
    </row>
    <row r="520" spans="1:29">
      <c r="A520">
        <v>5227</v>
      </c>
      <c r="B520" s="395" t="s">
        <v>7774</v>
      </c>
      <c r="C520" s="395"/>
      <c r="D520" s="396">
        <v>220008</v>
      </c>
      <c r="E520" s="396">
        <v>313455</v>
      </c>
      <c r="F520" s="395">
        <v>3.35</v>
      </c>
      <c r="G520" s="396">
        <v>-93447</v>
      </c>
      <c r="H520" s="396">
        <v>32747</v>
      </c>
      <c r="I520" s="396">
        <v>527912</v>
      </c>
      <c r="J520" s="395">
        <v>227</v>
      </c>
      <c r="K520" s="395">
        <v>172</v>
      </c>
      <c r="L520" s="397">
        <v>0.75770000000000004</v>
      </c>
      <c r="M520" s="395">
        <v>55</v>
      </c>
      <c r="N520" s="395">
        <v>969</v>
      </c>
      <c r="O520" s="396">
        <v>1822</v>
      </c>
      <c r="P520" s="395">
        <v>1.07</v>
      </c>
      <c r="Q520" s="396">
        <v>-1699</v>
      </c>
      <c r="R520" s="396">
        <v>12560</v>
      </c>
      <c r="S520" s="396">
        <v>-7981</v>
      </c>
      <c r="T520" s="396">
        <v>252024</v>
      </c>
      <c r="U520" s="396">
        <v>-55934</v>
      </c>
      <c r="V520" s="395">
        <v>1747.76</v>
      </c>
      <c r="W520" s="395">
        <v>1145.8599999999999</v>
      </c>
      <c r="X520" s="395">
        <v>73710</v>
      </c>
      <c r="Y520" s="395">
        <v>3630.05</v>
      </c>
      <c r="Z520" s="396">
        <v>-10043181</v>
      </c>
      <c r="AA520" s="396">
        <v>220008</v>
      </c>
      <c r="AB520" s="396">
        <v>51030594</v>
      </c>
      <c r="AC520" s="396">
        <v>10207916</v>
      </c>
    </row>
    <row r="521" spans="1:29">
      <c r="A521">
        <v>6698</v>
      </c>
      <c r="B521" s="395" t="s">
        <v>8189</v>
      </c>
      <c r="C521" s="395"/>
      <c r="D521" s="396">
        <v>219397</v>
      </c>
      <c r="E521" s="396">
        <v>386896</v>
      </c>
      <c r="F521" s="395">
        <v>2.31</v>
      </c>
      <c r="G521" s="396">
        <v>-167499</v>
      </c>
      <c r="H521" s="396">
        <v>43415</v>
      </c>
      <c r="I521" s="396">
        <v>2535616</v>
      </c>
      <c r="J521" s="395">
        <v>244</v>
      </c>
      <c r="K521" s="395">
        <v>183</v>
      </c>
      <c r="L521" s="397">
        <v>0.75</v>
      </c>
      <c r="M521" s="395">
        <v>61</v>
      </c>
      <c r="N521" s="395">
        <v>899</v>
      </c>
      <c r="O521" s="396">
        <v>2114</v>
      </c>
      <c r="P521" s="395">
        <v>0.77</v>
      </c>
      <c r="Q521" s="396">
        <v>-2746</v>
      </c>
      <c r="R521" s="396">
        <v>8912</v>
      </c>
      <c r="S521" s="396">
        <v>-11476</v>
      </c>
      <c r="T521" s="396">
        <v>422865</v>
      </c>
      <c r="U521" s="396">
        <v>-236539</v>
      </c>
      <c r="V521" s="395">
        <v>4590.88</v>
      </c>
      <c r="W521" s="395">
        <v>3234.22</v>
      </c>
      <c r="X521" s="395">
        <v>77490</v>
      </c>
      <c r="Y521" s="395">
        <v>8660.84</v>
      </c>
      <c r="Z521" s="396">
        <v>-15900204</v>
      </c>
      <c r="AA521" s="396">
        <v>219397</v>
      </c>
      <c r="AB521" s="396">
        <v>-3804962</v>
      </c>
      <c r="AC521" s="396">
        <v>10207916</v>
      </c>
    </row>
    <row r="522" spans="1:29">
      <c r="A522">
        <v>4561</v>
      </c>
      <c r="B522" s="395" t="s">
        <v>7655</v>
      </c>
      <c r="C522" s="395"/>
      <c r="D522" s="396">
        <v>218859</v>
      </c>
      <c r="E522" s="396">
        <v>246408</v>
      </c>
      <c r="F522" s="395">
        <v>8.94</v>
      </c>
      <c r="G522" s="396">
        <v>-27549</v>
      </c>
      <c r="H522" s="396">
        <v>24453</v>
      </c>
      <c r="I522" s="396">
        <v>1093888</v>
      </c>
      <c r="J522" s="395">
        <v>202</v>
      </c>
      <c r="K522" s="395">
        <v>176</v>
      </c>
      <c r="L522" s="397">
        <v>0.87129999999999996</v>
      </c>
      <c r="M522" s="395">
        <v>26</v>
      </c>
      <c r="N522" s="396">
        <v>1083</v>
      </c>
      <c r="O522" s="396">
        <v>1400</v>
      </c>
      <c r="P522" s="395">
        <v>1.32</v>
      </c>
      <c r="Q522" s="396">
        <v>-1060</v>
      </c>
      <c r="R522" s="396">
        <v>5687</v>
      </c>
      <c r="S522" s="396">
        <v>-4926</v>
      </c>
      <c r="T522" s="396">
        <v>248439</v>
      </c>
      <c r="U522" s="396">
        <v>-51613</v>
      </c>
      <c r="V522" s="395">
        <v>4741.8500000000004</v>
      </c>
      <c r="W522" s="395">
        <v>4340.41</v>
      </c>
      <c r="X522" s="395">
        <v>77490</v>
      </c>
      <c r="Y522" s="395">
        <v>7459.27</v>
      </c>
      <c r="Z522" s="396">
        <v>-3369539</v>
      </c>
      <c r="AA522" s="396">
        <v>218859</v>
      </c>
      <c r="AB522" s="396">
        <v>-721344</v>
      </c>
      <c r="AC522" s="396">
        <v>10207916</v>
      </c>
    </row>
    <row r="523" spans="1:29">
      <c r="A523">
        <v>6188</v>
      </c>
      <c r="B523" s="395" t="s">
        <v>7977</v>
      </c>
      <c r="C523" s="395"/>
      <c r="D523" s="396">
        <v>218332</v>
      </c>
      <c r="E523" s="396">
        <v>353260</v>
      </c>
      <c r="F523" s="395">
        <v>2.62</v>
      </c>
      <c r="G523" s="396">
        <v>-134929</v>
      </c>
      <c r="H523" s="396">
        <v>43125</v>
      </c>
      <c r="I523" s="396">
        <v>4307581</v>
      </c>
      <c r="J523" s="395">
        <v>259</v>
      </c>
      <c r="K523" s="395">
        <v>205</v>
      </c>
      <c r="L523" s="397">
        <v>0.79149999999999998</v>
      </c>
      <c r="M523" s="395">
        <v>54</v>
      </c>
      <c r="N523" s="395">
        <v>843</v>
      </c>
      <c r="O523" s="396">
        <v>1723</v>
      </c>
      <c r="P523" s="395">
        <v>0.69</v>
      </c>
      <c r="Q523" s="396">
        <v>-2499</v>
      </c>
      <c r="R523" s="396">
        <v>4651</v>
      </c>
      <c r="S523" s="396">
        <v>-13413</v>
      </c>
      <c r="T523" s="396">
        <v>597903</v>
      </c>
      <c r="U523" s="396">
        <v>-390960</v>
      </c>
      <c r="V523" s="395">
        <v>8395.32</v>
      </c>
      <c r="W523" s="395">
        <v>7252.77</v>
      </c>
      <c r="X523" s="395">
        <v>77490</v>
      </c>
      <c r="Y523" s="395">
        <v>12732.76</v>
      </c>
      <c r="Z523" s="396">
        <v>-12704302</v>
      </c>
      <c r="AA523" s="396">
        <v>218332</v>
      </c>
      <c r="AB523" s="396">
        <v>5490893</v>
      </c>
      <c r="AC523" s="396">
        <v>10207916</v>
      </c>
    </row>
    <row r="524" spans="1:29">
      <c r="A524">
        <v>2882</v>
      </c>
      <c r="B524" s="395" t="s">
        <v>7212</v>
      </c>
      <c r="C524" s="395"/>
      <c r="D524" s="396">
        <v>217549</v>
      </c>
      <c r="E524" s="396">
        <v>331077</v>
      </c>
      <c r="F524" s="395">
        <v>2.92</v>
      </c>
      <c r="G524" s="396">
        <v>-113528</v>
      </c>
      <c r="H524" s="396">
        <v>63312</v>
      </c>
      <c r="I524" s="396">
        <v>2909291</v>
      </c>
      <c r="J524" s="395">
        <v>286</v>
      </c>
      <c r="K524" s="395">
        <v>239</v>
      </c>
      <c r="L524" s="397">
        <v>0.8357</v>
      </c>
      <c r="M524" s="395">
        <v>47</v>
      </c>
      <c r="N524" s="395">
        <v>761</v>
      </c>
      <c r="O524" s="396">
        <v>1385</v>
      </c>
      <c r="P524" s="395">
        <v>0.56999999999999995</v>
      </c>
      <c r="Q524" s="396">
        <v>-2415</v>
      </c>
      <c r="R524" s="396">
        <v>4993</v>
      </c>
      <c r="S524" s="396">
        <v>-6357</v>
      </c>
      <c r="T524" s="396">
        <v>329594</v>
      </c>
      <c r="U524" s="396">
        <v>-178009</v>
      </c>
      <c r="V524" s="395">
        <v>3436.57</v>
      </c>
      <c r="W524" s="395">
        <v>2966.59</v>
      </c>
      <c r="X524" s="395">
        <v>77490</v>
      </c>
      <c r="Y524" s="395">
        <v>5826.47</v>
      </c>
      <c r="Z524" s="396">
        <v>4391057</v>
      </c>
      <c r="AA524" s="396">
        <v>217549</v>
      </c>
      <c r="AB524" s="396">
        <v>25396989</v>
      </c>
      <c r="AC524" s="396">
        <v>10207916</v>
      </c>
    </row>
    <row r="525" spans="1:29">
      <c r="A525">
        <v>3528</v>
      </c>
      <c r="B525" s="395" t="s">
        <v>7458</v>
      </c>
      <c r="C525" s="395"/>
      <c r="D525" s="396">
        <v>216801</v>
      </c>
      <c r="E525" s="396">
        <v>239828</v>
      </c>
      <c r="F525" s="395">
        <v>10.42</v>
      </c>
      <c r="G525" s="396">
        <v>-23027</v>
      </c>
      <c r="H525" s="396">
        <v>36333</v>
      </c>
      <c r="I525" s="396">
        <v>3428559</v>
      </c>
      <c r="J525" s="395">
        <v>186</v>
      </c>
      <c r="K525" s="395">
        <v>158</v>
      </c>
      <c r="L525" s="397">
        <v>0.84950000000000003</v>
      </c>
      <c r="M525" s="395">
        <v>28</v>
      </c>
      <c r="N525" s="396">
        <v>1166</v>
      </c>
      <c r="O525" s="396">
        <v>1518</v>
      </c>
      <c r="P525" s="395">
        <v>1.85</v>
      </c>
      <c r="Q525" s="395">
        <v>-822</v>
      </c>
      <c r="R525" s="396">
        <v>4310</v>
      </c>
      <c r="S525" s="396">
        <v>-6420</v>
      </c>
      <c r="T525" s="396">
        <v>235210</v>
      </c>
      <c r="U525" s="396">
        <v>-131556</v>
      </c>
      <c r="V525" s="395">
        <v>8097.68</v>
      </c>
      <c r="W525" s="395">
        <v>6460.08</v>
      </c>
      <c r="X525" s="395">
        <v>77490</v>
      </c>
      <c r="Y525" s="395">
        <v>17338.43</v>
      </c>
      <c r="Z525" s="396">
        <v>8077611</v>
      </c>
      <c r="AA525" s="396">
        <v>216801</v>
      </c>
      <c r="AB525" s="396">
        <v>13885829</v>
      </c>
      <c r="AC525" s="396">
        <v>10207916</v>
      </c>
    </row>
    <row r="526" spans="1:29">
      <c r="A526">
        <v>4138</v>
      </c>
      <c r="B526" s="395" t="s">
        <v>7574</v>
      </c>
      <c r="C526" s="395"/>
      <c r="D526" s="396">
        <v>215500</v>
      </c>
      <c r="E526" s="396">
        <v>217580</v>
      </c>
      <c r="F526" s="395">
        <v>104.61</v>
      </c>
      <c r="G526" s="396">
        <v>-2080</v>
      </c>
      <c r="H526" s="396">
        <v>29267</v>
      </c>
      <c r="I526" s="396">
        <v>2441682</v>
      </c>
      <c r="J526" s="395">
        <v>137</v>
      </c>
      <c r="K526" s="395">
        <v>127</v>
      </c>
      <c r="L526" s="397">
        <v>0.92700000000000005</v>
      </c>
      <c r="M526" s="395">
        <v>10</v>
      </c>
      <c r="N526" s="396">
        <v>1573</v>
      </c>
      <c r="O526" s="396">
        <v>1713</v>
      </c>
      <c r="P526" s="395">
        <v>8.24</v>
      </c>
      <c r="Q526" s="395">
        <v>-208</v>
      </c>
      <c r="R526" s="396">
        <v>5043</v>
      </c>
      <c r="S526" s="395">
        <v>-821</v>
      </c>
      <c r="T526" s="396">
        <v>257988</v>
      </c>
      <c r="U526" s="396">
        <v>-78017</v>
      </c>
      <c r="V526" s="395">
        <v>9220.75</v>
      </c>
      <c r="W526" s="395">
        <v>9183.9</v>
      </c>
      <c r="X526" s="395">
        <v>76950</v>
      </c>
      <c r="Y526" s="395">
        <v>9688.7999999999993</v>
      </c>
      <c r="Z526" s="396">
        <v>6054336</v>
      </c>
      <c r="AA526" s="396">
        <v>215500</v>
      </c>
      <c r="AB526" s="396">
        <v>9227780</v>
      </c>
      <c r="AC526" s="396">
        <v>10207916</v>
      </c>
    </row>
    <row r="527" spans="1:29">
      <c r="A527">
        <v>2605</v>
      </c>
      <c r="B527" s="395" t="s">
        <v>7140</v>
      </c>
      <c r="C527" s="395"/>
      <c r="D527" s="396">
        <v>215387</v>
      </c>
      <c r="E527" s="396">
        <v>283242</v>
      </c>
      <c r="F527" s="395">
        <v>4.17</v>
      </c>
      <c r="G527" s="396">
        <v>-67855</v>
      </c>
      <c r="H527" s="396">
        <v>33263</v>
      </c>
      <c r="I527" s="396">
        <v>660512</v>
      </c>
      <c r="J527" s="395">
        <v>274</v>
      </c>
      <c r="K527" s="395">
        <v>227</v>
      </c>
      <c r="L527" s="397">
        <v>0.82850000000000001</v>
      </c>
      <c r="M527" s="395">
        <v>47</v>
      </c>
      <c r="N527" s="395">
        <v>786</v>
      </c>
      <c r="O527" s="396">
        <v>1248</v>
      </c>
      <c r="P527" s="395">
        <v>0.86</v>
      </c>
      <c r="Q527" s="396">
        <v>-1444</v>
      </c>
      <c r="R527" s="396">
        <v>5201</v>
      </c>
      <c r="S527" s="396">
        <v>-6415</v>
      </c>
      <c r="T527" s="396">
        <v>274513</v>
      </c>
      <c r="U527" s="396">
        <v>-82675</v>
      </c>
      <c r="V527" s="395">
        <v>1453.28</v>
      </c>
      <c r="W527" s="395">
        <v>956.43</v>
      </c>
      <c r="X527" s="395">
        <v>77490</v>
      </c>
      <c r="Y527" s="395">
        <v>3852.96</v>
      </c>
      <c r="Z527" s="396">
        <v>2811450</v>
      </c>
      <c r="AA527" s="396">
        <v>215387</v>
      </c>
      <c r="AB527" s="396">
        <v>13702871</v>
      </c>
      <c r="AC527" s="396">
        <v>10207916</v>
      </c>
    </row>
    <row r="528" spans="1:29">
      <c r="A528">
        <v>4126</v>
      </c>
      <c r="B528" s="395" t="s">
        <v>7566</v>
      </c>
      <c r="C528" s="395"/>
      <c r="D528" s="396">
        <v>215242</v>
      </c>
      <c r="E528" s="396">
        <v>327921</v>
      </c>
      <c r="F528" s="395">
        <v>2.91</v>
      </c>
      <c r="G528" s="396">
        <v>-112679</v>
      </c>
      <c r="H528" s="396">
        <v>66811</v>
      </c>
      <c r="I528" s="396">
        <v>4554432</v>
      </c>
      <c r="J528" s="395">
        <v>230</v>
      </c>
      <c r="K528" s="395">
        <v>179</v>
      </c>
      <c r="L528" s="397">
        <v>0.77829999999999999</v>
      </c>
      <c r="M528" s="395">
        <v>51</v>
      </c>
      <c r="N528" s="395">
        <v>936</v>
      </c>
      <c r="O528" s="396">
        <v>1832</v>
      </c>
      <c r="P528" s="395">
        <v>0.83</v>
      </c>
      <c r="Q528" s="396">
        <v>-2209</v>
      </c>
      <c r="R528" s="396">
        <v>5728</v>
      </c>
      <c r="S528" s="396">
        <v>-10114</v>
      </c>
      <c r="T528" s="396">
        <v>355214</v>
      </c>
      <c r="U528" s="396">
        <v>-155816</v>
      </c>
      <c r="V528" s="395">
        <v>5771.02</v>
      </c>
      <c r="W528" s="395">
        <v>4878.9799999999996</v>
      </c>
      <c r="X528" s="395">
        <v>77490</v>
      </c>
      <c r="Y528" s="395">
        <v>8901.9</v>
      </c>
      <c r="Z528" s="396">
        <v>-5767834</v>
      </c>
      <c r="AA528" s="396">
        <v>215242</v>
      </c>
      <c r="AB528" s="396">
        <v>4705528</v>
      </c>
      <c r="AC528" s="396">
        <v>10207916</v>
      </c>
    </row>
    <row r="529" spans="1:29">
      <c r="A529">
        <v>1708</v>
      </c>
      <c r="B529" s="395" t="s">
        <v>6849</v>
      </c>
      <c r="C529" s="395"/>
      <c r="D529" s="396">
        <v>214003</v>
      </c>
      <c r="E529" s="396">
        <v>245298</v>
      </c>
      <c r="F529" s="395">
        <v>7.84</v>
      </c>
      <c r="G529" s="396">
        <v>-31295</v>
      </c>
      <c r="H529" s="396">
        <v>31472</v>
      </c>
      <c r="I529" s="396">
        <v>1087595</v>
      </c>
      <c r="J529" s="395">
        <v>252</v>
      </c>
      <c r="K529" s="395">
        <v>222</v>
      </c>
      <c r="L529" s="397">
        <v>0.88100000000000001</v>
      </c>
      <c r="M529" s="395">
        <v>30</v>
      </c>
      <c r="N529" s="395">
        <v>849</v>
      </c>
      <c r="O529" s="396">
        <v>1105</v>
      </c>
      <c r="P529" s="395">
        <v>1.06</v>
      </c>
      <c r="Q529" s="396">
        <v>-1043</v>
      </c>
      <c r="R529" s="396">
        <v>4303</v>
      </c>
      <c r="S529" s="396">
        <v>-3925</v>
      </c>
      <c r="T529" s="396">
        <v>239894</v>
      </c>
      <c r="U529" s="396">
        <v>-32373</v>
      </c>
      <c r="V529" s="395">
        <v>2468.87</v>
      </c>
      <c r="W529" s="395">
        <v>1933.23</v>
      </c>
      <c r="X529" s="395">
        <v>77490</v>
      </c>
      <c r="Y529" s="395">
        <v>6432.6</v>
      </c>
      <c r="Z529" s="396">
        <v>20886272</v>
      </c>
      <c r="AA529" s="396">
        <v>214003</v>
      </c>
      <c r="AB529" s="396">
        <v>61798858</v>
      </c>
      <c r="AC529" s="396">
        <v>10207916</v>
      </c>
    </row>
    <row r="530" spans="1:29">
      <c r="A530">
        <v>5284</v>
      </c>
      <c r="B530" s="395" t="s">
        <v>7791</v>
      </c>
      <c r="C530" s="395"/>
      <c r="D530" s="396">
        <v>213785</v>
      </c>
      <c r="E530" s="396">
        <v>228080</v>
      </c>
      <c r="F530" s="395">
        <v>15.96</v>
      </c>
      <c r="G530" s="396">
        <v>-14295</v>
      </c>
      <c r="H530" s="396">
        <v>29311</v>
      </c>
      <c r="I530" s="396">
        <v>1553294</v>
      </c>
      <c r="J530" s="395">
        <v>169</v>
      </c>
      <c r="K530" s="395">
        <v>158</v>
      </c>
      <c r="L530" s="397">
        <v>0.93489999999999995</v>
      </c>
      <c r="M530" s="395">
        <v>11</v>
      </c>
      <c r="N530" s="396">
        <v>1265</v>
      </c>
      <c r="O530" s="396">
        <v>1444</v>
      </c>
      <c r="P530" s="395">
        <v>1.1100000000000001</v>
      </c>
      <c r="Q530" s="396">
        <v>-1300</v>
      </c>
      <c r="R530" s="396">
        <v>3628</v>
      </c>
      <c r="S530" s="396">
        <v>-3436</v>
      </c>
      <c r="T530" s="396">
        <v>215898</v>
      </c>
      <c r="U530" s="396">
        <v>-53167</v>
      </c>
      <c r="V530" s="395">
        <v>5434.78</v>
      </c>
      <c r="W530" s="395">
        <v>5390.95</v>
      </c>
      <c r="X530" s="395">
        <v>77220</v>
      </c>
      <c r="Y530" s="395">
        <v>6064.27</v>
      </c>
      <c r="Z530" s="396">
        <v>13276140</v>
      </c>
      <c r="AA530" s="396">
        <v>213785</v>
      </c>
      <c r="AB530" s="396">
        <v>16714976</v>
      </c>
      <c r="AC530" s="396">
        <v>10207916</v>
      </c>
    </row>
    <row r="531" spans="1:29">
      <c r="A531">
        <v>3015</v>
      </c>
      <c r="B531" s="395" t="s">
        <v>7255</v>
      </c>
      <c r="C531" s="395"/>
      <c r="D531" s="396">
        <v>213513</v>
      </c>
      <c r="E531" s="396">
        <v>348814</v>
      </c>
      <c r="F531" s="395">
        <v>2.58</v>
      </c>
      <c r="G531" s="396">
        <v>-135301</v>
      </c>
      <c r="H531" s="396">
        <v>46328</v>
      </c>
      <c r="I531" s="396">
        <v>3042917</v>
      </c>
      <c r="J531" s="395">
        <v>261</v>
      </c>
      <c r="K531" s="395">
        <v>188</v>
      </c>
      <c r="L531" s="397">
        <v>0.72030000000000005</v>
      </c>
      <c r="M531" s="395">
        <v>73</v>
      </c>
      <c r="N531" s="395">
        <v>818</v>
      </c>
      <c r="O531" s="396">
        <v>1855</v>
      </c>
      <c r="P531" s="395">
        <v>1</v>
      </c>
      <c r="Q531" s="396">
        <v>-1853</v>
      </c>
      <c r="R531" s="396">
        <v>6979</v>
      </c>
      <c r="S531" s="396">
        <v>-9604</v>
      </c>
      <c r="T531" s="396">
        <v>377671</v>
      </c>
      <c r="U531" s="396">
        <v>-216117</v>
      </c>
      <c r="V531" s="395">
        <v>5579.66</v>
      </c>
      <c r="W531" s="395">
        <v>4017.46</v>
      </c>
      <c r="X531" s="395">
        <v>77490</v>
      </c>
      <c r="Y531" s="395">
        <v>9602.85</v>
      </c>
      <c r="Z531" s="396">
        <v>-13391519</v>
      </c>
      <c r="AA531" s="396">
        <v>213513</v>
      </c>
      <c r="AB531" s="396">
        <v>4250492</v>
      </c>
      <c r="AC531" s="396">
        <v>10207916</v>
      </c>
    </row>
    <row r="532" spans="1:29">
      <c r="A532">
        <v>1323</v>
      </c>
      <c r="B532" s="395" t="s">
        <v>6723</v>
      </c>
      <c r="C532" s="395"/>
      <c r="D532" s="396">
        <v>213402</v>
      </c>
      <c r="E532" s="396">
        <v>226216</v>
      </c>
      <c r="F532" s="395">
        <v>17.649999999999999</v>
      </c>
      <c r="G532" s="396">
        <v>-12814</v>
      </c>
      <c r="H532" s="396">
        <v>35369</v>
      </c>
      <c r="I532" s="396">
        <v>2304113</v>
      </c>
      <c r="J532" s="395">
        <v>253</v>
      </c>
      <c r="K532" s="395">
        <v>231</v>
      </c>
      <c r="L532" s="397">
        <v>0.91300000000000003</v>
      </c>
      <c r="M532" s="395">
        <v>22</v>
      </c>
      <c r="N532" s="395">
        <v>843</v>
      </c>
      <c r="O532" s="395">
        <v>979</v>
      </c>
      <c r="P532" s="395">
        <v>1.68</v>
      </c>
      <c r="Q532" s="395">
        <v>-582</v>
      </c>
      <c r="R532" s="396">
        <v>3365</v>
      </c>
      <c r="S532" s="396">
        <v>-1795</v>
      </c>
      <c r="T532" s="396">
        <v>230164</v>
      </c>
      <c r="U532" s="396">
        <v>-69315</v>
      </c>
      <c r="V532" s="395">
        <v>7216.58</v>
      </c>
      <c r="W532" s="395">
        <v>7176.7</v>
      </c>
      <c r="X532" s="395">
        <v>77490</v>
      </c>
      <c r="Y532" s="395">
        <v>7635.27</v>
      </c>
      <c r="Z532" s="396">
        <v>5015728</v>
      </c>
      <c r="AA532" s="396">
        <v>213402</v>
      </c>
      <c r="AB532" s="396">
        <v>7105340</v>
      </c>
      <c r="AC532" s="396">
        <v>10207916</v>
      </c>
    </row>
    <row r="533" spans="1:29">
      <c r="A533">
        <v>2467</v>
      </c>
      <c r="B533" s="395" t="s">
        <v>7085</v>
      </c>
      <c r="C533" s="395"/>
      <c r="D533" s="396">
        <v>213366</v>
      </c>
      <c r="E533" s="396">
        <v>324445</v>
      </c>
      <c r="F533" s="395">
        <v>2.92</v>
      </c>
      <c r="G533" s="396">
        <v>-111079</v>
      </c>
      <c r="H533" s="396">
        <v>49425</v>
      </c>
      <c r="I533" s="396">
        <v>2963066</v>
      </c>
      <c r="J533" s="395">
        <v>245</v>
      </c>
      <c r="K533" s="395">
        <v>189</v>
      </c>
      <c r="L533" s="397">
        <v>0.77139999999999997</v>
      </c>
      <c r="M533" s="395">
        <v>56</v>
      </c>
      <c r="N533" s="395">
        <v>871</v>
      </c>
      <c r="O533" s="396">
        <v>1717</v>
      </c>
      <c r="P533" s="395">
        <v>0.87</v>
      </c>
      <c r="Q533" s="396">
        <v>-1984</v>
      </c>
      <c r="R533" s="396">
        <v>6419</v>
      </c>
      <c r="S533" s="396">
        <v>-9914</v>
      </c>
      <c r="T533" s="396">
        <v>352235</v>
      </c>
      <c r="U533" s="396">
        <v>-265675</v>
      </c>
      <c r="V533" s="395">
        <v>4152.08</v>
      </c>
      <c r="W533" s="395">
        <v>2566.1999999999998</v>
      </c>
      <c r="X533" s="395">
        <v>77490</v>
      </c>
      <c r="Y533" s="395">
        <v>9504.43</v>
      </c>
      <c r="Z533" s="396">
        <v>2307789</v>
      </c>
      <c r="AA533" s="396">
        <v>213366</v>
      </c>
      <c r="AB533" s="396">
        <v>21742461</v>
      </c>
      <c r="AC533" s="396">
        <v>10207916</v>
      </c>
    </row>
    <row r="534" spans="1:29">
      <c r="A534">
        <v>2493</v>
      </c>
      <c r="B534" s="395" t="s">
        <v>7104</v>
      </c>
      <c r="C534" s="395"/>
      <c r="D534" s="396">
        <v>213122</v>
      </c>
      <c r="E534" s="396">
        <v>240354</v>
      </c>
      <c r="F534" s="395">
        <v>8.83</v>
      </c>
      <c r="G534" s="396">
        <v>-27232</v>
      </c>
      <c r="H534" s="396">
        <v>37153</v>
      </c>
      <c r="I534" s="396">
        <v>3078510</v>
      </c>
      <c r="J534" s="395">
        <v>240</v>
      </c>
      <c r="K534" s="395">
        <v>203</v>
      </c>
      <c r="L534" s="397">
        <v>0.8458</v>
      </c>
      <c r="M534" s="395">
        <v>37</v>
      </c>
      <c r="N534" s="395">
        <v>888</v>
      </c>
      <c r="O534" s="396">
        <v>1184</v>
      </c>
      <c r="P534" s="395">
        <v>1.61</v>
      </c>
      <c r="Q534" s="395">
        <v>-736</v>
      </c>
      <c r="R534" s="396">
        <v>3563</v>
      </c>
      <c r="S534" s="396">
        <v>-2763</v>
      </c>
      <c r="T534" s="396">
        <v>235642</v>
      </c>
      <c r="U534" s="396">
        <v>-78566</v>
      </c>
      <c r="V534" s="395">
        <v>7310.14</v>
      </c>
      <c r="W534" s="395">
        <v>6950.65</v>
      </c>
      <c r="X534" s="395">
        <v>77490</v>
      </c>
      <c r="Y534" s="395">
        <v>9282.4599999999991</v>
      </c>
      <c r="Z534" s="396">
        <v>7114912</v>
      </c>
      <c r="AA534" s="396">
        <v>213122</v>
      </c>
      <c r="AB534" s="396">
        <v>12597778</v>
      </c>
      <c r="AC534" s="396">
        <v>10207916</v>
      </c>
    </row>
    <row r="535" spans="1:29">
      <c r="A535">
        <v>2352</v>
      </c>
      <c r="B535" s="395" t="s">
        <v>7001</v>
      </c>
      <c r="C535" s="395"/>
      <c r="D535" s="396">
        <v>212696</v>
      </c>
      <c r="E535" s="396">
        <v>263140</v>
      </c>
      <c r="F535" s="395">
        <v>5.22</v>
      </c>
      <c r="G535" s="396">
        <v>-50444</v>
      </c>
      <c r="H535" s="396">
        <v>34769</v>
      </c>
      <c r="I535" s="396">
        <v>1555249</v>
      </c>
      <c r="J535" s="395">
        <v>280</v>
      </c>
      <c r="K535" s="395">
        <v>247</v>
      </c>
      <c r="L535" s="397">
        <v>0.8821</v>
      </c>
      <c r="M535" s="395">
        <v>33</v>
      </c>
      <c r="N535" s="395">
        <v>760</v>
      </c>
      <c r="O535" s="396">
        <v>1065</v>
      </c>
      <c r="P535" s="395">
        <v>0.7</v>
      </c>
      <c r="Q535" s="396">
        <v>-1529</v>
      </c>
      <c r="R535" s="396">
        <v>5331</v>
      </c>
      <c r="S535" s="396">
        <v>-6342</v>
      </c>
      <c r="T535" s="396">
        <v>295049</v>
      </c>
      <c r="U535" s="396">
        <v>-127151</v>
      </c>
      <c r="V535" s="395">
        <v>3547.8</v>
      </c>
      <c r="W535" s="395">
        <v>2906.15</v>
      </c>
      <c r="X535" s="395">
        <v>77490</v>
      </c>
      <c r="Y535" s="395">
        <v>8350.42</v>
      </c>
      <c r="Z535" s="396">
        <v>-1574897</v>
      </c>
      <c r="AA535" s="396">
        <v>212696</v>
      </c>
      <c r="AB535" s="396">
        <v>7005366</v>
      </c>
      <c r="AC535" s="396">
        <v>10207916</v>
      </c>
    </row>
    <row r="536" spans="1:29">
      <c r="A536">
        <v>8390</v>
      </c>
      <c r="B536" s="395" t="s">
        <v>8318</v>
      </c>
      <c r="C536" s="395"/>
      <c r="D536" s="396">
        <v>212651</v>
      </c>
      <c r="E536" s="396">
        <v>301757</v>
      </c>
      <c r="F536" s="395">
        <v>3.39</v>
      </c>
      <c r="G536" s="396">
        <v>-89106</v>
      </c>
      <c r="H536" s="396">
        <v>38416</v>
      </c>
      <c r="I536" s="396">
        <v>3182166</v>
      </c>
      <c r="J536" s="395">
        <v>259</v>
      </c>
      <c r="K536" s="395">
        <v>198</v>
      </c>
      <c r="L536" s="397">
        <v>0.76449999999999996</v>
      </c>
      <c r="M536" s="395">
        <v>61</v>
      </c>
      <c r="N536" s="395">
        <v>821</v>
      </c>
      <c r="O536" s="396">
        <v>1524</v>
      </c>
      <c r="P536" s="395">
        <v>1.04</v>
      </c>
      <c r="Q536" s="396">
        <v>-1461</v>
      </c>
      <c r="R536" s="396">
        <v>5752</v>
      </c>
      <c r="S536" s="396">
        <v>-5972</v>
      </c>
      <c r="T536" s="396">
        <v>303859</v>
      </c>
      <c r="U536" s="396">
        <v>-251344</v>
      </c>
      <c r="V536" s="395">
        <v>6777.79</v>
      </c>
      <c r="W536" s="395">
        <v>5272.71</v>
      </c>
      <c r="X536" s="395">
        <v>77490</v>
      </c>
      <c r="Y536" s="395">
        <v>11663.15</v>
      </c>
      <c r="Z536" s="396">
        <v>-12066051</v>
      </c>
      <c r="AA536" s="396">
        <v>212651</v>
      </c>
      <c r="AB536" s="396">
        <v>10479435</v>
      </c>
      <c r="AC536" s="396">
        <v>10207916</v>
      </c>
    </row>
    <row r="537" spans="1:29">
      <c r="A537">
        <v>8070</v>
      </c>
      <c r="B537" s="395" t="s">
        <v>8252</v>
      </c>
      <c r="C537" s="395"/>
      <c r="D537" s="396">
        <v>211519</v>
      </c>
      <c r="E537" s="396">
        <v>303491</v>
      </c>
      <c r="F537" s="395">
        <v>3.3</v>
      </c>
      <c r="G537" s="396">
        <v>-91972</v>
      </c>
      <c r="H537" s="396">
        <v>38766</v>
      </c>
      <c r="I537" s="396">
        <v>1726252</v>
      </c>
      <c r="J537" s="395">
        <v>272</v>
      </c>
      <c r="K537" s="395">
        <v>219</v>
      </c>
      <c r="L537" s="397">
        <v>0.80510000000000004</v>
      </c>
      <c r="M537" s="395">
        <v>53</v>
      </c>
      <c r="N537" s="395">
        <v>778</v>
      </c>
      <c r="O537" s="396">
        <v>1386</v>
      </c>
      <c r="P537" s="395">
        <v>0.8</v>
      </c>
      <c r="Q537" s="396">
        <v>-1735</v>
      </c>
      <c r="R537" s="396">
        <v>5922</v>
      </c>
      <c r="S537" s="396">
        <v>-6804</v>
      </c>
      <c r="T537" s="396">
        <v>328126</v>
      </c>
      <c r="U537" s="396">
        <v>-149474</v>
      </c>
      <c r="V537" s="395">
        <v>2903.53</v>
      </c>
      <c r="W537" s="395">
        <v>2262.46</v>
      </c>
      <c r="X537" s="395">
        <v>77490</v>
      </c>
      <c r="Y537" s="395">
        <v>5552.49</v>
      </c>
      <c r="Z537" s="396">
        <v>-8938006</v>
      </c>
      <c r="AA537" s="396">
        <v>211519</v>
      </c>
      <c r="AB537" s="396">
        <v>10870699</v>
      </c>
      <c r="AC537" s="396">
        <v>10207916</v>
      </c>
    </row>
    <row r="538" spans="1:29">
      <c r="A538">
        <v>1907</v>
      </c>
      <c r="B538" s="395" t="s">
        <v>6903</v>
      </c>
      <c r="C538" s="395"/>
      <c r="D538" s="396">
        <v>211516</v>
      </c>
      <c r="E538" s="396">
        <v>293741</v>
      </c>
      <c r="F538" s="395">
        <v>3.57</v>
      </c>
      <c r="G538" s="396">
        <v>-82225</v>
      </c>
      <c r="H538" s="396">
        <v>38028</v>
      </c>
      <c r="I538" s="396">
        <v>2005051</v>
      </c>
      <c r="J538" s="395">
        <v>271</v>
      </c>
      <c r="K538" s="395">
        <v>221</v>
      </c>
      <c r="L538" s="397">
        <v>0.8155</v>
      </c>
      <c r="M538" s="395">
        <v>50</v>
      </c>
      <c r="N538" s="395">
        <v>781</v>
      </c>
      <c r="O538" s="396">
        <v>1329</v>
      </c>
      <c r="P538" s="395">
        <v>0.81</v>
      </c>
      <c r="Q538" s="396">
        <v>-1644</v>
      </c>
      <c r="R538" s="396">
        <v>6008</v>
      </c>
      <c r="S538" s="396">
        <v>-7469</v>
      </c>
      <c r="T538" s="396">
        <v>371929</v>
      </c>
      <c r="U538" s="396">
        <v>-256882</v>
      </c>
      <c r="V538" s="395">
        <v>2938.06</v>
      </c>
      <c r="W538" s="395">
        <v>1812.16</v>
      </c>
      <c r="X538" s="395">
        <v>77490</v>
      </c>
      <c r="Y538" s="395">
        <v>7914.5</v>
      </c>
      <c r="Z538" s="396">
        <v>-3192905</v>
      </c>
      <c r="AA538" s="396">
        <v>211516</v>
      </c>
      <c r="AB538" s="396">
        <v>9062312</v>
      </c>
      <c r="AC538" s="396">
        <v>10207916</v>
      </c>
    </row>
    <row r="539" spans="1:29">
      <c r="A539">
        <v>1702</v>
      </c>
      <c r="B539" s="395" t="s">
        <v>6847</v>
      </c>
      <c r="C539" s="395"/>
      <c r="D539" s="396">
        <v>211247</v>
      </c>
      <c r="E539" s="396">
        <v>299700</v>
      </c>
      <c r="F539" s="395">
        <v>3.39</v>
      </c>
      <c r="G539" s="396">
        <v>-88453</v>
      </c>
      <c r="H539" s="396">
        <v>52980</v>
      </c>
      <c r="I539" s="396">
        <v>4543158</v>
      </c>
      <c r="J539" s="395">
        <v>263</v>
      </c>
      <c r="K539" s="395">
        <v>200</v>
      </c>
      <c r="L539" s="397">
        <v>0.76049999999999995</v>
      </c>
      <c r="M539" s="395">
        <v>63</v>
      </c>
      <c r="N539" s="395">
        <v>803</v>
      </c>
      <c r="O539" s="396">
        <v>1498</v>
      </c>
      <c r="P539" s="395">
        <v>1.07</v>
      </c>
      <c r="Q539" s="396">
        <v>-1404</v>
      </c>
      <c r="R539" s="396">
        <v>4850</v>
      </c>
      <c r="S539" s="396">
        <v>-4819</v>
      </c>
      <c r="T539" s="396">
        <v>481284</v>
      </c>
      <c r="U539" s="396">
        <v>-312631</v>
      </c>
      <c r="V539" s="395">
        <v>7489.09</v>
      </c>
      <c r="W539" s="395">
        <v>6256.4</v>
      </c>
      <c r="X539" s="395">
        <v>77490</v>
      </c>
      <c r="Y539" s="395">
        <v>11402.4</v>
      </c>
      <c r="Z539" s="396">
        <v>-2694920</v>
      </c>
      <c r="AA539" s="396">
        <v>211247</v>
      </c>
      <c r="AB539" s="396">
        <v>3488441</v>
      </c>
      <c r="AC539" s="396">
        <v>10207916</v>
      </c>
    </row>
    <row r="540" spans="1:29">
      <c r="A540">
        <v>5906</v>
      </c>
      <c r="B540" s="395" t="s">
        <v>7898</v>
      </c>
      <c r="C540" s="395"/>
      <c r="D540" s="396">
        <v>211182</v>
      </c>
      <c r="E540" s="396">
        <v>247900</v>
      </c>
      <c r="F540" s="395">
        <v>6.75</v>
      </c>
      <c r="G540" s="396">
        <v>-36718</v>
      </c>
      <c r="H540" s="396">
        <v>21988</v>
      </c>
      <c r="I540" s="396">
        <v>1987554</v>
      </c>
      <c r="J540" s="395">
        <v>132</v>
      </c>
      <c r="K540" s="395">
        <v>101</v>
      </c>
      <c r="L540" s="397">
        <v>0.76519999999999999</v>
      </c>
      <c r="M540" s="395">
        <v>31</v>
      </c>
      <c r="N540" s="396">
        <v>1600</v>
      </c>
      <c r="O540" s="396">
        <v>2454</v>
      </c>
      <c r="P540" s="395">
        <v>2.0699999999999998</v>
      </c>
      <c r="Q540" s="396">
        <v>-1184</v>
      </c>
      <c r="R540" s="396">
        <v>7504</v>
      </c>
      <c r="S540" s="396">
        <v>-4477</v>
      </c>
      <c r="T540" s="396">
        <v>360258</v>
      </c>
      <c r="U540" s="396">
        <v>-176454</v>
      </c>
      <c r="V540" s="395">
        <v>10386.790000000001</v>
      </c>
      <c r="W540" s="395">
        <v>9968.01</v>
      </c>
      <c r="X540" s="395">
        <v>76680</v>
      </c>
      <c r="Y540" s="395">
        <v>11751.19</v>
      </c>
      <c r="Z540" s="396">
        <v>-1722927</v>
      </c>
      <c r="AA540" s="396">
        <v>211182</v>
      </c>
      <c r="AB540" s="396">
        <v>-9815242</v>
      </c>
      <c r="AC540" s="396">
        <v>10207916</v>
      </c>
    </row>
    <row r="541" spans="1:29">
      <c r="A541">
        <v>1477</v>
      </c>
      <c r="B541" s="395" t="s">
        <v>6782</v>
      </c>
      <c r="C541" s="395"/>
      <c r="D541" s="396">
        <v>211174</v>
      </c>
      <c r="E541" s="396">
        <v>1617946</v>
      </c>
      <c r="F541" s="395">
        <v>1.1499999999999999</v>
      </c>
      <c r="G541" s="396">
        <v>-1406772</v>
      </c>
      <c r="H541" s="396">
        <v>264314</v>
      </c>
      <c r="I541" s="396">
        <v>6939936</v>
      </c>
      <c r="J541" s="395">
        <v>279</v>
      </c>
      <c r="K541" s="395">
        <v>209</v>
      </c>
      <c r="L541" s="397">
        <v>0.74909999999999999</v>
      </c>
      <c r="M541" s="395">
        <v>69</v>
      </c>
      <c r="N541" s="395">
        <v>757</v>
      </c>
      <c r="O541" s="396">
        <v>7741</v>
      </c>
      <c r="P541" s="395">
        <v>0.38</v>
      </c>
      <c r="Q541" s="396">
        <v>-20388</v>
      </c>
      <c r="R541" s="396">
        <v>27004</v>
      </c>
      <c r="S541" s="396">
        <v>-57411</v>
      </c>
      <c r="T541" s="396">
        <v>1340209</v>
      </c>
      <c r="U541" s="396">
        <v>-1186631</v>
      </c>
      <c r="V541" s="395">
        <v>2221.9</v>
      </c>
      <c r="W541" s="395">
        <v>1309.1600000000001</v>
      </c>
      <c r="X541" s="395">
        <v>77490</v>
      </c>
      <c r="Y541" s="395">
        <v>5017.3599999999997</v>
      </c>
      <c r="Z541" s="396">
        <v>-96290</v>
      </c>
      <c r="AA541" s="396">
        <v>211174</v>
      </c>
      <c r="AB541" s="396">
        <v>3596058</v>
      </c>
      <c r="AC541" s="396">
        <v>10207916</v>
      </c>
    </row>
    <row r="542" spans="1:29">
      <c r="A542">
        <v>4930</v>
      </c>
      <c r="B542" s="395" t="s">
        <v>7716</v>
      </c>
      <c r="C542" s="395"/>
      <c r="D542" s="396">
        <v>210657</v>
      </c>
      <c r="E542" s="396">
        <v>304622</v>
      </c>
      <c r="F542" s="395">
        <v>3.24</v>
      </c>
      <c r="G542" s="396">
        <v>-93965</v>
      </c>
      <c r="H542" s="396">
        <v>26310</v>
      </c>
      <c r="I542" s="396">
        <v>3330365</v>
      </c>
      <c r="J542" s="395">
        <v>262</v>
      </c>
      <c r="K542" s="395">
        <v>221</v>
      </c>
      <c r="L542" s="397">
        <v>0.84350000000000003</v>
      </c>
      <c r="M542" s="395">
        <v>41</v>
      </c>
      <c r="N542" s="395">
        <v>804</v>
      </c>
      <c r="O542" s="396">
        <v>1378</v>
      </c>
      <c r="P542" s="395">
        <v>0.6</v>
      </c>
      <c r="Q542" s="396">
        <v>-2292</v>
      </c>
      <c r="R542" s="396">
        <v>5710</v>
      </c>
      <c r="S542" s="396">
        <v>-8019</v>
      </c>
      <c r="T542" s="396">
        <v>787150</v>
      </c>
      <c r="U542" s="396">
        <v>-621164</v>
      </c>
      <c r="V542" s="395">
        <v>11499.39</v>
      </c>
      <c r="W542" s="395">
        <v>8950.36</v>
      </c>
      <c r="X542" s="395">
        <v>77490</v>
      </c>
      <c r="Y542" s="395">
        <v>25239.29</v>
      </c>
      <c r="Z542" s="396">
        <v>-792946</v>
      </c>
      <c r="AA542" s="396">
        <v>210657</v>
      </c>
      <c r="AB542" s="396">
        <v>27956593</v>
      </c>
      <c r="AC542" s="396">
        <v>10207916</v>
      </c>
    </row>
    <row r="543" spans="1:29">
      <c r="A543">
        <v>1614</v>
      </c>
      <c r="B543" s="395" t="s">
        <v>6840</v>
      </c>
      <c r="C543" s="395"/>
      <c r="D543" s="396">
        <v>210395</v>
      </c>
      <c r="E543" s="396">
        <v>234189</v>
      </c>
      <c r="F543" s="395">
        <v>9.84</v>
      </c>
      <c r="G543" s="396">
        <v>-23794</v>
      </c>
      <c r="H543" s="396">
        <v>31612</v>
      </c>
      <c r="I543" s="396">
        <v>3667001</v>
      </c>
      <c r="J543" s="395">
        <v>221</v>
      </c>
      <c r="K543" s="395">
        <v>188</v>
      </c>
      <c r="L543" s="397">
        <v>0.85070000000000001</v>
      </c>
      <c r="M543" s="395">
        <v>33</v>
      </c>
      <c r="N543" s="395">
        <v>952</v>
      </c>
      <c r="O543" s="396">
        <v>1246</v>
      </c>
      <c r="P543" s="395">
        <v>1.73</v>
      </c>
      <c r="Q543" s="395">
        <v>-721</v>
      </c>
      <c r="R543" s="396">
        <v>4663</v>
      </c>
      <c r="S543" s="396">
        <v>-1800</v>
      </c>
      <c r="T543" s="396">
        <v>248597</v>
      </c>
      <c r="U543" s="396">
        <v>-70100</v>
      </c>
      <c r="V543" s="395">
        <v>12008.79</v>
      </c>
      <c r="W543" s="395">
        <v>11541.94</v>
      </c>
      <c r="X543" s="395">
        <v>77490</v>
      </c>
      <c r="Y543" s="395">
        <v>14668.42</v>
      </c>
      <c r="Z543" s="396">
        <v>-2560493</v>
      </c>
      <c r="AA543" s="396">
        <v>210395</v>
      </c>
      <c r="AB543" s="396">
        <v>2476652</v>
      </c>
      <c r="AC543" s="396">
        <v>10207916</v>
      </c>
    </row>
    <row r="544" spans="1:29">
      <c r="A544">
        <v>8926</v>
      </c>
      <c r="B544" s="395" t="s">
        <v>8375</v>
      </c>
      <c r="C544" s="395"/>
      <c r="D544" s="396">
        <v>210211</v>
      </c>
      <c r="E544" s="396">
        <v>293814</v>
      </c>
      <c r="F544" s="395">
        <v>3.51</v>
      </c>
      <c r="G544" s="396">
        <v>-83603</v>
      </c>
      <c r="H544" s="396">
        <v>42160</v>
      </c>
      <c r="I544" s="396">
        <v>4014823</v>
      </c>
      <c r="J544" s="395">
        <v>273</v>
      </c>
      <c r="K544" s="395">
        <v>168</v>
      </c>
      <c r="L544" s="397">
        <v>0.61539999999999995</v>
      </c>
      <c r="M544" s="395">
        <v>105</v>
      </c>
      <c r="N544" s="395">
        <v>770</v>
      </c>
      <c r="O544" s="396">
        <v>1749</v>
      </c>
      <c r="P544" s="395">
        <v>2.2000000000000002</v>
      </c>
      <c r="Q544" s="395">
        <v>-796</v>
      </c>
      <c r="R544" s="396">
        <v>4628</v>
      </c>
      <c r="S544" s="396">
        <v>-2353</v>
      </c>
      <c r="T544" s="396">
        <v>326679</v>
      </c>
      <c r="U544" s="396">
        <v>-95792</v>
      </c>
      <c r="V544" s="395">
        <v>11915.34</v>
      </c>
      <c r="W544" s="395">
        <v>11328.41</v>
      </c>
      <c r="X544" s="395">
        <v>77490</v>
      </c>
      <c r="Y544" s="395">
        <v>12854.43</v>
      </c>
      <c r="Z544" s="396">
        <v>-2672002</v>
      </c>
      <c r="AA544" s="396">
        <v>210211</v>
      </c>
      <c r="AB544" s="396">
        <v>2749</v>
      </c>
      <c r="AC544" s="396">
        <v>10207916</v>
      </c>
    </row>
    <row r="545" spans="1:29">
      <c r="A545">
        <v>6292</v>
      </c>
      <c r="B545" s="395" t="s">
        <v>8060</v>
      </c>
      <c r="C545" s="395"/>
      <c r="D545" s="396">
        <v>210192</v>
      </c>
      <c r="E545" s="396">
        <v>216399</v>
      </c>
      <c r="F545" s="395">
        <v>34.86</v>
      </c>
      <c r="G545" s="396">
        <v>-6207</v>
      </c>
      <c r="H545" s="396">
        <v>34406</v>
      </c>
      <c r="I545" s="396">
        <v>1379583</v>
      </c>
      <c r="J545" s="395">
        <v>206</v>
      </c>
      <c r="K545" s="395">
        <v>192</v>
      </c>
      <c r="L545" s="397">
        <v>0.93200000000000005</v>
      </c>
      <c r="M545" s="395">
        <v>14</v>
      </c>
      <c r="N545" s="396">
        <v>1020</v>
      </c>
      <c r="O545" s="396">
        <v>1127</v>
      </c>
      <c r="P545" s="395">
        <v>2.54</v>
      </c>
      <c r="Q545" s="395">
        <v>-443</v>
      </c>
      <c r="R545" s="396">
        <v>3162</v>
      </c>
      <c r="S545" s="396">
        <v>-1481</v>
      </c>
      <c r="T545" s="396">
        <v>219813</v>
      </c>
      <c r="U545" s="396">
        <v>-32852</v>
      </c>
      <c r="V545" s="395">
        <v>3789.45</v>
      </c>
      <c r="W545" s="395">
        <v>3518.94</v>
      </c>
      <c r="X545" s="395">
        <v>77490</v>
      </c>
      <c r="Y545" s="395">
        <v>7499.36</v>
      </c>
      <c r="Z545" s="396">
        <v>8551844</v>
      </c>
      <c r="AA545" s="396">
        <v>210192</v>
      </c>
      <c r="AB545" s="396">
        <v>16986195</v>
      </c>
      <c r="AC545" s="396">
        <v>10207916</v>
      </c>
    </row>
    <row r="546" spans="1:29">
      <c r="A546">
        <v>2002</v>
      </c>
      <c r="B546" s="395" t="s">
        <v>6905</v>
      </c>
      <c r="C546" s="395"/>
      <c r="D546" s="396">
        <v>209779</v>
      </c>
      <c r="E546" s="396">
        <v>259628</v>
      </c>
      <c r="F546" s="395">
        <v>5.21</v>
      </c>
      <c r="G546" s="396">
        <v>-49849</v>
      </c>
      <c r="H546" s="396">
        <v>37484</v>
      </c>
      <c r="I546" s="396">
        <v>1936910</v>
      </c>
      <c r="J546" s="395">
        <v>274</v>
      </c>
      <c r="K546" s="395">
        <v>231</v>
      </c>
      <c r="L546" s="397">
        <v>0.84309999999999996</v>
      </c>
      <c r="M546" s="395">
        <v>43</v>
      </c>
      <c r="N546" s="395">
        <v>766</v>
      </c>
      <c r="O546" s="396">
        <v>1124</v>
      </c>
      <c r="P546" s="395">
        <v>0.97</v>
      </c>
      <c r="Q546" s="396">
        <v>-1159</v>
      </c>
      <c r="R546" s="396">
        <v>3962</v>
      </c>
      <c r="S546" s="396">
        <v>-4951</v>
      </c>
      <c r="T546" s="396">
        <v>240622</v>
      </c>
      <c r="U546" s="396">
        <v>-96446</v>
      </c>
      <c r="V546" s="395">
        <v>3728.65</v>
      </c>
      <c r="W546" s="395">
        <v>2859.99</v>
      </c>
      <c r="X546" s="395">
        <v>77490</v>
      </c>
      <c r="Y546" s="395">
        <v>8395.16</v>
      </c>
      <c r="Z546" s="396">
        <v>5787801</v>
      </c>
      <c r="AA546" s="396">
        <v>209779</v>
      </c>
      <c r="AB546" s="396">
        <v>28282938</v>
      </c>
      <c r="AC546" s="396">
        <v>10207916</v>
      </c>
    </row>
    <row r="547" spans="1:29">
      <c r="A547">
        <v>8374</v>
      </c>
      <c r="B547" s="395" t="s">
        <v>8316</v>
      </c>
      <c r="C547" s="395"/>
      <c r="D547" s="396">
        <v>208236</v>
      </c>
      <c r="E547" s="396">
        <v>233503</v>
      </c>
      <c r="F547" s="395">
        <v>9.24</v>
      </c>
      <c r="G547" s="396">
        <v>-25267</v>
      </c>
      <c r="H547" s="396">
        <v>29276</v>
      </c>
      <c r="I547" s="396">
        <v>1003453</v>
      </c>
      <c r="J547" s="395">
        <v>246</v>
      </c>
      <c r="K547" s="395">
        <v>219</v>
      </c>
      <c r="L547" s="397">
        <v>0.89019999999999999</v>
      </c>
      <c r="M547" s="395">
        <v>27</v>
      </c>
      <c r="N547" s="395">
        <v>846</v>
      </c>
      <c r="O547" s="396">
        <v>1066</v>
      </c>
      <c r="P547" s="395">
        <v>1.1399999999999999</v>
      </c>
      <c r="Q547" s="395">
        <v>-936</v>
      </c>
      <c r="R547" s="396">
        <v>3455</v>
      </c>
      <c r="S547" s="396">
        <v>-6989</v>
      </c>
      <c r="T547" s="396">
        <v>223528</v>
      </c>
      <c r="U547" s="396">
        <v>-33157</v>
      </c>
      <c r="V547" s="395">
        <v>2940.68</v>
      </c>
      <c r="W547" s="395">
        <v>2884.3</v>
      </c>
      <c r="X547" s="395">
        <v>77490</v>
      </c>
      <c r="Y547" s="395">
        <v>3397.96</v>
      </c>
      <c r="Z547" s="396">
        <v>-1859277</v>
      </c>
      <c r="AA547" s="396">
        <v>208236</v>
      </c>
      <c r="AB547" s="396">
        <v>9477579</v>
      </c>
      <c r="AC547" s="396">
        <v>10207916</v>
      </c>
    </row>
    <row r="548" spans="1:29">
      <c r="A548">
        <v>2748</v>
      </c>
      <c r="B548" s="395" t="s">
        <v>7187</v>
      </c>
      <c r="C548" s="395"/>
      <c r="D548" s="396">
        <v>208027</v>
      </c>
      <c r="E548" s="396">
        <v>261210</v>
      </c>
      <c r="F548" s="395">
        <v>4.91</v>
      </c>
      <c r="G548" s="396">
        <v>-53183</v>
      </c>
      <c r="H548" s="396">
        <v>37479</v>
      </c>
      <c r="I548" s="396">
        <v>2474680</v>
      </c>
      <c r="J548" s="395">
        <v>222</v>
      </c>
      <c r="K548" s="395">
        <v>178</v>
      </c>
      <c r="L548" s="397">
        <v>0.80179999999999996</v>
      </c>
      <c r="M548" s="395">
        <v>44</v>
      </c>
      <c r="N548" s="395">
        <v>937</v>
      </c>
      <c r="O548" s="396">
        <v>1467</v>
      </c>
      <c r="P548" s="395">
        <v>1.21</v>
      </c>
      <c r="Q548" s="396">
        <v>-1209</v>
      </c>
      <c r="R548" s="396">
        <v>4944</v>
      </c>
      <c r="S548" s="396">
        <v>-2521</v>
      </c>
      <c r="T548" s="396">
        <v>236706</v>
      </c>
      <c r="U548" s="396">
        <v>-175644</v>
      </c>
      <c r="V548" s="395">
        <v>6169.43</v>
      </c>
      <c r="W548" s="395">
        <v>4751.83</v>
      </c>
      <c r="X548" s="395">
        <v>77490</v>
      </c>
      <c r="Y548" s="395">
        <v>11904.3</v>
      </c>
      <c r="Z548" s="396">
        <v>-6926278</v>
      </c>
      <c r="AA548" s="396">
        <v>208027</v>
      </c>
      <c r="AB548" s="396">
        <v>-551082</v>
      </c>
      <c r="AC548" s="396">
        <v>10207916</v>
      </c>
    </row>
    <row r="549" spans="1:29">
      <c r="A549">
        <v>6139</v>
      </c>
      <c r="B549" s="395" t="s">
        <v>7936</v>
      </c>
      <c r="C549" s="395"/>
      <c r="D549" s="396">
        <v>207607</v>
      </c>
      <c r="E549" s="396">
        <v>242792</v>
      </c>
      <c r="F549" s="395">
        <v>6.9</v>
      </c>
      <c r="G549" s="396">
        <v>-35185</v>
      </c>
      <c r="H549" s="396">
        <v>33321</v>
      </c>
      <c r="I549" s="396">
        <v>817042</v>
      </c>
      <c r="J549" s="395">
        <v>269</v>
      </c>
      <c r="K549" s="395">
        <v>230</v>
      </c>
      <c r="L549" s="397">
        <v>0.85499999999999998</v>
      </c>
      <c r="M549" s="395">
        <v>39</v>
      </c>
      <c r="N549" s="395">
        <v>772</v>
      </c>
      <c r="O549" s="396">
        <v>1056</v>
      </c>
      <c r="P549" s="395">
        <v>1.17</v>
      </c>
      <c r="Q549" s="395">
        <v>-902</v>
      </c>
      <c r="R549" s="396">
        <v>5339</v>
      </c>
      <c r="S549" s="396">
        <v>-4380</v>
      </c>
      <c r="T549" s="396">
        <v>209024</v>
      </c>
      <c r="U549" s="396">
        <v>-62865</v>
      </c>
      <c r="V549" s="395">
        <v>2079.58</v>
      </c>
      <c r="W549" s="395">
        <v>1712.97</v>
      </c>
      <c r="X549" s="395">
        <v>77490</v>
      </c>
      <c r="Y549" s="395">
        <v>4241.62</v>
      </c>
      <c r="Z549" s="396">
        <v>2247668</v>
      </c>
      <c r="AA549" s="396">
        <v>207607</v>
      </c>
      <c r="AB549" s="396">
        <v>3254871</v>
      </c>
      <c r="AC549" s="396">
        <v>10207916</v>
      </c>
    </row>
    <row r="550" spans="1:29">
      <c r="A550">
        <v>3706</v>
      </c>
      <c r="B550" s="395" t="s">
        <v>7542</v>
      </c>
      <c r="C550" s="395"/>
      <c r="D550" s="396">
        <v>206465</v>
      </c>
      <c r="E550" s="396">
        <v>232190</v>
      </c>
      <c r="F550" s="395">
        <v>9.0299999999999994</v>
      </c>
      <c r="G550" s="396">
        <v>-25725</v>
      </c>
      <c r="H550" s="396">
        <v>34707</v>
      </c>
      <c r="I550" s="396">
        <v>1320032</v>
      </c>
      <c r="J550" s="395">
        <v>286</v>
      </c>
      <c r="K550" s="395">
        <v>248</v>
      </c>
      <c r="L550" s="397">
        <v>0.86709999999999998</v>
      </c>
      <c r="M550" s="395">
        <v>38</v>
      </c>
      <c r="N550" s="395">
        <v>722</v>
      </c>
      <c r="O550" s="395">
        <v>936</v>
      </c>
      <c r="P550" s="395">
        <v>1.38</v>
      </c>
      <c r="Q550" s="395">
        <v>-677</v>
      </c>
      <c r="R550" s="396">
        <v>2896</v>
      </c>
      <c r="S550" s="396">
        <v>-2383</v>
      </c>
      <c r="T550" s="396">
        <v>224954</v>
      </c>
      <c r="U550" s="396">
        <v>-44461</v>
      </c>
      <c r="V550" s="395">
        <v>4244.8</v>
      </c>
      <c r="W550" s="395">
        <v>3935.66</v>
      </c>
      <c r="X550" s="395">
        <v>77490</v>
      </c>
      <c r="Y550" s="395">
        <v>6262.37</v>
      </c>
      <c r="Z550" s="396">
        <v>-9123487</v>
      </c>
      <c r="AA550" s="396">
        <v>206465</v>
      </c>
      <c r="AB550" s="396">
        <v>5934871</v>
      </c>
      <c r="AC550" s="396">
        <v>10207916</v>
      </c>
    </row>
    <row r="551" spans="1:29">
      <c r="A551">
        <v>2344</v>
      </c>
      <c r="B551" s="395" t="s">
        <v>6995</v>
      </c>
      <c r="C551" s="395"/>
      <c r="D551" s="396">
        <v>205982</v>
      </c>
      <c r="E551" s="396">
        <v>280462</v>
      </c>
      <c r="F551" s="395">
        <v>3.77</v>
      </c>
      <c r="G551" s="396">
        <v>-74480</v>
      </c>
      <c r="H551" s="396">
        <v>34829</v>
      </c>
      <c r="I551" s="396">
        <v>1034189</v>
      </c>
      <c r="J551" s="395">
        <v>279</v>
      </c>
      <c r="K551" s="395">
        <v>234</v>
      </c>
      <c r="L551" s="397">
        <v>0.8387</v>
      </c>
      <c r="M551" s="395">
        <v>45</v>
      </c>
      <c r="N551" s="395">
        <v>738</v>
      </c>
      <c r="O551" s="396">
        <v>1199</v>
      </c>
      <c r="P551" s="395">
        <v>0.72</v>
      </c>
      <c r="Q551" s="396">
        <v>-1655</v>
      </c>
      <c r="R551" s="396">
        <v>6533</v>
      </c>
      <c r="S551" s="396">
        <v>-6393</v>
      </c>
      <c r="T551" s="396">
        <v>251942</v>
      </c>
      <c r="U551" s="396">
        <v>-102897</v>
      </c>
      <c r="V551" s="395">
        <v>2156.2800000000002</v>
      </c>
      <c r="W551" s="395">
        <v>1554.06</v>
      </c>
      <c r="X551" s="395">
        <v>77490</v>
      </c>
      <c r="Y551" s="395">
        <v>5287.84</v>
      </c>
      <c r="Z551" s="396">
        <v>-16872998</v>
      </c>
      <c r="AA551" s="396">
        <v>205982</v>
      </c>
      <c r="AB551" s="396">
        <v>8279850</v>
      </c>
      <c r="AC551" s="396">
        <v>10207916</v>
      </c>
    </row>
    <row r="552" spans="1:29">
      <c r="A552">
        <v>3231</v>
      </c>
      <c r="B552" s="395" t="s">
        <v>7357</v>
      </c>
      <c r="C552" s="395"/>
      <c r="D552" s="396">
        <v>205755</v>
      </c>
      <c r="E552" s="396">
        <v>256205</v>
      </c>
      <c r="F552" s="395">
        <v>5.08</v>
      </c>
      <c r="G552" s="396">
        <v>-50450</v>
      </c>
      <c r="H552" s="396">
        <v>34477</v>
      </c>
      <c r="I552" s="396">
        <v>2171100</v>
      </c>
      <c r="J552" s="395">
        <v>283</v>
      </c>
      <c r="K552" s="395">
        <v>228</v>
      </c>
      <c r="L552" s="397">
        <v>0.80569999999999997</v>
      </c>
      <c r="M552" s="395">
        <v>55</v>
      </c>
      <c r="N552" s="395">
        <v>727</v>
      </c>
      <c r="O552" s="396">
        <v>1124</v>
      </c>
      <c r="P552" s="395">
        <v>1.23</v>
      </c>
      <c r="Q552" s="395">
        <v>-917</v>
      </c>
      <c r="R552" s="396">
        <v>4279</v>
      </c>
      <c r="S552" s="396">
        <v>-2184</v>
      </c>
      <c r="T552" s="396">
        <v>356071</v>
      </c>
      <c r="U552" s="396">
        <v>-179118</v>
      </c>
      <c r="V552" s="395">
        <v>6181.99</v>
      </c>
      <c r="W552" s="395">
        <v>4571.8</v>
      </c>
      <c r="X552" s="395">
        <v>77490</v>
      </c>
      <c r="Y552" s="395">
        <v>12856.96</v>
      </c>
      <c r="Z552" s="396">
        <v>-782496</v>
      </c>
      <c r="AA552" s="396">
        <v>205755</v>
      </c>
      <c r="AB552" s="396">
        <v>1164751</v>
      </c>
      <c r="AC552" s="396">
        <v>10207916</v>
      </c>
    </row>
    <row r="553" spans="1:29">
      <c r="A553">
        <v>4506</v>
      </c>
      <c r="B553" s="395" t="s">
        <v>7625</v>
      </c>
      <c r="C553" s="395"/>
      <c r="D553" s="396">
        <v>205184</v>
      </c>
      <c r="E553" s="396">
        <v>213910</v>
      </c>
      <c r="F553" s="395">
        <v>24.51</v>
      </c>
      <c r="G553" s="396">
        <v>-8726</v>
      </c>
      <c r="H553" s="396">
        <v>33994</v>
      </c>
      <c r="I553" s="396">
        <v>2903807</v>
      </c>
      <c r="J553" s="395">
        <v>134</v>
      </c>
      <c r="K553" s="395">
        <v>125</v>
      </c>
      <c r="L553" s="397">
        <v>0.93279999999999996</v>
      </c>
      <c r="M553" s="395">
        <v>9</v>
      </c>
      <c r="N553" s="396">
        <v>1531</v>
      </c>
      <c r="O553" s="396">
        <v>1711</v>
      </c>
      <c r="P553" s="395">
        <v>1.76</v>
      </c>
      <c r="Q553" s="395">
        <v>-970</v>
      </c>
      <c r="R553" s="396">
        <v>5912</v>
      </c>
      <c r="S553" s="396">
        <v>-2374</v>
      </c>
      <c r="T553" s="396">
        <v>214996</v>
      </c>
      <c r="U553" s="396">
        <v>-32123</v>
      </c>
      <c r="V553" s="395">
        <v>8849.68</v>
      </c>
      <c r="W553" s="395">
        <v>8546.6200000000008</v>
      </c>
      <c r="X553" s="395">
        <v>77490</v>
      </c>
      <c r="Y553" s="395">
        <v>13058.89</v>
      </c>
      <c r="Z553" s="396">
        <v>4054867</v>
      </c>
      <c r="AA553" s="396">
        <v>205184</v>
      </c>
      <c r="AB553" s="396">
        <v>12376611</v>
      </c>
      <c r="AC553" s="396">
        <v>10207916</v>
      </c>
    </row>
    <row r="554" spans="1:29">
      <c r="A554">
        <v>4148</v>
      </c>
      <c r="B554" s="395" t="s">
        <v>7579</v>
      </c>
      <c r="C554" s="395"/>
      <c r="D554" s="396">
        <v>204781</v>
      </c>
      <c r="E554" s="396">
        <v>231430</v>
      </c>
      <c r="F554" s="395">
        <v>8.68</v>
      </c>
      <c r="G554" s="396">
        <v>-26650</v>
      </c>
      <c r="H554" s="396">
        <v>32920</v>
      </c>
      <c r="I554" s="396">
        <v>926309</v>
      </c>
      <c r="J554" s="395">
        <v>213</v>
      </c>
      <c r="K554" s="395">
        <v>182</v>
      </c>
      <c r="L554" s="397">
        <v>0.85450000000000004</v>
      </c>
      <c r="M554" s="395">
        <v>31</v>
      </c>
      <c r="N554" s="395">
        <v>961</v>
      </c>
      <c r="O554" s="396">
        <v>1272</v>
      </c>
      <c r="P554" s="395">
        <v>1.48</v>
      </c>
      <c r="Q554" s="395">
        <v>-860</v>
      </c>
      <c r="R554" s="396">
        <v>4083</v>
      </c>
      <c r="S554" s="396">
        <v>-3054</v>
      </c>
      <c r="T554" s="396">
        <v>254047</v>
      </c>
      <c r="U554" s="396">
        <v>-52102</v>
      </c>
      <c r="V554" s="395">
        <v>2674.26</v>
      </c>
      <c r="W554" s="395">
        <v>2261.75</v>
      </c>
      <c r="X554" s="395">
        <v>77490</v>
      </c>
      <c r="Y554" s="395">
        <v>5096.13</v>
      </c>
      <c r="Z554" s="396">
        <v>5211176</v>
      </c>
      <c r="AA554" s="396">
        <v>204781</v>
      </c>
      <c r="AB554" s="396">
        <v>34679969</v>
      </c>
      <c r="AC554" s="396">
        <v>10207916</v>
      </c>
    </row>
    <row r="555" spans="1:29">
      <c r="A555">
        <v>2035</v>
      </c>
      <c r="B555" s="395" t="s">
        <v>6929</v>
      </c>
      <c r="C555" s="395"/>
      <c r="D555" s="396">
        <v>203780</v>
      </c>
      <c r="E555" s="396">
        <v>243862</v>
      </c>
      <c r="F555" s="395">
        <v>6.08</v>
      </c>
      <c r="G555" s="396">
        <v>-40082</v>
      </c>
      <c r="H555" s="396">
        <v>24120</v>
      </c>
      <c r="I555" s="396">
        <v>1538628</v>
      </c>
      <c r="J555" s="395">
        <v>159</v>
      </c>
      <c r="K555" s="395">
        <v>132</v>
      </c>
      <c r="L555" s="397">
        <v>0.83020000000000005</v>
      </c>
      <c r="M555" s="395">
        <v>27</v>
      </c>
      <c r="N555" s="396">
        <v>1282</v>
      </c>
      <c r="O555" s="396">
        <v>1847</v>
      </c>
      <c r="P555" s="395">
        <v>1.24</v>
      </c>
      <c r="Q555" s="396">
        <v>-1485</v>
      </c>
      <c r="R555" s="396">
        <v>6040</v>
      </c>
      <c r="S555" s="396">
        <v>-8519</v>
      </c>
      <c r="T555" s="396">
        <v>305078</v>
      </c>
      <c r="U555" s="396">
        <v>-172773</v>
      </c>
      <c r="V555" s="395">
        <v>4822.99</v>
      </c>
      <c r="W555" s="395">
        <v>4120.67</v>
      </c>
      <c r="X555" s="395">
        <v>75870</v>
      </c>
      <c r="Y555" s="395">
        <v>8256.59</v>
      </c>
      <c r="Z555" s="396">
        <v>-14583094</v>
      </c>
      <c r="AA555" s="396">
        <v>203780</v>
      </c>
      <c r="AB555" s="396">
        <v>-3135550</v>
      </c>
      <c r="AC555" s="396">
        <v>10207916</v>
      </c>
    </row>
    <row r="556" spans="1:29">
      <c r="A556">
        <v>2353</v>
      </c>
      <c r="B556" s="395" t="s">
        <v>7002</v>
      </c>
      <c r="C556" s="395"/>
      <c r="D556" s="396">
        <v>202518</v>
      </c>
      <c r="E556" s="396">
        <v>288249</v>
      </c>
      <c r="F556" s="395">
        <v>3.36</v>
      </c>
      <c r="G556" s="396">
        <v>-85731</v>
      </c>
      <c r="H556" s="396">
        <v>32582</v>
      </c>
      <c r="I556" s="396">
        <v>3370043</v>
      </c>
      <c r="J556" s="395">
        <v>283</v>
      </c>
      <c r="K556" s="395">
        <v>219</v>
      </c>
      <c r="L556" s="397">
        <v>0.77390000000000003</v>
      </c>
      <c r="M556" s="395">
        <v>64</v>
      </c>
      <c r="N556" s="395">
        <v>716</v>
      </c>
      <c r="O556" s="396">
        <v>1316</v>
      </c>
      <c r="P556" s="395">
        <v>0.98</v>
      </c>
      <c r="Q556" s="396">
        <v>-1340</v>
      </c>
      <c r="R556" s="396">
        <v>4297</v>
      </c>
      <c r="S556" s="396">
        <v>-2881</v>
      </c>
      <c r="T556" s="396">
        <v>483835</v>
      </c>
      <c r="U556" s="396">
        <v>-331598</v>
      </c>
      <c r="V556" s="395">
        <v>8829.4699999999993</v>
      </c>
      <c r="W556" s="395">
        <v>5895.67</v>
      </c>
      <c r="X556" s="395">
        <v>77490</v>
      </c>
      <c r="Y556" s="395">
        <v>18868.55</v>
      </c>
      <c r="Z556" s="396">
        <v>5814793</v>
      </c>
      <c r="AA556" s="396">
        <v>202518</v>
      </c>
      <c r="AB556" s="396">
        <v>14648879</v>
      </c>
      <c r="AC556" s="396">
        <v>10207916</v>
      </c>
    </row>
    <row r="557" spans="1:29">
      <c r="A557">
        <v>3362</v>
      </c>
      <c r="B557" s="395" t="s">
        <v>7404</v>
      </c>
      <c r="C557" s="395"/>
      <c r="D557" s="396">
        <v>202334</v>
      </c>
      <c r="E557" s="396">
        <v>727110</v>
      </c>
      <c r="F557" s="395">
        <v>1.39</v>
      </c>
      <c r="G557" s="396">
        <v>-524776</v>
      </c>
      <c r="H557" s="396">
        <v>75266</v>
      </c>
      <c r="I557" s="396">
        <v>2074497</v>
      </c>
      <c r="J557" s="395">
        <v>252</v>
      </c>
      <c r="K557" s="395">
        <v>173</v>
      </c>
      <c r="L557" s="397">
        <v>0.6865</v>
      </c>
      <c r="M557" s="395">
        <v>79</v>
      </c>
      <c r="N557" s="395">
        <v>803</v>
      </c>
      <c r="O557" s="396">
        <v>4203</v>
      </c>
      <c r="P557" s="395">
        <v>0.63</v>
      </c>
      <c r="Q557" s="396">
        <v>-6643</v>
      </c>
      <c r="R557" s="396">
        <v>20700</v>
      </c>
      <c r="S557" s="396">
        <v>-42727</v>
      </c>
      <c r="T557" s="396">
        <v>746130</v>
      </c>
      <c r="U557" s="396">
        <v>-345398</v>
      </c>
      <c r="V557" s="395">
        <v>2337.5</v>
      </c>
      <c r="W557" s="395">
        <v>1199.3900000000001</v>
      </c>
      <c r="X557" s="395">
        <v>77490</v>
      </c>
      <c r="Y557" s="395">
        <v>4829.84</v>
      </c>
      <c r="Z557" s="396">
        <v>-10750012</v>
      </c>
      <c r="AA557" s="396">
        <v>202334</v>
      </c>
      <c r="AB557" s="396">
        <v>33698370</v>
      </c>
      <c r="AC557" s="396">
        <v>10207916</v>
      </c>
    </row>
    <row r="558" spans="1:29">
      <c r="A558">
        <v>2069</v>
      </c>
      <c r="B558" s="395" t="s">
        <v>6940</v>
      </c>
      <c r="C558" s="395"/>
      <c r="D558" s="396">
        <v>202293</v>
      </c>
      <c r="E558" s="396">
        <v>283974</v>
      </c>
      <c r="F558" s="395">
        <v>3.48</v>
      </c>
      <c r="G558" s="396">
        <v>-81681</v>
      </c>
      <c r="H558" s="396">
        <v>31773</v>
      </c>
      <c r="I558" s="396">
        <v>1502672</v>
      </c>
      <c r="J558" s="395">
        <v>258</v>
      </c>
      <c r="K558" s="395">
        <v>196</v>
      </c>
      <c r="L558" s="397">
        <v>0.75970000000000004</v>
      </c>
      <c r="M558" s="395">
        <v>62</v>
      </c>
      <c r="N558" s="395">
        <v>784</v>
      </c>
      <c r="O558" s="396">
        <v>1449</v>
      </c>
      <c r="P558" s="395">
        <v>1.1000000000000001</v>
      </c>
      <c r="Q558" s="396">
        <v>-1317</v>
      </c>
      <c r="R558" s="396">
        <v>4094</v>
      </c>
      <c r="S558" s="396">
        <v>-7001</v>
      </c>
      <c r="T558" s="396">
        <v>233255</v>
      </c>
      <c r="U558" s="396">
        <v>-138640</v>
      </c>
      <c r="V558" s="395">
        <v>2846.77</v>
      </c>
      <c r="W558" s="395">
        <v>1788.76</v>
      </c>
      <c r="X558" s="395">
        <v>77490</v>
      </c>
      <c r="Y558" s="395">
        <v>6191.45</v>
      </c>
      <c r="Z558" s="396">
        <v>-254112</v>
      </c>
      <c r="AA558" s="396">
        <v>202293</v>
      </c>
      <c r="AB558" s="396">
        <v>49937642</v>
      </c>
      <c r="AC558" s="396">
        <v>10207916</v>
      </c>
    </row>
    <row r="559" spans="1:29">
      <c r="A559">
        <v>9919</v>
      </c>
      <c r="B559" s="395" t="s">
        <v>8404</v>
      </c>
      <c r="C559" s="395"/>
      <c r="D559" s="396">
        <v>202194</v>
      </c>
      <c r="E559" s="396">
        <v>291813</v>
      </c>
      <c r="F559" s="395">
        <v>3.26</v>
      </c>
      <c r="G559" s="396">
        <v>-89619</v>
      </c>
      <c r="H559" s="396">
        <v>31411</v>
      </c>
      <c r="I559" s="396">
        <v>1000972</v>
      </c>
      <c r="J559" s="395">
        <v>264</v>
      </c>
      <c r="K559" s="395">
        <v>206</v>
      </c>
      <c r="L559" s="397">
        <v>0.78029999999999999</v>
      </c>
      <c r="M559" s="395">
        <v>58</v>
      </c>
      <c r="N559" s="395">
        <v>766</v>
      </c>
      <c r="O559" s="396">
        <v>1417</v>
      </c>
      <c r="P559" s="395">
        <v>0.92</v>
      </c>
      <c r="Q559" s="396">
        <v>-1545</v>
      </c>
      <c r="R559" s="396">
        <v>5648</v>
      </c>
      <c r="S559" s="396">
        <v>-6507</v>
      </c>
      <c r="T559" s="396">
        <v>254101</v>
      </c>
      <c r="U559" s="396">
        <v>-128164</v>
      </c>
      <c r="V559" s="395">
        <v>2894.46</v>
      </c>
      <c r="W559" s="395">
        <v>2178.33</v>
      </c>
      <c r="X559" s="395">
        <v>77490</v>
      </c>
      <c r="Y559" s="395">
        <v>5437.98</v>
      </c>
      <c r="Z559" s="396">
        <v>-7645682</v>
      </c>
      <c r="AA559" s="396">
        <v>202194</v>
      </c>
      <c r="AB559" s="396">
        <v>-13243480</v>
      </c>
      <c r="AC559" s="396">
        <v>10207916</v>
      </c>
    </row>
    <row r="560" spans="1:29">
      <c r="A560">
        <v>2101</v>
      </c>
      <c r="B560" s="395" t="s">
        <v>6942</v>
      </c>
      <c r="C560" s="395"/>
      <c r="D560" s="396">
        <v>202089</v>
      </c>
      <c r="E560" s="396">
        <v>289852</v>
      </c>
      <c r="F560" s="395">
        <v>3.3</v>
      </c>
      <c r="G560" s="396">
        <v>-87763</v>
      </c>
      <c r="H560" s="396">
        <v>44192</v>
      </c>
      <c r="I560" s="396">
        <v>2718912</v>
      </c>
      <c r="J560" s="395">
        <v>272</v>
      </c>
      <c r="K560" s="395">
        <v>218</v>
      </c>
      <c r="L560" s="397">
        <v>0.80149999999999999</v>
      </c>
      <c r="M560" s="395">
        <v>54</v>
      </c>
      <c r="N560" s="395">
        <v>743</v>
      </c>
      <c r="O560" s="396">
        <v>1330</v>
      </c>
      <c r="P560" s="395">
        <v>0.82</v>
      </c>
      <c r="Q560" s="396">
        <v>-1625</v>
      </c>
      <c r="R560" s="396">
        <v>5147</v>
      </c>
      <c r="S560" s="396">
        <v>-5373</v>
      </c>
      <c r="T560" s="396">
        <v>305118</v>
      </c>
      <c r="U560" s="396">
        <v>-112152</v>
      </c>
      <c r="V560" s="395">
        <v>4477.46</v>
      </c>
      <c r="W560" s="395">
        <v>3680.03</v>
      </c>
      <c r="X560" s="395">
        <v>77490</v>
      </c>
      <c r="Y560" s="395">
        <v>7696.72</v>
      </c>
      <c r="Z560" s="396">
        <v>-2481872</v>
      </c>
      <c r="AA560" s="396">
        <v>202089</v>
      </c>
      <c r="AB560" s="396">
        <v>-141498</v>
      </c>
      <c r="AC560" s="396">
        <v>10207916</v>
      </c>
    </row>
    <row r="561" spans="1:29">
      <c r="A561">
        <v>3511</v>
      </c>
      <c r="B561" s="395" t="s">
        <v>7447</v>
      </c>
      <c r="C561" s="395"/>
      <c r="D561" s="396">
        <v>202079</v>
      </c>
      <c r="E561" s="396">
        <v>290396</v>
      </c>
      <c r="F561" s="395">
        <v>3.29</v>
      </c>
      <c r="G561" s="396">
        <v>-88317</v>
      </c>
      <c r="H561" s="396">
        <v>38546</v>
      </c>
      <c r="I561" s="396">
        <v>1149238</v>
      </c>
      <c r="J561" s="395">
        <v>254</v>
      </c>
      <c r="K561" s="395">
        <v>196</v>
      </c>
      <c r="L561" s="397">
        <v>0.77170000000000005</v>
      </c>
      <c r="M561" s="395">
        <v>58</v>
      </c>
      <c r="N561" s="395">
        <v>796</v>
      </c>
      <c r="O561" s="396">
        <v>1482</v>
      </c>
      <c r="P561" s="395">
        <v>0.97</v>
      </c>
      <c r="Q561" s="396">
        <v>-1523</v>
      </c>
      <c r="R561" s="396">
        <v>8329</v>
      </c>
      <c r="S561" s="396">
        <v>-6050</v>
      </c>
      <c r="T561" s="396">
        <v>276218</v>
      </c>
      <c r="U561" s="396">
        <v>-82023</v>
      </c>
      <c r="V561" s="395">
        <v>2094.86</v>
      </c>
      <c r="W561" s="395">
        <v>1539.92</v>
      </c>
      <c r="X561" s="395">
        <v>77220</v>
      </c>
      <c r="Y561" s="395">
        <v>3970.17</v>
      </c>
      <c r="Z561" s="396">
        <v>1669868</v>
      </c>
      <c r="AA561" s="396">
        <v>202079</v>
      </c>
      <c r="AB561" s="396">
        <v>12824933</v>
      </c>
      <c r="AC561" s="396">
        <v>10207916</v>
      </c>
    </row>
    <row r="562" spans="1:29">
      <c r="A562">
        <v>2355</v>
      </c>
      <c r="B562" s="395" t="s">
        <v>7004</v>
      </c>
      <c r="C562" s="395"/>
      <c r="D562" s="396">
        <v>201849</v>
      </c>
      <c r="E562" s="396">
        <v>277331</v>
      </c>
      <c r="F562" s="395">
        <v>3.67</v>
      </c>
      <c r="G562" s="396">
        <v>-75483</v>
      </c>
      <c r="H562" s="396">
        <v>34696</v>
      </c>
      <c r="I562" s="396">
        <v>1057642</v>
      </c>
      <c r="J562" s="395">
        <v>259</v>
      </c>
      <c r="K562" s="395">
        <v>210</v>
      </c>
      <c r="L562" s="397">
        <v>0.81079999999999997</v>
      </c>
      <c r="M562" s="395">
        <v>49</v>
      </c>
      <c r="N562" s="395">
        <v>779</v>
      </c>
      <c r="O562" s="396">
        <v>1321</v>
      </c>
      <c r="P562" s="395">
        <v>0.86</v>
      </c>
      <c r="Q562" s="396">
        <v>-1540</v>
      </c>
      <c r="R562" s="396">
        <v>7140</v>
      </c>
      <c r="S562" s="396">
        <v>-5886</v>
      </c>
      <c r="T562" s="396">
        <v>280534</v>
      </c>
      <c r="U562" s="396">
        <v>-120784</v>
      </c>
      <c r="V562" s="395">
        <v>2945.43</v>
      </c>
      <c r="W562" s="395">
        <v>2141.33</v>
      </c>
      <c r="X562" s="395">
        <v>77490</v>
      </c>
      <c r="Y562" s="395">
        <v>6391.59</v>
      </c>
      <c r="Z562" s="396">
        <v>-8963920</v>
      </c>
      <c r="AA562" s="396">
        <v>201849</v>
      </c>
      <c r="AB562" s="396">
        <v>4318308</v>
      </c>
      <c r="AC562" s="396">
        <v>10207916</v>
      </c>
    </row>
    <row r="563" spans="1:29">
      <c r="A563">
        <v>3048</v>
      </c>
      <c r="B563" s="395" t="s">
        <v>7286</v>
      </c>
      <c r="C563" s="395"/>
      <c r="D563" s="396">
        <v>201791</v>
      </c>
      <c r="E563" s="396">
        <v>257171</v>
      </c>
      <c r="F563" s="395">
        <v>4.6399999999999997</v>
      </c>
      <c r="G563" s="396">
        <v>-55380</v>
      </c>
      <c r="H563" s="396">
        <v>35351</v>
      </c>
      <c r="I563" s="396">
        <v>1558549</v>
      </c>
      <c r="J563" s="395">
        <v>268</v>
      </c>
      <c r="K563" s="395">
        <v>221</v>
      </c>
      <c r="L563" s="397">
        <v>0.8246</v>
      </c>
      <c r="M563" s="395">
        <v>47</v>
      </c>
      <c r="N563" s="395">
        <v>753</v>
      </c>
      <c r="O563" s="396">
        <v>1164</v>
      </c>
      <c r="P563" s="395">
        <v>0.99</v>
      </c>
      <c r="Q563" s="396">
        <v>-1178</v>
      </c>
      <c r="R563" s="396">
        <v>6470</v>
      </c>
      <c r="S563" s="396">
        <v>-3599</v>
      </c>
      <c r="T563" s="396">
        <v>283358</v>
      </c>
      <c r="U563" s="396">
        <v>-101882</v>
      </c>
      <c r="V563" s="395">
        <v>3203.04</v>
      </c>
      <c r="W563" s="395">
        <v>2576.4299999999998</v>
      </c>
      <c r="X563" s="395">
        <v>77220</v>
      </c>
      <c r="Y563" s="395">
        <v>6149.45</v>
      </c>
      <c r="Z563" s="396">
        <v>16098622</v>
      </c>
      <c r="AA563" s="396">
        <v>201791</v>
      </c>
      <c r="AB563" s="396">
        <v>36580491</v>
      </c>
      <c r="AC563" s="396">
        <v>10207916</v>
      </c>
    </row>
    <row r="564" spans="1:29">
      <c r="A564">
        <v>9937</v>
      </c>
      <c r="B564" s="395" t="s">
        <v>8416</v>
      </c>
      <c r="C564" s="395"/>
      <c r="D564" s="396">
        <v>201367</v>
      </c>
      <c r="E564" s="396">
        <v>216230</v>
      </c>
      <c r="F564" s="395">
        <v>14.55</v>
      </c>
      <c r="G564" s="396">
        <v>-14862</v>
      </c>
      <c r="H564" s="396">
        <v>35148</v>
      </c>
      <c r="I564" s="396">
        <v>8420626</v>
      </c>
      <c r="J564" s="395">
        <v>176</v>
      </c>
      <c r="K564" s="395">
        <v>141</v>
      </c>
      <c r="L564" s="397">
        <v>0.80110000000000003</v>
      </c>
      <c r="M564" s="395">
        <v>35</v>
      </c>
      <c r="N564" s="396">
        <v>1144</v>
      </c>
      <c r="O564" s="396">
        <v>1534</v>
      </c>
      <c r="P564" s="395">
        <v>3.61</v>
      </c>
      <c r="Q564" s="395">
        <v>-425</v>
      </c>
      <c r="R564" s="396">
        <v>4859</v>
      </c>
      <c r="S564" s="396">
        <v>-1103</v>
      </c>
      <c r="T564" s="396">
        <v>593159</v>
      </c>
      <c r="U564" s="396">
        <v>-272699</v>
      </c>
      <c r="V564" s="395">
        <v>38761.800000000003</v>
      </c>
      <c r="W564" s="395">
        <v>39602.230000000003</v>
      </c>
      <c r="X564" s="395">
        <v>76680</v>
      </c>
      <c r="Y564" s="395">
        <v>35376.06</v>
      </c>
      <c r="Z564" s="396">
        <v>546232</v>
      </c>
      <c r="AA564" s="396">
        <v>201367</v>
      </c>
      <c r="AB564" s="396">
        <v>993156</v>
      </c>
      <c r="AC564" s="396">
        <v>10207916</v>
      </c>
    </row>
    <row r="565" spans="1:29">
      <c r="A565">
        <v>2926</v>
      </c>
      <c r="B565" s="395" t="s">
        <v>7238</v>
      </c>
      <c r="C565" s="395"/>
      <c r="D565" s="396">
        <v>201007</v>
      </c>
      <c r="E565" s="396">
        <v>362032</v>
      </c>
      <c r="F565" s="395">
        <v>2.25</v>
      </c>
      <c r="G565" s="396">
        <v>-161025</v>
      </c>
      <c r="H565" s="396">
        <v>35525</v>
      </c>
      <c r="I565" s="396">
        <v>5372387</v>
      </c>
      <c r="J565" s="395">
        <v>139</v>
      </c>
      <c r="K565" s="395">
        <v>116</v>
      </c>
      <c r="L565" s="397">
        <v>0.83450000000000002</v>
      </c>
      <c r="M565" s="395">
        <v>23</v>
      </c>
      <c r="N565" s="396">
        <v>1446</v>
      </c>
      <c r="O565" s="396">
        <v>3121</v>
      </c>
      <c r="P565" s="395">
        <v>0.45</v>
      </c>
      <c r="Q565" s="396">
        <v>-7001</v>
      </c>
      <c r="R565" s="396">
        <v>8969</v>
      </c>
      <c r="S565" s="396">
        <v>-13441</v>
      </c>
      <c r="T565" s="396">
        <v>812564</v>
      </c>
      <c r="U565" s="396">
        <v>-643045</v>
      </c>
      <c r="V565" s="395">
        <v>13584.01</v>
      </c>
      <c r="W565" s="395">
        <v>10512.46</v>
      </c>
      <c r="X565" s="395">
        <v>77220</v>
      </c>
      <c r="Y565" s="395">
        <v>29075.3</v>
      </c>
      <c r="Z565" s="396">
        <v>-7370818</v>
      </c>
      <c r="AA565" s="396">
        <v>201007</v>
      </c>
      <c r="AB565" s="396">
        <v>-12308116</v>
      </c>
      <c r="AC565" s="396">
        <v>10207916</v>
      </c>
    </row>
    <row r="566" spans="1:29">
      <c r="A566">
        <v>5201</v>
      </c>
      <c r="B566" s="395" t="s">
        <v>7759</v>
      </c>
      <c r="C566" s="395"/>
      <c r="D566" s="396">
        <v>200861</v>
      </c>
      <c r="E566" s="396">
        <v>294344</v>
      </c>
      <c r="F566" s="395">
        <v>3.15</v>
      </c>
      <c r="G566" s="396">
        <v>-93483</v>
      </c>
      <c r="H566" s="396">
        <v>23922</v>
      </c>
      <c r="I566" s="396">
        <v>4123098</v>
      </c>
      <c r="J566" s="395">
        <v>194</v>
      </c>
      <c r="K566" s="395">
        <v>147</v>
      </c>
      <c r="L566" s="397">
        <v>0.75770000000000004</v>
      </c>
      <c r="M566" s="395">
        <v>47</v>
      </c>
      <c r="N566" s="396">
        <v>1035</v>
      </c>
      <c r="O566" s="396">
        <v>2002</v>
      </c>
      <c r="P566" s="395">
        <v>1.01</v>
      </c>
      <c r="Q566" s="396">
        <v>-1989</v>
      </c>
      <c r="R566" s="396">
        <v>4189</v>
      </c>
      <c r="S566" s="396">
        <v>-5058</v>
      </c>
      <c r="T566" s="396">
        <v>565253</v>
      </c>
      <c r="U566" s="396">
        <v>-384108</v>
      </c>
      <c r="V566" s="395">
        <v>22113.66</v>
      </c>
      <c r="W566" s="395">
        <v>14156.76</v>
      </c>
      <c r="X566" s="395">
        <v>77220</v>
      </c>
      <c r="Y566" s="395">
        <v>47000.17</v>
      </c>
      <c r="Z566" s="396">
        <v>-2166501</v>
      </c>
      <c r="AA566" s="396">
        <v>200861</v>
      </c>
      <c r="AB566" s="396">
        <v>325876</v>
      </c>
      <c r="AC566" s="396">
        <v>10207916</v>
      </c>
    </row>
    <row r="567" spans="1:29">
      <c r="A567">
        <v>2425</v>
      </c>
      <c r="B567" s="395" t="s">
        <v>7053</v>
      </c>
      <c r="C567" s="395"/>
      <c r="D567" s="396">
        <v>200617</v>
      </c>
      <c r="E567" s="396">
        <v>431518</v>
      </c>
      <c r="F567" s="395">
        <v>1.87</v>
      </c>
      <c r="G567" s="396">
        <v>-230901</v>
      </c>
      <c r="H567" s="396">
        <v>31221</v>
      </c>
      <c r="I567" s="396">
        <v>4822920</v>
      </c>
      <c r="J567" s="395">
        <v>264</v>
      </c>
      <c r="K567" s="395">
        <v>197</v>
      </c>
      <c r="L567" s="397">
        <v>0.74619999999999997</v>
      </c>
      <c r="M567" s="395">
        <v>67</v>
      </c>
      <c r="N567" s="395">
        <v>760</v>
      </c>
      <c r="O567" s="396">
        <v>2190</v>
      </c>
      <c r="P567" s="395">
        <v>0.64</v>
      </c>
      <c r="Q567" s="396">
        <v>-3446</v>
      </c>
      <c r="R567" s="396">
        <v>6343</v>
      </c>
      <c r="S567" s="396">
        <v>-11044</v>
      </c>
      <c r="T567" s="396">
        <v>951568</v>
      </c>
      <c r="U567" s="396">
        <v>-738008</v>
      </c>
      <c r="V567" s="395">
        <v>16550.11</v>
      </c>
      <c r="W567" s="395">
        <v>12789.5</v>
      </c>
      <c r="X567" s="395">
        <v>77490</v>
      </c>
      <c r="Y567" s="395">
        <v>27607.4</v>
      </c>
      <c r="Z567" s="396">
        <v>-14604684</v>
      </c>
      <c r="AA567" s="396">
        <v>200617</v>
      </c>
      <c r="AB567" s="396">
        <v>-5762440</v>
      </c>
      <c r="AC567" s="396">
        <v>10207916</v>
      </c>
    </row>
    <row r="568" spans="1:29">
      <c r="A568">
        <v>5258</v>
      </c>
      <c r="B568" s="395" t="s">
        <v>7782</v>
      </c>
      <c r="C568" s="395"/>
      <c r="D568" s="396">
        <v>200360</v>
      </c>
      <c r="E568" s="396">
        <v>267344</v>
      </c>
      <c r="F568" s="395">
        <v>3.99</v>
      </c>
      <c r="G568" s="396">
        <v>-66984</v>
      </c>
      <c r="H568" s="396">
        <v>29540</v>
      </c>
      <c r="I568" s="396">
        <v>1070867</v>
      </c>
      <c r="J568" s="395">
        <v>257</v>
      </c>
      <c r="K568" s="395">
        <v>215</v>
      </c>
      <c r="L568" s="397">
        <v>0.83660000000000001</v>
      </c>
      <c r="M568" s="395">
        <v>42</v>
      </c>
      <c r="N568" s="395">
        <v>780</v>
      </c>
      <c r="O568" s="396">
        <v>1243</v>
      </c>
      <c r="P568" s="395">
        <v>0.78</v>
      </c>
      <c r="Q568" s="396">
        <v>-1595</v>
      </c>
      <c r="R568" s="396">
        <v>5409</v>
      </c>
      <c r="S568" s="396">
        <v>-6367</v>
      </c>
      <c r="T568" s="396">
        <v>250499</v>
      </c>
      <c r="U568" s="396">
        <v>-76170</v>
      </c>
      <c r="V568" s="395">
        <v>2708.74</v>
      </c>
      <c r="W568" s="395">
        <v>2162.66</v>
      </c>
      <c r="X568" s="395">
        <v>77490</v>
      </c>
      <c r="Y568" s="395">
        <v>5504.14</v>
      </c>
      <c r="Z568" s="396">
        <v>-5231009</v>
      </c>
      <c r="AA568" s="396">
        <v>200360</v>
      </c>
      <c r="AB568" s="396">
        <v>35304412</v>
      </c>
      <c r="AC568" s="396">
        <v>10207916</v>
      </c>
    </row>
    <row r="569" spans="1:29">
      <c r="A569">
        <v>1710</v>
      </c>
      <c r="B569" s="395" t="s">
        <v>6851</v>
      </c>
      <c r="C569" s="395"/>
      <c r="D569" s="396">
        <v>199523</v>
      </c>
      <c r="E569" s="396">
        <v>225518</v>
      </c>
      <c r="F569" s="395">
        <v>8.68</v>
      </c>
      <c r="G569" s="396">
        <v>-25995</v>
      </c>
      <c r="H569" s="396">
        <v>23377</v>
      </c>
      <c r="I569" s="396">
        <v>1064735</v>
      </c>
      <c r="J569" s="395">
        <v>263</v>
      </c>
      <c r="K569" s="395">
        <v>220</v>
      </c>
      <c r="L569" s="397">
        <v>0.83650000000000002</v>
      </c>
      <c r="M569" s="395">
        <v>43</v>
      </c>
      <c r="N569" s="395">
        <v>759</v>
      </c>
      <c r="O569" s="396">
        <v>1025</v>
      </c>
      <c r="P569" s="395">
        <v>1.69</v>
      </c>
      <c r="Q569" s="395">
        <v>-605</v>
      </c>
      <c r="R569" s="396">
        <v>3811</v>
      </c>
      <c r="S569" s="396">
        <v>-3493</v>
      </c>
      <c r="T569" s="396">
        <v>221383</v>
      </c>
      <c r="U569" s="396">
        <v>-112930</v>
      </c>
      <c r="V569" s="395">
        <v>3116.4</v>
      </c>
      <c r="W569" s="395">
        <v>2711.49</v>
      </c>
      <c r="X569" s="395">
        <v>77490</v>
      </c>
      <c r="Y569" s="395">
        <v>5188.05</v>
      </c>
      <c r="Z569" s="396">
        <v>1587793</v>
      </c>
      <c r="AA569" s="396">
        <v>199523</v>
      </c>
      <c r="AB569" s="396">
        <v>4402913</v>
      </c>
      <c r="AC569" s="396">
        <v>10207916</v>
      </c>
    </row>
    <row r="570" spans="1:29">
      <c r="A570">
        <v>1342</v>
      </c>
      <c r="B570" s="395" t="s">
        <v>6733</v>
      </c>
      <c r="C570" s="395"/>
      <c r="D570" s="396">
        <v>199034</v>
      </c>
      <c r="E570" s="396">
        <v>281666</v>
      </c>
      <c r="F570" s="395">
        <v>3.41</v>
      </c>
      <c r="G570" s="396">
        <v>-82632</v>
      </c>
      <c r="H570" s="396">
        <v>47794</v>
      </c>
      <c r="I570" s="396">
        <v>2712745</v>
      </c>
      <c r="J570" s="395">
        <v>207</v>
      </c>
      <c r="K570" s="395">
        <v>151</v>
      </c>
      <c r="L570" s="397">
        <v>0.72950000000000004</v>
      </c>
      <c r="M570" s="395">
        <v>56</v>
      </c>
      <c r="N570" s="395">
        <v>962</v>
      </c>
      <c r="O570" s="396">
        <v>1865</v>
      </c>
      <c r="P570" s="395">
        <v>1.26</v>
      </c>
      <c r="Q570" s="396">
        <v>-1476</v>
      </c>
      <c r="R570" s="396">
        <v>8331</v>
      </c>
      <c r="S570" s="396">
        <v>-5783</v>
      </c>
      <c r="T570" s="396">
        <v>269159</v>
      </c>
      <c r="U570" s="396">
        <v>-130341</v>
      </c>
      <c r="V570" s="395">
        <v>4123.05</v>
      </c>
      <c r="W570" s="395">
        <v>2814.2</v>
      </c>
      <c r="X570" s="395">
        <v>77490</v>
      </c>
      <c r="Y570" s="395">
        <v>7652.27</v>
      </c>
      <c r="Z570" s="396">
        <v>-737665</v>
      </c>
      <c r="AA570" s="396">
        <v>199034</v>
      </c>
      <c r="AB570" s="396">
        <v>3411008</v>
      </c>
      <c r="AC570" s="396">
        <v>10207916</v>
      </c>
    </row>
    <row r="571" spans="1:29">
      <c r="A571">
        <v>3537</v>
      </c>
      <c r="B571" s="395" t="s">
        <v>7466</v>
      </c>
      <c r="C571" s="395"/>
      <c r="D571" s="396">
        <v>198957</v>
      </c>
      <c r="E571" s="396">
        <v>222599</v>
      </c>
      <c r="F571" s="395">
        <v>9.42</v>
      </c>
      <c r="G571" s="396">
        <v>-23642</v>
      </c>
      <c r="H571" s="396">
        <v>34139</v>
      </c>
      <c r="I571" s="396">
        <v>1763213</v>
      </c>
      <c r="J571" s="395">
        <v>226</v>
      </c>
      <c r="K571" s="395">
        <v>193</v>
      </c>
      <c r="L571" s="397">
        <v>0.85399999999999998</v>
      </c>
      <c r="M571" s="395">
        <v>32</v>
      </c>
      <c r="N571" s="395">
        <v>880</v>
      </c>
      <c r="O571" s="396">
        <v>1153</v>
      </c>
      <c r="P571" s="395">
        <v>1.56</v>
      </c>
      <c r="Q571" s="395">
        <v>-739</v>
      </c>
      <c r="R571" s="396">
        <v>3413</v>
      </c>
      <c r="S571" s="396">
        <v>-5414</v>
      </c>
      <c r="T571" s="396">
        <v>207290</v>
      </c>
      <c r="U571" s="396">
        <v>-102823</v>
      </c>
      <c r="V571" s="395">
        <v>4476.8900000000003</v>
      </c>
      <c r="W571" s="395">
        <v>3288.45</v>
      </c>
      <c r="X571" s="395">
        <v>77490</v>
      </c>
      <c r="Y571" s="395">
        <v>11636.56</v>
      </c>
      <c r="Z571" s="396">
        <v>2091472</v>
      </c>
      <c r="AA571" s="396">
        <v>198957</v>
      </c>
      <c r="AB571" s="396">
        <v>11346625</v>
      </c>
      <c r="AC571" s="396">
        <v>10207916</v>
      </c>
    </row>
    <row r="572" spans="1:29">
      <c r="A572">
        <v>2030</v>
      </c>
      <c r="B572" s="395" t="s">
        <v>6924</v>
      </c>
      <c r="C572" s="395"/>
      <c r="D572" s="396">
        <v>198639</v>
      </c>
      <c r="E572" s="396">
        <v>267131</v>
      </c>
      <c r="F572" s="395">
        <v>3.9</v>
      </c>
      <c r="G572" s="396">
        <v>-68492</v>
      </c>
      <c r="H572" s="396">
        <v>29980</v>
      </c>
      <c r="I572" s="396">
        <v>1023985</v>
      </c>
      <c r="J572" s="395">
        <v>277</v>
      </c>
      <c r="K572" s="395">
        <v>224</v>
      </c>
      <c r="L572" s="397">
        <v>0.80869999999999997</v>
      </c>
      <c r="M572" s="395">
        <v>53</v>
      </c>
      <c r="N572" s="395">
        <v>717</v>
      </c>
      <c r="O572" s="396">
        <v>1193</v>
      </c>
      <c r="P572" s="395">
        <v>0.92</v>
      </c>
      <c r="Q572" s="396">
        <v>-1292</v>
      </c>
      <c r="R572" s="396">
        <v>6259</v>
      </c>
      <c r="S572" s="396">
        <v>-6166</v>
      </c>
      <c r="T572" s="396">
        <v>222533</v>
      </c>
      <c r="U572" s="396">
        <v>-121659</v>
      </c>
      <c r="V572" s="395">
        <v>1975.69</v>
      </c>
      <c r="W572" s="395">
        <v>1322.98</v>
      </c>
      <c r="X572" s="395">
        <v>77490</v>
      </c>
      <c r="Y572" s="395">
        <v>4734.28</v>
      </c>
      <c r="Z572" s="396">
        <v>21140304</v>
      </c>
      <c r="AA572" s="396">
        <v>198639</v>
      </c>
      <c r="AB572" s="396">
        <v>67324908</v>
      </c>
      <c r="AC572" s="396">
        <v>10207916</v>
      </c>
    </row>
    <row r="573" spans="1:29">
      <c r="A573">
        <v>4933</v>
      </c>
      <c r="B573" s="395" t="s">
        <v>7718</v>
      </c>
      <c r="C573" s="395"/>
      <c r="D573" s="396">
        <v>198446</v>
      </c>
      <c r="E573" s="396">
        <v>275400</v>
      </c>
      <c r="F573" s="395">
        <v>3.58</v>
      </c>
      <c r="G573" s="396">
        <v>-76954</v>
      </c>
      <c r="H573" s="396">
        <v>34271</v>
      </c>
      <c r="I573" s="396">
        <v>1602203</v>
      </c>
      <c r="J573" s="395">
        <v>217</v>
      </c>
      <c r="K573" s="395">
        <v>154</v>
      </c>
      <c r="L573" s="397">
        <v>0.7097</v>
      </c>
      <c r="M573" s="395">
        <v>61</v>
      </c>
      <c r="N573" s="395">
        <v>914</v>
      </c>
      <c r="O573" s="396">
        <v>1788</v>
      </c>
      <c r="P573" s="395">
        <v>1.42</v>
      </c>
      <c r="Q573" s="396">
        <v>-1262</v>
      </c>
      <c r="R573" s="396">
        <v>6746</v>
      </c>
      <c r="S573" s="396">
        <v>-6480</v>
      </c>
      <c r="T573" s="396">
        <v>276179</v>
      </c>
      <c r="U573" s="396">
        <v>-192525</v>
      </c>
      <c r="V573" s="395">
        <v>5572.18</v>
      </c>
      <c r="W573" s="395">
        <v>3520.6</v>
      </c>
      <c r="X573" s="395">
        <v>77490</v>
      </c>
      <c r="Y573" s="395">
        <v>10572.28</v>
      </c>
      <c r="Z573" s="396">
        <v>-7609958</v>
      </c>
      <c r="AA573" s="396">
        <v>198446</v>
      </c>
      <c r="AB573" s="396">
        <v>-1615704</v>
      </c>
      <c r="AC573" s="396">
        <v>10207916</v>
      </c>
    </row>
    <row r="574" spans="1:29">
      <c r="A574">
        <v>5011</v>
      </c>
      <c r="B574" s="395" t="s">
        <v>7753</v>
      </c>
      <c r="C574" s="395"/>
      <c r="D574" s="396">
        <v>198343</v>
      </c>
      <c r="E574" s="396">
        <v>244028</v>
      </c>
      <c r="F574" s="395">
        <v>5.34</v>
      </c>
      <c r="G574" s="396">
        <v>-45685</v>
      </c>
      <c r="H574" s="396">
        <v>31457</v>
      </c>
      <c r="I574" s="396">
        <v>431053</v>
      </c>
      <c r="J574" s="395">
        <v>239</v>
      </c>
      <c r="K574" s="395">
        <v>196</v>
      </c>
      <c r="L574" s="397">
        <v>0.82010000000000005</v>
      </c>
      <c r="M574" s="395">
        <v>43</v>
      </c>
      <c r="N574" s="395">
        <v>830</v>
      </c>
      <c r="O574" s="396">
        <v>1245</v>
      </c>
      <c r="P574" s="395">
        <v>1.17</v>
      </c>
      <c r="Q574" s="396">
        <v>-1062</v>
      </c>
      <c r="R574" s="396">
        <v>3297</v>
      </c>
      <c r="S574" s="396">
        <v>-4200</v>
      </c>
      <c r="T574" s="396">
        <v>218496</v>
      </c>
      <c r="U574" s="396">
        <v>-30839</v>
      </c>
      <c r="V574" s="395">
        <v>1179.3399999999999</v>
      </c>
      <c r="W574" s="395">
        <v>806.19</v>
      </c>
      <c r="X574" s="395">
        <v>77490</v>
      </c>
      <c r="Y574" s="395">
        <v>2880.21</v>
      </c>
      <c r="Z574" s="396">
        <v>6268196</v>
      </c>
      <c r="AA574" s="396">
        <v>198343</v>
      </c>
      <c r="AB574" s="396">
        <v>-639798</v>
      </c>
      <c r="AC574" s="396">
        <v>10207916</v>
      </c>
    </row>
    <row r="575" spans="1:29">
      <c r="A575">
        <v>2535</v>
      </c>
      <c r="B575" s="395" t="s">
        <v>7124</v>
      </c>
      <c r="C575" s="395"/>
      <c r="D575" s="396">
        <v>198329</v>
      </c>
      <c r="E575" s="396">
        <v>224337</v>
      </c>
      <c r="F575" s="395">
        <v>8.6300000000000008</v>
      </c>
      <c r="G575" s="396">
        <v>-26008</v>
      </c>
      <c r="H575" s="396">
        <v>33899</v>
      </c>
      <c r="I575" s="396">
        <v>2284709</v>
      </c>
      <c r="J575" s="395">
        <v>267</v>
      </c>
      <c r="K575" s="395">
        <v>238</v>
      </c>
      <c r="L575" s="397">
        <v>0.89139999999999997</v>
      </c>
      <c r="M575" s="395">
        <v>29</v>
      </c>
      <c r="N575" s="395">
        <v>743</v>
      </c>
      <c r="O575" s="395">
        <v>943</v>
      </c>
      <c r="P575" s="395">
        <v>1.05</v>
      </c>
      <c r="Q575" s="395">
        <v>-897</v>
      </c>
      <c r="R575" s="396">
        <v>3918</v>
      </c>
      <c r="S575" s="396">
        <v>-2244</v>
      </c>
      <c r="T575" s="396">
        <v>228673</v>
      </c>
      <c r="U575" s="396">
        <v>-84476</v>
      </c>
      <c r="V575" s="395">
        <v>6719.88</v>
      </c>
      <c r="W575" s="395">
        <v>6136.05</v>
      </c>
      <c r="X575" s="395">
        <v>77490</v>
      </c>
      <c r="Y575" s="395">
        <v>11511.34</v>
      </c>
      <c r="Z575" s="396">
        <v>3924140</v>
      </c>
      <c r="AA575" s="396">
        <v>198329</v>
      </c>
      <c r="AB575" s="396">
        <v>18724079</v>
      </c>
      <c r="AC575" s="396">
        <v>10207916</v>
      </c>
    </row>
    <row r="576" spans="1:29">
      <c r="A576">
        <v>2851</v>
      </c>
      <c r="B576" s="395" t="s">
        <v>7206</v>
      </c>
      <c r="C576" s="395"/>
      <c r="D576" s="396">
        <v>197748</v>
      </c>
      <c r="E576" s="396">
        <v>233809</v>
      </c>
      <c r="F576" s="395">
        <v>6.48</v>
      </c>
      <c r="G576" s="396">
        <v>-36060</v>
      </c>
      <c r="H576" s="396">
        <v>28982</v>
      </c>
      <c r="I576" s="396">
        <v>2427484</v>
      </c>
      <c r="J576" s="395">
        <v>263</v>
      </c>
      <c r="K576" s="395">
        <v>240</v>
      </c>
      <c r="L576" s="397">
        <v>0.91249999999999998</v>
      </c>
      <c r="M576" s="395">
        <v>23</v>
      </c>
      <c r="N576" s="395">
        <v>752</v>
      </c>
      <c r="O576" s="395">
        <v>974</v>
      </c>
      <c r="P576" s="395">
        <v>0.62</v>
      </c>
      <c r="Q576" s="396">
        <v>-1568</v>
      </c>
      <c r="R576" s="396">
        <v>3339</v>
      </c>
      <c r="S576" s="396">
        <v>-10602</v>
      </c>
      <c r="T576" s="396">
        <v>258804</v>
      </c>
      <c r="U576" s="396">
        <v>-125305</v>
      </c>
      <c r="V576" s="395">
        <v>6368.26</v>
      </c>
      <c r="W576" s="395">
        <v>5744.11</v>
      </c>
      <c r="X576" s="395">
        <v>77490</v>
      </c>
      <c r="Y576" s="395">
        <v>12881.17</v>
      </c>
      <c r="Z576" s="396">
        <v>-7892568</v>
      </c>
      <c r="AA576" s="396">
        <v>197748</v>
      </c>
      <c r="AB576" s="396">
        <v>17795537</v>
      </c>
      <c r="AC576" s="396">
        <v>10207916</v>
      </c>
    </row>
    <row r="577" spans="1:29">
      <c r="A577">
        <v>4946</v>
      </c>
      <c r="B577" s="395" t="s">
        <v>7727</v>
      </c>
      <c r="C577" s="395"/>
      <c r="D577" s="396">
        <v>196544</v>
      </c>
      <c r="E577" s="396">
        <v>316501</v>
      </c>
      <c r="F577" s="395">
        <v>2.64</v>
      </c>
      <c r="G577" s="396">
        <v>-119957</v>
      </c>
      <c r="H577" s="396">
        <v>26806</v>
      </c>
      <c r="I577" s="396">
        <v>987477</v>
      </c>
      <c r="J577" s="395">
        <v>139</v>
      </c>
      <c r="K577" s="395">
        <v>100</v>
      </c>
      <c r="L577" s="397">
        <v>0.71940000000000004</v>
      </c>
      <c r="M577" s="395">
        <v>39</v>
      </c>
      <c r="N577" s="396">
        <v>1414</v>
      </c>
      <c r="O577" s="396">
        <v>3165</v>
      </c>
      <c r="P577" s="395">
        <v>1.03</v>
      </c>
      <c r="Q577" s="396">
        <v>-3076</v>
      </c>
      <c r="R577" s="396">
        <v>19648</v>
      </c>
      <c r="S577" s="396">
        <v>-21635</v>
      </c>
      <c r="T577" s="396">
        <v>381484</v>
      </c>
      <c r="U577" s="396">
        <v>-247405</v>
      </c>
      <c r="V577" s="395">
        <v>5453.62</v>
      </c>
      <c r="W577" s="395">
        <v>2188.2399999999998</v>
      </c>
      <c r="X577" s="395">
        <v>77220</v>
      </c>
      <c r="Y577" s="395">
        <v>13826.38</v>
      </c>
      <c r="Z577" s="396">
        <v>25747187</v>
      </c>
      <c r="AA577" s="396">
        <v>196544</v>
      </c>
      <c r="AB577" s="396">
        <v>44322055</v>
      </c>
      <c r="AC577" s="396">
        <v>10207916</v>
      </c>
    </row>
    <row r="578" spans="1:29">
      <c r="A578">
        <v>8104</v>
      </c>
      <c r="B578" s="395" t="s">
        <v>8275</v>
      </c>
      <c r="C578" s="395"/>
      <c r="D578" s="396">
        <v>195976</v>
      </c>
      <c r="E578" s="396">
        <v>392665</v>
      </c>
      <c r="F578" s="395">
        <v>2</v>
      </c>
      <c r="G578" s="396">
        <v>-196690</v>
      </c>
      <c r="H578" s="396">
        <v>56261</v>
      </c>
      <c r="I578" s="396">
        <v>2601355</v>
      </c>
      <c r="J578" s="395">
        <v>247</v>
      </c>
      <c r="K578" s="395">
        <v>192</v>
      </c>
      <c r="L578" s="397">
        <v>0.77729999999999999</v>
      </c>
      <c r="M578" s="395">
        <v>55</v>
      </c>
      <c r="N578" s="395">
        <v>793</v>
      </c>
      <c r="O578" s="396">
        <v>2045</v>
      </c>
      <c r="P578" s="395">
        <v>0.56999999999999995</v>
      </c>
      <c r="Q578" s="396">
        <v>-3576</v>
      </c>
      <c r="R578" s="396">
        <v>9313</v>
      </c>
      <c r="S578" s="396">
        <v>-15895</v>
      </c>
      <c r="T578" s="396">
        <v>368220</v>
      </c>
      <c r="U578" s="396">
        <v>-223074</v>
      </c>
      <c r="V578" s="395">
        <v>3665.46</v>
      </c>
      <c r="W578" s="395">
        <v>2989.86</v>
      </c>
      <c r="X578" s="395">
        <v>77490</v>
      </c>
      <c r="Y578" s="395">
        <v>6023.91</v>
      </c>
      <c r="Z578" s="396">
        <v>-4391575</v>
      </c>
      <c r="AA578" s="396">
        <v>195976</v>
      </c>
      <c r="AB578" s="396">
        <v>13546804</v>
      </c>
      <c r="AC578" s="396">
        <v>10207916</v>
      </c>
    </row>
    <row r="579" spans="1:29">
      <c r="A579">
        <v>1402</v>
      </c>
      <c r="B579" s="395" t="s">
        <v>6734</v>
      </c>
      <c r="C579" s="395"/>
      <c r="D579" s="396">
        <v>195814</v>
      </c>
      <c r="E579" s="396">
        <v>215925</v>
      </c>
      <c r="F579" s="395">
        <v>10.74</v>
      </c>
      <c r="G579" s="396">
        <v>-20111</v>
      </c>
      <c r="H579" s="396">
        <v>34019</v>
      </c>
      <c r="I579" s="396">
        <v>4066929</v>
      </c>
      <c r="J579" s="395">
        <v>281</v>
      </c>
      <c r="K579" s="395">
        <v>255</v>
      </c>
      <c r="L579" s="397">
        <v>0.90749999999999997</v>
      </c>
      <c r="M579" s="395">
        <v>26</v>
      </c>
      <c r="N579" s="395">
        <v>697</v>
      </c>
      <c r="O579" s="395">
        <v>847</v>
      </c>
      <c r="P579" s="395">
        <v>1.1000000000000001</v>
      </c>
      <c r="Q579" s="395">
        <v>-773</v>
      </c>
      <c r="R579" s="396">
        <v>2377</v>
      </c>
      <c r="S579" s="396">
        <v>-2583</v>
      </c>
      <c r="T579" s="396">
        <v>273403</v>
      </c>
      <c r="U579" s="396">
        <v>-197264</v>
      </c>
      <c r="V579" s="395">
        <v>11180.37</v>
      </c>
      <c r="W579" s="395">
        <v>10389.15</v>
      </c>
      <c r="X579" s="395">
        <v>77490</v>
      </c>
      <c r="Y579" s="395">
        <v>18940.38</v>
      </c>
      <c r="Z579" s="396">
        <v>-536506</v>
      </c>
      <c r="AA579" s="396">
        <v>195814</v>
      </c>
      <c r="AB579" s="396">
        <v>5038022</v>
      </c>
      <c r="AC579" s="396">
        <v>10207916</v>
      </c>
    </row>
    <row r="580" spans="1:29">
      <c r="A580">
        <v>2616</v>
      </c>
      <c r="B580" s="395" t="s">
        <v>7151</v>
      </c>
      <c r="C580" s="395"/>
      <c r="D580" s="396">
        <v>195261</v>
      </c>
      <c r="E580" s="396">
        <v>203266</v>
      </c>
      <c r="F580" s="395">
        <v>25.39</v>
      </c>
      <c r="G580" s="396">
        <v>-8005</v>
      </c>
      <c r="H580" s="396">
        <v>33014</v>
      </c>
      <c r="I580" s="396">
        <v>2611259</v>
      </c>
      <c r="J580" s="395">
        <v>230</v>
      </c>
      <c r="K580" s="395">
        <v>213</v>
      </c>
      <c r="L580" s="397">
        <v>0.92610000000000003</v>
      </c>
      <c r="M580" s="395">
        <v>17</v>
      </c>
      <c r="N580" s="395">
        <v>849</v>
      </c>
      <c r="O580" s="395">
        <v>954</v>
      </c>
      <c r="P580" s="395">
        <v>2.0299999999999998</v>
      </c>
      <c r="Q580" s="395">
        <v>-471</v>
      </c>
      <c r="R580" s="396">
        <v>3460</v>
      </c>
      <c r="S580" s="396">
        <v>-2052</v>
      </c>
      <c r="T580" s="396">
        <v>207568</v>
      </c>
      <c r="U580" s="396">
        <v>-64889</v>
      </c>
      <c r="V580" s="395">
        <v>7037.2</v>
      </c>
      <c r="W580" s="395">
        <v>6669.02</v>
      </c>
      <c r="X580" s="395">
        <v>77490</v>
      </c>
      <c r="Y580" s="395">
        <v>11650.29</v>
      </c>
      <c r="Z580" s="396">
        <v>7286379</v>
      </c>
      <c r="AA580" s="396">
        <v>195261</v>
      </c>
      <c r="AB580" s="396">
        <v>13201145</v>
      </c>
      <c r="AC580" s="396">
        <v>10207916</v>
      </c>
    </row>
    <row r="581" spans="1:29">
      <c r="A581">
        <v>3624</v>
      </c>
      <c r="B581" s="395" t="s">
        <v>7505</v>
      </c>
      <c r="C581" s="395"/>
      <c r="D581" s="396">
        <v>194647</v>
      </c>
      <c r="E581" s="396">
        <v>359363</v>
      </c>
      <c r="F581" s="395">
        <v>2.1800000000000002</v>
      </c>
      <c r="G581" s="396">
        <v>-164716</v>
      </c>
      <c r="H581" s="396">
        <v>50700</v>
      </c>
      <c r="I581" s="396">
        <v>1350848</v>
      </c>
      <c r="J581" s="395">
        <v>275</v>
      </c>
      <c r="K581" s="395">
        <v>218</v>
      </c>
      <c r="L581" s="397">
        <v>0.79269999999999996</v>
      </c>
      <c r="M581" s="395">
        <v>57</v>
      </c>
      <c r="N581" s="395">
        <v>708</v>
      </c>
      <c r="O581" s="396">
        <v>1648</v>
      </c>
      <c r="P581" s="395">
        <v>0.56999999999999995</v>
      </c>
      <c r="Q581" s="396">
        <v>-2890</v>
      </c>
      <c r="R581" s="396">
        <v>7161</v>
      </c>
      <c r="S581" s="396">
        <v>-14424</v>
      </c>
      <c r="T581" s="396">
        <v>337094</v>
      </c>
      <c r="U581" s="396">
        <v>-213123</v>
      </c>
      <c r="V581" s="395">
        <v>1361.93</v>
      </c>
      <c r="W581" s="395">
        <v>877.34</v>
      </c>
      <c r="X581" s="395">
        <v>77490</v>
      </c>
      <c r="Y581" s="395">
        <v>3215.28</v>
      </c>
      <c r="Z581" s="396">
        <v>1321496</v>
      </c>
      <c r="AA581" s="396">
        <v>194647</v>
      </c>
      <c r="AB581" s="396">
        <v>75449062</v>
      </c>
      <c r="AC581" s="396">
        <v>10207916</v>
      </c>
    </row>
    <row r="582" spans="1:29">
      <c r="A582">
        <v>1615</v>
      </c>
      <c r="B582" s="395" t="s">
        <v>6841</v>
      </c>
      <c r="C582" s="395"/>
      <c r="D582" s="396">
        <v>194637</v>
      </c>
      <c r="E582" s="396">
        <v>229392</v>
      </c>
      <c r="F582" s="395">
        <v>6.6</v>
      </c>
      <c r="G582" s="396">
        <v>-34755</v>
      </c>
      <c r="H582" s="396">
        <v>32412</v>
      </c>
      <c r="I582" s="396">
        <v>1111595</v>
      </c>
      <c r="J582" s="395">
        <v>242</v>
      </c>
      <c r="K582" s="395">
        <v>203</v>
      </c>
      <c r="L582" s="397">
        <v>0.83879999999999999</v>
      </c>
      <c r="M582" s="395">
        <v>39</v>
      </c>
      <c r="N582" s="395">
        <v>804</v>
      </c>
      <c r="O582" s="396">
        <v>1130</v>
      </c>
      <c r="P582" s="395">
        <v>1.27</v>
      </c>
      <c r="Q582" s="395">
        <v>-891</v>
      </c>
      <c r="R582" s="396">
        <v>4415</v>
      </c>
      <c r="S582" s="396">
        <v>-4904</v>
      </c>
      <c r="T582" s="396">
        <v>219565</v>
      </c>
      <c r="U582" s="396">
        <v>-70263</v>
      </c>
      <c r="V582" s="395">
        <v>3460.56</v>
      </c>
      <c r="W582" s="395">
        <v>3063.22</v>
      </c>
      <c r="X582" s="395">
        <v>77490</v>
      </c>
      <c r="Y582" s="395">
        <v>5528.77</v>
      </c>
      <c r="Z582" s="396">
        <v>5513806</v>
      </c>
      <c r="AA582" s="396">
        <v>194637</v>
      </c>
      <c r="AB582" s="396">
        <v>24940065</v>
      </c>
      <c r="AC582" s="396">
        <v>10207916</v>
      </c>
    </row>
    <row r="583" spans="1:29">
      <c r="A583">
        <v>1467</v>
      </c>
      <c r="B583" s="395" t="s">
        <v>6773</v>
      </c>
      <c r="C583" s="395"/>
      <c r="D583" s="396">
        <v>194570</v>
      </c>
      <c r="E583" s="396">
        <v>218846</v>
      </c>
      <c r="F583" s="395">
        <v>9.01</v>
      </c>
      <c r="G583" s="396">
        <v>-24276</v>
      </c>
      <c r="H583" s="396">
        <v>17428</v>
      </c>
      <c r="I583" s="396">
        <v>1840484</v>
      </c>
      <c r="J583" s="395">
        <v>261</v>
      </c>
      <c r="K583" s="395">
        <v>221</v>
      </c>
      <c r="L583" s="397">
        <v>0.84670000000000001</v>
      </c>
      <c r="M583" s="395">
        <v>40</v>
      </c>
      <c r="N583" s="395">
        <v>745</v>
      </c>
      <c r="O583" s="395">
        <v>990</v>
      </c>
      <c r="P583" s="395">
        <v>1.63</v>
      </c>
      <c r="Q583" s="395">
        <v>-607</v>
      </c>
      <c r="R583" s="396">
        <v>2718</v>
      </c>
      <c r="S583" s="396">
        <v>-1941</v>
      </c>
      <c r="T583" s="396">
        <v>320235</v>
      </c>
      <c r="U583" s="396">
        <v>-161634</v>
      </c>
      <c r="V583" s="395">
        <v>8941.98</v>
      </c>
      <c r="W583" s="395">
        <v>7702.51</v>
      </c>
      <c r="X583" s="395">
        <v>77490</v>
      </c>
      <c r="Y583" s="395">
        <v>15790.05</v>
      </c>
      <c r="Z583" s="396">
        <v>1160293</v>
      </c>
      <c r="AA583" s="396">
        <v>194570</v>
      </c>
      <c r="AB583" s="396">
        <v>-11837296</v>
      </c>
      <c r="AC583" s="396">
        <v>10207916</v>
      </c>
    </row>
    <row r="584" spans="1:29">
      <c r="A584">
        <v>4726</v>
      </c>
      <c r="B584" s="395" t="s">
        <v>7677</v>
      </c>
      <c r="C584" s="395"/>
      <c r="D584" s="396">
        <v>194526</v>
      </c>
      <c r="E584" s="396">
        <v>309739</v>
      </c>
      <c r="F584" s="395">
        <v>2.69</v>
      </c>
      <c r="G584" s="396">
        <v>-115213</v>
      </c>
      <c r="H584" s="396">
        <v>35874</v>
      </c>
      <c r="I584" s="396">
        <v>2036326</v>
      </c>
      <c r="J584" s="395">
        <v>226</v>
      </c>
      <c r="K584" s="395">
        <v>166</v>
      </c>
      <c r="L584" s="397">
        <v>0.73450000000000004</v>
      </c>
      <c r="M584" s="395">
        <v>60</v>
      </c>
      <c r="N584" s="395">
        <v>861</v>
      </c>
      <c r="O584" s="396">
        <v>1866</v>
      </c>
      <c r="P584" s="395">
        <v>0.97</v>
      </c>
      <c r="Q584" s="396">
        <v>-1920</v>
      </c>
      <c r="R584" s="396">
        <v>6555</v>
      </c>
      <c r="S584" s="396">
        <v>-7673</v>
      </c>
      <c r="T584" s="396">
        <v>389182</v>
      </c>
      <c r="U584" s="396">
        <v>-292596</v>
      </c>
      <c r="V584" s="395">
        <v>3208.43</v>
      </c>
      <c r="W584" s="395">
        <v>1406.48</v>
      </c>
      <c r="X584" s="395">
        <v>77490</v>
      </c>
      <c r="Y584" s="395">
        <v>8193.82</v>
      </c>
      <c r="Z584" s="396">
        <v>-3511125</v>
      </c>
      <c r="AA584" s="396">
        <v>194526</v>
      </c>
      <c r="AB584" s="396">
        <v>10304954</v>
      </c>
      <c r="AC584" s="396">
        <v>10207916</v>
      </c>
    </row>
    <row r="585" spans="1:29">
      <c r="A585">
        <v>4915</v>
      </c>
      <c r="B585" s="395" t="s">
        <v>7710</v>
      </c>
      <c r="C585" s="395"/>
      <c r="D585" s="396">
        <v>194291</v>
      </c>
      <c r="E585" s="396">
        <v>459309</v>
      </c>
      <c r="F585" s="395">
        <v>1.73</v>
      </c>
      <c r="G585" s="396">
        <v>-265018</v>
      </c>
      <c r="H585" s="396">
        <v>61688</v>
      </c>
      <c r="I585" s="396">
        <v>4271294</v>
      </c>
      <c r="J585" s="395">
        <v>277</v>
      </c>
      <c r="K585" s="395">
        <v>189</v>
      </c>
      <c r="L585" s="397">
        <v>0.68230000000000002</v>
      </c>
      <c r="M585" s="395">
        <v>88</v>
      </c>
      <c r="N585" s="395">
        <v>701</v>
      </c>
      <c r="O585" s="396">
        <v>2430</v>
      </c>
      <c r="P585" s="395">
        <v>0.81</v>
      </c>
      <c r="Q585" s="396">
        <v>-3012</v>
      </c>
      <c r="R585" s="396">
        <v>9485</v>
      </c>
      <c r="S585" s="396">
        <v>-8250</v>
      </c>
      <c r="T585" s="396">
        <v>637763</v>
      </c>
      <c r="U585" s="396">
        <v>-375863</v>
      </c>
      <c r="V585" s="395">
        <v>6185.04</v>
      </c>
      <c r="W585" s="395">
        <v>4162.01</v>
      </c>
      <c r="X585" s="395">
        <v>77490</v>
      </c>
      <c r="Y585" s="395">
        <v>10529.95</v>
      </c>
      <c r="Z585" s="396">
        <v>-8874248</v>
      </c>
      <c r="AA585" s="396">
        <v>194291</v>
      </c>
      <c r="AB585" s="396">
        <v>5643884</v>
      </c>
      <c r="AC585" s="396">
        <v>10207916</v>
      </c>
    </row>
    <row r="586" spans="1:29">
      <c r="A586">
        <v>1535</v>
      </c>
      <c r="B586" s="395" t="s">
        <v>6806</v>
      </c>
      <c r="C586" s="395"/>
      <c r="D586" s="396">
        <v>193073</v>
      </c>
      <c r="E586" s="396">
        <v>221261</v>
      </c>
      <c r="F586" s="395">
        <v>7.85</v>
      </c>
      <c r="G586" s="396">
        <v>-28188</v>
      </c>
      <c r="H586" s="396">
        <v>33342</v>
      </c>
      <c r="I586" s="396">
        <v>1596560</v>
      </c>
      <c r="J586" s="395">
        <v>212</v>
      </c>
      <c r="K586" s="395">
        <v>178</v>
      </c>
      <c r="L586" s="397">
        <v>0.83960000000000001</v>
      </c>
      <c r="M586" s="395">
        <v>34</v>
      </c>
      <c r="N586" s="395">
        <v>911</v>
      </c>
      <c r="O586" s="396">
        <v>1243</v>
      </c>
      <c r="P586" s="395">
        <v>1.5</v>
      </c>
      <c r="Q586" s="395">
        <v>-829</v>
      </c>
      <c r="R586" s="396">
        <v>3650</v>
      </c>
      <c r="S586" s="396">
        <v>-3665</v>
      </c>
      <c r="T586" s="396">
        <v>220514</v>
      </c>
      <c r="U586" s="396">
        <v>-52558</v>
      </c>
      <c r="V586" s="395">
        <v>4751.5200000000004</v>
      </c>
      <c r="W586" s="395">
        <v>4438.1499999999996</v>
      </c>
      <c r="X586" s="395">
        <v>77490</v>
      </c>
      <c r="Y586" s="395">
        <v>6392.15</v>
      </c>
      <c r="Z586" s="396">
        <v>3658063</v>
      </c>
      <c r="AA586" s="396">
        <v>193073</v>
      </c>
      <c r="AB586" s="396">
        <v>11992745</v>
      </c>
      <c r="AC586" s="396">
        <v>10207916</v>
      </c>
    </row>
    <row r="587" spans="1:29">
      <c r="A587">
        <v>5312</v>
      </c>
      <c r="B587" s="395" t="s">
        <v>7803</v>
      </c>
      <c r="C587" s="395"/>
      <c r="D587" s="396">
        <v>193058</v>
      </c>
      <c r="E587" s="396">
        <v>207334</v>
      </c>
      <c r="F587" s="395">
        <v>14.52</v>
      </c>
      <c r="G587" s="396">
        <v>-14276</v>
      </c>
      <c r="H587" s="396">
        <v>23034</v>
      </c>
      <c r="I587" s="396">
        <v>1341900</v>
      </c>
      <c r="J587" s="395">
        <v>92</v>
      </c>
      <c r="K587" s="395">
        <v>79</v>
      </c>
      <c r="L587" s="397">
        <v>0.85870000000000002</v>
      </c>
      <c r="M587" s="395">
        <v>13</v>
      </c>
      <c r="N587" s="396">
        <v>2098</v>
      </c>
      <c r="O587" s="396">
        <v>2624</v>
      </c>
      <c r="P587" s="395">
        <v>2.39</v>
      </c>
      <c r="Q587" s="396">
        <v>-1098</v>
      </c>
      <c r="R587" s="396">
        <v>7084</v>
      </c>
      <c r="S587" s="396">
        <v>-5362</v>
      </c>
      <c r="T587" s="396">
        <v>224115</v>
      </c>
      <c r="U587" s="396">
        <v>-44530</v>
      </c>
      <c r="V587" s="395">
        <v>8793.0300000000007</v>
      </c>
      <c r="W587" s="395">
        <v>9683.08</v>
      </c>
      <c r="X587" s="395">
        <v>77220</v>
      </c>
      <c r="Y587" s="395">
        <v>3384.31</v>
      </c>
      <c r="Z587" s="396">
        <v>-1069295</v>
      </c>
      <c r="AA587" s="396">
        <v>193058</v>
      </c>
      <c r="AB587" s="396">
        <v>3699999</v>
      </c>
      <c r="AC587" s="396">
        <v>10207916</v>
      </c>
    </row>
    <row r="588" spans="1:29">
      <c r="A588">
        <v>9908</v>
      </c>
      <c r="B588" s="395" t="s">
        <v>8397</v>
      </c>
      <c r="C588" s="395"/>
      <c r="D588" s="396">
        <v>192734</v>
      </c>
      <c r="E588" s="396">
        <v>236921</v>
      </c>
      <c r="F588" s="395">
        <v>5.36</v>
      </c>
      <c r="G588" s="396">
        <v>-44187</v>
      </c>
      <c r="H588" s="396">
        <v>29712</v>
      </c>
      <c r="I588" s="396">
        <v>4387400</v>
      </c>
      <c r="J588" s="395">
        <v>219</v>
      </c>
      <c r="K588" s="395">
        <v>131</v>
      </c>
      <c r="L588" s="397">
        <v>0.59819999999999995</v>
      </c>
      <c r="M588" s="395">
        <v>88</v>
      </c>
      <c r="N588" s="395">
        <v>880</v>
      </c>
      <c r="O588" s="396">
        <v>1809</v>
      </c>
      <c r="P588" s="395">
        <v>3.6</v>
      </c>
      <c r="Q588" s="395">
        <v>-502</v>
      </c>
      <c r="R588" s="396">
        <v>3123</v>
      </c>
      <c r="S588" s="396">
        <v>-1184</v>
      </c>
      <c r="T588" s="396">
        <v>294537</v>
      </c>
      <c r="U588" s="396">
        <v>-74580</v>
      </c>
      <c r="V588" s="395">
        <v>19646.849999999999</v>
      </c>
      <c r="W588" s="395">
        <v>22943.49</v>
      </c>
      <c r="X588" s="395">
        <v>77490</v>
      </c>
      <c r="Y588" s="395">
        <v>14739.36</v>
      </c>
      <c r="Z588" s="396">
        <v>-692441</v>
      </c>
      <c r="AA588" s="396">
        <v>192734</v>
      </c>
      <c r="AB588" s="396">
        <v>-558561</v>
      </c>
      <c r="AC588" s="396">
        <v>10207916</v>
      </c>
    </row>
    <row r="589" spans="1:29">
      <c r="A589">
        <v>6275</v>
      </c>
      <c r="B589" s="395" t="s">
        <v>8045</v>
      </c>
      <c r="C589" s="395"/>
      <c r="D589" s="396">
        <v>192326</v>
      </c>
      <c r="E589" s="396">
        <v>252311</v>
      </c>
      <c r="F589" s="395">
        <v>4.21</v>
      </c>
      <c r="G589" s="396">
        <v>-59985</v>
      </c>
      <c r="H589" s="396">
        <v>33174</v>
      </c>
      <c r="I589" s="396">
        <v>911535</v>
      </c>
      <c r="J589" s="395">
        <v>258</v>
      </c>
      <c r="K589" s="395">
        <v>211</v>
      </c>
      <c r="L589" s="397">
        <v>0.81779999999999997</v>
      </c>
      <c r="M589" s="395">
        <v>47</v>
      </c>
      <c r="N589" s="395">
        <v>745</v>
      </c>
      <c r="O589" s="396">
        <v>1196</v>
      </c>
      <c r="P589" s="395">
        <v>0.94</v>
      </c>
      <c r="Q589" s="396">
        <v>-1276</v>
      </c>
      <c r="R589" s="396">
        <v>6636</v>
      </c>
      <c r="S589" s="396">
        <v>-4587</v>
      </c>
      <c r="T589" s="396">
        <v>251269</v>
      </c>
      <c r="U589" s="396">
        <v>-101776</v>
      </c>
      <c r="V589" s="395">
        <v>1937.25</v>
      </c>
      <c r="W589" s="395">
        <v>1408.18</v>
      </c>
      <c r="X589" s="395">
        <v>77490</v>
      </c>
      <c r="Y589" s="395">
        <v>4312.3999999999996</v>
      </c>
      <c r="Z589" s="396">
        <v>132864</v>
      </c>
      <c r="AA589" s="396">
        <v>192326</v>
      </c>
      <c r="AB589" s="396">
        <v>36815219</v>
      </c>
      <c r="AC589" s="396">
        <v>10207916</v>
      </c>
    </row>
    <row r="590" spans="1:29">
      <c r="A590">
        <v>3056</v>
      </c>
      <c r="B590" s="395" t="s">
        <v>7293</v>
      </c>
      <c r="C590" s="395"/>
      <c r="D590" s="396">
        <v>192205</v>
      </c>
      <c r="E590" s="396">
        <v>257906</v>
      </c>
      <c r="F590" s="395">
        <v>3.93</v>
      </c>
      <c r="G590" s="396">
        <v>-65701</v>
      </c>
      <c r="H590" s="396">
        <v>42519</v>
      </c>
      <c r="I590" s="396">
        <v>2475921</v>
      </c>
      <c r="J590" s="395">
        <v>265</v>
      </c>
      <c r="K590" s="395">
        <v>202</v>
      </c>
      <c r="L590" s="397">
        <v>0.76229999999999998</v>
      </c>
      <c r="M590" s="395">
        <v>63</v>
      </c>
      <c r="N590" s="395">
        <v>725</v>
      </c>
      <c r="O590" s="396">
        <v>1277</v>
      </c>
      <c r="P590" s="395">
        <v>1.22</v>
      </c>
      <c r="Q590" s="396">
        <v>-1043</v>
      </c>
      <c r="R590" s="396">
        <v>3686</v>
      </c>
      <c r="S590" s="396">
        <v>-3369</v>
      </c>
      <c r="T590" s="396">
        <v>272569</v>
      </c>
      <c r="U590" s="396">
        <v>-62061</v>
      </c>
      <c r="V590" s="395">
        <v>6112.85</v>
      </c>
      <c r="W590" s="395">
        <v>5365.45</v>
      </c>
      <c r="X590" s="395">
        <v>77490</v>
      </c>
      <c r="Y590" s="395">
        <v>8509.2900000000009</v>
      </c>
      <c r="Z590" s="396">
        <v>976348</v>
      </c>
      <c r="AA590" s="396">
        <v>192205</v>
      </c>
      <c r="AB590" s="396">
        <v>5255257</v>
      </c>
      <c r="AC590" s="396">
        <v>10207916</v>
      </c>
    </row>
    <row r="591" spans="1:29">
      <c r="A591">
        <v>3265</v>
      </c>
      <c r="B591" s="395" t="s">
        <v>7366</v>
      </c>
      <c r="C591" s="395"/>
      <c r="D591" s="396">
        <v>191434</v>
      </c>
      <c r="E591" s="396">
        <v>226207</v>
      </c>
      <c r="F591" s="395">
        <v>6.51</v>
      </c>
      <c r="G591" s="396">
        <v>-34773</v>
      </c>
      <c r="H591" s="396">
        <v>29403</v>
      </c>
      <c r="I591" s="396">
        <v>1791837</v>
      </c>
      <c r="J591" s="395">
        <v>236</v>
      </c>
      <c r="K591" s="395">
        <v>196</v>
      </c>
      <c r="L591" s="397">
        <v>0.83050000000000002</v>
      </c>
      <c r="M591" s="395">
        <v>40</v>
      </c>
      <c r="N591" s="395">
        <v>811</v>
      </c>
      <c r="O591" s="396">
        <v>1154</v>
      </c>
      <c r="P591" s="395">
        <v>1.33</v>
      </c>
      <c r="Q591" s="395">
        <v>-869</v>
      </c>
      <c r="R591" s="396">
        <v>4145</v>
      </c>
      <c r="S591" s="396">
        <v>-4473</v>
      </c>
      <c r="T591" s="396">
        <v>198961</v>
      </c>
      <c r="U591" s="396">
        <v>-106619</v>
      </c>
      <c r="V591" s="395">
        <v>4171.97</v>
      </c>
      <c r="W591" s="395">
        <v>3502.81</v>
      </c>
      <c r="X591" s="395">
        <v>77490</v>
      </c>
      <c r="Y591" s="395">
        <v>7450.87</v>
      </c>
      <c r="Z591" s="396">
        <v>-2585513</v>
      </c>
      <c r="AA591" s="396">
        <v>191434</v>
      </c>
      <c r="AB591" s="396">
        <v>9252208</v>
      </c>
      <c r="AC591" s="396">
        <v>10207916</v>
      </c>
    </row>
    <row r="592" spans="1:29">
      <c r="A592">
        <v>1604</v>
      </c>
      <c r="B592" s="395" t="s">
        <v>6834</v>
      </c>
      <c r="C592" s="395"/>
      <c r="D592" s="396">
        <v>191376</v>
      </c>
      <c r="E592" s="396">
        <v>204827</v>
      </c>
      <c r="F592" s="395">
        <v>15.23</v>
      </c>
      <c r="G592" s="396">
        <v>-13451</v>
      </c>
      <c r="H592" s="396">
        <v>32277</v>
      </c>
      <c r="I592" s="396">
        <v>2523848</v>
      </c>
      <c r="J592" s="395">
        <v>269</v>
      </c>
      <c r="K592" s="395">
        <v>250</v>
      </c>
      <c r="L592" s="397">
        <v>0.9294</v>
      </c>
      <c r="M592" s="395">
        <v>19</v>
      </c>
      <c r="N592" s="395">
        <v>711</v>
      </c>
      <c r="O592" s="395">
        <v>819</v>
      </c>
      <c r="P592" s="395">
        <v>1.1599999999999999</v>
      </c>
      <c r="Q592" s="395">
        <v>-708</v>
      </c>
      <c r="R592" s="396">
        <v>3185</v>
      </c>
      <c r="S592" s="396">
        <v>-2226</v>
      </c>
      <c r="T592" s="396">
        <v>209613</v>
      </c>
      <c r="U592" s="396">
        <v>-55861</v>
      </c>
      <c r="V592" s="395">
        <v>6688.78</v>
      </c>
      <c r="W592" s="395">
        <v>6632.02</v>
      </c>
      <c r="X592" s="395">
        <v>77490</v>
      </c>
      <c r="Y592" s="395">
        <v>7435.63</v>
      </c>
      <c r="Z592" s="396">
        <v>6605970</v>
      </c>
      <c r="AA592" s="396">
        <v>191376</v>
      </c>
      <c r="AB592" s="396">
        <v>16771064</v>
      </c>
      <c r="AC592" s="396">
        <v>10207916</v>
      </c>
    </row>
    <row r="593" spans="1:29">
      <c r="A593">
        <v>2012</v>
      </c>
      <c r="B593" s="395" t="s">
        <v>6911</v>
      </c>
      <c r="C593" s="395"/>
      <c r="D593" s="396">
        <v>190584</v>
      </c>
      <c r="E593" s="396">
        <v>221760</v>
      </c>
      <c r="F593" s="395">
        <v>7.11</v>
      </c>
      <c r="G593" s="396">
        <v>-31176</v>
      </c>
      <c r="H593" s="396">
        <v>29468</v>
      </c>
      <c r="I593" s="396">
        <v>960322</v>
      </c>
      <c r="J593" s="395">
        <v>253</v>
      </c>
      <c r="K593" s="395">
        <v>211</v>
      </c>
      <c r="L593" s="397">
        <v>0.83399999999999996</v>
      </c>
      <c r="M593" s="395">
        <v>42</v>
      </c>
      <c r="N593" s="395">
        <v>753</v>
      </c>
      <c r="O593" s="396">
        <v>1051</v>
      </c>
      <c r="P593" s="395">
        <v>1.42</v>
      </c>
      <c r="Q593" s="395">
        <v>-742</v>
      </c>
      <c r="R593" s="396">
        <v>5078</v>
      </c>
      <c r="S593" s="396">
        <v>-3010</v>
      </c>
      <c r="T593" s="396">
        <v>206307</v>
      </c>
      <c r="U593" s="396">
        <v>-53755</v>
      </c>
      <c r="V593" s="395">
        <v>2355.15</v>
      </c>
      <c r="W593" s="395">
        <v>1740.06</v>
      </c>
      <c r="X593" s="395">
        <v>77490</v>
      </c>
      <c r="Y593" s="395">
        <v>5445.24</v>
      </c>
      <c r="Z593" s="396">
        <v>7529766</v>
      </c>
      <c r="AA593" s="396">
        <v>190584</v>
      </c>
      <c r="AB593" s="396">
        <v>25028240</v>
      </c>
      <c r="AC593" s="396">
        <v>10207916</v>
      </c>
    </row>
    <row r="594" spans="1:29">
      <c r="A594">
        <v>5291</v>
      </c>
      <c r="B594" s="395" t="s">
        <v>7796</v>
      </c>
      <c r="C594" s="395"/>
      <c r="D594" s="396">
        <v>189951</v>
      </c>
      <c r="E594" s="396">
        <v>329333</v>
      </c>
      <c r="F594" s="395">
        <v>2.36</v>
      </c>
      <c r="G594" s="396">
        <v>-139382</v>
      </c>
      <c r="H594" s="396">
        <v>35648</v>
      </c>
      <c r="I594" s="396">
        <v>2519974</v>
      </c>
      <c r="J594" s="395">
        <v>255</v>
      </c>
      <c r="K594" s="395">
        <v>207</v>
      </c>
      <c r="L594" s="397">
        <v>0.81179999999999997</v>
      </c>
      <c r="M594" s="395">
        <v>48</v>
      </c>
      <c r="N594" s="395">
        <v>745</v>
      </c>
      <c r="O594" s="396">
        <v>1591</v>
      </c>
      <c r="P594" s="395">
        <v>0.55000000000000004</v>
      </c>
      <c r="Q594" s="396">
        <v>-2904</v>
      </c>
      <c r="R594" s="396">
        <v>7762</v>
      </c>
      <c r="S594" s="396">
        <v>-12442</v>
      </c>
      <c r="T594" s="396">
        <v>472452</v>
      </c>
      <c r="U594" s="396">
        <v>-365569</v>
      </c>
      <c r="V594" s="395">
        <v>4096.6899999999996</v>
      </c>
      <c r="W594" s="395">
        <v>2653.48</v>
      </c>
      <c r="X594" s="395">
        <v>77490</v>
      </c>
      <c r="Y594" s="395">
        <v>10320.5</v>
      </c>
      <c r="Z594" s="396">
        <v>-6495690</v>
      </c>
      <c r="AA594" s="396">
        <v>189951</v>
      </c>
      <c r="AB594" s="396">
        <v>32724971</v>
      </c>
      <c r="AC594" s="396">
        <v>10207916</v>
      </c>
    </row>
    <row r="595" spans="1:29">
      <c r="A595">
        <v>6605</v>
      </c>
      <c r="B595" s="395" t="s">
        <v>8153</v>
      </c>
      <c r="C595" s="395"/>
      <c r="D595" s="396">
        <v>189931</v>
      </c>
      <c r="E595" s="396">
        <v>414846</v>
      </c>
      <c r="F595" s="395">
        <v>1.84</v>
      </c>
      <c r="G595" s="396">
        <v>-224915</v>
      </c>
      <c r="H595" s="396">
        <v>61847</v>
      </c>
      <c r="I595" s="396">
        <v>3728309</v>
      </c>
      <c r="J595" s="395">
        <v>257</v>
      </c>
      <c r="K595" s="395">
        <v>186</v>
      </c>
      <c r="L595" s="397">
        <v>0.72370000000000001</v>
      </c>
      <c r="M595" s="395">
        <v>71</v>
      </c>
      <c r="N595" s="395">
        <v>739</v>
      </c>
      <c r="O595" s="396">
        <v>2230</v>
      </c>
      <c r="P595" s="395">
        <v>0.7</v>
      </c>
      <c r="Q595" s="396">
        <v>-3168</v>
      </c>
      <c r="R595" s="396">
        <v>10079</v>
      </c>
      <c r="S595" s="396">
        <v>-7240</v>
      </c>
      <c r="T595" s="396">
        <v>439050</v>
      </c>
      <c r="U595" s="396">
        <v>-217909</v>
      </c>
      <c r="V595" s="395">
        <v>5431.11</v>
      </c>
      <c r="W595" s="395">
        <v>4084.48</v>
      </c>
      <c r="X595" s="395">
        <v>77490</v>
      </c>
      <c r="Y595" s="395">
        <v>8958.9</v>
      </c>
      <c r="Z595" s="396">
        <v>-15644529</v>
      </c>
      <c r="AA595" s="396">
        <v>189931</v>
      </c>
      <c r="AB595" s="396">
        <v>-8976834</v>
      </c>
      <c r="AC595" s="396">
        <v>10207916</v>
      </c>
    </row>
    <row r="596" spans="1:29">
      <c r="A596">
        <v>4989</v>
      </c>
      <c r="B596" s="395" t="s">
        <v>7746</v>
      </c>
      <c r="C596" s="395"/>
      <c r="D596" s="396">
        <v>189815</v>
      </c>
      <c r="E596" s="396">
        <v>341721</v>
      </c>
      <c r="F596" s="395">
        <v>2.25</v>
      </c>
      <c r="G596" s="396">
        <v>-151905</v>
      </c>
      <c r="H596" s="396">
        <v>42696</v>
      </c>
      <c r="I596" s="396">
        <v>1091892</v>
      </c>
      <c r="J596" s="395">
        <v>262</v>
      </c>
      <c r="K596" s="395">
        <v>195</v>
      </c>
      <c r="L596" s="397">
        <v>0.74429999999999996</v>
      </c>
      <c r="M596" s="395">
        <v>67</v>
      </c>
      <c r="N596" s="395">
        <v>724</v>
      </c>
      <c r="O596" s="396">
        <v>1752</v>
      </c>
      <c r="P596" s="395">
        <v>0.77</v>
      </c>
      <c r="Q596" s="396">
        <v>-2267</v>
      </c>
      <c r="R596" s="396">
        <v>8856</v>
      </c>
      <c r="S596" s="396">
        <v>-8278</v>
      </c>
      <c r="T596" s="396">
        <v>335692</v>
      </c>
      <c r="U596" s="396">
        <v>-144118</v>
      </c>
      <c r="V596" s="395">
        <v>1872.78</v>
      </c>
      <c r="W596" s="395">
        <v>1226.7</v>
      </c>
      <c r="X596" s="395">
        <v>75600</v>
      </c>
      <c r="Y596" s="395">
        <v>3753.18</v>
      </c>
      <c r="Z596" s="396">
        <v>-8324853</v>
      </c>
      <c r="AA596" s="396">
        <v>189815</v>
      </c>
      <c r="AB596" s="396">
        <v>26019853</v>
      </c>
      <c r="AC596" s="396">
        <v>10207916</v>
      </c>
    </row>
    <row r="597" spans="1:29">
      <c r="A597">
        <v>3550</v>
      </c>
      <c r="B597" s="395" t="s">
        <v>7473</v>
      </c>
      <c r="C597" s="395"/>
      <c r="D597" s="396">
        <v>189509</v>
      </c>
      <c r="E597" s="396">
        <v>252433</v>
      </c>
      <c r="F597" s="395">
        <v>4.01</v>
      </c>
      <c r="G597" s="396">
        <v>-62923</v>
      </c>
      <c r="H597" s="396">
        <v>18565</v>
      </c>
      <c r="I597" s="396">
        <v>1135195</v>
      </c>
      <c r="J597" s="395">
        <v>248</v>
      </c>
      <c r="K597" s="395">
        <v>180</v>
      </c>
      <c r="L597" s="397">
        <v>0.7258</v>
      </c>
      <c r="M597" s="395">
        <v>68</v>
      </c>
      <c r="N597" s="395">
        <v>764</v>
      </c>
      <c r="O597" s="396">
        <v>1402</v>
      </c>
      <c r="P597" s="395">
        <v>1.52</v>
      </c>
      <c r="Q597" s="395">
        <v>-925</v>
      </c>
      <c r="R597" s="396">
        <v>4526</v>
      </c>
      <c r="S597" s="396">
        <v>-2982</v>
      </c>
      <c r="T597" s="396">
        <v>299339</v>
      </c>
      <c r="U597" s="396">
        <v>-131467</v>
      </c>
      <c r="V597" s="395">
        <v>5172.0600000000004</v>
      </c>
      <c r="W597" s="395">
        <v>4105.74</v>
      </c>
      <c r="X597" s="395">
        <v>77490</v>
      </c>
      <c r="Y597" s="395">
        <v>7994.69</v>
      </c>
      <c r="Z597" s="396">
        <v>-10739065</v>
      </c>
      <c r="AA597" s="396">
        <v>189509</v>
      </c>
      <c r="AB597" s="396">
        <v>7601671</v>
      </c>
      <c r="AC597" s="396">
        <v>10207916</v>
      </c>
    </row>
    <row r="598" spans="1:29">
      <c r="A598">
        <v>4168</v>
      </c>
      <c r="B598" s="395" t="s">
        <v>7590</v>
      </c>
      <c r="C598" s="395"/>
      <c r="D598" s="396">
        <v>188098</v>
      </c>
      <c r="E598" s="396">
        <v>244022</v>
      </c>
      <c r="F598" s="395">
        <v>4.3600000000000003</v>
      </c>
      <c r="G598" s="396">
        <v>-55924</v>
      </c>
      <c r="H598" s="396">
        <v>30202</v>
      </c>
      <c r="I598" s="396">
        <v>1267081</v>
      </c>
      <c r="J598" s="395">
        <v>252</v>
      </c>
      <c r="K598" s="395">
        <v>199</v>
      </c>
      <c r="L598" s="397">
        <v>0.78969999999999996</v>
      </c>
      <c r="M598" s="395">
        <v>53</v>
      </c>
      <c r="N598" s="395">
        <v>746</v>
      </c>
      <c r="O598" s="396">
        <v>1226</v>
      </c>
      <c r="P598" s="395">
        <v>1.1599999999999999</v>
      </c>
      <c r="Q598" s="396">
        <v>-1055</v>
      </c>
      <c r="R598" s="396">
        <v>7129</v>
      </c>
      <c r="S598" s="396">
        <v>-5196</v>
      </c>
      <c r="T598" s="396">
        <v>224146</v>
      </c>
      <c r="U598" s="396">
        <v>-129556</v>
      </c>
      <c r="V598" s="395">
        <v>2733.5</v>
      </c>
      <c r="W598" s="395">
        <v>1777.02</v>
      </c>
      <c r="X598" s="395">
        <v>77490</v>
      </c>
      <c r="Y598" s="395">
        <v>6324.81</v>
      </c>
      <c r="Z598" s="396">
        <v>-977077</v>
      </c>
      <c r="AA598" s="396">
        <v>188098</v>
      </c>
      <c r="AB598" s="396">
        <v>-1950877</v>
      </c>
      <c r="AC598" s="396">
        <v>10207916</v>
      </c>
    </row>
    <row r="599" spans="1:29">
      <c r="A599">
        <v>5309</v>
      </c>
      <c r="B599" s="395" t="s">
        <v>7801</v>
      </c>
      <c r="C599" s="395"/>
      <c r="D599" s="396">
        <v>187673</v>
      </c>
      <c r="E599" s="396">
        <v>312987</v>
      </c>
      <c r="F599" s="395">
        <v>2.5</v>
      </c>
      <c r="G599" s="396">
        <v>-125314</v>
      </c>
      <c r="H599" s="396">
        <v>31777</v>
      </c>
      <c r="I599" s="396">
        <v>1249966</v>
      </c>
      <c r="J599" s="395">
        <v>210</v>
      </c>
      <c r="K599" s="395">
        <v>158</v>
      </c>
      <c r="L599" s="397">
        <v>0.75239999999999996</v>
      </c>
      <c r="M599" s="395">
        <v>52</v>
      </c>
      <c r="N599" s="395">
        <v>894</v>
      </c>
      <c r="O599" s="396">
        <v>1981</v>
      </c>
      <c r="P599" s="395">
        <v>0.82</v>
      </c>
      <c r="Q599" s="396">
        <v>-2410</v>
      </c>
      <c r="R599" s="396">
        <v>8385</v>
      </c>
      <c r="S599" s="396">
        <v>-10854</v>
      </c>
      <c r="T599" s="396">
        <v>353825</v>
      </c>
      <c r="U599" s="396">
        <v>-207906</v>
      </c>
      <c r="V599" s="395">
        <v>3267.17</v>
      </c>
      <c r="W599" s="395">
        <v>2083.79</v>
      </c>
      <c r="X599" s="395">
        <v>77490</v>
      </c>
      <c r="Y599" s="395">
        <v>6862.81</v>
      </c>
      <c r="Z599" s="396">
        <v>-4203622</v>
      </c>
      <c r="AA599" s="396">
        <v>187673</v>
      </c>
      <c r="AB599" s="396">
        <v>-4167470</v>
      </c>
      <c r="AC599" s="396">
        <v>10207916</v>
      </c>
    </row>
    <row r="600" spans="1:29">
      <c r="A600">
        <v>3380</v>
      </c>
      <c r="B600" s="395" t="s">
        <v>7411</v>
      </c>
      <c r="C600" s="395"/>
      <c r="D600" s="396">
        <v>187490</v>
      </c>
      <c r="E600" s="396">
        <v>293046</v>
      </c>
      <c r="F600" s="395">
        <v>2.78</v>
      </c>
      <c r="G600" s="396">
        <v>-105556</v>
      </c>
      <c r="H600" s="396">
        <v>31727</v>
      </c>
      <c r="I600" s="396">
        <v>1856485</v>
      </c>
      <c r="J600" s="395">
        <v>257</v>
      </c>
      <c r="K600" s="395">
        <v>208</v>
      </c>
      <c r="L600" s="397">
        <v>0.80930000000000002</v>
      </c>
      <c r="M600" s="395">
        <v>49</v>
      </c>
      <c r="N600" s="395">
        <v>730</v>
      </c>
      <c r="O600" s="396">
        <v>1409</v>
      </c>
      <c r="P600" s="395">
        <v>0.65</v>
      </c>
      <c r="Q600" s="396">
        <v>-2154</v>
      </c>
      <c r="R600" s="396">
        <v>6742</v>
      </c>
      <c r="S600" s="396">
        <v>-8038</v>
      </c>
      <c r="T600" s="396">
        <v>339856</v>
      </c>
      <c r="U600" s="396">
        <v>-197246</v>
      </c>
      <c r="V600" s="395">
        <v>5075.7299999999996</v>
      </c>
      <c r="W600" s="395">
        <v>3832.51</v>
      </c>
      <c r="X600" s="395">
        <v>77490</v>
      </c>
      <c r="Y600" s="395">
        <v>10353.040000000001</v>
      </c>
      <c r="Z600" s="396">
        <v>-5130137</v>
      </c>
      <c r="AA600" s="396">
        <v>187490</v>
      </c>
      <c r="AB600" s="396">
        <v>72426</v>
      </c>
      <c r="AC600" s="396">
        <v>10207916</v>
      </c>
    </row>
    <row r="601" spans="1:29">
      <c r="A601">
        <v>6671</v>
      </c>
      <c r="B601" s="395" t="s">
        <v>8178</v>
      </c>
      <c r="C601" s="395"/>
      <c r="D601" s="396">
        <v>187303</v>
      </c>
      <c r="E601" s="396">
        <v>189965</v>
      </c>
      <c r="F601" s="395">
        <v>71.36</v>
      </c>
      <c r="G601" s="396">
        <v>-2662</v>
      </c>
      <c r="H601" s="396">
        <v>31796</v>
      </c>
      <c r="I601" s="396">
        <v>1688604</v>
      </c>
      <c r="J601" s="395">
        <v>168</v>
      </c>
      <c r="K601" s="395">
        <v>159</v>
      </c>
      <c r="L601" s="397">
        <v>0.94640000000000002</v>
      </c>
      <c r="M601" s="395">
        <v>9</v>
      </c>
      <c r="N601" s="396">
        <v>1115</v>
      </c>
      <c r="O601" s="396">
        <v>1195</v>
      </c>
      <c r="P601" s="395">
        <v>4.04</v>
      </c>
      <c r="Q601" s="395">
        <v>-296</v>
      </c>
      <c r="R601" s="396">
        <v>3810</v>
      </c>
      <c r="S601" s="395">
        <v>-599</v>
      </c>
      <c r="T601" s="396">
        <v>196229</v>
      </c>
      <c r="U601" s="396">
        <v>-39075</v>
      </c>
      <c r="V601" s="395">
        <v>5231.45</v>
      </c>
      <c r="W601" s="395">
        <v>4978.34</v>
      </c>
      <c r="X601" s="395">
        <v>76950</v>
      </c>
      <c r="Y601" s="395">
        <v>9703.11</v>
      </c>
      <c r="Z601" s="396">
        <v>17792938</v>
      </c>
      <c r="AA601" s="396">
        <v>187303</v>
      </c>
      <c r="AB601" s="396">
        <v>15025879</v>
      </c>
      <c r="AC601" s="396">
        <v>10207916</v>
      </c>
    </row>
    <row r="602" spans="1:29">
      <c r="A602">
        <v>6177</v>
      </c>
      <c r="B602" s="395" t="s">
        <v>7968</v>
      </c>
      <c r="C602" s="395"/>
      <c r="D602" s="396">
        <v>186809</v>
      </c>
      <c r="E602" s="396">
        <v>204664</v>
      </c>
      <c r="F602" s="395">
        <v>11.46</v>
      </c>
      <c r="G602" s="396">
        <v>-17855</v>
      </c>
      <c r="H602" s="396">
        <v>31786</v>
      </c>
      <c r="I602" s="396">
        <v>2270567</v>
      </c>
      <c r="J602" s="395">
        <v>258</v>
      </c>
      <c r="K602" s="395">
        <v>233</v>
      </c>
      <c r="L602" s="397">
        <v>0.90310000000000001</v>
      </c>
      <c r="M602" s="395">
        <v>25</v>
      </c>
      <c r="N602" s="395">
        <v>724</v>
      </c>
      <c r="O602" s="395">
        <v>878</v>
      </c>
      <c r="P602" s="395">
        <v>1.23</v>
      </c>
      <c r="Q602" s="395">
        <v>-714</v>
      </c>
      <c r="R602" s="396">
        <v>3485</v>
      </c>
      <c r="S602" s="396">
        <v>-2877</v>
      </c>
      <c r="T602" s="396">
        <v>203378</v>
      </c>
      <c r="U602" s="396">
        <v>-61624</v>
      </c>
      <c r="V602" s="395">
        <v>5515.1</v>
      </c>
      <c r="W602" s="395">
        <v>5060.74</v>
      </c>
      <c r="X602" s="395">
        <v>77490</v>
      </c>
      <c r="Y602" s="395">
        <v>9749.76</v>
      </c>
      <c r="Z602" s="396">
        <v>-2685550</v>
      </c>
      <c r="AA602" s="396">
        <v>186809</v>
      </c>
      <c r="AB602" s="396">
        <v>1935230</v>
      </c>
      <c r="AC602" s="396">
        <v>10207916</v>
      </c>
    </row>
    <row r="603" spans="1:29">
      <c r="A603">
        <v>1103</v>
      </c>
      <c r="B603" s="395" t="s">
        <v>6678</v>
      </c>
      <c r="C603" s="395"/>
      <c r="D603" s="396">
        <v>186271</v>
      </c>
      <c r="E603" s="396">
        <v>222829</v>
      </c>
      <c r="F603" s="395">
        <v>6.1</v>
      </c>
      <c r="G603" s="396">
        <v>-36559</v>
      </c>
      <c r="H603" s="396">
        <v>22934</v>
      </c>
      <c r="I603" s="396">
        <v>2964921</v>
      </c>
      <c r="J603" s="395">
        <v>269</v>
      </c>
      <c r="K603" s="395">
        <v>230</v>
      </c>
      <c r="L603" s="397">
        <v>0.85499999999999998</v>
      </c>
      <c r="M603" s="395">
        <v>39</v>
      </c>
      <c r="N603" s="395">
        <v>692</v>
      </c>
      <c r="O603" s="395">
        <v>969</v>
      </c>
      <c r="P603" s="395">
        <v>1.03</v>
      </c>
      <c r="Q603" s="395">
        <v>-937</v>
      </c>
      <c r="R603" s="396">
        <v>4012</v>
      </c>
      <c r="S603" s="396">
        <v>-3753</v>
      </c>
      <c r="T603" s="396">
        <v>241381</v>
      </c>
      <c r="U603" s="396">
        <v>-175602</v>
      </c>
      <c r="V603" s="395">
        <v>13141.54</v>
      </c>
      <c r="W603" s="395">
        <v>13357.33</v>
      </c>
      <c r="X603" s="395">
        <v>77490</v>
      </c>
      <c r="Y603" s="395">
        <v>11868.92</v>
      </c>
      <c r="Z603" s="396">
        <v>-5495973</v>
      </c>
      <c r="AA603" s="396">
        <v>186271</v>
      </c>
      <c r="AB603" s="396">
        <v>6515218</v>
      </c>
      <c r="AC603" s="396">
        <v>10207916</v>
      </c>
    </row>
    <row r="604" spans="1:29">
      <c r="A604">
        <v>5371</v>
      </c>
      <c r="B604" s="395" t="s">
        <v>7819</v>
      </c>
      <c r="C604" s="395"/>
      <c r="D604" s="396">
        <v>184932</v>
      </c>
      <c r="E604" s="396">
        <v>374598</v>
      </c>
      <c r="F604" s="395">
        <v>1.98</v>
      </c>
      <c r="G604" s="396">
        <v>-189666</v>
      </c>
      <c r="H604" s="396">
        <v>66105</v>
      </c>
      <c r="I604" s="396">
        <v>2845524</v>
      </c>
      <c r="J604" s="395">
        <v>266</v>
      </c>
      <c r="K604" s="395">
        <v>212</v>
      </c>
      <c r="L604" s="397">
        <v>0.79700000000000004</v>
      </c>
      <c r="M604" s="395">
        <v>54</v>
      </c>
      <c r="N604" s="395">
        <v>695</v>
      </c>
      <c r="O604" s="396">
        <v>1767</v>
      </c>
      <c r="P604" s="395">
        <v>0.5</v>
      </c>
      <c r="Q604" s="396">
        <v>-3512</v>
      </c>
      <c r="R604" s="396">
        <v>7680</v>
      </c>
      <c r="S604" s="396">
        <v>-14915</v>
      </c>
      <c r="T604" s="396">
        <v>346973</v>
      </c>
      <c r="U604" s="396">
        <v>-208878</v>
      </c>
      <c r="V604" s="395">
        <v>3230.47</v>
      </c>
      <c r="W604" s="395">
        <v>2721.46</v>
      </c>
      <c r="X604" s="395">
        <v>77490</v>
      </c>
      <c r="Y604" s="395">
        <v>5228.8100000000004</v>
      </c>
      <c r="Z604" s="396">
        <v>6021520</v>
      </c>
      <c r="AA604" s="396">
        <v>184932</v>
      </c>
      <c r="AB604" s="396">
        <v>43967009</v>
      </c>
      <c r="AC604" s="396">
        <v>10207916</v>
      </c>
    </row>
    <row r="605" spans="1:29">
      <c r="A605">
        <v>1219</v>
      </c>
      <c r="B605" s="395" t="s">
        <v>6691</v>
      </c>
      <c r="C605" s="395"/>
      <c r="D605" s="396">
        <v>184484</v>
      </c>
      <c r="E605" s="396">
        <v>210471</v>
      </c>
      <c r="F605" s="395">
        <v>8.1</v>
      </c>
      <c r="G605" s="396">
        <v>-25986</v>
      </c>
      <c r="H605" s="396">
        <v>22569</v>
      </c>
      <c r="I605" s="396">
        <v>1454131</v>
      </c>
      <c r="J605" s="395">
        <v>258</v>
      </c>
      <c r="K605" s="395">
        <v>222</v>
      </c>
      <c r="L605" s="397">
        <v>0.86050000000000004</v>
      </c>
      <c r="M605" s="395">
        <v>36</v>
      </c>
      <c r="N605" s="395">
        <v>715</v>
      </c>
      <c r="O605" s="395">
        <v>948</v>
      </c>
      <c r="P605" s="395">
        <v>1.31</v>
      </c>
      <c r="Q605" s="395">
        <v>-722</v>
      </c>
      <c r="R605" s="396">
        <v>2518</v>
      </c>
      <c r="S605" s="396">
        <v>-2164</v>
      </c>
      <c r="T605" s="396">
        <v>214778</v>
      </c>
      <c r="U605" s="396">
        <v>-87882</v>
      </c>
      <c r="V605" s="395">
        <v>6436.95</v>
      </c>
      <c r="W605" s="395">
        <v>5581</v>
      </c>
      <c r="X605" s="395">
        <v>77490</v>
      </c>
      <c r="Y605" s="395">
        <v>11715.31</v>
      </c>
      <c r="Z605" s="396">
        <v>-8043009</v>
      </c>
      <c r="AA605" s="396">
        <v>184484</v>
      </c>
      <c r="AB605" s="396">
        <v>-1628797</v>
      </c>
      <c r="AC605" s="396">
        <v>10207916</v>
      </c>
    </row>
    <row r="606" spans="1:29">
      <c r="A606">
        <v>1532</v>
      </c>
      <c r="B606" s="395" t="s">
        <v>6804</v>
      </c>
      <c r="C606" s="395"/>
      <c r="D606" s="396">
        <v>184332</v>
      </c>
      <c r="E606" s="396">
        <v>254005</v>
      </c>
      <c r="F606" s="395">
        <v>3.65</v>
      </c>
      <c r="G606" s="396">
        <v>-69673</v>
      </c>
      <c r="H606" s="396">
        <v>34331</v>
      </c>
      <c r="I606" s="396">
        <v>2445724</v>
      </c>
      <c r="J606" s="395">
        <v>256</v>
      </c>
      <c r="K606" s="395">
        <v>209</v>
      </c>
      <c r="L606" s="397">
        <v>0.81640000000000001</v>
      </c>
      <c r="M606" s="395">
        <v>47</v>
      </c>
      <c r="N606" s="395">
        <v>720</v>
      </c>
      <c r="O606" s="396">
        <v>1215</v>
      </c>
      <c r="P606" s="395">
        <v>0.82</v>
      </c>
      <c r="Q606" s="396">
        <v>-1482</v>
      </c>
      <c r="R606" s="396">
        <v>5653</v>
      </c>
      <c r="S606" s="396">
        <v>-3340</v>
      </c>
      <c r="T606" s="396">
        <v>275622</v>
      </c>
      <c r="U606" s="396">
        <v>-113101</v>
      </c>
      <c r="V606" s="395">
        <v>7056.73</v>
      </c>
      <c r="W606" s="395">
        <v>6108.37</v>
      </c>
      <c r="X606" s="395">
        <v>77490</v>
      </c>
      <c r="Y606" s="395">
        <v>11273.89</v>
      </c>
      <c r="Z606" s="396">
        <v>-7408387</v>
      </c>
      <c r="AA606" s="396">
        <v>184332</v>
      </c>
      <c r="AB606" s="396">
        <v>5225054</v>
      </c>
      <c r="AC606" s="396">
        <v>10207916</v>
      </c>
    </row>
    <row r="607" spans="1:29">
      <c r="A607">
        <v>2399</v>
      </c>
      <c r="B607" s="395" t="s">
        <v>7035</v>
      </c>
      <c r="C607" s="395"/>
      <c r="D607" s="396">
        <v>184036</v>
      </c>
      <c r="E607" s="396">
        <v>227796</v>
      </c>
      <c r="F607" s="395">
        <v>5.21</v>
      </c>
      <c r="G607" s="396">
        <v>-43760</v>
      </c>
      <c r="H607" s="396">
        <v>24614</v>
      </c>
      <c r="I607" s="396">
        <v>651398</v>
      </c>
      <c r="J607" s="395">
        <v>261</v>
      </c>
      <c r="K607" s="395">
        <v>214</v>
      </c>
      <c r="L607" s="397">
        <v>0.81989999999999996</v>
      </c>
      <c r="M607" s="395">
        <v>47</v>
      </c>
      <c r="N607" s="395">
        <v>705</v>
      </c>
      <c r="O607" s="396">
        <v>1064</v>
      </c>
      <c r="P607" s="395">
        <v>1.1399999999999999</v>
      </c>
      <c r="Q607" s="395">
        <v>-931</v>
      </c>
      <c r="R607" s="396">
        <v>4386</v>
      </c>
      <c r="S607" s="396">
        <v>-3850</v>
      </c>
      <c r="T607" s="396">
        <v>220471</v>
      </c>
      <c r="U607" s="396">
        <v>-71431</v>
      </c>
      <c r="V607" s="395">
        <v>1410.34</v>
      </c>
      <c r="W607" s="395">
        <v>1058.9100000000001</v>
      </c>
      <c r="X607" s="395">
        <v>77490</v>
      </c>
      <c r="Y607" s="395">
        <v>3010.47</v>
      </c>
      <c r="Z607" s="396">
        <v>7453312</v>
      </c>
      <c r="AA607" s="396">
        <v>184036</v>
      </c>
      <c r="AB607" s="396">
        <v>10821144</v>
      </c>
      <c r="AC607" s="396">
        <v>10207916</v>
      </c>
    </row>
    <row r="608" spans="1:29">
      <c r="A608">
        <v>3583</v>
      </c>
      <c r="B608" s="395" t="s">
        <v>7488</v>
      </c>
      <c r="C608" s="395"/>
      <c r="D608" s="396">
        <v>183818</v>
      </c>
      <c r="E608" s="396">
        <v>568366</v>
      </c>
      <c r="F608" s="395">
        <v>1.48</v>
      </c>
      <c r="G608" s="396">
        <v>-384548</v>
      </c>
      <c r="H608" s="396">
        <v>75598</v>
      </c>
      <c r="I608" s="396">
        <v>3247752</v>
      </c>
      <c r="J608" s="395">
        <v>258</v>
      </c>
      <c r="K608" s="395">
        <v>191</v>
      </c>
      <c r="L608" s="397">
        <v>0.74029999999999996</v>
      </c>
      <c r="M608" s="395">
        <v>67</v>
      </c>
      <c r="N608" s="395">
        <v>712</v>
      </c>
      <c r="O608" s="396">
        <v>2976</v>
      </c>
      <c r="P608" s="395">
        <v>0.52</v>
      </c>
      <c r="Q608" s="396">
        <v>-5740</v>
      </c>
      <c r="R608" s="396">
        <v>12320</v>
      </c>
      <c r="S608" s="396">
        <v>-25693</v>
      </c>
      <c r="T608" s="396">
        <v>715053</v>
      </c>
      <c r="U608" s="396">
        <v>-426662</v>
      </c>
      <c r="V608" s="395">
        <v>3275.85</v>
      </c>
      <c r="W608" s="395">
        <v>2217.9899999999998</v>
      </c>
      <c r="X608" s="395">
        <v>77490</v>
      </c>
      <c r="Y608" s="395">
        <v>6291.55</v>
      </c>
      <c r="Z608" s="396">
        <v>-10088844</v>
      </c>
      <c r="AA608" s="396">
        <v>183818</v>
      </c>
      <c r="AB608" s="396">
        <v>19821118</v>
      </c>
      <c r="AC608" s="396">
        <v>10207916</v>
      </c>
    </row>
    <row r="609" spans="1:29">
      <c r="A609">
        <v>2104</v>
      </c>
      <c r="B609" s="395" t="s">
        <v>6945</v>
      </c>
      <c r="C609" s="395"/>
      <c r="D609" s="396">
        <v>183707</v>
      </c>
      <c r="E609" s="396">
        <v>254756</v>
      </c>
      <c r="F609" s="395">
        <v>3.59</v>
      </c>
      <c r="G609" s="396">
        <v>-71049</v>
      </c>
      <c r="H609" s="396">
        <v>27777</v>
      </c>
      <c r="I609" s="396">
        <v>1357099</v>
      </c>
      <c r="J609" s="395">
        <v>266</v>
      </c>
      <c r="K609" s="395">
        <v>223</v>
      </c>
      <c r="L609" s="397">
        <v>0.83830000000000005</v>
      </c>
      <c r="M609" s="395">
        <v>43</v>
      </c>
      <c r="N609" s="395">
        <v>691</v>
      </c>
      <c r="O609" s="396">
        <v>1142</v>
      </c>
      <c r="P609" s="395">
        <v>0.69</v>
      </c>
      <c r="Q609" s="396">
        <v>-1652</v>
      </c>
      <c r="R609" s="396">
        <v>4499</v>
      </c>
      <c r="S609" s="396">
        <v>-4569</v>
      </c>
      <c r="T609" s="396">
        <v>243565</v>
      </c>
      <c r="U609" s="396">
        <v>-102331</v>
      </c>
      <c r="V609" s="395">
        <v>4287.9399999999996</v>
      </c>
      <c r="W609" s="395">
        <v>3240.75</v>
      </c>
      <c r="X609" s="395">
        <v>77220</v>
      </c>
      <c r="Y609" s="395">
        <v>9718.74</v>
      </c>
      <c r="Z609" s="396">
        <v>-11742636</v>
      </c>
      <c r="AA609" s="396">
        <v>183707</v>
      </c>
      <c r="AB609" s="396">
        <v>3502262</v>
      </c>
      <c r="AC609" s="396">
        <v>10207916</v>
      </c>
    </row>
    <row r="610" spans="1:29">
      <c r="A610">
        <v>2362</v>
      </c>
      <c r="B610" s="395" t="s">
        <v>7010</v>
      </c>
      <c r="C610" s="395"/>
      <c r="D610" s="396">
        <v>183356</v>
      </c>
      <c r="E610" s="396">
        <v>257105</v>
      </c>
      <c r="F610" s="395">
        <v>3.49</v>
      </c>
      <c r="G610" s="396">
        <v>-73749</v>
      </c>
      <c r="H610" s="396">
        <v>33071</v>
      </c>
      <c r="I610" s="396">
        <v>2113050</v>
      </c>
      <c r="J610" s="395">
        <v>266</v>
      </c>
      <c r="K610" s="395">
        <v>210</v>
      </c>
      <c r="L610" s="397">
        <v>0.78949999999999998</v>
      </c>
      <c r="M610" s="395">
        <v>56</v>
      </c>
      <c r="N610" s="395">
        <v>689</v>
      </c>
      <c r="O610" s="396">
        <v>1224</v>
      </c>
      <c r="P610" s="395">
        <v>0.93</v>
      </c>
      <c r="Q610" s="396">
        <v>-1317</v>
      </c>
      <c r="R610" s="396">
        <v>3582</v>
      </c>
      <c r="S610" s="396">
        <v>-2977</v>
      </c>
      <c r="T610" s="396">
        <v>295368</v>
      </c>
      <c r="U610" s="396">
        <v>-126798</v>
      </c>
      <c r="V610" s="395">
        <v>6047.34</v>
      </c>
      <c r="W610" s="395">
        <v>5809.02</v>
      </c>
      <c r="X610" s="395">
        <v>77490</v>
      </c>
      <c r="Y610" s="395">
        <v>6941.04</v>
      </c>
      <c r="Z610" s="396">
        <v>-1979111</v>
      </c>
      <c r="AA610" s="396">
        <v>183356</v>
      </c>
      <c r="AB610" s="396">
        <v>1498942</v>
      </c>
      <c r="AC610" s="396">
        <v>10207916</v>
      </c>
    </row>
    <row r="611" spans="1:29">
      <c r="A611">
        <v>2527</v>
      </c>
      <c r="B611" s="395" t="s">
        <v>7120</v>
      </c>
      <c r="C611" s="395"/>
      <c r="D611" s="396">
        <v>183301</v>
      </c>
      <c r="E611" s="396">
        <v>211330</v>
      </c>
      <c r="F611" s="395">
        <v>7.54</v>
      </c>
      <c r="G611" s="396">
        <v>-28029</v>
      </c>
      <c r="H611" s="396">
        <v>27049</v>
      </c>
      <c r="I611" s="396">
        <v>1568781</v>
      </c>
      <c r="J611" s="395">
        <v>250</v>
      </c>
      <c r="K611" s="395">
        <v>215</v>
      </c>
      <c r="L611" s="397">
        <v>0.86</v>
      </c>
      <c r="M611" s="395">
        <v>35</v>
      </c>
      <c r="N611" s="395">
        <v>733</v>
      </c>
      <c r="O611" s="395">
        <v>983</v>
      </c>
      <c r="P611" s="395">
        <v>1.23</v>
      </c>
      <c r="Q611" s="395">
        <v>-801</v>
      </c>
      <c r="R611" s="396">
        <v>3629</v>
      </c>
      <c r="S611" s="396">
        <v>-3034</v>
      </c>
      <c r="T611" s="396">
        <v>191895</v>
      </c>
      <c r="U611" s="396">
        <v>-124606</v>
      </c>
      <c r="V611" s="395">
        <v>3612.76</v>
      </c>
      <c r="W611" s="395">
        <v>2653.94</v>
      </c>
      <c r="X611" s="395">
        <v>77490</v>
      </c>
      <c r="Y611" s="395">
        <v>9502.66</v>
      </c>
      <c r="Z611" s="396">
        <v>17741724</v>
      </c>
      <c r="AA611" s="396">
        <v>183301</v>
      </c>
      <c r="AB611" s="396">
        <v>32955811</v>
      </c>
      <c r="AC611" s="396">
        <v>10207916</v>
      </c>
    </row>
    <row r="612" spans="1:29">
      <c r="A612">
        <v>1409</v>
      </c>
      <c r="B612" s="395" t="s">
        <v>6735</v>
      </c>
      <c r="C612" s="395"/>
      <c r="D612" s="396">
        <v>182955</v>
      </c>
      <c r="E612" s="396">
        <v>195394</v>
      </c>
      <c r="F612" s="395">
        <v>15.71</v>
      </c>
      <c r="G612" s="396">
        <v>-12439</v>
      </c>
      <c r="H612" s="396">
        <v>21561</v>
      </c>
      <c r="I612" s="396">
        <v>1175969</v>
      </c>
      <c r="J612" s="395">
        <v>275</v>
      </c>
      <c r="K612" s="395">
        <v>257</v>
      </c>
      <c r="L612" s="397">
        <v>0.9345</v>
      </c>
      <c r="M612" s="395">
        <v>18</v>
      </c>
      <c r="N612" s="395">
        <v>665</v>
      </c>
      <c r="O612" s="395">
        <v>760</v>
      </c>
      <c r="P612" s="395">
        <v>1.1000000000000001</v>
      </c>
      <c r="Q612" s="395">
        <v>-691</v>
      </c>
      <c r="R612" s="396">
        <v>3000</v>
      </c>
      <c r="S612" s="396">
        <v>-3187</v>
      </c>
      <c r="T612" s="396">
        <v>201706</v>
      </c>
      <c r="U612" s="396">
        <v>-63803</v>
      </c>
      <c r="V612" s="395">
        <v>4657.0600000000004</v>
      </c>
      <c r="W612" s="395">
        <v>4522.22</v>
      </c>
      <c r="X612" s="395">
        <v>77490</v>
      </c>
      <c r="Y612" s="395">
        <v>6582.33</v>
      </c>
      <c r="Z612" s="396">
        <v>13680526</v>
      </c>
      <c r="AA612" s="396">
        <v>182955</v>
      </c>
      <c r="AB612" s="396">
        <v>27002052</v>
      </c>
      <c r="AC612" s="396">
        <v>10207916</v>
      </c>
    </row>
    <row r="613" spans="1:29">
      <c r="A613">
        <v>3059</v>
      </c>
      <c r="B613" s="395" t="s">
        <v>7296</v>
      </c>
      <c r="C613" s="395"/>
      <c r="D613" s="396">
        <v>182164</v>
      </c>
      <c r="E613" s="396">
        <v>303165</v>
      </c>
      <c r="F613" s="395">
        <v>2.5099999999999998</v>
      </c>
      <c r="G613" s="396">
        <v>-121001</v>
      </c>
      <c r="H613" s="396">
        <v>43037</v>
      </c>
      <c r="I613" s="396">
        <v>695774</v>
      </c>
      <c r="J613" s="395">
        <v>276</v>
      </c>
      <c r="K613" s="395">
        <v>218</v>
      </c>
      <c r="L613" s="397">
        <v>0.78990000000000005</v>
      </c>
      <c r="M613" s="395">
        <v>58</v>
      </c>
      <c r="N613" s="395">
        <v>660</v>
      </c>
      <c r="O613" s="396">
        <v>1391</v>
      </c>
      <c r="P613" s="395">
        <v>0.67</v>
      </c>
      <c r="Q613" s="396">
        <v>-2086</v>
      </c>
      <c r="R613" s="396">
        <v>6726</v>
      </c>
      <c r="S613" s="396">
        <v>-8841</v>
      </c>
      <c r="T613" s="396">
        <v>242484</v>
      </c>
      <c r="U613" s="396">
        <v>-107478</v>
      </c>
      <c r="V613" s="395">
        <v>1508.13</v>
      </c>
      <c r="W613" s="395">
        <v>958.79</v>
      </c>
      <c r="X613" s="395">
        <v>77490</v>
      </c>
      <c r="Y613" s="395">
        <v>3572.88</v>
      </c>
      <c r="Z613" s="396">
        <v>-5052306</v>
      </c>
      <c r="AA613" s="396">
        <v>182164</v>
      </c>
      <c r="AB613" s="396">
        <v>14265576</v>
      </c>
      <c r="AC613" s="396">
        <v>10207916</v>
      </c>
    </row>
    <row r="614" spans="1:29">
      <c r="A614">
        <v>3521</v>
      </c>
      <c r="B614" s="395" t="s">
        <v>7453</v>
      </c>
      <c r="C614" s="395"/>
      <c r="D614" s="396">
        <v>181742</v>
      </c>
      <c r="E614" s="396">
        <v>252946</v>
      </c>
      <c r="F614" s="395">
        <v>3.55</v>
      </c>
      <c r="G614" s="396">
        <v>-71204</v>
      </c>
      <c r="H614" s="396">
        <v>10958</v>
      </c>
      <c r="I614" s="396">
        <v>1472981</v>
      </c>
      <c r="J614" s="395">
        <v>189</v>
      </c>
      <c r="K614" s="395">
        <v>140</v>
      </c>
      <c r="L614" s="397">
        <v>0.74070000000000003</v>
      </c>
      <c r="M614" s="395">
        <v>49</v>
      </c>
      <c r="N614" s="395">
        <v>962</v>
      </c>
      <c r="O614" s="396">
        <v>1807</v>
      </c>
      <c r="P614" s="395">
        <v>1.24</v>
      </c>
      <c r="Q614" s="396">
        <v>-1453</v>
      </c>
      <c r="R614" s="396">
        <v>4349</v>
      </c>
      <c r="S614" s="396">
        <v>-3366</v>
      </c>
      <c r="T614" s="396">
        <v>482111</v>
      </c>
      <c r="U614" s="396">
        <v>-311560</v>
      </c>
      <c r="V614" s="395">
        <v>15914.71</v>
      </c>
      <c r="W614" s="395">
        <v>11399.04</v>
      </c>
      <c r="X614" s="395">
        <v>77490</v>
      </c>
      <c r="Y614" s="395">
        <v>28816.61</v>
      </c>
      <c r="Z614" s="396">
        <v>-8159432</v>
      </c>
      <c r="AA614" s="396">
        <v>181742</v>
      </c>
      <c r="AB614" s="396">
        <v>1259124</v>
      </c>
      <c r="AC614" s="396">
        <v>10207916</v>
      </c>
    </row>
    <row r="615" spans="1:29">
      <c r="A615">
        <v>1734</v>
      </c>
      <c r="B615" s="395" t="s">
        <v>6869</v>
      </c>
      <c r="C615" s="395"/>
      <c r="D615" s="396">
        <v>180622</v>
      </c>
      <c r="E615" s="396">
        <v>254694</v>
      </c>
      <c r="F615" s="395">
        <v>3.44</v>
      </c>
      <c r="G615" s="396">
        <v>-74072</v>
      </c>
      <c r="H615" s="396">
        <v>32878</v>
      </c>
      <c r="I615" s="396">
        <v>1978226</v>
      </c>
      <c r="J615" s="395">
        <v>257</v>
      </c>
      <c r="K615" s="395">
        <v>215</v>
      </c>
      <c r="L615" s="397">
        <v>0.83660000000000001</v>
      </c>
      <c r="M615" s="395">
        <v>42</v>
      </c>
      <c r="N615" s="395">
        <v>703</v>
      </c>
      <c r="O615" s="396">
        <v>1185</v>
      </c>
      <c r="P615" s="395">
        <v>0.67</v>
      </c>
      <c r="Q615" s="396">
        <v>-1764</v>
      </c>
      <c r="R615" s="396">
        <v>4646</v>
      </c>
      <c r="S615" s="396">
        <v>-8689</v>
      </c>
      <c r="T615" s="396">
        <v>209575</v>
      </c>
      <c r="U615" s="396">
        <v>-111103</v>
      </c>
      <c r="V615" s="395">
        <v>4453.79</v>
      </c>
      <c r="W615" s="395">
        <v>4105.01</v>
      </c>
      <c r="X615" s="395">
        <v>77220</v>
      </c>
      <c r="Y615" s="395">
        <v>6239.24</v>
      </c>
      <c r="Z615" s="396">
        <v>-17183627</v>
      </c>
      <c r="AA615" s="396">
        <v>180622</v>
      </c>
      <c r="AB615" s="396">
        <v>-4798249</v>
      </c>
      <c r="AC615" s="396">
        <v>10207916</v>
      </c>
    </row>
    <row r="616" spans="1:29">
      <c r="A616">
        <v>2020</v>
      </c>
      <c r="B616" s="395" t="s">
        <v>6916</v>
      </c>
      <c r="C616" s="395"/>
      <c r="D616" s="396">
        <v>180481</v>
      </c>
      <c r="E616" s="396">
        <v>246687</v>
      </c>
      <c r="F616" s="395">
        <v>3.73</v>
      </c>
      <c r="G616" s="396">
        <v>-66206</v>
      </c>
      <c r="H616" s="396">
        <v>31514</v>
      </c>
      <c r="I616" s="396">
        <v>2935130</v>
      </c>
      <c r="J616" s="395">
        <v>262</v>
      </c>
      <c r="K616" s="395">
        <v>216</v>
      </c>
      <c r="L616" s="397">
        <v>0.82440000000000002</v>
      </c>
      <c r="M616" s="395">
        <v>46</v>
      </c>
      <c r="N616" s="395">
        <v>689</v>
      </c>
      <c r="O616" s="396">
        <v>1142</v>
      </c>
      <c r="P616" s="395">
        <v>0.79</v>
      </c>
      <c r="Q616" s="396">
        <v>-1439</v>
      </c>
      <c r="R616" s="396">
        <v>5032</v>
      </c>
      <c r="S616" s="396">
        <v>-6641</v>
      </c>
      <c r="T616" s="396">
        <v>334872</v>
      </c>
      <c r="U616" s="396">
        <v>-242727</v>
      </c>
      <c r="V616" s="395">
        <v>5979.55</v>
      </c>
      <c r="W616" s="395">
        <v>4266.32</v>
      </c>
      <c r="X616" s="395">
        <v>77490</v>
      </c>
      <c r="Y616" s="395">
        <v>14024.3</v>
      </c>
      <c r="Z616" s="396">
        <v>8362154</v>
      </c>
      <c r="AA616" s="396">
        <v>180481</v>
      </c>
      <c r="AB616" s="396">
        <v>39998776</v>
      </c>
      <c r="AC616" s="396">
        <v>10207916</v>
      </c>
    </row>
    <row r="617" spans="1:29">
      <c r="A617">
        <v>8342</v>
      </c>
      <c r="B617" s="395" t="s">
        <v>8311</v>
      </c>
      <c r="C617" s="395"/>
      <c r="D617" s="396">
        <v>180249</v>
      </c>
      <c r="E617" s="396">
        <v>181354</v>
      </c>
      <c r="F617" s="395">
        <v>164.12</v>
      </c>
      <c r="G617" s="396">
        <v>-1105</v>
      </c>
      <c r="H617" s="396">
        <v>22950</v>
      </c>
      <c r="I617" s="396">
        <v>3741678</v>
      </c>
      <c r="J617" s="395">
        <v>105</v>
      </c>
      <c r="K617" s="395">
        <v>101</v>
      </c>
      <c r="L617" s="397">
        <v>0.96189999999999998</v>
      </c>
      <c r="M617" s="395">
        <v>4</v>
      </c>
      <c r="N617" s="396">
        <v>1717</v>
      </c>
      <c r="O617" s="396">
        <v>1796</v>
      </c>
      <c r="P617" s="395">
        <v>6.51</v>
      </c>
      <c r="Q617" s="395">
        <v>-276</v>
      </c>
      <c r="R617" s="396">
        <v>4608</v>
      </c>
      <c r="S617" s="395">
        <v>-416</v>
      </c>
      <c r="T617" s="396">
        <v>267448</v>
      </c>
      <c r="U617" s="396">
        <v>-155633</v>
      </c>
      <c r="V617" s="395">
        <v>26773.5</v>
      </c>
      <c r="W617" s="395">
        <v>27483.919999999998</v>
      </c>
      <c r="X617" s="395">
        <v>74520</v>
      </c>
      <c r="Y617" s="395">
        <v>8835.5</v>
      </c>
      <c r="Z617" s="396">
        <v>4184685</v>
      </c>
      <c r="AA617" s="396">
        <v>180249</v>
      </c>
      <c r="AB617" s="396">
        <v>5716598</v>
      </c>
      <c r="AC617" s="396">
        <v>10207916</v>
      </c>
    </row>
    <row r="618" spans="1:29">
      <c r="A618">
        <v>6129</v>
      </c>
      <c r="B618" s="395" t="s">
        <v>7930</v>
      </c>
      <c r="C618" s="395"/>
      <c r="D618" s="396">
        <v>179903</v>
      </c>
      <c r="E618" s="396">
        <v>273844</v>
      </c>
      <c r="F618" s="395">
        <v>2.92</v>
      </c>
      <c r="G618" s="396">
        <v>-93941</v>
      </c>
      <c r="H618" s="396">
        <v>31647</v>
      </c>
      <c r="I618" s="396">
        <v>1491073</v>
      </c>
      <c r="J618" s="395">
        <v>239</v>
      </c>
      <c r="K618" s="395">
        <v>190</v>
      </c>
      <c r="L618" s="397">
        <v>0.79500000000000004</v>
      </c>
      <c r="M618" s="395">
        <v>49</v>
      </c>
      <c r="N618" s="395">
        <v>753</v>
      </c>
      <c r="O618" s="396">
        <v>1441</v>
      </c>
      <c r="P618" s="395">
        <v>0.75</v>
      </c>
      <c r="Q618" s="396">
        <v>-1917</v>
      </c>
      <c r="R618" s="396">
        <v>6437</v>
      </c>
      <c r="S618" s="396">
        <v>-7390</v>
      </c>
      <c r="T618" s="396">
        <v>343617</v>
      </c>
      <c r="U618" s="396">
        <v>-249900</v>
      </c>
      <c r="V618" s="395">
        <v>2245.7399999999998</v>
      </c>
      <c r="W618" s="395">
        <v>1525.49</v>
      </c>
      <c r="X618" s="395">
        <v>77490</v>
      </c>
      <c r="Y618" s="395">
        <v>5038.55</v>
      </c>
      <c r="Z618" s="396">
        <v>18833305</v>
      </c>
      <c r="AA618" s="396">
        <v>179903</v>
      </c>
      <c r="AB618" s="396">
        <v>45226891</v>
      </c>
      <c r="AC618" s="396">
        <v>10207916</v>
      </c>
    </row>
    <row r="619" spans="1:29">
      <c r="A619">
        <v>1605</v>
      </c>
      <c r="B619" s="395" t="s">
        <v>6835</v>
      </c>
      <c r="C619" s="395"/>
      <c r="D619" s="396">
        <v>179902</v>
      </c>
      <c r="E619" s="396">
        <v>204145</v>
      </c>
      <c r="F619" s="395">
        <v>8.42</v>
      </c>
      <c r="G619" s="396">
        <v>-24243</v>
      </c>
      <c r="H619" s="396">
        <v>28038</v>
      </c>
      <c r="I619" s="396">
        <v>785927</v>
      </c>
      <c r="J619" s="395">
        <v>278</v>
      </c>
      <c r="K619" s="395">
        <v>243</v>
      </c>
      <c r="L619" s="397">
        <v>0.87409999999999999</v>
      </c>
      <c r="M619" s="395">
        <v>35</v>
      </c>
      <c r="N619" s="395">
        <v>647</v>
      </c>
      <c r="O619" s="395">
        <v>840</v>
      </c>
      <c r="P619" s="395">
        <v>1.21</v>
      </c>
      <c r="Q619" s="395">
        <v>-693</v>
      </c>
      <c r="R619" s="396">
        <v>3097</v>
      </c>
      <c r="S619" s="396">
        <v>-2314</v>
      </c>
      <c r="T619" s="396">
        <v>208501</v>
      </c>
      <c r="U619" s="396">
        <v>-36699</v>
      </c>
      <c r="V619" s="395">
        <v>2297.48</v>
      </c>
      <c r="W619" s="395">
        <v>1907.02</v>
      </c>
      <c r="X619" s="395">
        <v>77490</v>
      </c>
      <c r="Y619" s="395">
        <v>5008.37</v>
      </c>
      <c r="Z619" s="396">
        <v>30195309</v>
      </c>
      <c r="AA619" s="396">
        <v>179902</v>
      </c>
      <c r="AB619" s="396">
        <v>28385533</v>
      </c>
      <c r="AC619" s="396">
        <v>10207916</v>
      </c>
    </row>
    <row r="620" spans="1:29">
      <c r="A620">
        <v>6161</v>
      </c>
      <c r="B620" s="395" t="s">
        <v>7954</v>
      </c>
      <c r="C620" s="395"/>
      <c r="D620" s="396">
        <v>179760</v>
      </c>
      <c r="E620" s="396">
        <v>205340</v>
      </c>
      <c r="F620" s="395">
        <v>8.0299999999999994</v>
      </c>
      <c r="G620" s="396">
        <v>-25580</v>
      </c>
      <c r="H620" s="396">
        <v>26063</v>
      </c>
      <c r="I620" s="396">
        <v>592356</v>
      </c>
      <c r="J620" s="395">
        <v>251</v>
      </c>
      <c r="K620" s="395">
        <v>216</v>
      </c>
      <c r="L620" s="397">
        <v>0.86060000000000003</v>
      </c>
      <c r="M620" s="395">
        <v>35</v>
      </c>
      <c r="N620" s="395">
        <v>716</v>
      </c>
      <c r="O620" s="395">
        <v>951</v>
      </c>
      <c r="P620" s="395">
        <v>1.3</v>
      </c>
      <c r="Q620" s="395">
        <v>-731</v>
      </c>
      <c r="R620" s="396">
        <v>3365</v>
      </c>
      <c r="S620" s="396">
        <v>-1705</v>
      </c>
      <c r="T620" s="396">
        <v>214879</v>
      </c>
      <c r="U620" s="396">
        <v>-57329</v>
      </c>
      <c r="V620" s="395">
        <v>2552.88</v>
      </c>
      <c r="W620" s="395">
        <v>1919.02</v>
      </c>
      <c r="X620" s="395">
        <v>77490</v>
      </c>
      <c r="Y620" s="395">
        <v>6464.74</v>
      </c>
      <c r="Z620" s="396">
        <v>7262295</v>
      </c>
      <c r="AA620" s="396">
        <v>179760</v>
      </c>
      <c r="AB620" s="396">
        <v>42794069</v>
      </c>
      <c r="AC620" s="396">
        <v>10207916</v>
      </c>
    </row>
    <row r="621" spans="1:29">
      <c r="A621">
        <v>4908</v>
      </c>
      <c r="B621" s="395" t="s">
        <v>7706</v>
      </c>
      <c r="C621" s="395"/>
      <c r="D621" s="396">
        <v>179736</v>
      </c>
      <c r="E621" s="396">
        <v>262156</v>
      </c>
      <c r="F621" s="395">
        <v>3.18</v>
      </c>
      <c r="G621" s="396">
        <v>-82420</v>
      </c>
      <c r="H621" s="396">
        <v>31226</v>
      </c>
      <c r="I621" s="396">
        <v>1677861</v>
      </c>
      <c r="J621" s="395">
        <v>256</v>
      </c>
      <c r="K621" s="395">
        <v>207</v>
      </c>
      <c r="L621" s="397">
        <v>0.80859999999999999</v>
      </c>
      <c r="M621" s="395">
        <v>49</v>
      </c>
      <c r="N621" s="395">
        <v>702</v>
      </c>
      <c r="O621" s="396">
        <v>1266</v>
      </c>
      <c r="P621" s="395">
        <v>0.75</v>
      </c>
      <c r="Q621" s="396">
        <v>-1682</v>
      </c>
      <c r="R621" s="396">
        <v>5385</v>
      </c>
      <c r="S621" s="396">
        <v>-6138</v>
      </c>
      <c r="T621" s="396">
        <v>302009</v>
      </c>
      <c r="U621" s="396">
        <v>-160937</v>
      </c>
      <c r="V621" s="395">
        <v>3807.85</v>
      </c>
      <c r="W621" s="395">
        <v>2794.91</v>
      </c>
      <c r="X621" s="395">
        <v>77490</v>
      </c>
      <c r="Y621" s="395">
        <v>8087</v>
      </c>
      <c r="Z621" s="396">
        <v>-10395699</v>
      </c>
      <c r="AA621" s="396">
        <v>179736</v>
      </c>
      <c r="AB621" s="396">
        <v>1811209</v>
      </c>
      <c r="AC621" s="396">
        <v>10207916</v>
      </c>
    </row>
    <row r="622" spans="1:29">
      <c r="A622">
        <v>8182</v>
      </c>
      <c r="B622" s="395" t="s">
        <v>8291</v>
      </c>
      <c r="C622" s="395"/>
      <c r="D622" s="396">
        <v>179707</v>
      </c>
      <c r="E622" s="396">
        <v>284215</v>
      </c>
      <c r="F622" s="395">
        <v>2.72</v>
      </c>
      <c r="G622" s="396">
        <v>-104508</v>
      </c>
      <c r="H622" s="396">
        <v>47909</v>
      </c>
      <c r="I622" s="396">
        <v>1953029</v>
      </c>
      <c r="J622" s="395">
        <v>270</v>
      </c>
      <c r="K622" s="395">
        <v>214</v>
      </c>
      <c r="L622" s="397">
        <v>0.79259999999999997</v>
      </c>
      <c r="M622" s="395">
        <v>56</v>
      </c>
      <c r="N622" s="395">
        <v>666</v>
      </c>
      <c r="O622" s="396">
        <v>1328</v>
      </c>
      <c r="P622" s="395">
        <v>0.71</v>
      </c>
      <c r="Q622" s="396">
        <v>-1866</v>
      </c>
      <c r="R622" s="396">
        <v>6368</v>
      </c>
      <c r="S622" s="396">
        <v>-7815</v>
      </c>
      <c r="T622" s="396">
        <v>243111</v>
      </c>
      <c r="U622" s="396">
        <v>-198941</v>
      </c>
      <c r="V622" s="395">
        <v>2009.77</v>
      </c>
      <c r="W622" s="395">
        <v>1166.78</v>
      </c>
      <c r="X622" s="395">
        <v>77490</v>
      </c>
      <c r="Y622" s="395">
        <v>5231.18</v>
      </c>
      <c r="Z622" s="396">
        <v>11029352</v>
      </c>
      <c r="AA622" s="396">
        <v>179707</v>
      </c>
      <c r="AB622" s="396">
        <v>36191185</v>
      </c>
      <c r="AC622" s="396">
        <v>10207916</v>
      </c>
    </row>
    <row r="623" spans="1:29">
      <c r="A623">
        <v>2634</v>
      </c>
      <c r="B623" s="395" t="s">
        <v>7156</v>
      </c>
      <c r="C623" s="395"/>
      <c r="D623" s="396">
        <v>179405</v>
      </c>
      <c r="E623" s="396">
        <v>202691</v>
      </c>
      <c r="F623" s="395">
        <v>8.6999999999999993</v>
      </c>
      <c r="G623" s="396">
        <v>-23286</v>
      </c>
      <c r="H623" s="396">
        <v>32013</v>
      </c>
      <c r="I623" s="396">
        <v>1799185</v>
      </c>
      <c r="J623" s="395">
        <v>272</v>
      </c>
      <c r="K623" s="395">
        <v>233</v>
      </c>
      <c r="L623" s="397">
        <v>0.85660000000000003</v>
      </c>
      <c r="M623" s="395">
        <v>39</v>
      </c>
      <c r="N623" s="395">
        <v>660</v>
      </c>
      <c r="O623" s="395">
        <v>870</v>
      </c>
      <c r="P623" s="395">
        <v>1.46</v>
      </c>
      <c r="Q623" s="395">
        <v>-597</v>
      </c>
      <c r="R623" s="396">
        <v>3440</v>
      </c>
      <c r="S623" s="396">
        <v>-1821</v>
      </c>
      <c r="T623" s="396">
        <v>203344</v>
      </c>
      <c r="U623" s="396">
        <v>-53273</v>
      </c>
      <c r="V623" s="395">
        <v>4903.55</v>
      </c>
      <c r="W623" s="395">
        <v>4207.8900000000003</v>
      </c>
      <c r="X623" s="395">
        <v>77490</v>
      </c>
      <c r="Y623" s="395">
        <v>9059.69</v>
      </c>
      <c r="Z623" s="396">
        <v>-8841369</v>
      </c>
      <c r="AA623" s="396">
        <v>179405</v>
      </c>
      <c r="AB623" s="396">
        <v>406829</v>
      </c>
      <c r="AC623" s="396">
        <v>10207916</v>
      </c>
    </row>
    <row r="624" spans="1:29">
      <c r="A624">
        <v>2371</v>
      </c>
      <c r="B624" s="395" t="s">
        <v>7017</v>
      </c>
      <c r="C624" s="395"/>
      <c r="D624" s="396">
        <v>179174</v>
      </c>
      <c r="E624" s="396">
        <v>232170</v>
      </c>
      <c r="F624" s="395">
        <v>4.38</v>
      </c>
      <c r="G624" s="396">
        <v>-52996</v>
      </c>
      <c r="H624" s="396">
        <v>32676</v>
      </c>
      <c r="I624" s="396">
        <v>1850319</v>
      </c>
      <c r="J624" s="395">
        <v>279</v>
      </c>
      <c r="K624" s="395">
        <v>242</v>
      </c>
      <c r="L624" s="397">
        <v>0.86739999999999995</v>
      </c>
      <c r="M624" s="395">
        <v>37</v>
      </c>
      <c r="N624" s="395">
        <v>642</v>
      </c>
      <c r="O624" s="395">
        <v>959</v>
      </c>
      <c r="P624" s="395">
        <v>0.67</v>
      </c>
      <c r="Q624" s="396">
        <v>-1432</v>
      </c>
      <c r="R624" s="396">
        <v>4027</v>
      </c>
      <c r="S624" s="396">
        <v>-5693</v>
      </c>
      <c r="T624" s="396">
        <v>234555</v>
      </c>
      <c r="U624" s="396">
        <v>-188610</v>
      </c>
      <c r="V624" s="395">
        <v>3012.49</v>
      </c>
      <c r="W624" s="395">
        <v>2377.77</v>
      </c>
      <c r="X624" s="395">
        <v>77490</v>
      </c>
      <c r="Y624" s="395">
        <v>7163.95</v>
      </c>
      <c r="Z624" s="396">
        <v>-7727534</v>
      </c>
      <c r="AA624" s="396">
        <v>179174</v>
      </c>
      <c r="AB624" s="396">
        <v>11221388</v>
      </c>
      <c r="AC624" s="396">
        <v>10207916</v>
      </c>
    </row>
    <row r="625" spans="1:29">
      <c r="A625">
        <v>5220</v>
      </c>
      <c r="B625" s="395" t="s">
        <v>7770</v>
      </c>
      <c r="C625" s="395"/>
      <c r="D625" s="396">
        <v>178333</v>
      </c>
      <c r="E625" s="396">
        <v>247088</v>
      </c>
      <c r="F625" s="395">
        <v>3.59</v>
      </c>
      <c r="G625" s="396">
        <v>-68755</v>
      </c>
      <c r="H625" s="396">
        <v>34553</v>
      </c>
      <c r="I625" s="396">
        <v>3123517</v>
      </c>
      <c r="J625" s="395">
        <v>219</v>
      </c>
      <c r="K625" s="395">
        <v>163</v>
      </c>
      <c r="L625" s="397">
        <v>0.74429999999999996</v>
      </c>
      <c r="M625" s="395">
        <v>56</v>
      </c>
      <c r="N625" s="395">
        <v>814</v>
      </c>
      <c r="O625" s="396">
        <v>1516</v>
      </c>
      <c r="P625" s="395">
        <v>1.23</v>
      </c>
      <c r="Q625" s="396">
        <v>-1228</v>
      </c>
      <c r="R625" s="396">
        <v>6297</v>
      </c>
      <c r="S625" s="396">
        <v>-7832</v>
      </c>
      <c r="T625" s="396">
        <v>277149</v>
      </c>
      <c r="U625" s="396">
        <v>-220187</v>
      </c>
      <c r="V625" s="395">
        <v>9090.68</v>
      </c>
      <c r="W625" s="395">
        <v>7152.19</v>
      </c>
      <c r="X625" s="395">
        <v>77490</v>
      </c>
      <c r="Y625" s="395">
        <v>14733.07</v>
      </c>
      <c r="Z625" s="396">
        <v>-11028525</v>
      </c>
      <c r="AA625" s="396">
        <v>178333</v>
      </c>
      <c r="AB625" s="396">
        <v>-3450842</v>
      </c>
      <c r="AC625" s="396">
        <v>10207916</v>
      </c>
    </row>
    <row r="626" spans="1:29">
      <c r="A626">
        <v>6229</v>
      </c>
      <c r="B626" s="395" t="s">
        <v>8015</v>
      </c>
      <c r="C626" s="395"/>
      <c r="D626" s="396">
        <v>178102</v>
      </c>
      <c r="E626" s="396">
        <v>333042</v>
      </c>
      <c r="F626" s="395">
        <v>2.15</v>
      </c>
      <c r="G626" s="396">
        <v>-154940</v>
      </c>
      <c r="H626" s="396">
        <v>39498</v>
      </c>
      <c r="I626" s="396">
        <v>1536173</v>
      </c>
      <c r="J626" s="395">
        <v>257</v>
      </c>
      <c r="K626" s="395">
        <v>201</v>
      </c>
      <c r="L626" s="397">
        <v>0.78210000000000002</v>
      </c>
      <c r="M626" s="395">
        <v>56</v>
      </c>
      <c r="N626" s="395">
        <v>693</v>
      </c>
      <c r="O626" s="396">
        <v>1657</v>
      </c>
      <c r="P626" s="395">
        <v>0.6</v>
      </c>
      <c r="Q626" s="396">
        <v>-2767</v>
      </c>
      <c r="R626" s="396">
        <v>8349</v>
      </c>
      <c r="S626" s="396">
        <v>-12759</v>
      </c>
      <c r="T626" s="396">
        <v>331051</v>
      </c>
      <c r="U626" s="396">
        <v>-175253</v>
      </c>
      <c r="V626" s="395">
        <v>3368.2</v>
      </c>
      <c r="W626" s="395">
        <v>2323.58</v>
      </c>
      <c r="X626" s="395">
        <v>77490</v>
      </c>
      <c r="Y626" s="395">
        <v>7117.66</v>
      </c>
      <c r="Z626" s="396">
        <v>-18272708</v>
      </c>
      <c r="AA626" s="396">
        <v>178102</v>
      </c>
      <c r="AB626" s="396">
        <v>10085457</v>
      </c>
      <c r="AC626" s="396">
        <v>10207916</v>
      </c>
    </row>
    <row r="627" spans="1:29">
      <c r="A627">
        <v>2936</v>
      </c>
      <c r="B627" s="395" t="s">
        <v>7240</v>
      </c>
      <c r="C627" s="395"/>
      <c r="D627" s="396">
        <v>178032</v>
      </c>
      <c r="E627" s="396">
        <v>211063</v>
      </c>
      <c r="F627" s="395">
        <v>6.39</v>
      </c>
      <c r="G627" s="396">
        <v>-33031</v>
      </c>
      <c r="H627" s="396">
        <v>25418</v>
      </c>
      <c r="I627" s="396">
        <v>619272</v>
      </c>
      <c r="J627" s="395">
        <v>252</v>
      </c>
      <c r="K627" s="395">
        <v>206</v>
      </c>
      <c r="L627" s="397">
        <v>0.8175</v>
      </c>
      <c r="M627" s="395">
        <v>46</v>
      </c>
      <c r="N627" s="395">
        <v>706</v>
      </c>
      <c r="O627" s="396">
        <v>1025</v>
      </c>
      <c r="P627" s="395">
        <v>1.43</v>
      </c>
      <c r="Q627" s="395">
        <v>-718</v>
      </c>
      <c r="R627" s="396">
        <v>4353</v>
      </c>
      <c r="S627" s="396">
        <v>-4603</v>
      </c>
      <c r="T627" s="396">
        <v>194692</v>
      </c>
      <c r="U627" s="396">
        <v>-43705</v>
      </c>
      <c r="V627" s="395">
        <v>2908.65</v>
      </c>
      <c r="W627" s="395">
        <v>2774.04</v>
      </c>
      <c r="X627" s="395">
        <v>77490</v>
      </c>
      <c r="Y627" s="395">
        <v>3511.46</v>
      </c>
      <c r="Z627" s="396">
        <v>29842416</v>
      </c>
      <c r="AA627" s="396">
        <v>178032</v>
      </c>
      <c r="AB627" s="396">
        <v>38393593</v>
      </c>
      <c r="AC627" s="396">
        <v>10207916</v>
      </c>
    </row>
    <row r="628" spans="1:29">
      <c r="A628">
        <v>9925</v>
      </c>
      <c r="B628" s="395" t="s">
        <v>8407</v>
      </c>
      <c r="C628" s="395"/>
      <c r="D628" s="396">
        <v>177832</v>
      </c>
      <c r="E628" s="396">
        <v>184987</v>
      </c>
      <c r="F628" s="395">
        <v>25.85</v>
      </c>
      <c r="G628" s="396">
        <v>-7155</v>
      </c>
      <c r="H628" s="396">
        <v>35454</v>
      </c>
      <c r="I628" s="396">
        <v>2860938</v>
      </c>
      <c r="J628" s="395">
        <v>227</v>
      </c>
      <c r="K628" s="395">
        <v>178</v>
      </c>
      <c r="L628" s="397">
        <v>0.78410000000000002</v>
      </c>
      <c r="M628" s="395">
        <v>49</v>
      </c>
      <c r="N628" s="395">
        <v>783</v>
      </c>
      <c r="O628" s="396">
        <v>1039</v>
      </c>
      <c r="P628" s="395">
        <v>7.12</v>
      </c>
      <c r="Q628" s="395">
        <v>-146</v>
      </c>
      <c r="R628" s="396">
        <v>2614</v>
      </c>
      <c r="S628" s="395">
        <v>-408</v>
      </c>
      <c r="T628" s="396">
        <v>201883</v>
      </c>
      <c r="U628" s="396">
        <v>-41896</v>
      </c>
      <c r="V628" s="395">
        <v>10463.219999999999</v>
      </c>
      <c r="W628" s="395">
        <v>11131.75</v>
      </c>
      <c r="X628" s="395">
        <v>77490</v>
      </c>
      <c r="Y628" s="395">
        <v>8034.67</v>
      </c>
      <c r="Z628" s="396">
        <v>4502554</v>
      </c>
      <c r="AA628" s="396">
        <v>177832</v>
      </c>
      <c r="AB628" s="396">
        <v>5882650</v>
      </c>
      <c r="AC628" s="396">
        <v>10207916</v>
      </c>
    </row>
    <row r="629" spans="1:29">
      <c r="A629">
        <v>6158</v>
      </c>
      <c r="B629" s="395" t="s">
        <v>7952</v>
      </c>
      <c r="C629" s="395"/>
      <c r="D629" s="396">
        <v>177727</v>
      </c>
      <c r="E629" s="396">
        <v>248547</v>
      </c>
      <c r="F629" s="395">
        <v>3.51</v>
      </c>
      <c r="G629" s="396">
        <v>-70820</v>
      </c>
      <c r="H629" s="396">
        <v>34583</v>
      </c>
      <c r="I629" s="396">
        <v>1312770</v>
      </c>
      <c r="J629" s="395">
        <v>243</v>
      </c>
      <c r="K629" s="395">
        <v>199</v>
      </c>
      <c r="L629" s="397">
        <v>0.81889999999999996</v>
      </c>
      <c r="M629" s="395">
        <v>44</v>
      </c>
      <c r="N629" s="395">
        <v>731</v>
      </c>
      <c r="O629" s="396">
        <v>1249</v>
      </c>
      <c r="P629" s="395">
        <v>0.78</v>
      </c>
      <c r="Q629" s="396">
        <v>-1610</v>
      </c>
      <c r="R629" s="396">
        <v>5387</v>
      </c>
      <c r="S629" s="396">
        <v>-8466</v>
      </c>
      <c r="T629" s="396">
        <v>244326</v>
      </c>
      <c r="U629" s="396">
        <v>-99832</v>
      </c>
      <c r="V629" s="395">
        <v>2483.39</v>
      </c>
      <c r="W629" s="395">
        <v>1921.59</v>
      </c>
      <c r="X629" s="395">
        <v>77490</v>
      </c>
      <c r="Y629" s="395">
        <v>5024.25</v>
      </c>
      <c r="Z629" s="396">
        <v>-594390</v>
      </c>
      <c r="AA629" s="396">
        <v>177727</v>
      </c>
      <c r="AB629" s="396">
        <v>6806713</v>
      </c>
      <c r="AC629" s="396">
        <v>10207916</v>
      </c>
    </row>
    <row r="630" spans="1:29">
      <c r="A630">
        <v>3028</v>
      </c>
      <c r="B630" s="395" t="s">
        <v>7267</v>
      </c>
      <c r="C630" s="395"/>
      <c r="D630" s="396">
        <v>177613</v>
      </c>
      <c r="E630" s="396">
        <v>184637</v>
      </c>
      <c r="F630" s="395">
        <v>26.29</v>
      </c>
      <c r="G630" s="396">
        <v>-7024</v>
      </c>
      <c r="H630" s="396">
        <v>29632</v>
      </c>
      <c r="I630" s="396">
        <v>839603</v>
      </c>
      <c r="J630" s="395">
        <v>253</v>
      </c>
      <c r="K630" s="395">
        <v>234</v>
      </c>
      <c r="L630" s="397">
        <v>0.92490000000000006</v>
      </c>
      <c r="M630" s="395">
        <v>19</v>
      </c>
      <c r="N630" s="395">
        <v>702</v>
      </c>
      <c r="O630" s="395">
        <v>789</v>
      </c>
      <c r="P630" s="395">
        <v>2.13</v>
      </c>
      <c r="Q630" s="395">
        <v>-370</v>
      </c>
      <c r="R630" s="396">
        <v>2941</v>
      </c>
      <c r="S630" s="396">
        <v>-1168</v>
      </c>
      <c r="T630" s="396">
        <v>180292</v>
      </c>
      <c r="U630" s="396">
        <v>-27026</v>
      </c>
      <c r="V630" s="395">
        <v>2412.0300000000002</v>
      </c>
      <c r="W630" s="395">
        <v>2194.17</v>
      </c>
      <c r="X630" s="395">
        <v>77490</v>
      </c>
      <c r="Y630" s="395">
        <v>5095.1099999999997</v>
      </c>
      <c r="Z630" s="396">
        <v>15300758</v>
      </c>
      <c r="AA630" s="396">
        <v>177613</v>
      </c>
      <c r="AB630" s="396">
        <v>40793181</v>
      </c>
      <c r="AC630" s="396">
        <v>10207916</v>
      </c>
    </row>
    <row r="631" spans="1:29">
      <c r="A631">
        <v>6184</v>
      </c>
      <c r="B631" s="395" t="s">
        <v>7973</v>
      </c>
      <c r="C631" s="395"/>
      <c r="D631" s="396">
        <v>177529</v>
      </c>
      <c r="E631" s="396">
        <v>190697</v>
      </c>
      <c r="F631" s="395">
        <v>14.48</v>
      </c>
      <c r="G631" s="396">
        <v>-13168</v>
      </c>
      <c r="H631" s="396">
        <v>34645</v>
      </c>
      <c r="I631" s="396">
        <v>3332372</v>
      </c>
      <c r="J631" s="395">
        <v>193</v>
      </c>
      <c r="K631" s="395">
        <v>174</v>
      </c>
      <c r="L631" s="397">
        <v>0.90159999999999996</v>
      </c>
      <c r="M631" s="395">
        <v>19</v>
      </c>
      <c r="N631" s="395">
        <v>920</v>
      </c>
      <c r="O631" s="396">
        <v>1096</v>
      </c>
      <c r="P631" s="395">
        <v>1.58</v>
      </c>
      <c r="Q631" s="395">
        <v>-693</v>
      </c>
      <c r="R631" s="396">
        <v>2422</v>
      </c>
      <c r="S631" s="396">
        <v>-1286</v>
      </c>
      <c r="T631" s="396">
        <v>199671</v>
      </c>
      <c r="U631" s="396">
        <v>-37933</v>
      </c>
      <c r="V631" s="395">
        <v>9846.68</v>
      </c>
      <c r="W631" s="395">
        <v>10529.02</v>
      </c>
      <c r="X631" s="395">
        <v>77490</v>
      </c>
      <c r="Y631" s="395">
        <v>3597.89</v>
      </c>
      <c r="Z631" s="396">
        <v>3364035</v>
      </c>
      <c r="AA631" s="396">
        <v>177529</v>
      </c>
      <c r="AB631" s="396">
        <v>7291895</v>
      </c>
      <c r="AC631" s="396">
        <v>10207916</v>
      </c>
    </row>
    <row r="632" spans="1:29">
      <c r="A632">
        <v>2032</v>
      </c>
      <c r="B632" s="395" t="s">
        <v>6926</v>
      </c>
      <c r="C632" s="395"/>
      <c r="D632" s="396">
        <v>176063</v>
      </c>
      <c r="E632" s="396">
        <v>275802</v>
      </c>
      <c r="F632" s="395">
        <v>2.77</v>
      </c>
      <c r="G632" s="396">
        <v>-99739</v>
      </c>
      <c r="H632" s="396">
        <v>24887</v>
      </c>
      <c r="I632" s="396">
        <v>2386871</v>
      </c>
      <c r="J632" s="395">
        <v>262</v>
      </c>
      <c r="K632" s="395">
        <v>214</v>
      </c>
      <c r="L632" s="397">
        <v>0.81679999999999997</v>
      </c>
      <c r="M632" s="395">
        <v>48</v>
      </c>
      <c r="N632" s="395">
        <v>672</v>
      </c>
      <c r="O632" s="396">
        <v>1289</v>
      </c>
      <c r="P632" s="395">
        <v>0.62</v>
      </c>
      <c r="Q632" s="396">
        <v>-2078</v>
      </c>
      <c r="R632" s="396">
        <v>4956</v>
      </c>
      <c r="S632" s="396">
        <v>-8721</v>
      </c>
      <c r="T632" s="396">
        <v>476894</v>
      </c>
      <c r="U632" s="396">
        <v>-385176</v>
      </c>
      <c r="V632" s="395">
        <v>6803.85</v>
      </c>
      <c r="W632" s="395">
        <v>5096.4399999999996</v>
      </c>
      <c r="X632" s="395">
        <v>77490</v>
      </c>
      <c r="Y632" s="395">
        <v>14416.06</v>
      </c>
      <c r="Z632" s="396">
        <v>8824976</v>
      </c>
      <c r="AA632" s="396">
        <v>176063</v>
      </c>
      <c r="AB632" s="396">
        <v>56104678</v>
      </c>
      <c r="AC632" s="396">
        <v>10207916</v>
      </c>
    </row>
    <row r="633" spans="1:29">
      <c r="A633">
        <v>6594</v>
      </c>
      <c r="B633" s="395" t="s">
        <v>8149</v>
      </c>
      <c r="C633" s="395"/>
      <c r="D633" s="396">
        <v>175351</v>
      </c>
      <c r="E633" s="396">
        <v>257938</v>
      </c>
      <c r="F633" s="395">
        <v>3.12</v>
      </c>
      <c r="G633" s="396">
        <v>-82587</v>
      </c>
      <c r="H633" s="396">
        <v>28253</v>
      </c>
      <c r="I633" s="396">
        <v>809248</v>
      </c>
      <c r="J633" s="395">
        <v>170</v>
      </c>
      <c r="K633" s="395">
        <v>139</v>
      </c>
      <c r="L633" s="397">
        <v>0.81759999999999999</v>
      </c>
      <c r="M633" s="395">
        <v>31</v>
      </c>
      <c r="N633" s="396">
        <v>1031</v>
      </c>
      <c r="O633" s="396">
        <v>1856</v>
      </c>
      <c r="P633" s="395">
        <v>0.7</v>
      </c>
      <c r="Q633" s="396">
        <v>-2664</v>
      </c>
      <c r="R633" s="396">
        <v>6193</v>
      </c>
      <c r="S633" s="396">
        <v>-10751</v>
      </c>
      <c r="T633" s="396">
        <v>204440</v>
      </c>
      <c r="U633" s="396">
        <v>-84074</v>
      </c>
      <c r="V633" s="395">
        <v>2121.7600000000002</v>
      </c>
      <c r="W633" s="395">
        <v>1594.04</v>
      </c>
      <c r="X633" s="395">
        <v>77490</v>
      </c>
      <c r="Y633" s="395">
        <v>4488</v>
      </c>
      <c r="Z633" s="396">
        <v>-9517799</v>
      </c>
      <c r="AA633" s="396">
        <v>175351</v>
      </c>
      <c r="AB633" s="396">
        <v>16779343</v>
      </c>
      <c r="AC633" s="396">
        <v>10207916</v>
      </c>
    </row>
    <row r="634" spans="1:29">
      <c r="A634">
        <v>8928</v>
      </c>
      <c r="B634" s="395" t="s">
        <v>8377</v>
      </c>
      <c r="C634" s="395"/>
      <c r="D634" s="396">
        <v>175328</v>
      </c>
      <c r="E634" s="396">
        <v>187392</v>
      </c>
      <c r="F634" s="395">
        <v>15.53</v>
      </c>
      <c r="G634" s="396">
        <v>-12064</v>
      </c>
      <c r="H634" s="396">
        <v>28495</v>
      </c>
      <c r="I634" s="396">
        <v>1026199</v>
      </c>
      <c r="J634" s="395">
        <v>204</v>
      </c>
      <c r="K634" s="395">
        <v>190</v>
      </c>
      <c r="L634" s="397">
        <v>0.93140000000000001</v>
      </c>
      <c r="M634" s="395">
        <v>14</v>
      </c>
      <c r="N634" s="395">
        <v>859</v>
      </c>
      <c r="O634" s="395">
        <v>986</v>
      </c>
      <c r="P634" s="395">
        <v>1.1399999999999999</v>
      </c>
      <c r="Q634" s="395">
        <v>-862</v>
      </c>
      <c r="R634" s="396">
        <v>3761</v>
      </c>
      <c r="S634" s="396">
        <v>-3090</v>
      </c>
      <c r="T634" s="396">
        <v>175438</v>
      </c>
      <c r="U634" s="396">
        <v>-44681</v>
      </c>
      <c r="V634" s="395">
        <v>2701.2</v>
      </c>
      <c r="W634" s="395">
        <v>2374.36</v>
      </c>
      <c r="X634" s="395">
        <v>77490</v>
      </c>
      <c r="Y634" s="395">
        <v>7136.86</v>
      </c>
      <c r="Z634" s="396">
        <v>10181093</v>
      </c>
      <c r="AA634" s="396">
        <v>175328</v>
      </c>
      <c r="AB634" s="396">
        <v>19080114</v>
      </c>
      <c r="AC634" s="396">
        <v>10207916</v>
      </c>
    </row>
    <row r="635" spans="1:29">
      <c r="A635">
        <v>3041</v>
      </c>
      <c r="B635" s="395" t="s">
        <v>7279</v>
      </c>
      <c r="C635" s="395"/>
      <c r="D635" s="396">
        <v>175276</v>
      </c>
      <c r="E635" s="396">
        <v>249758</v>
      </c>
      <c r="F635" s="395">
        <v>3.35</v>
      </c>
      <c r="G635" s="396">
        <v>-74482</v>
      </c>
      <c r="H635" s="396">
        <v>33624</v>
      </c>
      <c r="I635" s="396">
        <v>674078</v>
      </c>
      <c r="J635" s="395">
        <v>274</v>
      </c>
      <c r="K635" s="395">
        <v>219</v>
      </c>
      <c r="L635" s="397">
        <v>0.79930000000000001</v>
      </c>
      <c r="M635" s="395">
        <v>55</v>
      </c>
      <c r="N635" s="395">
        <v>640</v>
      </c>
      <c r="O635" s="396">
        <v>1140</v>
      </c>
      <c r="P635" s="395">
        <v>0.84</v>
      </c>
      <c r="Q635" s="396">
        <v>-1354</v>
      </c>
      <c r="R635" s="396">
        <v>5656</v>
      </c>
      <c r="S635" s="396">
        <v>-8573</v>
      </c>
      <c r="T635" s="396">
        <v>229746</v>
      </c>
      <c r="U635" s="396">
        <v>-65693</v>
      </c>
      <c r="V635" s="395">
        <v>1548.21</v>
      </c>
      <c r="W635" s="395">
        <v>1067.3800000000001</v>
      </c>
      <c r="X635" s="395">
        <v>77490</v>
      </c>
      <c r="Y635" s="395">
        <v>3462.78</v>
      </c>
      <c r="Z635" s="396">
        <v>-18742398</v>
      </c>
      <c r="AA635" s="396">
        <v>175276</v>
      </c>
      <c r="AB635" s="396">
        <v>2665072</v>
      </c>
      <c r="AC635" s="396">
        <v>10207916</v>
      </c>
    </row>
    <row r="636" spans="1:29">
      <c r="A636">
        <v>2206</v>
      </c>
      <c r="B636" s="395" t="s">
        <v>6955</v>
      </c>
      <c r="C636" s="395"/>
      <c r="D636" s="396">
        <v>175136</v>
      </c>
      <c r="E636" s="396">
        <v>230497</v>
      </c>
      <c r="F636" s="395">
        <v>4.16</v>
      </c>
      <c r="G636" s="396">
        <v>-55362</v>
      </c>
      <c r="H636" s="396">
        <v>31278</v>
      </c>
      <c r="I636" s="396">
        <v>3807263</v>
      </c>
      <c r="J636" s="395">
        <v>266</v>
      </c>
      <c r="K636" s="395">
        <v>221</v>
      </c>
      <c r="L636" s="397">
        <v>0.83079999999999998</v>
      </c>
      <c r="M636" s="395">
        <v>45</v>
      </c>
      <c r="N636" s="395">
        <v>658</v>
      </c>
      <c r="O636" s="396">
        <v>1043</v>
      </c>
      <c r="P636" s="395">
        <v>0.85</v>
      </c>
      <c r="Q636" s="396">
        <v>-1230</v>
      </c>
      <c r="R636" s="396">
        <v>4942</v>
      </c>
      <c r="S636" s="396">
        <v>-4591</v>
      </c>
      <c r="T636" s="396">
        <v>252734</v>
      </c>
      <c r="U636" s="396">
        <v>-134800</v>
      </c>
      <c r="V636" s="395">
        <v>13254.02</v>
      </c>
      <c r="W636" s="395">
        <v>12716.57</v>
      </c>
      <c r="X636" s="395">
        <v>77490</v>
      </c>
      <c r="Y636" s="395">
        <v>15893.47</v>
      </c>
      <c r="Z636" s="396">
        <v>-13435834</v>
      </c>
      <c r="AA636" s="396">
        <v>175136</v>
      </c>
      <c r="AB636" s="396">
        <v>-9692006</v>
      </c>
      <c r="AC636" s="396">
        <v>10207916</v>
      </c>
    </row>
    <row r="637" spans="1:29">
      <c r="A637">
        <v>2607</v>
      </c>
      <c r="B637" s="395" t="s">
        <v>7142</v>
      </c>
      <c r="C637" s="395"/>
      <c r="D637" s="396">
        <v>174392</v>
      </c>
      <c r="E637" s="396">
        <v>266613</v>
      </c>
      <c r="F637" s="395">
        <v>2.89</v>
      </c>
      <c r="G637" s="396">
        <v>-92221</v>
      </c>
      <c r="H637" s="396">
        <v>29448</v>
      </c>
      <c r="I637" s="396">
        <v>1928462</v>
      </c>
      <c r="J637" s="395">
        <v>263</v>
      </c>
      <c r="K637" s="395">
        <v>211</v>
      </c>
      <c r="L637" s="397">
        <v>0.80230000000000001</v>
      </c>
      <c r="M637" s="395">
        <v>52</v>
      </c>
      <c r="N637" s="395">
        <v>663</v>
      </c>
      <c r="O637" s="396">
        <v>1264</v>
      </c>
      <c r="P637" s="395">
        <v>0.71</v>
      </c>
      <c r="Q637" s="396">
        <v>-1773</v>
      </c>
      <c r="R637" s="396">
        <v>6790</v>
      </c>
      <c r="S637" s="396">
        <v>-8536</v>
      </c>
      <c r="T637" s="396">
        <v>244178</v>
      </c>
      <c r="U637" s="396">
        <v>-160786</v>
      </c>
      <c r="V637" s="395">
        <v>3438.05</v>
      </c>
      <c r="W637" s="395">
        <v>2146.14</v>
      </c>
      <c r="X637" s="395">
        <v>77490</v>
      </c>
      <c r="Y637" s="395">
        <v>8680.2099999999991</v>
      </c>
      <c r="Z637" s="396">
        <v>-7668556</v>
      </c>
      <c r="AA637" s="396">
        <v>174392</v>
      </c>
      <c r="AB637" s="396">
        <v>47882000</v>
      </c>
      <c r="AC637" s="396">
        <v>10207916</v>
      </c>
    </row>
    <row r="638" spans="1:29">
      <c r="A638">
        <v>9911</v>
      </c>
      <c r="B638" s="395" t="s">
        <v>8399</v>
      </c>
      <c r="C638" s="395"/>
      <c r="D638" s="396">
        <v>174337</v>
      </c>
      <c r="E638" s="396">
        <v>323145</v>
      </c>
      <c r="F638" s="395">
        <v>2.17</v>
      </c>
      <c r="G638" s="396">
        <v>-148808</v>
      </c>
      <c r="H638" s="396">
        <v>58130</v>
      </c>
      <c r="I638" s="396">
        <v>2617857</v>
      </c>
      <c r="J638" s="395">
        <v>225</v>
      </c>
      <c r="K638" s="395">
        <v>174</v>
      </c>
      <c r="L638" s="397">
        <v>0.77329999999999999</v>
      </c>
      <c r="M638" s="395">
        <v>51</v>
      </c>
      <c r="N638" s="395">
        <v>775</v>
      </c>
      <c r="O638" s="396">
        <v>1857</v>
      </c>
      <c r="P638" s="395">
        <v>0.64</v>
      </c>
      <c r="Q638" s="396">
        <v>-2918</v>
      </c>
      <c r="R638" s="396">
        <v>4253</v>
      </c>
      <c r="S638" s="396">
        <v>-8276</v>
      </c>
      <c r="T638" s="396">
        <v>339518</v>
      </c>
      <c r="U638" s="396">
        <v>-139087</v>
      </c>
      <c r="V638" s="395">
        <v>4160.5200000000004</v>
      </c>
      <c r="W638" s="395">
        <v>2819.57</v>
      </c>
      <c r="X638" s="395">
        <v>77490</v>
      </c>
      <c r="Y638" s="395">
        <v>8735.5300000000007</v>
      </c>
      <c r="Z638" s="396">
        <v>7385385</v>
      </c>
      <c r="AA638" s="396">
        <v>174337</v>
      </c>
      <c r="AB638" s="396">
        <v>15406798</v>
      </c>
      <c r="AC638" s="396">
        <v>10207916</v>
      </c>
    </row>
    <row r="639" spans="1:29">
      <c r="A639">
        <v>2641</v>
      </c>
      <c r="B639" s="395" t="s">
        <v>7160</v>
      </c>
      <c r="C639" s="395"/>
      <c r="D639" s="396">
        <v>173697</v>
      </c>
      <c r="E639" s="396">
        <v>217688</v>
      </c>
      <c r="F639" s="395">
        <v>4.95</v>
      </c>
      <c r="G639" s="396">
        <v>-43991</v>
      </c>
      <c r="H639" s="396">
        <v>24903</v>
      </c>
      <c r="I639" s="396">
        <v>794440</v>
      </c>
      <c r="J639" s="395">
        <v>255</v>
      </c>
      <c r="K639" s="395">
        <v>209</v>
      </c>
      <c r="L639" s="397">
        <v>0.8196</v>
      </c>
      <c r="M639" s="395">
        <v>46</v>
      </c>
      <c r="N639" s="395">
        <v>681</v>
      </c>
      <c r="O639" s="396">
        <v>1042</v>
      </c>
      <c r="P639" s="395">
        <v>1.0900000000000001</v>
      </c>
      <c r="Q639" s="395">
        <v>-956</v>
      </c>
      <c r="R639" s="396">
        <v>3792</v>
      </c>
      <c r="S639" s="396">
        <v>-3705</v>
      </c>
      <c r="T639" s="396">
        <v>190894</v>
      </c>
      <c r="U639" s="396">
        <v>-64559</v>
      </c>
      <c r="V639" s="395">
        <v>1647.55</v>
      </c>
      <c r="W639" s="395">
        <v>1200.8499999999999</v>
      </c>
      <c r="X639" s="395">
        <v>77490</v>
      </c>
      <c r="Y639" s="395">
        <v>3677.13</v>
      </c>
      <c r="Z639" s="396">
        <v>33061240</v>
      </c>
      <c r="AA639" s="396">
        <v>173697</v>
      </c>
      <c r="AB639" s="396">
        <v>51932836</v>
      </c>
      <c r="AC639" s="396">
        <v>10207916</v>
      </c>
    </row>
    <row r="640" spans="1:29">
      <c r="A640">
        <v>8038</v>
      </c>
      <c r="B640" s="395" t="s">
        <v>8234</v>
      </c>
      <c r="C640" s="395"/>
      <c r="D640" s="396">
        <v>173212</v>
      </c>
      <c r="E640" s="396">
        <v>233896</v>
      </c>
      <c r="F640" s="395">
        <v>3.85</v>
      </c>
      <c r="G640" s="396">
        <v>-60684</v>
      </c>
      <c r="H640" s="396">
        <v>29788</v>
      </c>
      <c r="I640" s="396">
        <v>473682</v>
      </c>
      <c r="J640" s="395">
        <v>201</v>
      </c>
      <c r="K640" s="395">
        <v>154</v>
      </c>
      <c r="L640" s="397">
        <v>0.76619999999999999</v>
      </c>
      <c r="M640" s="395">
        <v>47</v>
      </c>
      <c r="N640" s="395">
        <v>862</v>
      </c>
      <c r="O640" s="396">
        <v>1519</v>
      </c>
      <c r="P640" s="395">
        <v>1.18</v>
      </c>
      <c r="Q640" s="396">
        <v>-1291</v>
      </c>
      <c r="R640" s="396">
        <v>7477</v>
      </c>
      <c r="S640" s="396">
        <v>-6066</v>
      </c>
      <c r="T640" s="396">
        <v>220438</v>
      </c>
      <c r="U640" s="396">
        <v>-62660</v>
      </c>
      <c r="V640" s="395">
        <v>1561.27</v>
      </c>
      <c r="W640" s="395">
        <v>1062.98</v>
      </c>
      <c r="X640" s="395">
        <v>77490</v>
      </c>
      <c r="Y640" s="395">
        <v>3193.96</v>
      </c>
      <c r="Z640" s="396">
        <v>-8379063</v>
      </c>
      <c r="AA640" s="396">
        <v>173212</v>
      </c>
      <c r="AB640" s="396">
        <v>-2315461</v>
      </c>
      <c r="AC640" s="396">
        <v>10207916</v>
      </c>
    </row>
    <row r="641" spans="1:29">
      <c r="A641">
        <v>2536</v>
      </c>
      <c r="B641" s="395" t="s">
        <v>7125</v>
      </c>
      <c r="C641" s="395"/>
      <c r="D641" s="396">
        <v>172448</v>
      </c>
      <c r="E641" s="396">
        <v>185478</v>
      </c>
      <c r="F641" s="395">
        <v>14.24</v>
      </c>
      <c r="G641" s="396">
        <v>-13030</v>
      </c>
      <c r="H641" s="396">
        <v>21631</v>
      </c>
      <c r="I641" s="396">
        <v>2475213</v>
      </c>
      <c r="J641" s="395">
        <v>240</v>
      </c>
      <c r="K641" s="395">
        <v>197</v>
      </c>
      <c r="L641" s="397">
        <v>0.82079999999999997</v>
      </c>
      <c r="M641" s="395">
        <v>43</v>
      </c>
      <c r="N641" s="395">
        <v>719</v>
      </c>
      <c r="O641" s="395">
        <v>942</v>
      </c>
      <c r="P641" s="395">
        <v>3.11</v>
      </c>
      <c r="Q641" s="395">
        <v>-303</v>
      </c>
      <c r="R641" s="396">
        <v>3024</v>
      </c>
      <c r="S641" s="395">
        <v>-892</v>
      </c>
      <c r="T641" s="396">
        <v>196970</v>
      </c>
      <c r="U641" s="396">
        <v>-81357</v>
      </c>
      <c r="V641" s="395">
        <v>11864.84</v>
      </c>
      <c r="W641" s="395">
        <v>12050.15</v>
      </c>
      <c r="X641" s="395">
        <v>77490</v>
      </c>
      <c r="Y641" s="395">
        <v>11015.88</v>
      </c>
      <c r="Z641" s="396">
        <v>1777302</v>
      </c>
      <c r="AA641" s="396">
        <v>172448</v>
      </c>
      <c r="AB641" s="396">
        <v>2046292</v>
      </c>
      <c r="AC641" s="396">
        <v>10207916</v>
      </c>
    </row>
    <row r="642" spans="1:29">
      <c r="A642">
        <v>2722</v>
      </c>
      <c r="B642" s="395" t="s">
        <v>7173</v>
      </c>
      <c r="C642" s="395"/>
      <c r="D642" s="396">
        <v>172440</v>
      </c>
      <c r="E642" s="396">
        <v>206876</v>
      </c>
      <c r="F642" s="395">
        <v>6.01</v>
      </c>
      <c r="G642" s="396">
        <v>-34436</v>
      </c>
      <c r="H642" s="396">
        <v>23672</v>
      </c>
      <c r="I642" s="396">
        <v>1234726</v>
      </c>
      <c r="J642" s="395">
        <v>188</v>
      </c>
      <c r="K642" s="395">
        <v>150</v>
      </c>
      <c r="L642" s="397">
        <v>0.79790000000000005</v>
      </c>
      <c r="M642" s="395">
        <v>38</v>
      </c>
      <c r="N642" s="395">
        <v>917</v>
      </c>
      <c r="O642" s="396">
        <v>1379</v>
      </c>
      <c r="P642" s="395">
        <v>1.52</v>
      </c>
      <c r="Q642" s="395">
        <v>-906</v>
      </c>
      <c r="R642" s="396">
        <v>4593</v>
      </c>
      <c r="S642" s="396">
        <v>-5745</v>
      </c>
      <c r="T642" s="396">
        <v>196232</v>
      </c>
      <c r="U642" s="396">
        <v>-82852</v>
      </c>
      <c r="V642" s="395">
        <v>4216.74</v>
      </c>
      <c r="W642" s="395">
        <v>3887.66</v>
      </c>
      <c r="X642" s="395">
        <v>77490</v>
      </c>
      <c r="Y642" s="395">
        <v>5515.76</v>
      </c>
      <c r="Z642" s="396">
        <v>-14433130</v>
      </c>
      <c r="AA642" s="396">
        <v>172440</v>
      </c>
      <c r="AB642" s="396">
        <v>5821153</v>
      </c>
      <c r="AC642" s="396">
        <v>10207916</v>
      </c>
    </row>
    <row r="643" spans="1:29">
      <c r="A643">
        <v>8240</v>
      </c>
      <c r="B643" s="395" t="s">
        <v>8299</v>
      </c>
      <c r="C643" s="395"/>
      <c r="D643" s="396">
        <v>172131</v>
      </c>
      <c r="E643" s="396">
        <v>241079</v>
      </c>
      <c r="F643" s="395">
        <v>3.5</v>
      </c>
      <c r="G643" s="396">
        <v>-68949</v>
      </c>
      <c r="H643" s="396">
        <v>30805</v>
      </c>
      <c r="I643" s="396">
        <v>1443924</v>
      </c>
      <c r="J643" s="395">
        <v>230</v>
      </c>
      <c r="K643" s="395">
        <v>174</v>
      </c>
      <c r="L643" s="397">
        <v>0.75649999999999995</v>
      </c>
      <c r="M643" s="395">
        <v>56</v>
      </c>
      <c r="N643" s="395">
        <v>748</v>
      </c>
      <c r="O643" s="396">
        <v>1386</v>
      </c>
      <c r="P643" s="395">
        <v>1.1299999999999999</v>
      </c>
      <c r="Q643" s="396">
        <v>-1231</v>
      </c>
      <c r="R643" s="396">
        <v>5824</v>
      </c>
      <c r="S643" s="396">
        <v>-7002</v>
      </c>
      <c r="T643" s="396">
        <v>242320</v>
      </c>
      <c r="U643" s="396">
        <v>-124693</v>
      </c>
      <c r="V643" s="395">
        <v>4707.88</v>
      </c>
      <c r="W643" s="395">
        <v>3472.11</v>
      </c>
      <c r="X643" s="395">
        <v>77490</v>
      </c>
      <c r="Y643" s="395">
        <v>8547.57</v>
      </c>
      <c r="Z643" s="396">
        <v>-20270220</v>
      </c>
      <c r="AA643" s="396">
        <v>172131</v>
      </c>
      <c r="AB643" s="396">
        <v>-2671132</v>
      </c>
      <c r="AC643" s="396">
        <v>10207916</v>
      </c>
    </row>
    <row r="644" spans="1:29">
      <c r="A644">
        <v>8076</v>
      </c>
      <c r="B644" s="395" t="s">
        <v>8256</v>
      </c>
      <c r="C644" s="395"/>
      <c r="D644" s="396">
        <v>172010</v>
      </c>
      <c r="E644" s="396">
        <v>288789</v>
      </c>
      <c r="F644" s="395">
        <v>2.4700000000000002</v>
      </c>
      <c r="G644" s="396">
        <v>-116779</v>
      </c>
      <c r="H644" s="396">
        <v>33588</v>
      </c>
      <c r="I644" s="396">
        <v>2122199</v>
      </c>
      <c r="J644" s="395">
        <v>261</v>
      </c>
      <c r="K644" s="395">
        <v>199</v>
      </c>
      <c r="L644" s="397">
        <v>0.76249999999999996</v>
      </c>
      <c r="M644" s="395">
        <v>62</v>
      </c>
      <c r="N644" s="395">
        <v>659</v>
      </c>
      <c r="O644" s="396">
        <v>1451</v>
      </c>
      <c r="P644" s="395">
        <v>0.77</v>
      </c>
      <c r="Q644" s="396">
        <v>-1884</v>
      </c>
      <c r="R644" s="396">
        <v>6185</v>
      </c>
      <c r="S644" s="396">
        <v>-8244</v>
      </c>
      <c r="T644" s="396">
        <v>297969</v>
      </c>
      <c r="U644" s="396">
        <v>-171584</v>
      </c>
      <c r="V644" s="395">
        <v>4160.82</v>
      </c>
      <c r="W644" s="395">
        <v>3009.94</v>
      </c>
      <c r="X644" s="395">
        <v>77490</v>
      </c>
      <c r="Y644" s="395">
        <v>7854.77</v>
      </c>
      <c r="Z644" s="396">
        <v>-9545064</v>
      </c>
      <c r="AA644" s="396">
        <v>172010</v>
      </c>
      <c r="AB644" s="396">
        <v>1598628</v>
      </c>
      <c r="AC644" s="396">
        <v>10207916</v>
      </c>
    </row>
    <row r="645" spans="1:29">
      <c r="A645">
        <v>8097</v>
      </c>
      <c r="B645" s="395" t="s">
        <v>8271</v>
      </c>
      <c r="C645" s="395"/>
      <c r="D645" s="396">
        <v>171969</v>
      </c>
      <c r="E645" s="396">
        <v>218422</v>
      </c>
      <c r="F645" s="395">
        <v>4.7</v>
      </c>
      <c r="G645" s="396">
        <v>-46453</v>
      </c>
      <c r="H645" s="396">
        <v>25981</v>
      </c>
      <c r="I645" s="396">
        <v>763325</v>
      </c>
      <c r="J645" s="395">
        <v>251</v>
      </c>
      <c r="K645" s="395">
        <v>204</v>
      </c>
      <c r="L645" s="397">
        <v>0.81269999999999998</v>
      </c>
      <c r="M645" s="395">
        <v>47</v>
      </c>
      <c r="N645" s="395">
        <v>685</v>
      </c>
      <c r="O645" s="396">
        <v>1071</v>
      </c>
      <c r="P645" s="395">
        <v>1.08</v>
      </c>
      <c r="Q645" s="395">
        <v>-988</v>
      </c>
      <c r="R645" s="396">
        <v>4367</v>
      </c>
      <c r="S645" s="396">
        <v>-5000</v>
      </c>
      <c r="T645" s="396">
        <v>181104</v>
      </c>
      <c r="U645" s="396">
        <v>-68715</v>
      </c>
      <c r="V645" s="395">
        <v>1757.8</v>
      </c>
      <c r="W645" s="395">
        <v>1082.45</v>
      </c>
      <c r="X645" s="395">
        <v>77490</v>
      </c>
      <c r="Y645" s="395">
        <v>4689.1499999999996</v>
      </c>
      <c r="Z645" s="396">
        <v>45589304</v>
      </c>
      <c r="AA645" s="396">
        <v>171969</v>
      </c>
      <c r="AB645" s="396">
        <v>89218978</v>
      </c>
      <c r="AC645" s="396">
        <v>10207916</v>
      </c>
    </row>
    <row r="646" spans="1:29">
      <c r="A646">
        <v>1742</v>
      </c>
      <c r="B646" s="395" t="s">
        <v>6873</v>
      </c>
      <c r="C646" s="395"/>
      <c r="D646" s="396">
        <v>171878</v>
      </c>
      <c r="E646" s="396">
        <v>209741</v>
      </c>
      <c r="F646" s="395">
        <v>5.54</v>
      </c>
      <c r="G646" s="396">
        <v>-37863</v>
      </c>
      <c r="H646" s="396">
        <v>16472</v>
      </c>
      <c r="I646" s="396">
        <v>1192394</v>
      </c>
      <c r="J646" s="395">
        <v>211</v>
      </c>
      <c r="K646" s="395">
        <v>172</v>
      </c>
      <c r="L646" s="397">
        <v>0.81520000000000004</v>
      </c>
      <c r="M646" s="395">
        <v>39</v>
      </c>
      <c r="N646" s="395">
        <v>815</v>
      </c>
      <c r="O646" s="396">
        <v>1219</v>
      </c>
      <c r="P646" s="395">
        <v>1.26</v>
      </c>
      <c r="Q646" s="395">
        <v>-971</v>
      </c>
      <c r="R646" s="396">
        <v>3173</v>
      </c>
      <c r="S646" s="396">
        <v>-3991</v>
      </c>
      <c r="T646" s="396">
        <v>312194</v>
      </c>
      <c r="U646" s="396">
        <v>-142835</v>
      </c>
      <c r="V646" s="395">
        <v>7469.89</v>
      </c>
      <c r="W646" s="395">
        <v>6183.97</v>
      </c>
      <c r="X646" s="395">
        <v>77490</v>
      </c>
      <c r="Y646" s="395">
        <v>13141.15</v>
      </c>
      <c r="Z646" s="396">
        <v>-3167220</v>
      </c>
      <c r="AA646" s="396">
        <v>171878</v>
      </c>
      <c r="AB646" s="396">
        <v>4665000</v>
      </c>
      <c r="AC646" s="396">
        <v>10207916</v>
      </c>
    </row>
    <row r="647" spans="1:29">
      <c r="A647">
        <v>1436</v>
      </c>
      <c r="B647" s="395" t="s">
        <v>6747</v>
      </c>
      <c r="C647" s="395"/>
      <c r="D647" s="396">
        <v>171850</v>
      </c>
      <c r="E647" s="396">
        <v>191197</v>
      </c>
      <c r="F647" s="395">
        <v>9.8800000000000008</v>
      </c>
      <c r="G647" s="396">
        <v>-19347</v>
      </c>
      <c r="H647" s="396">
        <v>36065</v>
      </c>
      <c r="I647" s="396">
        <v>1718979</v>
      </c>
      <c r="J647" s="395">
        <v>194</v>
      </c>
      <c r="K647" s="395">
        <v>160</v>
      </c>
      <c r="L647" s="397">
        <v>0.82469999999999999</v>
      </c>
      <c r="M647" s="395">
        <v>34</v>
      </c>
      <c r="N647" s="395">
        <v>886</v>
      </c>
      <c r="O647" s="396">
        <v>1195</v>
      </c>
      <c r="P647" s="395">
        <v>2.1</v>
      </c>
      <c r="Q647" s="395">
        <v>-569</v>
      </c>
      <c r="R647" s="396">
        <v>3290</v>
      </c>
      <c r="S647" s="396">
        <v>-2934</v>
      </c>
      <c r="T647" s="396">
        <v>206602</v>
      </c>
      <c r="U647" s="396">
        <v>-58943</v>
      </c>
      <c r="V647" s="395">
        <v>5974.85</v>
      </c>
      <c r="W647" s="395">
        <v>5632.46</v>
      </c>
      <c r="X647" s="395">
        <v>77490</v>
      </c>
      <c r="Y647" s="395">
        <v>7586.06</v>
      </c>
      <c r="Z647" s="396">
        <v>9125801</v>
      </c>
      <c r="AA647" s="396">
        <v>171850</v>
      </c>
      <c r="AB647" s="396">
        <v>27915016</v>
      </c>
      <c r="AC647" s="396">
        <v>10207916</v>
      </c>
    </row>
    <row r="648" spans="1:29">
      <c r="A648">
        <v>6171</v>
      </c>
      <c r="B648" s="395" t="s">
        <v>7963</v>
      </c>
      <c r="C648" s="395"/>
      <c r="D648" s="396">
        <v>171756</v>
      </c>
      <c r="E648" s="396">
        <v>177448</v>
      </c>
      <c r="F648" s="395">
        <v>31.17</v>
      </c>
      <c r="G648" s="396">
        <v>-5692</v>
      </c>
      <c r="H648" s="396">
        <v>21326</v>
      </c>
      <c r="I648" s="396">
        <v>1453108</v>
      </c>
      <c r="J648" s="395">
        <v>195</v>
      </c>
      <c r="K648" s="395">
        <v>183</v>
      </c>
      <c r="L648" s="397">
        <v>0.9385</v>
      </c>
      <c r="M648" s="395">
        <v>12</v>
      </c>
      <c r="N648" s="395">
        <v>881</v>
      </c>
      <c r="O648" s="395">
        <v>970</v>
      </c>
      <c r="P648" s="395">
        <v>2.0499999999999998</v>
      </c>
      <c r="Q648" s="395">
        <v>-474</v>
      </c>
      <c r="R648" s="396">
        <v>5419</v>
      </c>
      <c r="S648" s="395">
        <v>-961</v>
      </c>
      <c r="T648" s="396">
        <v>172240</v>
      </c>
      <c r="U648" s="396">
        <v>-31396</v>
      </c>
      <c r="V648" s="395">
        <v>5420.98</v>
      </c>
      <c r="W648" s="395">
        <v>4936.72</v>
      </c>
      <c r="X648" s="395">
        <v>77490</v>
      </c>
      <c r="Y648" s="395">
        <v>12806</v>
      </c>
      <c r="Z648" s="396">
        <v>24551985</v>
      </c>
      <c r="AA648" s="396">
        <v>171756</v>
      </c>
      <c r="AB648" s="396">
        <v>31618274</v>
      </c>
      <c r="AC648" s="396">
        <v>10207916</v>
      </c>
    </row>
    <row r="649" spans="1:29">
      <c r="A649">
        <v>4931</v>
      </c>
      <c r="B649" s="395" t="s">
        <v>7717</v>
      </c>
      <c r="C649" s="395"/>
      <c r="D649" s="396">
        <v>171755</v>
      </c>
      <c r="E649" s="396">
        <v>225675</v>
      </c>
      <c r="F649" s="395">
        <v>4.1900000000000004</v>
      </c>
      <c r="G649" s="396">
        <v>-53920</v>
      </c>
      <c r="H649" s="396">
        <v>19622</v>
      </c>
      <c r="I649" s="396">
        <v>1176076</v>
      </c>
      <c r="J649" s="395">
        <v>225</v>
      </c>
      <c r="K649" s="395">
        <v>181</v>
      </c>
      <c r="L649" s="397">
        <v>0.8044</v>
      </c>
      <c r="M649" s="395">
        <v>44</v>
      </c>
      <c r="N649" s="395">
        <v>763</v>
      </c>
      <c r="O649" s="396">
        <v>1247</v>
      </c>
      <c r="P649" s="395">
        <v>1.02</v>
      </c>
      <c r="Q649" s="396">
        <v>-1225</v>
      </c>
      <c r="R649" s="396">
        <v>3870</v>
      </c>
      <c r="S649" s="396">
        <v>-2741</v>
      </c>
      <c r="T649" s="396">
        <v>294538</v>
      </c>
      <c r="U649" s="396">
        <v>-140600</v>
      </c>
      <c r="V649" s="395">
        <v>5055.75</v>
      </c>
      <c r="W649" s="395">
        <v>3533.41</v>
      </c>
      <c r="X649" s="395">
        <v>77490</v>
      </c>
      <c r="Y649" s="395">
        <v>11318.09</v>
      </c>
      <c r="Z649" s="396">
        <v>-2434478</v>
      </c>
      <c r="AA649" s="396">
        <v>171755</v>
      </c>
      <c r="AB649" s="396">
        <v>11368969</v>
      </c>
      <c r="AC649" s="396">
        <v>10207916</v>
      </c>
    </row>
    <row r="650" spans="1:29">
      <c r="A650">
        <v>2006</v>
      </c>
      <c r="B650" s="395" t="s">
        <v>6906</v>
      </c>
      <c r="C650" s="395"/>
      <c r="D650" s="396">
        <v>171673</v>
      </c>
      <c r="E650" s="396">
        <v>370124</v>
      </c>
      <c r="F650" s="395">
        <v>1.87</v>
      </c>
      <c r="G650" s="396">
        <v>-198450</v>
      </c>
      <c r="H650" s="396">
        <v>54302</v>
      </c>
      <c r="I650" s="396">
        <v>4028353</v>
      </c>
      <c r="J650" s="395">
        <v>273</v>
      </c>
      <c r="K650" s="395">
        <v>206</v>
      </c>
      <c r="L650" s="397">
        <v>0.75460000000000005</v>
      </c>
      <c r="M650" s="395">
        <v>67</v>
      </c>
      <c r="N650" s="395">
        <v>629</v>
      </c>
      <c r="O650" s="396">
        <v>1797</v>
      </c>
      <c r="P650" s="395">
        <v>0.61</v>
      </c>
      <c r="Q650" s="396">
        <v>-2962</v>
      </c>
      <c r="R650" s="396">
        <v>6018</v>
      </c>
      <c r="S650" s="396">
        <v>-15460</v>
      </c>
      <c r="T650" s="396">
        <v>531777</v>
      </c>
      <c r="U650" s="396">
        <v>-486201</v>
      </c>
      <c r="V650" s="395">
        <v>5615.8</v>
      </c>
      <c r="W650" s="395">
        <v>3405.22</v>
      </c>
      <c r="X650" s="395">
        <v>75600</v>
      </c>
      <c r="Y650" s="395">
        <v>12412.51</v>
      </c>
      <c r="Z650" s="396">
        <v>3297419</v>
      </c>
      <c r="AA650" s="396">
        <v>171673</v>
      </c>
      <c r="AB650" s="396">
        <v>30264475</v>
      </c>
      <c r="AC650" s="396">
        <v>10207916</v>
      </c>
    </row>
    <row r="651" spans="1:29">
      <c r="A651">
        <v>1419</v>
      </c>
      <c r="B651" s="395" t="s">
        <v>6742</v>
      </c>
      <c r="C651" s="395"/>
      <c r="D651" s="396">
        <v>171327</v>
      </c>
      <c r="E651" s="396">
        <v>196708</v>
      </c>
      <c r="F651" s="395">
        <v>7.75</v>
      </c>
      <c r="G651" s="396">
        <v>-25381</v>
      </c>
      <c r="H651" s="396">
        <v>36066</v>
      </c>
      <c r="I651" s="396">
        <v>2289598</v>
      </c>
      <c r="J651" s="395">
        <v>215</v>
      </c>
      <c r="K651" s="395">
        <v>169</v>
      </c>
      <c r="L651" s="397">
        <v>0.78600000000000003</v>
      </c>
      <c r="M651" s="395">
        <v>46</v>
      </c>
      <c r="N651" s="395">
        <v>797</v>
      </c>
      <c r="O651" s="396">
        <v>1164</v>
      </c>
      <c r="P651" s="395">
        <v>2.11</v>
      </c>
      <c r="Q651" s="395">
        <v>-552</v>
      </c>
      <c r="R651" s="396">
        <v>4842</v>
      </c>
      <c r="S651" s="396">
        <v>-1471</v>
      </c>
      <c r="T651" s="396">
        <v>218263</v>
      </c>
      <c r="U651" s="396">
        <v>-95273</v>
      </c>
      <c r="V651" s="395">
        <v>7804.04</v>
      </c>
      <c r="W651" s="395">
        <v>6855.53</v>
      </c>
      <c r="X651" s="395">
        <v>77220</v>
      </c>
      <c r="Y651" s="395">
        <v>11288.8</v>
      </c>
      <c r="Z651" s="396">
        <v>2008982</v>
      </c>
      <c r="AA651" s="396">
        <v>171327</v>
      </c>
      <c r="AB651" s="396">
        <v>2210109</v>
      </c>
      <c r="AC651" s="396">
        <v>10207916</v>
      </c>
    </row>
    <row r="652" spans="1:29">
      <c r="A652">
        <v>5443</v>
      </c>
      <c r="B652" s="395" t="s">
        <v>7834</v>
      </c>
      <c r="C652" s="395"/>
      <c r="D652" s="396">
        <v>171175</v>
      </c>
      <c r="E652" s="396">
        <v>377350</v>
      </c>
      <c r="F652" s="395">
        <v>1.83</v>
      </c>
      <c r="G652" s="396">
        <v>-206175</v>
      </c>
      <c r="H652" s="396">
        <v>39170</v>
      </c>
      <c r="I652" s="396">
        <v>2766307</v>
      </c>
      <c r="J652" s="395">
        <v>257</v>
      </c>
      <c r="K652" s="395">
        <v>186</v>
      </c>
      <c r="L652" s="397">
        <v>0.72370000000000001</v>
      </c>
      <c r="M652" s="395">
        <v>71</v>
      </c>
      <c r="N652" s="395">
        <v>666</v>
      </c>
      <c r="O652" s="396">
        <v>2029</v>
      </c>
      <c r="P652" s="395">
        <v>0.7</v>
      </c>
      <c r="Q652" s="396">
        <v>-2904</v>
      </c>
      <c r="R652" s="396">
        <v>8263</v>
      </c>
      <c r="S652" s="396">
        <v>-11398</v>
      </c>
      <c r="T652" s="396">
        <v>482648</v>
      </c>
      <c r="U652" s="396">
        <v>-384534</v>
      </c>
      <c r="V652" s="395">
        <v>5322.46</v>
      </c>
      <c r="W652" s="395">
        <v>3645.8</v>
      </c>
      <c r="X652" s="395">
        <v>77490</v>
      </c>
      <c r="Y652" s="395">
        <v>9714.83</v>
      </c>
      <c r="Z652" s="396">
        <v>-22175701</v>
      </c>
      <c r="AA652" s="396">
        <v>171175</v>
      </c>
      <c r="AB652" s="396">
        <v>-14237604</v>
      </c>
      <c r="AC652" s="396">
        <v>10207916</v>
      </c>
    </row>
    <row r="653" spans="1:29">
      <c r="A653">
        <v>4121</v>
      </c>
      <c r="B653" s="395" t="s">
        <v>7564</v>
      </c>
      <c r="C653" s="395"/>
      <c r="D653" s="396">
        <v>170784</v>
      </c>
      <c r="E653" s="396">
        <v>299220</v>
      </c>
      <c r="F653" s="395">
        <v>2.33</v>
      </c>
      <c r="G653" s="396">
        <v>-128437</v>
      </c>
      <c r="H653" s="396">
        <v>22149</v>
      </c>
      <c r="I653" s="396">
        <v>2965038</v>
      </c>
      <c r="J653" s="395">
        <v>249</v>
      </c>
      <c r="K653" s="395">
        <v>184</v>
      </c>
      <c r="L653" s="397">
        <v>0.73899999999999999</v>
      </c>
      <c r="M653" s="395">
        <v>65</v>
      </c>
      <c r="N653" s="395">
        <v>686</v>
      </c>
      <c r="O653" s="396">
        <v>1626</v>
      </c>
      <c r="P653" s="395">
        <v>0.82</v>
      </c>
      <c r="Q653" s="396">
        <v>-1976</v>
      </c>
      <c r="R653" s="396">
        <v>4766</v>
      </c>
      <c r="S653" s="396">
        <v>-10249</v>
      </c>
      <c r="T653" s="396">
        <v>568800</v>
      </c>
      <c r="U653" s="396">
        <v>-436941</v>
      </c>
      <c r="V653" s="395">
        <v>11984.35</v>
      </c>
      <c r="W653" s="395">
        <v>8109.29</v>
      </c>
      <c r="X653" s="395">
        <v>77490</v>
      </c>
      <c r="Y653" s="395">
        <v>22953.75</v>
      </c>
      <c r="Z653" s="396">
        <v>-15849523</v>
      </c>
      <c r="AA653" s="396">
        <v>170784</v>
      </c>
      <c r="AB653" s="396">
        <v>-214868</v>
      </c>
      <c r="AC653" s="396">
        <v>10207916</v>
      </c>
    </row>
    <row r="654" spans="1:29">
      <c r="A654">
        <v>5245</v>
      </c>
      <c r="B654" s="395" t="s">
        <v>7780</v>
      </c>
      <c r="C654" s="395"/>
      <c r="D654" s="396">
        <v>170622</v>
      </c>
      <c r="E654" s="396">
        <v>435982</v>
      </c>
      <c r="F654" s="395">
        <v>1.64</v>
      </c>
      <c r="G654" s="396">
        <v>-265360</v>
      </c>
      <c r="H654" s="396">
        <v>54363</v>
      </c>
      <c r="I654" s="396">
        <v>1251397</v>
      </c>
      <c r="J654" s="395">
        <v>254</v>
      </c>
      <c r="K654" s="395">
        <v>197</v>
      </c>
      <c r="L654" s="397">
        <v>0.77559999999999996</v>
      </c>
      <c r="M654" s="395">
        <v>57</v>
      </c>
      <c r="N654" s="395">
        <v>672</v>
      </c>
      <c r="O654" s="396">
        <v>2213</v>
      </c>
      <c r="P654" s="395">
        <v>0.48</v>
      </c>
      <c r="Q654" s="396">
        <v>-4655</v>
      </c>
      <c r="R654" s="396">
        <v>9792</v>
      </c>
      <c r="S654" s="396">
        <v>-18121</v>
      </c>
      <c r="T654" s="396">
        <v>393799</v>
      </c>
      <c r="U654" s="396">
        <v>-180846</v>
      </c>
      <c r="V654" s="395">
        <v>1644.33</v>
      </c>
      <c r="W654" s="395">
        <v>1124.51</v>
      </c>
      <c r="X654" s="395">
        <v>77490</v>
      </c>
      <c r="Y654" s="395">
        <v>3440.88</v>
      </c>
      <c r="Z654" s="396">
        <v>-21443732</v>
      </c>
      <c r="AA654" s="396">
        <v>170622</v>
      </c>
      <c r="AB654" s="396">
        <v>37394092</v>
      </c>
      <c r="AC654" s="396">
        <v>10207916</v>
      </c>
    </row>
    <row r="655" spans="1:29">
      <c r="A655">
        <v>3490</v>
      </c>
      <c r="B655" s="395" t="s">
        <v>7438</v>
      </c>
      <c r="C655" s="395"/>
      <c r="D655" s="396">
        <v>170618</v>
      </c>
      <c r="E655" s="396">
        <v>245481</v>
      </c>
      <c r="F655" s="395">
        <v>3.28</v>
      </c>
      <c r="G655" s="396">
        <v>-74863</v>
      </c>
      <c r="H655" s="396">
        <v>28840</v>
      </c>
      <c r="I655" s="396">
        <v>1425222</v>
      </c>
      <c r="J655" s="395">
        <v>251</v>
      </c>
      <c r="K655" s="395">
        <v>198</v>
      </c>
      <c r="L655" s="397">
        <v>0.78879999999999995</v>
      </c>
      <c r="M655" s="395">
        <v>53</v>
      </c>
      <c r="N655" s="395">
        <v>680</v>
      </c>
      <c r="O655" s="396">
        <v>1240</v>
      </c>
      <c r="P655" s="395">
        <v>0.88</v>
      </c>
      <c r="Q655" s="396">
        <v>-1413</v>
      </c>
      <c r="R655" s="396">
        <v>5606</v>
      </c>
      <c r="S655" s="396">
        <v>-4464</v>
      </c>
      <c r="T655" s="396">
        <v>249018</v>
      </c>
      <c r="U655" s="396">
        <v>-113268</v>
      </c>
      <c r="V655" s="395">
        <v>3412.49</v>
      </c>
      <c r="W655" s="395">
        <v>2405.71</v>
      </c>
      <c r="X655" s="395">
        <v>77490</v>
      </c>
      <c r="Y655" s="395">
        <v>7173.66</v>
      </c>
      <c r="Z655" s="396">
        <v>399019</v>
      </c>
      <c r="AA655" s="396">
        <v>170618</v>
      </c>
      <c r="AB655" s="396">
        <v>-2848889</v>
      </c>
      <c r="AC655" s="396">
        <v>10207916</v>
      </c>
    </row>
    <row r="656" spans="1:29">
      <c r="A656">
        <v>6609</v>
      </c>
      <c r="B656" s="395" t="s">
        <v>8154</v>
      </c>
      <c r="C656" s="395"/>
      <c r="D656" s="396">
        <v>170440</v>
      </c>
      <c r="E656" s="396">
        <v>222957</v>
      </c>
      <c r="F656" s="395">
        <v>4.25</v>
      </c>
      <c r="G656" s="396">
        <v>-52517</v>
      </c>
      <c r="H656" s="396">
        <v>24860</v>
      </c>
      <c r="I656" s="396">
        <v>2309472</v>
      </c>
      <c r="J656" s="395">
        <v>202</v>
      </c>
      <c r="K656" s="395">
        <v>178</v>
      </c>
      <c r="L656" s="397">
        <v>0.88119999999999998</v>
      </c>
      <c r="M656" s="395">
        <v>24</v>
      </c>
      <c r="N656" s="395">
        <v>844</v>
      </c>
      <c r="O656" s="396">
        <v>1253</v>
      </c>
      <c r="P656" s="395">
        <v>0.56999999999999995</v>
      </c>
      <c r="Q656" s="396">
        <v>-2188</v>
      </c>
      <c r="R656" s="396">
        <v>3130</v>
      </c>
      <c r="S656" s="396">
        <v>-5651</v>
      </c>
      <c r="T656" s="396">
        <v>235046</v>
      </c>
      <c r="U656" s="396">
        <v>-144110</v>
      </c>
      <c r="V656" s="395">
        <v>7142.82</v>
      </c>
      <c r="W656" s="395">
        <v>5964.7</v>
      </c>
      <c r="X656" s="395">
        <v>77490</v>
      </c>
      <c r="Y656" s="395">
        <v>15880.54</v>
      </c>
      <c r="Z656" s="396">
        <v>-516262</v>
      </c>
      <c r="AA656" s="396">
        <v>170440</v>
      </c>
      <c r="AB656" s="396">
        <v>11221160</v>
      </c>
      <c r="AC656" s="396">
        <v>10207916</v>
      </c>
    </row>
    <row r="657" spans="1:29">
      <c r="A657">
        <v>6183</v>
      </c>
      <c r="B657" s="395" t="s">
        <v>7972</v>
      </c>
      <c r="C657" s="395"/>
      <c r="D657" s="396">
        <v>169571</v>
      </c>
      <c r="E657" s="396">
        <v>191248</v>
      </c>
      <c r="F657" s="395">
        <v>8.82</v>
      </c>
      <c r="G657" s="396">
        <v>-21677</v>
      </c>
      <c r="H657" s="396">
        <v>41256</v>
      </c>
      <c r="I657" s="396">
        <v>2897953</v>
      </c>
      <c r="J657" s="395">
        <v>204</v>
      </c>
      <c r="K657" s="395">
        <v>152</v>
      </c>
      <c r="L657" s="397">
        <v>0.74509999999999998</v>
      </c>
      <c r="M657" s="395">
        <v>50</v>
      </c>
      <c r="N657" s="395">
        <v>831</v>
      </c>
      <c r="O657" s="396">
        <v>1258</v>
      </c>
      <c r="P657" s="395">
        <v>2.9</v>
      </c>
      <c r="Q657" s="395">
        <v>-434</v>
      </c>
      <c r="R657" s="396">
        <v>4303</v>
      </c>
      <c r="S657" s="396">
        <v>-2216</v>
      </c>
      <c r="T657" s="396">
        <v>191926</v>
      </c>
      <c r="U657" s="396">
        <v>-52841</v>
      </c>
      <c r="V657" s="395">
        <v>6310.89</v>
      </c>
      <c r="W657" s="395">
        <v>6467.45</v>
      </c>
      <c r="X657" s="395">
        <v>77490</v>
      </c>
      <c r="Y657" s="395">
        <v>5559.9</v>
      </c>
      <c r="Z657" s="396">
        <v>-1478118</v>
      </c>
      <c r="AA657" s="396">
        <v>169571</v>
      </c>
      <c r="AB657" s="396">
        <v>4186163</v>
      </c>
      <c r="AC657" s="396">
        <v>10207916</v>
      </c>
    </row>
    <row r="658" spans="1:29">
      <c r="A658">
        <v>1709</v>
      </c>
      <c r="B658" s="395" t="s">
        <v>6850</v>
      </c>
      <c r="C658" s="395"/>
      <c r="D658" s="396">
        <v>169469</v>
      </c>
      <c r="E658" s="396">
        <v>184720</v>
      </c>
      <c r="F658" s="395">
        <v>12.11</v>
      </c>
      <c r="G658" s="396">
        <v>-15251</v>
      </c>
      <c r="H658" s="396">
        <v>21286</v>
      </c>
      <c r="I658" s="396">
        <v>954150</v>
      </c>
      <c r="J658" s="395">
        <v>257</v>
      </c>
      <c r="K658" s="395">
        <v>232</v>
      </c>
      <c r="L658" s="397">
        <v>0.90269999999999995</v>
      </c>
      <c r="M658" s="395">
        <v>25</v>
      </c>
      <c r="N658" s="395">
        <v>659</v>
      </c>
      <c r="O658" s="395">
        <v>796</v>
      </c>
      <c r="P658" s="395">
        <v>1.3</v>
      </c>
      <c r="Q658" s="395">
        <v>-610</v>
      </c>
      <c r="R658" s="396">
        <v>2539</v>
      </c>
      <c r="S658" s="396">
        <v>-2671</v>
      </c>
      <c r="T658" s="396">
        <v>179652</v>
      </c>
      <c r="U658" s="396">
        <v>-38303</v>
      </c>
      <c r="V658" s="395">
        <v>3009.11</v>
      </c>
      <c r="W658" s="395">
        <v>2782.74</v>
      </c>
      <c r="X658" s="395">
        <v>77490</v>
      </c>
      <c r="Y658" s="395">
        <v>5109.84</v>
      </c>
      <c r="Z658" s="396">
        <v>21704639</v>
      </c>
      <c r="AA658" s="396">
        <v>169469</v>
      </c>
      <c r="AB658" s="396">
        <v>48181776</v>
      </c>
      <c r="AC658" s="396">
        <v>10207916</v>
      </c>
    </row>
    <row r="659" spans="1:29">
      <c r="A659">
        <v>8462</v>
      </c>
      <c r="B659" s="395" t="s">
        <v>8351</v>
      </c>
      <c r="C659" s="395"/>
      <c r="D659" s="396">
        <v>169396</v>
      </c>
      <c r="E659" s="396">
        <v>892114</v>
      </c>
      <c r="F659" s="395">
        <v>1.23</v>
      </c>
      <c r="G659" s="396">
        <v>-722718</v>
      </c>
      <c r="H659" s="396">
        <v>139689</v>
      </c>
      <c r="I659" s="396">
        <v>8349498</v>
      </c>
      <c r="J659" s="395">
        <v>238</v>
      </c>
      <c r="K659" s="395">
        <v>146</v>
      </c>
      <c r="L659" s="397">
        <v>0.61339999999999995</v>
      </c>
      <c r="M659" s="395">
        <v>92</v>
      </c>
      <c r="N659" s="395">
        <v>712</v>
      </c>
      <c r="O659" s="396">
        <v>6110</v>
      </c>
      <c r="P659" s="395">
        <v>0.78</v>
      </c>
      <c r="Q659" s="396">
        <v>-7856</v>
      </c>
      <c r="R659" s="396">
        <v>27941</v>
      </c>
      <c r="S659" s="396">
        <v>-22560</v>
      </c>
      <c r="T659" s="396">
        <v>1219931</v>
      </c>
      <c r="U659" s="396">
        <v>-769204</v>
      </c>
      <c r="V659" s="395">
        <v>7422.77</v>
      </c>
      <c r="W659" s="395">
        <v>4896.38</v>
      </c>
      <c r="X659" s="395">
        <v>77490</v>
      </c>
      <c r="Y659" s="395">
        <v>11432.05</v>
      </c>
      <c r="Z659" s="396">
        <v>-13266783</v>
      </c>
      <c r="AA659" s="396">
        <v>169396</v>
      </c>
      <c r="AB659" s="396">
        <v>-6444149</v>
      </c>
      <c r="AC659" s="396">
        <v>10207916</v>
      </c>
    </row>
    <row r="660" spans="1:29">
      <c r="A660">
        <v>2892</v>
      </c>
      <c r="B660" s="395" t="s">
        <v>7222</v>
      </c>
      <c r="C660" s="395"/>
      <c r="D660" s="396">
        <v>169306</v>
      </c>
      <c r="E660" s="396">
        <v>176974</v>
      </c>
      <c r="F660" s="395">
        <v>23.08</v>
      </c>
      <c r="G660" s="396">
        <v>-7668</v>
      </c>
      <c r="H660" s="396">
        <v>26639</v>
      </c>
      <c r="I660" s="396">
        <v>1895778</v>
      </c>
      <c r="J660" s="395">
        <v>286</v>
      </c>
      <c r="K660" s="395">
        <v>260</v>
      </c>
      <c r="L660" s="397">
        <v>0.90910000000000002</v>
      </c>
      <c r="M660" s="395">
        <v>26</v>
      </c>
      <c r="N660" s="395">
        <v>592</v>
      </c>
      <c r="O660" s="395">
        <v>681</v>
      </c>
      <c r="P660" s="395">
        <v>2.31</v>
      </c>
      <c r="Q660" s="395">
        <v>-295</v>
      </c>
      <c r="R660" s="396">
        <v>1762</v>
      </c>
      <c r="S660" s="395">
        <v>-705</v>
      </c>
      <c r="T660" s="396">
        <v>188413</v>
      </c>
      <c r="U660" s="396">
        <v>-30076</v>
      </c>
      <c r="V660" s="395">
        <v>6779.43</v>
      </c>
      <c r="W660" s="395">
        <v>6657.21</v>
      </c>
      <c r="X660" s="395">
        <v>77490</v>
      </c>
      <c r="Y660" s="395">
        <v>8001.65</v>
      </c>
      <c r="Z660" s="396">
        <v>11049513</v>
      </c>
      <c r="AA660" s="396">
        <v>169306</v>
      </c>
      <c r="AB660" s="396">
        <v>13888131</v>
      </c>
      <c r="AC660" s="396">
        <v>10207916</v>
      </c>
    </row>
    <row r="661" spans="1:29">
      <c r="A661">
        <v>2891</v>
      </c>
      <c r="B661" s="395" t="s">
        <v>7221</v>
      </c>
      <c r="C661" s="395"/>
      <c r="D661" s="396">
        <v>168566</v>
      </c>
      <c r="E661" s="396">
        <v>195821</v>
      </c>
      <c r="F661" s="395">
        <v>7.18</v>
      </c>
      <c r="G661" s="396">
        <v>-27255</v>
      </c>
      <c r="H661" s="396">
        <v>26854</v>
      </c>
      <c r="I661" s="396">
        <v>1768400</v>
      </c>
      <c r="J661" s="395">
        <v>284</v>
      </c>
      <c r="K661" s="395">
        <v>260</v>
      </c>
      <c r="L661" s="397">
        <v>0.91549999999999998</v>
      </c>
      <c r="M661" s="395">
        <v>24</v>
      </c>
      <c r="N661" s="395">
        <v>594</v>
      </c>
      <c r="O661" s="395">
        <v>753</v>
      </c>
      <c r="P661" s="395">
        <v>0.66</v>
      </c>
      <c r="Q661" s="396">
        <v>-1136</v>
      </c>
      <c r="R661" s="396">
        <v>2077</v>
      </c>
      <c r="S661" s="396">
        <v>-2212</v>
      </c>
      <c r="T661" s="396">
        <v>204207</v>
      </c>
      <c r="U661" s="396">
        <v>-54101</v>
      </c>
      <c r="V661" s="395">
        <v>4760.3100000000004</v>
      </c>
      <c r="W661" s="395">
        <v>4856.53</v>
      </c>
      <c r="X661" s="395">
        <v>77490</v>
      </c>
      <c r="Y661" s="395">
        <v>3717.96</v>
      </c>
      <c r="Z661" s="396">
        <v>12763734</v>
      </c>
      <c r="AA661" s="396">
        <v>168566</v>
      </c>
      <c r="AB661" s="396">
        <v>21425493</v>
      </c>
      <c r="AC661" s="396">
        <v>10207916</v>
      </c>
    </row>
    <row r="662" spans="1:29">
      <c r="A662">
        <v>6221</v>
      </c>
      <c r="B662" s="395" t="s">
        <v>8007</v>
      </c>
      <c r="C662" s="395"/>
      <c r="D662" s="396">
        <v>168503</v>
      </c>
      <c r="E662" s="396">
        <v>315837</v>
      </c>
      <c r="F662" s="395">
        <v>2.14</v>
      </c>
      <c r="G662" s="396">
        <v>-147334</v>
      </c>
      <c r="H662" s="396">
        <v>50384</v>
      </c>
      <c r="I662" s="396">
        <v>4712110</v>
      </c>
      <c r="J662" s="395">
        <v>207</v>
      </c>
      <c r="K662" s="395">
        <v>123</v>
      </c>
      <c r="L662" s="397">
        <v>0.59419999999999995</v>
      </c>
      <c r="M662" s="395">
        <v>84</v>
      </c>
      <c r="N662" s="395">
        <v>814</v>
      </c>
      <c r="O662" s="396">
        <v>2568</v>
      </c>
      <c r="P662" s="395">
        <v>1.46</v>
      </c>
      <c r="Q662" s="396">
        <v>-1754</v>
      </c>
      <c r="R662" s="396">
        <v>11447</v>
      </c>
      <c r="S662" s="396">
        <v>-4284</v>
      </c>
      <c r="T662" s="396">
        <v>568967</v>
      </c>
      <c r="U662" s="396">
        <v>-449994</v>
      </c>
      <c r="V662" s="395">
        <v>7974.71</v>
      </c>
      <c r="W662" s="395">
        <v>3720.74</v>
      </c>
      <c r="X662" s="395">
        <v>77490</v>
      </c>
      <c r="Y662" s="395">
        <v>14203.75</v>
      </c>
      <c r="Z662" s="396">
        <v>4125408</v>
      </c>
      <c r="AA662" s="396">
        <v>168503</v>
      </c>
      <c r="AB662" s="396">
        <v>26175905</v>
      </c>
      <c r="AC662" s="396">
        <v>10207916</v>
      </c>
    </row>
    <row r="663" spans="1:29">
      <c r="A663">
        <v>3071</v>
      </c>
      <c r="B663" s="395" t="s">
        <v>7302</v>
      </c>
      <c r="C663" s="395"/>
      <c r="D663" s="396">
        <v>168497</v>
      </c>
      <c r="E663" s="396">
        <v>206523</v>
      </c>
      <c r="F663" s="395">
        <v>5.43</v>
      </c>
      <c r="G663" s="396">
        <v>-38026</v>
      </c>
      <c r="H663" s="396">
        <v>25811</v>
      </c>
      <c r="I663" s="396">
        <v>1838214</v>
      </c>
      <c r="J663" s="395">
        <v>244</v>
      </c>
      <c r="K663" s="395">
        <v>203</v>
      </c>
      <c r="L663" s="397">
        <v>0.83199999999999996</v>
      </c>
      <c r="M663" s="395">
        <v>41</v>
      </c>
      <c r="N663" s="395">
        <v>691</v>
      </c>
      <c r="O663" s="396">
        <v>1017</v>
      </c>
      <c r="P663" s="395">
        <v>1.1000000000000001</v>
      </c>
      <c r="Q663" s="395">
        <v>-927</v>
      </c>
      <c r="R663" s="396">
        <v>3401</v>
      </c>
      <c r="S663" s="396">
        <v>-5718</v>
      </c>
      <c r="T663" s="396">
        <v>262205</v>
      </c>
      <c r="U663" s="396">
        <v>-159869</v>
      </c>
      <c r="V663" s="395">
        <v>5662.9</v>
      </c>
      <c r="W663" s="395">
        <v>3995.82</v>
      </c>
      <c r="X663" s="395">
        <v>77490</v>
      </c>
      <c r="Y663" s="395">
        <v>13916.98</v>
      </c>
      <c r="Z663" s="396">
        <v>7344548</v>
      </c>
      <c r="AA663" s="396">
        <v>168497</v>
      </c>
      <c r="AB663" s="396">
        <v>6766331</v>
      </c>
      <c r="AC663" s="396">
        <v>10207916</v>
      </c>
    </row>
    <row r="664" spans="1:29">
      <c r="A664">
        <v>6284</v>
      </c>
      <c r="B664" s="395" t="s">
        <v>8053</v>
      </c>
      <c r="C664" s="395"/>
      <c r="D664" s="396">
        <v>167780</v>
      </c>
      <c r="E664" s="396">
        <v>868807</v>
      </c>
      <c r="F664" s="395">
        <v>1.24</v>
      </c>
      <c r="G664" s="396">
        <v>-701027</v>
      </c>
      <c r="H664" s="396">
        <v>70259</v>
      </c>
      <c r="I664" s="396">
        <v>4949007</v>
      </c>
      <c r="J664" s="395">
        <v>267</v>
      </c>
      <c r="K664" s="395">
        <v>179</v>
      </c>
      <c r="L664" s="397">
        <v>0.6704</v>
      </c>
      <c r="M664" s="395">
        <v>88</v>
      </c>
      <c r="N664" s="395">
        <v>628</v>
      </c>
      <c r="O664" s="396">
        <v>4854</v>
      </c>
      <c r="P664" s="395">
        <v>0.61</v>
      </c>
      <c r="Q664" s="396">
        <v>-7966</v>
      </c>
      <c r="R664" s="396">
        <v>21118</v>
      </c>
      <c r="S664" s="396">
        <v>-17661</v>
      </c>
      <c r="T664" s="396">
        <v>1340893</v>
      </c>
      <c r="U664" s="396">
        <v>-950858</v>
      </c>
      <c r="V664" s="395">
        <v>6494.04</v>
      </c>
      <c r="W664" s="395">
        <v>4198.66</v>
      </c>
      <c r="X664" s="395">
        <v>77490</v>
      </c>
      <c r="Y664" s="395">
        <v>11163.03</v>
      </c>
      <c r="Z664" s="396">
        <v>-14600055</v>
      </c>
      <c r="AA664" s="396">
        <v>167780</v>
      </c>
      <c r="AB664" s="396">
        <v>-10025191</v>
      </c>
      <c r="AC664" s="396">
        <v>10207916</v>
      </c>
    </row>
    <row r="665" spans="1:29">
      <c r="A665">
        <v>2010</v>
      </c>
      <c r="B665" s="395" t="s">
        <v>6910</v>
      </c>
      <c r="C665" s="395"/>
      <c r="D665" s="396">
        <v>167637</v>
      </c>
      <c r="E665" s="396">
        <v>236817</v>
      </c>
      <c r="F665" s="395">
        <v>3.42</v>
      </c>
      <c r="G665" s="396">
        <v>-69180</v>
      </c>
      <c r="H665" s="396">
        <v>25244</v>
      </c>
      <c r="I665" s="396">
        <v>1472726</v>
      </c>
      <c r="J665" s="395">
        <v>276</v>
      </c>
      <c r="K665" s="395">
        <v>226</v>
      </c>
      <c r="L665" s="397">
        <v>0.81879999999999997</v>
      </c>
      <c r="M665" s="395">
        <v>50</v>
      </c>
      <c r="N665" s="395">
        <v>607</v>
      </c>
      <c r="O665" s="396">
        <v>1048</v>
      </c>
      <c r="P665" s="395">
        <v>0.76</v>
      </c>
      <c r="Q665" s="396">
        <v>-1384</v>
      </c>
      <c r="R665" s="396">
        <v>4473</v>
      </c>
      <c r="S665" s="396">
        <v>-5709</v>
      </c>
      <c r="T665" s="396">
        <v>184809</v>
      </c>
      <c r="U665" s="396">
        <v>-113823</v>
      </c>
      <c r="V665" s="395">
        <v>3781.63</v>
      </c>
      <c r="W665" s="395">
        <v>2870.15</v>
      </c>
      <c r="X665" s="395">
        <v>77490</v>
      </c>
      <c r="Y665" s="395">
        <v>7901.56</v>
      </c>
      <c r="Z665" s="396">
        <v>-5517621</v>
      </c>
      <c r="AA665" s="396">
        <v>167637</v>
      </c>
      <c r="AB665" s="396">
        <v>36386084</v>
      </c>
      <c r="AC665" s="396">
        <v>10207916</v>
      </c>
    </row>
    <row r="666" spans="1:29">
      <c r="A666">
        <v>5016</v>
      </c>
      <c r="B666" s="395" t="s">
        <v>7757</v>
      </c>
      <c r="C666" s="395"/>
      <c r="D666" s="396">
        <v>167147</v>
      </c>
      <c r="E666" s="396">
        <v>180910</v>
      </c>
      <c r="F666" s="395">
        <v>13.14</v>
      </c>
      <c r="G666" s="396">
        <v>-13763</v>
      </c>
      <c r="H666" s="396">
        <v>28253</v>
      </c>
      <c r="I666" s="396">
        <v>1770855</v>
      </c>
      <c r="J666" s="395">
        <v>190</v>
      </c>
      <c r="K666" s="395">
        <v>172</v>
      </c>
      <c r="L666" s="397">
        <v>0.90529999999999999</v>
      </c>
      <c r="M666" s="395">
        <v>18</v>
      </c>
      <c r="N666" s="395">
        <v>880</v>
      </c>
      <c r="O666" s="396">
        <v>1052</v>
      </c>
      <c r="P666" s="395">
        <v>1.38</v>
      </c>
      <c r="Q666" s="395">
        <v>-765</v>
      </c>
      <c r="R666" s="396">
        <v>3439</v>
      </c>
      <c r="S666" s="396">
        <v>-3875</v>
      </c>
      <c r="T666" s="396">
        <v>177321</v>
      </c>
      <c r="U666" s="396">
        <v>-63254</v>
      </c>
      <c r="V666" s="395">
        <v>5244.87</v>
      </c>
      <c r="W666" s="395">
        <v>5219.07</v>
      </c>
      <c r="X666" s="395">
        <v>77490</v>
      </c>
      <c r="Y666" s="395">
        <v>5491.44</v>
      </c>
      <c r="Z666" s="396">
        <v>569703</v>
      </c>
      <c r="AA666" s="396">
        <v>167147</v>
      </c>
      <c r="AB666" s="396">
        <v>15564225</v>
      </c>
      <c r="AC666" s="396">
        <v>10207916</v>
      </c>
    </row>
    <row r="667" spans="1:29">
      <c r="A667">
        <v>6190</v>
      </c>
      <c r="B667" s="395" t="s">
        <v>7979</v>
      </c>
      <c r="C667" s="395"/>
      <c r="D667" s="396">
        <v>166701</v>
      </c>
      <c r="E667" s="396">
        <v>225920</v>
      </c>
      <c r="F667" s="395">
        <v>3.82</v>
      </c>
      <c r="G667" s="396">
        <v>-59219</v>
      </c>
      <c r="H667" s="396">
        <v>27655</v>
      </c>
      <c r="I667" s="396">
        <v>1103206</v>
      </c>
      <c r="J667" s="395">
        <v>252</v>
      </c>
      <c r="K667" s="395">
        <v>209</v>
      </c>
      <c r="L667" s="397">
        <v>0.82940000000000003</v>
      </c>
      <c r="M667" s="395">
        <v>43</v>
      </c>
      <c r="N667" s="395">
        <v>662</v>
      </c>
      <c r="O667" s="396">
        <v>1081</v>
      </c>
      <c r="P667" s="395">
        <v>0.79</v>
      </c>
      <c r="Q667" s="396">
        <v>-1377</v>
      </c>
      <c r="R667" s="396">
        <v>5461</v>
      </c>
      <c r="S667" s="396">
        <v>-4899</v>
      </c>
      <c r="T667" s="396">
        <v>199179</v>
      </c>
      <c r="U667" s="396">
        <v>-91203</v>
      </c>
      <c r="V667" s="395">
        <v>2308.29</v>
      </c>
      <c r="W667" s="395">
        <v>1832.05</v>
      </c>
      <c r="X667" s="395">
        <v>77490</v>
      </c>
      <c r="Y667" s="395">
        <v>4623.05</v>
      </c>
      <c r="Z667" s="396">
        <v>10610479</v>
      </c>
      <c r="AA667" s="396">
        <v>166701</v>
      </c>
      <c r="AB667" s="396">
        <v>49240721</v>
      </c>
      <c r="AC667" s="396">
        <v>10207916</v>
      </c>
    </row>
    <row r="668" spans="1:29">
      <c r="A668">
        <v>6248</v>
      </c>
      <c r="B668" s="395" t="s">
        <v>8032</v>
      </c>
      <c r="C668" s="395"/>
      <c r="D668" s="396">
        <v>166580</v>
      </c>
      <c r="E668" s="396">
        <v>246909</v>
      </c>
      <c r="F668" s="395">
        <v>3.07</v>
      </c>
      <c r="G668" s="396">
        <v>-80329</v>
      </c>
      <c r="H668" s="396">
        <v>21492</v>
      </c>
      <c r="I668" s="396">
        <v>2135982</v>
      </c>
      <c r="J668" s="395">
        <v>224</v>
      </c>
      <c r="K668" s="395">
        <v>184</v>
      </c>
      <c r="L668" s="397">
        <v>0.82140000000000002</v>
      </c>
      <c r="M668" s="395">
        <v>39</v>
      </c>
      <c r="N668" s="395">
        <v>744</v>
      </c>
      <c r="O668" s="396">
        <v>1342</v>
      </c>
      <c r="P668" s="395">
        <v>0.65</v>
      </c>
      <c r="Q668" s="396">
        <v>-2060</v>
      </c>
      <c r="R668" s="396">
        <v>4609</v>
      </c>
      <c r="S668" s="396">
        <v>-6964</v>
      </c>
      <c r="T668" s="396">
        <v>230955</v>
      </c>
      <c r="U668" s="396">
        <v>-116504</v>
      </c>
      <c r="V668" s="395">
        <v>8868.41</v>
      </c>
      <c r="W668" s="395">
        <v>6567.27</v>
      </c>
      <c r="X668" s="395">
        <v>77490</v>
      </c>
      <c r="Y668" s="395">
        <v>19709.150000000001</v>
      </c>
      <c r="Z668" s="396">
        <v>-10009057</v>
      </c>
      <c r="AA668" s="396">
        <v>166580</v>
      </c>
      <c r="AB668" s="396">
        <v>-4613060</v>
      </c>
      <c r="AC668" s="396">
        <v>10207916</v>
      </c>
    </row>
    <row r="669" spans="1:29">
      <c r="A669">
        <v>5013</v>
      </c>
      <c r="B669" s="395" t="s">
        <v>7754</v>
      </c>
      <c r="C669" s="395"/>
      <c r="D669" s="396">
        <v>166464</v>
      </c>
      <c r="E669" s="396">
        <v>227220</v>
      </c>
      <c r="F669" s="395">
        <v>3.74</v>
      </c>
      <c r="G669" s="396">
        <v>-60756</v>
      </c>
      <c r="H669" s="396">
        <v>26525</v>
      </c>
      <c r="I669" s="396">
        <v>799034</v>
      </c>
      <c r="J669" s="395">
        <v>182</v>
      </c>
      <c r="K669" s="395">
        <v>151</v>
      </c>
      <c r="L669" s="397">
        <v>0.82969999999999999</v>
      </c>
      <c r="M669" s="395">
        <v>31</v>
      </c>
      <c r="N669" s="395">
        <v>915</v>
      </c>
      <c r="O669" s="396">
        <v>1505</v>
      </c>
      <c r="P669" s="395">
        <v>0.77</v>
      </c>
      <c r="Q669" s="396">
        <v>-1960</v>
      </c>
      <c r="R669" s="396">
        <v>6517</v>
      </c>
      <c r="S669" s="396">
        <v>-5767</v>
      </c>
      <c r="T669" s="396">
        <v>185206</v>
      </c>
      <c r="U669" s="396">
        <v>-87409</v>
      </c>
      <c r="V669" s="395">
        <v>2503.75</v>
      </c>
      <c r="W669" s="395">
        <v>1902.85</v>
      </c>
      <c r="X669" s="395">
        <v>76410</v>
      </c>
      <c r="Y669" s="395">
        <v>5430.71</v>
      </c>
      <c r="Z669" s="396">
        <v>-3580248</v>
      </c>
      <c r="AA669" s="396">
        <v>166464</v>
      </c>
      <c r="AB669" s="396">
        <v>24096601</v>
      </c>
      <c r="AC669" s="396">
        <v>10207916</v>
      </c>
    </row>
    <row r="670" spans="1:29">
      <c r="A670">
        <v>2324</v>
      </c>
      <c r="B670" s="395" t="s">
        <v>6984</v>
      </c>
      <c r="C670" s="395"/>
      <c r="D670" s="396">
        <v>166456</v>
      </c>
      <c r="E670" s="396">
        <v>175498</v>
      </c>
      <c r="F670" s="395">
        <v>19.41</v>
      </c>
      <c r="G670" s="396">
        <v>-9042</v>
      </c>
      <c r="H670" s="396">
        <v>27279</v>
      </c>
      <c r="I670" s="396">
        <v>1611741</v>
      </c>
      <c r="J670" s="395">
        <v>285</v>
      </c>
      <c r="K670" s="395">
        <v>258</v>
      </c>
      <c r="L670" s="397">
        <v>0.90529999999999999</v>
      </c>
      <c r="M670" s="395">
        <v>27</v>
      </c>
      <c r="N670" s="395">
        <v>584</v>
      </c>
      <c r="O670" s="395">
        <v>680</v>
      </c>
      <c r="P670" s="395">
        <v>2.0299999999999998</v>
      </c>
      <c r="Q670" s="395">
        <v>-335</v>
      </c>
      <c r="R670" s="396">
        <v>3505</v>
      </c>
      <c r="S670" s="395">
        <v>-631</v>
      </c>
      <c r="T670" s="396">
        <v>169652</v>
      </c>
      <c r="U670" s="396">
        <v>-58845</v>
      </c>
      <c r="V670" s="395">
        <v>4643.5200000000004</v>
      </c>
      <c r="W670" s="395">
        <v>3887.33</v>
      </c>
      <c r="X670" s="395">
        <v>77490</v>
      </c>
      <c r="Y670" s="395">
        <v>11869.3</v>
      </c>
      <c r="Z670" s="396">
        <v>12788090</v>
      </c>
      <c r="AA670" s="396">
        <v>166456</v>
      </c>
      <c r="AB670" s="396">
        <v>16208216</v>
      </c>
      <c r="AC670" s="396">
        <v>10207916</v>
      </c>
    </row>
    <row r="671" spans="1:29">
      <c r="A671">
        <v>1726</v>
      </c>
      <c r="B671" s="395" t="s">
        <v>6863</v>
      </c>
      <c r="C671" s="395"/>
      <c r="D671" s="396">
        <v>166022</v>
      </c>
      <c r="E671" s="396">
        <v>172550</v>
      </c>
      <c r="F671" s="395">
        <v>26.43</v>
      </c>
      <c r="G671" s="396">
        <v>-6528</v>
      </c>
      <c r="H671" s="396">
        <v>43347</v>
      </c>
      <c r="I671" s="396">
        <v>5509167</v>
      </c>
      <c r="J671" s="395">
        <v>146</v>
      </c>
      <c r="K671" s="395">
        <v>129</v>
      </c>
      <c r="L671" s="397">
        <v>0.88360000000000005</v>
      </c>
      <c r="M671" s="395">
        <v>17</v>
      </c>
      <c r="N671" s="396">
        <v>1137</v>
      </c>
      <c r="O671" s="396">
        <v>1338</v>
      </c>
      <c r="P671" s="395">
        <v>3.48</v>
      </c>
      <c r="Q671" s="395">
        <v>-384</v>
      </c>
      <c r="R671" s="396">
        <v>3906</v>
      </c>
      <c r="S671" s="395">
        <v>-897</v>
      </c>
      <c r="T671" s="396">
        <v>240964</v>
      </c>
      <c r="U671" s="396">
        <v>-108089</v>
      </c>
      <c r="V671" s="395">
        <v>17468.34</v>
      </c>
      <c r="W671" s="395">
        <v>18220.310000000001</v>
      </c>
      <c r="X671" s="395">
        <v>77490</v>
      </c>
      <c r="Y671" s="395">
        <v>11762.24</v>
      </c>
      <c r="Z671" s="396">
        <v>1659064</v>
      </c>
      <c r="AA671" s="396">
        <v>166022</v>
      </c>
      <c r="AB671" s="396">
        <v>4195330</v>
      </c>
      <c r="AC671" s="396">
        <v>10207916</v>
      </c>
    </row>
    <row r="672" spans="1:29">
      <c r="A672">
        <v>3033</v>
      </c>
      <c r="B672" s="395" t="s">
        <v>7272</v>
      </c>
      <c r="C672" s="395"/>
      <c r="D672" s="396">
        <v>165999</v>
      </c>
      <c r="E672" s="396">
        <v>178502</v>
      </c>
      <c r="F672" s="395">
        <v>14.28</v>
      </c>
      <c r="G672" s="396">
        <v>-12503</v>
      </c>
      <c r="H672" s="396">
        <v>26594</v>
      </c>
      <c r="I672" s="396">
        <v>475124</v>
      </c>
      <c r="J672" s="395">
        <v>258</v>
      </c>
      <c r="K672" s="395">
        <v>239</v>
      </c>
      <c r="L672" s="397">
        <v>0.9264</v>
      </c>
      <c r="M672" s="395">
        <v>19</v>
      </c>
      <c r="N672" s="395">
        <v>643</v>
      </c>
      <c r="O672" s="395">
        <v>747</v>
      </c>
      <c r="P672" s="395">
        <v>1.1399999999999999</v>
      </c>
      <c r="Q672" s="395">
        <v>-658</v>
      </c>
      <c r="R672" s="396">
        <v>2563</v>
      </c>
      <c r="S672" s="396">
        <v>-2447</v>
      </c>
      <c r="T672" s="396">
        <v>177617</v>
      </c>
      <c r="U672" s="396">
        <v>-20563</v>
      </c>
      <c r="V672" s="395">
        <v>1722.83</v>
      </c>
      <c r="W672" s="395">
        <v>1568.05</v>
      </c>
      <c r="X672" s="395">
        <v>77490</v>
      </c>
      <c r="Y672" s="395">
        <v>3669.79</v>
      </c>
      <c r="Z672" s="396">
        <v>16804643</v>
      </c>
      <c r="AA672" s="396">
        <v>165999</v>
      </c>
      <c r="AB672" s="396">
        <v>38204325</v>
      </c>
      <c r="AC672" s="396">
        <v>10207916</v>
      </c>
    </row>
    <row r="673" spans="1:29">
      <c r="A673">
        <v>9931</v>
      </c>
      <c r="B673" s="395" t="s">
        <v>8412</v>
      </c>
      <c r="C673" s="395"/>
      <c r="D673" s="396">
        <v>165986</v>
      </c>
      <c r="E673" s="396">
        <v>172963</v>
      </c>
      <c r="F673" s="395">
        <v>24.79</v>
      </c>
      <c r="G673" s="396">
        <v>-6977</v>
      </c>
      <c r="H673" s="396">
        <v>14130</v>
      </c>
      <c r="I673" s="396">
        <v>1997250</v>
      </c>
      <c r="J673" s="395">
        <v>85</v>
      </c>
      <c r="K673" s="395">
        <v>75</v>
      </c>
      <c r="L673" s="397">
        <v>0.88239999999999996</v>
      </c>
      <c r="M673" s="395">
        <v>10</v>
      </c>
      <c r="N673" s="396">
        <v>1953</v>
      </c>
      <c r="O673" s="396">
        <v>2306</v>
      </c>
      <c r="P673" s="395">
        <v>3.3</v>
      </c>
      <c r="Q673" s="395">
        <v>-698</v>
      </c>
      <c r="R673" s="396">
        <v>6110</v>
      </c>
      <c r="S673" s="396">
        <v>-1335</v>
      </c>
      <c r="T673" s="396">
        <v>251393</v>
      </c>
      <c r="U673" s="396">
        <v>-91225</v>
      </c>
      <c r="V673" s="395">
        <v>13184.8</v>
      </c>
      <c r="W673" s="395">
        <v>12212.77</v>
      </c>
      <c r="X673" s="395">
        <v>67500</v>
      </c>
      <c r="Y673" s="395">
        <v>20475</v>
      </c>
      <c r="Z673" s="396">
        <v>462189</v>
      </c>
      <c r="AA673" s="396">
        <v>165986</v>
      </c>
      <c r="AB673" s="396">
        <v>-3767180</v>
      </c>
      <c r="AC673" s="396">
        <v>10207916</v>
      </c>
    </row>
    <row r="674" spans="1:29">
      <c r="A674">
        <v>1541</v>
      </c>
      <c r="B674" s="395" t="s">
        <v>6812</v>
      </c>
      <c r="C674" s="395"/>
      <c r="D674" s="396">
        <v>165777</v>
      </c>
      <c r="E674" s="396">
        <v>252081</v>
      </c>
      <c r="F674" s="395">
        <v>2.92</v>
      </c>
      <c r="G674" s="396">
        <v>-86304</v>
      </c>
      <c r="H674" s="396">
        <v>33773</v>
      </c>
      <c r="I674" s="396">
        <v>2347900</v>
      </c>
      <c r="J674" s="395">
        <v>169</v>
      </c>
      <c r="K674" s="395">
        <v>118</v>
      </c>
      <c r="L674" s="397">
        <v>0.69820000000000004</v>
      </c>
      <c r="M674" s="395">
        <v>51</v>
      </c>
      <c r="N674" s="395">
        <v>981</v>
      </c>
      <c r="O674" s="396">
        <v>2136</v>
      </c>
      <c r="P674" s="395">
        <v>1.26</v>
      </c>
      <c r="Q674" s="396">
        <v>-1692</v>
      </c>
      <c r="R674" s="396">
        <v>8359</v>
      </c>
      <c r="S674" s="396">
        <v>-7625</v>
      </c>
      <c r="T674" s="396">
        <v>320608</v>
      </c>
      <c r="U674" s="396">
        <v>-237329</v>
      </c>
      <c r="V674" s="395">
        <v>5390.22</v>
      </c>
      <c r="W674" s="395">
        <v>3035.35</v>
      </c>
      <c r="X674" s="395">
        <v>76410</v>
      </c>
      <c r="Y674" s="395">
        <v>10838.76</v>
      </c>
      <c r="Z674" s="396">
        <v>-6745340</v>
      </c>
      <c r="AA674" s="396">
        <v>165777</v>
      </c>
      <c r="AB674" s="396">
        <v>-8699036</v>
      </c>
      <c r="AC674" s="396">
        <v>10207916</v>
      </c>
    </row>
    <row r="675" spans="1:29">
      <c r="A675">
        <v>8476</v>
      </c>
      <c r="B675" s="395" t="s">
        <v>8358</v>
      </c>
      <c r="C675" s="395"/>
      <c r="D675" s="396">
        <v>165627</v>
      </c>
      <c r="E675" s="396">
        <v>208574</v>
      </c>
      <c r="F675" s="395">
        <v>4.8600000000000003</v>
      </c>
      <c r="G675" s="396">
        <v>-42947</v>
      </c>
      <c r="H675" s="396">
        <v>25423</v>
      </c>
      <c r="I675" s="396">
        <v>1019915</v>
      </c>
      <c r="J675" s="395">
        <v>128</v>
      </c>
      <c r="K675" s="395">
        <v>105</v>
      </c>
      <c r="L675" s="397">
        <v>0.82030000000000003</v>
      </c>
      <c r="M675" s="395">
        <v>23</v>
      </c>
      <c r="N675" s="396">
        <v>1294</v>
      </c>
      <c r="O675" s="396">
        <v>1986</v>
      </c>
      <c r="P675" s="395">
        <v>1.06</v>
      </c>
      <c r="Q675" s="396">
        <v>-1867</v>
      </c>
      <c r="R675" s="396">
        <v>8958</v>
      </c>
      <c r="S675" s="396">
        <v>-5142</v>
      </c>
      <c r="T675" s="396">
        <v>181206</v>
      </c>
      <c r="U675" s="396">
        <v>-83021</v>
      </c>
      <c r="V675" s="395">
        <v>2025.74</v>
      </c>
      <c r="W675" s="395">
        <v>1568.19</v>
      </c>
      <c r="X675" s="395">
        <v>76950</v>
      </c>
      <c r="Y675" s="395">
        <v>4114.57</v>
      </c>
      <c r="Z675" s="396">
        <v>12750321</v>
      </c>
      <c r="AA675" s="396">
        <v>165627</v>
      </c>
      <c r="AB675" s="396">
        <v>79328125</v>
      </c>
      <c r="AC675" s="396">
        <v>10207916</v>
      </c>
    </row>
    <row r="676" spans="1:29">
      <c r="A676">
        <v>5212</v>
      </c>
      <c r="B676" s="395" t="s">
        <v>7767</v>
      </c>
      <c r="C676" s="395"/>
      <c r="D676" s="396">
        <v>164872</v>
      </c>
      <c r="E676" s="396">
        <v>271110</v>
      </c>
      <c r="F676" s="395">
        <v>2.5499999999999998</v>
      </c>
      <c r="G676" s="396">
        <v>-106238</v>
      </c>
      <c r="H676" s="396">
        <v>27493</v>
      </c>
      <c r="I676" s="396">
        <v>2002193</v>
      </c>
      <c r="J676" s="395">
        <v>122</v>
      </c>
      <c r="K676" s="395">
        <v>94</v>
      </c>
      <c r="L676" s="397">
        <v>0.77049999999999996</v>
      </c>
      <c r="M676" s="395">
        <v>28</v>
      </c>
      <c r="N676" s="396">
        <v>1351</v>
      </c>
      <c r="O676" s="396">
        <v>2884</v>
      </c>
      <c r="P676" s="395">
        <v>0.76</v>
      </c>
      <c r="Q676" s="396">
        <v>-3794</v>
      </c>
      <c r="R676" s="396">
        <v>11028</v>
      </c>
      <c r="S676" s="396">
        <v>-13777</v>
      </c>
      <c r="T676" s="396">
        <v>210420</v>
      </c>
      <c r="U676" s="396">
        <v>-147330</v>
      </c>
      <c r="V676" s="395">
        <v>5717.3</v>
      </c>
      <c r="W676" s="395">
        <v>3703.29</v>
      </c>
      <c r="X676" s="395">
        <v>62370</v>
      </c>
      <c r="Y676" s="395">
        <v>12478.64</v>
      </c>
      <c r="Z676" s="396">
        <v>-5470014</v>
      </c>
      <c r="AA676" s="396">
        <v>164872</v>
      </c>
      <c r="AB676" s="396">
        <v>-769271</v>
      </c>
      <c r="AC676" s="396">
        <v>10207916</v>
      </c>
    </row>
    <row r="677" spans="1:29">
      <c r="A677">
        <v>3714</v>
      </c>
      <c r="B677" s="395" t="s">
        <v>7550</v>
      </c>
      <c r="C677" s="395"/>
      <c r="D677" s="396">
        <v>164865</v>
      </c>
      <c r="E677" s="396">
        <v>590419</v>
      </c>
      <c r="F677" s="395">
        <v>1.39</v>
      </c>
      <c r="G677" s="396">
        <v>-425554</v>
      </c>
      <c r="H677" s="396">
        <v>86835</v>
      </c>
      <c r="I677" s="396">
        <v>3395152</v>
      </c>
      <c r="J677" s="395">
        <v>271</v>
      </c>
      <c r="K677" s="395">
        <v>207</v>
      </c>
      <c r="L677" s="397">
        <v>0.76380000000000003</v>
      </c>
      <c r="M677" s="395">
        <v>64</v>
      </c>
      <c r="N677" s="395">
        <v>608</v>
      </c>
      <c r="O677" s="396">
        <v>2852</v>
      </c>
      <c r="P677" s="395">
        <v>0.43</v>
      </c>
      <c r="Q677" s="396">
        <v>-6649</v>
      </c>
      <c r="R677" s="396">
        <v>16432</v>
      </c>
      <c r="S677" s="396">
        <v>-32649</v>
      </c>
      <c r="T677" s="396">
        <v>569425</v>
      </c>
      <c r="U677" s="396">
        <v>-340306</v>
      </c>
      <c r="V677" s="395">
        <v>3168.25</v>
      </c>
      <c r="W677" s="395">
        <v>2413.1</v>
      </c>
      <c r="X677" s="395">
        <v>76950</v>
      </c>
      <c r="Y677" s="395">
        <v>5610.72</v>
      </c>
      <c r="Z677" s="396">
        <v>-21337766</v>
      </c>
      <c r="AA677" s="396">
        <v>164865</v>
      </c>
      <c r="AB677" s="396">
        <v>-11057143</v>
      </c>
      <c r="AC677" s="396">
        <v>10207916</v>
      </c>
    </row>
    <row r="678" spans="1:29">
      <c r="A678">
        <v>3594</v>
      </c>
      <c r="B678" s="395" t="s">
        <v>7494</v>
      </c>
      <c r="C678" s="395"/>
      <c r="D678" s="396">
        <v>164700</v>
      </c>
      <c r="E678" s="396">
        <v>211360</v>
      </c>
      <c r="F678" s="395">
        <v>4.53</v>
      </c>
      <c r="G678" s="396">
        <v>-46661</v>
      </c>
      <c r="H678" s="396">
        <v>23195</v>
      </c>
      <c r="I678" s="396">
        <v>1857046</v>
      </c>
      <c r="J678" s="395">
        <v>236</v>
      </c>
      <c r="K678" s="395">
        <v>189</v>
      </c>
      <c r="L678" s="397">
        <v>0.80079999999999996</v>
      </c>
      <c r="M678" s="395">
        <v>47</v>
      </c>
      <c r="N678" s="395">
        <v>698</v>
      </c>
      <c r="O678" s="396">
        <v>1118</v>
      </c>
      <c r="P678" s="395">
        <v>1.1299999999999999</v>
      </c>
      <c r="Q678" s="395">
        <v>-993</v>
      </c>
      <c r="R678" s="396">
        <v>4001</v>
      </c>
      <c r="S678" s="396">
        <v>-5769</v>
      </c>
      <c r="T678" s="396">
        <v>256125</v>
      </c>
      <c r="U678" s="396">
        <v>-145728</v>
      </c>
      <c r="V678" s="395">
        <v>5993.32</v>
      </c>
      <c r="W678" s="395">
        <v>4031.41</v>
      </c>
      <c r="X678" s="395">
        <v>77490</v>
      </c>
      <c r="Y678" s="395">
        <v>13882.7</v>
      </c>
      <c r="Z678" s="396">
        <v>-14774965</v>
      </c>
      <c r="AA678" s="396">
        <v>164700</v>
      </c>
      <c r="AB678" s="396">
        <v>-2921314</v>
      </c>
      <c r="AC678" s="396">
        <v>10207916</v>
      </c>
    </row>
    <row r="679" spans="1:29">
      <c r="A679">
        <v>5410</v>
      </c>
      <c r="B679" s="395" t="s">
        <v>7827</v>
      </c>
      <c r="C679" s="395"/>
      <c r="D679" s="396">
        <v>164614</v>
      </c>
      <c r="E679" s="396">
        <v>168417</v>
      </c>
      <c r="F679" s="395">
        <v>44.29</v>
      </c>
      <c r="G679" s="396">
        <v>-3803</v>
      </c>
      <c r="H679" s="396">
        <v>22534</v>
      </c>
      <c r="I679" s="396">
        <v>1287463</v>
      </c>
      <c r="J679" s="395">
        <v>236</v>
      </c>
      <c r="K679" s="395">
        <v>215</v>
      </c>
      <c r="L679" s="397">
        <v>0.91100000000000003</v>
      </c>
      <c r="M679" s="395">
        <v>21</v>
      </c>
      <c r="N679" s="395">
        <v>698</v>
      </c>
      <c r="O679" s="395">
        <v>783</v>
      </c>
      <c r="P679" s="395">
        <v>4.33</v>
      </c>
      <c r="Q679" s="395">
        <v>-181</v>
      </c>
      <c r="R679" s="396">
        <v>2308</v>
      </c>
      <c r="S679" s="395">
        <v>-798</v>
      </c>
      <c r="T679" s="396">
        <v>190475</v>
      </c>
      <c r="U679" s="396">
        <v>-51454</v>
      </c>
      <c r="V679" s="395">
        <v>4641.22</v>
      </c>
      <c r="W679" s="395">
        <v>3988.25</v>
      </c>
      <c r="X679" s="395">
        <v>77490</v>
      </c>
      <c r="Y679" s="395">
        <v>11326.38</v>
      </c>
      <c r="Z679" s="396">
        <v>13467393</v>
      </c>
      <c r="AA679" s="396">
        <v>164614</v>
      </c>
      <c r="AB679" s="396">
        <v>14113751</v>
      </c>
      <c r="AC679" s="396">
        <v>10207916</v>
      </c>
    </row>
    <row r="680" spans="1:29">
      <c r="A680">
        <v>3701</v>
      </c>
      <c r="B680" s="395" t="s">
        <v>7537</v>
      </c>
      <c r="C680" s="395"/>
      <c r="D680" s="396">
        <v>164531</v>
      </c>
      <c r="E680" s="396">
        <v>281860</v>
      </c>
      <c r="F680" s="395">
        <v>2.4</v>
      </c>
      <c r="G680" s="396">
        <v>-117329</v>
      </c>
      <c r="H680" s="396">
        <v>33719</v>
      </c>
      <c r="I680" s="396">
        <v>1109346</v>
      </c>
      <c r="J680" s="395">
        <v>195</v>
      </c>
      <c r="K680" s="395">
        <v>162</v>
      </c>
      <c r="L680" s="397">
        <v>0.83079999999999998</v>
      </c>
      <c r="M680" s="395">
        <v>33</v>
      </c>
      <c r="N680" s="395">
        <v>844</v>
      </c>
      <c r="O680" s="396">
        <v>1740</v>
      </c>
      <c r="P680" s="395">
        <v>0.49</v>
      </c>
      <c r="Q680" s="396">
        <v>-3555</v>
      </c>
      <c r="R680" s="396">
        <v>9644</v>
      </c>
      <c r="S680" s="396">
        <v>-11999</v>
      </c>
      <c r="T680" s="396">
        <v>220143</v>
      </c>
      <c r="U680" s="396">
        <v>-142646</v>
      </c>
      <c r="V680" s="395">
        <v>1937.13</v>
      </c>
      <c r="W680" s="395">
        <v>1645.05</v>
      </c>
      <c r="X680" s="395">
        <v>73980</v>
      </c>
      <c r="Y680" s="395">
        <v>3370.97</v>
      </c>
      <c r="Z680" s="396">
        <v>49854391</v>
      </c>
      <c r="AA680" s="396">
        <v>164531</v>
      </c>
      <c r="AB680" s="396">
        <v>169025362</v>
      </c>
      <c r="AC680" s="396">
        <v>10207916</v>
      </c>
    </row>
    <row r="681" spans="1:29">
      <c r="A681">
        <v>1737</v>
      </c>
      <c r="B681" s="395" t="s">
        <v>6872</v>
      </c>
      <c r="C681" s="395"/>
      <c r="D681" s="396">
        <v>164469</v>
      </c>
      <c r="E681" s="396">
        <v>176809</v>
      </c>
      <c r="F681" s="395">
        <v>14.33</v>
      </c>
      <c r="G681" s="396">
        <v>-12340</v>
      </c>
      <c r="H681" s="396">
        <v>32331</v>
      </c>
      <c r="I681" s="396">
        <v>3301275</v>
      </c>
      <c r="J681" s="395">
        <v>242</v>
      </c>
      <c r="K681" s="395">
        <v>227</v>
      </c>
      <c r="L681" s="397">
        <v>0.93799999999999994</v>
      </c>
      <c r="M681" s="395">
        <v>15</v>
      </c>
      <c r="N681" s="395">
        <v>680</v>
      </c>
      <c r="O681" s="395">
        <v>779</v>
      </c>
      <c r="P681" s="395">
        <v>0.95</v>
      </c>
      <c r="Q681" s="395">
        <v>-823</v>
      </c>
      <c r="R681" s="396">
        <v>2221</v>
      </c>
      <c r="S681" s="396">
        <v>-1888</v>
      </c>
      <c r="T681" s="396">
        <v>189541</v>
      </c>
      <c r="U681" s="396">
        <v>-64444</v>
      </c>
      <c r="V681" s="395">
        <v>11088.77</v>
      </c>
      <c r="W681" s="395">
        <v>10302.23</v>
      </c>
      <c r="X681" s="395">
        <v>77490</v>
      </c>
      <c r="Y681" s="395">
        <v>22991.73</v>
      </c>
      <c r="Z681" s="396">
        <v>421214</v>
      </c>
      <c r="AA681" s="396">
        <v>164469</v>
      </c>
      <c r="AB681" s="396">
        <v>4151787</v>
      </c>
      <c r="AC681" s="396">
        <v>10207916</v>
      </c>
    </row>
    <row r="682" spans="1:29">
      <c r="A682">
        <v>4906</v>
      </c>
      <c r="B682" s="395" t="s">
        <v>7704</v>
      </c>
      <c r="C682" s="395"/>
      <c r="D682" s="396">
        <v>164102</v>
      </c>
      <c r="E682" s="396">
        <v>267618</v>
      </c>
      <c r="F682" s="395">
        <v>2.59</v>
      </c>
      <c r="G682" s="396">
        <v>-103516</v>
      </c>
      <c r="H682" s="396">
        <v>32005</v>
      </c>
      <c r="I682" s="396">
        <v>1451865</v>
      </c>
      <c r="J682" s="395">
        <v>263</v>
      </c>
      <c r="K682" s="395">
        <v>211</v>
      </c>
      <c r="L682" s="397">
        <v>0.80230000000000001</v>
      </c>
      <c r="M682" s="395">
        <v>52</v>
      </c>
      <c r="N682" s="395">
        <v>624</v>
      </c>
      <c r="O682" s="396">
        <v>1268</v>
      </c>
      <c r="P682" s="395">
        <v>0.64</v>
      </c>
      <c r="Q682" s="396">
        <v>-1991</v>
      </c>
      <c r="R682" s="396">
        <v>6235</v>
      </c>
      <c r="S682" s="396">
        <v>-5327</v>
      </c>
      <c r="T682" s="396">
        <v>258717</v>
      </c>
      <c r="U682" s="396">
        <v>-111152</v>
      </c>
      <c r="V682" s="395">
        <v>3758.49</v>
      </c>
      <c r="W682" s="395">
        <v>2827.5</v>
      </c>
      <c r="X682" s="395">
        <v>77490</v>
      </c>
      <c r="Y682" s="395">
        <v>7536.17</v>
      </c>
      <c r="Z682" s="396">
        <v>-12708606</v>
      </c>
      <c r="AA682" s="396">
        <v>164102</v>
      </c>
      <c r="AB682" s="396">
        <v>1212448</v>
      </c>
      <c r="AC682" s="396">
        <v>10207916</v>
      </c>
    </row>
    <row r="683" spans="1:29">
      <c r="A683">
        <v>2023</v>
      </c>
      <c r="B683" s="395" t="s">
        <v>6918</v>
      </c>
      <c r="C683" s="395"/>
      <c r="D683" s="396">
        <v>163964</v>
      </c>
      <c r="E683" s="396">
        <v>203992</v>
      </c>
      <c r="F683" s="395">
        <v>5.0999999999999996</v>
      </c>
      <c r="G683" s="396">
        <v>-40028</v>
      </c>
      <c r="H683" s="396">
        <v>26836</v>
      </c>
      <c r="I683" s="396">
        <v>719163</v>
      </c>
      <c r="J683" s="395">
        <v>278</v>
      </c>
      <c r="K683" s="395">
        <v>235</v>
      </c>
      <c r="L683" s="397">
        <v>0.84530000000000005</v>
      </c>
      <c r="M683" s="395">
        <v>42</v>
      </c>
      <c r="N683" s="395">
        <v>590</v>
      </c>
      <c r="O683" s="395">
        <v>868</v>
      </c>
      <c r="P683" s="395">
        <v>0.91</v>
      </c>
      <c r="Q683" s="395">
        <v>-953</v>
      </c>
      <c r="R683" s="396">
        <v>4674</v>
      </c>
      <c r="S683" s="396">
        <v>-2741</v>
      </c>
      <c r="T683" s="396">
        <v>175487</v>
      </c>
      <c r="U683" s="396">
        <v>-73406</v>
      </c>
      <c r="V683" s="395">
        <v>1743.99</v>
      </c>
      <c r="W683" s="395">
        <v>1193.1099999999999</v>
      </c>
      <c r="X683" s="395">
        <v>77490</v>
      </c>
      <c r="Y683" s="395">
        <v>4745.26</v>
      </c>
      <c r="Z683" s="396">
        <v>20501839</v>
      </c>
      <c r="AA683" s="396">
        <v>163964</v>
      </c>
      <c r="AB683" s="396">
        <v>40432143</v>
      </c>
      <c r="AC683" s="396">
        <v>10207916</v>
      </c>
    </row>
    <row r="684" spans="1:29">
      <c r="A684">
        <v>3209</v>
      </c>
      <c r="B684" s="395" t="s">
        <v>7344</v>
      </c>
      <c r="C684" s="395"/>
      <c r="D684" s="396">
        <v>163859</v>
      </c>
      <c r="E684" s="396">
        <v>179314</v>
      </c>
      <c r="F684" s="395">
        <v>11.6</v>
      </c>
      <c r="G684" s="396">
        <v>-15455</v>
      </c>
      <c r="H684" s="396">
        <v>29409</v>
      </c>
      <c r="I684" s="396">
        <v>1395819</v>
      </c>
      <c r="J684" s="395">
        <v>253</v>
      </c>
      <c r="K684" s="395">
        <v>227</v>
      </c>
      <c r="L684" s="397">
        <v>0.8972</v>
      </c>
      <c r="M684" s="395">
        <v>26</v>
      </c>
      <c r="N684" s="395">
        <v>648</v>
      </c>
      <c r="O684" s="395">
        <v>790</v>
      </c>
      <c r="P684" s="395">
        <v>1.33</v>
      </c>
      <c r="Q684" s="395">
        <v>-594</v>
      </c>
      <c r="R684" s="396">
        <v>2585</v>
      </c>
      <c r="S684" s="396">
        <v>-3495</v>
      </c>
      <c r="T684" s="396">
        <v>183032</v>
      </c>
      <c r="U684" s="396">
        <v>-49865</v>
      </c>
      <c r="V684" s="395">
        <v>3992.45</v>
      </c>
      <c r="W684" s="395">
        <v>3822.7</v>
      </c>
      <c r="X684" s="395">
        <v>77490</v>
      </c>
      <c r="Y684" s="395">
        <v>5474.54</v>
      </c>
      <c r="Z684" s="396">
        <v>11312935</v>
      </c>
      <c r="AA684" s="396">
        <v>163859</v>
      </c>
      <c r="AB684" s="396">
        <v>31936935</v>
      </c>
      <c r="AC684" s="396">
        <v>10207916</v>
      </c>
    </row>
    <row r="685" spans="1:29">
      <c r="A685">
        <v>5015</v>
      </c>
      <c r="B685" s="395" t="s">
        <v>7756</v>
      </c>
      <c r="C685" s="395"/>
      <c r="D685" s="396">
        <v>163736</v>
      </c>
      <c r="E685" s="396">
        <v>178313</v>
      </c>
      <c r="F685" s="395">
        <v>12.23</v>
      </c>
      <c r="G685" s="396">
        <v>-14577</v>
      </c>
      <c r="H685" s="396">
        <v>24548</v>
      </c>
      <c r="I685" s="396">
        <v>1818036</v>
      </c>
      <c r="J685" s="395">
        <v>171</v>
      </c>
      <c r="K685" s="395">
        <v>154</v>
      </c>
      <c r="L685" s="397">
        <v>0.90059999999999996</v>
      </c>
      <c r="M685" s="395">
        <v>17</v>
      </c>
      <c r="N685" s="395">
        <v>958</v>
      </c>
      <c r="O685" s="396">
        <v>1158</v>
      </c>
      <c r="P685" s="395">
        <v>1.35</v>
      </c>
      <c r="Q685" s="395">
        <v>-857</v>
      </c>
      <c r="R685" s="396">
        <v>3672</v>
      </c>
      <c r="S685" s="396">
        <v>-2941</v>
      </c>
      <c r="T685" s="396">
        <v>206800</v>
      </c>
      <c r="U685" s="396">
        <v>-59117</v>
      </c>
      <c r="V685" s="395">
        <v>7040.22</v>
      </c>
      <c r="W685" s="395">
        <v>6950.81</v>
      </c>
      <c r="X685" s="395">
        <v>77490</v>
      </c>
      <c r="Y685" s="395">
        <v>7850.12</v>
      </c>
      <c r="Z685" s="396">
        <v>11621653</v>
      </c>
      <c r="AA685" s="396">
        <v>163736</v>
      </c>
      <c r="AB685" s="396">
        <v>20483378</v>
      </c>
      <c r="AC685" s="396">
        <v>10207916</v>
      </c>
    </row>
    <row r="686" spans="1:29">
      <c r="A686">
        <v>3673</v>
      </c>
      <c r="B686" s="395" t="s">
        <v>7524</v>
      </c>
      <c r="C686" s="395"/>
      <c r="D686" s="396">
        <v>163605</v>
      </c>
      <c r="E686" s="396">
        <v>344600</v>
      </c>
      <c r="F686" s="395">
        <v>1.9</v>
      </c>
      <c r="G686" s="396">
        <v>-180995</v>
      </c>
      <c r="H686" s="396">
        <v>48814</v>
      </c>
      <c r="I686" s="396">
        <v>2926504</v>
      </c>
      <c r="J686" s="395">
        <v>276</v>
      </c>
      <c r="K686" s="395">
        <v>201</v>
      </c>
      <c r="L686" s="397">
        <v>0.72829999999999995</v>
      </c>
      <c r="M686" s="395">
        <v>75</v>
      </c>
      <c r="N686" s="395">
        <v>593</v>
      </c>
      <c r="O686" s="396">
        <v>1714</v>
      </c>
      <c r="P686" s="395">
        <v>0.71</v>
      </c>
      <c r="Q686" s="396">
        <v>-2413</v>
      </c>
      <c r="R686" s="396">
        <v>4842</v>
      </c>
      <c r="S686" s="396">
        <v>-6562</v>
      </c>
      <c r="T686" s="396">
        <v>394632</v>
      </c>
      <c r="U686" s="396">
        <v>-266130</v>
      </c>
      <c r="V686" s="395">
        <v>4461.3999999999996</v>
      </c>
      <c r="W686" s="395">
        <v>2587.41</v>
      </c>
      <c r="X686" s="395">
        <v>77490</v>
      </c>
      <c r="Y686" s="395">
        <v>9483.69</v>
      </c>
      <c r="Z686" s="396">
        <v>-14534163</v>
      </c>
      <c r="AA686" s="396">
        <v>163605</v>
      </c>
      <c r="AB686" s="396">
        <v>-9070476</v>
      </c>
      <c r="AC686" s="396">
        <v>10207916</v>
      </c>
    </row>
    <row r="687" spans="1:29">
      <c r="A687">
        <v>4939</v>
      </c>
      <c r="B687" s="395" t="s">
        <v>7722</v>
      </c>
      <c r="C687" s="395"/>
      <c r="D687" s="396">
        <v>163317</v>
      </c>
      <c r="E687" s="396">
        <v>215539</v>
      </c>
      <c r="F687" s="395">
        <v>4.13</v>
      </c>
      <c r="G687" s="396">
        <v>-52222</v>
      </c>
      <c r="H687" s="396">
        <v>23771</v>
      </c>
      <c r="I687" s="396">
        <v>2055805</v>
      </c>
      <c r="J687" s="395">
        <v>257</v>
      </c>
      <c r="K687" s="395">
        <v>211</v>
      </c>
      <c r="L687" s="397">
        <v>0.82099999999999995</v>
      </c>
      <c r="M687" s="395">
        <v>45</v>
      </c>
      <c r="N687" s="395">
        <v>635</v>
      </c>
      <c r="O687" s="396">
        <v>1022</v>
      </c>
      <c r="P687" s="395">
        <v>0.88</v>
      </c>
      <c r="Q687" s="396">
        <v>-1160</v>
      </c>
      <c r="R687" s="396">
        <v>4814</v>
      </c>
      <c r="S687" s="396">
        <v>-3828</v>
      </c>
      <c r="T687" s="396">
        <v>248298</v>
      </c>
      <c r="U687" s="396">
        <v>-156715</v>
      </c>
      <c r="V687" s="395">
        <v>6293.02</v>
      </c>
      <c r="W687" s="395">
        <v>4909.38</v>
      </c>
      <c r="X687" s="395">
        <v>77490</v>
      </c>
      <c r="Y687" s="395">
        <v>12869.84</v>
      </c>
      <c r="Z687" s="396">
        <v>2120242</v>
      </c>
      <c r="AA687" s="396">
        <v>163317</v>
      </c>
      <c r="AB687" s="396">
        <v>5365255</v>
      </c>
      <c r="AC687" s="396">
        <v>10207916</v>
      </c>
    </row>
    <row r="688" spans="1:29">
      <c r="A688">
        <v>1101</v>
      </c>
      <c r="B688" s="395" t="s">
        <v>6676</v>
      </c>
      <c r="C688" s="395"/>
      <c r="D688" s="396">
        <v>162457</v>
      </c>
      <c r="E688" s="396">
        <v>279106</v>
      </c>
      <c r="F688" s="395">
        <v>2.39</v>
      </c>
      <c r="G688" s="396">
        <v>-116649</v>
      </c>
      <c r="H688" s="396">
        <v>54845</v>
      </c>
      <c r="I688" s="396">
        <v>5425857</v>
      </c>
      <c r="J688" s="395">
        <v>283</v>
      </c>
      <c r="K688" s="395">
        <v>182</v>
      </c>
      <c r="L688" s="397">
        <v>0.6431</v>
      </c>
      <c r="M688" s="395">
        <v>101</v>
      </c>
      <c r="N688" s="395">
        <v>574</v>
      </c>
      <c r="O688" s="396">
        <v>1534</v>
      </c>
      <c r="P688" s="395">
        <v>1.33</v>
      </c>
      <c r="Q688" s="396">
        <v>-1155</v>
      </c>
      <c r="R688" s="396">
        <v>6247</v>
      </c>
      <c r="S688" s="396">
        <v>-4348</v>
      </c>
      <c r="T688" s="396">
        <v>296027</v>
      </c>
      <c r="U688" s="396">
        <v>-177063</v>
      </c>
      <c r="V688" s="395">
        <v>8262.82</v>
      </c>
      <c r="W688" s="395">
        <v>3845.77</v>
      </c>
      <c r="X688" s="395">
        <v>77490</v>
      </c>
      <c r="Y688" s="395">
        <v>16222.25</v>
      </c>
      <c r="Z688" s="396">
        <v>7853906</v>
      </c>
      <c r="AA688" s="396">
        <v>162457</v>
      </c>
      <c r="AB688" s="396">
        <v>8678204</v>
      </c>
      <c r="AC688" s="396">
        <v>10207916</v>
      </c>
    </row>
    <row r="689" spans="1:29">
      <c r="A689">
        <v>6235</v>
      </c>
      <c r="B689" s="395" t="s">
        <v>8020</v>
      </c>
      <c r="C689" s="395"/>
      <c r="D689" s="396">
        <v>161930</v>
      </c>
      <c r="E689" s="396">
        <v>220137</v>
      </c>
      <c r="F689" s="395">
        <v>3.78</v>
      </c>
      <c r="G689" s="396">
        <v>-58207</v>
      </c>
      <c r="H689" s="396">
        <v>23757</v>
      </c>
      <c r="I689" s="396">
        <v>869936</v>
      </c>
      <c r="J689" s="395">
        <v>258</v>
      </c>
      <c r="K689" s="395">
        <v>209</v>
      </c>
      <c r="L689" s="397">
        <v>0.81010000000000004</v>
      </c>
      <c r="M689" s="395">
        <v>49</v>
      </c>
      <c r="N689" s="395">
        <v>628</v>
      </c>
      <c r="O689" s="396">
        <v>1053</v>
      </c>
      <c r="P689" s="395">
        <v>0.89</v>
      </c>
      <c r="Q689" s="396">
        <v>-1188</v>
      </c>
      <c r="R689" s="396">
        <v>4730</v>
      </c>
      <c r="S689" s="396">
        <v>-3712</v>
      </c>
      <c r="T689" s="396">
        <v>254198</v>
      </c>
      <c r="U689" s="396">
        <v>-119382</v>
      </c>
      <c r="V689" s="395">
        <v>3213.73</v>
      </c>
      <c r="W689" s="395">
        <v>2499.23</v>
      </c>
      <c r="X689" s="395">
        <v>77490</v>
      </c>
      <c r="Y689" s="395">
        <v>6261.29</v>
      </c>
      <c r="Z689" s="396">
        <v>-2145744</v>
      </c>
      <c r="AA689" s="396">
        <v>161930</v>
      </c>
      <c r="AB689" s="396">
        <v>34239075</v>
      </c>
      <c r="AC689" s="396">
        <v>10207916</v>
      </c>
    </row>
    <row r="690" spans="1:29">
      <c r="A690">
        <v>3232</v>
      </c>
      <c r="B690" s="395" t="s">
        <v>7358</v>
      </c>
      <c r="C690" s="395"/>
      <c r="D690" s="396">
        <v>161895</v>
      </c>
      <c r="E690" s="396">
        <v>253574</v>
      </c>
      <c r="F690" s="395">
        <v>2.77</v>
      </c>
      <c r="G690" s="396">
        <v>-91679</v>
      </c>
      <c r="H690" s="396">
        <v>24675</v>
      </c>
      <c r="I690" s="396">
        <v>1447266</v>
      </c>
      <c r="J690" s="395">
        <v>256</v>
      </c>
      <c r="K690" s="395">
        <v>202</v>
      </c>
      <c r="L690" s="397">
        <v>0.78910000000000002</v>
      </c>
      <c r="M690" s="395">
        <v>54</v>
      </c>
      <c r="N690" s="395">
        <v>632</v>
      </c>
      <c r="O690" s="396">
        <v>1255</v>
      </c>
      <c r="P690" s="395">
        <v>0.74</v>
      </c>
      <c r="Q690" s="396">
        <v>-1698</v>
      </c>
      <c r="R690" s="396">
        <v>3421</v>
      </c>
      <c r="S690" s="396">
        <v>-12998</v>
      </c>
      <c r="T690" s="396">
        <v>198110</v>
      </c>
      <c r="U690" s="396">
        <v>-114000</v>
      </c>
      <c r="V690" s="395">
        <v>3226.42</v>
      </c>
      <c r="W690" s="395">
        <v>2478.94</v>
      </c>
      <c r="X690" s="395">
        <v>77490</v>
      </c>
      <c r="Y690" s="395">
        <v>6022.56</v>
      </c>
      <c r="Z690" s="396">
        <v>-11386956</v>
      </c>
      <c r="AA690" s="396">
        <v>161895</v>
      </c>
      <c r="AB690" s="396">
        <v>36556133</v>
      </c>
      <c r="AC690" s="396">
        <v>10207916</v>
      </c>
    </row>
    <row r="691" spans="1:29">
      <c r="A691">
        <v>5519</v>
      </c>
      <c r="B691" s="395" t="s">
        <v>7863</v>
      </c>
      <c r="C691" s="395"/>
      <c r="D691" s="396">
        <v>161819</v>
      </c>
      <c r="E691" s="396">
        <v>171157</v>
      </c>
      <c r="F691" s="395">
        <v>18.329999999999998</v>
      </c>
      <c r="G691" s="396">
        <v>-9338</v>
      </c>
      <c r="H691" s="396">
        <v>21281</v>
      </c>
      <c r="I691" s="396">
        <v>1521250</v>
      </c>
      <c r="J691" s="395">
        <v>249</v>
      </c>
      <c r="K691" s="395">
        <v>216</v>
      </c>
      <c r="L691" s="397">
        <v>0.86750000000000005</v>
      </c>
      <c r="M691" s="395">
        <v>33</v>
      </c>
      <c r="N691" s="395">
        <v>650</v>
      </c>
      <c r="O691" s="395">
        <v>792</v>
      </c>
      <c r="P691" s="395">
        <v>2.8</v>
      </c>
      <c r="Q691" s="395">
        <v>-283</v>
      </c>
      <c r="R691" s="396">
        <v>2317</v>
      </c>
      <c r="S691" s="396">
        <v>-1589</v>
      </c>
      <c r="T691" s="396">
        <v>173547</v>
      </c>
      <c r="U691" s="396">
        <v>-89641</v>
      </c>
      <c r="V691" s="395">
        <v>4675.0600000000004</v>
      </c>
      <c r="W691" s="395">
        <v>4921.38</v>
      </c>
      <c r="X691" s="395">
        <v>77490</v>
      </c>
      <c r="Y691" s="395">
        <v>3062.79</v>
      </c>
      <c r="Z691" s="396">
        <v>9427692</v>
      </c>
      <c r="AA691" s="396">
        <v>161819</v>
      </c>
      <c r="AB691" s="396">
        <v>29694398</v>
      </c>
      <c r="AC691" s="396">
        <v>10207916</v>
      </c>
    </row>
    <row r="692" spans="1:29">
      <c r="A692">
        <v>6508</v>
      </c>
      <c r="B692" s="395" t="s">
        <v>8107</v>
      </c>
      <c r="C692" s="395"/>
      <c r="D692" s="396">
        <v>161280</v>
      </c>
      <c r="E692" s="396">
        <v>179746</v>
      </c>
      <c r="F692" s="395">
        <v>9.73</v>
      </c>
      <c r="G692" s="396">
        <v>-18466</v>
      </c>
      <c r="H692" s="396">
        <v>23116</v>
      </c>
      <c r="I692" s="396">
        <v>1666777</v>
      </c>
      <c r="J692" s="395">
        <v>179</v>
      </c>
      <c r="K692" s="395">
        <v>164</v>
      </c>
      <c r="L692" s="397">
        <v>0.91620000000000001</v>
      </c>
      <c r="M692" s="395">
        <v>15</v>
      </c>
      <c r="N692" s="395">
        <v>901</v>
      </c>
      <c r="O692" s="396">
        <v>1096</v>
      </c>
      <c r="P692" s="395">
        <v>0.89</v>
      </c>
      <c r="Q692" s="396">
        <v>-1231</v>
      </c>
      <c r="R692" s="396">
        <v>2568</v>
      </c>
      <c r="S692" s="396">
        <v>-5799</v>
      </c>
      <c r="T692" s="396">
        <v>171262</v>
      </c>
      <c r="U692" s="396">
        <v>-93139</v>
      </c>
      <c r="V692" s="395">
        <v>6389.53</v>
      </c>
      <c r="W692" s="395">
        <v>5476.79</v>
      </c>
      <c r="X692" s="395">
        <v>77490</v>
      </c>
      <c r="Y692" s="395">
        <v>16368.87</v>
      </c>
      <c r="Z692" s="396">
        <v>1871046</v>
      </c>
      <c r="AA692" s="396">
        <v>161280</v>
      </c>
      <c r="AB692" s="396">
        <v>13930104</v>
      </c>
      <c r="AC692" s="396">
        <v>10207916</v>
      </c>
    </row>
    <row r="693" spans="1:29">
      <c r="A693">
        <v>6127</v>
      </c>
      <c r="B693" s="395" t="s">
        <v>7928</v>
      </c>
      <c r="C693" s="395"/>
      <c r="D693" s="396">
        <v>161112</v>
      </c>
      <c r="E693" s="396">
        <v>233754</v>
      </c>
      <c r="F693" s="395">
        <v>3.22</v>
      </c>
      <c r="G693" s="396">
        <v>-72642</v>
      </c>
      <c r="H693" s="396">
        <v>28938</v>
      </c>
      <c r="I693" s="396">
        <v>829468</v>
      </c>
      <c r="J693" s="395">
        <v>259</v>
      </c>
      <c r="K693" s="395">
        <v>200</v>
      </c>
      <c r="L693" s="397">
        <v>0.7722</v>
      </c>
      <c r="M693" s="395">
        <v>59</v>
      </c>
      <c r="N693" s="395">
        <v>622</v>
      </c>
      <c r="O693" s="396">
        <v>1169</v>
      </c>
      <c r="P693" s="395">
        <v>0.95</v>
      </c>
      <c r="Q693" s="396">
        <v>-1231</v>
      </c>
      <c r="R693" s="396">
        <v>6040</v>
      </c>
      <c r="S693" s="396">
        <v>-5683</v>
      </c>
      <c r="T693" s="396">
        <v>187229</v>
      </c>
      <c r="U693" s="396">
        <v>-85320</v>
      </c>
      <c r="V693" s="395">
        <v>1712.24</v>
      </c>
      <c r="W693" s="395">
        <v>1077.45</v>
      </c>
      <c r="X693" s="395">
        <v>77490</v>
      </c>
      <c r="Y693" s="395">
        <v>3864.07</v>
      </c>
      <c r="Z693" s="396">
        <v>-2998074</v>
      </c>
      <c r="AA693" s="396">
        <v>161112</v>
      </c>
      <c r="AB693" s="396">
        <v>4175365</v>
      </c>
      <c r="AC693" s="396">
        <v>10207916</v>
      </c>
    </row>
    <row r="694" spans="1:29">
      <c r="A694">
        <v>2063</v>
      </c>
      <c r="B694" s="395" t="s">
        <v>6935</v>
      </c>
      <c r="C694" s="395"/>
      <c r="D694" s="396">
        <v>160615</v>
      </c>
      <c r="E694" s="396">
        <v>170887</v>
      </c>
      <c r="F694" s="395">
        <v>16.64</v>
      </c>
      <c r="G694" s="396">
        <v>-10272</v>
      </c>
      <c r="H694" s="396">
        <v>23854</v>
      </c>
      <c r="I694" s="396">
        <v>919268</v>
      </c>
      <c r="J694" s="395">
        <v>164</v>
      </c>
      <c r="K694" s="395">
        <v>149</v>
      </c>
      <c r="L694" s="397">
        <v>0.90849999999999997</v>
      </c>
      <c r="M694" s="395">
        <v>15</v>
      </c>
      <c r="N694" s="395">
        <v>979</v>
      </c>
      <c r="O694" s="396">
        <v>1147</v>
      </c>
      <c r="P694" s="395">
        <v>1.67</v>
      </c>
      <c r="Q694" s="395">
        <v>-685</v>
      </c>
      <c r="R694" s="396">
        <v>4363</v>
      </c>
      <c r="S694" s="396">
        <v>-1547</v>
      </c>
      <c r="T694" s="396">
        <v>166428</v>
      </c>
      <c r="U694" s="396">
        <v>-33909</v>
      </c>
      <c r="V694" s="395">
        <v>3942.14</v>
      </c>
      <c r="W694" s="395">
        <v>3845.3</v>
      </c>
      <c r="X694" s="395">
        <v>77220</v>
      </c>
      <c r="Y694" s="395">
        <v>4904.07</v>
      </c>
      <c r="Z694" s="396">
        <v>13539559</v>
      </c>
      <c r="AA694" s="396">
        <v>160615</v>
      </c>
      <c r="AB694" s="396">
        <v>12344293</v>
      </c>
      <c r="AC694" s="396">
        <v>10207916</v>
      </c>
    </row>
    <row r="695" spans="1:29">
      <c r="A695">
        <v>3306</v>
      </c>
      <c r="B695" s="395" t="s">
        <v>7383</v>
      </c>
      <c r="C695" s="395"/>
      <c r="D695" s="396">
        <v>160347</v>
      </c>
      <c r="E695" s="396">
        <v>205875</v>
      </c>
      <c r="F695" s="395">
        <v>4.5199999999999996</v>
      </c>
      <c r="G695" s="396">
        <v>-45528</v>
      </c>
      <c r="H695" s="396">
        <v>24003</v>
      </c>
      <c r="I695" s="396">
        <v>439306</v>
      </c>
      <c r="J695" s="395">
        <v>230</v>
      </c>
      <c r="K695" s="395">
        <v>196</v>
      </c>
      <c r="L695" s="397">
        <v>0.85219999999999996</v>
      </c>
      <c r="M695" s="395">
        <v>34</v>
      </c>
      <c r="N695" s="395">
        <v>697</v>
      </c>
      <c r="O695" s="396">
        <v>1050</v>
      </c>
      <c r="P695" s="395">
        <v>0.78</v>
      </c>
      <c r="Q695" s="396">
        <v>-1339</v>
      </c>
      <c r="R695" s="396">
        <v>3413</v>
      </c>
      <c r="S695" s="396">
        <v>-5721</v>
      </c>
      <c r="T695" s="396">
        <v>172052</v>
      </c>
      <c r="U695" s="396">
        <v>-51867</v>
      </c>
      <c r="V695" s="395">
        <v>1635.23</v>
      </c>
      <c r="W695" s="395">
        <v>1297.0899999999999</v>
      </c>
      <c r="X695" s="395">
        <v>77490</v>
      </c>
      <c r="Y695" s="395">
        <v>3584.5</v>
      </c>
      <c r="Z695" s="396">
        <v>-5641526</v>
      </c>
      <c r="AA695" s="396">
        <v>160347</v>
      </c>
      <c r="AB695" s="396">
        <v>13272248</v>
      </c>
      <c r="AC695" s="396">
        <v>10207916</v>
      </c>
    </row>
    <row r="696" spans="1:29">
      <c r="A696">
        <v>5603</v>
      </c>
      <c r="B696" s="395" t="s">
        <v>7879</v>
      </c>
      <c r="C696" s="395"/>
      <c r="D696" s="396">
        <v>159933</v>
      </c>
      <c r="E696" s="396">
        <v>218184</v>
      </c>
      <c r="F696" s="395">
        <v>3.75</v>
      </c>
      <c r="G696" s="396">
        <v>-58251</v>
      </c>
      <c r="H696" s="396">
        <v>29022</v>
      </c>
      <c r="I696" s="396">
        <v>1042432</v>
      </c>
      <c r="J696" s="395">
        <v>252</v>
      </c>
      <c r="K696" s="395">
        <v>210</v>
      </c>
      <c r="L696" s="397">
        <v>0.83330000000000004</v>
      </c>
      <c r="M696" s="395">
        <v>42</v>
      </c>
      <c r="N696" s="395">
        <v>635</v>
      </c>
      <c r="O696" s="396">
        <v>1039</v>
      </c>
      <c r="P696" s="395">
        <v>0.75</v>
      </c>
      <c r="Q696" s="396">
        <v>-1387</v>
      </c>
      <c r="R696" s="396">
        <v>5177</v>
      </c>
      <c r="S696" s="396">
        <v>-6446</v>
      </c>
      <c r="T696" s="396">
        <v>227671</v>
      </c>
      <c r="U696" s="396">
        <v>-128113</v>
      </c>
      <c r="V696" s="395">
        <v>1737.91</v>
      </c>
      <c r="W696" s="395">
        <v>1205.01</v>
      </c>
      <c r="X696" s="395">
        <v>77490</v>
      </c>
      <c r="Y696" s="395">
        <v>4402.43</v>
      </c>
      <c r="Z696" s="396">
        <v>4092513</v>
      </c>
      <c r="AA696" s="396">
        <v>159933</v>
      </c>
      <c r="AB696" s="396">
        <v>41880292</v>
      </c>
      <c r="AC696" s="396">
        <v>10207916</v>
      </c>
    </row>
    <row r="697" spans="1:29">
      <c r="A697">
        <v>6244</v>
      </c>
      <c r="B697" s="395" t="s">
        <v>8028</v>
      </c>
      <c r="C697" s="395"/>
      <c r="D697" s="396">
        <v>159529</v>
      </c>
      <c r="E697" s="396">
        <v>279595</v>
      </c>
      <c r="F697" s="395">
        <v>2.33</v>
      </c>
      <c r="G697" s="396">
        <v>-120066</v>
      </c>
      <c r="H697" s="396">
        <v>32682</v>
      </c>
      <c r="I697" s="396">
        <v>1323994</v>
      </c>
      <c r="J697" s="395">
        <v>244</v>
      </c>
      <c r="K697" s="395">
        <v>189</v>
      </c>
      <c r="L697" s="397">
        <v>0.77459999999999996</v>
      </c>
      <c r="M697" s="395">
        <v>55</v>
      </c>
      <c r="N697" s="395">
        <v>654</v>
      </c>
      <c r="O697" s="396">
        <v>1479</v>
      </c>
      <c r="P697" s="395">
        <v>0.68</v>
      </c>
      <c r="Q697" s="396">
        <v>-2183</v>
      </c>
      <c r="R697" s="396">
        <v>8129</v>
      </c>
      <c r="S697" s="396">
        <v>-5899</v>
      </c>
      <c r="T697" s="396">
        <v>294027</v>
      </c>
      <c r="U697" s="396">
        <v>-162796</v>
      </c>
      <c r="V697" s="395">
        <v>2978.74</v>
      </c>
      <c r="W697" s="395">
        <v>1814.2</v>
      </c>
      <c r="X697" s="395">
        <v>77490</v>
      </c>
      <c r="Y697" s="395">
        <v>6980.51</v>
      </c>
      <c r="Z697" s="396">
        <v>-13096751</v>
      </c>
      <c r="AA697" s="396">
        <v>159529</v>
      </c>
      <c r="AB697" s="396">
        <v>-2842319</v>
      </c>
      <c r="AC697" s="396">
        <v>10207916</v>
      </c>
    </row>
    <row r="698" spans="1:29">
      <c r="A698">
        <v>8049</v>
      </c>
      <c r="B698" s="395" t="s">
        <v>8243</v>
      </c>
      <c r="C698" s="395"/>
      <c r="D698" s="396">
        <v>159215</v>
      </c>
      <c r="E698" s="396">
        <v>166017</v>
      </c>
      <c r="F698" s="395">
        <v>24.41</v>
      </c>
      <c r="G698" s="396">
        <v>-6802</v>
      </c>
      <c r="H698" s="396">
        <v>24496</v>
      </c>
      <c r="I698" s="396">
        <v>822452</v>
      </c>
      <c r="J698" s="395">
        <v>249</v>
      </c>
      <c r="K698" s="395">
        <v>233</v>
      </c>
      <c r="L698" s="397">
        <v>0.93569999999999998</v>
      </c>
      <c r="M698" s="395">
        <v>16</v>
      </c>
      <c r="N698" s="395">
        <v>639</v>
      </c>
      <c r="O698" s="395">
        <v>713</v>
      </c>
      <c r="P698" s="395">
        <v>1.68</v>
      </c>
      <c r="Q698" s="395">
        <v>-425</v>
      </c>
      <c r="R698" s="396">
        <v>3609</v>
      </c>
      <c r="S698" s="396">
        <v>-2002</v>
      </c>
      <c r="T698" s="396">
        <v>161421</v>
      </c>
      <c r="U698" s="396">
        <v>-47331</v>
      </c>
      <c r="V698" s="395">
        <v>2960.8</v>
      </c>
      <c r="W698" s="395">
        <v>2894.61</v>
      </c>
      <c r="X698" s="395">
        <v>77490</v>
      </c>
      <c r="Y698" s="395">
        <v>3924.75</v>
      </c>
      <c r="Z698" s="396">
        <v>6873011</v>
      </c>
      <c r="AA698" s="396">
        <v>159215</v>
      </c>
      <c r="AB698" s="396">
        <v>18479034</v>
      </c>
      <c r="AC698" s="396">
        <v>10207916</v>
      </c>
    </row>
    <row r="699" spans="1:29">
      <c r="A699">
        <v>6210</v>
      </c>
      <c r="B699" s="395" t="s">
        <v>7997</v>
      </c>
      <c r="C699" s="395"/>
      <c r="D699" s="396">
        <v>159186</v>
      </c>
      <c r="E699" s="396">
        <v>165757</v>
      </c>
      <c r="F699" s="395">
        <v>25.23</v>
      </c>
      <c r="G699" s="396">
        <v>-6571</v>
      </c>
      <c r="H699" s="396">
        <v>15806</v>
      </c>
      <c r="I699" s="396">
        <v>3020742</v>
      </c>
      <c r="J699" s="395">
        <v>93</v>
      </c>
      <c r="K699" s="395">
        <v>87</v>
      </c>
      <c r="L699" s="397">
        <v>0.9355</v>
      </c>
      <c r="M699" s="395">
        <v>6</v>
      </c>
      <c r="N699" s="396">
        <v>1712</v>
      </c>
      <c r="O699" s="396">
        <v>1905</v>
      </c>
      <c r="P699" s="395">
        <v>1.74</v>
      </c>
      <c r="Q699" s="396">
        <v>-1095</v>
      </c>
      <c r="R699" s="396">
        <v>5415</v>
      </c>
      <c r="S699" s="396">
        <v>-4856</v>
      </c>
      <c r="T699" s="396">
        <v>195913</v>
      </c>
      <c r="U699" s="396">
        <v>-97515</v>
      </c>
      <c r="V699" s="395">
        <v>27487.26</v>
      </c>
      <c r="W699" s="395">
        <v>26562.99</v>
      </c>
      <c r="X699" s="395">
        <v>77490</v>
      </c>
      <c r="Y699" s="395">
        <v>40889.17</v>
      </c>
      <c r="Z699" s="396">
        <v>-753571</v>
      </c>
      <c r="AA699" s="396">
        <v>159186</v>
      </c>
      <c r="AB699" s="396">
        <v>7189080</v>
      </c>
      <c r="AC699" s="396">
        <v>10207916</v>
      </c>
    </row>
    <row r="700" spans="1:29">
      <c r="A700">
        <v>2923</v>
      </c>
      <c r="B700" s="395" t="s">
        <v>7236</v>
      </c>
      <c r="C700" s="395"/>
      <c r="D700" s="396">
        <v>158851</v>
      </c>
      <c r="E700" s="396">
        <v>188259</v>
      </c>
      <c r="F700" s="395">
        <v>6.4</v>
      </c>
      <c r="G700" s="396">
        <v>-29409</v>
      </c>
      <c r="H700" s="396">
        <v>20617</v>
      </c>
      <c r="I700" s="396">
        <v>870267</v>
      </c>
      <c r="J700" s="395">
        <v>175</v>
      </c>
      <c r="K700" s="395">
        <v>145</v>
      </c>
      <c r="L700" s="397">
        <v>0.8286</v>
      </c>
      <c r="M700" s="395">
        <v>30</v>
      </c>
      <c r="N700" s="395">
        <v>908</v>
      </c>
      <c r="O700" s="396">
        <v>1298</v>
      </c>
      <c r="P700" s="395">
        <v>1.32</v>
      </c>
      <c r="Q700" s="395">
        <v>-980</v>
      </c>
      <c r="R700" s="396">
        <v>4847</v>
      </c>
      <c r="S700" s="396">
        <v>-2973</v>
      </c>
      <c r="T700" s="396">
        <v>204709</v>
      </c>
      <c r="U700" s="396">
        <v>-90474</v>
      </c>
      <c r="V700" s="395">
        <v>2680.91</v>
      </c>
      <c r="W700" s="395">
        <v>2383.92</v>
      </c>
      <c r="X700" s="395">
        <v>77220</v>
      </c>
      <c r="Y700" s="395">
        <v>4116.37</v>
      </c>
      <c r="Z700" s="396">
        <v>27063942</v>
      </c>
      <c r="AA700" s="396">
        <v>158851</v>
      </c>
      <c r="AB700" s="396">
        <v>-4665197</v>
      </c>
      <c r="AC700" s="396">
        <v>10207916</v>
      </c>
    </row>
    <row r="701" spans="1:29">
      <c r="A701">
        <v>1569</v>
      </c>
      <c r="B701" s="395" t="s">
        <v>6817</v>
      </c>
      <c r="C701" s="395"/>
      <c r="D701" s="396">
        <v>158593</v>
      </c>
      <c r="E701" s="396">
        <v>233013</v>
      </c>
      <c r="F701" s="395">
        <v>3.13</v>
      </c>
      <c r="G701" s="396">
        <v>-74420</v>
      </c>
      <c r="H701" s="396">
        <v>27239</v>
      </c>
      <c r="I701" s="396">
        <v>2068424</v>
      </c>
      <c r="J701" s="395">
        <v>255</v>
      </c>
      <c r="K701" s="395">
        <v>204</v>
      </c>
      <c r="L701" s="397">
        <v>0.8</v>
      </c>
      <c r="M701" s="395">
        <v>51</v>
      </c>
      <c r="N701" s="395">
        <v>622</v>
      </c>
      <c r="O701" s="396">
        <v>1142</v>
      </c>
      <c r="P701" s="395">
        <v>0.78</v>
      </c>
      <c r="Q701" s="396">
        <v>-1459</v>
      </c>
      <c r="R701" s="396">
        <v>4101</v>
      </c>
      <c r="S701" s="396">
        <v>-7272</v>
      </c>
      <c r="T701" s="396">
        <v>251097</v>
      </c>
      <c r="U701" s="396">
        <v>-143478</v>
      </c>
      <c r="V701" s="395">
        <v>6700.92</v>
      </c>
      <c r="W701" s="395">
        <v>5560.96</v>
      </c>
      <c r="X701" s="395">
        <v>77490</v>
      </c>
      <c r="Y701" s="395">
        <v>11260.76</v>
      </c>
      <c r="Z701" s="396">
        <v>-19017272</v>
      </c>
      <c r="AA701" s="396">
        <v>158593</v>
      </c>
      <c r="AB701" s="396">
        <v>-6626343</v>
      </c>
      <c r="AC701" s="396">
        <v>10207916</v>
      </c>
    </row>
    <row r="702" spans="1:29">
      <c r="A702">
        <v>8171</v>
      </c>
      <c r="B702" s="395" t="s">
        <v>8289</v>
      </c>
      <c r="C702" s="395"/>
      <c r="D702" s="396">
        <v>158476</v>
      </c>
      <c r="E702" s="396">
        <v>453738</v>
      </c>
      <c r="F702" s="395">
        <v>1.54</v>
      </c>
      <c r="G702" s="396">
        <v>-295262</v>
      </c>
      <c r="H702" s="396">
        <v>53574</v>
      </c>
      <c r="I702" s="396">
        <v>3708184</v>
      </c>
      <c r="J702" s="395">
        <v>251</v>
      </c>
      <c r="K702" s="395">
        <v>186</v>
      </c>
      <c r="L702" s="397">
        <v>0.74099999999999999</v>
      </c>
      <c r="M702" s="395">
        <v>65</v>
      </c>
      <c r="N702" s="395">
        <v>631</v>
      </c>
      <c r="O702" s="396">
        <v>2439</v>
      </c>
      <c r="P702" s="395">
        <v>0.54</v>
      </c>
      <c r="Q702" s="396">
        <v>-4542</v>
      </c>
      <c r="R702" s="396">
        <v>13106</v>
      </c>
      <c r="S702" s="396">
        <v>-18859</v>
      </c>
      <c r="T702" s="396">
        <v>977226</v>
      </c>
      <c r="U702" s="396">
        <v>-873703</v>
      </c>
      <c r="V702" s="395">
        <v>4847.42</v>
      </c>
      <c r="W702" s="395">
        <v>2799.52</v>
      </c>
      <c r="X702" s="395">
        <v>77490</v>
      </c>
      <c r="Y702" s="395">
        <v>10707.57</v>
      </c>
      <c r="Z702" s="396">
        <v>-6423561</v>
      </c>
      <c r="AA702" s="396">
        <v>158476</v>
      </c>
      <c r="AB702" s="396">
        <v>-2291423</v>
      </c>
      <c r="AC702" s="396">
        <v>10207916</v>
      </c>
    </row>
    <row r="703" spans="1:29">
      <c r="A703">
        <v>4116</v>
      </c>
      <c r="B703" s="395" t="s">
        <v>7561</v>
      </c>
      <c r="C703" s="395"/>
      <c r="D703" s="396">
        <v>158442</v>
      </c>
      <c r="E703" s="396">
        <v>194597</v>
      </c>
      <c r="F703" s="395">
        <v>5.38</v>
      </c>
      <c r="G703" s="396">
        <v>-36155</v>
      </c>
      <c r="H703" s="396">
        <v>19683</v>
      </c>
      <c r="I703" s="396">
        <v>1339910</v>
      </c>
      <c r="J703" s="395">
        <v>149</v>
      </c>
      <c r="K703" s="395">
        <v>116</v>
      </c>
      <c r="L703" s="397">
        <v>0.77849999999999997</v>
      </c>
      <c r="M703" s="395">
        <v>33</v>
      </c>
      <c r="N703" s="396">
        <v>1063</v>
      </c>
      <c r="O703" s="396">
        <v>1678</v>
      </c>
      <c r="P703" s="395">
        <v>1.53</v>
      </c>
      <c r="Q703" s="396">
        <v>-1096</v>
      </c>
      <c r="R703" s="396">
        <v>4337</v>
      </c>
      <c r="S703" s="396">
        <v>-3467</v>
      </c>
      <c r="T703" s="396">
        <v>227487</v>
      </c>
      <c r="U703" s="396">
        <v>-104348</v>
      </c>
      <c r="V703" s="395">
        <v>7551.05</v>
      </c>
      <c r="W703" s="395">
        <v>6041.16</v>
      </c>
      <c r="X703" s="395">
        <v>77220</v>
      </c>
      <c r="Y703" s="395">
        <v>12858.55</v>
      </c>
      <c r="Z703" s="396">
        <v>-6855505</v>
      </c>
      <c r="AA703" s="396">
        <v>158442</v>
      </c>
      <c r="AB703" s="396">
        <v>-3547032</v>
      </c>
      <c r="AC703" s="396">
        <v>10207916</v>
      </c>
    </row>
    <row r="704" spans="1:29">
      <c r="A704">
        <v>2884</v>
      </c>
      <c r="B704" s="395" t="s">
        <v>7214</v>
      </c>
      <c r="C704" s="395"/>
      <c r="D704" s="396">
        <v>158424</v>
      </c>
      <c r="E704" s="396">
        <v>166631</v>
      </c>
      <c r="F704" s="395">
        <v>20.3</v>
      </c>
      <c r="G704" s="396">
        <v>-8207</v>
      </c>
      <c r="H704" s="396">
        <v>30809</v>
      </c>
      <c r="I704" s="396">
        <v>1896035</v>
      </c>
      <c r="J704" s="395">
        <v>284</v>
      </c>
      <c r="K704" s="395">
        <v>248</v>
      </c>
      <c r="L704" s="397">
        <v>0.87319999999999998</v>
      </c>
      <c r="M704" s="395">
        <v>36</v>
      </c>
      <c r="N704" s="395">
        <v>558</v>
      </c>
      <c r="O704" s="395">
        <v>672</v>
      </c>
      <c r="P704" s="395">
        <v>2.95</v>
      </c>
      <c r="Q704" s="395">
        <v>-228</v>
      </c>
      <c r="R704" s="396">
        <v>2047</v>
      </c>
      <c r="S704" s="396">
        <v>-1022</v>
      </c>
      <c r="T704" s="396">
        <v>185170</v>
      </c>
      <c r="U704" s="396">
        <v>-34356</v>
      </c>
      <c r="V704" s="395">
        <v>5699.34</v>
      </c>
      <c r="W704" s="395">
        <v>5097.0600000000004</v>
      </c>
      <c r="X704" s="395">
        <v>77490</v>
      </c>
      <c r="Y704" s="395">
        <v>9848.33</v>
      </c>
      <c r="Z704" s="396">
        <v>7009559</v>
      </c>
      <c r="AA704" s="396">
        <v>158424</v>
      </c>
      <c r="AB704" s="396">
        <v>13873061</v>
      </c>
      <c r="AC704" s="396">
        <v>10207916</v>
      </c>
    </row>
    <row r="705" spans="1:29">
      <c r="A705">
        <v>6279</v>
      </c>
      <c r="B705" s="395" t="s">
        <v>8049</v>
      </c>
      <c r="C705" s="395"/>
      <c r="D705" s="396">
        <v>158402</v>
      </c>
      <c r="E705" s="396">
        <v>989766</v>
      </c>
      <c r="F705" s="395">
        <v>1.19</v>
      </c>
      <c r="G705" s="396">
        <v>-831364</v>
      </c>
      <c r="H705" s="396">
        <v>136348</v>
      </c>
      <c r="I705" s="396">
        <v>5200910</v>
      </c>
      <c r="J705" s="395">
        <v>276</v>
      </c>
      <c r="K705" s="395">
        <v>192</v>
      </c>
      <c r="L705" s="397">
        <v>0.69569999999999999</v>
      </c>
      <c r="M705" s="395">
        <v>84</v>
      </c>
      <c r="N705" s="395">
        <v>574</v>
      </c>
      <c r="O705" s="396">
        <v>5155</v>
      </c>
      <c r="P705" s="395">
        <v>0.52</v>
      </c>
      <c r="Q705" s="396">
        <v>-9897</v>
      </c>
      <c r="R705" s="396">
        <v>19526</v>
      </c>
      <c r="S705" s="396">
        <v>-30027</v>
      </c>
      <c r="T705" s="396">
        <v>1124945</v>
      </c>
      <c r="U705" s="396">
        <v>-737781</v>
      </c>
      <c r="V705" s="395">
        <v>3386.3</v>
      </c>
      <c r="W705" s="395">
        <v>1764.54</v>
      </c>
      <c r="X705" s="395">
        <v>77490</v>
      </c>
      <c r="Y705" s="395">
        <v>7093.18</v>
      </c>
      <c r="Z705" s="396">
        <v>-10324316</v>
      </c>
      <c r="AA705" s="396">
        <v>158402</v>
      </c>
      <c r="AB705" s="396">
        <v>2176190</v>
      </c>
      <c r="AC705" s="396">
        <v>10207916</v>
      </c>
    </row>
    <row r="706" spans="1:29">
      <c r="A706">
        <v>4973</v>
      </c>
      <c r="B706" s="395" t="s">
        <v>7740</v>
      </c>
      <c r="C706" s="395"/>
      <c r="D706" s="396">
        <v>158070</v>
      </c>
      <c r="E706" s="396">
        <v>253132</v>
      </c>
      <c r="F706" s="395">
        <v>2.66</v>
      </c>
      <c r="G706" s="396">
        <v>-95062</v>
      </c>
      <c r="H706" s="396">
        <v>25744</v>
      </c>
      <c r="I706" s="396">
        <v>1711596</v>
      </c>
      <c r="J706" s="395">
        <v>250</v>
      </c>
      <c r="K706" s="395">
        <v>202</v>
      </c>
      <c r="L706" s="397">
        <v>0.80800000000000005</v>
      </c>
      <c r="M706" s="395">
        <v>47</v>
      </c>
      <c r="N706" s="395">
        <v>632</v>
      </c>
      <c r="O706" s="396">
        <v>1253</v>
      </c>
      <c r="P706" s="395">
        <v>0.62</v>
      </c>
      <c r="Q706" s="396">
        <v>-2023</v>
      </c>
      <c r="R706" s="396">
        <v>5305</v>
      </c>
      <c r="S706" s="396">
        <v>-9975</v>
      </c>
      <c r="T706" s="396">
        <v>251655</v>
      </c>
      <c r="U706" s="396">
        <v>-168614</v>
      </c>
      <c r="V706" s="395">
        <v>4594.6099999999997</v>
      </c>
      <c r="W706" s="395">
        <v>3573.54</v>
      </c>
      <c r="X706" s="395">
        <v>77490</v>
      </c>
      <c r="Y706" s="395">
        <v>8993.32</v>
      </c>
      <c r="Z706" s="396">
        <v>-23726764</v>
      </c>
      <c r="AA706" s="396">
        <v>158070</v>
      </c>
      <c r="AB706" s="396">
        <v>-4286131</v>
      </c>
      <c r="AC706" s="396">
        <v>10207916</v>
      </c>
    </row>
    <row r="707" spans="1:29">
      <c r="A707">
        <v>4153</v>
      </c>
      <c r="B707" s="395" t="s">
        <v>7580</v>
      </c>
      <c r="C707" s="395"/>
      <c r="D707" s="396">
        <v>157993</v>
      </c>
      <c r="E707" s="396">
        <v>190853</v>
      </c>
      <c r="F707" s="395">
        <v>5.81</v>
      </c>
      <c r="G707" s="396">
        <v>-32860</v>
      </c>
      <c r="H707" s="396">
        <v>21257</v>
      </c>
      <c r="I707" s="396">
        <v>1063813</v>
      </c>
      <c r="J707" s="395">
        <v>211</v>
      </c>
      <c r="K707" s="395">
        <v>173</v>
      </c>
      <c r="L707" s="397">
        <v>0.81989999999999996</v>
      </c>
      <c r="M707" s="395">
        <v>38</v>
      </c>
      <c r="N707" s="395">
        <v>749</v>
      </c>
      <c r="O707" s="396">
        <v>1103</v>
      </c>
      <c r="P707" s="395">
        <v>1.28</v>
      </c>
      <c r="Q707" s="395">
        <v>-865</v>
      </c>
      <c r="R707" s="396">
        <v>3154</v>
      </c>
      <c r="S707" s="396">
        <v>-3052</v>
      </c>
      <c r="T707" s="396">
        <v>224581</v>
      </c>
      <c r="U707" s="396">
        <v>-79477</v>
      </c>
      <c r="V707" s="395">
        <v>4084.91</v>
      </c>
      <c r="W707" s="395">
        <v>3414.13</v>
      </c>
      <c r="X707" s="395">
        <v>77490</v>
      </c>
      <c r="Y707" s="395">
        <v>7138.71</v>
      </c>
      <c r="Z707" s="396">
        <v>-7947316</v>
      </c>
      <c r="AA707" s="396">
        <v>157993</v>
      </c>
      <c r="AB707" s="396">
        <v>281822</v>
      </c>
      <c r="AC707" s="396">
        <v>10207916</v>
      </c>
    </row>
    <row r="708" spans="1:29">
      <c r="A708">
        <v>4433</v>
      </c>
      <c r="B708" s="395" t="s">
        <v>7619</v>
      </c>
      <c r="C708" s="395"/>
      <c r="D708" s="396">
        <v>157095</v>
      </c>
      <c r="E708" s="396">
        <v>233948</v>
      </c>
      <c r="F708" s="395">
        <v>3.04</v>
      </c>
      <c r="G708" s="396">
        <v>-76853</v>
      </c>
      <c r="H708" s="396">
        <v>29190</v>
      </c>
      <c r="I708" s="396">
        <v>1425549</v>
      </c>
      <c r="J708" s="395">
        <v>198</v>
      </c>
      <c r="K708" s="395">
        <v>129</v>
      </c>
      <c r="L708" s="397">
        <v>0.65149999999999997</v>
      </c>
      <c r="M708" s="395">
        <v>69</v>
      </c>
      <c r="N708" s="395">
        <v>793</v>
      </c>
      <c r="O708" s="396">
        <v>1814</v>
      </c>
      <c r="P708" s="395">
        <v>1.63</v>
      </c>
      <c r="Q708" s="396">
        <v>-1114</v>
      </c>
      <c r="R708" s="396">
        <v>9455</v>
      </c>
      <c r="S708" s="396">
        <v>-5725</v>
      </c>
      <c r="T708" s="396">
        <v>472799</v>
      </c>
      <c r="U708" s="396">
        <v>-288543</v>
      </c>
      <c r="V708" s="395">
        <v>5861.7</v>
      </c>
      <c r="W708" s="395">
        <v>3627.64</v>
      </c>
      <c r="X708" s="395">
        <v>77220</v>
      </c>
      <c r="Y708" s="395">
        <v>10038.41</v>
      </c>
      <c r="Z708" s="396">
        <v>-12773480</v>
      </c>
      <c r="AA708" s="396">
        <v>157095</v>
      </c>
      <c r="AB708" s="396">
        <v>-12579449</v>
      </c>
      <c r="AC708" s="396">
        <v>10207916</v>
      </c>
    </row>
    <row r="709" spans="1:29">
      <c r="A709">
        <v>1712</v>
      </c>
      <c r="B709" s="395" t="s">
        <v>6853</v>
      </c>
      <c r="C709" s="395"/>
      <c r="D709" s="396">
        <v>157081</v>
      </c>
      <c r="E709" s="396">
        <v>160178</v>
      </c>
      <c r="F709" s="395">
        <v>51.72</v>
      </c>
      <c r="G709" s="396">
        <v>-3097</v>
      </c>
      <c r="H709" s="396">
        <v>26100</v>
      </c>
      <c r="I709" s="396">
        <v>1382144</v>
      </c>
      <c r="J709" s="395">
        <v>263</v>
      </c>
      <c r="K709" s="395">
        <v>251</v>
      </c>
      <c r="L709" s="397">
        <v>0.95440000000000003</v>
      </c>
      <c r="M709" s="395">
        <v>12</v>
      </c>
      <c r="N709" s="395">
        <v>597</v>
      </c>
      <c r="O709" s="395">
        <v>638</v>
      </c>
      <c r="P709" s="395">
        <v>2.4700000000000002</v>
      </c>
      <c r="Q709" s="395">
        <v>-258</v>
      </c>
      <c r="R709" s="396">
        <v>2171</v>
      </c>
      <c r="S709" s="396">
        <v>-1386</v>
      </c>
      <c r="T709" s="396">
        <v>181452</v>
      </c>
      <c r="U709" s="396">
        <v>-56793</v>
      </c>
      <c r="V709" s="395">
        <v>4802.22</v>
      </c>
      <c r="W709" s="395">
        <v>4605.25</v>
      </c>
      <c r="X709" s="395">
        <v>77490</v>
      </c>
      <c r="Y709" s="395">
        <v>8922.08</v>
      </c>
      <c r="Z709" s="396">
        <v>19083319</v>
      </c>
      <c r="AA709" s="396">
        <v>157081</v>
      </c>
      <c r="AB709" s="396">
        <v>32686517</v>
      </c>
      <c r="AC709" s="396">
        <v>10207916</v>
      </c>
    </row>
    <row r="710" spans="1:29">
      <c r="A710">
        <v>8433</v>
      </c>
      <c r="B710" s="395" t="s">
        <v>8338</v>
      </c>
      <c r="C710" s="395"/>
      <c r="D710" s="396">
        <v>156330</v>
      </c>
      <c r="E710" s="396">
        <v>203810</v>
      </c>
      <c r="F710" s="395">
        <v>4.29</v>
      </c>
      <c r="G710" s="396">
        <v>-47481</v>
      </c>
      <c r="H710" s="396">
        <v>25888</v>
      </c>
      <c r="I710" s="396">
        <v>1279514</v>
      </c>
      <c r="J710" s="395">
        <v>147</v>
      </c>
      <c r="K710" s="395">
        <v>118</v>
      </c>
      <c r="L710" s="397">
        <v>0.80269999999999997</v>
      </c>
      <c r="M710" s="395">
        <v>29</v>
      </c>
      <c r="N710" s="396">
        <v>1063</v>
      </c>
      <c r="O710" s="396">
        <v>1727</v>
      </c>
      <c r="P710" s="395">
        <v>1.05</v>
      </c>
      <c r="Q710" s="396">
        <v>-1637</v>
      </c>
      <c r="R710" s="396">
        <v>6534</v>
      </c>
      <c r="S710" s="396">
        <v>-5390</v>
      </c>
      <c r="T710" s="396">
        <v>281706</v>
      </c>
      <c r="U710" s="396">
        <v>-158158</v>
      </c>
      <c r="V710" s="395">
        <v>5263.21</v>
      </c>
      <c r="W710" s="395">
        <v>4163.59</v>
      </c>
      <c r="X710" s="395">
        <v>75330</v>
      </c>
      <c r="Y710" s="395">
        <v>9737.52</v>
      </c>
      <c r="Z710" s="396">
        <v>-4244434</v>
      </c>
      <c r="AA710" s="396">
        <v>156330</v>
      </c>
      <c r="AB710" s="396">
        <v>4453004</v>
      </c>
      <c r="AC710" s="396">
        <v>10207916</v>
      </c>
    </row>
    <row r="711" spans="1:29">
      <c r="A711">
        <v>2024</v>
      </c>
      <c r="B711" s="395" t="s">
        <v>6919</v>
      </c>
      <c r="C711" s="395"/>
      <c r="D711" s="396">
        <v>155620</v>
      </c>
      <c r="E711" s="396">
        <v>228155</v>
      </c>
      <c r="F711" s="395">
        <v>3.15</v>
      </c>
      <c r="G711" s="396">
        <v>-72535</v>
      </c>
      <c r="H711" s="396">
        <v>19187</v>
      </c>
      <c r="I711" s="396">
        <v>1728122</v>
      </c>
      <c r="J711" s="395">
        <v>231</v>
      </c>
      <c r="K711" s="395">
        <v>185</v>
      </c>
      <c r="L711" s="397">
        <v>0.80089999999999995</v>
      </c>
      <c r="M711" s="395">
        <v>46</v>
      </c>
      <c r="N711" s="395">
        <v>674</v>
      </c>
      <c r="O711" s="396">
        <v>1233</v>
      </c>
      <c r="P711" s="395">
        <v>0.78</v>
      </c>
      <c r="Q711" s="396">
        <v>-1577</v>
      </c>
      <c r="R711" s="396">
        <v>4493</v>
      </c>
      <c r="S711" s="396">
        <v>-5911</v>
      </c>
      <c r="T711" s="396">
        <v>336285</v>
      </c>
      <c r="U711" s="396">
        <v>-246810</v>
      </c>
      <c r="V711" s="395">
        <v>7798.15</v>
      </c>
      <c r="W711" s="395">
        <v>6615.92</v>
      </c>
      <c r="X711" s="395">
        <v>77490</v>
      </c>
      <c r="Y711" s="395">
        <v>12552.76</v>
      </c>
      <c r="Z711" s="396">
        <v>-18191927</v>
      </c>
      <c r="AA711" s="396">
        <v>155620</v>
      </c>
      <c r="AB711" s="396">
        <v>28924364</v>
      </c>
      <c r="AC711" s="396">
        <v>10207916</v>
      </c>
    </row>
    <row r="712" spans="1:29">
      <c r="A712">
        <v>6288</v>
      </c>
      <c r="B712" s="395" t="s">
        <v>8056</v>
      </c>
      <c r="C712" s="395"/>
      <c r="D712" s="396">
        <v>154778</v>
      </c>
      <c r="E712" s="396">
        <v>243657</v>
      </c>
      <c r="F712" s="395">
        <v>2.74</v>
      </c>
      <c r="G712" s="396">
        <v>-88879</v>
      </c>
      <c r="H712" s="396">
        <v>30020</v>
      </c>
      <c r="I712" s="396">
        <v>1273573</v>
      </c>
      <c r="J712" s="395">
        <v>261</v>
      </c>
      <c r="K712" s="395">
        <v>200</v>
      </c>
      <c r="L712" s="397">
        <v>0.76629999999999998</v>
      </c>
      <c r="M712" s="395">
        <v>61</v>
      </c>
      <c r="N712" s="395">
        <v>593</v>
      </c>
      <c r="O712" s="396">
        <v>1218</v>
      </c>
      <c r="P712" s="395">
        <v>0.84</v>
      </c>
      <c r="Q712" s="396">
        <v>-1457</v>
      </c>
      <c r="R712" s="396">
        <v>4902</v>
      </c>
      <c r="S712" s="396">
        <v>-5519</v>
      </c>
      <c r="T712" s="396">
        <v>256073</v>
      </c>
      <c r="U712" s="396">
        <v>-159797</v>
      </c>
      <c r="V712" s="395">
        <v>2932.46</v>
      </c>
      <c r="W712" s="395">
        <v>1795.37</v>
      </c>
      <c r="X712" s="395">
        <v>77490</v>
      </c>
      <c r="Y712" s="395">
        <v>6660.61</v>
      </c>
      <c r="Z712" s="396">
        <v>-23529184</v>
      </c>
      <c r="AA712" s="396">
        <v>154778</v>
      </c>
      <c r="AB712" s="396">
        <v>-9800386</v>
      </c>
      <c r="AC712" s="396">
        <v>10207916</v>
      </c>
    </row>
    <row r="713" spans="1:29">
      <c r="A713">
        <v>1537</v>
      </c>
      <c r="B713" s="395" t="s">
        <v>6808</v>
      </c>
      <c r="C713" s="395"/>
      <c r="D713" s="396">
        <v>154612</v>
      </c>
      <c r="E713" s="396">
        <v>376875</v>
      </c>
      <c r="F713" s="395">
        <v>1.7</v>
      </c>
      <c r="G713" s="396">
        <v>-222263</v>
      </c>
      <c r="H713" s="396">
        <v>120167</v>
      </c>
      <c r="I713" s="396">
        <v>13009467</v>
      </c>
      <c r="J713" s="395">
        <v>208</v>
      </c>
      <c r="K713" s="395">
        <v>111</v>
      </c>
      <c r="L713" s="397">
        <v>0.53369999999999995</v>
      </c>
      <c r="M713" s="395">
        <v>97</v>
      </c>
      <c r="N713" s="395">
        <v>743</v>
      </c>
      <c r="O713" s="396">
        <v>3395</v>
      </c>
      <c r="P713" s="395">
        <v>1.48</v>
      </c>
      <c r="Q713" s="396">
        <v>-2291</v>
      </c>
      <c r="R713" s="396">
        <v>8414</v>
      </c>
      <c r="S713" s="396">
        <v>-12863</v>
      </c>
      <c r="T713" s="396">
        <v>498434</v>
      </c>
      <c r="U713" s="396">
        <v>-348577</v>
      </c>
      <c r="V713" s="395">
        <v>11820.17</v>
      </c>
      <c r="W713" s="395">
        <v>3590.48</v>
      </c>
      <c r="X713" s="395">
        <v>77490</v>
      </c>
      <c r="Y713" s="395">
        <v>21237.65</v>
      </c>
      <c r="Z713" s="396">
        <v>-1404991</v>
      </c>
      <c r="AA713" s="396">
        <v>154612</v>
      </c>
      <c r="AB713" s="396">
        <v>2189592</v>
      </c>
      <c r="AC713" s="396">
        <v>10207916</v>
      </c>
    </row>
    <row r="714" spans="1:29">
      <c r="A714">
        <v>1309</v>
      </c>
      <c r="B714" s="395" t="s">
        <v>6714</v>
      </c>
      <c r="C714" s="395"/>
      <c r="D714" s="396">
        <v>154485</v>
      </c>
      <c r="E714" s="396">
        <v>262117</v>
      </c>
      <c r="F714" s="395">
        <v>2.44</v>
      </c>
      <c r="G714" s="396">
        <v>-107632</v>
      </c>
      <c r="H714" s="396">
        <v>39636</v>
      </c>
      <c r="I714" s="396">
        <v>2929078</v>
      </c>
      <c r="J714" s="395">
        <v>254</v>
      </c>
      <c r="K714" s="395">
        <v>182</v>
      </c>
      <c r="L714" s="397">
        <v>0.71650000000000003</v>
      </c>
      <c r="M714" s="395">
        <v>72</v>
      </c>
      <c r="N714" s="395">
        <v>608</v>
      </c>
      <c r="O714" s="396">
        <v>1440</v>
      </c>
      <c r="P714" s="395">
        <v>0.96</v>
      </c>
      <c r="Q714" s="396">
        <v>-1495</v>
      </c>
      <c r="R714" s="396">
        <v>6794</v>
      </c>
      <c r="S714" s="396">
        <v>-6934</v>
      </c>
      <c r="T714" s="396">
        <v>250025</v>
      </c>
      <c r="U714" s="396">
        <v>-261316</v>
      </c>
      <c r="V714" s="395">
        <v>6462.15</v>
      </c>
      <c r="W714" s="395">
        <v>3281.9</v>
      </c>
      <c r="X714" s="395">
        <v>77490</v>
      </c>
      <c r="Y714" s="395">
        <v>14501.12</v>
      </c>
      <c r="Z714" s="396">
        <v>-13767183</v>
      </c>
      <c r="AA714" s="396">
        <v>154485</v>
      </c>
      <c r="AB714" s="396">
        <v>629575</v>
      </c>
      <c r="AC714" s="396">
        <v>10207916</v>
      </c>
    </row>
    <row r="715" spans="1:29">
      <c r="A715">
        <v>3437</v>
      </c>
      <c r="B715" s="395" t="s">
        <v>7423</v>
      </c>
      <c r="C715" s="395"/>
      <c r="D715" s="396">
        <v>154211</v>
      </c>
      <c r="E715" s="396">
        <v>301433</v>
      </c>
      <c r="F715" s="395">
        <v>2.0499999999999998</v>
      </c>
      <c r="G715" s="396">
        <v>-147222</v>
      </c>
      <c r="H715" s="396">
        <v>31089</v>
      </c>
      <c r="I715" s="396">
        <v>1880914</v>
      </c>
      <c r="J715" s="395">
        <v>267</v>
      </c>
      <c r="K715" s="395">
        <v>205</v>
      </c>
      <c r="L715" s="397">
        <v>0.76780000000000004</v>
      </c>
      <c r="M715" s="395">
        <v>62</v>
      </c>
      <c r="N715" s="395">
        <v>578</v>
      </c>
      <c r="O715" s="396">
        <v>1470</v>
      </c>
      <c r="P715" s="395">
        <v>0.62</v>
      </c>
      <c r="Q715" s="396">
        <v>-2375</v>
      </c>
      <c r="R715" s="396">
        <v>6589</v>
      </c>
      <c r="S715" s="396">
        <v>-8240</v>
      </c>
      <c r="T715" s="396">
        <v>384249</v>
      </c>
      <c r="U715" s="396">
        <v>-236249</v>
      </c>
      <c r="V715" s="395">
        <v>4439.57</v>
      </c>
      <c r="W715" s="395">
        <v>3362.23</v>
      </c>
      <c r="X715" s="395">
        <v>77490</v>
      </c>
      <c r="Y715" s="395">
        <v>8001.76</v>
      </c>
      <c r="Z715" s="396">
        <v>-17444384</v>
      </c>
      <c r="AA715" s="396">
        <v>154211</v>
      </c>
      <c r="AB715" s="396">
        <v>-14556765</v>
      </c>
      <c r="AC715" s="396">
        <v>10207916</v>
      </c>
    </row>
    <row r="716" spans="1:29">
      <c r="A716">
        <v>5009</v>
      </c>
      <c r="B716" s="395" t="s">
        <v>7752</v>
      </c>
      <c r="C716" s="395"/>
      <c r="D716" s="396">
        <v>153689</v>
      </c>
      <c r="E716" s="396">
        <v>202878</v>
      </c>
      <c r="F716" s="395">
        <v>4.12</v>
      </c>
      <c r="G716" s="396">
        <v>-49189</v>
      </c>
      <c r="H716" s="396">
        <v>24433</v>
      </c>
      <c r="I716" s="396">
        <v>2076581</v>
      </c>
      <c r="J716" s="395">
        <v>277</v>
      </c>
      <c r="K716" s="395">
        <v>233</v>
      </c>
      <c r="L716" s="397">
        <v>0.84119999999999995</v>
      </c>
      <c r="M716" s="395">
        <v>44</v>
      </c>
      <c r="N716" s="395">
        <v>555</v>
      </c>
      <c r="O716" s="395">
        <v>871</v>
      </c>
      <c r="P716" s="395">
        <v>0.78</v>
      </c>
      <c r="Q716" s="396">
        <v>-1118</v>
      </c>
      <c r="R716" s="396">
        <v>3351</v>
      </c>
      <c r="S716" s="396">
        <v>-3850</v>
      </c>
      <c r="T716" s="396">
        <v>256977</v>
      </c>
      <c r="U716" s="396">
        <v>-193251</v>
      </c>
      <c r="V716" s="395">
        <v>5687.96</v>
      </c>
      <c r="W716" s="395">
        <v>4184.07</v>
      </c>
      <c r="X716" s="395">
        <v>77490</v>
      </c>
      <c r="Y716" s="395">
        <v>13651.75</v>
      </c>
      <c r="Z716" s="396">
        <v>10135004</v>
      </c>
      <c r="AA716" s="396">
        <v>153689</v>
      </c>
      <c r="AB716" s="396">
        <v>27515441</v>
      </c>
      <c r="AC716" s="396">
        <v>10207916</v>
      </c>
    </row>
    <row r="717" spans="1:29">
      <c r="A717">
        <v>6128</v>
      </c>
      <c r="B717" s="395" t="s">
        <v>7929</v>
      </c>
      <c r="C717" s="395"/>
      <c r="D717" s="396">
        <v>153585</v>
      </c>
      <c r="E717" s="396">
        <v>186799</v>
      </c>
      <c r="F717" s="395">
        <v>5.62</v>
      </c>
      <c r="G717" s="396">
        <v>-33214</v>
      </c>
      <c r="H717" s="396">
        <v>24177</v>
      </c>
      <c r="I717" s="396">
        <v>3908650</v>
      </c>
      <c r="J717" s="395">
        <v>223</v>
      </c>
      <c r="K717" s="395">
        <v>174</v>
      </c>
      <c r="L717" s="397">
        <v>0.78029999999999999</v>
      </c>
      <c r="M717" s="395">
        <v>49</v>
      </c>
      <c r="N717" s="395">
        <v>689</v>
      </c>
      <c r="O717" s="396">
        <v>1074</v>
      </c>
      <c r="P717" s="395">
        <v>1.58</v>
      </c>
      <c r="Q717" s="395">
        <v>-678</v>
      </c>
      <c r="R717" s="396">
        <v>3009</v>
      </c>
      <c r="S717" s="396">
        <v>-2216</v>
      </c>
      <c r="T717" s="396">
        <v>355744</v>
      </c>
      <c r="U717" s="396">
        <v>-173888</v>
      </c>
      <c r="V717" s="395">
        <v>19982.62</v>
      </c>
      <c r="W717" s="395">
        <v>21590.14</v>
      </c>
      <c r="X717" s="395">
        <v>77490</v>
      </c>
      <c r="Y717" s="395">
        <v>14274.27</v>
      </c>
      <c r="Z717" s="396">
        <v>-3401381</v>
      </c>
      <c r="AA717" s="396">
        <v>153585</v>
      </c>
      <c r="AB717" s="396">
        <v>714732</v>
      </c>
      <c r="AC717" s="396">
        <v>10207916</v>
      </c>
    </row>
    <row r="718" spans="1:29">
      <c r="A718">
        <v>1603</v>
      </c>
      <c r="B718" s="395" t="s">
        <v>6833</v>
      </c>
      <c r="C718" s="395"/>
      <c r="D718" s="396">
        <v>153259</v>
      </c>
      <c r="E718" s="396">
        <v>174679</v>
      </c>
      <c r="F718" s="395">
        <v>8.16</v>
      </c>
      <c r="G718" s="396">
        <v>-21420</v>
      </c>
      <c r="H718" s="396">
        <v>28375</v>
      </c>
      <c r="I718" s="396">
        <v>1915614</v>
      </c>
      <c r="J718" s="395">
        <v>250</v>
      </c>
      <c r="K718" s="395">
        <v>212</v>
      </c>
      <c r="L718" s="397">
        <v>0.84799999999999998</v>
      </c>
      <c r="M718" s="395">
        <v>38</v>
      </c>
      <c r="N718" s="395">
        <v>613</v>
      </c>
      <c r="O718" s="395">
        <v>824</v>
      </c>
      <c r="P718" s="395">
        <v>1.46</v>
      </c>
      <c r="Q718" s="395">
        <v>-564</v>
      </c>
      <c r="R718" s="396">
        <v>4834</v>
      </c>
      <c r="S718" s="396">
        <v>-3483</v>
      </c>
      <c r="T718" s="396">
        <v>190719</v>
      </c>
      <c r="U718" s="396">
        <v>-78019</v>
      </c>
      <c r="V718" s="395">
        <v>5480.52</v>
      </c>
      <c r="W718" s="395">
        <v>4574.41</v>
      </c>
      <c r="X718" s="395">
        <v>77490</v>
      </c>
      <c r="Y718" s="395">
        <v>10535.63</v>
      </c>
      <c r="Z718" s="396">
        <v>2128934</v>
      </c>
      <c r="AA718" s="396">
        <v>153259</v>
      </c>
      <c r="AB718" s="396">
        <v>554107</v>
      </c>
      <c r="AC718" s="396">
        <v>10207916</v>
      </c>
    </row>
    <row r="719" spans="1:29">
      <c r="A719">
        <v>6165</v>
      </c>
      <c r="B719" s="395" t="s">
        <v>7957</v>
      </c>
      <c r="C719" s="395"/>
      <c r="D719" s="396">
        <v>153018</v>
      </c>
      <c r="E719" s="396">
        <v>326069</v>
      </c>
      <c r="F719" s="395">
        <v>1.88</v>
      </c>
      <c r="G719" s="396">
        <v>-173051</v>
      </c>
      <c r="H719" s="396">
        <v>36382</v>
      </c>
      <c r="I719" s="396">
        <v>1522489</v>
      </c>
      <c r="J719" s="395">
        <v>238</v>
      </c>
      <c r="K719" s="395">
        <v>175</v>
      </c>
      <c r="L719" s="397">
        <v>0.73529999999999995</v>
      </c>
      <c r="M719" s="395">
        <v>63</v>
      </c>
      <c r="N719" s="395">
        <v>643</v>
      </c>
      <c r="O719" s="396">
        <v>1863</v>
      </c>
      <c r="P719" s="395">
        <v>0.68</v>
      </c>
      <c r="Q719" s="396">
        <v>-2747</v>
      </c>
      <c r="R719" s="396">
        <v>10417</v>
      </c>
      <c r="S719" s="396">
        <v>-10575</v>
      </c>
      <c r="T719" s="396">
        <v>504340</v>
      </c>
      <c r="U719" s="396">
        <v>-309052</v>
      </c>
      <c r="V719" s="395">
        <v>2753.74</v>
      </c>
      <c r="W719" s="395">
        <v>1458.74</v>
      </c>
      <c r="X719" s="395">
        <v>77490</v>
      </c>
      <c r="Y719" s="395">
        <v>6350.97</v>
      </c>
      <c r="Z719" s="396">
        <v>2383445</v>
      </c>
      <c r="AA719" s="396">
        <v>153018</v>
      </c>
      <c r="AB719" s="396">
        <v>-9741778</v>
      </c>
      <c r="AC719" s="396">
        <v>10207916</v>
      </c>
    </row>
    <row r="720" spans="1:29">
      <c r="A720">
        <v>5452</v>
      </c>
      <c r="B720" s="395" t="s">
        <v>7836</v>
      </c>
      <c r="C720" s="395"/>
      <c r="D720" s="396">
        <v>152978</v>
      </c>
      <c r="E720" s="396">
        <v>200292</v>
      </c>
      <c r="F720" s="395">
        <v>4.2300000000000004</v>
      </c>
      <c r="G720" s="396">
        <v>-47314</v>
      </c>
      <c r="H720" s="396">
        <v>23915</v>
      </c>
      <c r="I720" s="396">
        <v>578751</v>
      </c>
      <c r="J720" s="395">
        <v>262</v>
      </c>
      <c r="K720" s="395">
        <v>221</v>
      </c>
      <c r="L720" s="397">
        <v>0.84350000000000003</v>
      </c>
      <c r="M720" s="395">
        <v>41</v>
      </c>
      <c r="N720" s="395">
        <v>584</v>
      </c>
      <c r="O720" s="395">
        <v>906</v>
      </c>
      <c r="P720" s="395">
        <v>0.79</v>
      </c>
      <c r="Q720" s="396">
        <v>-1154</v>
      </c>
      <c r="R720" s="396">
        <v>5375</v>
      </c>
      <c r="S720" s="396">
        <v>-5006</v>
      </c>
      <c r="T720" s="396">
        <v>165334</v>
      </c>
      <c r="U720" s="396">
        <v>-47064</v>
      </c>
      <c r="V720" s="395">
        <v>1567.92</v>
      </c>
      <c r="W720" s="395">
        <v>1227.48</v>
      </c>
      <c r="X720" s="395">
        <v>77490</v>
      </c>
      <c r="Y720" s="395">
        <v>3403</v>
      </c>
      <c r="Z720" s="396">
        <v>27067645</v>
      </c>
      <c r="AA720" s="396">
        <v>152978</v>
      </c>
      <c r="AB720" s="396">
        <v>43582680</v>
      </c>
      <c r="AC720" s="396">
        <v>10207916</v>
      </c>
    </row>
    <row r="721" spans="1:29">
      <c r="A721">
        <v>6535</v>
      </c>
      <c r="B721" s="395" t="s">
        <v>8121</v>
      </c>
      <c r="C721" s="395"/>
      <c r="D721" s="396">
        <v>152149</v>
      </c>
      <c r="E721" s="396">
        <v>204668</v>
      </c>
      <c r="F721" s="395">
        <v>3.9</v>
      </c>
      <c r="G721" s="396">
        <v>-52519</v>
      </c>
      <c r="H721" s="396">
        <v>27151</v>
      </c>
      <c r="I721" s="396">
        <v>651630</v>
      </c>
      <c r="J721" s="395">
        <v>187</v>
      </c>
      <c r="K721" s="395">
        <v>160</v>
      </c>
      <c r="L721" s="397">
        <v>0.85560000000000003</v>
      </c>
      <c r="M721" s="395">
        <v>27</v>
      </c>
      <c r="N721" s="395">
        <v>814</v>
      </c>
      <c r="O721" s="396">
        <v>1279</v>
      </c>
      <c r="P721" s="395">
        <v>0.66</v>
      </c>
      <c r="Q721" s="396">
        <v>-1945</v>
      </c>
      <c r="R721" s="396">
        <v>3876</v>
      </c>
      <c r="S721" s="396">
        <v>-7004</v>
      </c>
      <c r="T721" s="396">
        <v>200083</v>
      </c>
      <c r="U721" s="396">
        <v>-47430</v>
      </c>
      <c r="V721" s="395">
        <v>1971.82</v>
      </c>
      <c r="W721" s="395">
        <v>1675.01</v>
      </c>
      <c r="X721" s="395">
        <v>77490</v>
      </c>
      <c r="Y721" s="395">
        <v>3730.7</v>
      </c>
      <c r="Z721" s="396">
        <v>10856195</v>
      </c>
      <c r="AA721" s="396">
        <v>152149</v>
      </c>
      <c r="AB721" s="396">
        <v>-341844</v>
      </c>
      <c r="AC721" s="396">
        <v>10207916</v>
      </c>
    </row>
    <row r="722" spans="1:29">
      <c r="A722">
        <v>2373</v>
      </c>
      <c r="B722" s="395" t="s">
        <v>7018</v>
      </c>
      <c r="C722" s="395"/>
      <c r="D722" s="396">
        <v>152134</v>
      </c>
      <c r="E722" s="396">
        <v>225211</v>
      </c>
      <c r="F722" s="395">
        <v>3.08</v>
      </c>
      <c r="G722" s="396">
        <v>-73077</v>
      </c>
      <c r="H722" s="396">
        <v>73729</v>
      </c>
      <c r="I722" s="396">
        <v>15655731</v>
      </c>
      <c r="J722" s="395">
        <v>203</v>
      </c>
      <c r="K722" s="395">
        <v>116</v>
      </c>
      <c r="L722" s="397">
        <v>0.57140000000000002</v>
      </c>
      <c r="M722" s="395">
        <v>87</v>
      </c>
      <c r="N722" s="395">
        <v>749</v>
      </c>
      <c r="O722" s="396">
        <v>1941</v>
      </c>
      <c r="P722" s="395">
        <v>2.31</v>
      </c>
      <c r="Q722" s="395">
        <v>-840</v>
      </c>
      <c r="R722" s="396">
        <v>5721</v>
      </c>
      <c r="S722" s="396">
        <v>-2661</v>
      </c>
      <c r="T722" s="396">
        <v>774936</v>
      </c>
      <c r="U722" s="396">
        <v>-498469</v>
      </c>
      <c r="V722" s="395">
        <v>30465.33</v>
      </c>
      <c r="W722" s="395">
        <v>39140.78</v>
      </c>
      <c r="X722" s="395">
        <v>77490</v>
      </c>
      <c r="Y722" s="395">
        <v>18898.07</v>
      </c>
      <c r="Z722" s="396">
        <v>991760</v>
      </c>
      <c r="AA722" s="396">
        <v>152134</v>
      </c>
      <c r="AB722" s="396">
        <v>4123195</v>
      </c>
      <c r="AC722" s="396">
        <v>10207916</v>
      </c>
    </row>
    <row r="723" spans="1:29">
      <c r="A723">
        <v>9918</v>
      </c>
      <c r="B723" s="395" t="s">
        <v>8403</v>
      </c>
      <c r="C723" s="395"/>
      <c r="D723" s="396">
        <v>151970</v>
      </c>
      <c r="E723" s="396">
        <v>166316</v>
      </c>
      <c r="F723" s="395">
        <v>11.59</v>
      </c>
      <c r="G723" s="396">
        <v>-14346</v>
      </c>
      <c r="H723" s="396">
        <v>27930</v>
      </c>
      <c r="I723" s="396">
        <v>1291857</v>
      </c>
      <c r="J723" s="395">
        <v>169</v>
      </c>
      <c r="K723" s="395">
        <v>145</v>
      </c>
      <c r="L723" s="397">
        <v>0.85799999999999998</v>
      </c>
      <c r="M723" s="395">
        <v>24</v>
      </c>
      <c r="N723" s="395">
        <v>899</v>
      </c>
      <c r="O723" s="396">
        <v>1147</v>
      </c>
      <c r="P723" s="395">
        <v>1.92</v>
      </c>
      <c r="Q723" s="395">
        <v>-598</v>
      </c>
      <c r="R723" s="396">
        <v>2828</v>
      </c>
      <c r="S723" s="396">
        <v>-1681</v>
      </c>
      <c r="T723" s="396">
        <v>186958</v>
      </c>
      <c r="U723" s="396">
        <v>-32397</v>
      </c>
      <c r="V723" s="395">
        <v>5363.73</v>
      </c>
      <c r="W723" s="395">
        <v>5265.57</v>
      </c>
      <c r="X723" s="395">
        <v>77220</v>
      </c>
      <c r="Y723" s="395">
        <v>5956.83</v>
      </c>
      <c r="Z723" s="396">
        <v>16121147</v>
      </c>
      <c r="AA723" s="396">
        <v>151970</v>
      </c>
      <c r="AB723" s="396">
        <v>7650152</v>
      </c>
      <c r="AC723" s="396">
        <v>10207916</v>
      </c>
    </row>
    <row r="724" spans="1:29">
      <c r="A724">
        <v>1717</v>
      </c>
      <c r="B724" s="395" t="s">
        <v>6856</v>
      </c>
      <c r="C724" s="395"/>
      <c r="D724" s="396">
        <v>151853</v>
      </c>
      <c r="E724" s="396">
        <v>262719</v>
      </c>
      <c r="F724" s="395">
        <v>2.37</v>
      </c>
      <c r="G724" s="396">
        <v>-110866</v>
      </c>
      <c r="H724" s="396">
        <v>41947</v>
      </c>
      <c r="I724" s="396">
        <v>1400323</v>
      </c>
      <c r="J724" s="395">
        <v>275</v>
      </c>
      <c r="K724" s="395">
        <v>199</v>
      </c>
      <c r="L724" s="397">
        <v>0.72360000000000002</v>
      </c>
      <c r="M724" s="395">
        <v>76</v>
      </c>
      <c r="N724" s="395">
        <v>552</v>
      </c>
      <c r="O724" s="396">
        <v>1320</v>
      </c>
      <c r="P724" s="395">
        <v>0.9</v>
      </c>
      <c r="Q724" s="396">
        <v>-1459</v>
      </c>
      <c r="R724" s="396">
        <v>6493</v>
      </c>
      <c r="S724" s="396">
        <v>-5705</v>
      </c>
      <c r="T724" s="396">
        <v>267662</v>
      </c>
      <c r="U724" s="396">
        <v>-89329</v>
      </c>
      <c r="V724" s="395">
        <v>3533.11</v>
      </c>
      <c r="W724" s="395">
        <v>2468.1999999999998</v>
      </c>
      <c r="X724" s="395">
        <v>77490</v>
      </c>
      <c r="Y724" s="395">
        <v>6321.51</v>
      </c>
      <c r="Z724" s="396">
        <v>-11526094</v>
      </c>
      <c r="AA724" s="396">
        <v>151853</v>
      </c>
      <c r="AB724" s="396">
        <v>456750</v>
      </c>
      <c r="AC724" s="396">
        <v>10207916</v>
      </c>
    </row>
    <row r="725" spans="1:29">
      <c r="A725">
        <v>4720</v>
      </c>
      <c r="B725" s="395" t="s">
        <v>7674</v>
      </c>
      <c r="C725" s="395"/>
      <c r="D725" s="396">
        <v>151768</v>
      </c>
      <c r="E725" s="396">
        <v>196037</v>
      </c>
      <c r="F725" s="395">
        <v>4.43</v>
      </c>
      <c r="G725" s="396">
        <v>-44269</v>
      </c>
      <c r="H725" s="396">
        <v>16673</v>
      </c>
      <c r="I725" s="396">
        <v>1418116</v>
      </c>
      <c r="J725" s="395">
        <v>261</v>
      </c>
      <c r="K725" s="395">
        <v>218</v>
      </c>
      <c r="L725" s="397">
        <v>0.83520000000000005</v>
      </c>
      <c r="M725" s="395">
        <v>43</v>
      </c>
      <c r="N725" s="395">
        <v>581</v>
      </c>
      <c r="O725" s="395">
        <v>899</v>
      </c>
      <c r="P725" s="395">
        <v>0.87</v>
      </c>
      <c r="Q725" s="396">
        <v>-1030</v>
      </c>
      <c r="R725" s="396">
        <v>2806</v>
      </c>
      <c r="S725" s="396">
        <v>-3876</v>
      </c>
      <c r="T725" s="396">
        <v>291612</v>
      </c>
      <c r="U725" s="396">
        <v>-159074</v>
      </c>
      <c r="V725" s="395">
        <v>6820.45</v>
      </c>
      <c r="W725" s="395">
        <v>5861.09</v>
      </c>
      <c r="X725" s="395">
        <v>77490</v>
      </c>
      <c r="Y725" s="395">
        <v>11684.16</v>
      </c>
      <c r="Z725" s="396">
        <v>-6808331</v>
      </c>
      <c r="AA725" s="396">
        <v>151768</v>
      </c>
      <c r="AB725" s="396">
        <v>-1234817</v>
      </c>
      <c r="AC725" s="396">
        <v>10207916</v>
      </c>
    </row>
    <row r="726" spans="1:29">
      <c r="A726">
        <v>3021</v>
      </c>
      <c r="B726" s="395" t="s">
        <v>7260</v>
      </c>
      <c r="C726" s="395"/>
      <c r="D726" s="396">
        <v>151396</v>
      </c>
      <c r="E726" s="396">
        <v>225402</v>
      </c>
      <c r="F726" s="395">
        <v>3.05</v>
      </c>
      <c r="G726" s="396">
        <v>-74005</v>
      </c>
      <c r="H726" s="396">
        <v>21985</v>
      </c>
      <c r="I726" s="396">
        <v>629777</v>
      </c>
      <c r="J726" s="395">
        <v>247</v>
      </c>
      <c r="K726" s="395">
        <v>200</v>
      </c>
      <c r="L726" s="397">
        <v>0.80969999999999998</v>
      </c>
      <c r="M726" s="395">
        <v>47</v>
      </c>
      <c r="N726" s="395">
        <v>613</v>
      </c>
      <c r="O726" s="396">
        <v>1127</v>
      </c>
      <c r="P726" s="395">
        <v>0.72</v>
      </c>
      <c r="Q726" s="396">
        <v>-1575</v>
      </c>
      <c r="R726" s="396">
        <v>6766</v>
      </c>
      <c r="S726" s="396">
        <v>-7513</v>
      </c>
      <c r="T726" s="396">
        <v>262608</v>
      </c>
      <c r="U726" s="396">
        <v>-138205</v>
      </c>
      <c r="V726" s="395">
        <v>1727.48</v>
      </c>
      <c r="W726" s="395">
        <v>1195.4000000000001</v>
      </c>
      <c r="X726" s="395">
        <v>77490</v>
      </c>
      <c r="Y726" s="395">
        <v>3991.64</v>
      </c>
      <c r="Z726" s="396">
        <v>-6847320</v>
      </c>
      <c r="AA726" s="396">
        <v>151396</v>
      </c>
      <c r="AB726" s="396">
        <v>23698283</v>
      </c>
      <c r="AC726" s="396">
        <v>10207916</v>
      </c>
    </row>
    <row r="727" spans="1:29">
      <c r="A727">
        <v>8420</v>
      </c>
      <c r="B727" s="395" t="s">
        <v>8329</v>
      </c>
      <c r="C727" s="395"/>
      <c r="D727" s="396">
        <v>150718</v>
      </c>
      <c r="E727" s="396">
        <v>215601</v>
      </c>
      <c r="F727" s="395">
        <v>3.32</v>
      </c>
      <c r="G727" s="396">
        <v>-64883</v>
      </c>
      <c r="H727" s="396">
        <v>27344</v>
      </c>
      <c r="I727" s="396">
        <v>467503</v>
      </c>
      <c r="J727" s="395">
        <v>195</v>
      </c>
      <c r="K727" s="395">
        <v>162</v>
      </c>
      <c r="L727" s="397">
        <v>0.83079999999999998</v>
      </c>
      <c r="M727" s="395">
        <v>33</v>
      </c>
      <c r="N727" s="395">
        <v>773</v>
      </c>
      <c r="O727" s="396">
        <v>1331</v>
      </c>
      <c r="P727" s="395">
        <v>0.68</v>
      </c>
      <c r="Q727" s="396">
        <v>-1966</v>
      </c>
      <c r="R727" s="396">
        <v>4862</v>
      </c>
      <c r="S727" s="396">
        <v>-6468</v>
      </c>
      <c r="T727" s="396">
        <v>210233</v>
      </c>
      <c r="U727" s="396">
        <v>-64598</v>
      </c>
      <c r="V727" s="395">
        <v>1273.07</v>
      </c>
      <c r="W727" s="395">
        <v>1011.5</v>
      </c>
      <c r="X727" s="395">
        <v>76680</v>
      </c>
      <c r="Y727" s="395">
        <v>2557.12</v>
      </c>
      <c r="Z727" s="396">
        <v>13688829</v>
      </c>
      <c r="AA727" s="396">
        <v>150718</v>
      </c>
      <c r="AB727" s="396">
        <v>33081813</v>
      </c>
      <c r="AC727" s="396">
        <v>10207916</v>
      </c>
    </row>
    <row r="728" spans="1:29">
      <c r="A728">
        <v>6115</v>
      </c>
      <c r="B728" s="395" t="s">
        <v>7917</v>
      </c>
      <c r="C728" s="395"/>
      <c r="D728" s="396">
        <v>150389</v>
      </c>
      <c r="E728" s="396">
        <v>160308</v>
      </c>
      <c r="F728" s="395">
        <v>16.16</v>
      </c>
      <c r="G728" s="396">
        <v>-9919</v>
      </c>
      <c r="H728" s="396">
        <v>34779</v>
      </c>
      <c r="I728" s="396">
        <v>2172806</v>
      </c>
      <c r="J728" s="395">
        <v>199</v>
      </c>
      <c r="K728" s="395">
        <v>158</v>
      </c>
      <c r="L728" s="397">
        <v>0.79400000000000004</v>
      </c>
      <c r="M728" s="395">
        <v>41</v>
      </c>
      <c r="N728" s="395">
        <v>756</v>
      </c>
      <c r="O728" s="396">
        <v>1015</v>
      </c>
      <c r="P728" s="395">
        <v>4.1900000000000004</v>
      </c>
      <c r="Q728" s="395">
        <v>-242</v>
      </c>
      <c r="R728" s="396">
        <v>4175</v>
      </c>
      <c r="S728" s="395">
        <v>-923</v>
      </c>
      <c r="T728" s="396">
        <v>189027</v>
      </c>
      <c r="U728" s="396">
        <v>-73695</v>
      </c>
      <c r="V728" s="395">
        <v>9420.32</v>
      </c>
      <c r="W728" s="395">
        <v>8700.2099999999991</v>
      </c>
      <c r="X728" s="395">
        <v>77490</v>
      </c>
      <c r="Y728" s="395">
        <v>12195.39</v>
      </c>
      <c r="Z728" s="396">
        <v>836771</v>
      </c>
      <c r="AA728" s="396">
        <v>150389</v>
      </c>
      <c r="AB728" s="396">
        <v>3856994</v>
      </c>
      <c r="AC728" s="396">
        <v>10207916</v>
      </c>
    </row>
    <row r="729" spans="1:29">
      <c r="A729">
        <v>2611</v>
      </c>
      <c r="B729" s="395" t="s">
        <v>7146</v>
      </c>
      <c r="C729" s="395"/>
      <c r="D729" s="396">
        <v>150218</v>
      </c>
      <c r="E729" s="396">
        <v>342494</v>
      </c>
      <c r="F729" s="395">
        <v>1.78</v>
      </c>
      <c r="G729" s="396">
        <v>-192276</v>
      </c>
      <c r="H729" s="396">
        <v>22332</v>
      </c>
      <c r="I729" s="396">
        <v>2226742</v>
      </c>
      <c r="J729" s="395">
        <v>262</v>
      </c>
      <c r="K729" s="395">
        <v>203</v>
      </c>
      <c r="L729" s="397">
        <v>0.77480000000000004</v>
      </c>
      <c r="M729" s="395">
        <v>59</v>
      </c>
      <c r="N729" s="395">
        <v>573</v>
      </c>
      <c r="O729" s="396">
        <v>1687</v>
      </c>
      <c r="P729" s="395">
        <v>0.52</v>
      </c>
      <c r="Q729" s="396">
        <v>-3259</v>
      </c>
      <c r="R729" s="396">
        <v>8583</v>
      </c>
      <c r="S729" s="396">
        <v>-10555</v>
      </c>
      <c r="T729" s="396">
        <v>618422</v>
      </c>
      <c r="U729" s="396">
        <v>-546309</v>
      </c>
      <c r="V729" s="395">
        <v>7577.68</v>
      </c>
      <c r="W729" s="395">
        <v>5519.27</v>
      </c>
      <c r="X729" s="395">
        <v>77490</v>
      </c>
      <c r="Y729" s="395">
        <v>14660</v>
      </c>
      <c r="Z729" s="396">
        <v>-20983879</v>
      </c>
      <c r="AA729" s="396">
        <v>150218</v>
      </c>
      <c r="AB729" s="396">
        <v>54066667</v>
      </c>
      <c r="AC729" s="396">
        <v>10207916</v>
      </c>
    </row>
    <row r="730" spans="1:29">
      <c r="A730">
        <v>1608</v>
      </c>
      <c r="B730" s="395" t="s">
        <v>6836</v>
      </c>
      <c r="C730" s="395"/>
      <c r="D730" s="396">
        <v>150147</v>
      </c>
      <c r="E730" s="396">
        <v>197021</v>
      </c>
      <c r="F730" s="395">
        <v>4.2</v>
      </c>
      <c r="G730" s="396">
        <v>-46874</v>
      </c>
      <c r="H730" s="396">
        <v>23560</v>
      </c>
      <c r="I730" s="396">
        <v>1228770</v>
      </c>
      <c r="J730" s="395">
        <v>269</v>
      </c>
      <c r="K730" s="395">
        <v>211</v>
      </c>
      <c r="L730" s="397">
        <v>0.78439999999999999</v>
      </c>
      <c r="M730" s="395">
        <v>58</v>
      </c>
      <c r="N730" s="395">
        <v>558</v>
      </c>
      <c r="O730" s="395">
        <v>934</v>
      </c>
      <c r="P730" s="395">
        <v>1.1599999999999999</v>
      </c>
      <c r="Q730" s="395">
        <v>-808</v>
      </c>
      <c r="R730" s="396">
        <v>5030</v>
      </c>
      <c r="S730" s="396">
        <v>-5722</v>
      </c>
      <c r="T730" s="396">
        <v>168823</v>
      </c>
      <c r="U730" s="396">
        <v>-116315</v>
      </c>
      <c r="V730" s="395">
        <v>3707.74</v>
      </c>
      <c r="W730" s="395">
        <v>3027.55</v>
      </c>
      <c r="X730" s="395">
        <v>77490</v>
      </c>
      <c r="Y730" s="395">
        <v>6182.22</v>
      </c>
      <c r="Z730" s="396">
        <v>-9957577</v>
      </c>
      <c r="AA730" s="396">
        <v>150147</v>
      </c>
      <c r="AB730" s="396">
        <v>28273247</v>
      </c>
      <c r="AC730" s="396">
        <v>10207916</v>
      </c>
    </row>
    <row r="731" spans="1:29">
      <c r="A731">
        <v>8088</v>
      </c>
      <c r="B731" s="395" t="s">
        <v>8265</v>
      </c>
      <c r="C731" s="395"/>
      <c r="D731" s="396">
        <v>149578</v>
      </c>
      <c r="E731" s="396">
        <v>208737</v>
      </c>
      <c r="F731" s="395">
        <v>3.53</v>
      </c>
      <c r="G731" s="396">
        <v>-59159</v>
      </c>
      <c r="H731" s="396">
        <v>24635</v>
      </c>
      <c r="I731" s="396">
        <v>1097582</v>
      </c>
      <c r="J731" s="395">
        <v>232</v>
      </c>
      <c r="K731" s="395">
        <v>182</v>
      </c>
      <c r="L731" s="397">
        <v>0.78449999999999998</v>
      </c>
      <c r="M731" s="395">
        <v>50</v>
      </c>
      <c r="N731" s="395">
        <v>645</v>
      </c>
      <c r="O731" s="396">
        <v>1147</v>
      </c>
      <c r="P731" s="395">
        <v>0.97</v>
      </c>
      <c r="Q731" s="396">
        <v>-1183</v>
      </c>
      <c r="R731" s="396">
        <v>5201</v>
      </c>
      <c r="S731" s="396">
        <v>-9178</v>
      </c>
      <c r="T731" s="396">
        <v>176665</v>
      </c>
      <c r="U731" s="396">
        <v>-112709</v>
      </c>
      <c r="V731" s="395">
        <v>3612.81</v>
      </c>
      <c r="W731" s="395">
        <v>2684.71</v>
      </c>
      <c r="X731" s="395">
        <v>77490</v>
      </c>
      <c r="Y731" s="395">
        <v>6991.08</v>
      </c>
      <c r="Z731" s="396">
        <v>-21162300</v>
      </c>
      <c r="AA731" s="396">
        <v>149578</v>
      </c>
      <c r="AB731" s="396">
        <v>-11379825</v>
      </c>
      <c r="AC731" s="396">
        <v>10207916</v>
      </c>
    </row>
    <row r="732" spans="1:29">
      <c r="A732">
        <v>1612</v>
      </c>
      <c r="B732" s="395" t="s">
        <v>6839</v>
      </c>
      <c r="C732" s="395"/>
      <c r="D732" s="396">
        <v>149500</v>
      </c>
      <c r="E732" s="396">
        <v>189155</v>
      </c>
      <c r="F732" s="395">
        <v>4.7699999999999996</v>
      </c>
      <c r="G732" s="396">
        <v>-39655</v>
      </c>
      <c r="H732" s="396">
        <v>25656</v>
      </c>
      <c r="I732" s="396">
        <v>1034961</v>
      </c>
      <c r="J732" s="395">
        <v>260</v>
      </c>
      <c r="K732" s="395">
        <v>217</v>
      </c>
      <c r="L732" s="397">
        <v>0.83460000000000001</v>
      </c>
      <c r="M732" s="395">
        <v>43</v>
      </c>
      <c r="N732" s="395">
        <v>575</v>
      </c>
      <c r="O732" s="395">
        <v>872</v>
      </c>
      <c r="P732" s="395">
        <v>0.95</v>
      </c>
      <c r="Q732" s="395">
        <v>-922</v>
      </c>
      <c r="R732" s="396">
        <v>3561</v>
      </c>
      <c r="S732" s="396">
        <v>-4806</v>
      </c>
      <c r="T732" s="396">
        <v>178738</v>
      </c>
      <c r="U732" s="396">
        <v>-85398</v>
      </c>
      <c r="V732" s="395">
        <v>2596.38</v>
      </c>
      <c r="W732" s="395">
        <v>2008.26</v>
      </c>
      <c r="X732" s="395">
        <v>77490</v>
      </c>
      <c r="Y732" s="395">
        <v>5564.3</v>
      </c>
      <c r="Z732" s="396">
        <v>-3575563</v>
      </c>
      <c r="AA732" s="396">
        <v>149500</v>
      </c>
      <c r="AB732" s="396">
        <v>28566745</v>
      </c>
      <c r="AC732" s="396">
        <v>10207916</v>
      </c>
    </row>
    <row r="733" spans="1:29">
      <c r="A733">
        <v>1440</v>
      </c>
      <c r="B733" s="395" t="s">
        <v>6751</v>
      </c>
      <c r="C733" s="395"/>
      <c r="D733" s="396">
        <v>149083</v>
      </c>
      <c r="E733" s="396">
        <v>225236</v>
      </c>
      <c r="F733" s="395">
        <v>2.96</v>
      </c>
      <c r="G733" s="396">
        <v>-76154</v>
      </c>
      <c r="H733" s="396">
        <v>25376</v>
      </c>
      <c r="I733" s="396">
        <v>1449402</v>
      </c>
      <c r="J733" s="395">
        <v>271</v>
      </c>
      <c r="K733" s="395">
        <v>212</v>
      </c>
      <c r="L733" s="397">
        <v>0.7823</v>
      </c>
      <c r="M733" s="395">
        <v>59</v>
      </c>
      <c r="N733" s="395">
        <v>550</v>
      </c>
      <c r="O733" s="396">
        <v>1062</v>
      </c>
      <c r="P733" s="395">
        <v>0.82</v>
      </c>
      <c r="Q733" s="396">
        <v>-1291</v>
      </c>
      <c r="R733" s="396">
        <v>4006</v>
      </c>
      <c r="S733" s="396">
        <v>-4649</v>
      </c>
      <c r="T733" s="396">
        <v>302397</v>
      </c>
      <c r="U733" s="396">
        <v>-187904</v>
      </c>
      <c r="V733" s="395">
        <v>3342.18</v>
      </c>
      <c r="W733" s="395">
        <v>2440.41</v>
      </c>
      <c r="X733" s="395">
        <v>77490</v>
      </c>
      <c r="Y733" s="395">
        <v>6582.44</v>
      </c>
      <c r="Z733" s="396">
        <v>-5435338</v>
      </c>
      <c r="AA733" s="396">
        <v>149083</v>
      </c>
      <c r="AB733" s="396">
        <v>26918550</v>
      </c>
      <c r="AC733" s="396">
        <v>10207916</v>
      </c>
    </row>
    <row r="734" spans="1:29">
      <c r="A734">
        <v>2423</v>
      </c>
      <c r="B734" s="395" t="s">
        <v>7051</v>
      </c>
      <c r="C734" s="395"/>
      <c r="D734" s="396">
        <v>148873</v>
      </c>
      <c r="E734" s="396">
        <v>159608</v>
      </c>
      <c r="F734" s="395">
        <v>14.87</v>
      </c>
      <c r="G734" s="396">
        <v>-10735</v>
      </c>
      <c r="H734" s="396">
        <v>26336</v>
      </c>
      <c r="I734" s="396">
        <v>884250</v>
      </c>
      <c r="J734" s="395">
        <v>251</v>
      </c>
      <c r="K734" s="395">
        <v>221</v>
      </c>
      <c r="L734" s="397">
        <v>0.88049999999999995</v>
      </c>
      <c r="M734" s="395">
        <v>30</v>
      </c>
      <c r="N734" s="395">
        <v>593</v>
      </c>
      <c r="O734" s="395">
        <v>722</v>
      </c>
      <c r="P734" s="395">
        <v>2.02</v>
      </c>
      <c r="Q734" s="395">
        <v>-358</v>
      </c>
      <c r="R734" s="396">
        <v>2155</v>
      </c>
      <c r="S734" s="396">
        <v>-1621</v>
      </c>
      <c r="T734" s="396">
        <v>163637</v>
      </c>
      <c r="U734" s="396">
        <v>-22739</v>
      </c>
      <c r="V734" s="395">
        <v>3282.51</v>
      </c>
      <c r="W734" s="395">
        <v>3064.47</v>
      </c>
      <c r="X734" s="395">
        <v>77490</v>
      </c>
      <c r="Y734" s="395">
        <v>4888.7700000000004</v>
      </c>
      <c r="Z734" s="396">
        <v>6435491</v>
      </c>
      <c r="AA734" s="396">
        <v>148873</v>
      </c>
      <c r="AB734" s="396">
        <v>11209476</v>
      </c>
      <c r="AC734" s="396">
        <v>10207916</v>
      </c>
    </row>
    <row r="735" spans="1:29">
      <c r="A735">
        <v>2115</v>
      </c>
      <c r="B735" s="395" t="s">
        <v>6952</v>
      </c>
      <c r="C735" s="395"/>
      <c r="D735" s="396">
        <v>148752</v>
      </c>
      <c r="E735" s="396">
        <v>217791</v>
      </c>
      <c r="F735" s="395">
        <v>3.15</v>
      </c>
      <c r="G735" s="396">
        <v>-69039</v>
      </c>
      <c r="H735" s="396">
        <v>34532</v>
      </c>
      <c r="I735" s="396">
        <v>2668591</v>
      </c>
      <c r="J735" s="395">
        <v>188</v>
      </c>
      <c r="K735" s="395">
        <v>143</v>
      </c>
      <c r="L735" s="397">
        <v>0.76060000000000005</v>
      </c>
      <c r="M735" s="395">
        <v>45</v>
      </c>
      <c r="N735" s="395">
        <v>791</v>
      </c>
      <c r="O735" s="396">
        <v>1523</v>
      </c>
      <c r="P735" s="395">
        <v>0.99</v>
      </c>
      <c r="Q735" s="396">
        <v>-1534</v>
      </c>
      <c r="R735" s="396">
        <v>7567</v>
      </c>
      <c r="S735" s="396">
        <v>-5609</v>
      </c>
      <c r="T735" s="396">
        <v>237470</v>
      </c>
      <c r="U735" s="396">
        <v>-122268</v>
      </c>
      <c r="V735" s="395">
        <v>8565.64</v>
      </c>
      <c r="W735" s="395">
        <v>5711.06</v>
      </c>
      <c r="X735" s="395">
        <v>77490</v>
      </c>
      <c r="Y735" s="395">
        <v>17636.89</v>
      </c>
      <c r="Z735" s="396">
        <v>-9908173</v>
      </c>
      <c r="AA735" s="396">
        <v>148752</v>
      </c>
      <c r="AB735" s="396">
        <v>1876986</v>
      </c>
      <c r="AC735" s="396">
        <v>10207916</v>
      </c>
    </row>
    <row r="736" spans="1:29">
      <c r="A736">
        <v>3311</v>
      </c>
      <c r="B736" s="395" t="s">
        <v>7386</v>
      </c>
      <c r="C736" s="395"/>
      <c r="D736" s="396">
        <v>148701</v>
      </c>
      <c r="E736" s="396">
        <v>290078</v>
      </c>
      <c r="F736" s="395">
        <v>2.0499999999999998</v>
      </c>
      <c r="G736" s="396">
        <v>-141377</v>
      </c>
      <c r="H736" s="396">
        <v>29899</v>
      </c>
      <c r="I736" s="396">
        <v>1857128</v>
      </c>
      <c r="J736" s="395">
        <v>211</v>
      </c>
      <c r="K736" s="395">
        <v>143</v>
      </c>
      <c r="L736" s="397">
        <v>0.67769999999999997</v>
      </c>
      <c r="M736" s="395">
        <v>68</v>
      </c>
      <c r="N736" s="395">
        <v>705</v>
      </c>
      <c r="O736" s="396">
        <v>2029</v>
      </c>
      <c r="P736" s="395">
        <v>0.98</v>
      </c>
      <c r="Q736" s="396">
        <v>-2079</v>
      </c>
      <c r="R736" s="396">
        <v>8111</v>
      </c>
      <c r="S736" s="396">
        <v>-10376</v>
      </c>
      <c r="T736" s="396">
        <v>412116</v>
      </c>
      <c r="U736" s="396">
        <v>-289342</v>
      </c>
      <c r="V736" s="395">
        <v>4775.09</v>
      </c>
      <c r="W736" s="395">
        <v>3043.68</v>
      </c>
      <c r="X736" s="395">
        <v>77490</v>
      </c>
      <c r="Y736" s="395">
        <v>8416.16</v>
      </c>
      <c r="Z736" s="396">
        <v>-8199066</v>
      </c>
      <c r="AA736" s="396">
        <v>148701</v>
      </c>
      <c r="AB736" s="396">
        <v>-2845272</v>
      </c>
      <c r="AC736" s="396">
        <v>10207916</v>
      </c>
    </row>
    <row r="737" spans="1:29">
      <c r="A737">
        <v>2062</v>
      </c>
      <c r="B737" s="395" t="s">
        <v>6934</v>
      </c>
      <c r="C737" s="395"/>
      <c r="D737" s="396">
        <v>148230</v>
      </c>
      <c r="E737" s="396">
        <v>280919</v>
      </c>
      <c r="F737" s="395">
        <v>2.12</v>
      </c>
      <c r="G737" s="396">
        <v>-132689</v>
      </c>
      <c r="H737" s="396">
        <v>30367</v>
      </c>
      <c r="I737" s="396">
        <v>1771864</v>
      </c>
      <c r="J737" s="395">
        <v>264</v>
      </c>
      <c r="K737" s="395">
        <v>190</v>
      </c>
      <c r="L737" s="397">
        <v>0.71970000000000001</v>
      </c>
      <c r="M737" s="395">
        <v>74</v>
      </c>
      <c r="N737" s="395">
        <v>561</v>
      </c>
      <c r="O737" s="396">
        <v>1479</v>
      </c>
      <c r="P737" s="395">
        <v>0.82</v>
      </c>
      <c r="Q737" s="396">
        <v>-1793</v>
      </c>
      <c r="R737" s="396">
        <v>6037</v>
      </c>
      <c r="S737" s="396">
        <v>-7691</v>
      </c>
      <c r="T737" s="396">
        <v>259528</v>
      </c>
      <c r="U737" s="396">
        <v>-149401</v>
      </c>
      <c r="V737" s="395">
        <v>5184.58</v>
      </c>
      <c r="W737" s="395">
        <v>3653.06</v>
      </c>
      <c r="X737" s="395">
        <v>77490</v>
      </c>
      <c r="Y737" s="395">
        <v>9116.84</v>
      </c>
      <c r="Z737" s="396">
        <v>-10494006</v>
      </c>
      <c r="AA737" s="396">
        <v>148230</v>
      </c>
      <c r="AB737" s="396">
        <v>2767449</v>
      </c>
      <c r="AC737" s="396">
        <v>10207916</v>
      </c>
    </row>
    <row r="738" spans="1:29">
      <c r="A738">
        <v>2461</v>
      </c>
      <c r="B738" s="395" t="s">
        <v>7080</v>
      </c>
      <c r="C738" s="395"/>
      <c r="D738" s="396">
        <v>147613</v>
      </c>
      <c r="E738" s="396">
        <v>177112</v>
      </c>
      <c r="F738" s="395">
        <v>6</v>
      </c>
      <c r="G738" s="396">
        <v>-29500</v>
      </c>
      <c r="H738" s="396">
        <v>22196</v>
      </c>
      <c r="I738" s="396">
        <v>880373</v>
      </c>
      <c r="J738" s="395">
        <v>253</v>
      </c>
      <c r="K738" s="395">
        <v>213</v>
      </c>
      <c r="L738" s="397">
        <v>0.84189999999999998</v>
      </c>
      <c r="M738" s="395">
        <v>40</v>
      </c>
      <c r="N738" s="395">
        <v>583</v>
      </c>
      <c r="O738" s="395">
        <v>832</v>
      </c>
      <c r="P738" s="395">
        <v>1.1299999999999999</v>
      </c>
      <c r="Q738" s="395">
        <v>-737</v>
      </c>
      <c r="R738" s="396">
        <v>3417</v>
      </c>
      <c r="S738" s="396">
        <v>-2325</v>
      </c>
      <c r="T738" s="396">
        <v>172139</v>
      </c>
      <c r="U738" s="396">
        <v>-79001</v>
      </c>
      <c r="V738" s="395">
        <v>2412.0300000000002</v>
      </c>
      <c r="W738" s="395">
        <v>1801.26</v>
      </c>
      <c r="X738" s="395">
        <v>77490</v>
      </c>
      <c r="Y738" s="395">
        <v>5664.37</v>
      </c>
      <c r="Z738" s="396">
        <v>17476442</v>
      </c>
      <c r="AA738" s="396">
        <v>147613</v>
      </c>
      <c r="AB738" s="396">
        <v>13918808</v>
      </c>
      <c r="AC738" s="396">
        <v>10207916</v>
      </c>
    </row>
    <row r="739" spans="1:29">
      <c r="A739">
        <v>5225</v>
      </c>
      <c r="B739" s="395" t="s">
        <v>7773</v>
      </c>
      <c r="C739" s="395"/>
      <c r="D739" s="396">
        <v>147326</v>
      </c>
      <c r="E739" s="396">
        <v>193285</v>
      </c>
      <c r="F739" s="395">
        <v>4.21</v>
      </c>
      <c r="G739" s="396">
        <v>-45959</v>
      </c>
      <c r="H739" s="396">
        <v>20324</v>
      </c>
      <c r="I739" s="396">
        <v>1007754</v>
      </c>
      <c r="J739" s="395">
        <v>232</v>
      </c>
      <c r="K739" s="395">
        <v>181</v>
      </c>
      <c r="L739" s="397">
        <v>0.7802</v>
      </c>
      <c r="M739" s="395">
        <v>51</v>
      </c>
      <c r="N739" s="395">
        <v>635</v>
      </c>
      <c r="O739" s="396">
        <v>1068</v>
      </c>
      <c r="P739" s="395">
        <v>1.19</v>
      </c>
      <c r="Q739" s="395">
        <v>-901</v>
      </c>
      <c r="R739" s="396">
        <v>2922</v>
      </c>
      <c r="S739" s="396">
        <v>-3994</v>
      </c>
      <c r="T739" s="396">
        <v>210305</v>
      </c>
      <c r="U739" s="396">
        <v>-128222</v>
      </c>
      <c r="V739" s="395">
        <v>4414.1899999999996</v>
      </c>
      <c r="W739" s="395">
        <v>3557.46</v>
      </c>
      <c r="X739" s="395">
        <v>77220</v>
      </c>
      <c r="Y739" s="395">
        <v>7454.76</v>
      </c>
      <c r="Z739" s="396">
        <v>-7544637</v>
      </c>
      <c r="AA739" s="396">
        <v>147326</v>
      </c>
      <c r="AB739" s="396">
        <v>-5333935</v>
      </c>
      <c r="AC739" s="396">
        <v>10207916</v>
      </c>
    </row>
    <row r="740" spans="1:29">
      <c r="A740">
        <v>1503</v>
      </c>
      <c r="B740" s="395" t="s">
        <v>6783</v>
      </c>
      <c r="C740" s="395"/>
      <c r="D740" s="396">
        <v>147276</v>
      </c>
      <c r="E740" s="396">
        <v>221691</v>
      </c>
      <c r="F740" s="395">
        <v>2.98</v>
      </c>
      <c r="G740" s="396">
        <v>-74415</v>
      </c>
      <c r="H740" s="396">
        <v>52181</v>
      </c>
      <c r="I740" s="396">
        <v>2966136</v>
      </c>
      <c r="J740" s="395">
        <v>251</v>
      </c>
      <c r="K740" s="395">
        <v>181</v>
      </c>
      <c r="L740" s="397">
        <v>0.72109999999999996</v>
      </c>
      <c r="M740" s="395">
        <v>70</v>
      </c>
      <c r="N740" s="395">
        <v>587</v>
      </c>
      <c r="O740" s="396">
        <v>1225</v>
      </c>
      <c r="P740" s="395">
        <v>1.1499999999999999</v>
      </c>
      <c r="Q740" s="396">
        <v>-1063</v>
      </c>
      <c r="R740" s="396">
        <v>3506</v>
      </c>
      <c r="S740" s="396">
        <v>-3415</v>
      </c>
      <c r="T740" s="396">
        <v>264346</v>
      </c>
      <c r="U740" s="396">
        <v>-157569</v>
      </c>
      <c r="V740" s="395">
        <v>4729.58</v>
      </c>
      <c r="W740" s="395">
        <v>2932.57</v>
      </c>
      <c r="X740" s="395">
        <v>77490</v>
      </c>
      <c r="Y740" s="395">
        <v>9376.11</v>
      </c>
      <c r="Z740" s="396">
        <v>964753</v>
      </c>
      <c r="AA740" s="396">
        <v>147276</v>
      </c>
      <c r="AB740" s="396">
        <v>2916559</v>
      </c>
      <c r="AC740" s="396">
        <v>10207916</v>
      </c>
    </row>
    <row r="741" spans="1:29">
      <c r="A741">
        <v>4744</v>
      </c>
      <c r="B741" s="395" t="s">
        <v>7686</v>
      </c>
      <c r="C741" s="395"/>
      <c r="D741" s="396">
        <v>146741</v>
      </c>
      <c r="E741" s="396">
        <v>200668</v>
      </c>
      <c r="F741" s="395">
        <v>3.72</v>
      </c>
      <c r="G741" s="396">
        <v>-53928</v>
      </c>
      <c r="H741" s="396">
        <v>27707</v>
      </c>
      <c r="I741" s="396">
        <v>1234211</v>
      </c>
      <c r="J741" s="395">
        <v>234</v>
      </c>
      <c r="K741" s="395">
        <v>185</v>
      </c>
      <c r="L741" s="397">
        <v>0.79059999999999997</v>
      </c>
      <c r="M741" s="395">
        <v>49</v>
      </c>
      <c r="N741" s="395">
        <v>627</v>
      </c>
      <c r="O741" s="396">
        <v>1085</v>
      </c>
      <c r="P741" s="395">
        <v>0.99</v>
      </c>
      <c r="Q741" s="396">
        <v>-1101</v>
      </c>
      <c r="R741" s="396">
        <v>4052</v>
      </c>
      <c r="S741" s="396">
        <v>-6386</v>
      </c>
      <c r="T741" s="396">
        <v>212945</v>
      </c>
      <c r="U741" s="396">
        <v>-77833</v>
      </c>
      <c r="V741" s="395">
        <v>3887.36</v>
      </c>
      <c r="W741" s="395">
        <v>3139.87</v>
      </c>
      <c r="X741" s="395">
        <v>77490</v>
      </c>
      <c r="Y741" s="395">
        <v>6709.53</v>
      </c>
      <c r="Z741" s="396">
        <v>-9220857</v>
      </c>
      <c r="AA741" s="396">
        <v>146741</v>
      </c>
      <c r="AB741" s="396">
        <v>2475163</v>
      </c>
      <c r="AC741" s="396">
        <v>10207916</v>
      </c>
    </row>
    <row r="742" spans="1:29">
      <c r="A742">
        <v>4972</v>
      </c>
      <c r="B742" s="395" t="s">
        <v>7739</v>
      </c>
      <c r="C742" s="395"/>
      <c r="D742" s="396">
        <v>146396</v>
      </c>
      <c r="E742" s="396">
        <v>164614</v>
      </c>
      <c r="F742" s="395">
        <v>9.0399999999999991</v>
      </c>
      <c r="G742" s="396">
        <v>-18218</v>
      </c>
      <c r="H742" s="396">
        <v>18947</v>
      </c>
      <c r="I742" s="396">
        <v>3236866</v>
      </c>
      <c r="J742" s="395">
        <v>142</v>
      </c>
      <c r="K742" s="395">
        <v>124</v>
      </c>
      <c r="L742" s="397">
        <v>0.87319999999999998</v>
      </c>
      <c r="M742" s="395">
        <v>18</v>
      </c>
      <c r="N742" s="396">
        <v>1031</v>
      </c>
      <c r="O742" s="396">
        <v>1328</v>
      </c>
      <c r="P742" s="395">
        <v>1.31</v>
      </c>
      <c r="Q742" s="396">
        <v>-1012</v>
      </c>
      <c r="R742" s="396">
        <v>3865</v>
      </c>
      <c r="S742" s="396">
        <v>-1932</v>
      </c>
      <c r="T742" s="396">
        <v>280570</v>
      </c>
      <c r="U742" s="396">
        <v>-166606</v>
      </c>
      <c r="V742" s="395">
        <v>24245.23</v>
      </c>
      <c r="W742" s="395">
        <v>22665.94</v>
      </c>
      <c r="X742" s="395">
        <v>77220</v>
      </c>
      <c r="Y742" s="395">
        <v>35124.78</v>
      </c>
      <c r="Z742" s="396">
        <v>-286815</v>
      </c>
      <c r="AA742" s="396">
        <v>146396</v>
      </c>
      <c r="AB742" s="396">
        <v>11828319</v>
      </c>
      <c r="AC742" s="396">
        <v>10207916</v>
      </c>
    </row>
    <row r="743" spans="1:29">
      <c r="A743">
        <v>2033</v>
      </c>
      <c r="B743" s="395" t="s">
        <v>6927</v>
      </c>
      <c r="C743" s="395"/>
      <c r="D743" s="396">
        <v>146300</v>
      </c>
      <c r="E743" s="396">
        <v>185505</v>
      </c>
      <c r="F743" s="395">
        <v>4.7300000000000004</v>
      </c>
      <c r="G743" s="396">
        <v>-39205</v>
      </c>
      <c r="H743" s="396">
        <v>18713</v>
      </c>
      <c r="I743" s="396">
        <v>442620</v>
      </c>
      <c r="J743" s="395">
        <v>257</v>
      </c>
      <c r="K743" s="395">
        <v>205</v>
      </c>
      <c r="L743" s="397">
        <v>0.79769999999999996</v>
      </c>
      <c r="M743" s="395">
        <v>52</v>
      </c>
      <c r="N743" s="395">
        <v>569</v>
      </c>
      <c r="O743" s="395">
        <v>905</v>
      </c>
      <c r="P743" s="395">
        <v>1.2</v>
      </c>
      <c r="Q743" s="395">
        <v>-754</v>
      </c>
      <c r="R743" s="396">
        <v>4327</v>
      </c>
      <c r="S743" s="396">
        <v>-4374</v>
      </c>
      <c r="T743" s="396">
        <v>175479</v>
      </c>
      <c r="U743" s="396">
        <v>-42681</v>
      </c>
      <c r="V743" s="395">
        <v>1960.51</v>
      </c>
      <c r="W743" s="395">
        <v>1369.26</v>
      </c>
      <c r="X743" s="395">
        <v>77490</v>
      </c>
      <c r="Y743" s="395">
        <v>4291.3999999999996</v>
      </c>
      <c r="Z743" s="396">
        <v>-15959163</v>
      </c>
      <c r="AA743" s="396">
        <v>146300</v>
      </c>
      <c r="AB743" s="396">
        <v>35722433</v>
      </c>
      <c r="AC743" s="396">
        <v>10207916</v>
      </c>
    </row>
    <row r="744" spans="1:29">
      <c r="A744">
        <v>8043</v>
      </c>
      <c r="B744" s="395" t="s">
        <v>8238</v>
      </c>
      <c r="C744" s="395"/>
      <c r="D744" s="396">
        <v>146044</v>
      </c>
      <c r="E744" s="396">
        <v>228711</v>
      </c>
      <c r="F744" s="395">
        <v>2.77</v>
      </c>
      <c r="G744" s="396">
        <v>-82668</v>
      </c>
      <c r="H744" s="396">
        <v>27811</v>
      </c>
      <c r="I744" s="396">
        <v>1724699</v>
      </c>
      <c r="J744" s="395">
        <v>237</v>
      </c>
      <c r="K744" s="395">
        <v>188</v>
      </c>
      <c r="L744" s="397">
        <v>0.79320000000000002</v>
      </c>
      <c r="M744" s="395">
        <v>49</v>
      </c>
      <c r="N744" s="395">
        <v>616</v>
      </c>
      <c r="O744" s="396">
        <v>1217</v>
      </c>
      <c r="P744" s="395">
        <v>0.72</v>
      </c>
      <c r="Q744" s="396">
        <v>-1687</v>
      </c>
      <c r="R744" s="396">
        <v>5593</v>
      </c>
      <c r="S744" s="396">
        <v>-6163</v>
      </c>
      <c r="T744" s="396">
        <v>253167</v>
      </c>
      <c r="U744" s="396">
        <v>-180308</v>
      </c>
      <c r="V744" s="395">
        <v>4275.9399999999996</v>
      </c>
      <c r="W744" s="395">
        <v>3465.9</v>
      </c>
      <c r="X744" s="395">
        <v>77490</v>
      </c>
      <c r="Y744" s="395">
        <v>7383.82</v>
      </c>
      <c r="Z744" s="396">
        <v>-15359290</v>
      </c>
      <c r="AA744" s="396">
        <v>146044</v>
      </c>
      <c r="AB744" s="396">
        <v>-5998619</v>
      </c>
      <c r="AC744" s="396">
        <v>10207916</v>
      </c>
    </row>
    <row r="745" spans="1:29">
      <c r="A745">
        <v>6197</v>
      </c>
      <c r="B745" s="395" t="s">
        <v>7985</v>
      </c>
      <c r="C745" s="395"/>
      <c r="D745" s="396">
        <v>145973</v>
      </c>
      <c r="E745" s="396">
        <v>254288</v>
      </c>
      <c r="F745" s="395">
        <v>2.35</v>
      </c>
      <c r="G745" s="396">
        <v>-108315</v>
      </c>
      <c r="H745" s="396">
        <v>39277</v>
      </c>
      <c r="I745" s="396">
        <v>2521914</v>
      </c>
      <c r="J745" s="395">
        <v>251</v>
      </c>
      <c r="K745" s="395">
        <v>181</v>
      </c>
      <c r="L745" s="397">
        <v>0.72109999999999996</v>
      </c>
      <c r="M745" s="395">
        <v>70</v>
      </c>
      <c r="N745" s="395">
        <v>582</v>
      </c>
      <c r="O745" s="396">
        <v>1405</v>
      </c>
      <c r="P745" s="395">
        <v>0.91</v>
      </c>
      <c r="Q745" s="396">
        <v>-1547</v>
      </c>
      <c r="R745" s="396">
        <v>6599</v>
      </c>
      <c r="S745" s="396">
        <v>-8837</v>
      </c>
      <c r="T745" s="396">
        <v>385882</v>
      </c>
      <c r="U745" s="396">
        <v>-237589</v>
      </c>
      <c r="V745" s="395">
        <v>6414.81</v>
      </c>
      <c r="W745" s="395">
        <v>3666.62</v>
      </c>
      <c r="X745" s="395">
        <v>77490</v>
      </c>
      <c r="Y745" s="395">
        <v>13520.84</v>
      </c>
      <c r="Z745" s="396">
        <v>2172913</v>
      </c>
      <c r="AA745" s="396">
        <v>145973</v>
      </c>
      <c r="AB745" s="396">
        <v>12669937</v>
      </c>
      <c r="AC745" s="396">
        <v>10207916</v>
      </c>
    </row>
    <row r="746" spans="1:29">
      <c r="A746">
        <v>6234</v>
      </c>
      <c r="B746" s="395" t="s">
        <v>8019</v>
      </c>
      <c r="C746" s="395"/>
      <c r="D746" s="396">
        <v>145959</v>
      </c>
      <c r="E746" s="396">
        <v>181393</v>
      </c>
      <c r="F746" s="395">
        <v>5.12</v>
      </c>
      <c r="G746" s="396">
        <v>-35434</v>
      </c>
      <c r="H746" s="396">
        <v>19677</v>
      </c>
      <c r="I746" s="396">
        <v>1546680</v>
      </c>
      <c r="J746" s="395">
        <v>221</v>
      </c>
      <c r="K746" s="395">
        <v>176</v>
      </c>
      <c r="L746" s="397">
        <v>0.7964</v>
      </c>
      <c r="M746" s="395">
        <v>45</v>
      </c>
      <c r="N746" s="395">
        <v>660</v>
      </c>
      <c r="O746" s="396">
        <v>1031</v>
      </c>
      <c r="P746" s="395">
        <v>1.31</v>
      </c>
      <c r="Q746" s="395">
        <v>-787</v>
      </c>
      <c r="R746" s="396">
        <v>3908</v>
      </c>
      <c r="S746" s="396">
        <v>-4045</v>
      </c>
      <c r="T746" s="396">
        <v>202324</v>
      </c>
      <c r="U746" s="396">
        <v>-108556</v>
      </c>
      <c r="V746" s="395">
        <v>6711.56</v>
      </c>
      <c r="W746" s="395">
        <v>5000.93</v>
      </c>
      <c r="X746" s="395">
        <v>77490</v>
      </c>
      <c r="Y746" s="395">
        <v>13402.04</v>
      </c>
      <c r="Z746" s="396">
        <v>-3043301</v>
      </c>
      <c r="AA746" s="396">
        <v>145959</v>
      </c>
      <c r="AB746" s="396">
        <v>-3118282</v>
      </c>
      <c r="AC746" s="396">
        <v>10207916</v>
      </c>
    </row>
    <row r="747" spans="1:29">
      <c r="A747">
        <v>3285</v>
      </c>
      <c r="B747" s="395" t="s">
        <v>7372</v>
      </c>
      <c r="C747" s="395"/>
      <c r="D747" s="396">
        <v>145923</v>
      </c>
      <c r="E747" s="396">
        <v>163818</v>
      </c>
      <c r="F747" s="395">
        <v>9.15</v>
      </c>
      <c r="G747" s="396">
        <v>-17895</v>
      </c>
      <c r="H747" s="396">
        <v>18762</v>
      </c>
      <c r="I747" s="396">
        <v>550563</v>
      </c>
      <c r="J747" s="395">
        <v>211</v>
      </c>
      <c r="K747" s="395">
        <v>176</v>
      </c>
      <c r="L747" s="397">
        <v>0.83409999999999995</v>
      </c>
      <c r="M747" s="395">
        <v>35</v>
      </c>
      <c r="N747" s="395">
        <v>692</v>
      </c>
      <c r="O747" s="395">
        <v>931</v>
      </c>
      <c r="P747" s="395">
        <v>1.82</v>
      </c>
      <c r="Q747" s="395">
        <v>-511</v>
      </c>
      <c r="R747" s="396">
        <v>2613</v>
      </c>
      <c r="S747" s="396">
        <v>-3196</v>
      </c>
      <c r="T747" s="396">
        <v>162615</v>
      </c>
      <c r="U747" s="396">
        <v>-28395</v>
      </c>
      <c r="V747" s="395">
        <v>2273.5300000000002</v>
      </c>
      <c r="W747" s="395">
        <v>1906.72</v>
      </c>
      <c r="X747" s="395">
        <v>77490</v>
      </c>
      <c r="Y747" s="395">
        <v>4118.03</v>
      </c>
      <c r="Z747" s="396">
        <v>11740417</v>
      </c>
      <c r="AA747" s="396">
        <v>145923</v>
      </c>
      <c r="AB747" s="396">
        <v>-5380261</v>
      </c>
      <c r="AC747" s="396">
        <v>10207916</v>
      </c>
    </row>
    <row r="748" spans="1:29">
      <c r="A748">
        <v>6442</v>
      </c>
      <c r="B748" s="395" t="s">
        <v>8080</v>
      </c>
      <c r="C748" s="395"/>
      <c r="D748" s="396">
        <v>145814</v>
      </c>
      <c r="E748" s="396">
        <v>161780</v>
      </c>
      <c r="F748" s="395">
        <v>10.130000000000001</v>
      </c>
      <c r="G748" s="396">
        <v>-15966</v>
      </c>
      <c r="H748" s="396">
        <v>28390</v>
      </c>
      <c r="I748" s="396">
        <v>609362</v>
      </c>
      <c r="J748" s="395">
        <v>207</v>
      </c>
      <c r="K748" s="395">
        <v>168</v>
      </c>
      <c r="L748" s="397">
        <v>0.81159999999999999</v>
      </c>
      <c r="M748" s="395">
        <v>39</v>
      </c>
      <c r="N748" s="395">
        <v>704</v>
      </c>
      <c r="O748" s="395">
        <v>963</v>
      </c>
      <c r="P748" s="395">
        <v>2.35</v>
      </c>
      <c r="Q748" s="395">
        <v>-409</v>
      </c>
      <c r="R748" s="396">
        <v>2571</v>
      </c>
      <c r="S748" s="396">
        <v>-2539</v>
      </c>
      <c r="T748" s="396">
        <v>148729</v>
      </c>
      <c r="U748" s="396">
        <v>-30175</v>
      </c>
      <c r="V748" s="395">
        <v>2136.9699999999998</v>
      </c>
      <c r="W748" s="395">
        <v>2046.45</v>
      </c>
      <c r="X748" s="395">
        <v>73710</v>
      </c>
      <c r="Y748" s="395">
        <v>2526.9</v>
      </c>
      <c r="Z748" s="396">
        <v>26373516</v>
      </c>
      <c r="AA748" s="396">
        <v>145814</v>
      </c>
      <c r="AB748" s="396">
        <v>10650217</v>
      </c>
      <c r="AC748" s="396">
        <v>10207916</v>
      </c>
    </row>
    <row r="749" spans="1:29">
      <c r="A749">
        <v>1725</v>
      </c>
      <c r="B749" s="395" t="s">
        <v>6862</v>
      </c>
      <c r="C749" s="395"/>
      <c r="D749" s="396">
        <v>145655</v>
      </c>
      <c r="E749" s="396">
        <v>181071</v>
      </c>
      <c r="F749" s="395">
        <v>5.1100000000000003</v>
      </c>
      <c r="G749" s="396">
        <v>-35416</v>
      </c>
      <c r="H749" s="396">
        <v>23106</v>
      </c>
      <c r="I749" s="396">
        <v>318253</v>
      </c>
      <c r="J749" s="395">
        <v>237</v>
      </c>
      <c r="K749" s="395">
        <v>202</v>
      </c>
      <c r="L749" s="397">
        <v>0.85229999999999995</v>
      </c>
      <c r="M749" s="395">
        <v>35</v>
      </c>
      <c r="N749" s="395">
        <v>615</v>
      </c>
      <c r="O749" s="395">
        <v>896</v>
      </c>
      <c r="P749" s="395">
        <v>0.89</v>
      </c>
      <c r="Q749" s="396">
        <v>-1012</v>
      </c>
      <c r="R749" s="396">
        <v>3814</v>
      </c>
      <c r="S749" s="396">
        <v>-3886</v>
      </c>
      <c r="T749" s="396">
        <v>155460</v>
      </c>
      <c r="U749" s="396">
        <v>-26835</v>
      </c>
      <c r="V749" s="395">
        <v>1254.67</v>
      </c>
      <c r="W749" s="395">
        <v>1017.21</v>
      </c>
      <c r="X749" s="395">
        <v>77490</v>
      </c>
      <c r="Y749" s="395">
        <v>2625.17</v>
      </c>
      <c r="Z749" s="396">
        <v>2362286</v>
      </c>
      <c r="AA749" s="396">
        <v>145655</v>
      </c>
      <c r="AB749" s="396">
        <v>32652450</v>
      </c>
      <c r="AC749" s="396">
        <v>10207916</v>
      </c>
    </row>
    <row r="750" spans="1:29">
      <c r="A750">
        <v>4157</v>
      </c>
      <c r="B750" s="395" t="s">
        <v>7583</v>
      </c>
      <c r="C750" s="395"/>
      <c r="D750" s="396">
        <v>145269</v>
      </c>
      <c r="E750" s="396">
        <v>230258</v>
      </c>
      <c r="F750" s="395">
        <v>2.71</v>
      </c>
      <c r="G750" s="396">
        <v>-84989</v>
      </c>
      <c r="H750" s="396">
        <v>18731</v>
      </c>
      <c r="I750" s="396">
        <v>2100186</v>
      </c>
      <c r="J750" s="395">
        <v>250</v>
      </c>
      <c r="K750" s="395">
        <v>177</v>
      </c>
      <c r="L750" s="397">
        <v>0.70799999999999996</v>
      </c>
      <c r="M750" s="395">
        <v>73</v>
      </c>
      <c r="N750" s="395">
        <v>581</v>
      </c>
      <c r="O750" s="396">
        <v>1301</v>
      </c>
      <c r="P750" s="395">
        <v>1.1200000000000001</v>
      </c>
      <c r="Q750" s="396">
        <v>-1164</v>
      </c>
      <c r="R750" s="396">
        <v>3726</v>
      </c>
      <c r="S750" s="396">
        <v>-3625</v>
      </c>
      <c r="T750" s="396">
        <v>474710</v>
      </c>
      <c r="U750" s="396">
        <v>-416697</v>
      </c>
      <c r="V750" s="395">
        <v>11526.81</v>
      </c>
      <c r="W750" s="395">
        <v>6742.35</v>
      </c>
      <c r="X750" s="395">
        <v>77490</v>
      </c>
      <c r="Y750" s="395">
        <v>23127.49</v>
      </c>
      <c r="Z750" s="396">
        <v>-10635951</v>
      </c>
      <c r="AA750" s="396">
        <v>145269</v>
      </c>
      <c r="AB750" s="396">
        <v>-14221239</v>
      </c>
      <c r="AC750" s="396">
        <v>10207916</v>
      </c>
    </row>
    <row r="751" spans="1:29">
      <c r="A751">
        <v>5464</v>
      </c>
      <c r="B751" s="395" t="s">
        <v>7840</v>
      </c>
      <c r="C751" s="395"/>
      <c r="D751" s="396">
        <v>145204</v>
      </c>
      <c r="E751" s="396">
        <v>244477</v>
      </c>
      <c r="F751" s="395">
        <v>2.46</v>
      </c>
      <c r="G751" s="396">
        <v>-99273</v>
      </c>
      <c r="H751" s="396">
        <v>23096</v>
      </c>
      <c r="I751" s="396">
        <v>1585237</v>
      </c>
      <c r="J751" s="395">
        <v>241</v>
      </c>
      <c r="K751" s="395">
        <v>190</v>
      </c>
      <c r="L751" s="397">
        <v>0.78839999999999999</v>
      </c>
      <c r="M751" s="395">
        <v>51</v>
      </c>
      <c r="N751" s="395">
        <v>603</v>
      </c>
      <c r="O751" s="396">
        <v>1287</v>
      </c>
      <c r="P751" s="395">
        <v>0.66</v>
      </c>
      <c r="Q751" s="396">
        <v>-1947</v>
      </c>
      <c r="R751" s="396">
        <v>6906</v>
      </c>
      <c r="S751" s="396">
        <v>-7623</v>
      </c>
      <c r="T751" s="396">
        <v>434049</v>
      </c>
      <c r="U751" s="396">
        <v>-361268</v>
      </c>
      <c r="V751" s="395">
        <v>3170.61</v>
      </c>
      <c r="W751" s="395">
        <v>1562.56</v>
      </c>
      <c r="X751" s="395">
        <v>77490</v>
      </c>
      <c r="Y751" s="395">
        <v>9161.3700000000008</v>
      </c>
      <c r="Z751" s="396">
        <v>37264770</v>
      </c>
      <c r="AA751" s="396">
        <v>145204</v>
      </c>
      <c r="AB751" s="396">
        <v>37416667</v>
      </c>
      <c r="AC751" s="396">
        <v>10207916</v>
      </c>
    </row>
    <row r="752" spans="1:29">
      <c r="A752">
        <v>2901</v>
      </c>
      <c r="B752" s="395" t="s">
        <v>7224</v>
      </c>
      <c r="C752" s="395"/>
      <c r="D752" s="396">
        <v>144991</v>
      </c>
      <c r="E752" s="396">
        <v>203080</v>
      </c>
      <c r="F752" s="395">
        <v>3.5</v>
      </c>
      <c r="G752" s="396">
        <v>-58089</v>
      </c>
      <c r="H752" s="396">
        <v>20564</v>
      </c>
      <c r="I752" s="396">
        <v>2202861</v>
      </c>
      <c r="J752" s="395">
        <v>186</v>
      </c>
      <c r="K752" s="395">
        <v>145</v>
      </c>
      <c r="L752" s="397">
        <v>0.77959999999999996</v>
      </c>
      <c r="M752" s="395">
        <v>37</v>
      </c>
      <c r="N752" s="395">
        <v>780</v>
      </c>
      <c r="O752" s="396">
        <v>1401</v>
      </c>
      <c r="P752" s="395">
        <v>0.89</v>
      </c>
      <c r="Q752" s="396">
        <v>-1570</v>
      </c>
      <c r="R752" s="396">
        <v>5279</v>
      </c>
      <c r="S752" s="396">
        <v>-7308</v>
      </c>
      <c r="T752" s="396">
        <v>204860</v>
      </c>
      <c r="U752" s="396">
        <v>-131710</v>
      </c>
      <c r="V752" s="395">
        <v>10325.36</v>
      </c>
      <c r="W752" s="395">
        <v>8506.8799999999992</v>
      </c>
      <c r="X752" s="395">
        <v>77490</v>
      </c>
      <c r="Y752" s="395">
        <v>18034.11</v>
      </c>
      <c r="Z752" s="396">
        <v>-12095794</v>
      </c>
      <c r="AA752" s="396">
        <v>144991</v>
      </c>
      <c r="AB752" s="396">
        <v>1217814</v>
      </c>
      <c r="AC752" s="396">
        <v>10207916</v>
      </c>
    </row>
    <row r="753" spans="1:29">
      <c r="A753">
        <v>3712</v>
      </c>
      <c r="B753" s="395" t="s">
        <v>7548</v>
      </c>
      <c r="C753" s="395"/>
      <c r="D753" s="396">
        <v>144952</v>
      </c>
      <c r="E753" s="396">
        <v>285905</v>
      </c>
      <c r="F753" s="395">
        <v>2.0299999999999998</v>
      </c>
      <c r="G753" s="396">
        <v>-140953</v>
      </c>
      <c r="H753" s="396">
        <v>34327</v>
      </c>
      <c r="I753" s="396">
        <v>1270346</v>
      </c>
      <c r="J753" s="395">
        <v>268</v>
      </c>
      <c r="K753" s="395">
        <v>184</v>
      </c>
      <c r="L753" s="397">
        <v>0.68659999999999999</v>
      </c>
      <c r="M753" s="395">
        <v>84</v>
      </c>
      <c r="N753" s="395">
        <v>541</v>
      </c>
      <c r="O753" s="396">
        <v>1554</v>
      </c>
      <c r="P753" s="395">
        <v>0.93</v>
      </c>
      <c r="Q753" s="396">
        <v>-1678</v>
      </c>
      <c r="R753" s="396">
        <v>6142</v>
      </c>
      <c r="S753" s="396">
        <v>-4557</v>
      </c>
      <c r="T753" s="396">
        <v>261003</v>
      </c>
      <c r="U753" s="396">
        <v>-116081</v>
      </c>
      <c r="V753" s="395">
        <v>3149.25</v>
      </c>
      <c r="W753" s="395">
        <v>1869.95</v>
      </c>
      <c r="X753" s="395">
        <v>77490</v>
      </c>
      <c r="Y753" s="395">
        <v>5951.52</v>
      </c>
      <c r="Z753" s="396">
        <v>-16818393</v>
      </c>
      <c r="AA753" s="396">
        <v>144952</v>
      </c>
      <c r="AB753" s="396">
        <v>-1892364</v>
      </c>
      <c r="AC753" s="396">
        <v>10207916</v>
      </c>
    </row>
    <row r="754" spans="1:29">
      <c r="A754">
        <v>1514</v>
      </c>
      <c r="B754" s="395" t="s">
        <v>6789</v>
      </c>
      <c r="C754" s="395"/>
      <c r="D754" s="396">
        <v>144516</v>
      </c>
      <c r="E754" s="396">
        <v>163774</v>
      </c>
      <c r="F754" s="395">
        <v>8.5</v>
      </c>
      <c r="G754" s="396">
        <v>-19258</v>
      </c>
      <c r="H754" s="396">
        <v>25834</v>
      </c>
      <c r="I754" s="396">
        <v>789859</v>
      </c>
      <c r="J754" s="395">
        <v>256</v>
      </c>
      <c r="K754" s="395">
        <v>223</v>
      </c>
      <c r="L754" s="397">
        <v>0.87109999999999999</v>
      </c>
      <c r="M754" s="395">
        <v>33</v>
      </c>
      <c r="N754" s="395">
        <v>565</v>
      </c>
      <c r="O754" s="395">
        <v>734</v>
      </c>
      <c r="P754" s="395">
        <v>1.26</v>
      </c>
      <c r="Q754" s="395">
        <v>-584</v>
      </c>
      <c r="R754" s="396">
        <v>2660</v>
      </c>
      <c r="S754" s="396">
        <v>-1955</v>
      </c>
      <c r="T754" s="396">
        <v>166449</v>
      </c>
      <c r="U754" s="396">
        <v>-45844</v>
      </c>
      <c r="V754" s="395">
        <v>2697.46</v>
      </c>
      <c r="W754" s="395">
        <v>2133.9</v>
      </c>
      <c r="X754" s="395">
        <v>77490</v>
      </c>
      <c r="Y754" s="395">
        <v>6505.82</v>
      </c>
      <c r="Z754" s="396">
        <v>8523526</v>
      </c>
      <c r="AA754" s="396">
        <v>144516</v>
      </c>
      <c r="AB754" s="396">
        <v>7085940</v>
      </c>
      <c r="AC754" s="396">
        <v>10207916</v>
      </c>
    </row>
    <row r="755" spans="1:29">
      <c r="A755">
        <v>6126</v>
      </c>
      <c r="B755" s="395" t="s">
        <v>7927</v>
      </c>
      <c r="C755" s="395"/>
      <c r="D755" s="396">
        <v>144095</v>
      </c>
      <c r="E755" s="396">
        <v>275640</v>
      </c>
      <c r="F755" s="395">
        <v>2.1</v>
      </c>
      <c r="G755" s="396">
        <v>-131545</v>
      </c>
      <c r="H755" s="396">
        <v>26929</v>
      </c>
      <c r="I755" s="396">
        <v>1899930</v>
      </c>
      <c r="J755" s="395">
        <v>248</v>
      </c>
      <c r="K755" s="395">
        <v>190</v>
      </c>
      <c r="L755" s="397">
        <v>0.7661</v>
      </c>
      <c r="M755" s="395">
        <v>58</v>
      </c>
      <c r="N755" s="395">
        <v>581</v>
      </c>
      <c r="O755" s="396">
        <v>1451</v>
      </c>
      <c r="P755" s="395">
        <v>0.64</v>
      </c>
      <c r="Q755" s="396">
        <v>-2268</v>
      </c>
      <c r="R755" s="396">
        <v>5502</v>
      </c>
      <c r="S755" s="396">
        <v>-6914</v>
      </c>
      <c r="T755" s="396">
        <v>326932</v>
      </c>
      <c r="U755" s="396">
        <v>-139746</v>
      </c>
      <c r="V755" s="395">
        <v>5524.18</v>
      </c>
      <c r="W755" s="395">
        <v>4379.92</v>
      </c>
      <c r="X755" s="395">
        <v>77490</v>
      </c>
      <c r="Y755" s="395">
        <v>9272.6200000000008</v>
      </c>
      <c r="Z755" s="396">
        <v>-7328030</v>
      </c>
      <c r="AA755" s="396">
        <v>144095</v>
      </c>
      <c r="AB755" s="396">
        <v>5112651</v>
      </c>
      <c r="AC755" s="396">
        <v>10207916</v>
      </c>
    </row>
    <row r="756" spans="1:29">
      <c r="A756">
        <v>3498</v>
      </c>
      <c r="B756" s="395" t="s">
        <v>7442</v>
      </c>
      <c r="C756" s="395"/>
      <c r="D756" s="396">
        <v>144091</v>
      </c>
      <c r="E756" s="396">
        <v>282757</v>
      </c>
      <c r="F756" s="395">
        <v>2.04</v>
      </c>
      <c r="G756" s="396">
        <v>-138666</v>
      </c>
      <c r="H756" s="396">
        <v>33109</v>
      </c>
      <c r="I756" s="396">
        <v>1873431</v>
      </c>
      <c r="J756" s="395">
        <v>221</v>
      </c>
      <c r="K756" s="395">
        <v>152</v>
      </c>
      <c r="L756" s="397">
        <v>0.68779999999999997</v>
      </c>
      <c r="M756" s="395">
        <v>69</v>
      </c>
      <c r="N756" s="395">
        <v>652</v>
      </c>
      <c r="O756" s="396">
        <v>1860</v>
      </c>
      <c r="P756" s="395">
        <v>0.93</v>
      </c>
      <c r="Q756" s="396">
        <v>-2010</v>
      </c>
      <c r="R756" s="396">
        <v>8759</v>
      </c>
      <c r="S756" s="396">
        <v>-8275</v>
      </c>
      <c r="T756" s="396">
        <v>358322</v>
      </c>
      <c r="U756" s="396">
        <v>-228127</v>
      </c>
      <c r="V756" s="395">
        <v>5223.58</v>
      </c>
      <c r="W756" s="395">
        <v>3743.79</v>
      </c>
      <c r="X756" s="395">
        <v>77490</v>
      </c>
      <c r="Y756" s="395">
        <v>8483.42</v>
      </c>
      <c r="Z756" s="396">
        <v>-14480774</v>
      </c>
      <c r="AA756" s="396">
        <v>144091</v>
      </c>
      <c r="AB756" s="396">
        <v>-15951613</v>
      </c>
      <c r="AC756" s="396">
        <v>10207916</v>
      </c>
    </row>
    <row r="757" spans="1:29">
      <c r="A757">
        <v>3236</v>
      </c>
      <c r="B757" s="395" t="s">
        <v>7360</v>
      </c>
      <c r="C757" s="395"/>
      <c r="D757" s="396">
        <v>143585</v>
      </c>
      <c r="E757" s="396">
        <v>250593</v>
      </c>
      <c r="F757" s="395">
        <v>2.34</v>
      </c>
      <c r="G757" s="396">
        <v>-107008</v>
      </c>
      <c r="H757" s="396">
        <v>27476</v>
      </c>
      <c r="I757" s="396">
        <v>1267153</v>
      </c>
      <c r="J757" s="395">
        <v>259</v>
      </c>
      <c r="K757" s="395">
        <v>192</v>
      </c>
      <c r="L757" s="397">
        <v>0.74129999999999996</v>
      </c>
      <c r="M757" s="395">
        <v>63</v>
      </c>
      <c r="N757" s="395">
        <v>554</v>
      </c>
      <c r="O757" s="396">
        <v>1305</v>
      </c>
      <c r="P757" s="395">
        <v>0.77</v>
      </c>
      <c r="Q757" s="396">
        <v>-1699</v>
      </c>
      <c r="R757" s="396">
        <v>5300</v>
      </c>
      <c r="S757" s="396">
        <v>-8627</v>
      </c>
      <c r="T757" s="396">
        <v>255515</v>
      </c>
      <c r="U757" s="396">
        <v>-180910</v>
      </c>
      <c r="V757" s="395">
        <v>4007.32</v>
      </c>
      <c r="W757" s="395">
        <v>3140.34</v>
      </c>
      <c r="X757" s="395">
        <v>77490</v>
      </c>
      <c r="Y757" s="395">
        <v>6651.48</v>
      </c>
      <c r="Z757" s="396">
        <v>-26314824</v>
      </c>
      <c r="AA757" s="396">
        <v>143585</v>
      </c>
      <c r="AB757" s="396">
        <v>-8428907</v>
      </c>
      <c r="AC757" s="396">
        <v>10207916</v>
      </c>
    </row>
    <row r="758" spans="1:29">
      <c r="A758">
        <v>2534</v>
      </c>
      <c r="B758" s="395" t="s">
        <v>7123</v>
      </c>
      <c r="C758" s="395"/>
      <c r="D758" s="396">
        <v>142174</v>
      </c>
      <c r="E758" s="396">
        <v>160711</v>
      </c>
      <c r="F758" s="395">
        <v>8.67</v>
      </c>
      <c r="G758" s="396">
        <v>-18537</v>
      </c>
      <c r="H758" s="396">
        <v>22762</v>
      </c>
      <c r="I758" s="396">
        <v>907512</v>
      </c>
      <c r="J758" s="395">
        <v>261</v>
      </c>
      <c r="K758" s="395">
        <v>231</v>
      </c>
      <c r="L758" s="397">
        <v>0.8851</v>
      </c>
      <c r="M758" s="395">
        <v>30</v>
      </c>
      <c r="N758" s="395">
        <v>545</v>
      </c>
      <c r="O758" s="395">
        <v>696</v>
      </c>
      <c r="P758" s="395">
        <v>1.1299999999999999</v>
      </c>
      <c r="Q758" s="395">
        <v>-618</v>
      </c>
      <c r="R758" s="396">
        <v>1972</v>
      </c>
      <c r="S758" s="396">
        <v>-2487</v>
      </c>
      <c r="T758" s="396">
        <v>163400</v>
      </c>
      <c r="U758" s="396">
        <v>-44840</v>
      </c>
      <c r="V758" s="395">
        <v>4323.05</v>
      </c>
      <c r="W758" s="395">
        <v>3883.76</v>
      </c>
      <c r="X758" s="395">
        <v>77490</v>
      </c>
      <c r="Y758" s="395">
        <v>7705.6</v>
      </c>
      <c r="Z758" s="396">
        <v>12057089</v>
      </c>
      <c r="AA758" s="396">
        <v>142174</v>
      </c>
      <c r="AB758" s="396">
        <v>14898928</v>
      </c>
      <c r="AC758" s="396">
        <v>10207916</v>
      </c>
    </row>
    <row r="759" spans="1:29">
      <c r="A759">
        <v>3438</v>
      </c>
      <c r="B759" s="395" t="s">
        <v>7424</v>
      </c>
      <c r="C759" s="395"/>
      <c r="D759" s="396">
        <v>141584</v>
      </c>
      <c r="E759" s="396">
        <v>561780</v>
      </c>
      <c r="F759" s="395">
        <v>1.34</v>
      </c>
      <c r="G759" s="396">
        <v>-420196</v>
      </c>
      <c r="H759" s="396">
        <v>79800</v>
      </c>
      <c r="I759" s="396">
        <v>2245291</v>
      </c>
      <c r="J759" s="395">
        <v>251</v>
      </c>
      <c r="K759" s="395">
        <v>177</v>
      </c>
      <c r="L759" s="397">
        <v>0.70520000000000005</v>
      </c>
      <c r="M759" s="395">
        <v>74</v>
      </c>
      <c r="N759" s="395">
        <v>564</v>
      </c>
      <c r="O759" s="396">
        <v>3174</v>
      </c>
      <c r="P759" s="395">
        <v>0.56000000000000005</v>
      </c>
      <c r="Q759" s="396">
        <v>-5678</v>
      </c>
      <c r="R759" s="396">
        <v>12598</v>
      </c>
      <c r="S759" s="396">
        <v>-24230</v>
      </c>
      <c r="T759" s="396">
        <v>492017</v>
      </c>
      <c r="U759" s="396">
        <v>-284044</v>
      </c>
      <c r="V759" s="395">
        <v>2185.4899999999998</v>
      </c>
      <c r="W759" s="395">
        <v>984.29</v>
      </c>
      <c r="X759" s="395">
        <v>77490</v>
      </c>
      <c r="Y759" s="395">
        <v>5058.6400000000003</v>
      </c>
      <c r="Z759" s="396">
        <v>-16170998</v>
      </c>
      <c r="AA759" s="396">
        <v>141584</v>
      </c>
      <c r="AB759" s="396">
        <v>18346184</v>
      </c>
      <c r="AC759" s="396">
        <v>10207916</v>
      </c>
    </row>
    <row r="760" spans="1:29">
      <c r="A760">
        <v>2704</v>
      </c>
      <c r="B760" s="395" t="s">
        <v>7165</v>
      </c>
      <c r="C760" s="395"/>
      <c r="D760" s="396">
        <v>141457</v>
      </c>
      <c r="E760" s="396">
        <v>155113</v>
      </c>
      <c r="F760" s="395">
        <v>11.36</v>
      </c>
      <c r="G760" s="396">
        <v>-13656</v>
      </c>
      <c r="H760" s="396">
        <v>28643</v>
      </c>
      <c r="I760" s="396">
        <v>1187682</v>
      </c>
      <c r="J760" s="395">
        <v>237</v>
      </c>
      <c r="K760" s="395">
        <v>206</v>
      </c>
      <c r="L760" s="397">
        <v>0.86919999999999997</v>
      </c>
      <c r="M760" s="395">
        <v>31</v>
      </c>
      <c r="N760" s="395">
        <v>597</v>
      </c>
      <c r="O760" s="395">
        <v>753</v>
      </c>
      <c r="P760" s="395">
        <v>1.71</v>
      </c>
      <c r="Q760" s="395">
        <v>-441</v>
      </c>
      <c r="R760" s="396">
        <v>3341</v>
      </c>
      <c r="S760" s="396">
        <v>-1621</v>
      </c>
      <c r="T760" s="396">
        <v>205688</v>
      </c>
      <c r="U760" s="396">
        <v>-89385</v>
      </c>
      <c r="V760" s="395">
        <v>3035</v>
      </c>
      <c r="W760" s="395">
        <v>2340.37</v>
      </c>
      <c r="X760" s="395">
        <v>77490</v>
      </c>
      <c r="Y760" s="395">
        <v>7650.97</v>
      </c>
      <c r="Z760" s="396">
        <v>17574003</v>
      </c>
      <c r="AA760" s="396">
        <v>141457</v>
      </c>
      <c r="AB760" s="396">
        <v>7000000</v>
      </c>
      <c r="AC760" s="396">
        <v>10207916</v>
      </c>
    </row>
    <row r="761" spans="1:29">
      <c r="A761">
        <v>8450</v>
      </c>
      <c r="B761" s="395" t="s">
        <v>8348</v>
      </c>
      <c r="C761" s="395"/>
      <c r="D761" s="396">
        <v>141016</v>
      </c>
      <c r="E761" s="396">
        <v>198353</v>
      </c>
      <c r="F761" s="395">
        <v>3.46</v>
      </c>
      <c r="G761" s="396">
        <v>-57337</v>
      </c>
      <c r="H761" s="396">
        <v>25334</v>
      </c>
      <c r="I761" s="396">
        <v>775400</v>
      </c>
      <c r="J761" s="395">
        <v>211</v>
      </c>
      <c r="K761" s="395">
        <v>184</v>
      </c>
      <c r="L761" s="397">
        <v>0.872</v>
      </c>
      <c r="M761" s="395">
        <v>27</v>
      </c>
      <c r="N761" s="395">
        <v>668</v>
      </c>
      <c r="O761" s="396">
        <v>1078</v>
      </c>
      <c r="P761" s="395">
        <v>0.51</v>
      </c>
      <c r="Q761" s="396">
        <v>-2124</v>
      </c>
      <c r="R761" s="396">
        <v>8730</v>
      </c>
      <c r="S761" s="396">
        <v>-16921</v>
      </c>
      <c r="T761" s="396">
        <v>160058</v>
      </c>
      <c r="U761" s="396">
        <v>-107756</v>
      </c>
      <c r="V761" s="395">
        <v>3470.58</v>
      </c>
      <c r="W761" s="395">
        <v>3204.32</v>
      </c>
      <c r="X761" s="395">
        <v>77490</v>
      </c>
      <c r="Y761" s="395">
        <v>5285.15</v>
      </c>
      <c r="Z761" s="396">
        <v>-3968907</v>
      </c>
      <c r="AA761" s="396">
        <v>141016</v>
      </c>
      <c r="AB761" s="396">
        <v>29677755</v>
      </c>
      <c r="AC761" s="396">
        <v>10207916</v>
      </c>
    </row>
    <row r="762" spans="1:29">
      <c r="A762">
        <v>3114</v>
      </c>
      <c r="B762" s="395" t="s">
        <v>7317</v>
      </c>
      <c r="C762" s="395"/>
      <c r="D762" s="396">
        <v>140438</v>
      </c>
      <c r="E762" s="396">
        <v>280964</v>
      </c>
      <c r="F762" s="395">
        <v>2</v>
      </c>
      <c r="G762" s="396">
        <v>-140526</v>
      </c>
      <c r="H762" s="396">
        <v>26693</v>
      </c>
      <c r="I762" s="396">
        <v>2117573</v>
      </c>
      <c r="J762" s="395">
        <v>250</v>
      </c>
      <c r="K762" s="395">
        <v>184</v>
      </c>
      <c r="L762" s="397">
        <v>0.73599999999999999</v>
      </c>
      <c r="M762" s="395">
        <v>66</v>
      </c>
      <c r="N762" s="395">
        <v>562</v>
      </c>
      <c r="O762" s="396">
        <v>1527</v>
      </c>
      <c r="P762" s="395">
        <v>0.72</v>
      </c>
      <c r="Q762" s="396">
        <v>-2129</v>
      </c>
      <c r="R762" s="396">
        <v>5644</v>
      </c>
      <c r="S762" s="396">
        <v>-11773</v>
      </c>
      <c r="T762" s="396">
        <v>347732</v>
      </c>
      <c r="U762" s="396">
        <v>-232902</v>
      </c>
      <c r="V762" s="395">
        <v>5470.44</v>
      </c>
      <c r="W762" s="395">
        <v>3983.73</v>
      </c>
      <c r="X762" s="395">
        <v>77490</v>
      </c>
      <c r="Y762" s="395">
        <v>9615.2099999999991</v>
      </c>
      <c r="Z762" s="396">
        <v>-7064299</v>
      </c>
      <c r="AA762" s="396">
        <v>140438</v>
      </c>
      <c r="AB762" s="396">
        <v>9582571</v>
      </c>
      <c r="AC762" s="396">
        <v>10207916</v>
      </c>
    </row>
    <row r="763" spans="1:29">
      <c r="A763">
        <v>1312</v>
      </c>
      <c r="B763" s="395" t="s">
        <v>6716</v>
      </c>
      <c r="C763" s="395"/>
      <c r="D763" s="396">
        <v>139652</v>
      </c>
      <c r="E763" s="396">
        <v>206676</v>
      </c>
      <c r="F763" s="395">
        <v>3.08</v>
      </c>
      <c r="G763" s="396">
        <v>-67024</v>
      </c>
      <c r="H763" s="396">
        <v>30656</v>
      </c>
      <c r="I763" s="396">
        <v>1110660</v>
      </c>
      <c r="J763" s="395">
        <v>272</v>
      </c>
      <c r="K763" s="395">
        <v>215</v>
      </c>
      <c r="L763" s="397">
        <v>0.79039999999999999</v>
      </c>
      <c r="M763" s="395">
        <v>57</v>
      </c>
      <c r="N763" s="395">
        <v>513</v>
      </c>
      <c r="O763" s="395">
        <v>961</v>
      </c>
      <c r="P763" s="395">
        <v>0.82</v>
      </c>
      <c r="Q763" s="396">
        <v>-1176</v>
      </c>
      <c r="R763" s="396">
        <v>3896</v>
      </c>
      <c r="S763" s="396">
        <v>-5373</v>
      </c>
      <c r="T763" s="396">
        <v>200561</v>
      </c>
      <c r="U763" s="396">
        <v>-81744</v>
      </c>
      <c r="V763" s="395">
        <v>2934.06</v>
      </c>
      <c r="W763" s="395">
        <v>2457.9499999999998</v>
      </c>
      <c r="X763" s="395">
        <v>77490</v>
      </c>
      <c r="Y763" s="395">
        <v>4729.93</v>
      </c>
      <c r="Z763" s="396">
        <v>-13550914</v>
      </c>
      <c r="AA763" s="396">
        <v>139652</v>
      </c>
      <c r="AB763" s="396">
        <v>5581112</v>
      </c>
      <c r="AC763" s="396">
        <v>10207916</v>
      </c>
    </row>
    <row r="764" spans="1:29">
      <c r="A764">
        <v>1452</v>
      </c>
      <c r="B764" s="395" t="s">
        <v>6761</v>
      </c>
      <c r="C764" s="395"/>
      <c r="D764" s="396">
        <v>139564</v>
      </c>
      <c r="E764" s="396">
        <v>165369</v>
      </c>
      <c r="F764" s="395">
        <v>6.41</v>
      </c>
      <c r="G764" s="396">
        <v>-25805</v>
      </c>
      <c r="H764" s="396">
        <v>23140</v>
      </c>
      <c r="I764" s="396">
        <v>1117428</v>
      </c>
      <c r="J764" s="395">
        <v>250</v>
      </c>
      <c r="K764" s="395">
        <v>214</v>
      </c>
      <c r="L764" s="397">
        <v>0.85599999999999998</v>
      </c>
      <c r="M764" s="395">
        <v>36</v>
      </c>
      <c r="N764" s="395">
        <v>558</v>
      </c>
      <c r="O764" s="395">
        <v>773</v>
      </c>
      <c r="P764" s="395">
        <v>1.08</v>
      </c>
      <c r="Q764" s="395">
        <v>-717</v>
      </c>
      <c r="R764" s="396">
        <v>3566</v>
      </c>
      <c r="S764" s="396">
        <v>-5653</v>
      </c>
      <c r="T764" s="396">
        <v>148118</v>
      </c>
      <c r="U764" s="396">
        <v>-30382</v>
      </c>
      <c r="V764" s="395">
        <v>3651.19</v>
      </c>
      <c r="W764" s="395">
        <v>3311.63</v>
      </c>
      <c r="X764" s="395">
        <v>77490</v>
      </c>
      <c r="Y764" s="395">
        <v>5669.72</v>
      </c>
      <c r="Z764" s="396">
        <v>-11424098</v>
      </c>
      <c r="AA764" s="396">
        <v>139564</v>
      </c>
      <c r="AB764" s="396">
        <v>22729068</v>
      </c>
      <c r="AC764" s="396">
        <v>10207916</v>
      </c>
    </row>
    <row r="765" spans="1:29">
      <c r="A765">
        <v>5511</v>
      </c>
      <c r="B765" s="395" t="s">
        <v>7858</v>
      </c>
      <c r="C765" s="395"/>
      <c r="D765" s="396">
        <v>139563</v>
      </c>
      <c r="E765" s="396">
        <v>141749</v>
      </c>
      <c r="F765" s="395">
        <v>64.84</v>
      </c>
      <c r="G765" s="396">
        <v>-2186</v>
      </c>
      <c r="H765" s="396">
        <v>14266</v>
      </c>
      <c r="I765" s="396">
        <v>2510415</v>
      </c>
      <c r="J765" s="395">
        <v>115</v>
      </c>
      <c r="K765" s="395">
        <v>109</v>
      </c>
      <c r="L765" s="397">
        <v>0.94779999999999998</v>
      </c>
      <c r="M765" s="395">
        <v>6</v>
      </c>
      <c r="N765" s="396">
        <v>1214</v>
      </c>
      <c r="O765" s="396">
        <v>1300</v>
      </c>
      <c r="P765" s="395">
        <v>3.57</v>
      </c>
      <c r="Q765" s="395">
        <v>-364</v>
      </c>
      <c r="R765" s="396">
        <v>3695</v>
      </c>
      <c r="S765" s="395">
        <v>-523</v>
      </c>
      <c r="T765" s="396">
        <v>172281</v>
      </c>
      <c r="U765" s="396">
        <v>-79288</v>
      </c>
      <c r="V765" s="395">
        <v>26601.23</v>
      </c>
      <c r="W765" s="395">
        <v>27880.54</v>
      </c>
      <c r="X765" s="395">
        <v>77220</v>
      </c>
      <c r="Y765" s="395">
        <v>3360.33</v>
      </c>
      <c r="Z765" s="396">
        <v>1710369</v>
      </c>
      <c r="AA765" s="396">
        <v>139563</v>
      </c>
      <c r="AB765" s="396">
        <v>2529024</v>
      </c>
      <c r="AC765" s="396">
        <v>10207916</v>
      </c>
    </row>
    <row r="766" spans="1:29">
      <c r="A766">
        <v>8068</v>
      </c>
      <c r="B766" s="395" t="s">
        <v>8250</v>
      </c>
      <c r="C766" s="395"/>
      <c r="D766" s="396">
        <v>139452</v>
      </c>
      <c r="E766" s="396">
        <v>174858</v>
      </c>
      <c r="F766" s="395">
        <v>4.9400000000000004</v>
      </c>
      <c r="G766" s="396">
        <v>-35406</v>
      </c>
      <c r="H766" s="396">
        <v>10348</v>
      </c>
      <c r="I766" s="396">
        <v>745733</v>
      </c>
      <c r="J766" s="395">
        <v>82</v>
      </c>
      <c r="K766" s="395">
        <v>65</v>
      </c>
      <c r="L766" s="397">
        <v>0.79269999999999996</v>
      </c>
      <c r="M766" s="395">
        <v>17</v>
      </c>
      <c r="N766" s="396">
        <v>1701</v>
      </c>
      <c r="O766" s="396">
        <v>2690</v>
      </c>
      <c r="P766" s="395">
        <v>1.29</v>
      </c>
      <c r="Q766" s="396">
        <v>-2083</v>
      </c>
      <c r="R766" s="396">
        <v>13267</v>
      </c>
      <c r="S766" s="396">
        <v>-7174</v>
      </c>
      <c r="T766" s="396">
        <v>267446</v>
      </c>
      <c r="U766" s="396">
        <v>-166687</v>
      </c>
      <c r="V766" s="395">
        <v>2433.38</v>
      </c>
      <c r="W766" s="395">
        <v>1523.86</v>
      </c>
      <c r="X766" s="395">
        <v>77220</v>
      </c>
      <c r="Y766" s="395">
        <v>5910.94</v>
      </c>
      <c r="Z766" s="396">
        <v>6588929</v>
      </c>
      <c r="AA766" s="396">
        <v>139452</v>
      </c>
      <c r="AB766" s="396">
        <v>7094474</v>
      </c>
      <c r="AC766" s="396">
        <v>10207916</v>
      </c>
    </row>
    <row r="767" spans="1:29">
      <c r="A767">
        <v>4545</v>
      </c>
      <c r="B767" s="395" t="s">
        <v>7644</v>
      </c>
      <c r="C767" s="395"/>
      <c r="D767" s="396">
        <v>139358</v>
      </c>
      <c r="E767" s="396">
        <v>175362</v>
      </c>
      <c r="F767" s="395">
        <v>4.87</v>
      </c>
      <c r="G767" s="396">
        <v>-36004</v>
      </c>
      <c r="H767" s="396">
        <v>24146</v>
      </c>
      <c r="I767" s="396">
        <v>1286158</v>
      </c>
      <c r="J767" s="395">
        <v>210</v>
      </c>
      <c r="K767" s="395">
        <v>179</v>
      </c>
      <c r="L767" s="397">
        <v>0.85240000000000005</v>
      </c>
      <c r="M767" s="395">
        <v>31</v>
      </c>
      <c r="N767" s="395">
        <v>664</v>
      </c>
      <c r="O767" s="395">
        <v>980</v>
      </c>
      <c r="P767" s="395">
        <v>0.84</v>
      </c>
      <c r="Q767" s="396">
        <v>-1161</v>
      </c>
      <c r="R767" s="396">
        <v>5246</v>
      </c>
      <c r="S767" s="396">
        <v>-8181</v>
      </c>
      <c r="T767" s="396">
        <v>160764</v>
      </c>
      <c r="U767" s="396">
        <v>-70889</v>
      </c>
      <c r="V767" s="395">
        <v>4191.5600000000004</v>
      </c>
      <c r="W767" s="395">
        <v>3221.03</v>
      </c>
      <c r="X767" s="395">
        <v>77490</v>
      </c>
      <c r="Y767" s="395">
        <v>9795.58</v>
      </c>
      <c r="Z767" s="396">
        <v>-6391191</v>
      </c>
      <c r="AA767" s="396">
        <v>139358</v>
      </c>
      <c r="AB767" s="396">
        <v>6772283</v>
      </c>
      <c r="AC767" s="396">
        <v>10207916</v>
      </c>
    </row>
    <row r="768" spans="1:29">
      <c r="A768">
        <v>6220</v>
      </c>
      <c r="B768" s="395" t="s">
        <v>8006</v>
      </c>
      <c r="C768" s="395"/>
      <c r="D768" s="396">
        <v>138936</v>
      </c>
      <c r="E768" s="396">
        <v>194098</v>
      </c>
      <c r="F768" s="395">
        <v>3.52</v>
      </c>
      <c r="G768" s="396">
        <v>-55162</v>
      </c>
      <c r="H768" s="396">
        <v>25147</v>
      </c>
      <c r="I768" s="396">
        <v>1191378</v>
      </c>
      <c r="J768" s="395">
        <v>250</v>
      </c>
      <c r="K768" s="395">
        <v>192</v>
      </c>
      <c r="L768" s="397">
        <v>0.76800000000000002</v>
      </c>
      <c r="M768" s="395">
        <v>58</v>
      </c>
      <c r="N768" s="395">
        <v>556</v>
      </c>
      <c r="O768" s="396">
        <v>1011</v>
      </c>
      <c r="P768" s="395">
        <v>1.06</v>
      </c>
      <c r="Q768" s="395">
        <v>-951</v>
      </c>
      <c r="R768" s="396">
        <v>4009</v>
      </c>
      <c r="S768" s="396">
        <v>-5911</v>
      </c>
      <c r="T768" s="396">
        <v>185027</v>
      </c>
      <c r="U768" s="396">
        <v>-78843</v>
      </c>
      <c r="V768" s="395">
        <v>4829.71</v>
      </c>
      <c r="W768" s="395">
        <v>3581.87</v>
      </c>
      <c r="X768" s="395">
        <v>77490</v>
      </c>
      <c r="Y768" s="395">
        <v>8960.5</v>
      </c>
      <c r="Z768" s="396">
        <v>-19202185</v>
      </c>
      <c r="AA768" s="396">
        <v>138936</v>
      </c>
      <c r="AB768" s="396">
        <v>-6011504</v>
      </c>
      <c r="AC768" s="396">
        <v>10207916</v>
      </c>
    </row>
    <row r="769" spans="1:29">
      <c r="A769">
        <v>3027</v>
      </c>
      <c r="B769" s="395" t="s">
        <v>7266</v>
      </c>
      <c r="C769" s="395"/>
      <c r="D769" s="396">
        <v>138391</v>
      </c>
      <c r="E769" s="396">
        <v>223947</v>
      </c>
      <c r="F769" s="395">
        <v>2.62</v>
      </c>
      <c r="G769" s="396">
        <v>-85556</v>
      </c>
      <c r="H769" s="396">
        <v>25109</v>
      </c>
      <c r="I769" s="396">
        <v>1075926</v>
      </c>
      <c r="J769" s="395">
        <v>268</v>
      </c>
      <c r="K769" s="395">
        <v>215</v>
      </c>
      <c r="L769" s="397">
        <v>0.80220000000000002</v>
      </c>
      <c r="M769" s="395">
        <v>53</v>
      </c>
      <c r="N769" s="395">
        <v>516</v>
      </c>
      <c r="O769" s="396">
        <v>1042</v>
      </c>
      <c r="P769" s="395">
        <v>0.65</v>
      </c>
      <c r="Q769" s="396">
        <v>-1614</v>
      </c>
      <c r="R769" s="396">
        <v>6113</v>
      </c>
      <c r="S769" s="396">
        <v>-9619</v>
      </c>
      <c r="T769" s="396">
        <v>235200</v>
      </c>
      <c r="U769" s="396">
        <v>-129862</v>
      </c>
      <c r="V769" s="395">
        <v>3259.47</v>
      </c>
      <c r="W769" s="395">
        <v>2403.2399999999998</v>
      </c>
      <c r="X769" s="395">
        <v>77490</v>
      </c>
      <c r="Y769" s="395">
        <v>6732.89</v>
      </c>
      <c r="Z769" s="396">
        <v>-9754297</v>
      </c>
      <c r="AA769" s="396">
        <v>138391</v>
      </c>
      <c r="AB769" s="396">
        <v>750000</v>
      </c>
      <c r="AC769" s="396">
        <v>10207916</v>
      </c>
    </row>
    <row r="770" spans="1:29">
      <c r="A770">
        <v>6216</v>
      </c>
      <c r="B770" s="395" t="s">
        <v>8002</v>
      </c>
      <c r="C770" s="395"/>
      <c r="D770" s="396">
        <v>138347</v>
      </c>
      <c r="E770" s="396">
        <v>160482</v>
      </c>
      <c r="F770" s="395">
        <v>7.25</v>
      </c>
      <c r="G770" s="396">
        <v>-22135</v>
      </c>
      <c r="H770" s="396">
        <v>22790</v>
      </c>
      <c r="I770" s="396">
        <v>1563940</v>
      </c>
      <c r="J770" s="395">
        <v>215</v>
      </c>
      <c r="K770" s="395">
        <v>159</v>
      </c>
      <c r="L770" s="397">
        <v>0.73950000000000005</v>
      </c>
      <c r="M770" s="395">
        <v>56</v>
      </c>
      <c r="N770" s="395">
        <v>643</v>
      </c>
      <c r="O770" s="396">
        <v>1009</v>
      </c>
      <c r="P770" s="395">
        <v>2.5499999999999998</v>
      </c>
      <c r="Q770" s="395">
        <v>-395</v>
      </c>
      <c r="R770" s="396">
        <v>2922</v>
      </c>
      <c r="S770" s="396">
        <v>-1314</v>
      </c>
      <c r="T770" s="396">
        <v>208704</v>
      </c>
      <c r="U770" s="396">
        <v>-83466</v>
      </c>
      <c r="V770" s="395">
        <v>8682.27</v>
      </c>
      <c r="W770" s="395">
        <v>8074.49</v>
      </c>
      <c r="X770" s="395">
        <v>77490</v>
      </c>
      <c r="Y770" s="395">
        <v>10407.950000000001</v>
      </c>
      <c r="Z770" s="396">
        <v>-4281941</v>
      </c>
      <c r="AA770" s="396">
        <v>138347</v>
      </c>
      <c r="AB770" s="396">
        <v>4777486</v>
      </c>
      <c r="AC770" s="396">
        <v>10207916</v>
      </c>
    </row>
    <row r="771" spans="1:29">
      <c r="A771">
        <v>5014</v>
      </c>
      <c r="B771" s="395" t="s">
        <v>7755</v>
      </c>
      <c r="C771" s="395"/>
      <c r="D771" s="396">
        <v>138292</v>
      </c>
      <c r="E771" s="396">
        <v>181128</v>
      </c>
      <c r="F771" s="395">
        <v>4.2300000000000004</v>
      </c>
      <c r="G771" s="396">
        <v>-42836</v>
      </c>
      <c r="H771" s="396">
        <v>22108</v>
      </c>
      <c r="I771" s="396">
        <v>810731</v>
      </c>
      <c r="J771" s="395">
        <v>263</v>
      </c>
      <c r="K771" s="395">
        <v>214</v>
      </c>
      <c r="L771" s="397">
        <v>0.81369999999999998</v>
      </c>
      <c r="M771" s="395">
        <v>49</v>
      </c>
      <c r="N771" s="395">
        <v>526</v>
      </c>
      <c r="O771" s="395">
        <v>846</v>
      </c>
      <c r="P771" s="395">
        <v>0.97</v>
      </c>
      <c r="Q771" s="395">
        <v>-874</v>
      </c>
      <c r="R771" s="396">
        <v>3559</v>
      </c>
      <c r="S771" s="396">
        <v>-3575</v>
      </c>
      <c r="T771" s="396">
        <v>148377</v>
      </c>
      <c r="U771" s="396">
        <v>-75188</v>
      </c>
      <c r="V771" s="395">
        <v>2112.0500000000002</v>
      </c>
      <c r="W771" s="395">
        <v>1405.48</v>
      </c>
      <c r="X771" s="395">
        <v>77490</v>
      </c>
      <c r="Y771" s="395">
        <v>5197.8999999999996</v>
      </c>
      <c r="Z771" s="396">
        <v>-4584258</v>
      </c>
      <c r="AA771" s="396">
        <v>138292</v>
      </c>
      <c r="AB771" s="396">
        <v>19855305</v>
      </c>
      <c r="AC771" s="396">
        <v>10207916</v>
      </c>
    </row>
    <row r="772" spans="1:29">
      <c r="A772">
        <v>1529</v>
      </c>
      <c r="B772" s="395" t="s">
        <v>6801</v>
      </c>
      <c r="C772" s="395"/>
      <c r="D772" s="396">
        <v>138213</v>
      </c>
      <c r="E772" s="396">
        <v>162329</v>
      </c>
      <c r="F772" s="395">
        <v>6.73</v>
      </c>
      <c r="G772" s="396">
        <v>-24116</v>
      </c>
      <c r="H772" s="396">
        <v>18834</v>
      </c>
      <c r="I772" s="396">
        <v>709259</v>
      </c>
      <c r="J772" s="395">
        <v>250</v>
      </c>
      <c r="K772" s="395">
        <v>210</v>
      </c>
      <c r="L772" s="397">
        <v>0.84</v>
      </c>
      <c r="M772" s="395">
        <v>40</v>
      </c>
      <c r="N772" s="395">
        <v>553</v>
      </c>
      <c r="O772" s="395">
        <v>773</v>
      </c>
      <c r="P772" s="395">
        <v>1.28</v>
      </c>
      <c r="Q772" s="395">
        <v>-603</v>
      </c>
      <c r="R772" s="396">
        <v>2583</v>
      </c>
      <c r="S772" s="396">
        <v>-2186</v>
      </c>
      <c r="T772" s="396">
        <v>157726</v>
      </c>
      <c r="U772" s="396">
        <v>-46014</v>
      </c>
      <c r="V772" s="395">
        <v>2619.41</v>
      </c>
      <c r="W772" s="395">
        <v>1989.37</v>
      </c>
      <c r="X772" s="395">
        <v>77490</v>
      </c>
      <c r="Y772" s="395">
        <v>5927.1</v>
      </c>
      <c r="Z772" s="396">
        <v>33743748</v>
      </c>
      <c r="AA772" s="396">
        <v>138213</v>
      </c>
      <c r="AB772" s="396">
        <v>20327208</v>
      </c>
      <c r="AC772" s="396">
        <v>10207916</v>
      </c>
    </row>
    <row r="773" spans="1:29">
      <c r="A773">
        <v>3672</v>
      </c>
      <c r="B773" s="395" t="s">
        <v>7523</v>
      </c>
      <c r="C773" s="395"/>
      <c r="D773" s="396">
        <v>138022</v>
      </c>
      <c r="E773" s="396">
        <v>156836</v>
      </c>
      <c r="F773" s="395">
        <v>8.34</v>
      </c>
      <c r="G773" s="396">
        <v>-18814</v>
      </c>
      <c r="H773" s="396">
        <v>19907</v>
      </c>
      <c r="I773" s="396">
        <v>488021</v>
      </c>
      <c r="J773" s="395">
        <v>194</v>
      </c>
      <c r="K773" s="395">
        <v>154</v>
      </c>
      <c r="L773" s="397">
        <v>0.79379999999999995</v>
      </c>
      <c r="M773" s="395">
        <v>40</v>
      </c>
      <c r="N773" s="395">
        <v>711</v>
      </c>
      <c r="O773" s="396">
        <v>1018</v>
      </c>
      <c r="P773" s="395">
        <v>2.17</v>
      </c>
      <c r="Q773" s="395">
        <v>-470</v>
      </c>
      <c r="R773" s="396">
        <v>3411</v>
      </c>
      <c r="S773" s="396">
        <v>-1872</v>
      </c>
      <c r="T773" s="396">
        <v>178607</v>
      </c>
      <c r="U773" s="396">
        <v>-50091</v>
      </c>
      <c r="V773" s="395">
        <v>1927.95</v>
      </c>
      <c r="W773" s="395">
        <v>1296.08</v>
      </c>
      <c r="X773" s="395">
        <v>77490</v>
      </c>
      <c r="Y773" s="395">
        <v>4360.6499999999996</v>
      </c>
      <c r="Z773" s="396">
        <v>30395400</v>
      </c>
      <c r="AA773" s="396">
        <v>138022</v>
      </c>
      <c r="AB773" s="396">
        <v>33489265</v>
      </c>
      <c r="AC773" s="396">
        <v>10207916</v>
      </c>
    </row>
    <row r="774" spans="1:29">
      <c r="A774">
        <v>3567</v>
      </c>
      <c r="B774" s="395" t="s">
        <v>7482</v>
      </c>
      <c r="C774" s="395"/>
      <c r="D774" s="396">
        <v>137898</v>
      </c>
      <c r="E774" s="396">
        <v>183864</v>
      </c>
      <c r="F774" s="395">
        <v>4</v>
      </c>
      <c r="G774" s="396">
        <v>-45967</v>
      </c>
      <c r="H774" s="396">
        <v>32207</v>
      </c>
      <c r="I774" s="396">
        <v>961270</v>
      </c>
      <c r="J774" s="395">
        <v>231</v>
      </c>
      <c r="K774" s="395">
        <v>175</v>
      </c>
      <c r="L774" s="397">
        <v>0.75760000000000005</v>
      </c>
      <c r="M774" s="395">
        <v>56</v>
      </c>
      <c r="N774" s="395">
        <v>597</v>
      </c>
      <c r="O774" s="396">
        <v>1051</v>
      </c>
      <c r="P774" s="395">
        <v>1.28</v>
      </c>
      <c r="Q774" s="395">
        <v>-821</v>
      </c>
      <c r="R774" s="396">
        <v>3273</v>
      </c>
      <c r="S774" s="396">
        <v>-3543</v>
      </c>
      <c r="T774" s="396">
        <v>169375</v>
      </c>
      <c r="U774" s="396">
        <v>-57175</v>
      </c>
      <c r="V774" s="395">
        <v>2547.42</v>
      </c>
      <c r="W774" s="395">
        <v>1577.53</v>
      </c>
      <c r="X774" s="395">
        <v>77490</v>
      </c>
      <c r="Y774" s="395">
        <v>5578.32</v>
      </c>
      <c r="Z774" s="396">
        <v>2836242</v>
      </c>
      <c r="AA774" s="396">
        <v>137898</v>
      </c>
      <c r="AB774" s="396">
        <v>11892808</v>
      </c>
      <c r="AC774" s="396">
        <v>10207916</v>
      </c>
    </row>
    <row r="775" spans="1:29">
      <c r="A775">
        <v>8234</v>
      </c>
      <c r="B775" s="395" t="s">
        <v>8298</v>
      </c>
      <c r="C775" s="395"/>
      <c r="D775" s="396">
        <v>137845</v>
      </c>
      <c r="E775" s="396">
        <v>210499</v>
      </c>
      <c r="F775" s="395">
        <v>2.9</v>
      </c>
      <c r="G775" s="396">
        <v>-72654</v>
      </c>
      <c r="H775" s="396">
        <v>19532</v>
      </c>
      <c r="I775" s="396">
        <v>2266508</v>
      </c>
      <c r="J775" s="395">
        <v>197</v>
      </c>
      <c r="K775" s="395">
        <v>159</v>
      </c>
      <c r="L775" s="397">
        <v>0.80710000000000004</v>
      </c>
      <c r="M775" s="395">
        <v>38</v>
      </c>
      <c r="N775" s="395">
        <v>700</v>
      </c>
      <c r="O775" s="396">
        <v>1324</v>
      </c>
      <c r="P775" s="395">
        <v>0.69</v>
      </c>
      <c r="Q775" s="396">
        <v>-1912</v>
      </c>
      <c r="R775" s="396">
        <v>3760</v>
      </c>
      <c r="S775" s="396">
        <v>-4599</v>
      </c>
      <c r="T775" s="396">
        <v>321493</v>
      </c>
      <c r="U775" s="396">
        <v>-154576</v>
      </c>
      <c r="V775" s="395">
        <v>14742.46</v>
      </c>
      <c r="W775" s="395">
        <v>14181.64</v>
      </c>
      <c r="X775" s="395">
        <v>77490</v>
      </c>
      <c r="Y775" s="395">
        <v>17089.05</v>
      </c>
      <c r="Z775" s="396">
        <v>-11865649</v>
      </c>
      <c r="AA775" s="396">
        <v>137845</v>
      </c>
      <c r="AB775" s="396">
        <v>-4127425</v>
      </c>
      <c r="AC775" s="396">
        <v>10207916</v>
      </c>
    </row>
    <row r="776" spans="1:29">
      <c r="A776">
        <v>1410</v>
      </c>
      <c r="B776" s="395" t="s">
        <v>6736</v>
      </c>
      <c r="C776" s="395"/>
      <c r="D776" s="396">
        <v>137522</v>
      </c>
      <c r="E776" s="396">
        <v>144945</v>
      </c>
      <c r="F776" s="395">
        <v>19.53</v>
      </c>
      <c r="G776" s="396">
        <v>-7423</v>
      </c>
      <c r="H776" s="396">
        <v>20890</v>
      </c>
      <c r="I776" s="396">
        <v>1552908</v>
      </c>
      <c r="J776" s="395">
        <v>144</v>
      </c>
      <c r="K776" s="395">
        <v>133</v>
      </c>
      <c r="L776" s="397">
        <v>0.92359999999999998</v>
      </c>
      <c r="M776" s="395">
        <v>11</v>
      </c>
      <c r="N776" s="395">
        <v>955</v>
      </c>
      <c r="O776" s="396">
        <v>1090</v>
      </c>
      <c r="P776" s="395">
        <v>1.61</v>
      </c>
      <c r="Q776" s="395">
        <v>-675</v>
      </c>
      <c r="R776" s="396">
        <v>3000</v>
      </c>
      <c r="S776" s="396">
        <v>-1797</v>
      </c>
      <c r="T776" s="396">
        <v>149038</v>
      </c>
      <c r="U776" s="396">
        <v>-57150</v>
      </c>
      <c r="V776" s="395">
        <v>6493.02</v>
      </c>
      <c r="W776" s="395">
        <v>6885.89</v>
      </c>
      <c r="X776" s="395">
        <v>76950</v>
      </c>
      <c r="Y776" s="395">
        <v>1742.91</v>
      </c>
      <c r="Z776" s="396">
        <v>10500635</v>
      </c>
      <c r="AA776" s="396">
        <v>137522</v>
      </c>
      <c r="AB776" s="396">
        <v>5128602</v>
      </c>
      <c r="AC776" s="396">
        <v>10207916</v>
      </c>
    </row>
    <row r="777" spans="1:29">
      <c r="A777">
        <v>4991</v>
      </c>
      <c r="B777" s="395" t="s">
        <v>7747</v>
      </c>
      <c r="C777" s="395"/>
      <c r="D777" s="396">
        <v>137509</v>
      </c>
      <c r="E777" s="396">
        <v>307337</v>
      </c>
      <c r="F777" s="395">
        <v>1.81</v>
      </c>
      <c r="G777" s="396">
        <v>-169828</v>
      </c>
      <c r="H777" s="396">
        <v>42941</v>
      </c>
      <c r="I777" s="396">
        <v>3233367</v>
      </c>
      <c r="J777" s="395">
        <v>220</v>
      </c>
      <c r="K777" s="395">
        <v>148</v>
      </c>
      <c r="L777" s="397">
        <v>0.67269999999999996</v>
      </c>
      <c r="M777" s="395">
        <v>72</v>
      </c>
      <c r="N777" s="395">
        <v>625</v>
      </c>
      <c r="O777" s="396">
        <v>2077</v>
      </c>
      <c r="P777" s="395">
        <v>0.88</v>
      </c>
      <c r="Q777" s="396">
        <v>-2359</v>
      </c>
      <c r="R777" s="396">
        <v>5920</v>
      </c>
      <c r="S777" s="396">
        <v>-7639</v>
      </c>
      <c r="T777" s="396">
        <v>390934</v>
      </c>
      <c r="U777" s="396">
        <v>-211250</v>
      </c>
      <c r="V777" s="395">
        <v>6358.91</v>
      </c>
      <c r="W777" s="395">
        <v>4573.76</v>
      </c>
      <c r="X777" s="395">
        <v>77490</v>
      </c>
      <c r="Y777" s="395">
        <v>10028.39</v>
      </c>
      <c r="Z777" s="396">
        <v>-12325740</v>
      </c>
      <c r="AA777" s="396">
        <v>137509</v>
      </c>
      <c r="AB777" s="396">
        <v>-6968317</v>
      </c>
      <c r="AC777" s="396">
        <v>10207916</v>
      </c>
    </row>
    <row r="778" spans="1:29">
      <c r="A778">
        <v>1504</v>
      </c>
      <c r="B778" s="395" t="s">
        <v>6784</v>
      </c>
      <c r="C778" s="395"/>
      <c r="D778" s="396">
        <v>136815</v>
      </c>
      <c r="E778" s="396">
        <v>184313</v>
      </c>
      <c r="F778" s="395">
        <v>3.88</v>
      </c>
      <c r="G778" s="396">
        <v>-47498</v>
      </c>
      <c r="H778" s="396">
        <v>35078</v>
      </c>
      <c r="I778" s="396">
        <v>1458100</v>
      </c>
      <c r="J778" s="395">
        <v>280</v>
      </c>
      <c r="K778" s="395">
        <v>211</v>
      </c>
      <c r="L778" s="397">
        <v>0.75360000000000005</v>
      </c>
      <c r="M778" s="395">
        <v>69</v>
      </c>
      <c r="N778" s="395">
        <v>489</v>
      </c>
      <c r="O778" s="395">
        <v>874</v>
      </c>
      <c r="P778" s="395">
        <v>1.27</v>
      </c>
      <c r="Q778" s="395">
        <v>-688</v>
      </c>
      <c r="R778" s="396">
        <v>2678</v>
      </c>
      <c r="S778" s="396">
        <v>-2785</v>
      </c>
      <c r="T778" s="396">
        <v>186373</v>
      </c>
      <c r="U778" s="396">
        <v>-80793</v>
      </c>
      <c r="V778" s="395">
        <v>3956.51</v>
      </c>
      <c r="W778" s="395">
        <v>3078.57</v>
      </c>
      <c r="X778" s="395">
        <v>77490</v>
      </c>
      <c r="Y778" s="395">
        <v>6641.2</v>
      </c>
      <c r="Z778" s="396">
        <v>1017733</v>
      </c>
      <c r="AA778" s="396">
        <v>136815</v>
      </c>
      <c r="AB778" s="396">
        <v>5334604</v>
      </c>
      <c r="AC778" s="396">
        <v>10207916</v>
      </c>
    </row>
    <row r="779" spans="1:29">
      <c r="A779">
        <v>2440</v>
      </c>
      <c r="B779" s="395" t="s">
        <v>7065</v>
      </c>
      <c r="C779" s="395"/>
      <c r="D779" s="396">
        <v>136782</v>
      </c>
      <c r="E779" s="396">
        <v>228913</v>
      </c>
      <c r="F779" s="395">
        <v>2.48</v>
      </c>
      <c r="G779" s="396">
        <v>-92131</v>
      </c>
      <c r="H779" s="396">
        <v>16118</v>
      </c>
      <c r="I779" s="396">
        <v>1021102</v>
      </c>
      <c r="J779" s="395">
        <v>229</v>
      </c>
      <c r="K779" s="395">
        <v>164</v>
      </c>
      <c r="L779" s="397">
        <v>0.71619999999999995</v>
      </c>
      <c r="M779" s="395">
        <v>65</v>
      </c>
      <c r="N779" s="395">
        <v>597</v>
      </c>
      <c r="O779" s="396">
        <v>1396</v>
      </c>
      <c r="P779" s="395">
        <v>0.99</v>
      </c>
      <c r="Q779" s="396">
        <v>-1417</v>
      </c>
      <c r="R779" s="396">
        <v>6039</v>
      </c>
      <c r="S779" s="396">
        <v>-6737</v>
      </c>
      <c r="T779" s="396">
        <v>367254</v>
      </c>
      <c r="U779" s="396">
        <v>-264885</v>
      </c>
      <c r="V779" s="395">
        <v>4449.43</v>
      </c>
      <c r="W779" s="395">
        <v>2971.02</v>
      </c>
      <c r="X779" s="395">
        <v>77490</v>
      </c>
      <c r="Y779" s="395">
        <v>8179.57</v>
      </c>
      <c r="Z779" s="396">
        <v>-6086145</v>
      </c>
      <c r="AA779" s="396">
        <v>136782</v>
      </c>
      <c r="AB779" s="396">
        <v>2268551</v>
      </c>
      <c r="AC779" s="396">
        <v>10207916</v>
      </c>
    </row>
    <row r="780" spans="1:29">
      <c r="A780">
        <v>4106</v>
      </c>
      <c r="B780" s="395" t="s">
        <v>7554</v>
      </c>
      <c r="C780" s="395"/>
      <c r="D780" s="396">
        <v>136588</v>
      </c>
      <c r="E780" s="396">
        <v>310892</v>
      </c>
      <c r="F780" s="395">
        <v>1.78</v>
      </c>
      <c r="G780" s="396">
        <v>-174304</v>
      </c>
      <c r="H780" s="396">
        <v>32128</v>
      </c>
      <c r="I780" s="396">
        <v>2301806</v>
      </c>
      <c r="J780" s="395">
        <v>256</v>
      </c>
      <c r="K780" s="395">
        <v>182</v>
      </c>
      <c r="L780" s="397">
        <v>0.71089999999999998</v>
      </c>
      <c r="M780" s="395">
        <v>74</v>
      </c>
      <c r="N780" s="395">
        <v>534</v>
      </c>
      <c r="O780" s="396">
        <v>1708</v>
      </c>
      <c r="P780" s="395">
        <v>0.73</v>
      </c>
      <c r="Q780" s="396">
        <v>-2355</v>
      </c>
      <c r="R780" s="396">
        <v>6916</v>
      </c>
      <c r="S780" s="396">
        <v>-14978</v>
      </c>
      <c r="T780" s="396">
        <v>501141</v>
      </c>
      <c r="U780" s="396">
        <v>-390383</v>
      </c>
      <c r="V780" s="395">
        <v>4535.59</v>
      </c>
      <c r="W780" s="395">
        <v>3002.62</v>
      </c>
      <c r="X780" s="395">
        <v>77490</v>
      </c>
      <c r="Y780" s="395">
        <v>8305.85</v>
      </c>
      <c r="Z780" s="396">
        <v>-13366609</v>
      </c>
      <c r="AA780" s="396">
        <v>136588</v>
      </c>
      <c r="AB780" s="396">
        <v>-4036828</v>
      </c>
      <c r="AC780" s="396">
        <v>10207916</v>
      </c>
    </row>
    <row r="781" spans="1:29">
      <c r="A781">
        <v>5213</v>
      </c>
      <c r="B781" s="395" t="s">
        <v>7768</v>
      </c>
      <c r="C781" s="395"/>
      <c r="D781" s="396">
        <v>136295</v>
      </c>
      <c r="E781" s="396">
        <v>139795</v>
      </c>
      <c r="F781" s="395">
        <v>39.950000000000003</v>
      </c>
      <c r="G781" s="396">
        <v>-3500</v>
      </c>
      <c r="H781" s="396">
        <v>19500</v>
      </c>
      <c r="I781" s="396">
        <v>1153582</v>
      </c>
      <c r="J781" s="395">
        <v>222</v>
      </c>
      <c r="K781" s="395">
        <v>206</v>
      </c>
      <c r="L781" s="397">
        <v>0.92789999999999995</v>
      </c>
      <c r="M781" s="395">
        <v>16</v>
      </c>
      <c r="N781" s="395">
        <v>614</v>
      </c>
      <c r="O781" s="395">
        <v>679</v>
      </c>
      <c r="P781" s="395">
        <v>3.1</v>
      </c>
      <c r="Q781" s="395">
        <v>-219</v>
      </c>
      <c r="R781" s="396">
        <v>1714</v>
      </c>
      <c r="S781" s="396">
        <v>-1292</v>
      </c>
      <c r="T781" s="396">
        <v>138456</v>
      </c>
      <c r="U781" s="396">
        <v>-31989</v>
      </c>
      <c r="V781" s="395">
        <v>4536.1000000000004</v>
      </c>
      <c r="W781" s="395">
        <v>4588.5</v>
      </c>
      <c r="X781" s="395">
        <v>77490</v>
      </c>
      <c r="Y781" s="395">
        <v>3861.37</v>
      </c>
      <c r="Z781" s="396">
        <v>18714583</v>
      </c>
      <c r="AA781" s="396">
        <v>136295</v>
      </c>
      <c r="AB781" s="396">
        <v>27133590</v>
      </c>
      <c r="AC781" s="396">
        <v>10207916</v>
      </c>
    </row>
    <row r="782" spans="1:29">
      <c r="A782">
        <v>3312</v>
      </c>
      <c r="B782" s="395" t="s">
        <v>7387</v>
      </c>
      <c r="C782" s="395"/>
      <c r="D782" s="396">
        <v>136267</v>
      </c>
      <c r="E782" s="396">
        <v>161073</v>
      </c>
      <c r="F782" s="395">
        <v>6.49</v>
      </c>
      <c r="G782" s="396">
        <v>-24806</v>
      </c>
      <c r="H782" s="396">
        <v>22973</v>
      </c>
      <c r="I782" s="396">
        <v>804874</v>
      </c>
      <c r="J782" s="395">
        <v>264</v>
      </c>
      <c r="K782" s="395">
        <v>235</v>
      </c>
      <c r="L782" s="397">
        <v>0.89019999999999999</v>
      </c>
      <c r="M782" s="395">
        <v>29</v>
      </c>
      <c r="N782" s="395">
        <v>516</v>
      </c>
      <c r="O782" s="395">
        <v>685</v>
      </c>
      <c r="P782" s="395">
        <v>0.8</v>
      </c>
      <c r="Q782" s="395">
        <v>-855</v>
      </c>
      <c r="R782" s="396">
        <v>3069</v>
      </c>
      <c r="S782" s="396">
        <v>-3507</v>
      </c>
      <c r="T782" s="396">
        <v>139145</v>
      </c>
      <c r="U782" s="396">
        <v>-72618</v>
      </c>
      <c r="V782" s="395">
        <v>2007.06</v>
      </c>
      <c r="W782" s="395">
        <v>1527.62</v>
      </c>
      <c r="X782" s="395">
        <v>77490</v>
      </c>
      <c r="Y782" s="395">
        <v>5892.17</v>
      </c>
      <c r="Z782" s="396">
        <v>4119683</v>
      </c>
      <c r="AA782" s="396">
        <v>136267</v>
      </c>
      <c r="AB782" s="396">
        <v>50626284</v>
      </c>
      <c r="AC782" s="396">
        <v>10207916</v>
      </c>
    </row>
    <row r="783" spans="1:29">
      <c r="A783">
        <v>8032</v>
      </c>
      <c r="B783" s="395" t="s">
        <v>8231</v>
      </c>
      <c r="C783" s="395"/>
      <c r="D783" s="396">
        <v>136235</v>
      </c>
      <c r="E783" s="396">
        <v>155044</v>
      </c>
      <c r="F783" s="395">
        <v>8.24</v>
      </c>
      <c r="G783" s="396">
        <v>-18809</v>
      </c>
      <c r="H783" s="396">
        <v>17144</v>
      </c>
      <c r="I783" s="396">
        <v>909145</v>
      </c>
      <c r="J783" s="395">
        <v>159</v>
      </c>
      <c r="K783" s="395">
        <v>127</v>
      </c>
      <c r="L783" s="397">
        <v>0.79869999999999997</v>
      </c>
      <c r="M783" s="395">
        <v>32</v>
      </c>
      <c r="N783" s="395">
        <v>857</v>
      </c>
      <c r="O783" s="396">
        <v>1221</v>
      </c>
      <c r="P783" s="395">
        <v>2.08</v>
      </c>
      <c r="Q783" s="395">
        <v>-588</v>
      </c>
      <c r="R783" s="396">
        <v>4054</v>
      </c>
      <c r="S783" s="396">
        <v>-1827</v>
      </c>
      <c r="T783" s="396">
        <v>169096</v>
      </c>
      <c r="U783" s="396">
        <v>-63020</v>
      </c>
      <c r="V783" s="395">
        <v>4801.25</v>
      </c>
      <c r="W783" s="395">
        <v>4270.8599999999997</v>
      </c>
      <c r="X783" s="395">
        <v>77220</v>
      </c>
      <c r="Y783" s="395">
        <v>6906.22</v>
      </c>
      <c r="Z783" s="396">
        <v>3438982</v>
      </c>
      <c r="AA783" s="396">
        <v>136235</v>
      </c>
      <c r="AB783" s="396">
        <v>16051217</v>
      </c>
      <c r="AC783" s="396">
        <v>10207916</v>
      </c>
    </row>
    <row r="784" spans="1:29">
      <c r="A784">
        <v>5880</v>
      </c>
      <c r="B784" s="395" t="s">
        <v>7893</v>
      </c>
      <c r="C784" s="395"/>
      <c r="D784" s="396">
        <v>136139</v>
      </c>
      <c r="E784" s="396">
        <v>145526</v>
      </c>
      <c r="F784" s="395">
        <v>15.5</v>
      </c>
      <c r="G784" s="396">
        <v>-9387</v>
      </c>
      <c r="H784" s="396">
        <v>25870</v>
      </c>
      <c r="I784" s="396">
        <v>1173115</v>
      </c>
      <c r="J784" s="395">
        <v>285</v>
      </c>
      <c r="K784" s="395">
        <v>264</v>
      </c>
      <c r="L784" s="397">
        <v>0.92630000000000001</v>
      </c>
      <c r="M784" s="395">
        <v>21</v>
      </c>
      <c r="N784" s="395">
        <v>478</v>
      </c>
      <c r="O784" s="395">
        <v>551</v>
      </c>
      <c r="P784" s="395">
        <v>1.23</v>
      </c>
      <c r="Q784" s="395">
        <v>-447</v>
      </c>
      <c r="R784" s="396">
        <v>1397</v>
      </c>
      <c r="S784" s="396">
        <v>-1160</v>
      </c>
      <c r="T784" s="396">
        <v>158064</v>
      </c>
      <c r="U784" s="396">
        <v>-25209</v>
      </c>
      <c r="V784" s="395">
        <v>4265.47</v>
      </c>
      <c r="W784" s="395">
        <v>4271.8599999999997</v>
      </c>
      <c r="X784" s="395">
        <v>77490</v>
      </c>
      <c r="Y784" s="395">
        <v>4185.1899999999996</v>
      </c>
      <c r="Z784" s="396">
        <v>13372111</v>
      </c>
      <c r="AA784" s="396">
        <v>136139</v>
      </c>
      <c r="AB784" s="396">
        <v>20375071</v>
      </c>
      <c r="AC784" s="396">
        <v>10207916</v>
      </c>
    </row>
    <row r="785" spans="1:29">
      <c r="A785">
        <v>1321</v>
      </c>
      <c r="B785" s="395" t="s">
        <v>6722</v>
      </c>
      <c r="C785" s="395"/>
      <c r="D785" s="396">
        <v>136069</v>
      </c>
      <c r="E785" s="396">
        <v>232814</v>
      </c>
      <c r="F785" s="395">
        <v>2.41</v>
      </c>
      <c r="G785" s="396">
        <v>-96744</v>
      </c>
      <c r="H785" s="396">
        <v>35672</v>
      </c>
      <c r="I785" s="396">
        <v>3075325</v>
      </c>
      <c r="J785" s="395">
        <v>251</v>
      </c>
      <c r="K785" s="395">
        <v>162</v>
      </c>
      <c r="L785" s="397">
        <v>0.64539999999999997</v>
      </c>
      <c r="M785" s="395">
        <v>89</v>
      </c>
      <c r="N785" s="395">
        <v>542</v>
      </c>
      <c r="O785" s="396">
        <v>1437</v>
      </c>
      <c r="P785" s="395">
        <v>1.32</v>
      </c>
      <c r="Q785" s="396">
        <v>-1087</v>
      </c>
      <c r="R785" s="396">
        <v>5758</v>
      </c>
      <c r="S785" s="396">
        <v>-3460</v>
      </c>
      <c r="T785" s="396">
        <v>244238</v>
      </c>
      <c r="U785" s="396">
        <v>-143482</v>
      </c>
      <c r="V785" s="395">
        <v>8159.23</v>
      </c>
      <c r="W785" s="395">
        <v>5981.46</v>
      </c>
      <c r="X785" s="395">
        <v>77490</v>
      </c>
      <c r="Y785" s="395">
        <v>12123.26</v>
      </c>
      <c r="Z785" s="396">
        <v>-11163822</v>
      </c>
      <c r="AA785" s="396">
        <v>136069</v>
      </c>
      <c r="AB785" s="396">
        <v>-2275848</v>
      </c>
      <c r="AC785" s="396">
        <v>10207916</v>
      </c>
    </row>
    <row r="786" spans="1:29">
      <c r="A786">
        <v>1905</v>
      </c>
      <c r="B786" s="395" t="s">
        <v>6901</v>
      </c>
      <c r="C786" s="395"/>
      <c r="D786" s="396">
        <v>135461</v>
      </c>
      <c r="E786" s="396">
        <v>215363</v>
      </c>
      <c r="F786" s="395">
        <v>2.7</v>
      </c>
      <c r="G786" s="396">
        <v>-79902</v>
      </c>
      <c r="H786" s="396">
        <v>23099</v>
      </c>
      <c r="I786" s="396">
        <v>1285903</v>
      </c>
      <c r="J786" s="395">
        <v>264</v>
      </c>
      <c r="K786" s="395">
        <v>198</v>
      </c>
      <c r="L786" s="397">
        <v>0.75</v>
      </c>
      <c r="M786" s="395">
        <v>66</v>
      </c>
      <c r="N786" s="395">
        <v>513</v>
      </c>
      <c r="O786" s="396">
        <v>1088</v>
      </c>
      <c r="P786" s="395">
        <v>0.9</v>
      </c>
      <c r="Q786" s="396">
        <v>-1211</v>
      </c>
      <c r="R786" s="396">
        <v>5553</v>
      </c>
      <c r="S786" s="396">
        <v>-6270</v>
      </c>
      <c r="T786" s="396">
        <v>312477</v>
      </c>
      <c r="U786" s="396">
        <v>-172076</v>
      </c>
      <c r="V786" s="395">
        <v>3352.27</v>
      </c>
      <c r="W786" s="395">
        <v>2322.8200000000002</v>
      </c>
      <c r="X786" s="395">
        <v>77490</v>
      </c>
      <c r="Y786" s="395">
        <v>6440.61</v>
      </c>
      <c r="Z786" s="396">
        <v>-5216545</v>
      </c>
      <c r="AA786" s="396">
        <v>135461</v>
      </c>
      <c r="AB786" s="396">
        <v>38834677</v>
      </c>
      <c r="AC786" s="396">
        <v>10207916</v>
      </c>
    </row>
    <row r="787" spans="1:29">
      <c r="A787">
        <v>2618</v>
      </c>
      <c r="B787" s="395" t="s">
        <v>7153</v>
      </c>
      <c r="C787" s="395"/>
      <c r="D787" s="396">
        <v>135305</v>
      </c>
      <c r="E787" s="396">
        <v>172293</v>
      </c>
      <c r="F787" s="395">
        <v>4.66</v>
      </c>
      <c r="G787" s="396">
        <v>-36988</v>
      </c>
      <c r="H787" s="396">
        <v>23245</v>
      </c>
      <c r="I787" s="396">
        <v>434737</v>
      </c>
      <c r="J787" s="395">
        <v>282</v>
      </c>
      <c r="K787" s="395">
        <v>229</v>
      </c>
      <c r="L787" s="397">
        <v>0.81210000000000004</v>
      </c>
      <c r="M787" s="395">
        <v>53</v>
      </c>
      <c r="N787" s="395">
        <v>480</v>
      </c>
      <c r="O787" s="395">
        <v>752</v>
      </c>
      <c r="P787" s="395">
        <v>1.08</v>
      </c>
      <c r="Q787" s="395">
        <v>-698</v>
      </c>
      <c r="R787" s="396">
        <v>3091</v>
      </c>
      <c r="S787" s="396">
        <v>-3473</v>
      </c>
      <c r="T787" s="396">
        <v>154901</v>
      </c>
      <c r="U787" s="396">
        <v>-46736</v>
      </c>
      <c r="V787" s="395">
        <v>1336.38</v>
      </c>
      <c r="W787" s="395">
        <v>896.65</v>
      </c>
      <c r="X787" s="395">
        <v>77490</v>
      </c>
      <c r="Y787" s="395">
        <v>3236.38</v>
      </c>
      <c r="Z787" s="396">
        <v>206144</v>
      </c>
      <c r="AA787" s="396">
        <v>135305</v>
      </c>
      <c r="AB787" s="396">
        <v>62224335</v>
      </c>
      <c r="AC787" s="396">
        <v>10207916</v>
      </c>
    </row>
    <row r="788" spans="1:29">
      <c r="A788">
        <v>7556</v>
      </c>
      <c r="B788" s="395" t="s">
        <v>8224</v>
      </c>
      <c r="C788" s="395"/>
      <c r="D788" s="396">
        <v>135244</v>
      </c>
      <c r="E788" s="396">
        <v>486841</v>
      </c>
      <c r="F788" s="395">
        <v>1.38</v>
      </c>
      <c r="G788" s="396">
        <v>-351597</v>
      </c>
      <c r="H788" s="396">
        <v>44324</v>
      </c>
      <c r="I788" s="396">
        <v>3161320</v>
      </c>
      <c r="J788" s="395">
        <v>76</v>
      </c>
      <c r="K788" s="395">
        <v>51</v>
      </c>
      <c r="L788" s="397">
        <v>0.67110000000000003</v>
      </c>
      <c r="M788" s="395">
        <v>25</v>
      </c>
      <c r="N788" s="396">
        <v>1780</v>
      </c>
      <c r="O788" s="396">
        <v>9546</v>
      </c>
      <c r="P788" s="395">
        <v>0.68</v>
      </c>
      <c r="Q788" s="396">
        <v>-14064</v>
      </c>
      <c r="R788" s="396">
        <v>31492</v>
      </c>
      <c r="S788" s="396">
        <v>-45161</v>
      </c>
      <c r="T788" s="396">
        <v>558068</v>
      </c>
      <c r="U788" s="396">
        <v>-414336</v>
      </c>
      <c r="V788" s="395">
        <v>7358.39</v>
      </c>
      <c r="W788" s="395">
        <v>2743.25</v>
      </c>
      <c r="X788" s="395">
        <v>77490</v>
      </c>
      <c r="Y788" s="395">
        <v>16773.28</v>
      </c>
      <c r="Z788" s="396">
        <v>-14760858</v>
      </c>
      <c r="AA788" s="396">
        <v>135244</v>
      </c>
      <c r="AB788" s="396">
        <v>5388708</v>
      </c>
      <c r="AC788" s="396">
        <v>10207916</v>
      </c>
    </row>
    <row r="789" spans="1:29">
      <c r="A789">
        <v>3623</v>
      </c>
      <c r="B789" s="395" t="s">
        <v>7504</v>
      </c>
      <c r="C789" s="395"/>
      <c r="D789" s="396">
        <v>135173</v>
      </c>
      <c r="E789" s="396">
        <v>203855</v>
      </c>
      <c r="F789" s="395">
        <v>2.97</v>
      </c>
      <c r="G789" s="396">
        <v>-68682</v>
      </c>
      <c r="H789" s="396">
        <v>14127</v>
      </c>
      <c r="I789" s="396">
        <v>1110470</v>
      </c>
      <c r="J789" s="395">
        <v>199</v>
      </c>
      <c r="K789" s="395">
        <v>166</v>
      </c>
      <c r="L789" s="397">
        <v>0.83420000000000005</v>
      </c>
      <c r="M789" s="395">
        <v>33</v>
      </c>
      <c r="N789" s="395">
        <v>679</v>
      </c>
      <c r="O789" s="396">
        <v>1228</v>
      </c>
      <c r="P789" s="395">
        <v>0.59</v>
      </c>
      <c r="Q789" s="396">
        <v>-2081</v>
      </c>
      <c r="R789" s="396">
        <v>4187</v>
      </c>
      <c r="S789" s="396">
        <v>-8238</v>
      </c>
      <c r="T789" s="396">
        <v>267746</v>
      </c>
      <c r="U789" s="396">
        <v>-150865</v>
      </c>
      <c r="V789" s="395">
        <v>6867.65</v>
      </c>
      <c r="W789" s="395">
        <v>5759.72</v>
      </c>
      <c r="X789" s="395">
        <v>77490</v>
      </c>
      <c r="Y789" s="395">
        <v>12440.88</v>
      </c>
      <c r="Z789" s="396">
        <v>-41315</v>
      </c>
      <c r="AA789" s="396">
        <v>135173</v>
      </c>
      <c r="AB789" s="396">
        <v>7935385</v>
      </c>
      <c r="AC789" s="396">
        <v>10207916</v>
      </c>
    </row>
    <row r="790" spans="1:29">
      <c r="A790">
        <v>2947</v>
      </c>
      <c r="B790" s="395" t="s">
        <v>7244</v>
      </c>
      <c r="C790" s="395"/>
      <c r="D790" s="396">
        <v>135063</v>
      </c>
      <c r="E790" s="396">
        <v>146089</v>
      </c>
      <c r="F790" s="395">
        <v>13.25</v>
      </c>
      <c r="G790" s="396">
        <v>-11026</v>
      </c>
      <c r="H790" s="396">
        <v>20437</v>
      </c>
      <c r="I790" s="396">
        <v>1156380</v>
      </c>
      <c r="J790" s="395">
        <v>43</v>
      </c>
      <c r="K790" s="395">
        <v>39</v>
      </c>
      <c r="L790" s="397">
        <v>0.90700000000000003</v>
      </c>
      <c r="M790" s="395">
        <v>4</v>
      </c>
      <c r="N790" s="396">
        <v>3141</v>
      </c>
      <c r="O790" s="396">
        <v>3746</v>
      </c>
      <c r="P790" s="395">
        <v>1.36</v>
      </c>
      <c r="Q790" s="396">
        <v>-2756</v>
      </c>
      <c r="R790" s="396">
        <v>8544</v>
      </c>
      <c r="S790" s="396">
        <v>-7071</v>
      </c>
      <c r="T790" s="396">
        <v>145627</v>
      </c>
      <c r="U790" s="396">
        <v>-39897</v>
      </c>
      <c r="V790" s="395">
        <v>2043.44</v>
      </c>
      <c r="W790" s="395">
        <v>1770.41</v>
      </c>
      <c r="X790" s="395">
        <v>28080</v>
      </c>
      <c r="Y790" s="395">
        <v>4705.5</v>
      </c>
      <c r="Z790" s="396">
        <v>7032791</v>
      </c>
      <c r="AA790" s="396">
        <v>135063</v>
      </c>
      <c r="AB790" s="396">
        <v>13471233</v>
      </c>
      <c r="AC790" s="396">
        <v>10207916</v>
      </c>
    </row>
    <row r="791" spans="1:29">
      <c r="A791">
        <v>6625</v>
      </c>
      <c r="B791" s="395" t="s">
        <v>8160</v>
      </c>
      <c r="C791" s="395"/>
      <c r="D791" s="396">
        <v>134854</v>
      </c>
      <c r="E791" s="396">
        <v>209647</v>
      </c>
      <c r="F791" s="395">
        <v>2.8</v>
      </c>
      <c r="G791" s="396">
        <v>-74793</v>
      </c>
      <c r="H791" s="396">
        <v>22896</v>
      </c>
      <c r="I791" s="396">
        <v>1077186</v>
      </c>
      <c r="J791" s="395">
        <v>186</v>
      </c>
      <c r="K791" s="395">
        <v>140</v>
      </c>
      <c r="L791" s="397">
        <v>0.75270000000000004</v>
      </c>
      <c r="M791" s="395">
        <v>46</v>
      </c>
      <c r="N791" s="395">
        <v>725</v>
      </c>
      <c r="O791" s="396">
        <v>1497</v>
      </c>
      <c r="P791" s="395">
        <v>0.92</v>
      </c>
      <c r="Q791" s="396">
        <v>-1626</v>
      </c>
      <c r="R791" s="396">
        <v>3982</v>
      </c>
      <c r="S791" s="396">
        <v>-4028</v>
      </c>
      <c r="T791" s="396">
        <v>217325</v>
      </c>
      <c r="U791" s="396">
        <v>-68682</v>
      </c>
      <c r="V791" s="395">
        <v>5963.59</v>
      </c>
      <c r="W791" s="395">
        <v>4426.93</v>
      </c>
      <c r="X791" s="395">
        <v>77490</v>
      </c>
      <c r="Y791" s="395">
        <v>10640.37</v>
      </c>
      <c r="Z791" s="396">
        <v>-5632668</v>
      </c>
      <c r="AA791" s="396">
        <v>134854</v>
      </c>
      <c r="AB791" s="396">
        <v>-2522481</v>
      </c>
      <c r="AC791" s="396">
        <v>10207916</v>
      </c>
    </row>
    <row r="792" spans="1:29">
      <c r="A792">
        <v>5230</v>
      </c>
      <c r="B792" s="395" t="s">
        <v>7775</v>
      </c>
      <c r="C792" s="395"/>
      <c r="D792" s="396">
        <v>134672</v>
      </c>
      <c r="E792" s="396">
        <v>179324</v>
      </c>
      <c r="F792" s="395">
        <v>4.0199999999999996</v>
      </c>
      <c r="G792" s="396">
        <v>-44651</v>
      </c>
      <c r="H792" s="396">
        <v>25452</v>
      </c>
      <c r="I792" s="396">
        <v>896355</v>
      </c>
      <c r="J792" s="395">
        <v>211</v>
      </c>
      <c r="K792" s="395">
        <v>173</v>
      </c>
      <c r="L792" s="397">
        <v>0.81989999999999996</v>
      </c>
      <c r="M792" s="395">
        <v>38</v>
      </c>
      <c r="N792" s="395">
        <v>638</v>
      </c>
      <c r="O792" s="396">
        <v>1037</v>
      </c>
      <c r="P792" s="395">
        <v>0.88</v>
      </c>
      <c r="Q792" s="396">
        <v>-1175</v>
      </c>
      <c r="R792" s="396">
        <v>2832</v>
      </c>
      <c r="S792" s="396">
        <v>-3378</v>
      </c>
      <c r="T792" s="396">
        <v>155627</v>
      </c>
      <c r="U792" s="396">
        <v>-47015</v>
      </c>
      <c r="V792" s="395">
        <v>3506.28</v>
      </c>
      <c r="W792" s="395">
        <v>2936.87</v>
      </c>
      <c r="X792" s="395">
        <v>77490</v>
      </c>
      <c r="Y792" s="395">
        <v>6098.61</v>
      </c>
      <c r="Z792" s="396">
        <v>-10953688</v>
      </c>
      <c r="AA792" s="396">
        <v>134672</v>
      </c>
      <c r="AB792" s="396">
        <v>2024588</v>
      </c>
      <c r="AC792" s="396">
        <v>10207916</v>
      </c>
    </row>
    <row r="793" spans="1:29">
      <c r="A793">
        <v>3054</v>
      </c>
      <c r="B793" s="395" t="s">
        <v>7291</v>
      </c>
      <c r="C793" s="395"/>
      <c r="D793" s="396">
        <v>134613</v>
      </c>
      <c r="E793" s="396">
        <v>202636</v>
      </c>
      <c r="F793" s="395">
        <v>2.98</v>
      </c>
      <c r="G793" s="396">
        <v>-68023</v>
      </c>
      <c r="H793" s="396">
        <v>22237</v>
      </c>
      <c r="I793" s="396">
        <v>1089337</v>
      </c>
      <c r="J793" s="395">
        <v>228</v>
      </c>
      <c r="K793" s="395">
        <v>149</v>
      </c>
      <c r="L793" s="397">
        <v>0.65349999999999997</v>
      </c>
      <c r="M793" s="395">
        <v>79</v>
      </c>
      <c r="N793" s="395">
        <v>590</v>
      </c>
      <c r="O793" s="396">
        <v>1360</v>
      </c>
      <c r="P793" s="395">
        <v>1.58</v>
      </c>
      <c r="Q793" s="395">
        <v>-861</v>
      </c>
      <c r="R793" s="396">
        <v>5187</v>
      </c>
      <c r="S793" s="396">
        <v>-5066</v>
      </c>
      <c r="T793" s="396">
        <v>166036</v>
      </c>
      <c r="U793" s="396">
        <v>-98238</v>
      </c>
      <c r="V793" s="395">
        <v>3687.38</v>
      </c>
      <c r="W793" s="395">
        <v>2773.32</v>
      </c>
      <c r="X793" s="395">
        <v>77220</v>
      </c>
      <c r="Y793" s="395">
        <v>5411.35</v>
      </c>
      <c r="Z793" s="396">
        <v>-25758409</v>
      </c>
      <c r="AA793" s="396">
        <v>134613</v>
      </c>
      <c r="AB793" s="396">
        <v>-1778481</v>
      </c>
      <c r="AC793" s="396">
        <v>10207916</v>
      </c>
    </row>
    <row r="794" spans="1:29">
      <c r="A794">
        <v>8024</v>
      </c>
      <c r="B794" s="395" t="s">
        <v>8228</v>
      </c>
      <c r="C794" s="395"/>
      <c r="D794" s="396">
        <v>134601</v>
      </c>
      <c r="E794" s="396">
        <v>261922</v>
      </c>
      <c r="F794" s="395">
        <v>2.06</v>
      </c>
      <c r="G794" s="396">
        <v>-127321</v>
      </c>
      <c r="H794" s="396">
        <v>28199</v>
      </c>
      <c r="I794" s="396">
        <v>1446171</v>
      </c>
      <c r="J794" s="395">
        <v>262</v>
      </c>
      <c r="K794" s="395">
        <v>193</v>
      </c>
      <c r="L794" s="397">
        <v>0.73660000000000003</v>
      </c>
      <c r="M794" s="395">
        <v>69</v>
      </c>
      <c r="N794" s="395">
        <v>514</v>
      </c>
      <c r="O794" s="396">
        <v>1357</v>
      </c>
      <c r="P794" s="395">
        <v>0.74</v>
      </c>
      <c r="Q794" s="396">
        <v>-1845</v>
      </c>
      <c r="R794" s="396">
        <v>6157</v>
      </c>
      <c r="S794" s="396">
        <v>-15136</v>
      </c>
      <c r="T794" s="396">
        <v>287462</v>
      </c>
      <c r="U794" s="396">
        <v>-173437</v>
      </c>
      <c r="V794" s="395">
        <v>3415.83</v>
      </c>
      <c r="W794" s="395">
        <v>2274.58</v>
      </c>
      <c r="X794" s="395">
        <v>77490</v>
      </c>
      <c r="Y794" s="395">
        <v>6608.03</v>
      </c>
      <c r="Z794" s="396">
        <v>-48719</v>
      </c>
      <c r="AA794" s="396">
        <v>134601</v>
      </c>
      <c r="AB794" s="396">
        <v>40890196</v>
      </c>
      <c r="AC794" s="396">
        <v>10207916</v>
      </c>
    </row>
    <row r="795" spans="1:29">
      <c r="A795">
        <v>3016</v>
      </c>
      <c r="B795" s="395" t="s">
        <v>7256</v>
      </c>
      <c r="C795" s="395"/>
      <c r="D795" s="396">
        <v>134207</v>
      </c>
      <c r="E795" s="396">
        <v>698661</v>
      </c>
      <c r="F795" s="395">
        <v>1.24</v>
      </c>
      <c r="G795" s="396">
        <v>-564454</v>
      </c>
      <c r="H795" s="396">
        <v>101593</v>
      </c>
      <c r="I795" s="396">
        <v>4750473</v>
      </c>
      <c r="J795" s="395">
        <v>274</v>
      </c>
      <c r="K795" s="395">
        <v>197</v>
      </c>
      <c r="L795" s="397">
        <v>0.71899999999999997</v>
      </c>
      <c r="M795" s="395">
        <v>77</v>
      </c>
      <c r="N795" s="395">
        <v>490</v>
      </c>
      <c r="O795" s="396">
        <v>3547</v>
      </c>
      <c r="P795" s="395">
        <v>0.48</v>
      </c>
      <c r="Q795" s="396">
        <v>-7331</v>
      </c>
      <c r="R795" s="396">
        <v>13969</v>
      </c>
      <c r="S795" s="396">
        <v>-30997</v>
      </c>
      <c r="T795" s="396">
        <v>576222</v>
      </c>
      <c r="U795" s="396">
        <v>-810172</v>
      </c>
      <c r="V795" s="395">
        <v>2071.33</v>
      </c>
      <c r="W795" s="395">
        <v>849.88</v>
      </c>
      <c r="X795" s="395">
        <v>77490</v>
      </c>
      <c r="Y795" s="395">
        <v>5196.32</v>
      </c>
      <c r="Z795" s="396">
        <v>-9593130</v>
      </c>
      <c r="AA795" s="396">
        <v>134207</v>
      </c>
      <c r="AB795" s="396">
        <v>26049500</v>
      </c>
      <c r="AC795" s="396">
        <v>10207916</v>
      </c>
    </row>
    <row r="796" spans="1:29">
      <c r="A796">
        <v>1808</v>
      </c>
      <c r="B796" s="395" t="s">
        <v>6893</v>
      </c>
      <c r="C796" s="395"/>
      <c r="D796" s="396">
        <v>134037</v>
      </c>
      <c r="E796" s="396">
        <v>313914</v>
      </c>
      <c r="F796" s="395">
        <v>1.75</v>
      </c>
      <c r="G796" s="396">
        <v>-179877</v>
      </c>
      <c r="H796" s="396">
        <v>56313</v>
      </c>
      <c r="I796" s="396">
        <v>5215425</v>
      </c>
      <c r="J796" s="395">
        <v>241</v>
      </c>
      <c r="K796" s="395">
        <v>180</v>
      </c>
      <c r="L796" s="397">
        <v>0.74690000000000001</v>
      </c>
      <c r="M796" s="395">
        <v>61</v>
      </c>
      <c r="N796" s="395">
        <v>556</v>
      </c>
      <c r="O796" s="396">
        <v>1744</v>
      </c>
      <c r="P796" s="395">
        <v>0.59</v>
      </c>
      <c r="Q796" s="396">
        <v>-2949</v>
      </c>
      <c r="R796" s="396">
        <v>9234</v>
      </c>
      <c r="S796" s="396">
        <v>-4931</v>
      </c>
      <c r="T796" s="396">
        <v>680227</v>
      </c>
      <c r="U796" s="396">
        <v>-476348</v>
      </c>
      <c r="V796" s="395">
        <v>8972.9599999999991</v>
      </c>
      <c r="W796" s="395">
        <v>6440.72</v>
      </c>
      <c r="X796" s="395">
        <v>77490</v>
      </c>
      <c r="Y796" s="395">
        <v>16445.150000000001</v>
      </c>
      <c r="Z796" s="396">
        <v>2867373</v>
      </c>
      <c r="AA796" s="396">
        <v>134037</v>
      </c>
      <c r="AB796" s="396">
        <v>-916793</v>
      </c>
      <c r="AC796" s="396">
        <v>10207916</v>
      </c>
    </row>
    <row r="797" spans="1:29">
      <c r="A797">
        <v>2450</v>
      </c>
      <c r="B797" s="395" t="s">
        <v>7071</v>
      </c>
      <c r="C797" s="395"/>
      <c r="D797" s="396">
        <v>133888</v>
      </c>
      <c r="E797" s="396">
        <v>168201</v>
      </c>
      <c r="F797" s="395">
        <v>4.9000000000000004</v>
      </c>
      <c r="G797" s="396">
        <v>-34313</v>
      </c>
      <c r="H797" s="396">
        <v>31619</v>
      </c>
      <c r="I797" s="396">
        <v>1862744</v>
      </c>
      <c r="J797" s="395">
        <v>238</v>
      </c>
      <c r="K797" s="395">
        <v>190</v>
      </c>
      <c r="L797" s="397">
        <v>0.79830000000000001</v>
      </c>
      <c r="M797" s="395">
        <v>48</v>
      </c>
      <c r="N797" s="395">
        <v>563</v>
      </c>
      <c r="O797" s="395">
        <v>885</v>
      </c>
      <c r="P797" s="395">
        <v>1.24</v>
      </c>
      <c r="Q797" s="395">
        <v>-715</v>
      </c>
      <c r="R797" s="396">
        <v>3972</v>
      </c>
      <c r="S797" s="396">
        <v>-4395</v>
      </c>
      <c r="T797" s="396">
        <v>187938</v>
      </c>
      <c r="U797" s="396">
        <v>-76562</v>
      </c>
      <c r="V797" s="395">
        <v>6314.87</v>
      </c>
      <c r="W797" s="395">
        <v>6015.58</v>
      </c>
      <c r="X797" s="395">
        <v>77490</v>
      </c>
      <c r="Y797" s="395">
        <v>7499.52</v>
      </c>
      <c r="Z797" s="396">
        <v>-6300527</v>
      </c>
      <c r="AA797" s="396">
        <v>133888</v>
      </c>
      <c r="AB797" s="396">
        <v>-3853588</v>
      </c>
      <c r="AC797" s="396">
        <v>10207916</v>
      </c>
    </row>
    <row r="798" spans="1:29">
      <c r="A798">
        <v>2409</v>
      </c>
      <c r="B798" s="395" t="s">
        <v>7042</v>
      </c>
      <c r="C798" s="395"/>
      <c r="D798" s="396">
        <v>133566</v>
      </c>
      <c r="E798" s="396">
        <v>221718</v>
      </c>
      <c r="F798" s="395">
        <v>2.52</v>
      </c>
      <c r="G798" s="396">
        <v>-88151</v>
      </c>
      <c r="H798" s="396">
        <v>23352</v>
      </c>
      <c r="I798" s="396">
        <v>1038400</v>
      </c>
      <c r="J798" s="395">
        <v>279</v>
      </c>
      <c r="K798" s="395">
        <v>218</v>
      </c>
      <c r="L798" s="397">
        <v>0.78139999999999998</v>
      </c>
      <c r="M798" s="395">
        <v>61</v>
      </c>
      <c r="N798" s="395">
        <v>479</v>
      </c>
      <c r="O798" s="396">
        <v>1017</v>
      </c>
      <c r="P798" s="395">
        <v>0.7</v>
      </c>
      <c r="Q798" s="396">
        <v>-1445</v>
      </c>
      <c r="R798" s="396">
        <v>5359</v>
      </c>
      <c r="S798" s="396">
        <v>-10071</v>
      </c>
      <c r="T798" s="396">
        <v>215756</v>
      </c>
      <c r="U798" s="396">
        <v>-129838</v>
      </c>
      <c r="V798" s="395">
        <v>4406.55</v>
      </c>
      <c r="W798" s="395">
        <v>2918.7</v>
      </c>
      <c r="X798" s="395">
        <v>77490</v>
      </c>
      <c r="Y798" s="395">
        <v>9723.7900000000009</v>
      </c>
      <c r="Z798" s="396">
        <v>-18758450</v>
      </c>
      <c r="AA798" s="396">
        <v>133566</v>
      </c>
      <c r="AB798" s="396">
        <v>30095788</v>
      </c>
      <c r="AC798" s="396">
        <v>10207916</v>
      </c>
    </row>
    <row r="799" spans="1:29">
      <c r="A799">
        <v>1110</v>
      </c>
      <c r="B799" s="395" t="s">
        <v>6682</v>
      </c>
      <c r="C799" s="395"/>
      <c r="D799" s="396">
        <v>133317</v>
      </c>
      <c r="E799" s="396">
        <v>167920</v>
      </c>
      <c r="F799" s="395">
        <v>4.8499999999999996</v>
      </c>
      <c r="G799" s="396">
        <v>-34603</v>
      </c>
      <c r="H799" s="396">
        <v>19633</v>
      </c>
      <c r="I799" s="396">
        <v>1061215</v>
      </c>
      <c r="J799" s="395">
        <v>265</v>
      </c>
      <c r="K799" s="395">
        <v>207</v>
      </c>
      <c r="L799" s="397">
        <v>0.78110000000000002</v>
      </c>
      <c r="M799" s="395">
        <v>58</v>
      </c>
      <c r="N799" s="395">
        <v>503</v>
      </c>
      <c r="O799" s="395">
        <v>811</v>
      </c>
      <c r="P799" s="395">
        <v>1.36</v>
      </c>
      <c r="Q799" s="395">
        <v>-597</v>
      </c>
      <c r="R799" s="396">
        <v>2371</v>
      </c>
      <c r="S799" s="396">
        <v>-2838</v>
      </c>
      <c r="T799" s="396">
        <v>185374</v>
      </c>
      <c r="U799" s="396">
        <v>-54195</v>
      </c>
      <c r="V799" s="395">
        <v>5013.26</v>
      </c>
      <c r="W799" s="395">
        <v>3755.9</v>
      </c>
      <c r="X799" s="395">
        <v>77490</v>
      </c>
      <c r="Y799" s="395">
        <v>9500.7199999999993</v>
      </c>
      <c r="Z799" s="396">
        <v>-12022886</v>
      </c>
      <c r="AA799" s="396">
        <v>133317</v>
      </c>
      <c r="AB799" s="396">
        <v>6409924</v>
      </c>
      <c r="AC799" s="396">
        <v>10207916</v>
      </c>
    </row>
    <row r="800" spans="1:29">
      <c r="A800">
        <v>6024</v>
      </c>
      <c r="B800" s="395" t="s">
        <v>7906</v>
      </c>
      <c r="C800" s="395"/>
      <c r="D800" s="396">
        <v>133066</v>
      </c>
      <c r="E800" s="396">
        <v>208254</v>
      </c>
      <c r="F800" s="395">
        <v>2.77</v>
      </c>
      <c r="G800" s="396">
        <v>-75188</v>
      </c>
      <c r="H800" s="396">
        <v>34995</v>
      </c>
      <c r="I800" s="396">
        <v>3209074</v>
      </c>
      <c r="J800" s="395">
        <v>219</v>
      </c>
      <c r="K800" s="395">
        <v>142</v>
      </c>
      <c r="L800" s="397">
        <v>0.64839999999999998</v>
      </c>
      <c r="M800" s="395">
        <v>77</v>
      </c>
      <c r="N800" s="395">
        <v>608</v>
      </c>
      <c r="O800" s="396">
        <v>1467</v>
      </c>
      <c r="P800" s="395">
        <v>1.5</v>
      </c>
      <c r="Q800" s="395">
        <v>-976</v>
      </c>
      <c r="R800" s="396">
        <v>3331</v>
      </c>
      <c r="S800" s="396">
        <v>-1755</v>
      </c>
      <c r="T800" s="396">
        <v>244563</v>
      </c>
      <c r="U800" s="396">
        <v>-129519</v>
      </c>
      <c r="V800" s="395">
        <v>10132.290000000001</v>
      </c>
      <c r="W800" s="395">
        <v>8631.49</v>
      </c>
      <c r="X800" s="395">
        <v>77490</v>
      </c>
      <c r="Y800" s="395">
        <v>12900</v>
      </c>
      <c r="Z800" s="396">
        <v>-1337652</v>
      </c>
      <c r="AA800" s="396">
        <v>133066</v>
      </c>
      <c r="AB800" s="396">
        <v>2015482</v>
      </c>
      <c r="AC800" s="396">
        <v>10207916</v>
      </c>
    </row>
    <row r="801" spans="1:29">
      <c r="A801">
        <v>2453</v>
      </c>
      <c r="B801" s="395" t="s">
        <v>7073</v>
      </c>
      <c r="C801" s="395"/>
      <c r="D801" s="396">
        <v>132855</v>
      </c>
      <c r="E801" s="396">
        <v>173421</v>
      </c>
      <c r="F801" s="395">
        <v>4.2699999999999996</v>
      </c>
      <c r="G801" s="396">
        <v>-40566</v>
      </c>
      <c r="H801" s="396">
        <v>24531</v>
      </c>
      <c r="I801" s="396">
        <v>1202648</v>
      </c>
      <c r="J801" s="395">
        <v>253</v>
      </c>
      <c r="K801" s="395">
        <v>204</v>
      </c>
      <c r="L801" s="397">
        <v>0.80630000000000002</v>
      </c>
      <c r="M801" s="395">
        <v>48</v>
      </c>
      <c r="N801" s="395">
        <v>525</v>
      </c>
      <c r="O801" s="395">
        <v>850</v>
      </c>
      <c r="P801" s="395">
        <v>1.01</v>
      </c>
      <c r="Q801" s="395">
        <v>-845</v>
      </c>
      <c r="R801" s="396">
        <v>2555</v>
      </c>
      <c r="S801" s="396">
        <v>-4609</v>
      </c>
      <c r="T801" s="396">
        <v>176344</v>
      </c>
      <c r="U801" s="396">
        <v>-65312</v>
      </c>
      <c r="V801" s="395">
        <v>3491.92</v>
      </c>
      <c r="W801" s="395">
        <v>2883.07</v>
      </c>
      <c r="X801" s="395">
        <v>77490</v>
      </c>
      <c r="Y801" s="395">
        <v>5809.1</v>
      </c>
      <c r="Z801" s="396">
        <v>25395124</v>
      </c>
      <c r="AA801" s="396">
        <v>132855</v>
      </c>
      <c r="AB801" s="396">
        <v>21945796</v>
      </c>
      <c r="AC801" s="396">
        <v>10207916</v>
      </c>
    </row>
    <row r="802" spans="1:29">
      <c r="A802">
        <v>6118</v>
      </c>
      <c r="B802" s="395" t="s">
        <v>7920</v>
      </c>
      <c r="C802" s="395"/>
      <c r="D802" s="396">
        <v>132760</v>
      </c>
      <c r="E802" s="396">
        <v>188955</v>
      </c>
      <c r="F802" s="395">
        <v>3.36</v>
      </c>
      <c r="G802" s="396">
        <v>-56195</v>
      </c>
      <c r="H802" s="396">
        <v>20990</v>
      </c>
      <c r="I802" s="396">
        <v>952600</v>
      </c>
      <c r="J802" s="395">
        <v>264</v>
      </c>
      <c r="K802" s="395">
        <v>221</v>
      </c>
      <c r="L802" s="397">
        <v>0.83709999999999996</v>
      </c>
      <c r="M802" s="395">
        <v>43</v>
      </c>
      <c r="N802" s="395">
        <v>503</v>
      </c>
      <c r="O802" s="395">
        <v>855</v>
      </c>
      <c r="P802" s="395">
        <v>0.65</v>
      </c>
      <c r="Q802" s="396">
        <v>-1307</v>
      </c>
      <c r="R802" s="396">
        <v>6774</v>
      </c>
      <c r="S802" s="396">
        <v>-10611</v>
      </c>
      <c r="T802" s="396">
        <v>143161</v>
      </c>
      <c r="U802" s="396">
        <v>-112458</v>
      </c>
      <c r="V802" s="395">
        <v>1319.67</v>
      </c>
      <c r="W802" s="395">
        <v>929.15</v>
      </c>
      <c r="X802" s="395">
        <v>77490</v>
      </c>
      <c r="Y802" s="395">
        <v>3326.77</v>
      </c>
      <c r="Z802" s="396">
        <v>41869431</v>
      </c>
      <c r="AA802" s="396">
        <v>132760</v>
      </c>
      <c r="AB802" s="396">
        <v>76117647</v>
      </c>
      <c r="AC802" s="396">
        <v>10207916</v>
      </c>
    </row>
    <row r="803" spans="1:29">
      <c r="A803">
        <v>3597</v>
      </c>
      <c r="B803" s="395" t="s">
        <v>7496</v>
      </c>
      <c r="C803" s="395"/>
      <c r="D803" s="396">
        <v>132671</v>
      </c>
      <c r="E803" s="396">
        <v>229508</v>
      </c>
      <c r="F803" s="395">
        <v>2.37</v>
      </c>
      <c r="G803" s="396">
        <v>-96837</v>
      </c>
      <c r="H803" s="396">
        <v>28546</v>
      </c>
      <c r="I803" s="396">
        <v>1451767</v>
      </c>
      <c r="J803" s="395">
        <v>240</v>
      </c>
      <c r="K803" s="395">
        <v>183</v>
      </c>
      <c r="L803" s="397">
        <v>0.76249999999999996</v>
      </c>
      <c r="M803" s="395">
        <v>57</v>
      </c>
      <c r="N803" s="395">
        <v>553</v>
      </c>
      <c r="O803" s="396">
        <v>1254</v>
      </c>
      <c r="P803" s="395">
        <v>0.74</v>
      </c>
      <c r="Q803" s="396">
        <v>-1699</v>
      </c>
      <c r="R803" s="396">
        <v>5938</v>
      </c>
      <c r="S803" s="396">
        <v>-7941</v>
      </c>
      <c r="T803" s="396">
        <v>295072</v>
      </c>
      <c r="U803" s="396">
        <v>-183310</v>
      </c>
      <c r="V803" s="395">
        <v>3761.09</v>
      </c>
      <c r="W803" s="395">
        <v>2530.44</v>
      </c>
      <c r="X803" s="395">
        <v>77490</v>
      </c>
      <c r="Y803" s="395">
        <v>7712.12</v>
      </c>
      <c r="Z803" s="396">
        <v>-8105573</v>
      </c>
      <c r="AA803" s="396">
        <v>132671</v>
      </c>
      <c r="AB803" s="396">
        <v>26847445</v>
      </c>
      <c r="AC803" s="396">
        <v>10207916</v>
      </c>
    </row>
    <row r="804" spans="1:29">
      <c r="A804">
        <v>4303</v>
      </c>
      <c r="B804" s="395" t="s">
        <v>7602</v>
      </c>
      <c r="C804" s="395"/>
      <c r="D804" s="396">
        <v>132162</v>
      </c>
      <c r="E804" s="396">
        <v>182110</v>
      </c>
      <c r="F804" s="395">
        <v>3.65</v>
      </c>
      <c r="G804" s="396">
        <v>-49948</v>
      </c>
      <c r="H804" s="396">
        <v>17852</v>
      </c>
      <c r="I804" s="396">
        <v>825759</v>
      </c>
      <c r="J804" s="395">
        <v>204</v>
      </c>
      <c r="K804" s="395">
        <v>161</v>
      </c>
      <c r="L804" s="397">
        <v>0.78920000000000001</v>
      </c>
      <c r="M804" s="395">
        <v>43</v>
      </c>
      <c r="N804" s="395">
        <v>648</v>
      </c>
      <c r="O804" s="396">
        <v>1131</v>
      </c>
      <c r="P804" s="395">
        <v>0.97</v>
      </c>
      <c r="Q804" s="396">
        <v>-1162</v>
      </c>
      <c r="R804" s="396">
        <v>3149</v>
      </c>
      <c r="S804" s="396">
        <v>-5241</v>
      </c>
      <c r="T804" s="396">
        <v>175167</v>
      </c>
      <c r="U804" s="396">
        <v>-58247</v>
      </c>
      <c r="V804" s="395">
        <v>5011.93</v>
      </c>
      <c r="W804" s="395">
        <v>3649.31</v>
      </c>
      <c r="X804" s="395">
        <v>76950</v>
      </c>
      <c r="Y804" s="395">
        <v>10113.84</v>
      </c>
      <c r="Z804" s="396">
        <v>-6616653</v>
      </c>
      <c r="AA804" s="396">
        <v>132162</v>
      </c>
      <c r="AB804" s="396">
        <v>4002986</v>
      </c>
      <c r="AC804" s="396">
        <v>10207916</v>
      </c>
    </row>
    <row r="805" spans="1:29">
      <c r="A805">
        <v>2401</v>
      </c>
      <c r="B805" s="395" t="s">
        <v>7036</v>
      </c>
      <c r="C805" s="395"/>
      <c r="D805" s="396">
        <v>132095</v>
      </c>
      <c r="E805" s="396">
        <v>274312</v>
      </c>
      <c r="F805" s="395">
        <v>1.93</v>
      </c>
      <c r="G805" s="396">
        <v>-142217</v>
      </c>
      <c r="H805" s="396">
        <v>38076</v>
      </c>
      <c r="I805" s="396">
        <v>1100441</v>
      </c>
      <c r="J805" s="395">
        <v>279</v>
      </c>
      <c r="K805" s="395">
        <v>198</v>
      </c>
      <c r="L805" s="397">
        <v>0.7097</v>
      </c>
      <c r="M805" s="395">
        <v>81</v>
      </c>
      <c r="N805" s="395">
        <v>473</v>
      </c>
      <c r="O805" s="396">
        <v>1385</v>
      </c>
      <c r="P805" s="395">
        <v>0.79</v>
      </c>
      <c r="Q805" s="396">
        <v>-1756</v>
      </c>
      <c r="R805" s="396">
        <v>6949</v>
      </c>
      <c r="S805" s="396">
        <v>-7148</v>
      </c>
      <c r="T805" s="396">
        <v>233662</v>
      </c>
      <c r="U805" s="396">
        <v>-136432</v>
      </c>
      <c r="V805" s="395">
        <v>2251.85</v>
      </c>
      <c r="W805" s="395">
        <v>1070.8900000000001</v>
      </c>
      <c r="X805" s="395">
        <v>77490</v>
      </c>
      <c r="Y805" s="395">
        <v>5138.63</v>
      </c>
      <c r="Z805" s="396">
        <v>18124509</v>
      </c>
      <c r="AA805" s="396">
        <v>132095</v>
      </c>
      <c r="AB805" s="396">
        <v>41715183</v>
      </c>
      <c r="AC805" s="396">
        <v>10207916</v>
      </c>
    </row>
    <row r="806" spans="1:29">
      <c r="A806">
        <v>4129</v>
      </c>
      <c r="B806" s="395" t="s">
        <v>7569</v>
      </c>
      <c r="C806" s="395"/>
      <c r="D806" s="396">
        <v>132036</v>
      </c>
      <c r="E806" s="396">
        <v>189833</v>
      </c>
      <c r="F806" s="395">
        <v>3.28</v>
      </c>
      <c r="G806" s="396">
        <v>-57797</v>
      </c>
      <c r="H806" s="396">
        <v>27476</v>
      </c>
      <c r="I806" s="396">
        <v>2568969</v>
      </c>
      <c r="J806" s="395">
        <v>211</v>
      </c>
      <c r="K806" s="395">
        <v>161</v>
      </c>
      <c r="L806" s="397">
        <v>0.76300000000000001</v>
      </c>
      <c r="M806" s="395">
        <v>50</v>
      </c>
      <c r="N806" s="395">
        <v>626</v>
      </c>
      <c r="O806" s="396">
        <v>1179</v>
      </c>
      <c r="P806" s="395">
        <v>1.02</v>
      </c>
      <c r="Q806" s="396">
        <v>-1156</v>
      </c>
      <c r="R806" s="396">
        <v>3622</v>
      </c>
      <c r="S806" s="396">
        <v>-3244</v>
      </c>
      <c r="T806" s="396">
        <v>191769</v>
      </c>
      <c r="U806" s="396">
        <v>-100978</v>
      </c>
      <c r="V806" s="395">
        <v>9287.14</v>
      </c>
      <c r="W806" s="395">
        <v>8352.39</v>
      </c>
      <c r="X806" s="395">
        <v>77490</v>
      </c>
      <c r="Y806" s="395">
        <v>12297.04</v>
      </c>
      <c r="Z806" s="396">
        <v>-12588614</v>
      </c>
      <c r="AA806" s="396">
        <v>132036</v>
      </c>
      <c r="AB806" s="396">
        <v>-9316565</v>
      </c>
      <c r="AC806" s="396">
        <v>10207916</v>
      </c>
    </row>
    <row r="807" spans="1:29">
      <c r="A807">
        <v>6598</v>
      </c>
      <c r="B807" s="395" t="s">
        <v>8151</v>
      </c>
      <c r="C807" s="395"/>
      <c r="D807" s="396">
        <v>131744</v>
      </c>
      <c r="E807" s="396">
        <v>395174</v>
      </c>
      <c r="F807" s="395">
        <v>1.5</v>
      </c>
      <c r="G807" s="396">
        <v>-263430</v>
      </c>
      <c r="H807" s="396">
        <v>41456</v>
      </c>
      <c r="I807" s="396">
        <v>1274209</v>
      </c>
      <c r="J807" s="395">
        <v>239</v>
      </c>
      <c r="K807" s="395">
        <v>159</v>
      </c>
      <c r="L807" s="397">
        <v>0.6653</v>
      </c>
      <c r="M807" s="395">
        <v>80</v>
      </c>
      <c r="N807" s="395">
        <v>551</v>
      </c>
      <c r="O807" s="396">
        <v>2485</v>
      </c>
      <c r="P807" s="395">
        <v>0.75</v>
      </c>
      <c r="Q807" s="396">
        <v>-3293</v>
      </c>
      <c r="R807" s="396">
        <v>9998</v>
      </c>
      <c r="S807" s="396">
        <v>-17561</v>
      </c>
      <c r="T807" s="396">
        <v>312070</v>
      </c>
      <c r="U807" s="396">
        <v>-176779</v>
      </c>
      <c r="V807" s="395">
        <v>3315.28</v>
      </c>
      <c r="W807" s="395">
        <v>2074.69</v>
      </c>
      <c r="X807" s="395">
        <v>77490</v>
      </c>
      <c r="Y807" s="395">
        <v>5780.98</v>
      </c>
      <c r="Z807" s="396">
        <v>-29924858</v>
      </c>
      <c r="AA807" s="396">
        <v>131744</v>
      </c>
      <c r="AB807" s="396">
        <v>-23059829</v>
      </c>
      <c r="AC807" s="396">
        <v>10207916</v>
      </c>
    </row>
    <row r="808" spans="1:29">
      <c r="A808">
        <v>3646</v>
      </c>
      <c r="B808" s="395" t="s">
        <v>7514</v>
      </c>
      <c r="C808" s="395"/>
      <c r="D808" s="396">
        <v>131388</v>
      </c>
      <c r="E808" s="396">
        <v>172591</v>
      </c>
      <c r="F808" s="395">
        <v>4.1900000000000004</v>
      </c>
      <c r="G808" s="396">
        <v>-41203</v>
      </c>
      <c r="H808" s="396">
        <v>24957</v>
      </c>
      <c r="I808" s="396">
        <v>747491</v>
      </c>
      <c r="J808" s="395">
        <v>234</v>
      </c>
      <c r="K808" s="395">
        <v>196</v>
      </c>
      <c r="L808" s="397">
        <v>0.83760000000000001</v>
      </c>
      <c r="M808" s="395">
        <v>38</v>
      </c>
      <c r="N808" s="395">
        <v>561</v>
      </c>
      <c r="O808" s="395">
        <v>881</v>
      </c>
      <c r="P808" s="395">
        <v>0.81</v>
      </c>
      <c r="Q808" s="396">
        <v>-1084</v>
      </c>
      <c r="R808" s="396">
        <v>3658</v>
      </c>
      <c r="S808" s="396">
        <v>-4066</v>
      </c>
      <c r="T808" s="396">
        <v>176698</v>
      </c>
      <c r="U808" s="396">
        <v>-68004</v>
      </c>
      <c r="V808" s="395">
        <v>2365.54</v>
      </c>
      <c r="W808" s="395">
        <v>1968.29</v>
      </c>
      <c r="X808" s="395">
        <v>77490</v>
      </c>
      <c r="Y808" s="395">
        <v>4414.53</v>
      </c>
      <c r="Z808" s="396">
        <v>-7482080</v>
      </c>
      <c r="AA808" s="396">
        <v>131388</v>
      </c>
      <c r="AB808" s="396">
        <v>14559462</v>
      </c>
      <c r="AC808" s="396">
        <v>10207916</v>
      </c>
    </row>
    <row r="809" spans="1:29">
      <c r="A809">
        <v>3684</v>
      </c>
      <c r="B809" s="395" t="s">
        <v>7529</v>
      </c>
      <c r="C809" s="395"/>
      <c r="D809" s="396">
        <v>131246</v>
      </c>
      <c r="E809" s="396">
        <v>153209</v>
      </c>
      <c r="F809" s="395">
        <v>6.98</v>
      </c>
      <c r="G809" s="396">
        <v>-21963</v>
      </c>
      <c r="H809" s="396">
        <v>16631</v>
      </c>
      <c r="I809" s="396">
        <v>793300</v>
      </c>
      <c r="J809" s="395">
        <v>81</v>
      </c>
      <c r="K809" s="395">
        <v>65</v>
      </c>
      <c r="L809" s="397">
        <v>0.80249999999999999</v>
      </c>
      <c r="M809" s="395">
        <v>16</v>
      </c>
      <c r="N809" s="396">
        <v>1620</v>
      </c>
      <c r="O809" s="396">
        <v>2357</v>
      </c>
      <c r="P809" s="395">
        <v>1.72</v>
      </c>
      <c r="Q809" s="396">
        <v>-1373</v>
      </c>
      <c r="R809" s="396">
        <v>6406</v>
      </c>
      <c r="S809" s="396">
        <v>-5060</v>
      </c>
      <c r="T809" s="396">
        <v>187715</v>
      </c>
      <c r="U809" s="396">
        <v>-63064</v>
      </c>
      <c r="V809" s="395">
        <v>7061.88</v>
      </c>
      <c r="W809" s="395">
        <v>7106.62</v>
      </c>
      <c r="X809" s="395">
        <v>75870</v>
      </c>
      <c r="Y809" s="395">
        <v>6880.12</v>
      </c>
      <c r="Z809" s="396">
        <v>2008916</v>
      </c>
      <c r="AA809" s="396">
        <v>131246</v>
      </c>
      <c r="AB809" s="396">
        <v>41564652</v>
      </c>
      <c r="AC809" s="396">
        <v>10207916</v>
      </c>
    </row>
    <row r="810" spans="1:29">
      <c r="A810">
        <v>8107</v>
      </c>
      <c r="B810" s="395" t="s">
        <v>8277</v>
      </c>
      <c r="C810" s="395"/>
      <c r="D810" s="396">
        <v>130891</v>
      </c>
      <c r="E810" s="396">
        <v>215032</v>
      </c>
      <c r="F810" s="395">
        <v>2.56</v>
      </c>
      <c r="G810" s="396">
        <v>-84141</v>
      </c>
      <c r="H810" s="396">
        <v>19736</v>
      </c>
      <c r="I810" s="396">
        <v>1002690</v>
      </c>
      <c r="J810" s="395">
        <v>241</v>
      </c>
      <c r="K810" s="395">
        <v>187</v>
      </c>
      <c r="L810" s="397">
        <v>0.77590000000000003</v>
      </c>
      <c r="M810" s="395">
        <v>54</v>
      </c>
      <c r="N810" s="395">
        <v>543</v>
      </c>
      <c r="O810" s="396">
        <v>1150</v>
      </c>
      <c r="P810" s="395">
        <v>0.74</v>
      </c>
      <c r="Q810" s="396">
        <v>-1558</v>
      </c>
      <c r="R810" s="396">
        <v>5974</v>
      </c>
      <c r="S810" s="396">
        <v>-5049</v>
      </c>
      <c r="T810" s="396">
        <v>290723</v>
      </c>
      <c r="U810" s="396">
        <v>-178800</v>
      </c>
      <c r="V810" s="395">
        <v>3877.88</v>
      </c>
      <c r="W810" s="395">
        <v>2751.72</v>
      </c>
      <c r="X810" s="395">
        <v>77490</v>
      </c>
      <c r="Y810" s="395">
        <v>7777.7</v>
      </c>
      <c r="Z810" s="396">
        <v>-2920833</v>
      </c>
      <c r="AA810" s="396">
        <v>130891</v>
      </c>
      <c r="AB810" s="396">
        <v>2034358</v>
      </c>
      <c r="AC810" s="396">
        <v>10207916</v>
      </c>
    </row>
    <row r="811" spans="1:29">
      <c r="A811">
        <v>6179</v>
      </c>
      <c r="B811" s="395" t="s">
        <v>7969</v>
      </c>
      <c r="C811" s="395"/>
      <c r="D811" s="396">
        <v>130688</v>
      </c>
      <c r="E811" s="396">
        <v>265862</v>
      </c>
      <c r="F811" s="395">
        <v>1.97</v>
      </c>
      <c r="G811" s="396">
        <v>-135174</v>
      </c>
      <c r="H811" s="396">
        <v>31421</v>
      </c>
      <c r="I811" s="396">
        <v>2779892</v>
      </c>
      <c r="J811" s="395">
        <v>245</v>
      </c>
      <c r="K811" s="395">
        <v>179</v>
      </c>
      <c r="L811" s="397">
        <v>0.73060000000000003</v>
      </c>
      <c r="M811" s="395">
        <v>66</v>
      </c>
      <c r="N811" s="395">
        <v>533</v>
      </c>
      <c r="O811" s="396">
        <v>1485</v>
      </c>
      <c r="P811" s="395">
        <v>0.73</v>
      </c>
      <c r="Q811" s="396">
        <v>-2048</v>
      </c>
      <c r="R811" s="396">
        <v>5664</v>
      </c>
      <c r="S811" s="396">
        <v>-6257</v>
      </c>
      <c r="T811" s="396">
        <v>376195</v>
      </c>
      <c r="U811" s="396">
        <v>-239502</v>
      </c>
      <c r="V811" s="395">
        <v>7706.72</v>
      </c>
      <c r="W811" s="395">
        <v>6521.47</v>
      </c>
      <c r="X811" s="395">
        <v>77490</v>
      </c>
      <c r="Y811" s="395">
        <v>10921.26</v>
      </c>
      <c r="Z811" s="396">
        <v>-6873855</v>
      </c>
      <c r="AA811" s="396">
        <v>130688</v>
      </c>
      <c r="AB811" s="396">
        <v>-4946725</v>
      </c>
      <c r="AC811" s="396">
        <v>10207916</v>
      </c>
    </row>
    <row r="812" spans="1:29">
      <c r="A812">
        <v>6219</v>
      </c>
      <c r="B812" s="395" t="s">
        <v>8005</v>
      </c>
      <c r="C812" s="395"/>
      <c r="D812" s="396">
        <v>130636</v>
      </c>
      <c r="E812" s="396">
        <v>196636</v>
      </c>
      <c r="F812" s="395">
        <v>2.98</v>
      </c>
      <c r="G812" s="396">
        <v>-66000</v>
      </c>
      <c r="H812" s="396">
        <v>22199</v>
      </c>
      <c r="I812" s="396">
        <v>1545396</v>
      </c>
      <c r="J812" s="395">
        <v>264</v>
      </c>
      <c r="K812" s="395">
        <v>191</v>
      </c>
      <c r="L812" s="397">
        <v>0.72350000000000003</v>
      </c>
      <c r="M812" s="395">
        <v>73</v>
      </c>
      <c r="N812" s="395">
        <v>495</v>
      </c>
      <c r="O812" s="396">
        <v>1030</v>
      </c>
      <c r="P812" s="395">
        <v>1.1399999999999999</v>
      </c>
      <c r="Q812" s="395">
        <v>-904</v>
      </c>
      <c r="R812" s="396">
        <v>2874</v>
      </c>
      <c r="S812" s="396">
        <v>-3837</v>
      </c>
      <c r="T812" s="396">
        <v>239425</v>
      </c>
      <c r="U812" s="396">
        <v>-179151</v>
      </c>
      <c r="V812" s="395">
        <v>5849.2</v>
      </c>
      <c r="W812" s="395">
        <v>3675.99</v>
      </c>
      <c r="X812" s="395">
        <v>77490</v>
      </c>
      <c r="Y812" s="395">
        <v>11535.27</v>
      </c>
      <c r="Z812" s="396">
        <v>1281330</v>
      </c>
      <c r="AA812" s="396">
        <v>130636</v>
      </c>
      <c r="AB812" s="396">
        <v>-2964777</v>
      </c>
      <c r="AC812" s="396">
        <v>10207916</v>
      </c>
    </row>
    <row r="813" spans="1:29">
      <c r="A813">
        <v>3581</v>
      </c>
      <c r="B813" s="395" t="s">
        <v>7487</v>
      </c>
      <c r="C813" s="395"/>
      <c r="D813" s="396">
        <v>129843</v>
      </c>
      <c r="E813" s="396">
        <v>169318</v>
      </c>
      <c r="F813" s="395">
        <v>4.29</v>
      </c>
      <c r="G813" s="396">
        <v>-39475</v>
      </c>
      <c r="H813" s="396">
        <v>23607</v>
      </c>
      <c r="I813" s="396">
        <v>902784</v>
      </c>
      <c r="J813" s="395">
        <v>223</v>
      </c>
      <c r="K813" s="395">
        <v>195</v>
      </c>
      <c r="L813" s="397">
        <v>0.87439999999999996</v>
      </c>
      <c r="M813" s="395">
        <v>28</v>
      </c>
      <c r="N813" s="395">
        <v>582</v>
      </c>
      <c r="O813" s="395">
        <v>868</v>
      </c>
      <c r="P813" s="395">
        <v>0.62</v>
      </c>
      <c r="Q813" s="396">
        <v>-1410</v>
      </c>
      <c r="R813" s="396">
        <v>3803</v>
      </c>
      <c r="S813" s="396">
        <v>-6217</v>
      </c>
      <c r="T813" s="396">
        <v>170351</v>
      </c>
      <c r="U813" s="396">
        <v>-76967</v>
      </c>
      <c r="V813" s="395">
        <v>2203.71</v>
      </c>
      <c r="W813" s="395">
        <v>1686.73</v>
      </c>
      <c r="X813" s="395">
        <v>77490</v>
      </c>
      <c r="Y813" s="395">
        <v>5804.11</v>
      </c>
      <c r="Z813" s="396">
        <v>6322679</v>
      </c>
      <c r="AA813" s="396">
        <v>129843</v>
      </c>
      <c r="AB813" s="396">
        <v>11676223</v>
      </c>
      <c r="AC813" s="396">
        <v>10207916</v>
      </c>
    </row>
    <row r="814" spans="1:29">
      <c r="A814">
        <v>5607</v>
      </c>
      <c r="B814" s="395" t="s">
        <v>7881</v>
      </c>
      <c r="C814" s="395"/>
      <c r="D814" s="396">
        <v>129826</v>
      </c>
      <c r="E814" s="396">
        <v>243503</v>
      </c>
      <c r="F814" s="395">
        <v>2.14</v>
      </c>
      <c r="G814" s="396">
        <v>-113677</v>
      </c>
      <c r="H814" s="396">
        <v>46275</v>
      </c>
      <c r="I814" s="396">
        <v>2010235</v>
      </c>
      <c r="J814" s="395">
        <v>268</v>
      </c>
      <c r="K814" s="395">
        <v>215</v>
      </c>
      <c r="L814" s="397">
        <v>0.80220000000000002</v>
      </c>
      <c r="M814" s="395">
        <v>53</v>
      </c>
      <c r="N814" s="395">
        <v>484</v>
      </c>
      <c r="O814" s="396">
        <v>1133</v>
      </c>
      <c r="P814" s="395">
        <v>0.53</v>
      </c>
      <c r="Q814" s="396">
        <v>-2145</v>
      </c>
      <c r="R814" s="396">
        <v>5335</v>
      </c>
      <c r="S814" s="396">
        <v>-11074</v>
      </c>
      <c r="T814" s="396">
        <v>246794</v>
      </c>
      <c r="U814" s="396">
        <v>-186955</v>
      </c>
      <c r="V814" s="395">
        <v>1809.16</v>
      </c>
      <c r="W814" s="395">
        <v>1144.29</v>
      </c>
      <c r="X814" s="395">
        <v>77490</v>
      </c>
      <c r="Y814" s="395">
        <v>4506.26</v>
      </c>
      <c r="Z814" s="396">
        <v>47695300</v>
      </c>
      <c r="AA814" s="396">
        <v>129826</v>
      </c>
      <c r="AB814" s="396">
        <v>59262278</v>
      </c>
      <c r="AC814" s="396">
        <v>10207916</v>
      </c>
    </row>
    <row r="815" spans="1:29">
      <c r="A815">
        <v>2413</v>
      </c>
      <c r="B815" s="395" t="s">
        <v>7044</v>
      </c>
      <c r="C815" s="395"/>
      <c r="D815" s="396">
        <v>129790</v>
      </c>
      <c r="E815" s="396">
        <v>226468</v>
      </c>
      <c r="F815" s="395">
        <v>2.34</v>
      </c>
      <c r="G815" s="396">
        <v>-96678</v>
      </c>
      <c r="H815" s="396">
        <v>22810</v>
      </c>
      <c r="I815" s="396">
        <v>1525190</v>
      </c>
      <c r="J815" s="395">
        <v>255</v>
      </c>
      <c r="K815" s="395">
        <v>172</v>
      </c>
      <c r="L815" s="397">
        <v>0.67449999999999999</v>
      </c>
      <c r="M815" s="395">
        <v>83</v>
      </c>
      <c r="N815" s="395">
        <v>509</v>
      </c>
      <c r="O815" s="396">
        <v>1317</v>
      </c>
      <c r="P815" s="395">
        <v>1.1299999999999999</v>
      </c>
      <c r="Q815" s="396">
        <v>-1165</v>
      </c>
      <c r="R815" s="396">
        <v>5116</v>
      </c>
      <c r="S815" s="396">
        <v>-4503</v>
      </c>
      <c r="T815" s="396">
        <v>293273</v>
      </c>
      <c r="U815" s="396">
        <v>-204096</v>
      </c>
      <c r="V815" s="395">
        <v>5249.35</v>
      </c>
      <c r="W815" s="395">
        <v>2181.44</v>
      </c>
      <c r="X815" s="395">
        <v>77490</v>
      </c>
      <c r="Y815" s="395">
        <v>11606.94</v>
      </c>
      <c r="Z815" s="396">
        <v>3506550</v>
      </c>
      <c r="AA815" s="396">
        <v>129790</v>
      </c>
      <c r="AB815" s="396">
        <v>-10279208</v>
      </c>
      <c r="AC815" s="396">
        <v>10207916</v>
      </c>
    </row>
    <row r="816" spans="1:29">
      <c r="A816">
        <v>4927</v>
      </c>
      <c r="B816" s="395" t="s">
        <v>7715</v>
      </c>
      <c r="C816" s="395"/>
      <c r="D816" s="396">
        <v>129541</v>
      </c>
      <c r="E816" s="396">
        <v>527368</v>
      </c>
      <c r="F816" s="395">
        <v>1.33</v>
      </c>
      <c r="G816" s="396">
        <v>-397827</v>
      </c>
      <c r="H816" s="396">
        <v>86817</v>
      </c>
      <c r="I816" s="396">
        <v>2810853</v>
      </c>
      <c r="J816" s="395">
        <v>279</v>
      </c>
      <c r="K816" s="395">
        <v>219</v>
      </c>
      <c r="L816" s="397">
        <v>0.78490000000000004</v>
      </c>
      <c r="M816" s="395">
        <v>60</v>
      </c>
      <c r="N816" s="395">
        <v>464</v>
      </c>
      <c r="O816" s="396">
        <v>2408</v>
      </c>
      <c r="P816" s="395">
        <v>0.36</v>
      </c>
      <c r="Q816" s="396">
        <v>-6630</v>
      </c>
      <c r="R816" s="396">
        <v>11046</v>
      </c>
      <c r="S816" s="396">
        <v>-30835</v>
      </c>
      <c r="T816" s="396">
        <v>602306</v>
      </c>
      <c r="U816" s="396">
        <v>-403376</v>
      </c>
      <c r="V816" s="395">
        <v>2060.08</v>
      </c>
      <c r="W816" s="395">
        <v>1430.11</v>
      </c>
      <c r="X816" s="395">
        <v>77490</v>
      </c>
      <c r="Y816" s="395">
        <v>4359.5</v>
      </c>
      <c r="Z816" s="396">
        <v>-948313</v>
      </c>
      <c r="AA816" s="396">
        <v>129541</v>
      </c>
      <c r="AB816" s="396">
        <v>21564812</v>
      </c>
      <c r="AC816" s="396">
        <v>10207916</v>
      </c>
    </row>
    <row r="817" spans="1:29">
      <c r="A817">
        <v>2235</v>
      </c>
      <c r="B817" s="395" t="s">
        <v>6965</v>
      </c>
      <c r="C817" s="395"/>
      <c r="D817" s="396">
        <v>129313</v>
      </c>
      <c r="E817" s="396">
        <v>148040</v>
      </c>
      <c r="F817" s="395">
        <v>7.91</v>
      </c>
      <c r="G817" s="396">
        <v>-18726</v>
      </c>
      <c r="H817" s="396">
        <v>13904</v>
      </c>
      <c r="I817" s="396">
        <v>965933</v>
      </c>
      <c r="J817" s="395">
        <v>82</v>
      </c>
      <c r="K817" s="395">
        <v>71</v>
      </c>
      <c r="L817" s="397">
        <v>0.8659</v>
      </c>
      <c r="M817" s="395">
        <v>11</v>
      </c>
      <c r="N817" s="396">
        <v>1577</v>
      </c>
      <c r="O817" s="396">
        <v>2085</v>
      </c>
      <c r="P817" s="395">
        <v>1.23</v>
      </c>
      <c r="Q817" s="396">
        <v>-1702</v>
      </c>
      <c r="R817" s="396">
        <v>4369</v>
      </c>
      <c r="S817" s="396">
        <v>-3167</v>
      </c>
      <c r="T817" s="396">
        <v>146150</v>
      </c>
      <c r="U817" s="396">
        <v>-41308</v>
      </c>
      <c r="V817" s="395">
        <v>8654.39</v>
      </c>
      <c r="W817" s="395">
        <v>8722.0300000000007</v>
      </c>
      <c r="X817" s="395">
        <v>72360</v>
      </c>
      <c r="Y817" s="395">
        <v>8217.82</v>
      </c>
      <c r="Z817" s="396">
        <v>-7980073</v>
      </c>
      <c r="AA817" s="396">
        <v>129313</v>
      </c>
      <c r="AB817" s="396">
        <v>-5078980</v>
      </c>
      <c r="AC817" s="396">
        <v>10207916</v>
      </c>
    </row>
    <row r="818" spans="1:29">
      <c r="A818">
        <v>5272</v>
      </c>
      <c r="B818" s="395" t="s">
        <v>7785</v>
      </c>
      <c r="C818" s="395"/>
      <c r="D818" s="396">
        <v>128902</v>
      </c>
      <c r="E818" s="396">
        <v>287090</v>
      </c>
      <c r="F818" s="395">
        <v>1.81</v>
      </c>
      <c r="G818" s="396">
        <v>-158188</v>
      </c>
      <c r="H818" s="396">
        <v>35348</v>
      </c>
      <c r="I818" s="396">
        <v>1500060</v>
      </c>
      <c r="J818" s="395">
        <v>258</v>
      </c>
      <c r="K818" s="395">
        <v>196</v>
      </c>
      <c r="L818" s="397">
        <v>0.75970000000000004</v>
      </c>
      <c r="M818" s="395">
        <v>62</v>
      </c>
      <c r="N818" s="395">
        <v>500</v>
      </c>
      <c r="O818" s="396">
        <v>1465</v>
      </c>
      <c r="P818" s="395">
        <v>0.56999999999999995</v>
      </c>
      <c r="Q818" s="396">
        <v>-2551</v>
      </c>
      <c r="R818" s="396">
        <v>7686</v>
      </c>
      <c r="S818" s="396">
        <v>-9498</v>
      </c>
      <c r="T818" s="396">
        <v>267983</v>
      </c>
      <c r="U818" s="396">
        <v>-199598</v>
      </c>
      <c r="V818" s="395">
        <v>2479.5500000000002</v>
      </c>
      <c r="W818" s="395">
        <v>1279.27</v>
      </c>
      <c r="X818" s="395">
        <v>77490</v>
      </c>
      <c r="Y818" s="395">
        <v>6274.02</v>
      </c>
      <c r="Z818" s="396">
        <v>-3657609</v>
      </c>
      <c r="AA818" s="396">
        <v>128902</v>
      </c>
      <c r="AB818" s="396">
        <v>23793617</v>
      </c>
      <c r="AC818" s="396">
        <v>10207916</v>
      </c>
    </row>
    <row r="819" spans="1:29">
      <c r="A819">
        <v>2008</v>
      </c>
      <c r="B819" s="395" t="s">
        <v>6908</v>
      </c>
      <c r="C819" s="395"/>
      <c r="D819" s="396">
        <v>128124</v>
      </c>
      <c r="E819" s="396">
        <v>186355</v>
      </c>
      <c r="F819" s="395">
        <v>3.2</v>
      </c>
      <c r="G819" s="396">
        <v>-58231</v>
      </c>
      <c r="H819" s="396">
        <v>20376</v>
      </c>
      <c r="I819" s="396">
        <v>934417</v>
      </c>
      <c r="J819" s="395">
        <v>255</v>
      </c>
      <c r="K819" s="395">
        <v>201</v>
      </c>
      <c r="L819" s="397">
        <v>0.78820000000000001</v>
      </c>
      <c r="M819" s="395">
        <v>54</v>
      </c>
      <c r="N819" s="395">
        <v>502</v>
      </c>
      <c r="O819" s="395">
        <v>927</v>
      </c>
      <c r="P819" s="395">
        <v>0.86</v>
      </c>
      <c r="Q819" s="396">
        <v>-1078</v>
      </c>
      <c r="R819" s="396">
        <v>2924</v>
      </c>
      <c r="S819" s="396">
        <v>-3839</v>
      </c>
      <c r="T819" s="396">
        <v>171508</v>
      </c>
      <c r="U819" s="396">
        <v>-76842</v>
      </c>
      <c r="V819" s="395">
        <v>3114.56</v>
      </c>
      <c r="W819" s="395">
        <v>2253.86</v>
      </c>
      <c r="X819" s="395">
        <v>77490</v>
      </c>
      <c r="Y819" s="395">
        <v>6318.3</v>
      </c>
      <c r="Z819" s="396">
        <v>-5186134</v>
      </c>
      <c r="AA819" s="396">
        <v>128124</v>
      </c>
      <c r="AB819" s="396">
        <v>185090</v>
      </c>
      <c r="AC819" s="396">
        <v>10207916</v>
      </c>
    </row>
    <row r="820" spans="1:29">
      <c r="A820">
        <v>5493</v>
      </c>
      <c r="B820" s="395" t="s">
        <v>7855</v>
      </c>
      <c r="C820" s="395"/>
      <c r="D820" s="396">
        <v>127428</v>
      </c>
      <c r="E820" s="396">
        <v>137857</v>
      </c>
      <c r="F820" s="395">
        <v>13.22</v>
      </c>
      <c r="G820" s="396">
        <v>-10429</v>
      </c>
      <c r="H820" s="396">
        <v>21738</v>
      </c>
      <c r="I820" s="396">
        <v>2064147</v>
      </c>
      <c r="J820" s="395">
        <v>125</v>
      </c>
      <c r="K820" s="395">
        <v>108</v>
      </c>
      <c r="L820" s="397">
        <v>0.86399999999999999</v>
      </c>
      <c r="M820" s="395">
        <v>17</v>
      </c>
      <c r="N820" s="396">
        <v>1019</v>
      </c>
      <c r="O820" s="396">
        <v>1276</v>
      </c>
      <c r="P820" s="395">
        <v>2.08</v>
      </c>
      <c r="Q820" s="395">
        <v>-613</v>
      </c>
      <c r="R820" s="396">
        <v>5039</v>
      </c>
      <c r="S820" s="396">
        <v>-1530</v>
      </c>
      <c r="T820" s="396">
        <v>163240</v>
      </c>
      <c r="U820" s="396">
        <v>-50298</v>
      </c>
      <c r="V820" s="395">
        <v>10329.030000000001</v>
      </c>
      <c r="W820" s="395">
        <v>10800.31</v>
      </c>
      <c r="X820" s="395">
        <v>76950</v>
      </c>
      <c r="Y820" s="395">
        <v>7335</v>
      </c>
      <c r="Z820" s="396">
        <v>4539357</v>
      </c>
      <c r="AA820" s="396">
        <v>127428</v>
      </c>
      <c r="AB820" s="396">
        <v>6065216</v>
      </c>
      <c r="AC820" s="396">
        <v>10207916</v>
      </c>
    </row>
    <row r="821" spans="1:29">
      <c r="A821">
        <v>2426</v>
      </c>
      <c r="B821" s="395" t="s">
        <v>7054</v>
      </c>
      <c r="C821" s="395"/>
      <c r="D821" s="396">
        <v>127260</v>
      </c>
      <c r="E821" s="396">
        <v>217058</v>
      </c>
      <c r="F821" s="395">
        <v>2.42</v>
      </c>
      <c r="G821" s="396">
        <v>-89798</v>
      </c>
      <c r="H821" s="396">
        <v>27860</v>
      </c>
      <c r="I821" s="396">
        <v>1324481</v>
      </c>
      <c r="J821" s="395">
        <v>270</v>
      </c>
      <c r="K821" s="395">
        <v>212</v>
      </c>
      <c r="L821" s="397">
        <v>0.78520000000000001</v>
      </c>
      <c r="M821" s="395">
        <v>58</v>
      </c>
      <c r="N821" s="395">
        <v>471</v>
      </c>
      <c r="O821" s="396">
        <v>1024</v>
      </c>
      <c r="P821" s="395">
        <v>0.66</v>
      </c>
      <c r="Q821" s="396">
        <v>-1548</v>
      </c>
      <c r="R821" s="396">
        <v>5858</v>
      </c>
      <c r="S821" s="396">
        <v>-6312</v>
      </c>
      <c r="T821" s="396">
        <v>266697</v>
      </c>
      <c r="U821" s="396">
        <v>-191083</v>
      </c>
      <c r="V821" s="395">
        <v>2847.43</v>
      </c>
      <c r="W821" s="395">
        <v>1923.83</v>
      </c>
      <c r="X821" s="395">
        <v>77490</v>
      </c>
      <c r="Y821" s="395">
        <v>6223.34</v>
      </c>
      <c r="Z821" s="396">
        <v>-4403432</v>
      </c>
      <c r="AA821" s="396">
        <v>127260</v>
      </c>
      <c r="AB821" s="396">
        <v>25076343</v>
      </c>
      <c r="AC821" s="396">
        <v>10207916</v>
      </c>
    </row>
    <row r="822" spans="1:29">
      <c r="A822">
        <v>2390</v>
      </c>
      <c r="B822" s="395" t="s">
        <v>7030</v>
      </c>
      <c r="C822" s="395"/>
      <c r="D822" s="396">
        <v>127219</v>
      </c>
      <c r="E822" s="396">
        <v>177369</v>
      </c>
      <c r="F822" s="395">
        <v>3.54</v>
      </c>
      <c r="G822" s="396">
        <v>-50150</v>
      </c>
      <c r="H822" s="396">
        <v>22981</v>
      </c>
      <c r="I822" s="396">
        <v>905534</v>
      </c>
      <c r="J822" s="395">
        <v>266</v>
      </c>
      <c r="K822" s="395">
        <v>217</v>
      </c>
      <c r="L822" s="397">
        <v>0.81579999999999997</v>
      </c>
      <c r="M822" s="395">
        <v>49</v>
      </c>
      <c r="N822" s="395">
        <v>478</v>
      </c>
      <c r="O822" s="395">
        <v>817</v>
      </c>
      <c r="P822" s="395">
        <v>0.8</v>
      </c>
      <c r="Q822" s="396">
        <v>-1023</v>
      </c>
      <c r="R822" s="396">
        <v>3517</v>
      </c>
      <c r="S822" s="396">
        <v>-3697</v>
      </c>
      <c r="T822" s="396">
        <v>169276</v>
      </c>
      <c r="U822" s="396">
        <v>-107388</v>
      </c>
      <c r="V822" s="395">
        <v>1912.52</v>
      </c>
      <c r="W822" s="395">
        <v>1313.71</v>
      </c>
      <c r="X822" s="395">
        <v>77490</v>
      </c>
      <c r="Y822" s="395">
        <v>4564.43</v>
      </c>
      <c r="Z822" s="396">
        <v>6120371</v>
      </c>
      <c r="AA822" s="396">
        <v>127219</v>
      </c>
      <c r="AB822" s="396">
        <v>15488294</v>
      </c>
      <c r="AC822" s="396">
        <v>10207916</v>
      </c>
    </row>
    <row r="823" spans="1:29">
      <c r="A823">
        <v>2374</v>
      </c>
      <c r="B823" s="395" t="s">
        <v>7019</v>
      </c>
      <c r="C823" s="395"/>
      <c r="D823" s="396">
        <v>127195</v>
      </c>
      <c r="E823" s="396">
        <v>146564</v>
      </c>
      <c r="F823" s="395">
        <v>7.57</v>
      </c>
      <c r="G823" s="396">
        <v>-19369</v>
      </c>
      <c r="H823" s="396">
        <v>20520</v>
      </c>
      <c r="I823" s="396">
        <v>398630</v>
      </c>
      <c r="J823" s="395">
        <v>266</v>
      </c>
      <c r="K823" s="395">
        <v>235</v>
      </c>
      <c r="L823" s="397">
        <v>0.88349999999999995</v>
      </c>
      <c r="M823" s="395">
        <v>31</v>
      </c>
      <c r="N823" s="395">
        <v>478</v>
      </c>
      <c r="O823" s="395">
        <v>624</v>
      </c>
      <c r="P823" s="395">
        <v>1</v>
      </c>
      <c r="Q823" s="395">
        <v>-625</v>
      </c>
      <c r="R823" s="396">
        <v>2339</v>
      </c>
      <c r="S823" s="396">
        <v>-3472</v>
      </c>
      <c r="T823" s="396">
        <v>135278</v>
      </c>
      <c r="U823" s="396">
        <v>-36102</v>
      </c>
      <c r="V823" s="395">
        <v>1667.29</v>
      </c>
      <c r="W823" s="395">
        <v>1324.87</v>
      </c>
      <c r="X823" s="395">
        <v>77490</v>
      </c>
      <c r="Y823" s="395">
        <v>4263.03</v>
      </c>
      <c r="Z823" s="396">
        <v>32115075</v>
      </c>
      <c r="AA823" s="396">
        <v>127195</v>
      </c>
      <c r="AB823" s="396">
        <v>43303694</v>
      </c>
      <c r="AC823" s="396">
        <v>10207916</v>
      </c>
    </row>
    <row r="824" spans="1:29">
      <c r="A824">
        <v>1731</v>
      </c>
      <c r="B824" s="395" t="s">
        <v>6866</v>
      </c>
      <c r="C824" s="395"/>
      <c r="D824" s="396">
        <v>127134</v>
      </c>
      <c r="E824" s="396">
        <v>132418</v>
      </c>
      <c r="F824" s="395">
        <v>25.06</v>
      </c>
      <c r="G824" s="396">
        <v>-5284</v>
      </c>
      <c r="H824" s="396">
        <v>18933</v>
      </c>
      <c r="I824" s="396">
        <v>1671094</v>
      </c>
      <c r="J824" s="395">
        <v>242</v>
      </c>
      <c r="K824" s="395">
        <v>226</v>
      </c>
      <c r="L824" s="397">
        <v>0.93389999999999995</v>
      </c>
      <c r="M824" s="395">
        <v>16</v>
      </c>
      <c r="N824" s="395">
        <v>525</v>
      </c>
      <c r="O824" s="395">
        <v>586</v>
      </c>
      <c r="P824" s="395">
        <v>1.78</v>
      </c>
      <c r="Q824" s="395">
        <v>-330</v>
      </c>
      <c r="R824" s="396">
        <v>1804</v>
      </c>
      <c r="S824" s="395">
        <v>-989</v>
      </c>
      <c r="T824" s="396">
        <v>166043</v>
      </c>
      <c r="U824" s="396">
        <v>-84894</v>
      </c>
      <c r="V824" s="395">
        <v>6629.27</v>
      </c>
      <c r="W824" s="395">
        <v>6817.81</v>
      </c>
      <c r="X824" s="395">
        <v>77490</v>
      </c>
      <c r="Y824" s="395">
        <v>3966.12</v>
      </c>
      <c r="Z824" s="396">
        <v>2180244</v>
      </c>
      <c r="AA824" s="396">
        <v>127134</v>
      </c>
      <c r="AB824" s="396">
        <v>9344626</v>
      </c>
      <c r="AC824" s="396">
        <v>10207916</v>
      </c>
    </row>
    <row r="825" spans="1:29">
      <c r="A825">
        <v>4426</v>
      </c>
      <c r="B825" s="395" t="s">
        <v>7615</v>
      </c>
      <c r="C825" s="395"/>
      <c r="D825" s="396">
        <v>126853</v>
      </c>
      <c r="E825" s="396">
        <v>238667</v>
      </c>
      <c r="F825" s="395">
        <v>2.13</v>
      </c>
      <c r="G825" s="396">
        <v>-111814</v>
      </c>
      <c r="H825" s="396">
        <v>23097</v>
      </c>
      <c r="I825" s="396">
        <v>2107926</v>
      </c>
      <c r="J825" s="395">
        <v>246</v>
      </c>
      <c r="K825" s="395">
        <v>167</v>
      </c>
      <c r="L825" s="397">
        <v>0.67889999999999995</v>
      </c>
      <c r="M825" s="395">
        <v>79</v>
      </c>
      <c r="N825" s="395">
        <v>516</v>
      </c>
      <c r="O825" s="396">
        <v>1429</v>
      </c>
      <c r="P825" s="395">
        <v>1.01</v>
      </c>
      <c r="Q825" s="396">
        <v>-1415</v>
      </c>
      <c r="R825" s="396">
        <v>4072</v>
      </c>
      <c r="S825" s="396">
        <v>-5761</v>
      </c>
      <c r="T825" s="396">
        <v>385362</v>
      </c>
      <c r="U825" s="396">
        <v>-298648</v>
      </c>
      <c r="V825" s="395">
        <v>7639.39</v>
      </c>
      <c r="W825" s="395">
        <v>4160.67</v>
      </c>
      <c r="X825" s="395">
        <v>77490</v>
      </c>
      <c r="Y825" s="395">
        <v>14993.15</v>
      </c>
      <c r="Z825" s="396">
        <v>-15315625</v>
      </c>
      <c r="AA825" s="396">
        <v>126853</v>
      </c>
      <c r="AB825" s="396">
        <v>-11663212</v>
      </c>
      <c r="AC825" s="396">
        <v>10207916</v>
      </c>
    </row>
    <row r="826" spans="1:29">
      <c r="A826">
        <v>1727</v>
      </c>
      <c r="B826" s="395" t="s">
        <v>6864</v>
      </c>
      <c r="C826" s="395"/>
      <c r="D826" s="396">
        <v>126536</v>
      </c>
      <c r="E826" s="396">
        <v>201366</v>
      </c>
      <c r="F826" s="395">
        <v>2.69</v>
      </c>
      <c r="G826" s="396">
        <v>-74830</v>
      </c>
      <c r="H826" s="396">
        <v>27664</v>
      </c>
      <c r="I826" s="396">
        <v>684922</v>
      </c>
      <c r="J826" s="395">
        <v>250</v>
      </c>
      <c r="K826" s="395">
        <v>202</v>
      </c>
      <c r="L826" s="397">
        <v>0.80800000000000005</v>
      </c>
      <c r="M826" s="395">
        <v>48</v>
      </c>
      <c r="N826" s="395">
        <v>506</v>
      </c>
      <c r="O826" s="395">
        <v>997</v>
      </c>
      <c r="P826" s="395">
        <v>0.64</v>
      </c>
      <c r="Q826" s="396">
        <v>-1559</v>
      </c>
      <c r="R826" s="396">
        <v>6040</v>
      </c>
      <c r="S826" s="396">
        <v>-5366</v>
      </c>
      <c r="T826" s="396">
        <v>175508</v>
      </c>
      <c r="U826" s="396">
        <v>-71844</v>
      </c>
      <c r="V826" s="395">
        <v>1867.67</v>
      </c>
      <c r="W826" s="395">
        <v>1508.16</v>
      </c>
      <c r="X826" s="395">
        <v>77490</v>
      </c>
      <c r="Y826" s="395">
        <v>3380.6</v>
      </c>
      <c r="Z826" s="396">
        <v>48068646</v>
      </c>
      <c r="AA826" s="396">
        <v>126536</v>
      </c>
      <c r="AB826" s="396">
        <v>125113122</v>
      </c>
      <c r="AC826" s="396">
        <v>10207916</v>
      </c>
    </row>
    <row r="827" spans="1:29">
      <c r="A827">
        <v>2610</v>
      </c>
      <c r="B827" s="395" t="s">
        <v>7145</v>
      </c>
      <c r="C827" s="395"/>
      <c r="D827" s="396">
        <v>126479</v>
      </c>
      <c r="E827" s="396">
        <v>169003</v>
      </c>
      <c r="F827" s="395">
        <v>3.97</v>
      </c>
      <c r="G827" s="396">
        <v>-42524</v>
      </c>
      <c r="H827" s="396">
        <v>22271</v>
      </c>
      <c r="I827" s="396">
        <v>546687</v>
      </c>
      <c r="J827" s="395">
        <v>285</v>
      </c>
      <c r="K827" s="395">
        <v>233</v>
      </c>
      <c r="L827" s="397">
        <v>0.8175</v>
      </c>
      <c r="M827" s="395">
        <v>52</v>
      </c>
      <c r="N827" s="395">
        <v>444</v>
      </c>
      <c r="O827" s="395">
        <v>725</v>
      </c>
      <c r="P827" s="395">
        <v>0.89</v>
      </c>
      <c r="Q827" s="395">
        <v>-818</v>
      </c>
      <c r="R827" s="396">
        <v>3188</v>
      </c>
      <c r="S827" s="396">
        <v>-5529</v>
      </c>
      <c r="T827" s="396">
        <v>149348</v>
      </c>
      <c r="U827" s="396">
        <v>-47424</v>
      </c>
      <c r="V827" s="395">
        <v>1847.47</v>
      </c>
      <c r="W827" s="395">
        <v>1254.27</v>
      </c>
      <c r="X827" s="395">
        <v>77490</v>
      </c>
      <c r="Y827" s="395">
        <v>4505.42</v>
      </c>
      <c r="Z827" s="396">
        <v>1548843</v>
      </c>
      <c r="AA827" s="396">
        <v>126479</v>
      </c>
      <c r="AB827" s="396">
        <v>59639004</v>
      </c>
      <c r="AC827" s="396">
        <v>10207916</v>
      </c>
    </row>
    <row r="828" spans="1:29">
      <c r="A828">
        <v>3205</v>
      </c>
      <c r="B828" s="395" t="s">
        <v>7341</v>
      </c>
      <c r="C828" s="395"/>
      <c r="D828" s="396">
        <v>126118</v>
      </c>
      <c r="E828" s="396">
        <v>167704</v>
      </c>
      <c r="F828" s="395">
        <v>4.03</v>
      </c>
      <c r="G828" s="396">
        <v>-41586</v>
      </c>
      <c r="H828" s="396">
        <v>22632</v>
      </c>
      <c r="I828" s="396">
        <v>790802</v>
      </c>
      <c r="J828" s="395">
        <v>200</v>
      </c>
      <c r="K828" s="395">
        <v>157</v>
      </c>
      <c r="L828" s="397">
        <v>0.78500000000000003</v>
      </c>
      <c r="M828" s="395">
        <v>43</v>
      </c>
      <c r="N828" s="395">
        <v>631</v>
      </c>
      <c r="O828" s="396">
        <v>1068</v>
      </c>
      <c r="P828" s="395">
        <v>1.1000000000000001</v>
      </c>
      <c r="Q828" s="395">
        <v>-967</v>
      </c>
      <c r="R828" s="396">
        <v>4082</v>
      </c>
      <c r="S828" s="396">
        <v>-3745</v>
      </c>
      <c r="T828" s="396">
        <v>196548</v>
      </c>
      <c r="U828" s="396">
        <v>-59651</v>
      </c>
      <c r="V828" s="395">
        <v>3429.3</v>
      </c>
      <c r="W828" s="395">
        <v>2981.47</v>
      </c>
      <c r="X828" s="395">
        <v>77490</v>
      </c>
      <c r="Y828" s="395">
        <v>5064.42</v>
      </c>
      <c r="Z828" s="396">
        <v>-15802068</v>
      </c>
      <c r="AA828" s="396">
        <v>126118</v>
      </c>
      <c r="AB828" s="396">
        <v>-17647407</v>
      </c>
      <c r="AC828" s="396">
        <v>10207916</v>
      </c>
    </row>
    <row r="829" spans="1:29">
      <c r="A829">
        <v>1516</v>
      </c>
      <c r="B829" s="395" t="s">
        <v>6791</v>
      </c>
      <c r="C829" s="395"/>
      <c r="D829" s="396">
        <v>125884</v>
      </c>
      <c r="E829" s="396">
        <v>153995</v>
      </c>
      <c r="F829" s="395">
        <v>5.48</v>
      </c>
      <c r="G829" s="396">
        <v>-28111</v>
      </c>
      <c r="H829" s="396">
        <v>19367</v>
      </c>
      <c r="I829" s="396">
        <v>971217</v>
      </c>
      <c r="J829" s="395">
        <v>212</v>
      </c>
      <c r="K829" s="395">
        <v>172</v>
      </c>
      <c r="L829" s="397">
        <v>0.81130000000000002</v>
      </c>
      <c r="M829" s="395">
        <v>39</v>
      </c>
      <c r="N829" s="395">
        <v>594</v>
      </c>
      <c r="O829" s="395">
        <v>895</v>
      </c>
      <c r="P829" s="395">
        <v>1.24</v>
      </c>
      <c r="Q829" s="395">
        <v>-721</v>
      </c>
      <c r="R829" s="396">
        <v>3116</v>
      </c>
      <c r="S829" s="396">
        <v>-2997</v>
      </c>
      <c r="T829" s="396">
        <v>177282</v>
      </c>
      <c r="U829" s="396">
        <v>-74219</v>
      </c>
      <c r="V829" s="395">
        <v>4957.0200000000004</v>
      </c>
      <c r="W829" s="395">
        <v>4282.17</v>
      </c>
      <c r="X829" s="395">
        <v>77490</v>
      </c>
      <c r="Y829" s="395">
        <v>7939.31</v>
      </c>
      <c r="Z829" s="396">
        <v>-5457697</v>
      </c>
      <c r="AA829" s="396">
        <v>125884</v>
      </c>
      <c r="AB829" s="396">
        <v>574426</v>
      </c>
      <c r="AC829" s="396">
        <v>10207916</v>
      </c>
    </row>
    <row r="830" spans="1:29">
      <c r="A830">
        <v>2880</v>
      </c>
      <c r="B830" s="395" t="s">
        <v>7210</v>
      </c>
      <c r="C830" s="395"/>
      <c r="D830" s="396">
        <v>125840</v>
      </c>
      <c r="E830" s="396">
        <v>135744</v>
      </c>
      <c r="F830" s="395">
        <v>13.71</v>
      </c>
      <c r="G830" s="396">
        <v>-9904</v>
      </c>
      <c r="H830" s="396">
        <v>22869</v>
      </c>
      <c r="I830" s="396">
        <v>1084407</v>
      </c>
      <c r="J830" s="395">
        <v>286</v>
      </c>
      <c r="K830" s="395">
        <v>255</v>
      </c>
      <c r="L830" s="397">
        <v>0.89159999999999995</v>
      </c>
      <c r="M830" s="395">
        <v>31</v>
      </c>
      <c r="N830" s="395">
        <v>440</v>
      </c>
      <c r="O830" s="395">
        <v>532</v>
      </c>
      <c r="P830" s="395">
        <v>1.67</v>
      </c>
      <c r="Q830" s="395">
        <v>-319</v>
      </c>
      <c r="R830" s="396">
        <v>1377</v>
      </c>
      <c r="S830" s="395">
        <v>-691</v>
      </c>
      <c r="T830" s="396">
        <v>145796</v>
      </c>
      <c r="U830" s="396">
        <v>-30921</v>
      </c>
      <c r="V830" s="395">
        <v>5058.43</v>
      </c>
      <c r="W830" s="395">
        <v>4732.7700000000004</v>
      </c>
      <c r="X830" s="395">
        <v>77490</v>
      </c>
      <c r="Y830" s="395">
        <v>7737.26</v>
      </c>
      <c r="Z830" s="396">
        <v>8184970</v>
      </c>
      <c r="AA830" s="396">
        <v>125840</v>
      </c>
      <c r="AB830" s="396">
        <v>14197519</v>
      </c>
      <c r="AC830" s="396">
        <v>10207916</v>
      </c>
    </row>
    <row r="831" spans="1:29">
      <c r="A831">
        <v>1437</v>
      </c>
      <c r="B831" s="395" t="s">
        <v>6748</v>
      </c>
      <c r="C831" s="395"/>
      <c r="D831" s="396">
        <v>125745</v>
      </c>
      <c r="E831" s="396">
        <v>131532</v>
      </c>
      <c r="F831" s="395">
        <v>22.73</v>
      </c>
      <c r="G831" s="396">
        <v>-5787</v>
      </c>
      <c r="H831" s="396">
        <v>22805</v>
      </c>
      <c r="I831" s="396">
        <v>1739941</v>
      </c>
      <c r="J831" s="395">
        <v>224</v>
      </c>
      <c r="K831" s="395">
        <v>211</v>
      </c>
      <c r="L831" s="397">
        <v>0.94199999999999995</v>
      </c>
      <c r="M831" s="395">
        <v>13</v>
      </c>
      <c r="N831" s="395">
        <v>561</v>
      </c>
      <c r="O831" s="395">
        <v>623</v>
      </c>
      <c r="P831" s="395">
        <v>1.4</v>
      </c>
      <c r="Q831" s="395">
        <v>-445</v>
      </c>
      <c r="R831" s="396">
        <v>2151</v>
      </c>
      <c r="S831" s="395">
        <v>-855</v>
      </c>
      <c r="T831" s="396">
        <v>136221</v>
      </c>
      <c r="U831" s="396">
        <v>-35301</v>
      </c>
      <c r="V831" s="395">
        <v>6676.28</v>
      </c>
      <c r="W831" s="395">
        <v>6535.96</v>
      </c>
      <c r="X831" s="395">
        <v>77490</v>
      </c>
      <c r="Y831" s="395">
        <v>8953.69</v>
      </c>
      <c r="Z831" s="396">
        <v>9146172</v>
      </c>
      <c r="AA831" s="396">
        <v>125745</v>
      </c>
      <c r="AB831" s="396">
        <v>7743649</v>
      </c>
      <c r="AC831" s="396">
        <v>10207916</v>
      </c>
    </row>
    <row r="832" spans="1:29">
      <c r="A832">
        <v>2801</v>
      </c>
      <c r="B832" s="395" t="s">
        <v>7193</v>
      </c>
      <c r="C832" s="395"/>
      <c r="D832" s="396">
        <v>125604</v>
      </c>
      <c r="E832" s="396">
        <v>140649</v>
      </c>
      <c r="F832" s="395">
        <v>9.35</v>
      </c>
      <c r="G832" s="396">
        <v>-15045</v>
      </c>
      <c r="H832" s="396">
        <v>19062</v>
      </c>
      <c r="I832" s="396">
        <v>2344294</v>
      </c>
      <c r="J832" s="395">
        <v>276</v>
      </c>
      <c r="K832" s="395">
        <v>221</v>
      </c>
      <c r="L832" s="397">
        <v>0.80069999999999997</v>
      </c>
      <c r="M832" s="395">
        <v>55</v>
      </c>
      <c r="N832" s="395">
        <v>455</v>
      </c>
      <c r="O832" s="395">
        <v>636</v>
      </c>
      <c r="P832" s="395">
        <v>2.3199999999999998</v>
      </c>
      <c r="Q832" s="395">
        <v>-274</v>
      </c>
      <c r="R832" s="396">
        <v>1605</v>
      </c>
      <c r="S832" s="395">
        <v>-621</v>
      </c>
      <c r="T832" s="396">
        <v>164348</v>
      </c>
      <c r="U832" s="396">
        <v>-57921</v>
      </c>
      <c r="V832" s="395">
        <v>13449.22</v>
      </c>
      <c r="W832" s="395">
        <v>12935.9</v>
      </c>
      <c r="X832" s="395">
        <v>77490</v>
      </c>
      <c r="Y832" s="395">
        <v>15511.84</v>
      </c>
      <c r="Z832" s="396">
        <v>-1096769</v>
      </c>
      <c r="AA832" s="396">
        <v>125604</v>
      </c>
      <c r="AB832" s="396">
        <v>1034049</v>
      </c>
      <c r="AC832" s="396">
        <v>10207916</v>
      </c>
    </row>
    <row r="833" spans="1:29">
      <c r="A833">
        <v>4105</v>
      </c>
      <c r="B833" s="395" t="s">
        <v>7553</v>
      </c>
      <c r="C833" s="395"/>
      <c r="D833" s="396">
        <v>125601</v>
      </c>
      <c r="E833" s="396">
        <v>365368</v>
      </c>
      <c r="F833" s="395">
        <v>1.52</v>
      </c>
      <c r="G833" s="396">
        <v>-239767</v>
      </c>
      <c r="H833" s="396">
        <v>79516</v>
      </c>
      <c r="I833" s="396">
        <v>8269117</v>
      </c>
      <c r="J833" s="395">
        <v>270</v>
      </c>
      <c r="K833" s="395">
        <v>164</v>
      </c>
      <c r="L833" s="397">
        <v>0.60740000000000005</v>
      </c>
      <c r="M833" s="395">
        <v>106</v>
      </c>
      <c r="N833" s="395">
        <v>465</v>
      </c>
      <c r="O833" s="396">
        <v>2228</v>
      </c>
      <c r="P833" s="395">
        <v>0.98</v>
      </c>
      <c r="Q833" s="396">
        <v>-2262</v>
      </c>
      <c r="R833" s="396">
        <v>7571</v>
      </c>
      <c r="S833" s="396">
        <v>-9969</v>
      </c>
      <c r="T833" s="396">
        <v>408252</v>
      </c>
      <c r="U833" s="396">
        <v>-396015</v>
      </c>
      <c r="V833" s="395">
        <v>9275.7000000000007</v>
      </c>
      <c r="W833" s="395">
        <v>5037.2</v>
      </c>
      <c r="X833" s="395">
        <v>77490</v>
      </c>
      <c r="Y833" s="395">
        <v>15833.38</v>
      </c>
      <c r="Z833" s="396">
        <v>1004598</v>
      </c>
      <c r="AA833" s="396">
        <v>125601</v>
      </c>
      <c r="AB833" s="396">
        <v>2520215</v>
      </c>
      <c r="AC833" s="396">
        <v>10207916</v>
      </c>
    </row>
    <row r="834" spans="1:29">
      <c r="A834">
        <v>6270</v>
      </c>
      <c r="B834" s="395" t="s">
        <v>8042</v>
      </c>
      <c r="C834" s="395"/>
      <c r="D834" s="396">
        <v>124444</v>
      </c>
      <c r="E834" s="396">
        <v>137451</v>
      </c>
      <c r="F834" s="395">
        <v>10.57</v>
      </c>
      <c r="G834" s="396">
        <v>-13007</v>
      </c>
      <c r="H834" s="396">
        <v>20271</v>
      </c>
      <c r="I834" s="396">
        <v>841510</v>
      </c>
      <c r="J834" s="395">
        <v>226</v>
      </c>
      <c r="K834" s="395">
        <v>204</v>
      </c>
      <c r="L834" s="397">
        <v>0.90269999999999995</v>
      </c>
      <c r="M834" s="395">
        <v>22</v>
      </c>
      <c r="N834" s="395">
        <v>551</v>
      </c>
      <c r="O834" s="395">
        <v>674</v>
      </c>
      <c r="P834" s="395">
        <v>1.1399999999999999</v>
      </c>
      <c r="Q834" s="395">
        <v>-591</v>
      </c>
      <c r="R834" s="396">
        <v>2319</v>
      </c>
      <c r="S834" s="396">
        <v>-4595</v>
      </c>
      <c r="T834" s="396">
        <v>141792</v>
      </c>
      <c r="U834" s="396">
        <v>-40490</v>
      </c>
      <c r="V834" s="395">
        <v>3073.58</v>
      </c>
      <c r="W834" s="395">
        <v>2751.51</v>
      </c>
      <c r="X834" s="395">
        <v>77490</v>
      </c>
      <c r="Y834" s="395">
        <v>6060.05</v>
      </c>
      <c r="Z834" s="396">
        <v>-5161154</v>
      </c>
      <c r="AA834" s="396">
        <v>124444</v>
      </c>
      <c r="AB834" s="396">
        <v>13025461</v>
      </c>
      <c r="AC834" s="396">
        <v>10207916</v>
      </c>
    </row>
    <row r="835" spans="1:29">
      <c r="A835">
        <v>3055</v>
      </c>
      <c r="B835" s="395" t="s">
        <v>7292</v>
      </c>
      <c r="C835" s="395"/>
      <c r="D835" s="396">
        <v>124434</v>
      </c>
      <c r="E835" s="396">
        <v>244953</v>
      </c>
      <c r="F835" s="395">
        <v>2.0299999999999998</v>
      </c>
      <c r="G835" s="396">
        <v>-120519</v>
      </c>
      <c r="H835" s="396">
        <v>28973</v>
      </c>
      <c r="I835" s="396">
        <v>1597530</v>
      </c>
      <c r="J835" s="395">
        <v>236</v>
      </c>
      <c r="K835" s="395">
        <v>178</v>
      </c>
      <c r="L835" s="397">
        <v>0.75419999999999998</v>
      </c>
      <c r="M835" s="395">
        <v>58</v>
      </c>
      <c r="N835" s="395">
        <v>527</v>
      </c>
      <c r="O835" s="396">
        <v>1376</v>
      </c>
      <c r="P835" s="395">
        <v>0.66</v>
      </c>
      <c r="Q835" s="396">
        <v>-2078</v>
      </c>
      <c r="R835" s="396">
        <v>5685</v>
      </c>
      <c r="S835" s="396">
        <v>-8225</v>
      </c>
      <c r="T835" s="396">
        <v>310081</v>
      </c>
      <c r="U835" s="396">
        <v>-178807</v>
      </c>
      <c r="V835" s="395">
        <v>4826.37</v>
      </c>
      <c r="W835" s="395">
        <v>3229.93</v>
      </c>
      <c r="X835" s="395">
        <v>77490</v>
      </c>
      <c r="Y835" s="395">
        <v>9725.7800000000007</v>
      </c>
      <c r="Z835" s="396">
        <v>-10735373</v>
      </c>
      <c r="AA835" s="396">
        <v>124434</v>
      </c>
      <c r="AB835" s="396">
        <v>-7840094</v>
      </c>
      <c r="AC835" s="396">
        <v>10207916</v>
      </c>
    </row>
    <row r="836" spans="1:29">
      <c r="A836">
        <v>8074</v>
      </c>
      <c r="B836" s="395" t="s">
        <v>8255</v>
      </c>
      <c r="C836" s="395"/>
      <c r="D836" s="396">
        <v>124353</v>
      </c>
      <c r="E836" s="396">
        <v>166852</v>
      </c>
      <c r="F836" s="395">
        <v>3.93</v>
      </c>
      <c r="G836" s="396">
        <v>-42499</v>
      </c>
      <c r="H836" s="396">
        <v>17081</v>
      </c>
      <c r="I836" s="396">
        <v>1377984</v>
      </c>
      <c r="J836" s="395">
        <v>209</v>
      </c>
      <c r="K836" s="395">
        <v>143</v>
      </c>
      <c r="L836" s="397">
        <v>0.68420000000000003</v>
      </c>
      <c r="M836" s="395">
        <v>66</v>
      </c>
      <c r="N836" s="395">
        <v>595</v>
      </c>
      <c r="O836" s="396">
        <v>1167</v>
      </c>
      <c r="P836" s="395">
        <v>1.81</v>
      </c>
      <c r="Q836" s="395">
        <v>-644</v>
      </c>
      <c r="R836" s="396">
        <v>3007</v>
      </c>
      <c r="S836" s="396">
        <v>-2084</v>
      </c>
      <c r="T836" s="396">
        <v>172060</v>
      </c>
      <c r="U836" s="396">
        <v>-53972</v>
      </c>
      <c r="V836" s="395">
        <v>9230.3700000000008</v>
      </c>
      <c r="W836" s="395">
        <v>8012.03</v>
      </c>
      <c r="X836" s="395">
        <v>77490</v>
      </c>
      <c r="Y836" s="395">
        <v>11870.12</v>
      </c>
      <c r="Z836" s="396">
        <v>-5335972</v>
      </c>
      <c r="AA836" s="396">
        <v>124353</v>
      </c>
      <c r="AB836" s="396">
        <v>7667666</v>
      </c>
      <c r="AC836" s="396">
        <v>10207916</v>
      </c>
    </row>
    <row r="837" spans="1:29">
      <c r="A837">
        <v>1711</v>
      </c>
      <c r="B837" s="395" t="s">
        <v>6852</v>
      </c>
      <c r="C837" s="395"/>
      <c r="D837" s="396">
        <v>123805</v>
      </c>
      <c r="E837" s="396">
        <v>149810</v>
      </c>
      <c r="F837" s="395">
        <v>5.76</v>
      </c>
      <c r="G837" s="396">
        <v>-26005</v>
      </c>
      <c r="H837" s="396">
        <v>23355</v>
      </c>
      <c r="I837" s="396">
        <v>655416</v>
      </c>
      <c r="J837" s="395">
        <v>268</v>
      </c>
      <c r="K837" s="395">
        <v>229</v>
      </c>
      <c r="L837" s="397">
        <v>0.85450000000000004</v>
      </c>
      <c r="M837" s="395">
        <v>39</v>
      </c>
      <c r="N837" s="395">
        <v>462</v>
      </c>
      <c r="O837" s="395">
        <v>654</v>
      </c>
      <c r="P837" s="395">
        <v>0.98</v>
      </c>
      <c r="Q837" s="395">
        <v>-667</v>
      </c>
      <c r="R837" s="396">
        <v>2452</v>
      </c>
      <c r="S837" s="396">
        <v>-2303</v>
      </c>
      <c r="T837" s="396">
        <v>154080</v>
      </c>
      <c r="U837" s="396">
        <v>-46268</v>
      </c>
      <c r="V837" s="395">
        <v>1683.53</v>
      </c>
      <c r="W837" s="395">
        <v>1262.19</v>
      </c>
      <c r="X837" s="395">
        <v>77490</v>
      </c>
      <c r="Y837" s="395">
        <v>4157.5600000000004</v>
      </c>
      <c r="Z837" s="396">
        <v>29333824</v>
      </c>
      <c r="AA837" s="396">
        <v>123805</v>
      </c>
      <c r="AB837" s="396">
        <v>22234295</v>
      </c>
      <c r="AC837" s="396">
        <v>10207916</v>
      </c>
    </row>
    <row r="838" spans="1:29">
      <c r="A838">
        <v>2342</v>
      </c>
      <c r="B838" s="395" t="s">
        <v>6994</v>
      </c>
      <c r="C838" s="395"/>
      <c r="D838" s="396">
        <v>123493</v>
      </c>
      <c r="E838" s="396">
        <v>339964</v>
      </c>
      <c r="F838" s="395">
        <v>1.57</v>
      </c>
      <c r="G838" s="396">
        <v>-216471</v>
      </c>
      <c r="H838" s="396">
        <v>43989</v>
      </c>
      <c r="I838" s="396">
        <v>1599378</v>
      </c>
      <c r="J838" s="395">
        <v>259</v>
      </c>
      <c r="K838" s="395">
        <v>180</v>
      </c>
      <c r="L838" s="397">
        <v>0.69499999999999995</v>
      </c>
      <c r="M838" s="395">
        <v>79</v>
      </c>
      <c r="N838" s="395">
        <v>477</v>
      </c>
      <c r="O838" s="396">
        <v>1889</v>
      </c>
      <c r="P838" s="395">
        <v>0.69</v>
      </c>
      <c r="Q838" s="396">
        <v>-2740</v>
      </c>
      <c r="R838" s="396">
        <v>9226</v>
      </c>
      <c r="S838" s="396">
        <v>-8640</v>
      </c>
      <c r="T838" s="396">
        <v>413921</v>
      </c>
      <c r="U838" s="396">
        <v>-234890</v>
      </c>
      <c r="V838" s="395">
        <v>2528.16</v>
      </c>
      <c r="W838" s="395">
        <v>1158.29</v>
      </c>
      <c r="X838" s="395">
        <v>77490</v>
      </c>
      <c r="Y838" s="395">
        <v>5649.38</v>
      </c>
      <c r="Z838" s="396">
        <v>-6484979</v>
      </c>
      <c r="AA838" s="396">
        <v>123493</v>
      </c>
      <c r="AB838" s="396">
        <v>6190409</v>
      </c>
      <c r="AC838" s="396">
        <v>10207916</v>
      </c>
    </row>
    <row r="839" spans="1:29">
      <c r="A839">
        <v>6125</v>
      </c>
      <c r="B839" s="395" t="s">
        <v>7926</v>
      </c>
      <c r="C839" s="395"/>
      <c r="D839" s="396">
        <v>122887</v>
      </c>
      <c r="E839" s="396">
        <v>244423</v>
      </c>
      <c r="F839" s="395">
        <v>2.0099999999999998</v>
      </c>
      <c r="G839" s="396">
        <v>-121536</v>
      </c>
      <c r="H839" s="396">
        <v>27574</v>
      </c>
      <c r="I839" s="396">
        <v>1461998</v>
      </c>
      <c r="J839" s="395">
        <v>264</v>
      </c>
      <c r="K839" s="395">
        <v>197</v>
      </c>
      <c r="L839" s="397">
        <v>0.74619999999999997</v>
      </c>
      <c r="M839" s="395">
        <v>67</v>
      </c>
      <c r="N839" s="395">
        <v>465</v>
      </c>
      <c r="O839" s="396">
        <v>1241</v>
      </c>
      <c r="P839" s="395">
        <v>0.68</v>
      </c>
      <c r="Q839" s="396">
        <v>-1814</v>
      </c>
      <c r="R839" s="396">
        <v>5263</v>
      </c>
      <c r="S839" s="396">
        <v>-5058</v>
      </c>
      <c r="T839" s="396">
        <v>276822</v>
      </c>
      <c r="U839" s="396">
        <v>-159643</v>
      </c>
      <c r="V839" s="395">
        <v>4013.56</v>
      </c>
      <c r="W839" s="395">
        <v>2643.02</v>
      </c>
      <c r="X839" s="395">
        <v>77490</v>
      </c>
      <c r="Y839" s="395">
        <v>8043.36</v>
      </c>
      <c r="Z839" s="396">
        <v>-9286011</v>
      </c>
      <c r="AA839" s="396">
        <v>122887</v>
      </c>
      <c r="AB839" s="396">
        <v>-4952613</v>
      </c>
      <c r="AC839" s="396">
        <v>10207916</v>
      </c>
    </row>
    <row r="840" spans="1:29">
      <c r="A840">
        <v>2102</v>
      </c>
      <c r="B840" s="395" t="s">
        <v>6943</v>
      </c>
      <c r="C840" s="395"/>
      <c r="D840" s="396">
        <v>122795</v>
      </c>
      <c r="E840" s="396">
        <v>167200</v>
      </c>
      <c r="F840" s="395">
        <v>3.77</v>
      </c>
      <c r="G840" s="396">
        <v>-44405</v>
      </c>
      <c r="H840" s="396">
        <v>27055</v>
      </c>
      <c r="I840" s="396">
        <v>573627</v>
      </c>
      <c r="J840" s="395">
        <v>261</v>
      </c>
      <c r="K840" s="395">
        <v>202</v>
      </c>
      <c r="L840" s="397">
        <v>0.77390000000000003</v>
      </c>
      <c r="M840" s="395">
        <v>59</v>
      </c>
      <c r="N840" s="395">
        <v>470</v>
      </c>
      <c r="O840" s="395">
        <v>828</v>
      </c>
      <c r="P840" s="395">
        <v>1.1000000000000001</v>
      </c>
      <c r="Q840" s="395">
        <v>-753</v>
      </c>
      <c r="R840" s="396">
        <v>2554</v>
      </c>
      <c r="S840" s="396">
        <v>-3467</v>
      </c>
      <c r="T840" s="396">
        <v>164264</v>
      </c>
      <c r="U840" s="396">
        <v>-43196</v>
      </c>
      <c r="V840" s="395">
        <v>1881.06</v>
      </c>
      <c r="W840" s="395">
        <v>1242.42</v>
      </c>
      <c r="X840" s="395">
        <v>77490</v>
      </c>
      <c r="Y840" s="395">
        <v>4067.61</v>
      </c>
      <c r="Z840" s="396">
        <v>17002587</v>
      </c>
      <c r="AA840" s="396">
        <v>122795</v>
      </c>
      <c r="AB840" s="396">
        <v>20333333</v>
      </c>
      <c r="AC840" s="396">
        <v>10207916</v>
      </c>
    </row>
    <row r="841" spans="1:29">
      <c r="A841">
        <v>9905</v>
      </c>
      <c r="B841" s="395" t="s">
        <v>8394</v>
      </c>
      <c r="C841" s="395"/>
      <c r="D841" s="396">
        <v>121765</v>
      </c>
      <c r="E841" s="396">
        <v>146797</v>
      </c>
      <c r="F841" s="395">
        <v>5.86</v>
      </c>
      <c r="G841" s="396">
        <v>-25032</v>
      </c>
      <c r="H841" s="396">
        <v>25420</v>
      </c>
      <c r="I841" s="396">
        <v>3595528</v>
      </c>
      <c r="J841" s="395">
        <v>239</v>
      </c>
      <c r="K841" s="395">
        <v>193</v>
      </c>
      <c r="L841" s="397">
        <v>0.8075</v>
      </c>
      <c r="M841" s="395">
        <v>46</v>
      </c>
      <c r="N841" s="395">
        <v>509</v>
      </c>
      <c r="O841" s="395">
        <v>761</v>
      </c>
      <c r="P841" s="395">
        <v>1.4</v>
      </c>
      <c r="Q841" s="395">
        <v>-544</v>
      </c>
      <c r="R841" s="396">
        <v>2848</v>
      </c>
      <c r="S841" s="396">
        <v>-1713</v>
      </c>
      <c r="T841" s="396">
        <v>190177</v>
      </c>
      <c r="U841" s="396">
        <v>-95171</v>
      </c>
      <c r="V841" s="395">
        <v>15054.74</v>
      </c>
      <c r="W841" s="395">
        <v>14413.3</v>
      </c>
      <c r="X841" s="395">
        <v>77490</v>
      </c>
      <c r="Y841" s="395">
        <v>17745.98</v>
      </c>
      <c r="Z841" s="396">
        <v>1074305</v>
      </c>
      <c r="AA841" s="396">
        <v>121765</v>
      </c>
      <c r="AB841" s="396">
        <v>10337235</v>
      </c>
      <c r="AC841" s="396">
        <v>10207916</v>
      </c>
    </row>
    <row r="842" spans="1:29">
      <c r="A842">
        <v>5432</v>
      </c>
      <c r="B842" s="395" t="s">
        <v>7830</v>
      </c>
      <c r="C842" s="395"/>
      <c r="D842" s="396">
        <v>121497</v>
      </c>
      <c r="E842" s="396">
        <v>149813</v>
      </c>
      <c r="F842" s="395">
        <v>5.29</v>
      </c>
      <c r="G842" s="396">
        <v>-28316</v>
      </c>
      <c r="H842" s="396">
        <v>14403</v>
      </c>
      <c r="I842" s="396">
        <v>443510</v>
      </c>
      <c r="J842" s="395">
        <v>130</v>
      </c>
      <c r="K842" s="395">
        <v>105</v>
      </c>
      <c r="L842" s="397">
        <v>0.80769999999999997</v>
      </c>
      <c r="M842" s="395">
        <v>25</v>
      </c>
      <c r="N842" s="395">
        <v>935</v>
      </c>
      <c r="O842" s="396">
        <v>1427</v>
      </c>
      <c r="P842" s="395">
        <v>1.26</v>
      </c>
      <c r="Q842" s="396">
        <v>-1133</v>
      </c>
      <c r="R842" s="396">
        <v>5860</v>
      </c>
      <c r="S842" s="396">
        <v>-6086</v>
      </c>
      <c r="T842" s="396">
        <v>136470</v>
      </c>
      <c r="U842" s="396">
        <v>-48615</v>
      </c>
      <c r="V842" s="395">
        <v>2755.21</v>
      </c>
      <c r="W842" s="395">
        <v>2333.75</v>
      </c>
      <c r="X842" s="395">
        <v>68850</v>
      </c>
      <c r="Y842" s="395">
        <v>4525.32</v>
      </c>
      <c r="Z842" s="396">
        <v>21147084</v>
      </c>
      <c r="AA842" s="396">
        <v>121497</v>
      </c>
      <c r="AB842" s="396">
        <v>47827500</v>
      </c>
      <c r="AC842" s="396">
        <v>10207916</v>
      </c>
    </row>
    <row r="843" spans="1:29">
      <c r="A843">
        <v>3266</v>
      </c>
      <c r="B843" s="395" t="s">
        <v>7367</v>
      </c>
      <c r="C843" s="395"/>
      <c r="D843" s="396">
        <v>120941</v>
      </c>
      <c r="E843" s="396">
        <v>129457</v>
      </c>
      <c r="F843" s="395">
        <v>15.2</v>
      </c>
      <c r="G843" s="396">
        <v>-8516</v>
      </c>
      <c r="H843" s="396">
        <v>11809</v>
      </c>
      <c r="I843" s="396">
        <v>1979944</v>
      </c>
      <c r="J843" s="395">
        <v>215</v>
      </c>
      <c r="K843" s="395">
        <v>191</v>
      </c>
      <c r="L843" s="397">
        <v>0.88839999999999997</v>
      </c>
      <c r="M843" s="395">
        <v>24</v>
      </c>
      <c r="N843" s="395">
        <v>563</v>
      </c>
      <c r="O843" s="395">
        <v>678</v>
      </c>
      <c r="P843" s="395">
        <v>1.91</v>
      </c>
      <c r="Q843" s="395">
        <v>-355</v>
      </c>
      <c r="R843" s="396">
        <v>1798</v>
      </c>
      <c r="S843" s="396">
        <v>-1711</v>
      </c>
      <c r="T843" s="396">
        <v>247883</v>
      </c>
      <c r="U843" s="396">
        <v>-126882</v>
      </c>
      <c r="V843" s="395">
        <v>21625.1</v>
      </c>
      <c r="W843" s="395">
        <v>20473.11</v>
      </c>
      <c r="X843" s="395">
        <v>77490</v>
      </c>
      <c r="Y843" s="395">
        <v>30793</v>
      </c>
      <c r="Z843" s="396">
        <v>-6892837</v>
      </c>
      <c r="AA843" s="396">
        <v>120941</v>
      </c>
      <c r="AB843" s="396">
        <v>-5190000</v>
      </c>
      <c r="AC843" s="396">
        <v>10207916</v>
      </c>
    </row>
    <row r="844" spans="1:29">
      <c r="A844">
        <v>5533</v>
      </c>
      <c r="B844" s="395" t="s">
        <v>7872</v>
      </c>
      <c r="C844" s="395"/>
      <c r="D844" s="396">
        <v>120741</v>
      </c>
      <c r="E844" s="396">
        <v>123036</v>
      </c>
      <c r="F844" s="395">
        <v>53.61</v>
      </c>
      <c r="G844" s="396">
        <v>-2295</v>
      </c>
      <c r="H844" s="396">
        <v>16871</v>
      </c>
      <c r="I844" s="396">
        <v>983493</v>
      </c>
      <c r="J844" s="395">
        <v>236</v>
      </c>
      <c r="K844" s="395">
        <v>221</v>
      </c>
      <c r="L844" s="397">
        <v>0.93640000000000001</v>
      </c>
      <c r="M844" s="395">
        <v>15</v>
      </c>
      <c r="N844" s="395">
        <v>512</v>
      </c>
      <c r="O844" s="395">
        <v>557</v>
      </c>
      <c r="P844" s="395">
        <v>3.64</v>
      </c>
      <c r="Q844" s="395">
        <v>-153</v>
      </c>
      <c r="R844" s="396">
        <v>2140</v>
      </c>
      <c r="S844" s="395">
        <v>-771</v>
      </c>
      <c r="T844" s="396">
        <v>123898</v>
      </c>
      <c r="U844" s="396">
        <v>-22632</v>
      </c>
      <c r="V844" s="395">
        <v>6268.52</v>
      </c>
      <c r="W844" s="395">
        <v>6359.19</v>
      </c>
      <c r="X844" s="395">
        <v>77490</v>
      </c>
      <c r="Y844" s="395">
        <v>4932.6000000000004</v>
      </c>
      <c r="Z844" s="396">
        <v>5408593</v>
      </c>
      <c r="AA844" s="396">
        <v>120741</v>
      </c>
      <c r="AB844" s="396">
        <v>12049528</v>
      </c>
      <c r="AC844" s="396">
        <v>10207916</v>
      </c>
    </row>
    <row r="845" spans="1:29">
      <c r="A845">
        <v>3625</v>
      </c>
      <c r="B845" s="395" t="s">
        <v>7506</v>
      </c>
      <c r="C845" s="395"/>
      <c r="D845" s="396">
        <v>120352</v>
      </c>
      <c r="E845" s="396">
        <v>230784</v>
      </c>
      <c r="F845" s="395">
        <v>2.09</v>
      </c>
      <c r="G845" s="396">
        <v>-110432</v>
      </c>
      <c r="H845" s="396">
        <v>23648</v>
      </c>
      <c r="I845" s="396">
        <v>1844773</v>
      </c>
      <c r="J845" s="395">
        <v>248</v>
      </c>
      <c r="K845" s="395">
        <v>196</v>
      </c>
      <c r="L845" s="397">
        <v>0.7903</v>
      </c>
      <c r="M845" s="395">
        <v>52</v>
      </c>
      <c r="N845" s="395">
        <v>485</v>
      </c>
      <c r="O845" s="396">
        <v>1177</v>
      </c>
      <c r="P845" s="395">
        <v>0.55000000000000004</v>
      </c>
      <c r="Q845" s="396">
        <v>-2124</v>
      </c>
      <c r="R845" s="396">
        <v>5263</v>
      </c>
      <c r="S845" s="396">
        <v>-6210</v>
      </c>
      <c r="T845" s="396">
        <v>334236</v>
      </c>
      <c r="U845" s="396">
        <v>-270564</v>
      </c>
      <c r="V845" s="395">
        <v>4628.83</v>
      </c>
      <c r="W845" s="395">
        <v>2822.88</v>
      </c>
      <c r="X845" s="395">
        <v>77490</v>
      </c>
      <c r="Y845" s="395">
        <v>11435.87</v>
      </c>
      <c r="Z845" s="396">
        <v>-13933639</v>
      </c>
      <c r="AA845" s="396">
        <v>120352</v>
      </c>
      <c r="AB845" s="396">
        <v>9071038</v>
      </c>
      <c r="AC845" s="396">
        <v>10207916</v>
      </c>
    </row>
    <row r="846" spans="1:29">
      <c r="A846">
        <v>6532</v>
      </c>
      <c r="B846" s="395" t="s">
        <v>8119</v>
      </c>
      <c r="C846" s="395"/>
      <c r="D846" s="396">
        <v>119957</v>
      </c>
      <c r="E846" s="396">
        <v>367083</v>
      </c>
      <c r="F846" s="395">
        <v>1.49</v>
      </c>
      <c r="G846" s="396">
        <v>-247126</v>
      </c>
      <c r="H846" s="396">
        <v>43330</v>
      </c>
      <c r="I846" s="396">
        <v>2333488</v>
      </c>
      <c r="J846" s="395">
        <v>230</v>
      </c>
      <c r="K846" s="395">
        <v>159</v>
      </c>
      <c r="L846" s="397">
        <v>0.69130000000000003</v>
      </c>
      <c r="M846" s="395">
        <v>71</v>
      </c>
      <c r="N846" s="395">
        <v>522</v>
      </c>
      <c r="O846" s="396">
        <v>2309</v>
      </c>
      <c r="P846" s="395">
        <v>0.66</v>
      </c>
      <c r="Q846" s="396">
        <v>-3481</v>
      </c>
      <c r="R846" s="396">
        <v>11133</v>
      </c>
      <c r="S846" s="396">
        <v>-14514</v>
      </c>
      <c r="T846" s="396">
        <v>424447</v>
      </c>
      <c r="U846" s="396">
        <v>-237482</v>
      </c>
      <c r="V846" s="395">
        <v>6049.8</v>
      </c>
      <c r="W846" s="395">
        <v>4036.96</v>
      </c>
      <c r="X846" s="395">
        <v>77490</v>
      </c>
      <c r="Y846" s="395">
        <v>10557.45</v>
      </c>
      <c r="Z846" s="396">
        <v>-20192312</v>
      </c>
      <c r="AA846" s="396">
        <v>119957</v>
      </c>
      <c r="AB846" s="396">
        <v>-6933466</v>
      </c>
      <c r="AC846" s="396">
        <v>10207916</v>
      </c>
    </row>
    <row r="847" spans="1:29">
      <c r="A847">
        <v>2491</v>
      </c>
      <c r="B847" s="395" t="s">
        <v>7102</v>
      </c>
      <c r="C847" s="395"/>
      <c r="D847" s="396">
        <v>119863</v>
      </c>
      <c r="E847" s="396">
        <v>199119</v>
      </c>
      <c r="F847" s="395">
        <v>2.5099999999999998</v>
      </c>
      <c r="G847" s="396">
        <v>-79256</v>
      </c>
      <c r="H847" s="396">
        <v>22933</v>
      </c>
      <c r="I847" s="396">
        <v>592956</v>
      </c>
      <c r="J847" s="395">
        <v>256</v>
      </c>
      <c r="K847" s="395">
        <v>197</v>
      </c>
      <c r="L847" s="397">
        <v>0.76949999999999996</v>
      </c>
      <c r="M847" s="395">
        <v>59</v>
      </c>
      <c r="N847" s="395">
        <v>468</v>
      </c>
      <c r="O847" s="396">
        <v>1011</v>
      </c>
      <c r="P847" s="395">
        <v>0.75</v>
      </c>
      <c r="Q847" s="396">
        <v>-1343</v>
      </c>
      <c r="R847" s="396">
        <v>4511</v>
      </c>
      <c r="S847" s="396">
        <v>-5963</v>
      </c>
      <c r="T847" s="396">
        <v>174153</v>
      </c>
      <c r="U847" s="396">
        <v>-67393</v>
      </c>
      <c r="V847" s="395">
        <v>2760.07</v>
      </c>
      <c r="W847" s="395">
        <v>1816.9</v>
      </c>
      <c r="X847" s="395">
        <v>77490</v>
      </c>
      <c r="Y847" s="395">
        <v>5909.31</v>
      </c>
      <c r="Z847" s="396">
        <v>2601151</v>
      </c>
      <c r="AA847" s="396">
        <v>119863</v>
      </c>
      <c r="AB847" s="396">
        <v>43804828</v>
      </c>
      <c r="AC847" s="396">
        <v>10207916</v>
      </c>
    </row>
    <row r="848" spans="1:29">
      <c r="A848">
        <v>4916</v>
      </c>
      <c r="B848" s="395" t="s">
        <v>7711</v>
      </c>
      <c r="C848" s="395"/>
      <c r="D848" s="396">
        <v>119679</v>
      </c>
      <c r="E848" s="396">
        <v>191988</v>
      </c>
      <c r="F848" s="395">
        <v>2.66</v>
      </c>
      <c r="G848" s="396">
        <v>-72310</v>
      </c>
      <c r="H848" s="396">
        <v>27264</v>
      </c>
      <c r="I848" s="396">
        <v>985813</v>
      </c>
      <c r="J848" s="395">
        <v>257</v>
      </c>
      <c r="K848" s="395">
        <v>193</v>
      </c>
      <c r="L848" s="397">
        <v>0.751</v>
      </c>
      <c r="M848" s="395">
        <v>64</v>
      </c>
      <c r="N848" s="395">
        <v>466</v>
      </c>
      <c r="O848" s="395">
        <v>995</v>
      </c>
      <c r="P848" s="395">
        <v>0.88</v>
      </c>
      <c r="Q848" s="396">
        <v>-1130</v>
      </c>
      <c r="R848" s="396">
        <v>3070</v>
      </c>
      <c r="S848" s="396">
        <v>-5594</v>
      </c>
      <c r="T848" s="396">
        <v>181305</v>
      </c>
      <c r="U848" s="396">
        <v>-99060</v>
      </c>
      <c r="V848" s="395">
        <v>2838.61</v>
      </c>
      <c r="W848" s="395">
        <v>1794.41</v>
      </c>
      <c r="X848" s="395">
        <v>77490</v>
      </c>
      <c r="Y848" s="395">
        <v>5987.53</v>
      </c>
      <c r="Z848" s="396">
        <v>-20560627</v>
      </c>
      <c r="AA848" s="396">
        <v>119679</v>
      </c>
      <c r="AB848" s="396">
        <v>4731879</v>
      </c>
      <c r="AC848" s="396">
        <v>10207916</v>
      </c>
    </row>
    <row r="849" spans="1:29">
      <c r="A849">
        <v>2201</v>
      </c>
      <c r="B849" s="395" t="s">
        <v>6953</v>
      </c>
      <c r="C849" s="395"/>
      <c r="D849" s="396">
        <v>119467</v>
      </c>
      <c r="E849" s="396">
        <v>294351</v>
      </c>
      <c r="F849" s="395">
        <v>1.68</v>
      </c>
      <c r="G849" s="396">
        <v>-174884</v>
      </c>
      <c r="H849" s="396">
        <v>46265</v>
      </c>
      <c r="I849" s="396">
        <v>1905783</v>
      </c>
      <c r="J849" s="395">
        <v>275</v>
      </c>
      <c r="K849" s="395">
        <v>189</v>
      </c>
      <c r="L849" s="397">
        <v>0.68730000000000002</v>
      </c>
      <c r="M849" s="395">
        <v>86</v>
      </c>
      <c r="N849" s="395">
        <v>434</v>
      </c>
      <c r="O849" s="396">
        <v>1557</v>
      </c>
      <c r="P849" s="395">
        <v>0.77</v>
      </c>
      <c r="Q849" s="396">
        <v>-2034</v>
      </c>
      <c r="R849" s="396">
        <v>4842</v>
      </c>
      <c r="S849" s="396">
        <v>-5278</v>
      </c>
      <c r="T849" s="396">
        <v>310165</v>
      </c>
      <c r="U849" s="396">
        <v>-130122</v>
      </c>
      <c r="V849" s="395">
        <v>4781.42</v>
      </c>
      <c r="W849" s="395">
        <v>3670.49</v>
      </c>
      <c r="X849" s="395">
        <v>77490</v>
      </c>
      <c r="Y849" s="395">
        <v>7222.87</v>
      </c>
      <c r="Z849" s="396">
        <v>-14481918</v>
      </c>
      <c r="AA849" s="396">
        <v>119467</v>
      </c>
      <c r="AB849" s="396">
        <v>-7073214</v>
      </c>
      <c r="AC849" s="396">
        <v>10207916</v>
      </c>
    </row>
    <row r="850" spans="1:29">
      <c r="A850">
        <v>1457</v>
      </c>
      <c r="B850" s="395" t="s">
        <v>6766</v>
      </c>
      <c r="C850" s="395"/>
      <c r="D850" s="396">
        <v>119245</v>
      </c>
      <c r="E850" s="396">
        <v>136420</v>
      </c>
      <c r="F850" s="395">
        <v>7.94</v>
      </c>
      <c r="G850" s="396">
        <v>-17175</v>
      </c>
      <c r="H850" s="396">
        <v>18790</v>
      </c>
      <c r="I850" s="396">
        <v>979524</v>
      </c>
      <c r="J850" s="395">
        <v>260</v>
      </c>
      <c r="K850" s="395">
        <v>227</v>
      </c>
      <c r="L850" s="397">
        <v>0.87309999999999999</v>
      </c>
      <c r="M850" s="395">
        <v>33</v>
      </c>
      <c r="N850" s="395">
        <v>459</v>
      </c>
      <c r="O850" s="395">
        <v>601</v>
      </c>
      <c r="P850" s="395">
        <v>1.1599999999999999</v>
      </c>
      <c r="Q850" s="395">
        <v>-520</v>
      </c>
      <c r="R850" s="396">
        <v>1886</v>
      </c>
      <c r="S850" s="396">
        <v>-2823</v>
      </c>
      <c r="T850" s="396">
        <v>134416</v>
      </c>
      <c r="U850" s="396">
        <v>-57561</v>
      </c>
      <c r="V850" s="395">
        <v>3424.85</v>
      </c>
      <c r="W850" s="395">
        <v>2742.88</v>
      </c>
      <c r="X850" s="395">
        <v>77490</v>
      </c>
      <c r="Y850" s="395">
        <v>8115.94</v>
      </c>
      <c r="Z850" s="396">
        <v>8941396</v>
      </c>
      <c r="AA850" s="396">
        <v>119245</v>
      </c>
      <c r="AB850" s="396">
        <v>10256839</v>
      </c>
      <c r="AC850" s="396">
        <v>10207916</v>
      </c>
    </row>
    <row r="851" spans="1:29">
      <c r="A851">
        <v>1595</v>
      </c>
      <c r="B851" s="395" t="s">
        <v>6829</v>
      </c>
      <c r="C851" s="395"/>
      <c r="D851" s="396">
        <v>119195</v>
      </c>
      <c r="E851" s="396">
        <v>206178</v>
      </c>
      <c r="F851" s="395">
        <v>2.37</v>
      </c>
      <c r="G851" s="396">
        <v>-86983</v>
      </c>
      <c r="H851" s="396">
        <v>28902</v>
      </c>
      <c r="I851" s="396">
        <v>1366242</v>
      </c>
      <c r="J851" s="395">
        <v>186</v>
      </c>
      <c r="K851" s="395">
        <v>136</v>
      </c>
      <c r="L851" s="397">
        <v>0.73119999999999996</v>
      </c>
      <c r="M851" s="395">
        <v>50</v>
      </c>
      <c r="N851" s="395">
        <v>641</v>
      </c>
      <c r="O851" s="396">
        <v>1516</v>
      </c>
      <c r="P851" s="395">
        <v>0.87</v>
      </c>
      <c r="Q851" s="396">
        <v>-1740</v>
      </c>
      <c r="R851" s="396">
        <v>4768</v>
      </c>
      <c r="S851" s="396">
        <v>-7577</v>
      </c>
      <c r="T851" s="396">
        <v>178448</v>
      </c>
      <c r="U851" s="396">
        <v>-116194</v>
      </c>
      <c r="V851" s="395">
        <v>3277.84</v>
      </c>
      <c r="W851" s="395">
        <v>2443.9699999999998</v>
      </c>
      <c r="X851" s="395">
        <v>77490</v>
      </c>
      <c r="Y851" s="395">
        <v>5545.98</v>
      </c>
      <c r="Z851" s="396">
        <v>3251302</v>
      </c>
      <c r="AA851" s="396">
        <v>119195</v>
      </c>
      <c r="AB851" s="396">
        <v>13089910</v>
      </c>
      <c r="AC851" s="396">
        <v>10207916</v>
      </c>
    </row>
    <row r="852" spans="1:29">
      <c r="A852">
        <v>5604</v>
      </c>
      <c r="B852" s="395" t="s">
        <v>7880</v>
      </c>
      <c r="C852" s="395"/>
      <c r="D852" s="396">
        <v>119018</v>
      </c>
      <c r="E852" s="396">
        <v>304091</v>
      </c>
      <c r="F852" s="395">
        <v>1.64</v>
      </c>
      <c r="G852" s="396">
        <v>-185073</v>
      </c>
      <c r="H852" s="396">
        <v>64732</v>
      </c>
      <c r="I852" s="396">
        <v>8899293</v>
      </c>
      <c r="J852" s="395">
        <v>195</v>
      </c>
      <c r="K852" s="395">
        <v>149</v>
      </c>
      <c r="L852" s="397">
        <v>0.7641</v>
      </c>
      <c r="M852" s="395">
        <v>46</v>
      </c>
      <c r="N852" s="395">
        <v>610</v>
      </c>
      <c r="O852" s="396">
        <v>2041</v>
      </c>
      <c r="P852" s="395">
        <v>0.51</v>
      </c>
      <c r="Q852" s="396">
        <v>-4023</v>
      </c>
      <c r="R852" s="396">
        <v>7496</v>
      </c>
      <c r="S852" s="396">
        <v>-20756</v>
      </c>
      <c r="T852" s="396">
        <v>550051</v>
      </c>
      <c r="U852" s="396">
        <v>-425280</v>
      </c>
      <c r="V852" s="395">
        <v>14819.22</v>
      </c>
      <c r="W852" s="395">
        <v>11483.76</v>
      </c>
      <c r="X852" s="395">
        <v>77490</v>
      </c>
      <c r="Y852" s="395">
        <v>25623.22</v>
      </c>
      <c r="Z852" s="396">
        <v>-2919665</v>
      </c>
      <c r="AA852" s="396">
        <v>119018</v>
      </c>
      <c r="AB852" s="396">
        <v>15659712</v>
      </c>
      <c r="AC852" s="396">
        <v>10207916</v>
      </c>
    </row>
    <row r="853" spans="1:29">
      <c r="A853">
        <v>4956</v>
      </c>
      <c r="B853" s="395" t="s">
        <v>7731</v>
      </c>
      <c r="C853" s="395"/>
      <c r="D853" s="396">
        <v>118771</v>
      </c>
      <c r="E853" s="396">
        <v>235785</v>
      </c>
      <c r="F853" s="395">
        <v>2.02</v>
      </c>
      <c r="G853" s="396">
        <v>-117014</v>
      </c>
      <c r="H853" s="396">
        <v>26479</v>
      </c>
      <c r="I853" s="396">
        <v>1397540</v>
      </c>
      <c r="J853" s="395">
        <v>268</v>
      </c>
      <c r="K853" s="395">
        <v>195</v>
      </c>
      <c r="L853" s="397">
        <v>0.72760000000000002</v>
      </c>
      <c r="M853" s="395">
        <v>72</v>
      </c>
      <c r="N853" s="395">
        <v>443</v>
      </c>
      <c r="O853" s="396">
        <v>1209</v>
      </c>
      <c r="P853" s="395">
        <v>0.74</v>
      </c>
      <c r="Q853" s="396">
        <v>-1625</v>
      </c>
      <c r="R853" s="396">
        <v>4816</v>
      </c>
      <c r="S853" s="396">
        <v>-6162</v>
      </c>
      <c r="T853" s="396">
        <v>265642</v>
      </c>
      <c r="U853" s="396">
        <v>-196677</v>
      </c>
      <c r="V853" s="395">
        <v>3398.22</v>
      </c>
      <c r="W853" s="395">
        <v>2314.37</v>
      </c>
      <c r="X853" s="395">
        <v>77490</v>
      </c>
      <c r="Y853" s="395">
        <v>6256.86</v>
      </c>
      <c r="Z853" s="396">
        <v>-21420946</v>
      </c>
      <c r="AA853" s="396">
        <v>118771</v>
      </c>
      <c r="AB853" s="396">
        <v>917040</v>
      </c>
      <c r="AC853" s="396">
        <v>10207916</v>
      </c>
    </row>
    <row r="854" spans="1:29">
      <c r="A854">
        <v>3631</v>
      </c>
      <c r="B854" s="395" t="s">
        <v>7510</v>
      </c>
      <c r="C854" s="395"/>
      <c r="D854" s="396">
        <v>118537</v>
      </c>
      <c r="E854" s="396">
        <v>350168</v>
      </c>
      <c r="F854" s="395">
        <v>1.51</v>
      </c>
      <c r="G854" s="396">
        <v>-231631</v>
      </c>
      <c r="H854" s="396">
        <v>42963</v>
      </c>
      <c r="I854" s="396">
        <v>4143137</v>
      </c>
      <c r="J854" s="395">
        <v>211</v>
      </c>
      <c r="K854" s="395">
        <v>134</v>
      </c>
      <c r="L854" s="397">
        <v>0.6351</v>
      </c>
      <c r="M854" s="395">
        <v>77</v>
      </c>
      <c r="N854" s="395">
        <v>562</v>
      </c>
      <c r="O854" s="396">
        <v>2613</v>
      </c>
      <c r="P854" s="395">
        <v>0.87</v>
      </c>
      <c r="Q854" s="396">
        <v>-3008</v>
      </c>
      <c r="R854" s="396">
        <v>8658</v>
      </c>
      <c r="S854" s="396">
        <v>-12635</v>
      </c>
      <c r="T854" s="396">
        <v>753195</v>
      </c>
      <c r="U854" s="396">
        <v>-621960</v>
      </c>
      <c r="V854" s="395">
        <v>7847.85</v>
      </c>
      <c r="W854" s="395">
        <v>5108.13</v>
      </c>
      <c r="X854" s="395">
        <v>77490</v>
      </c>
      <c r="Y854" s="395">
        <v>12615.68</v>
      </c>
      <c r="Z854" s="396">
        <v>-17646720</v>
      </c>
      <c r="AA854" s="396">
        <v>118537</v>
      </c>
      <c r="AB854" s="396">
        <v>-4591097</v>
      </c>
      <c r="AC854" s="396">
        <v>10207916</v>
      </c>
    </row>
    <row r="855" spans="1:29">
      <c r="A855">
        <v>2359</v>
      </c>
      <c r="B855" s="395" t="s">
        <v>7008</v>
      </c>
      <c r="C855" s="395"/>
      <c r="D855" s="396">
        <v>118508</v>
      </c>
      <c r="E855" s="396">
        <v>135657</v>
      </c>
      <c r="F855" s="395">
        <v>7.91</v>
      </c>
      <c r="G855" s="396">
        <v>-17149</v>
      </c>
      <c r="H855" s="396">
        <v>19892</v>
      </c>
      <c r="I855" s="396">
        <v>824406</v>
      </c>
      <c r="J855" s="395">
        <v>262</v>
      </c>
      <c r="K855" s="395">
        <v>228</v>
      </c>
      <c r="L855" s="397">
        <v>0.87019999999999997</v>
      </c>
      <c r="M855" s="395">
        <v>34</v>
      </c>
      <c r="N855" s="395">
        <v>452</v>
      </c>
      <c r="O855" s="395">
        <v>595</v>
      </c>
      <c r="P855" s="395">
        <v>1.18</v>
      </c>
      <c r="Q855" s="395">
        <v>-504</v>
      </c>
      <c r="R855" s="396">
        <v>2550</v>
      </c>
      <c r="S855" s="396">
        <v>-2126</v>
      </c>
      <c r="T855" s="396">
        <v>136185</v>
      </c>
      <c r="U855" s="396">
        <v>-25267</v>
      </c>
      <c r="V855" s="395">
        <v>3623.76</v>
      </c>
      <c r="W855" s="395">
        <v>3099.44</v>
      </c>
      <c r="X855" s="395">
        <v>77490</v>
      </c>
      <c r="Y855" s="395">
        <v>7139.76</v>
      </c>
      <c r="Z855" s="396">
        <v>-592953</v>
      </c>
      <c r="AA855" s="396">
        <v>118508</v>
      </c>
      <c r="AB855" s="396">
        <v>18635659</v>
      </c>
      <c r="AC855" s="396">
        <v>10207916</v>
      </c>
    </row>
    <row r="856" spans="1:29">
      <c r="A856">
        <v>3164</v>
      </c>
      <c r="B856" s="395" t="s">
        <v>7331</v>
      </c>
      <c r="C856" s="395"/>
      <c r="D856" s="396">
        <v>118422</v>
      </c>
      <c r="E856" s="396">
        <v>141846</v>
      </c>
      <c r="F856" s="395">
        <v>6.06</v>
      </c>
      <c r="G856" s="396">
        <v>-23424</v>
      </c>
      <c r="H856" s="396">
        <v>20951</v>
      </c>
      <c r="I856" s="396">
        <v>2447861</v>
      </c>
      <c r="J856" s="395">
        <v>216</v>
      </c>
      <c r="K856" s="395">
        <v>182</v>
      </c>
      <c r="L856" s="397">
        <v>0.84260000000000002</v>
      </c>
      <c r="M856" s="395">
        <v>33</v>
      </c>
      <c r="N856" s="395">
        <v>548</v>
      </c>
      <c r="O856" s="395">
        <v>779</v>
      </c>
      <c r="P856" s="395">
        <v>1.1000000000000001</v>
      </c>
      <c r="Q856" s="395">
        <v>-710</v>
      </c>
      <c r="R856" s="396">
        <v>2400</v>
      </c>
      <c r="S856" s="396">
        <v>-2000</v>
      </c>
      <c r="T856" s="396">
        <v>158124</v>
      </c>
      <c r="U856" s="396">
        <v>-91237</v>
      </c>
      <c r="V856" s="395">
        <v>10679.44</v>
      </c>
      <c r="W856" s="395">
        <v>10691.76</v>
      </c>
      <c r="X856" s="395">
        <v>77490</v>
      </c>
      <c r="Y856" s="395">
        <v>10738.18</v>
      </c>
      <c r="Z856" s="396">
        <v>-7082710</v>
      </c>
      <c r="AA856" s="396">
        <v>118422</v>
      </c>
      <c r="AB856" s="396">
        <v>5235090</v>
      </c>
      <c r="AC856" s="396">
        <v>10207916</v>
      </c>
    </row>
    <row r="857" spans="1:29">
      <c r="A857">
        <v>6251</v>
      </c>
      <c r="B857" s="395" t="s">
        <v>8033</v>
      </c>
      <c r="C857" s="395"/>
      <c r="D857" s="396">
        <v>118194</v>
      </c>
      <c r="E857" s="396">
        <v>154328</v>
      </c>
      <c r="F857" s="395">
        <v>4.2699999999999996</v>
      </c>
      <c r="G857" s="396">
        <v>-36134</v>
      </c>
      <c r="H857" s="396">
        <v>21807</v>
      </c>
      <c r="I857" s="396">
        <v>672508</v>
      </c>
      <c r="J857" s="395">
        <v>251</v>
      </c>
      <c r="K857" s="395">
        <v>205</v>
      </c>
      <c r="L857" s="397">
        <v>0.81669999999999998</v>
      </c>
      <c r="M857" s="395">
        <v>46</v>
      </c>
      <c r="N857" s="395">
        <v>471</v>
      </c>
      <c r="O857" s="395">
        <v>753</v>
      </c>
      <c r="P857" s="395">
        <v>0.96</v>
      </c>
      <c r="Q857" s="395">
        <v>-786</v>
      </c>
      <c r="R857" s="396">
        <v>3030</v>
      </c>
      <c r="S857" s="396">
        <v>-2895</v>
      </c>
      <c r="T857" s="396">
        <v>141618</v>
      </c>
      <c r="U857" s="396">
        <v>-61080</v>
      </c>
      <c r="V857" s="395">
        <v>1720.73</v>
      </c>
      <c r="W857" s="395">
        <v>1181.3599999999999</v>
      </c>
      <c r="X857" s="395">
        <v>75600</v>
      </c>
      <c r="Y857" s="395">
        <v>4124.46</v>
      </c>
      <c r="Z857" s="396">
        <v>-3510609</v>
      </c>
      <c r="AA857" s="396">
        <v>118194</v>
      </c>
      <c r="AB857" s="396">
        <v>1394135</v>
      </c>
      <c r="AC857" s="396">
        <v>10207916</v>
      </c>
    </row>
    <row r="858" spans="1:29">
      <c r="A858">
        <v>6451</v>
      </c>
      <c r="B858" s="395" t="s">
        <v>8084</v>
      </c>
      <c r="C858" s="395"/>
      <c r="D858" s="396">
        <v>117875</v>
      </c>
      <c r="E858" s="396">
        <v>940832</v>
      </c>
      <c r="F858" s="395">
        <v>1.1399999999999999</v>
      </c>
      <c r="G858" s="396">
        <v>-822957</v>
      </c>
      <c r="H858" s="396">
        <v>105725</v>
      </c>
      <c r="I858" s="396">
        <v>12736092</v>
      </c>
      <c r="J858" s="395">
        <v>248</v>
      </c>
      <c r="K858" s="395">
        <v>144</v>
      </c>
      <c r="L858" s="397">
        <v>0.5806</v>
      </c>
      <c r="M858" s="395">
        <v>104</v>
      </c>
      <c r="N858" s="395">
        <v>475</v>
      </c>
      <c r="O858" s="396">
        <v>6534</v>
      </c>
      <c r="P858" s="395">
        <v>0.83</v>
      </c>
      <c r="Q858" s="396">
        <v>-7913</v>
      </c>
      <c r="R858" s="396">
        <v>29073</v>
      </c>
      <c r="S858" s="396">
        <v>-26047</v>
      </c>
      <c r="T858" s="396">
        <v>2592453</v>
      </c>
      <c r="U858" s="396">
        <v>-2174103</v>
      </c>
      <c r="V858" s="395">
        <v>11095.57</v>
      </c>
      <c r="W858" s="395">
        <v>7465.74</v>
      </c>
      <c r="X858" s="395">
        <v>77490</v>
      </c>
      <c r="Y858" s="395">
        <v>16121.49</v>
      </c>
      <c r="Z858" s="396">
        <v>-18914886</v>
      </c>
      <c r="AA858" s="396">
        <v>117875</v>
      </c>
      <c r="AB858" s="396">
        <v>-17301625</v>
      </c>
      <c r="AC858" s="396">
        <v>10207916</v>
      </c>
    </row>
    <row r="859" spans="1:29">
      <c r="A859">
        <v>4502</v>
      </c>
      <c r="B859" s="395" t="s">
        <v>7623</v>
      </c>
      <c r="C859" s="395"/>
      <c r="D859" s="396">
        <v>117757</v>
      </c>
      <c r="E859" s="396">
        <v>199691</v>
      </c>
      <c r="F859" s="395">
        <v>2.44</v>
      </c>
      <c r="G859" s="396">
        <v>-81934</v>
      </c>
      <c r="H859" s="396">
        <v>28943</v>
      </c>
      <c r="I859" s="396">
        <v>1528267</v>
      </c>
      <c r="J859" s="395">
        <v>171</v>
      </c>
      <c r="K859" s="395">
        <v>117</v>
      </c>
      <c r="L859" s="397">
        <v>0.68420000000000003</v>
      </c>
      <c r="M859" s="395">
        <v>54</v>
      </c>
      <c r="N859" s="395">
        <v>689</v>
      </c>
      <c r="O859" s="396">
        <v>1707</v>
      </c>
      <c r="P859" s="395">
        <v>1.1299999999999999</v>
      </c>
      <c r="Q859" s="396">
        <v>-1517</v>
      </c>
      <c r="R859" s="396">
        <v>6383</v>
      </c>
      <c r="S859" s="396">
        <v>-7216</v>
      </c>
      <c r="T859" s="396">
        <v>225009</v>
      </c>
      <c r="U859" s="396">
        <v>-112541</v>
      </c>
      <c r="V859" s="395">
        <v>4396.09</v>
      </c>
      <c r="W859" s="395">
        <v>3547.74</v>
      </c>
      <c r="X859" s="395">
        <v>77220</v>
      </c>
      <c r="Y859" s="395">
        <v>6234.17</v>
      </c>
      <c r="Z859" s="396">
        <v>-12275160</v>
      </c>
      <c r="AA859" s="396">
        <v>117757</v>
      </c>
      <c r="AB859" s="396">
        <v>-9355150</v>
      </c>
      <c r="AC859" s="396">
        <v>10207916</v>
      </c>
    </row>
    <row r="860" spans="1:29">
      <c r="A860">
        <v>2633</v>
      </c>
      <c r="B860" s="395" t="s">
        <v>7155</v>
      </c>
      <c r="C860" s="395"/>
      <c r="D860" s="396">
        <v>117419</v>
      </c>
      <c r="E860" s="396">
        <v>175162</v>
      </c>
      <c r="F860" s="395">
        <v>3.03</v>
      </c>
      <c r="G860" s="396">
        <v>-57743</v>
      </c>
      <c r="H860" s="396">
        <v>33943</v>
      </c>
      <c r="I860" s="396">
        <v>2456270</v>
      </c>
      <c r="J860" s="395">
        <v>283</v>
      </c>
      <c r="K860" s="395">
        <v>202</v>
      </c>
      <c r="L860" s="397">
        <v>0.71379999999999999</v>
      </c>
      <c r="M860" s="395">
        <v>81</v>
      </c>
      <c r="N860" s="395">
        <v>415</v>
      </c>
      <c r="O860" s="395">
        <v>867</v>
      </c>
      <c r="P860" s="395">
        <v>1.22</v>
      </c>
      <c r="Q860" s="395">
        <v>-713</v>
      </c>
      <c r="R860" s="396">
        <v>3435</v>
      </c>
      <c r="S860" s="396">
        <v>-2018</v>
      </c>
      <c r="T860" s="396">
        <v>199249</v>
      </c>
      <c r="U860" s="396">
        <v>-91192</v>
      </c>
      <c r="V860" s="395">
        <v>7780.08</v>
      </c>
      <c r="W860" s="395">
        <v>7290.57</v>
      </c>
      <c r="X860" s="395">
        <v>77490</v>
      </c>
      <c r="Y860" s="395">
        <v>9000.81</v>
      </c>
      <c r="Z860" s="396">
        <v>-5939013</v>
      </c>
      <c r="AA860" s="396">
        <v>117419</v>
      </c>
      <c r="AB860" s="396">
        <v>-3282441</v>
      </c>
      <c r="AC860" s="396">
        <v>10207916</v>
      </c>
    </row>
    <row r="861" spans="1:29">
      <c r="A861">
        <v>8440</v>
      </c>
      <c r="B861" s="395" t="s">
        <v>8343</v>
      </c>
      <c r="C861" s="395"/>
      <c r="D861" s="396">
        <v>116552</v>
      </c>
      <c r="E861" s="396">
        <v>155225</v>
      </c>
      <c r="F861" s="395">
        <v>4.01</v>
      </c>
      <c r="G861" s="396">
        <v>-38673</v>
      </c>
      <c r="H861" s="396">
        <v>16725</v>
      </c>
      <c r="I861" s="396">
        <v>564465</v>
      </c>
      <c r="J861" s="395">
        <v>186</v>
      </c>
      <c r="K861" s="395">
        <v>143</v>
      </c>
      <c r="L861" s="397">
        <v>0.76880000000000004</v>
      </c>
      <c r="M861" s="395">
        <v>43</v>
      </c>
      <c r="N861" s="395">
        <v>627</v>
      </c>
      <c r="O861" s="396">
        <v>1085</v>
      </c>
      <c r="P861" s="395">
        <v>1.21</v>
      </c>
      <c r="Q861" s="395">
        <v>-899</v>
      </c>
      <c r="R861" s="396">
        <v>4899</v>
      </c>
      <c r="S861" s="396">
        <v>-4425</v>
      </c>
      <c r="T861" s="396">
        <v>146998</v>
      </c>
      <c r="U861" s="396">
        <v>-53106</v>
      </c>
      <c r="V861" s="395">
        <v>3787.26</v>
      </c>
      <c r="W861" s="395">
        <v>2324.81</v>
      </c>
      <c r="X861" s="395">
        <v>77490</v>
      </c>
      <c r="Y861" s="395">
        <v>8650.74</v>
      </c>
      <c r="Z861" s="396">
        <v>3764214</v>
      </c>
      <c r="AA861" s="396">
        <v>116552</v>
      </c>
      <c r="AB861" s="396">
        <v>103920956</v>
      </c>
      <c r="AC861" s="396">
        <v>10207916</v>
      </c>
    </row>
    <row r="862" spans="1:29">
      <c r="A862">
        <v>5392</v>
      </c>
      <c r="B862" s="395" t="s">
        <v>7824</v>
      </c>
      <c r="C862" s="395"/>
      <c r="D862" s="396">
        <v>116295</v>
      </c>
      <c r="E862" s="396">
        <v>223962</v>
      </c>
      <c r="F862" s="395">
        <v>2.08</v>
      </c>
      <c r="G862" s="396">
        <v>-107666</v>
      </c>
      <c r="H862" s="396">
        <v>28630</v>
      </c>
      <c r="I862" s="396">
        <v>1950844</v>
      </c>
      <c r="J862" s="395">
        <v>268</v>
      </c>
      <c r="K862" s="395">
        <v>192</v>
      </c>
      <c r="L862" s="397">
        <v>0.71640000000000004</v>
      </c>
      <c r="M862" s="395">
        <v>76</v>
      </c>
      <c r="N862" s="395">
        <v>434</v>
      </c>
      <c r="O862" s="396">
        <v>1166</v>
      </c>
      <c r="P862" s="395">
        <v>0.82</v>
      </c>
      <c r="Q862" s="396">
        <v>-1417</v>
      </c>
      <c r="R862" s="396">
        <v>4894</v>
      </c>
      <c r="S862" s="396">
        <v>-4705</v>
      </c>
      <c r="T862" s="396">
        <v>280520</v>
      </c>
      <c r="U862" s="396">
        <v>-183197</v>
      </c>
      <c r="V862" s="395">
        <v>5023.53</v>
      </c>
      <c r="W862" s="395">
        <v>3222.19</v>
      </c>
      <c r="X862" s="395">
        <v>77490</v>
      </c>
      <c r="Y862" s="395">
        <v>9574.2999999999993</v>
      </c>
      <c r="Z862" s="396">
        <v>-13335343</v>
      </c>
      <c r="AA862" s="396">
        <v>116295</v>
      </c>
      <c r="AB862" s="396">
        <v>-1989631</v>
      </c>
      <c r="AC862" s="396">
        <v>10207916</v>
      </c>
    </row>
    <row r="863" spans="1:29">
      <c r="A863">
        <v>3296</v>
      </c>
      <c r="B863" s="395" t="s">
        <v>7379</v>
      </c>
      <c r="C863" s="395"/>
      <c r="D863" s="396">
        <v>116281</v>
      </c>
      <c r="E863" s="396">
        <v>188793</v>
      </c>
      <c r="F863" s="395">
        <v>2.6</v>
      </c>
      <c r="G863" s="396">
        <v>-72512</v>
      </c>
      <c r="H863" s="396">
        <v>21347</v>
      </c>
      <c r="I863" s="396">
        <v>1390095</v>
      </c>
      <c r="J863" s="395">
        <v>259</v>
      </c>
      <c r="K863" s="395">
        <v>195</v>
      </c>
      <c r="L863" s="397">
        <v>0.75290000000000001</v>
      </c>
      <c r="M863" s="395">
        <v>64</v>
      </c>
      <c r="N863" s="395">
        <v>449</v>
      </c>
      <c r="O863" s="395">
        <v>968</v>
      </c>
      <c r="P863" s="395">
        <v>0.85</v>
      </c>
      <c r="Q863" s="396">
        <v>-1133</v>
      </c>
      <c r="R863" s="396">
        <v>4219</v>
      </c>
      <c r="S863" s="396">
        <v>-5601</v>
      </c>
      <c r="T863" s="396">
        <v>201953</v>
      </c>
      <c r="U863" s="396">
        <v>-159766</v>
      </c>
      <c r="V863" s="395">
        <v>5049.4399999999996</v>
      </c>
      <c r="W863" s="395">
        <v>3259.58</v>
      </c>
      <c r="X863" s="395">
        <v>77490</v>
      </c>
      <c r="Y863" s="395">
        <v>10502.91</v>
      </c>
      <c r="Z863" s="396">
        <v>-10704256</v>
      </c>
      <c r="AA863" s="396">
        <v>116281</v>
      </c>
      <c r="AB863" s="396">
        <v>1486154</v>
      </c>
      <c r="AC863" s="396">
        <v>10207916</v>
      </c>
    </row>
    <row r="864" spans="1:29">
      <c r="A864">
        <v>4523</v>
      </c>
      <c r="B864" s="395" t="s">
        <v>7628</v>
      </c>
      <c r="C864" s="395"/>
      <c r="D864" s="396">
        <v>116030</v>
      </c>
      <c r="E864" s="396">
        <v>172006</v>
      </c>
      <c r="F864" s="395">
        <v>3.07</v>
      </c>
      <c r="G864" s="396">
        <v>-55976</v>
      </c>
      <c r="H864" s="396">
        <v>17970</v>
      </c>
      <c r="I864" s="396">
        <v>912175</v>
      </c>
      <c r="J864" s="395">
        <v>159</v>
      </c>
      <c r="K864" s="395">
        <v>112</v>
      </c>
      <c r="L864" s="397">
        <v>0.70440000000000003</v>
      </c>
      <c r="M864" s="395">
        <v>47</v>
      </c>
      <c r="N864" s="395">
        <v>730</v>
      </c>
      <c r="O864" s="396">
        <v>1536</v>
      </c>
      <c r="P864" s="395">
        <v>1.29</v>
      </c>
      <c r="Q864" s="396">
        <v>-1191</v>
      </c>
      <c r="R864" s="396">
        <v>4850</v>
      </c>
      <c r="S864" s="396">
        <v>-3517</v>
      </c>
      <c r="T864" s="396">
        <v>229123</v>
      </c>
      <c r="U864" s="396">
        <v>-122807</v>
      </c>
      <c r="V864" s="395">
        <v>5473.99</v>
      </c>
      <c r="W864" s="395">
        <v>4308.3</v>
      </c>
      <c r="X864" s="395">
        <v>75330</v>
      </c>
      <c r="Y864" s="395">
        <v>8251.7900000000009</v>
      </c>
      <c r="Z864" s="396">
        <v>-7629384</v>
      </c>
      <c r="AA864" s="396">
        <v>116030</v>
      </c>
      <c r="AB864" s="396">
        <v>-3046346</v>
      </c>
      <c r="AC864" s="396">
        <v>10207916</v>
      </c>
    </row>
    <row r="865" spans="1:29">
      <c r="A865">
        <v>6141</v>
      </c>
      <c r="B865" s="395" t="s">
        <v>7938</v>
      </c>
      <c r="C865" s="395"/>
      <c r="D865" s="396">
        <v>115886</v>
      </c>
      <c r="E865" s="396">
        <v>201581</v>
      </c>
      <c r="F865" s="395">
        <v>2.35</v>
      </c>
      <c r="G865" s="396">
        <v>-85695</v>
      </c>
      <c r="H865" s="396">
        <v>28036</v>
      </c>
      <c r="I865" s="396">
        <v>1562935</v>
      </c>
      <c r="J865" s="395">
        <v>244</v>
      </c>
      <c r="K865" s="395">
        <v>176</v>
      </c>
      <c r="L865" s="397">
        <v>0.72130000000000005</v>
      </c>
      <c r="M865" s="395">
        <v>68</v>
      </c>
      <c r="N865" s="395">
        <v>475</v>
      </c>
      <c r="O865" s="396">
        <v>1145</v>
      </c>
      <c r="P865" s="395">
        <v>0.91</v>
      </c>
      <c r="Q865" s="396">
        <v>-1260</v>
      </c>
      <c r="R865" s="396">
        <v>4656</v>
      </c>
      <c r="S865" s="396">
        <v>-5625</v>
      </c>
      <c r="T865" s="396">
        <v>219888</v>
      </c>
      <c r="U865" s="396">
        <v>-159379</v>
      </c>
      <c r="V865" s="395">
        <v>4849.0200000000004</v>
      </c>
      <c r="W865" s="395">
        <v>2926.66</v>
      </c>
      <c r="X865" s="395">
        <v>75600</v>
      </c>
      <c r="Y865" s="395">
        <v>9824.56</v>
      </c>
      <c r="Z865" s="396">
        <v>-10859415</v>
      </c>
      <c r="AA865" s="396">
        <v>115886</v>
      </c>
      <c r="AB865" s="396">
        <v>-3966153</v>
      </c>
      <c r="AC865" s="396">
        <v>10207916</v>
      </c>
    </row>
    <row r="866" spans="1:29">
      <c r="A866">
        <v>2885</v>
      </c>
      <c r="B866" s="395" t="s">
        <v>7215</v>
      </c>
      <c r="C866" s="395"/>
      <c r="D866" s="396">
        <v>115646</v>
      </c>
      <c r="E866" s="396">
        <v>143945</v>
      </c>
      <c r="F866" s="395">
        <v>5.09</v>
      </c>
      <c r="G866" s="396">
        <v>-28299</v>
      </c>
      <c r="H866" s="396">
        <v>28112</v>
      </c>
      <c r="I866" s="396">
        <v>3018524</v>
      </c>
      <c r="J866" s="395">
        <v>286</v>
      </c>
      <c r="K866" s="395">
        <v>228</v>
      </c>
      <c r="L866" s="397">
        <v>0.79720000000000002</v>
      </c>
      <c r="M866" s="395">
        <v>58</v>
      </c>
      <c r="N866" s="395">
        <v>404</v>
      </c>
      <c r="O866" s="395">
        <v>631</v>
      </c>
      <c r="P866" s="395">
        <v>1.29</v>
      </c>
      <c r="Q866" s="395">
        <v>-488</v>
      </c>
      <c r="R866" s="396">
        <v>1902</v>
      </c>
      <c r="S866" s="396">
        <v>-1452</v>
      </c>
      <c r="T866" s="396">
        <v>193705</v>
      </c>
      <c r="U866" s="396">
        <v>-143982</v>
      </c>
      <c r="V866" s="395">
        <v>8547.77</v>
      </c>
      <c r="W866" s="395">
        <v>7189.9</v>
      </c>
      <c r="X866" s="395">
        <v>77490</v>
      </c>
      <c r="Y866" s="395">
        <v>13885.59</v>
      </c>
      <c r="Z866" s="396">
        <v>5501889</v>
      </c>
      <c r="AA866" s="396">
        <v>115646</v>
      </c>
      <c r="AB866" s="396">
        <v>13340178</v>
      </c>
      <c r="AC866" s="396">
        <v>10207916</v>
      </c>
    </row>
    <row r="867" spans="1:29">
      <c r="A867">
        <v>2302</v>
      </c>
      <c r="B867" s="395" t="s">
        <v>6973</v>
      </c>
      <c r="C867" s="395"/>
      <c r="D867" s="396">
        <v>114777</v>
      </c>
      <c r="E867" s="396">
        <v>169555</v>
      </c>
      <c r="F867" s="395">
        <v>3.1</v>
      </c>
      <c r="G867" s="396">
        <v>-54778</v>
      </c>
      <c r="H867" s="396">
        <v>18410</v>
      </c>
      <c r="I867" s="396">
        <v>1054239</v>
      </c>
      <c r="J867" s="395">
        <v>246</v>
      </c>
      <c r="K867" s="395">
        <v>192</v>
      </c>
      <c r="L867" s="397">
        <v>0.78049999999999997</v>
      </c>
      <c r="M867" s="395">
        <v>54</v>
      </c>
      <c r="N867" s="395">
        <v>467</v>
      </c>
      <c r="O867" s="395">
        <v>883</v>
      </c>
      <c r="P867" s="395">
        <v>0.87</v>
      </c>
      <c r="Q867" s="396">
        <v>-1014</v>
      </c>
      <c r="R867" s="396">
        <v>2985</v>
      </c>
      <c r="S867" s="396">
        <v>-3830</v>
      </c>
      <c r="T867" s="396">
        <v>188575</v>
      </c>
      <c r="U867" s="396">
        <v>-130459</v>
      </c>
      <c r="V867" s="395">
        <v>3990.79</v>
      </c>
      <c r="W867" s="395">
        <v>3011.66</v>
      </c>
      <c r="X867" s="395">
        <v>77490</v>
      </c>
      <c r="Y867" s="395">
        <v>7472.13</v>
      </c>
      <c r="Z867" s="396">
        <v>-18913162</v>
      </c>
      <c r="AA867" s="396">
        <v>114777</v>
      </c>
      <c r="AB867" s="396">
        <v>-18483399</v>
      </c>
      <c r="AC867" s="396">
        <v>10207916</v>
      </c>
    </row>
    <row r="868" spans="1:29">
      <c r="A868">
        <v>4979</v>
      </c>
      <c r="B868" s="395" t="s">
        <v>7744</v>
      </c>
      <c r="C868" s="395"/>
      <c r="D868" s="396">
        <v>114595</v>
      </c>
      <c r="E868" s="396">
        <v>190541</v>
      </c>
      <c r="F868" s="395">
        <v>2.5099999999999998</v>
      </c>
      <c r="G868" s="396">
        <v>-75946</v>
      </c>
      <c r="H868" s="396">
        <v>20405</v>
      </c>
      <c r="I868" s="396">
        <v>1311560</v>
      </c>
      <c r="J868" s="395">
        <v>253</v>
      </c>
      <c r="K868" s="395">
        <v>193</v>
      </c>
      <c r="L868" s="397">
        <v>0.76280000000000003</v>
      </c>
      <c r="M868" s="395">
        <v>60</v>
      </c>
      <c r="N868" s="395">
        <v>453</v>
      </c>
      <c r="O868" s="395">
        <v>987</v>
      </c>
      <c r="P868" s="395">
        <v>0.78</v>
      </c>
      <c r="Q868" s="396">
        <v>-1266</v>
      </c>
      <c r="R868" s="396">
        <v>4626</v>
      </c>
      <c r="S868" s="396">
        <v>-5895</v>
      </c>
      <c r="T868" s="396">
        <v>232657</v>
      </c>
      <c r="U868" s="396">
        <v>-159185</v>
      </c>
      <c r="V868" s="395">
        <v>4444.49</v>
      </c>
      <c r="W868" s="395">
        <v>3385</v>
      </c>
      <c r="X868" s="395">
        <v>77490</v>
      </c>
      <c r="Y868" s="395">
        <v>7852.53</v>
      </c>
      <c r="Z868" s="396">
        <v>-17770745</v>
      </c>
      <c r="AA868" s="396">
        <v>114595</v>
      </c>
      <c r="AB868" s="396">
        <v>-17050093</v>
      </c>
      <c r="AC868" s="396">
        <v>10207916</v>
      </c>
    </row>
    <row r="869" spans="1:29">
      <c r="A869">
        <v>2367</v>
      </c>
      <c r="B869" s="395" t="s">
        <v>7014</v>
      </c>
      <c r="C869" s="395"/>
      <c r="D869" s="396">
        <v>114352</v>
      </c>
      <c r="E869" s="396">
        <v>187488</v>
      </c>
      <c r="F869" s="395">
        <v>2.56</v>
      </c>
      <c r="G869" s="396">
        <v>-73136</v>
      </c>
      <c r="H869" s="396">
        <v>21898</v>
      </c>
      <c r="I869" s="396">
        <v>1466046</v>
      </c>
      <c r="J869" s="395">
        <v>267</v>
      </c>
      <c r="K869" s="395">
        <v>200</v>
      </c>
      <c r="L869" s="397">
        <v>0.74909999999999999</v>
      </c>
      <c r="M869" s="395">
        <v>67</v>
      </c>
      <c r="N869" s="395">
        <v>428</v>
      </c>
      <c r="O869" s="395">
        <v>937</v>
      </c>
      <c r="P869" s="395">
        <v>0.86</v>
      </c>
      <c r="Q869" s="396">
        <v>-1092</v>
      </c>
      <c r="R869" s="396">
        <v>3278</v>
      </c>
      <c r="S869" s="396">
        <v>-3435</v>
      </c>
      <c r="T869" s="396">
        <v>239812</v>
      </c>
      <c r="U869" s="396">
        <v>-182006</v>
      </c>
      <c r="V869" s="395">
        <v>5220.9399999999996</v>
      </c>
      <c r="W869" s="395">
        <v>3477.58</v>
      </c>
      <c r="X869" s="395">
        <v>77490</v>
      </c>
      <c r="Y869" s="395">
        <v>10425</v>
      </c>
      <c r="Z869" s="396">
        <v>-19476838</v>
      </c>
      <c r="AA869" s="396">
        <v>114352</v>
      </c>
      <c r="AB869" s="396">
        <v>-10669643</v>
      </c>
      <c r="AC869" s="396">
        <v>10207916</v>
      </c>
    </row>
    <row r="870" spans="1:29">
      <c r="A870">
        <v>8927</v>
      </c>
      <c r="B870" s="395" t="s">
        <v>8376</v>
      </c>
      <c r="C870" s="395"/>
      <c r="D870" s="396">
        <v>114271</v>
      </c>
      <c r="E870" s="396">
        <v>223925</v>
      </c>
      <c r="F870" s="395">
        <v>2.04</v>
      </c>
      <c r="G870" s="396">
        <v>-109654</v>
      </c>
      <c r="H870" s="396">
        <v>32629</v>
      </c>
      <c r="I870" s="396">
        <v>1234375</v>
      </c>
      <c r="J870" s="395">
        <v>251</v>
      </c>
      <c r="K870" s="395">
        <v>186</v>
      </c>
      <c r="L870" s="397">
        <v>0.74099999999999999</v>
      </c>
      <c r="M870" s="395">
        <v>65</v>
      </c>
      <c r="N870" s="395">
        <v>455</v>
      </c>
      <c r="O870" s="396">
        <v>1204</v>
      </c>
      <c r="P870" s="395">
        <v>0.71</v>
      </c>
      <c r="Q870" s="396">
        <v>-1687</v>
      </c>
      <c r="R870" s="396">
        <v>5906</v>
      </c>
      <c r="S870" s="396">
        <v>-4866</v>
      </c>
      <c r="T870" s="396">
        <v>190785</v>
      </c>
      <c r="U870" s="396">
        <v>-72389</v>
      </c>
      <c r="V870" s="395">
        <v>2822.72</v>
      </c>
      <c r="W870" s="395">
        <v>1961.84</v>
      </c>
      <c r="X870" s="395">
        <v>77490</v>
      </c>
      <c r="Y870" s="395">
        <v>5286.15</v>
      </c>
      <c r="Z870" s="396">
        <v>-2115204</v>
      </c>
      <c r="AA870" s="396">
        <v>114271</v>
      </c>
      <c r="AB870" s="396">
        <v>35903034</v>
      </c>
      <c r="AC870" s="396">
        <v>10207916</v>
      </c>
    </row>
    <row r="871" spans="1:29">
      <c r="A871">
        <v>1235</v>
      </c>
      <c r="B871" s="395" t="s">
        <v>6700</v>
      </c>
      <c r="C871" s="395"/>
      <c r="D871" s="396">
        <v>113435</v>
      </c>
      <c r="E871" s="396">
        <v>126780</v>
      </c>
      <c r="F871" s="395">
        <v>9.5</v>
      </c>
      <c r="G871" s="396">
        <v>-13345</v>
      </c>
      <c r="H871" s="396">
        <v>20911</v>
      </c>
      <c r="I871" s="396">
        <v>1248249</v>
      </c>
      <c r="J871" s="395">
        <v>143</v>
      </c>
      <c r="K871" s="395">
        <v>114</v>
      </c>
      <c r="L871" s="397">
        <v>0.79720000000000002</v>
      </c>
      <c r="M871" s="395">
        <v>29</v>
      </c>
      <c r="N871" s="395">
        <v>793</v>
      </c>
      <c r="O871" s="396">
        <v>1112</v>
      </c>
      <c r="P871" s="395">
        <v>2.42</v>
      </c>
      <c r="Q871" s="395">
        <v>-460</v>
      </c>
      <c r="R871" s="396">
        <v>4467</v>
      </c>
      <c r="S871" s="396">
        <v>-2280</v>
      </c>
      <c r="T871" s="396">
        <v>124066</v>
      </c>
      <c r="U871" s="396">
        <v>-23348</v>
      </c>
      <c r="V871" s="395">
        <v>3790.05</v>
      </c>
      <c r="W871" s="395">
        <v>3516.82</v>
      </c>
      <c r="X871" s="395">
        <v>76410</v>
      </c>
      <c r="Y871" s="395">
        <v>4864.1000000000004</v>
      </c>
      <c r="Z871" s="396">
        <v>20784053</v>
      </c>
      <c r="AA871" s="396">
        <v>113435</v>
      </c>
      <c r="AB871" s="396">
        <v>37141803</v>
      </c>
      <c r="AC871" s="396">
        <v>10207916</v>
      </c>
    </row>
    <row r="872" spans="1:29">
      <c r="A872">
        <v>8905</v>
      </c>
      <c r="B872" s="395" t="s">
        <v>8367</v>
      </c>
      <c r="C872" s="395"/>
      <c r="D872" s="396">
        <v>113320</v>
      </c>
      <c r="E872" s="396">
        <v>166752</v>
      </c>
      <c r="F872" s="395">
        <v>3.12</v>
      </c>
      <c r="G872" s="396">
        <v>-53432</v>
      </c>
      <c r="H872" s="396">
        <v>19513</v>
      </c>
      <c r="I872" s="396">
        <v>764265</v>
      </c>
      <c r="J872" s="395">
        <v>225</v>
      </c>
      <c r="K872" s="395">
        <v>184</v>
      </c>
      <c r="L872" s="397">
        <v>0.81779999999999997</v>
      </c>
      <c r="M872" s="395">
        <v>41</v>
      </c>
      <c r="N872" s="395">
        <v>504</v>
      </c>
      <c r="O872" s="395">
        <v>906</v>
      </c>
      <c r="P872" s="395">
        <v>0.7</v>
      </c>
      <c r="Q872" s="396">
        <v>-1303</v>
      </c>
      <c r="R872" s="396">
        <v>4908</v>
      </c>
      <c r="S872" s="396">
        <v>-8118</v>
      </c>
      <c r="T872" s="396">
        <v>208812</v>
      </c>
      <c r="U872" s="396">
        <v>-122891</v>
      </c>
      <c r="V872" s="395">
        <v>2753.61</v>
      </c>
      <c r="W872" s="395">
        <v>2196.56</v>
      </c>
      <c r="X872" s="395">
        <v>77490</v>
      </c>
      <c r="Y872" s="395">
        <v>5253.54</v>
      </c>
      <c r="Z872" s="396">
        <v>-7108469</v>
      </c>
      <c r="AA872" s="396">
        <v>113320</v>
      </c>
      <c r="AB872" s="396">
        <v>28638030</v>
      </c>
      <c r="AC872" s="396">
        <v>10207916</v>
      </c>
    </row>
    <row r="873" spans="1:29">
      <c r="A873">
        <v>8099</v>
      </c>
      <c r="B873" s="395" t="s">
        <v>8272</v>
      </c>
      <c r="C873" s="395"/>
      <c r="D873" s="396">
        <v>113304</v>
      </c>
      <c r="E873" s="396">
        <v>264898</v>
      </c>
      <c r="F873" s="395">
        <v>1.75</v>
      </c>
      <c r="G873" s="396">
        <v>-151594</v>
      </c>
      <c r="H873" s="396">
        <v>39123</v>
      </c>
      <c r="I873" s="396">
        <v>2151931</v>
      </c>
      <c r="J873" s="395">
        <v>251</v>
      </c>
      <c r="K873" s="395">
        <v>156</v>
      </c>
      <c r="L873" s="397">
        <v>0.62150000000000005</v>
      </c>
      <c r="M873" s="395">
        <v>95</v>
      </c>
      <c r="N873" s="395">
        <v>451</v>
      </c>
      <c r="O873" s="396">
        <v>1698</v>
      </c>
      <c r="P873" s="395">
        <v>1.06</v>
      </c>
      <c r="Q873" s="396">
        <v>-1596</v>
      </c>
      <c r="R873" s="396">
        <v>8349</v>
      </c>
      <c r="S873" s="396">
        <v>-9236</v>
      </c>
      <c r="T873" s="396">
        <v>303139</v>
      </c>
      <c r="U873" s="396">
        <v>-163521</v>
      </c>
      <c r="V873" s="395">
        <v>3854.57</v>
      </c>
      <c r="W873" s="395">
        <v>1497.71</v>
      </c>
      <c r="X873" s="395">
        <v>77490</v>
      </c>
      <c r="Y873" s="395">
        <v>7724.77</v>
      </c>
      <c r="Z873" s="396">
        <v>-4641781</v>
      </c>
      <c r="AA873" s="396">
        <v>113304</v>
      </c>
      <c r="AB873" s="396">
        <v>24795552</v>
      </c>
      <c r="AC873" s="396">
        <v>10207916</v>
      </c>
    </row>
    <row r="874" spans="1:29">
      <c r="A874">
        <v>2743</v>
      </c>
      <c r="B874" s="395" t="s">
        <v>7185</v>
      </c>
      <c r="C874" s="395"/>
      <c r="D874" s="396">
        <v>112745</v>
      </c>
      <c r="E874" s="396">
        <v>147962</v>
      </c>
      <c r="F874" s="395">
        <v>4.2</v>
      </c>
      <c r="G874" s="396">
        <v>-35217</v>
      </c>
      <c r="H874" s="396">
        <v>18405</v>
      </c>
      <c r="I874" s="396">
        <v>753566</v>
      </c>
      <c r="J874" s="395">
        <v>200</v>
      </c>
      <c r="K874" s="395">
        <v>150</v>
      </c>
      <c r="L874" s="397">
        <v>0.75</v>
      </c>
      <c r="M874" s="395">
        <v>50</v>
      </c>
      <c r="N874" s="395">
        <v>564</v>
      </c>
      <c r="O874" s="395">
        <v>986</v>
      </c>
      <c r="P874" s="395">
        <v>1.4</v>
      </c>
      <c r="Q874" s="395">
        <v>-704</v>
      </c>
      <c r="R874" s="396">
        <v>4373</v>
      </c>
      <c r="S874" s="396">
        <v>-3443</v>
      </c>
      <c r="T874" s="396">
        <v>224845</v>
      </c>
      <c r="U874" s="396">
        <v>-129334</v>
      </c>
      <c r="V874" s="395">
        <v>2683.14</v>
      </c>
      <c r="W874" s="395">
        <v>1679.03</v>
      </c>
      <c r="X874" s="395">
        <v>77220</v>
      </c>
      <c r="Y874" s="395">
        <v>5695.44</v>
      </c>
      <c r="Z874" s="396">
        <v>8876372</v>
      </c>
      <c r="AA874" s="396">
        <v>112745</v>
      </c>
      <c r="AB874" s="396">
        <v>51407407</v>
      </c>
      <c r="AC874" s="396">
        <v>10207916</v>
      </c>
    </row>
    <row r="875" spans="1:29">
      <c r="A875">
        <v>4102</v>
      </c>
      <c r="B875" s="395" t="s">
        <v>7551</v>
      </c>
      <c r="C875" s="395"/>
      <c r="D875" s="396">
        <v>112025</v>
      </c>
      <c r="E875" s="396">
        <v>144363</v>
      </c>
      <c r="F875" s="395">
        <v>4.46</v>
      </c>
      <c r="G875" s="396">
        <v>-32338</v>
      </c>
      <c r="H875" s="396">
        <v>18046</v>
      </c>
      <c r="I875" s="396">
        <v>1634019</v>
      </c>
      <c r="J875" s="395">
        <v>206</v>
      </c>
      <c r="K875" s="395">
        <v>159</v>
      </c>
      <c r="L875" s="397">
        <v>0.77180000000000004</v>
      </c>
      <c r="M875" s="395">
        <v>45</v>
      </c>
      <c r="N875" s="395">
        <v>544</v>
      </c>
      <c r="O875" s="395">
        <v>908</v>
      </c>
      <c r="P875" s="395">
        <v>1.26</v>
      </c>
      <c r="Q875" s="395">
        <v>-719</v>
      </c>
      <c r="R875" s="396">
        <v>3024</v>
      </c>
      <c r="S875" s="396">
        <v>-2782</v>
      </c>
      <c r="T875" s="396">
        <v>245596</v>
      </c>
      <c r="U875" s="396">
        <v>-176954</v>
      </c>
      <c r="V875" s="395">
        <v>9135.35</v>
      </c>
      <c r="W875" s="395">
        <v>5894.15</v>
      </c>
      <c r="X875" s="395">
        <v>77490</v>
      </c>
      <c r="Y875" s="395">
        <v>20585.38</v>
      </c>
      <c r="Z875" s="396">
        <v>-6557290</v>
      </c>
      <c r="AA875" s="396">
        <v>112025</v>
      </c>
      <c r="AB875" s="396">
        <v>-11640237</v>
      </c>
      <c r="AC875" s="396">
        <v>10207916</v>
      </c>
    </row>
    <row r="876" spans="1:29">
      <c r="A876">
        <v>8908</v>
      </c>
      <c r="B876" s="395" t="s">
        <v>8369</v>
      </c>
      <c r="C876" s="395"/>
      <c r="D876" s="396">
        <v>112018</v>
      </c>
      <c r="E876" s="396">
        <v>122252</v>
      </c>
      <c r="F876" s="395">
        <v>11.95</v>
      </c>
      <c r="G876" s="396">
        <v>-10234</v>
      </c>
      <c r="H876" s="396">
        <v>20884</v>
      </c>
      <c r="I876" s="396">
        <v>1011722</v>
      </c>
      <c r="J876" s="395">
        <v>90</v>
      </c>
      <c r="K876" s="395">
        <v>82</v>
      </c>
      <c r="L876" s="397">
        <v>0.91110000000000002</v>
      </c>
      <c r="M876" s="395">
        <v>8</v>
      </c>
      <c r="N876" s="396">
        <v>1245</v>
      </c>
      <c r="O876" s="396">
        <v>1491</v>
      </c>
      <c r="P876" s="395">
        <v>1.17</v>
      </c>
      <c r="Q876" s="396">
        <v>-1279</v>
      </c>
      <c r="R876" s="396">
        <v>3520</v>
      </c>
      <c r="S876" s="396">
        <v>-2218</v>
      </c>
      <c r="T876" s="396">
        <v>131916</v>
      </c>
      <c r="U876" s="396">
        <v>-36664</v>
      </c>
      <c r="V876" s="395">
        <v>4877.24</v>
      </c>
      <c r="W876" s="395">
        <v>4728.5200000000004</v>
      </c>
      <c r="X876" s="395">
        <v>77490</v>
      </c>
      <c r="Y876" s="395">
        <v>6401.63</v>
      </c>
      <c r="Z876" s="396">
        <v>22099808</v>
      </c>
      <c r="AA876" s="396">
        <v>112018</v>
      </c>
      <c r="AB876" s="396">
        <v>27574402</v>
      </c>
      <c r="AC876" s="396">
        <v>10207916</v>
      </c>
    </row>
    <row r="877" spans="1:29">
      <c r="A877">
        <v>3234</v>
      </c>
      <c r="B877" s="395" t="s">
        <v>7359</v>
      </c>
      <c r="C877" s="395"/>
      <c r="D877" s="396">
        <v>111799</v>
      </c>
      <c r="E877" s="396">
        <v>330438</v>
      </c>
      <c r="F877" s="395">
        <v>1.51</v>
      </c>
      <c r="G877" s="396">
        <v>-218639</v>
      </c>
      <c r="H877" s="396">
        <v>31051</v>
      </c>
      <c r="I877" s="396">
        <v>2164708</v>
      </c>
      <c r="J877" s="395">
        <v>249</v>
      </c>
      <c r="K877" s="395">
        <v>172</v>
      </c>
      <c r="L877" s="397">
        <v>0.69079999999999997</v>
      </c>
      <c r="M877" s="395">
        <v>77</v>
      </c>
      <c r="N877" s="395">
        <v>449</v>
      </c>
      <c r="O877" s="396">
        <v>1921</v>
      </c>
      <c r="P877" s="395">
        <v>0.68</v>
      </c>
      <c r="Q877" s="396">
        <v>-2839</v>
      </c>
      <c r="R877" s="396">
        <v>7683</v>
      </c>
      <c r="S877" s="396">
        <v>-8750</v>
      </c>
      <c r="T877" s="396">
        <v>395134</v>
      </c>
      <c r="U877" s="396">
        <v>-274931</v>
      </c>
      <c r="V877" s="395">
        <v>6267.21</v>
      </c>
      <c r="W877" s="395">
        <v>4646.6099999999997</v>
      </c>
      <c r="X877" s="395">
        <v>77490</v>
      </c>
      <c r="Y877" s="395">
        <v>9887.25</v>
      </c>
      <c r="Z877" s="396">
        <v>-27495204</v>
      </c>
      <c r="AA877" s="396">
        <v>111799</v>
      </c>
      <c r="AB877" s="396">
        <v>-22993266</v>
      </c>
      <c r="AC877" s="396">
        <v>10207916</v>
      </c>
    </row>
    <row r="878" spans="1:29">
      <c r="A878">
        <v>4123</v>
      </c>
      <c r="B878" s="395" t="s">
        <v>7565</v>
      </c>
      <c r="C878" s="395"/>
      <c r="D878" s="396">
        <v>111520</v>
      </c>
      <c r="E878" s="396">
        <v>394176</v>
      </c>
      <c r="F878" s="395">
        <v>1.39</v>
      </c>
      <c r="G878" s="396">
        <v>-282656</v>
      </c>
      <c r="H878" s="396">
        <v>67796</v>
      </c>
      <c r="I878" s="396">
        <v>4549336</v>
      </c>
      <c r="J878" s="395">
        <v>258</v>
      </c>
      <c r="K878" s="395">
        <v>155</v>
      </c>
      <c r="L878" s="397">
        <v>0.6008</v>
      </c>
      <c r="M878" s="395">
        <v>103</v>
      </c>
      <c r="N878" s="395">
        <v>432</v>
      </c>
      <c r="O878" s="396">
        <v>2543</v>
      </c>
      <c r="P878" s="395">
        <v>0.93</v>
      </c>
      <c r="Q878" s="396">
        <v>-2744</v>
      </c>
      <c r="R878" s="396">
        <v>8958</v>
      </c>
      <c r="S878" s="396">
        <v>-8751</v>
      </c>
      <c r="T878" s="396">
        <v>419615</v>
      </c>
      <c r="U878" s="396">
        <v>-438926</v>
      </c>
      <c r="V878" s="395">
        <v>6151.28</v>
      </c>
      <c r="W878" s="395">
        <v>2776.11</v>
      </c>
      <c r="X878" s="395">
        <v>77220</v>
      </c>
      <c r="Y878" s="395">
        <v>11230.43</v>
      </c>
      <c r="Z878" s="396">
        <v>-12491733</v>
      </c>
      <c r="AA878" s="396">
        <v>111520</v>
      </c>
      <c r="AB878" s="396">
        <v>-3226356</v>
      </c>
      <c r="AC878" s="396">
        <v>10207916</v>
      </c>
    </row>
    <row r="879" spans="1:29">
      <c r="A879">
        <v>6465</v>
      </c>
      <c r="B879" s="395" t="s">
        <v>8090</v>
      </c>
      <c r="C879" s="395"/>
      <c r="D879" s="396">
        <v>111228</v>
      </c>
      <c r="E879" s="396">
        <v>304647</v>
      </c>
      <c r="F879" s="395">
        <v>1.58</v>
      </c>
      <c r="G879" s="396">
        <v>-193419</v>
      </c>
      <c r="H879" s="396">
        <v>15722</v>
      </c>
      <c r="I879" s="396">
        <v>1393599</v>
      </c>
      <c r="J879" s="395">
        <v>161</v>
      </c>
      <c r="K879" s="395">
        <v>98</v>
      </c>
      <c r="L879" s="397">
        <v>0.60870000000000002</v>
      </c>
      <c r="M879" s="395">
        <v>63</v>
      </c>
      <c r="N879" s="395">
        <v>691</v>
      </c>
      <c r="O879" s="396">
        <v>3109</v>
      </c>
      <c r="P879" s="395">
        <v>1.01</v>
      </c>
      <c r="Q879" s="396">
        <v>-3070</v>
      </c>
      <c r="R879" s="396">
        <v>14170</v>
      </c>
      <c r="S879" s="396">
        <v>-10228</v>
      </c>
      <c r="T879" s="396">
        <v>709175</v>
      </c>
      <c r="U879" s="396">
        <v>-525399</v>
      </c>
      <c r="V879" s="395">
        <v>6577.4</v>
      </c>
      <c r="W879" s="395">
        <v>2712.09</v>
      </c>
      <c r="X879" s="395">
        <v>75600</v>
      </c>
      <c r="Y879" s="395">
        <v>12590.11</v>
      </c>
      <c r="Z879" s="396">
        <v>-27780480</v>
      </c>
      <c r="AA879" s="396">
        <v>111228</v>
      </c>
      <c r="AB879" s="396">
        <v>-23875187</v>
      </c>
      <c r="AC879" s="396">
        <v>10207916</v>
      </c>
    </row>
    <row r="880" spans="1:29">
      <c r="A880">
        <v>5487</v>
      </c>
      <c r="B880" s="395" t="s">
        <v>7851</v>
      </c>
      <c r="C880" s="395"/>
      <c r="D880" s="396">
        <v>111130</v>
      </c>
      <c r="E880" s="396">
        <v>149196</v>
      </c>
      <c r="F880" s="395">
        <v>3.92</v>
      </c>
      <c r="G880" s="396">
        <v>-38066</v>
      </c>
      <c r="H880" s="396">
        <v>16422</v>
      </c>
      <c r="I880" s="396">
        <v>815003</v>
      </c>
      <c r="J880" s="395">
        <v>105</v>
      </c>
      <c r="K880" s="395">
        <v>84</v>
      </c>
      <c r="L880" s="397">
        <v>0.8</v>
      </c>
      <c r="M880" s="395">
        <v>21</v>
      </c>
      <c r="N880" s="396">
        <v>1058</v>
      </c>
      <c r="O880" s="396">
        <v>1776</v>
      </c>
      <c r="P880" s="395">
        <v>0.98</v>
      </c>
      <c r="Q880" s="396">
        <v>-1813</v>
      </c>
      <c r="R880" s="396">
        <v>6656</v>
      </c>
      <c r="S880" s="396">
        <v>-6074</v>
      </c>
      <c r="T880" s="396">
        <v>194654</v>
      </c>
      <c r="U880" s="396">
        <v>-129571</v>
      </c>
      <c r="V880" s="395">
        <v>2907.32</v>
      </c>
      <c r="W880" s="395">
        <v>2007.61</v>
      </c>
      <c r="X880" s="395">
        <v>74250</v>
      </c>
      <c r="Y880" s="395">
        <v>6506.19</v>
      </c>
      <c r="Z880" s="396">
        <v>26121774</v>
      </c>
      <c r="AA880" s="396">
        <v>111130</v>
      </c>
      <c r="AB880" s="396">
        <v>-6495068</v>
      </c>
      <c r="AC880" s="396">
        <v>10207916</v>
      </c>
    </row>
    <row r="881" spans="1:29">
      <c r="A881">
        <v>1236</v>
      </c>
      <c r="B881" s="395" t="s">
        <v>6701</v>
      </c>
      <c r="C881" s="395"/>
      <c r="D881" s="396">
        <v>111068</v>
      </c>
      <c r="E881" s="396">
        <v>137098</v>
      </c>
      <c r="F881" s="395">
        <v>5.27</v>
      </c>
      <c r="G881" s="396">
        <v>-26030</v>
      </c>
      <c r="H881" s="396">
        <v>14508</v>
      </c>
      <c r="I881" s="396">
        <v>516948</v>
      </c>
      <c r="J881" s="395">
        <v>190</v>
      </c>
      <c r="K881" s="395">
        <v>146</v>
      </c>
      <c r="L881" s="397">
        <v>0.76839999999999997</v>
      </c>
      <c r="M881" s="395">
        <v>44</v>
      </c>
      <c r="N881" s="395">
        <v>585</v>
      </c>
      <c r="O881" s="395">
        <v>939</v>
      </c>
      <c r="P881" s="395">
        <v>1.59</v>
      </c>
      <c r="Q881" s="395">
        <v>-592</v>
      </c>
      <c r="R881" s="396">
        <v>4523</v>
      </c>
      <c r="S881" s="396">
        <v>-5780</v>
      </c>
      <c r="T881" s="396">
        <v>123668</v>
      </c>
      <c r="U881" s="396">
        <v>-60652</v>
      </c>
      <c r="V881" s="395">
        <v>4335.3999999999996</v>
      </c>
      <c r="W881" s="395">
        <v>4140.92</v>
      </c>
      <c r="X881" s="395">
        <v>77490</v>
      </c>
      <c r="Y881" s="395">
        <v>4980.7</v>
      </c>
      <c r="Z881" s="396">
        <v>-14641884</v>
      </c>
      <c r="AA881" s="396">
        <v>111068</v>
      </c>
      <c r="AB881" s="396">
        <v>46183212</v>
      </c>
      <c r="AC881" s="396">
        <v>10207916</v>
      </c>
    </row>
    <row r="882" spans="1:29">
      <c r="A882">
        <v>1809</v>
      </c>
      <c r="B882" s="395" t="s">
        <v>6894</v>
      </c>
      <c r="C882" s="395"/>
      <c r="D882" s="396">
        <v>110429</v>
      </c>
      <c r="E882" s="396">
        <v>134540</v>
      </c>
      <c r="F882" s="395">
        <v>5.58</v>
      </c>
      <c r="G882" s="396">
        <v>-24111</v>
      </c>
      <c r="H882" s="396">
        <v>14932</v>
      </c>
      <c r="I882" s="396">
        <v>471830</v>
      </c>
      <c r="J882" s="395">
        <v>261</v>
      </c>
      <c r="K882" s="395">
        <v>221</v>
      </c>
      <c r="L882" s="397">
        <v>0.84670000000000001</v>
      </c>
      <c r="M882" s="395">
        <v>40</v>
      </c>
      <c r="N882" s="395">
        <v>423</v>
      </c>
      <c r="O882" s="395">
        <v>609</v>
      </c>
      <c r="P882" s="395">
        <v>1.01</v>
      </c>
      <c r="Q882" s="395">
        <v>-603</v>
      </c>
      <c r="R882" s="396">
        <v>2495</v>
      </c>
      <c r="S882" s="396">
        <v>-2874</v>
      </c>
      <c r="T882" s="396">
        <v>131030</v>
      </c>
      <c r="U882" s="396">
        <v>-53740</v>
      </c>
      <c r="V882" s="395">
        <v>2110.5500000000002</v>
      </c>
      <c r="W882" s="395">
        <v>1606.57</v>
      </c>
      <c r="X882" s="395">
        <v>77220</v>
      </c>
      <c r="Y882" s="395">
        <v>4895</v>
      </c>
      <c r="Z882" s="396">
        <v>-1158314</v>
      </c>
      <c r="AA882" s="396">
        <v>110429</v>
      </c>
      <c r="AB882" s="396">
        <v>8466443</v>
      </c>
      <c r="AC882" s="396">
        <v>10207916</v>
      </c>
    </row>
    <row r="883" spans="1:29">
      <c r="A883">
        <v>6154</v>
      </c>
      <c r="B883" s="395" t="s">
        <v>7949</v>
      </c>
      <c r="C883" s="395"/>
      <c r="D883" s="396">
        <v>110134</v>
      </c>
      <c r="E883" s="396">
        <v>124085</v>
      </c>
      <c r="F883" s="395">
        <v>8.89</v>
      </c>
      <c r="G883" s="396">
        <v>-13951</v>
      </c>
      <c r="H883" s="396">
        <v>14463</v>
      </c>
      <c r="I883" s="396">
        <v>925821</v>
      </c>
      <c r="J883" s="395">
        <v>208</v>
      </c>
      <c r="K883" s="395">
        <v>184</v>
      </c>
      <c r="L883" s="397">
        <v>0.88460000000000005</v>
      </c>
      <c r="M883" s="395">
        <v>24</v>
      </c>
      <c r="N883" s="395">
        <v>529</v>
      </c>
      <c r="O883" s="395">
        <v>674</v>
      </c>
      <c r="P883" s="395">
        <v>1.1599999999999999</v>
      </c>
      <c r="Q883" s="395">
        <v>-581</v>
      </c>
      <c r="R883" s="396">
        <v>2525</v>
      </c>
      <c r="S883" s="396">
        <v>-2835</v>
      </c>
      <c r="T883" s="396">
        <v>117737</v>
      </c>
      <c r="U883" s="396">
        <v>-51975</v>
      </c>
      <c r="V883" s="395">
        <v>5199.6099999999997</v>
      </c>
      <c r="W883" s="395">
        <v>5001.6400000000003</v>
      </c>
      <c r="X883" s="395">
        <v>77490</v>
      </c>
      <c r="Y883" s="395">
        <v>6717.37</v>
      </c>
      <c r="Z883" s="396">
        <v>-4192404</v>
      </c>
      <c r="AA883" s="396">
        <v>110134</v>
      </c>
      <c r="AB883" s="396">
        <v>20678940</v>
      </c>
      <c r="AC883" s="396">
        <v>10207916</v>
      </c>
    </row>
    <row r="884" spans="1:29">
      <c r="A884">
        <v>3516</v>
      </c>
      <c r="B884" s="395" t="s">
        <v>7450</v>
      </c>
      <c r="C884" s="395"/>
      <c r="D884" s="396">
        <v>110061</v>
      </c>
      <c r="E884" s="396">
        <v>157442</v>
      </c>
      <c r="F884" s="395">
        <v>3.32</v>
      </c>
      <c r="G884" s="396">
        <v>-47381</v>
      </c>
      <c r="H884" s="396">
        <v>14175</v>
      </c>
      <c r="I884" s="396">
        <v>1153877</v>
      </c>
      <c r="J884" s="395">
        <v>203</v>
      </c>
      <c r="K884" s="395">
        <v>150</v>
      </c>
      <c r="L884" s="397">
        <v>0.7389</v>
      </c>
      <c r="M884" s="395">
        <v>53</v>
      </c>
      <c r="N884" s="395">
        <v>542</v>
      </c>
      <c r="O884" s="396">
        <v>1050</v>
      </c>
      <c r="P884" s="395">
        <v>1.17</v>
      </c>
      <c r="Q884" s="395">
        <v>-894</v>
      </c>
      <c r="R884" s="396">
        <v>4433</v>
      </c>
      <c r="S884" s="396">
        <v>-3934</v>
      </c>
      <c r="T884" s="396">
        <v>309362</v>
      </c>
      <c r="U884" s="396">
        <v>-203861</v>
      </c>
      <c r="V884" s="395">
        <v>4491.49</v>
      </c>
      <c r="W884" s="395">
        <v>3042.09</v>
      </c>
      <c r="X884" s="395">
        <v>77220</v>
      </c>
      <c r="Y884" s="395">
        <v>8593.5499999999993</v>
      </c>
      <c r="Z884" s="396">
        <v>17883726</v>
      </c>
      <c r="AA884" s="396">
        <v>110061</v>
      </c>
      <c r="AB884" s="396">
        <v>3665027</v>
      </c>
      <c r="AC884" s="396">
        <v>10207916</v>
      </c>
    </row>
    <row r="885" spans="1:29">
      <c r="A885">
        <v>1587</v>
      </c>
      <c r="B885" s="395" t="s">
        <v>6824</v>
      </c>
      <c r="C885" s="395"/>
      <c r="D885" s="396">
        <v>110039</v>
      </c>
      <c r="E885" s="396">
        <v>190921</v>
      </c>
      <c r="F885" s="395">
        <v>2.36</v>
      </c>
      <c r="G885" s="396">
        <v>-80882</v>
      </c>
      <c r="H885" s="396">
        <v>23963</v>
      </c>
      <c r="I885" s="396">
        <v>1554791</v>
      </c>
      <c r="J885" s="395">
        <v>217</v>
      </c>
      <c r="K885" s="395">
        <v>136</v>
      </c>
      <c r="L885" s="397">
        <v>0.62670000000000003</v>
      </c>
      <c r="M885" s="395">
        <v>80</v>
      </c>
      <c r="N885" s="395">
        <v>507</v>
      </c>
      <c r="O885" s="396">
        <v>1404</v>
      </c>
      <c r="P885" s="395">
        <v>1.39</v>
      </c>
      <c r="Q885" s="396">
        <v>-1011</v>
      </c>
      <c r="R885" s="396">
        <v>4952</v>
      </c>
      <c r="S885" s="396">
        <v>-5475</v>
      </c>
      <c r="T885" s="396">
        <v>200857</v>
      </c>
      <c r="U885" s="396">
        <v>-86679</v>
      </c>
      <c r="V885" s="395">
        <v>5785.16</v>
      </c>
      <c r="W885" s="395">
        <v>2474.12</v>
      </c>
      <c r="X885" s="395">
        <v>77490</v>
      </c>
      <c r="Y885" s="395">
        <v>11438.79</v>
      </c>
      <c r="Z885" s="396">
        <v>-10796728</v>
      </c>
      <c r="AA885" s="396">
        <v>110039</v>
      </c>
      <c r="AB885" s="396">
        <v>4225422</v>
      </c>
      <c r="AC885" s="396">
        <v>10207916</v>
      </c>
    </row>
    <row r="886" spans="1:29">
      <c r="A886">
        <v>3322</v>
      </c>
      <c r="B886" s="395" t="s">
        <v>7391</v>
      </c>
      <c r="C886" s="395"/>
      <c r="D886" s="396">
        <v>109794</v>
      </c>
      <c r="E886" s="396">
        <v>145518</v>
      </c>
      <c r="F886" s="395">
        <v>4.07</v>
      </c>
      <c r="G886" s="396">
        <v>-35724</v>
      </c>
      <c r="H886" s="396">
        <v>16806</v>
      </c>
      <c r="I886" s="396">
        <v>442780</v>
      </c>
      <c r="J886" s="395">
        <v>227</v>
      </c>
      <c r="K886" s="395">
        <v>190</v>
      </c>
      <c r="L886" s="397">
        <v>0.83699999999999997</v>
      </c>
      <c r="M886" s="395">
        <v>37</v>
      </c>
      <c r="N886" s="395">
        <v>484</v>
      </c>
      <c r="O886" s="395">
        <v>766</v>
      </c>
      <c r="P886" s="395">
        <v>0.79</v>
      </c>
      <c r="Q886" s="395">
        <v>-966</v>
      </c>
      <c r="R886" s="396">
        <v>3060</v>
      </c>
      <c r="S886" s="396">
        <v>-3152</v>
      </c>
      <c r="T886" s="396">
        <v>117942</v>
      </c>
      <c r="U886" s="396">
        <v>-44823</v>
      </c>
      <c r="V886" s="395">
        <v>1933.72</v>
      </c>
      <c r="W886" s="395">
        <v>1320.11</v>
      </c>
      <c r="X886" s="395">
        <v>77490</v>
      </c>
      <c r="Y886" s="395">
        <v>5084.7299999999996</v>
      </c>
      <c r="Z886" s="396">
        <v>21644079</v>
      </c>
      <c r="AA886" s="396">
        <v>109794</v>
      </c>
      <c r="AB886" s="396">
        <v>44295833</v>
      </c>
      <c r="AC886" s="396">
        <v>10207916</v>
      </c>
    </row>
    <row r="887" spans="1:29">
      <c r="A887">
        <v>3535</v>
      </c>
      <c r="B887" s="395" t="s">
        <v>7464</v>
      </c>
      <c r="C887" s="395"/>
      <c r="D887" s="396">
        <v>109759</v>
      </c>
      <c r="E887" s="396">
        <v>137920</v>
      </c>
      <c r="F887" s="395">
        <v>4.9000000000000004</v>
      </c>
      <c r="G887" s="396">
        <v>-28161</v>
      </c>
      <c r="H887" s="396">
        <v>19441</v>
      </c>
      <c r="I887" s="396">
        <v>558387</v>
      </c>
      <c r="J887" s="395">
        <v>266</v>
      </c>
      <c r="K887" s="395">
        <v>229</v>
      </c>
      <c r="L887" s="397">
        <v>0.8609</v>
      </c>
      <c r="M887" s="395">
        <v>37</v>
      </c>
      <c r="N887" s="395">
        <v>413</v>
      </c>
      <c r="O887" s="395">
        <v>602</v>
      </c>
      <c r="P887" s="395">
        <v>0.79</v>
      </c>
      <c r="Q887" s="395">
        <v>-761</v>
      </c>
      <c r="R887" s="396">
        <v>1678</v>
      </c>
      <c r="S887" s="396">
        <v>-1879</v>
      </c>
      <c r="T887" s="396">
        <v>140831</v>
      </c>
      <c r="U887" s="396">
        <v>-37400</v>
      </c>
      <c r="V887" s="395">
        <v>2201.73</v>
      </c>
      <c r="W887" s="395">
        <v>1750.5</v>
      </c>
      <c r="X887" s="395">
        <v>77490</v>
      </c>
      <c r="Y887" s="395">
        <v>4994.46</v>
      </c>
      <c r="Z887" s="396">
        <v>-7434870</v>
      </c>
      <c r="AA887" s="396">
        <v>109759</v>
      </c>
      <c r="AB887" s="396">
        <v>2024752</v>
      </c>
      <c r="AC887" s="396">
        <v>10207916</v>
      </c>
    </row>
    <row r="888" spans="1:29">
      <c r="A888">
        <v>4741</v>
      </c>
      <c r="B888" s="395" t="s">
        <v>7684</v>
      </c>
      <c r="C888" s="395"/>
      <c r="D888" s="396">
        <v>108659</v>
      </c>
      <c r="E888" s="396">
        <v>116961</v>
      </c>
      <c r="F888" s="395">
        <v>14.09</v>
      </c>
      <c r="G888" s="396">
        <v>-8301</v>
      </c>
      <c r="H888" s="396">
        <v>14901</v>
      </c>
      <c r="I888" s="396">
        <v>909879</v>
      </c>
      <c r="J888" s="395">
        <v>139</v>
      </c>
      <c r="K888" s="395">
        <v>116</v>
      </c>
      <c r="L888" s="397">
        <v>0.83450000000000002</v>
      </c>
      <c r="M888" s="395">
        <v>23</v>
      </c>
      <c r="N888" s="395">
        <v>782</v>
      </c>
      <c r="O888" s="396">
        <v>1008</v>
      </c>
      <c r="P888" s="395">
        <v>2.79</v>
      </c>
      <c r="Q888" s="395">
        <v>-361</v>
      </c>
      <c r="R888" s="396">
        <v>2890</v>
      </c>
      <c r="S888" s="396">
        <v>-1522</v>
      </c>
      <c r="T888" s="396">
        <v>114879</v>
      </c>
      <c r="U888" s="396">
        <v>-42889</v>
      </c>
      <c r="V888" s="395">
        <v>7051.75</v>
      </c>
      <c r="W888" s="395">
        <v>6984.59</v>
      </c>
      <c r="X888" s="395">
        <v>75060</v>
      </c>
      <c r="Y888" s="395">
        <v>7390.43</v>
      </c>
      <c r="Z888" s="396">
        <v>2365539</v>
      </c>
      <c r="AA888" s="396">
        <v>108659</v>
      </c>
      <c r="AB888" s="396">
        <v>-555339</v>
      </c>
      <c r="AC888" s="396">
        <v>10207916</v>
      </c>
    </row>
    <row r="889" spans="1:29">
      <c r="A889">
        <v>2358</v>
      </c>
      <c r="B889" s="395" t="s">
        <v>7007</v>
      </c>
      <c r="C889" s="395"/>
      <c r="D889" s="396">
        <v>108427</v>
      </c>
      <c r="E889" s="396">
        <v>155933</v>
      </c>
      <c r="F889" s="395">
        <v>3.28</v>
      </c>
      <c r="G889" s="396">
        <v>-47506</v>
      </c>
      <c r="H889" s="396">
        <v>21226</v>
      </c>
      <c r="I889" s="396">
        <v>508884</v>
      </c>
      <c r="J889" s="395">
        <v>262</v>
      </c>
      <c r="K889" s="395">
        <v>202</v>
      </c>
      <c r="L889" s="397">
        <v>0.77100000000000002</v>
      </c>
      <c r="M889" s="395">
        <v>60</v>
      </c>
      <c r="N889" s="395">
        <v>414</v>
      </c>
      <c r="O889" s="395">
        <v>772</v>
      </c>
      <c r="P889" s="395">
        <v>0.97</v>
      </c>
      <c r="Q889" s="395">
        <v>-792</v>
      </c>
      <c r="R889" s="396">
        <v>3217</v>
      </c>
      <c r="S889" s="396">
        <v>-3352</v>
      </c>
      <c r="T889" s="396">
        <v>149945</v>
      </c>
      <c r="U889" s="396">
        <v>-41415</v>
      </c>
      <c r="V889" s="395">
        <v>1622.63</v>
      </c>
      <c r="W889" s="395">
        <v>1049.6099999999999</v>
      </c>
      <c r="X889" s="395">
        <v>77490</v>
      </c>
      <c r="Y889" s="395">
        <v>3551.78</v>
      </c>
      <c r="Z889" s="396">
        <v>-3220884</v>
      </c>
      <c r="AA889" s="396">
        <v>108427</v>
      </c>
      <c r="AB889" s="396">
        <v>29017234</v>
      </c>
      <c r="AC889" s="396">
        <v>10207916</v>
      </c>
    </row>
    <row r="890" spans="1:29">
      <c r="A890">
        <v>2029</v>
      </c>
      <c r="B890" s="395" t="s">
        <v>6923</v>
      </c>
      <c r="C890" s="395"/>
      <c r="D890" s="396">
        <v>108059</v>
      </c>
      <c r="E890" s="396">
        <v>282840</v>
      </c>
      <c r="F890" s="395">
        <v>1.62</v>
      </c>
      <c r="G890" s="396">
        <v>-174781</v>
      </c>
      <c r="H890" s="396">
        <v>36391</v>
      </c>
      <c r="I890" s="396">
        <v>3830662</v>
      </c>
      <c r="J890" s="395">
        <v>260</v>
      </c>
      <c r="K890" s="395">
        <v>186</v>
      </c>
      <c r="L890" s="397">
        <v>0.71540000000000004</v>
      </c>
      <c r="M890" s="395">
        <v>74</v>
      </c>
      <c r="N890" s="395">
        <v>416</v>
      </c>
      <c r="O890" s="396">
        <v>1521</v>
      </c>
      <c r="P890" s="395">
        <v>0.64</v>
      </c>
      <c r="Q890" s="396">
        <v>-2362</v>
      </c>
      <c r="R890" s="396">
        <v>5075</v>
      </c>
      <c r="S890" s="396">
        <v>-9805</v>
      </c>
      <c r="T890" s="396">
        <v>522988</v>
      </c>
      <c r="U890" s="396">
        <v>-542914</v>
      </c>
      <c r="V890" s="395">
        <v>8459.7800000000007</v>
      </c>
      <c r="W890" s="395">
        <v>4495.76</v>
      </c>
      <c r="X890" s="395">
        <v>77490</v>
      </c>
      <c r="Y890" s="395">
        <v>18423.41</v>
      </c>
      <c r="Z890" s="396">
        <v>-10643338</v>
      </c>
      <c r="AA890" s="396">
        <v>108059</v>
      </c>
      <c r="AB890" s="396">
        <v>17619730</v>
      </c>
      <c r="AC890" s="396">
        <v>10207916</v>
      </c>
    </row>
    <row r="891" spans="1:29">
      <c r="A891">
        <v>6215</v>
      </c>
      <c r="B891" s="395" t="s">
        <v>8001</v>
      </c>
      <c r="C891" s="395"/>
      <c r="D891" s="396">
        <v>107215</v>
      </c>
      <c r="E891" s="396">
        <v>214380</v>
      </c>
      <c r="F891" s="395">
        <v>2</v>
      </c>
      <c r="G891" s="396">
        <v>-107165</v>
      </c>
      <c r="H891" s="396">
        <v>27963</v>
      </c>
      <c r="I891" s="396">
        <v>2070704</v>
      </c>
      <c r="J891" s="395">
        <v>263</v>
      </c>
      <c r="K891" s="395">
        <v>199</v>
      </c>
      <c r="L891" s="397">
        <v>0.75670000000000004</v>
      </c>
      <c r="M891" s="395">
        <v>64</v>
      </c>
      <c r="N891" s="395">
        <v>408</v>
      </c>
      <c r="O891" s="396">
        <v>1077</v>
      </c>
      <c r="P891" s="395">
        <v>0.64</v>
      </c>
      <c r="Q891" s="396">
        <v>-1674</v>
      </c>
      <c r="R891" s="396">
        <v>4389</v>
      </c>
      <c r="S891" s="396">
        <v>-7981</v>
      </c>
      <c r="T891" s="396">
        <v>318186</v>
      </c>
      <c r="U891" s="396">
        <v>-287628</v>
      </c>
      <c r="V891" s="395">
        <v>4031.94</v>
      </c>
      <c r="W891" s="395">
        <v>2216.1799999999998</v>
      </c>
      <c r="X891" s="395">
        <v>77490</v>
      </c>
      <c r="Y891" s="395">
        <v>9677.83</v>
      </c>
      <c r="Z891" s="396">
        <v>-6208792</v>
      </c>
      <c r="AA891" s="396">
        <v>107215</v>
      </c>
      <c r="AB891" s="396">
        <v>31003153</v>
      </c>
      <c r="AC891" s="396">
        <v>10207916</v>
      </c>
    </row>
    <row r="892" spans="1:29">
      <c r="A892">
        <v>6156</v>
      </c>
      <c r="B892" s="395" t="s">
        <v>7951</v>
      </c>
      <c r="C892" s="395"/>
      <c r="D892" s="396">
        <v>106996</v>
      </c>
      <c r="E892" s="396">
        <v>150033</v>
      </c>
      <c r="F892" s="395">
        <v>3.49</v>
      </c>
      <c r="G892" s="396">
        <v>-43037</v>
      </c>
      <c r="H892" s="396">
        <v>17668</v>
      </c>
      <c r="I892" s="396">
        <v>716224</v>
      </c>
      <c r="J892" s="395">
        <v>231</v>
      </c>
      <c r="K892" s="395">
        <v>191</v>
      </c>
      <c r="L892" s="397">
        <v>0.82679999999999998</v>
      </c>
      <c r="M892" s="395">
        <v>40</v>
      </c>
      <c r="N892" s="395">
        <v>463</v>
      </c>
      <c r="O892" s="395">
        <v>786</v>
      </c>
      <c r="P892" s="395">
        <v>0.73</v>
      </c>
      <c r="Q892" s="396">
        <v>-1076</v>
      </c>
      <c r="R892" s="396">
        <v>3133</v>
      </c>
      <c r="S892" s="396">
        <v>-5134</v>
      </c>
      <c r="T892" s="396">
        <v>138520</v>
      </c>
      <c r="U892" s="396">
        <v>-66811</v>
      </c>
      <c r="V892" s="395">
        <v>3821.28</v>
      </c>
      <c r="W892" s="395">
        <v>3021.05</v>
      </c>
      <c r="X892" s="395">
        <v>77490</v>
      </c>
      <c r="Y892" s="395">
        <v>7642.38</v>
      </c>
      <c r="Z892" s="396">
        <v>-10215456</v>
      </c>
      <c r="AA892" s="396">
        <v>106996</v>
      </c>
      <c r="AB892" s="396">
        <v>1651201</v>
      </c>
      <c r="AC892" s="396">
        <v>10207916</v>
      </c>
    </row>
    <row r="893" spans="1:29">
      <c r="A893">
        <v>5211</v>
      </c>
      <c r="B893" s="395" t="s">
        <v>7766</v>
      </c>
      <c r="C893" s="395"/>
      <c r="D893" s="396">
        <v>106585</v>
      </c>
      <c r="E893" s="396">
        <v>126241</v>
      </c>
      <c r="F893" s="395">
        <v>6.42</v>
      </c>
      <c r="G893" s="396">
        <v>-19656</v>
      </c>
      <c r="H893" s="396">
        <v>15115</v>
      </c>
      <c r="I893" s="396">
        <v>394400</v>
      </c>
      <c r="J893" s="395">
        <v>204</v>
      </c>
      <c r="K893" s="395">
        <v>178</v>
      </c>
      <c r="L893" s="397">
        <v>0.87250000000000005</v>
      </c>
      <c r="M893" s="395">
        <v>26</v>
      </c>
      <c r="N893" s="395">
        <v>522</v>
      </c>
      <c r="O893" s="395">
        <v>709</v>
      </c>
      <c r="P893" s="395">
        <v>0.94</v>
      </c>
      <c r="Q893" s="395">
        <v>-756</v>
      </c>
      <c r="R893" s="396">
        <v>2585</v>
      </c>
      <c r="S893" s="396">
        <v>-2736</v>
      </c>
      <c r="T893" s="396">
        <v>118199</v>
      </c>
      <c r="U893" s="396">
        <v>-30892</v>
      </c>
      <c r="V893" s="395">
        <v>2799.5</v>
      </c>
      <c r="W893" s="395">
        <v>2467.48</v>
      </c>
      <c r="X893" s="395">
        <v>77490</v>
      </c>
      <c r="Y893" s="395">
        <v>5072.54</v>
      </c>
      <c r="Z893" s="396">
        <v>-7996743</v>
      </c>
      <c r="AA893" s="396">
        <v>106585</v>
      </c>
      <c r="AB893" s="396">
        <v>5862928</v>
      </c>
      <c r="AC893" s="396">
        <v>10207916</v>
      </c>
    </row>
    <row r="894" spans="1:29">
      <c r="A894">
        <v>1611</v>
      </c>
      <c r="B894" s="395" t="s">
        <v>6838</v>
      </c>
      <c r="C894" s="395"/>
      <c r="D894" s="396">
        <v>106561</v>
      </c>
      <c r="E894" s="396">
        <v>136973</v>
      </c>
      <c r="F894" s="395">
        <v>4.5</v>
      </c>
      <c r="G894" s="396">
        <v>-30412</v>
      </c>
      <c r="H894" s="396">
        <v>14632</v>
      </c>
      <c r="I894" s="396">
        <v>816570</v>
      </c>
      <c r="J894" s="395">
        <v>264</v>
      </c>
      <c r="K894" s="395">
        <v>214</v>
      </c>
      <c r="L894" s="397">
        <v>0.81059999999999999</v>
      </c>
      <c r="M894" s="395">
        <v>50</v>
      </c>
      <c r="N894" s="395">
        <v>404</v>
      </c>
      <c r="O894" s="395">
        <v>640</v>
      </c>
      <c r="P894" s="395">
        <v>1.05</v>
      </c>
      <c r="Q894" s="395">
        <v>-608</v>
      </c>
      <c r="R894" s="396">
        <v>2146</v>
      </c>
      <c r="S894" s="396">
        <v>-3204</v>
      </c>
      <c r="T894" s="396">
        <v>131113</v>
      </c>
      <c r="U894" s="396">
        <v>-46125</v>
      </c>
      <c r="V894" s="395">
        <v>5162.45</v>
      </c>
      <c r="W894" s="395">
        <v>4009.88</v>
      </c>
      <c r="X894" s="395">
        <v>77490</v>
      </c>
      <c r="Y894" s="395">
        <v>10095.48</v>
      </c>
      <c r="Z894" s="396">
        <v>-7771657</v>
      </c>
      <c r="AA894" s="396">
        <v>106561</v>
      </c>
      <c r="AB894" s="396">
        <v>18917857</v>
      </c>
      <c r="AC894" s="396">
        <v>10207916</v>
      </c>
    </row>
    <row r="895" spans="1:29">
      <c r="A895">
        <v>3206</v>
      </c>
      <c r="B895" s="395" t="s">
        <v>7342</v>
      </c>
      <c r="C895" s="395"/>
      <c r="D895" s="396">
        <v>106532</v>
      </c>
      <c r="E895" s="396">
        <v>167957</v>
      </c>
      <c r="F895" s="395">
        <v>2.73</v>
      </c>
      <c r="G895" s="396">
        <v>-61425</v>
      </c>
      <c r="H895" s="396">
        <v>26068</v>
      </c>
      <c r="I895" s="396">
        <v>1601305</v>
      </c>
      <c r="J895" s="395">
        <v>197</v>
      </c>
      <c r="K895" s="395">
        <v>146</v>
      </c>
      <c r="L895" s="397">
        <v>0.74109999999999998</v>
      </c>
      <c r="M895" s="395">
        <v>51</v>
      </c>
      <c r="N895" s="395">
        <v>541</v>
      </c>
      <c r="O895" s="396">
        <v>1150</v>
      </c>
      <c r="P895" s="395">
        <v>0.96</v>
      </c>
      <c r="Q895" s="396">
        <v>-1204</v>
      </c>
      <c r="R895" s="396">
        <v>5270</v>
      </c>
      <c r="S895" s="396">
        <v>-2903</v>
      </c>
      <c r="T895" s="396">
        <v>216311</v>
      </c>
      <c r="U895" s="396">
        <v>-125967</v>
      </c>
      <c r="V895" s="395">
        <v>6488.16</v>
      </c>
      <c r="W895" s="395">
        <v>5164.6400000000003</v>
      </c>
      <c r="X895" s="395">
        <v>77490</v>
      </c>
      <c r="Y895" s="395">
        <v>10277.06</v>
      </c>
      <c r="Z895" s="396">
        <v>-11694045</v>
      </c>
      <c r="AA895" s="396">
        <v>106532</v>
      </c>
      <c r="AB895" s="396">
        <v>-9620857</v>
      </c>
      <c r="AC895" s="396">
        <v>10207916</v>
      </c>
    </row>
    <row r="896" spans="1:29">
      <c r="A896">
        <v>3287</v>
      </c>
      <c r="B896" s="395" t="s">
        <v>7373</v>
      </c>
      <c r="C896" s="395"/>
      <c r="D896" s="396">
        <v>106265</v>
      </c>
      <c r="E896" s="396">
        <v>182541</v>
      </c>
      <c r="F896" s="395">
        <v>2.39</v>
      </c>
      <c r="G896" s="396">
        <v>-76276</v>
      </c>
      <c r="H896" s="396">
        <v>20335</v>
      </c>
      <c r="I896" s="396">
        <v>690179</v>
      </c>
      <c r="J896" s="395">
        <v>244</v>
      </c>
      <c r="K896" s="395">
        <v>174</v>
      </c>
      <c r="L896" s="397">
        <v>0.71309999999999996</v>
      </c>
      <c r="M896" s="395">
        <v>70</v>
      </c>
      <c r="N896" s="395">
        <v>436</v>
      </c>
      <c r="O896" s="396">
        <v>1049</v>
      </c>
      <c r="P896" s="395">
        <v>0.96</v>
      </c>
      <c r="Q896" s="396">
        <v>-1090</v>
      </c>
      <c r="R896" s="396">
        <v>5315</v>
      </c>
      <c r="S896" s="396">
        <v>-4102</v>
      </c>
      <c r="T896" s="396">
        <v>170158</v>
      </c>
      <c r="U896" s="396">
        <v>-87977</v>
      </c>
      <c r="V896" s="395">
        <v>2798.98</v>
      </c>
      <c r="W896" s="395">
        <v>1549.13</v>
      </c>
      <c r="X896" s="395">
        <v>77490</v>
      </c>
      <c r="Y896" s="395">
        <v>5905.77</v>
      </c>
      <c r="Z896" s="396">
        <v>-4484243</v>
      </c>
      <c r="AA896" s="396">
        <v>106265</v>
      </c>
      <c r="AB896" s="396">
        <v>-21022556</v>
      </c>
      <c r="AC896" s="396">
        <v>10207916</v>
      </c>
    </row>
    <row r="897" spans="1:29">
      <c r="A897">
        <v>2066</v>
      </c>
      <c r="B897" s="395" t="s">
        <v>6938</v>
      </c>
      <c r="C897" s="395"/>
      <c r="D897" s="396">
        <v>105785</v>
      </c>
      <c r="E897" s="396">
        <v>169150</v>
      </c>
      <c r="F897" s="395">
        <v>2.67</v>
      </c>
      <c r="G897" s="396">
        <v>-63365</v>
      </c>
      <c r="H897" s="396">
        <v>28767</v>
      </c>
      <c r="I897" s="396">
        <v>1424639</v>
      </c>
      <c r="J897" s="395">
        <v>125</v>
      </c>
      <c r="K897" s="395">
        <v>88</v>
      </c>
      <c r="L897" s="397">
        <v>0.70399999999999996</v>
      </c>
      <c r="M897" s="395">
        <v>37</v>
      </c>
      <c r="N897" s="395">
        <v>846</v>
      </c>
      <c r="O897" s="396">
        <v>1922</v>
      </c>
      <c r="P897" s="395">
        <v>1.1200000000000001</v>
      </c>
      <c r="Q897" s="396">
        <v>-1713</v>
      </c>
      <c r="R897" s="396">
        <v>5241</v>
      </c>
      <c r="S897" s="396">
        <v>-6739</v>
      </c>
      <c r="T897" s="396">
        <v>197182</v>
      </c>
      <c r="U897" s="396">
        <v>-66514</v>
      </c>
      <c r="V897" s="395">
        <v>4180.6499999999996</v>
      </c>
      <c r="W897" s="395">
        <v>3178.68</v>
      </c>
      <c r="X897" s="395">
        <v>76410</v>
      </c>
      <c r="Y897" s="395">
        <v>6563.7</v>
      </c>
      <c r="Z897" s="396">
        <v>4379288</v>
      </c>
      <c r="AA897" s="396">
        <v>105785</v>
      </c>
      <c r="AB897" s="396">
        <v>3949029</v>
      </c>
      <c r="AC897" s="396">
        <v>10207916</v>
      </c>
    </row>
    <row r="898" spans="1:29">
      <c r="A898">
        <v>3038</v>
      </c>
      <c r="B898" s="395" t="s">
        <v>7277</v>
      </c>
      <c r="C898" s="395"/>
      <c r="D898" s="396">
        <v>105562</v>
      </c>
      <c r="E898" s="396">
        <v>135564</v>
      </c>
      <c r="F898" s="395">
        <v>4.5199999999999996</v>
      </c>
      <c r="G898" s="396">
        <v>-30002</v>
      </c>
      <c r="H898" s="396">
        <v>20419</v>
      </c>
      <c r="I898" s="396">
        <v>1544139</v>
      </c>
      <c r="J898" s="395">
        <v>261</v>
      </c>
      <c r="K898" s="395">
        <v>209</v>
      </c>
      <c r="L898" s="397">
        <v>0.80079999999999996</v>
      </c>
      <c r="M898" s="395">
        <v>52</v>
      </c>
      <c r="N898" s="395">
        <v>404</v>
      </c>
      <c r="O898" s="395">
        <v>649</v>
      </c>
      <c r="P898" s="395">
        <v>1.1200000000000001</v>
      </c>
      <c r="Q898" s="395">
        <v>-577</v>
      </c>
      <c r="R898" s="396">
        <v>2475</v>
      </c>
      <c r="S898" s="396">
        <v>-2599</v>
      </c>
      <c r="T898" s="396">
        <v>153093</v>
      </c>
      <c r="U898" s="396">
        <v>-101240</v>
      </c>
      <c r="V898" s="395">
        <v>5807.25</v>
      </c>
      <c r="W898" s="395">
        <v>4182.6899999999996</v>
      </c>
      <c r="X898" s="395">
        <v>77490</v>
      </c>
      <c r="Y898" s="395">
        <v>12336.71</v>
      </c>
      <c r="Z898" s="396">
        <v>-4851432</v>
      </c>
      <c r="AA898" s="396">
        <v>105562</v>
      </c>
      <c r="AB898" s="396">
        <v>2363895</v>
      </c>
      <c r="AC898" s="396">
        <v>10207916</v>
      </c>
    </row>
    <row r="899" spans="1:29">
      <c r="A899">
        <v>3570</v>
      </c>
      <c r="B899" s="395" t="s">
        <v>7483</v>
      </c>
      <c r="C899" s="395"/>
      <c r="D899" s="396">
        <v>105402</v>
      </c>
      <c r="E899" s="396">
        <v>119970</v>
      </c>
      <c r="F899" s="395">
        <v>8.24</v>
      </c>
      <c r="G899" s="396">
        <v>-14568</v>
      </c>
      <c r="H899" s="396">
        <v>15476</v>
      </c>
      <c r="I899" s="396">
        <v>1083657</v>
      </c>
      <c r="J899" s="395">
        <v>48</v>
      </c>
      <c r="K899" s="395">
        <v>40</v>
      </c>
      <c r="L899" s="397">
        <v>0.83330000000000004</v>
      </c>
      <c r="M899" s="395">
        <v>8</v>
      </c>
      <c r="N899" s="396">
        <v>2196</v>
      </c>
      <c r="O899" s="396">
        <v>2999</v>
      </c>
      <c r="P899" s="395">
        <v>1.65</v>
      </c>
      <c r="Q899" s="396">
        <v>-1821</v>
      </c>
      <c r="R899" s="396">
        <v>10107</v>
      </c>
      <c r="S899" s="396">
        <v>-5133</v>
      </c>
      <c r="T899" s="396">
        <v>152900</v>
      </c>
      <c r="U899" s="396">
        <v>-56769</v>
      </c>
      <c r="V899" s="395">
        <v>6994.71</v>
      </c>
      <c r="W899" s="395">
        <v>7676.05</v>
      </c>
      <c r="X899" s="395">
        <v>76950</v>
      </c>
      <c r="Y899" s="395">
        <v>3588</v>
      </c>
      <c r="Z899" s="396">
        <v>-335871</v>
      </c>
      <c r="AA899" s="396">
        <v>105402</v>
      </c>
      <c r="AB899" s="396">
        <v>6584448</v>
      </c>
      <c r="AC899" s="396">
        <v>10207916</v>
      </c>
    </row>
    <row r="900" spans="1:29">
      <c r="A900">
        <v>2236</v>
      </c>
      <c r="B900" s="395" t="s">
        <v>6966</v>
      </c>
      <c r="C900" s="395"/>
      <c r="D900" s="396">
        <v>105168</v>
      </c>
      <c r="E900" s="396">
        <v>143147</v>
      </c>
      <c r="F900" s="395">
        <v>3.77</v>
      </c>
      <c r="G900" s="396">
        <v>-37979</v>
      </c>
      <c r="H900" s="396">
        <v>18702</v>
      </c>
      <c r="I900" s="396">
        <v>1047447</v>
      </c>
      <c r="J900" s="395">
        <v>183</v>
      </c>
      <c r="K900" s="395">
        <v>148</v>
      </c>
      <c r="L900" s="397">
        <v>0.80869999999999997</v>
      </c>
      <c r="M900" s="395">
        <v>35</v>
      </c>
      <c r="N900" s="395">
        <v>575</v>
      </c>
      <c r="O900" s="395">
        <v>967</v>
      </c>
      <c r="P900" s="395">
        <v>0.89</v>
      </c>
      <c r="Q900" s="396">
        <v>-1085</v>
      </c>
      <c r="R900" s="396">
        <v>4153</v>
      </c>
      <c r="S900" s="396">
        <v>-4423</v>
      </c>
      <c r="T900" s="396">
        <v>119288</v>
      </c>
      <c r="U900" s="396">
        <v>-68020</v>
      </c>
      <c r="V900" s="395">
        <v>3161.34</v>
      </c>
      <c r="W900" s="395">
        <v>2550.5700000000002</v>
      </c>
      <c r="X900" s="395">
        <v>77220</v>
      </c>
      <c r="Y900" s="395">
        <v>5744.03</v>
      </c>
      <c r="Z900" s="396">
        <v>14447098</v>
      </c>
      <c r="AA900" s="396">
        <v>105168</v>
      </c>
      <c r="AB900" s="396">
        <v>19370635</v>
      </c>
      <c r="AC900" s="396">
        <v>10207916</v>
      </c>
    </row>
    <row r="901" spans="1:29">
      <c r="A901">
        <v>1609</v>
      </c>
      <c r="B901" s="395" t="s">
        <v>6837</v>
      </c>
      <c r="C901" s="395"/>
      <c r="D901" s="396">
        <v>105165</v>
      </c>
      <c r="E901" s="396">
        <v>180533</v>
      </c>
      <c r="F901" s="395">
        <v>2.4</v>
      </c>
      <c r="G901" s="396">
        <v>-75368</v>
      </c>
      <c r="H901" s="396">
        <v>27094</v>
      </c>
      <c r="I901" s="396">
        <v>1794264</v>
      </c>
      <c r="J901" s="395">
        <v>270</v>
      </c>
      <c r="K901" s="395">
        <v>199</v>
      </c>
      <c r="L901" s="397">
        <v>0.73699999999999999</v>
      </c>
      <c r="M901" s="395">
        <v>71</v>
      </c>
      <c r="N901" s="395">
        <v>390</v>
      </c>
      <c r="O901" s="395">
        <v>907</v>
      </c>
      <c r="P901" s="395">
        <v>0.85</v>
      </c>
      <c r="Q901" s="396">
        <v>-1062</v>
      </c>
      <c r="R901" s="396">
        <v>5499</v>
      </c>
      <c r="S901" s="396">
        <v>-7727</v>
      </c>
      <c r="T901" s="396">
        <v>148016</v>
      </c>
      <c r="U901" s="396">
        <v>-137242</v>
      </c>
      <c r="V901" s="395">
        <v>4370.7</v>
      </c>
      <c r="W901" s="395">
        <v>2335.88</v>
      </c>
      <c r="X901" s="395">
        <v>77490</v>
      </c>
      <c r="Y901" s="395">
        <v>10073.94</v>
      </c>
      <c r="Z901" s="396">
        <v>-16769314</v>
      </c>
      <c r="AA901" s="396">
        <v>105165</v>
      </c>
      <c r="AB901" s="396">
        <v>13465080</v>
      </c>
      <c r="AC901" s="396">
        <v>10207916</v>
      </c>
    </row>
    <row r="902" spans="1:29">
      <c r="A902">
        <v>4566</v>
      </c>
      <c r="B902" s="395" t="s">
        <v>7659</v>
      </c>
      <c r="C902" s="395"/>
      <c r="D902" s="396">
        <v>105106</v>
      </c>
      <c r="E902" s="396">
        <v>591689</v>
      </c>
      <c r="F902" s="395">
        <v>1.22</v>
      </c>
      <c r="G902" s="396">
        <v>-486583</v>
      </c>
      <c r="H902" s="396">
        <v>46729</v>
      </c>
      <c r="I902" s="396">
        <v>8279132</v>
      </c>
      <c r="J902" s="395">
        <v>231</v>
      </c>
      <c r="K902" s="395">
        <v>150</v>
      </c>
      <c r="L902" s="397">
        <v>0.64939999999999998</v>
      </c>
      <c r="M902" s="395">
        <v>81</v>
      </c>
      <c r="N902" s="395">
        <v>455</v>
      </c>
      <c r="O902" s="396">
        <v>3945</v>
      </c>
      <c r="P902" s="395">
        <v>0.66</v>
      </c>
      <c r="Q902" s="396">
        <v>-6007</v>
      </c>
      <c r="R902" s="396">
        <v>10852</v>
      </c>
      <c r="S902" s="396">
        <v>-18737</v>
      </c>
      <c r="T902" s="396">
        <v>1492437</v>
      </c>
      <c r="U902" s="396">
        <v>-1295058</v>
      </c>
      <c r="V902" s="395">
        <v>21997.279999999999</v>
      </c>
      <c r="W902" s="395">
        <v>16973.66</v>
      </c>
      <c r="X902" s="395">
        <v>77490</v>
      </c>
      <c r="Y902" s="395">
        <v>31300.27</v>
      </c>
      <c r="Z902" s="396">
        <v>-21711701</v>
      </c>
      <c r="AA902" s="396">
        <v>105106</v>
      </c>
      <c r="AB902" s="396">
        <v>-11497216</v>
      </c>
      <c r="AC902" s="396">
        <v>10207916</v>
      </c>
    </row>
    <row r="903" spans="1:29">
      <c r="A903">
        <v>3050</v>
      </c>
      <c r="B903" s="395" t="s">
        <v>7288</v>
      </c>
      <c r="C903" s="395"/>
      <c r="D903" s="396">
        <v>104823</v>
      </c>
      <c r="E903" s="396">
        <v>136769</v>
      </c>
      <c r="F903" s="395">
        <v>4.28</v>
      </c>
      <c r="G903" s="396">
        <v>-31946</v>
      </c>
      <c r="H903" s="396">
        <v>18339</v>
      </c>
      <c r="I903" s="396">
        <v>1086972</v>
      </c>
      <c r="J903" s="395">
        <v>271</v>
      </c>
      <c r="K903" s="395">
        <v>233</v>
      </c>
      <c r="L903" s="397">
        <v>0.85980000000000001</v>
      </c>
      <c r="M903" s="395">
        <v>38</v>
      </c>
      <c r="N903" s="395">
        <v>387</v>
      </c>
      <c r="O903" s="395">
        <v>587</v>
      </c>
      <c r="P903" s="395">
        <v>0.7</v>
      </c>
      <c r="Q903" s="395">
        <v>-841</v>
      </c>
      <c r="R903" s="396">
        <v>2994</v>
      </c>
      <c r="S903" s="396">
        <v>-3319</v>
      </c>
      <c r="T903" s="396">
        <v>156936</v>
      </c>
      <c r="U903" s="396">
        <v>-76907</v>
      </c>
      <c r="V903" s="395">
        <v>3213.65</v>
      </c>
      <c r="W903" s="395">
        <v>2521.3000000000002</v>
      </c>
      <c r="X903" s="395">
        <v>77490</v>
      </c>
      <c r="Y903" s="395">
        <v>7458.79</v>
      </c>
      <c r="Z903" s="396">
        <v>14709748</v>
      </c>
      <c r="AA903" s="396">
        <v>104823</v>
      </c>
      <c r="AB903" s="396">
        <v>-1981196</v>
      </c>
      <c r="AC903" s="396">
        <v>10207916</v>
      </c>
    </row>
    <row r="904" spans="1:29">
      <c r="A904">
        <v>3339</v>
      </c>
      <c r="B904" s="395" t="s">
        <v>7397</v>
      </c>
      <c r="C904" s="395"/>
      <c r="D904" s="396">
        <v>104710</v>
      </c>
      <c r="E904" s="396">
        <v>149756</v>
      </c>
      <c r="F904" s="395">
        <v>3.32</v>
      </c>
      <c r="G904" s="396">
        <v>-45046</v>
      </c>
      <c r="H904" s="396">
        <v>17490</v>
      </c>
      <c r="I904" s="396">
        <v>575620</v>
      </c>
      <c r="J904" s="395">
        <v>212</v>
      </c>
      <c r="K904" s="395">
        <v>164</v>
      </c>
      <c r="L904" s="397">
        <v>0.77359999999999995</v>
      </c>
      <c r="M904" s="395">
        <v>48</v>
      </c>
      <c r="N904" s="395">
        <v>494</v>
      </c>
      <c r="O904" s="395">
        <v>913</v>
      </c>
      <c r="P904" s="395">
        <v>0.97</v>
      </c>
      <c r="Q904" s="395">
        <v>-938</v>
      </c>
      <c r="R904" s="396">
        <v>4302</v>
      </c>
      <c r="S904" s="396">
        <v>-3313</v>
      </c>
      <c r="T904" s="396">
        <v>107256</v>
      </c>
      <c r="U904" s="396">
        <v>-74621</v>
      </c>
      <c r="V904" s="395">
        <v>1596.88</v>
      </c>
      <c r="W904" s="395">
        <v>949.78</v>
      </c>
      <c r="X904" s="395">
        <v>77490</v>
      </c>
      <c r="Y904" s="395">
        <v>3807.79</v>
      </c>
      <c r="Z904" s="396">
        <v>8678699</v>
      </c>
      <c r="AA904" s="396">
        <v>104710</v>
      </c>
      <c r="AB904" s="396">
        <v>10633028</v>
      </c>
      <c r="AC904" s="396">
        <v>10207916</v>
      </c>
    </row>
    <row r="905" spans="1:29">
      <c r="A905">
        <v>1733</v>
      </c>
      <c r="B905" s="395" t="s">
        <v>6868</v>
      </c>
      <c r="C905" s="395"/>
      <c r="D905" s="396">
        <v>104678</v>
      </c>
      <c r="E905" s="396">
        <v>120169</v>
      </c>
      <c r="F905" s="395">
        <v>7.76</v>
      </c>
      <c r="G905" s="396">
        <v>-15491</v>
      </c>
      <c r="H905" s="396">
        <v>23438</v>
      </c>
      <c r="I905" s="396">
        <v>924047</v>
      </c>
      <c r="J905" s="395">
        <v>240</v>
      </c>
      <c r="K905" s="395">
        <v>212</v>
      </c>
      <c r="L905" s="397">
        <v>0.88329999999999997</v>
      </c>
      <c r="M905" s="395">
        <v>28</v>
      </c>
      <c r="N905" s="395">
        <v>436</v>
      </c>
      <c r="O905" s="395">
        <v>567</v>
      </c>
      <c r="P905" s="395">
        <v>1.03</v>
      </c>
      <c r="Q905" s="395">
        <v>-553</v>
      </c>
      <c r="R905" s="396">
        <v>1455</v>
      </c>
      <c r="S905" s="396">
        <v>-1755</v>
      </c>
      <c r="T905" s="396">
        <v>132261</v>
      </c>
      <c r="U905" s="396">
        <v>-17103</v>
      </c>
      <c r="V905" s="395">
        <v>3478.6</v>
      </c>
      <c r="W905" s="395">
        <v>3482.18</v>
      </c>
      <c r="X905" s="395">
        <v>77490</v>
      </c>
      <c r="Y905" s="395">
        <v>3451.5</v>
      </c>
      <c r="Z905" s="396">
        <v>-2143576</v>
      </c>
      <c r="AA905" s="396">
        <v>104678</v>
      </c>
      <c r="AB905" s="396">
        <v>5150055</v>
      </c>
      <c r="AC905" s="396">
        <v>10207916</v>
      </c>
    </row>
    <row r="906" spans="1:29">
      <c r="A906">
        <v>2734</v>
      </c>
      <c r="B906" s="395" t="s">
        <v>7181</v>
      </c>
      <c r="C906" s="395"/>
      <c r="D906" s="396">
        <v>104592</v>
      </c>
      <c r="E906" s="396">
        <v>162022</v>
      </c>
      <c r="F906" s="395">
        <v>2.82</v>
      </c>
      <c r="G906" s="396">
        <v>-57430</v>
      </c>
      <c r="H906" s="396">
        <v>16208</v>
      </c>
      <c r="I906" s="396">
        <v>876563</v>
      </c>
      <c r="J906" s="395">
        <v>170</v>
      </c>
      <c r="K906" s="395">
        <v>132</v>
      </c>
      <c r="L906" s="397">
        <v>0.77649999999999997</v>
      </c>
      <c r="M906" s="395">
        <v>38</v>
      </c>
      <c r="N906" s="395">
        <v>615</v>
      </c>
      <c r="O906" s="396">
        <v>1227</v>
      </c>
      <c r="P906" s="395">
        <v>0.81</v>
      </c>
      <c r="Q906" s="396">
        <v>-1511</v>
      </c>
      <c r="R906" s="396">
        <v>4459</v>
      </c>
      <c r="S906" s="396">
        <v>-7064</v>
      </c>
      <c r="T906" s="396">
        <v>203041</v>
      </c>
      <c r="U906" s="396">
        <v>-142286</v>
      </c>
      <c r="V906" s="395">
        <v>2429.25</v>
      </c>
      <c r="W906" s="395">
        <v>1387.45</v>
      </c>
      <c r="X906" s="395">
        <v>77490</v>
      </c>
      <c r="Y906" s="395">
        <v>6048.11</v>
      </c>
      <c r="Z906" s="396">
        <v>22685041</v>
      </c>
      <c r="AA906" s="396">
        <v>104592</v>
      </c>
      <c r="AB906" s="396">
        <v>64373950</v>
      </c>
      <c r="AC906" s="396">
        <v>10207916</v>
      </c>
    </row>
    <row r="907" spans="1:29">
      <c r="A907">
        <v>3481</v>
      </c>
      <c r="B907" s="395" t="s">
        <v>7434</v>
      </c>
      <c r="C907" s="395"/>
      <c r="D907" s="396">
        <v>104592</v>
      </c>
      <c r="E907" s="396">
        <v>199518</v>
      </c>
      <c r="F907" s="395">
        <v>2.1</v>
      </c>
      <c r="G907" s="396">
        <v>-94926</v>
      </c>
      <c r="H907" s="396">
        <v>20963</v>
      </c>
      <c r="I907" s="396">
        <v>981629</v>
      </c>
      <c r="J907" s="395">
        <v>277</v>
      </c>
      <c r="K907" s="395">
        <v>211</v>
      </c>
      <c r="L907" s="397">
        <v>0.76170000000000004</v>
      </c>
      <c r="M907" s="395">
        <v>66</v>
      </c>
      <c r="N907" s="395">
        <v>378</v>
      </c>
      <c r="O907" s="395">
        <v>946</v>
      </c>
      <c r="P907" s="395">
        <v>0.66</v>
      </c>
      <c r="Q907" s="396">
        <v>-1438</v>
      </c>
      <c r="R907" s="396">
        <v>4314</v>
      </c>
      <c r="S907" s="396">
        <v>-8511</v>
      </c>
      <c r="T907" s="396">
        <v>199911</v>
      </c>
      <c r="U907" s="396">
        <v>-125399</v>
      </c>
      <c r="V907" s="395">
        <v>4683.4399999999996</v>
      </c>
      <c r="W907" s="395">
        <v>3249.45</v>
      </c>
      <c r="X907" s="395">
        <v>77490</v>
      </c>
      <c r="Y907" s="395">
        <v>9267.85</v>
      </c>
      <c r="Z907" s="396">
        <v>-13986422</v>
      </c>
      <c r="AA907" s="396">
        <v>104592</v>
      </c>
      <c r="AB907" s="396">
        <v>13624427</v>
      </c>
      <c r="AC907" s="396">
        <v>10207916</v>
      </c>
    </row>
    <row r="908" spans="1:29">
      <c r="A908">
        <v>1220</v>
      </c>
      <c r="B908" s="395" t="s">
        <v>6692</v>
      </c>
      <c r="C908" s="395"/>
      <c r="D908" s="396">
        <v>103885</v>
      </c>
      <c r="E908" s="396">
        <v>111362</v>
      </c>
      <c r="F908" s="395">
        <v>14.89</v>
      </c>
      <c r="G908" s="396">
        <v>-7477</v>
      </c>
      <c r="H908" s="396">
        <v>14954</v>
      </c>
      <c r="I908" s="396">
        <v>754745</v>
      </c>
      <c r="J908" s="395">
        <v>235</v>
      </c>
      <c r="K908" s="395">
        <v>204</v>
      </c>
      <c r="L908" s="397">
        <v>0.86809999999999998</v>
      </c>
      <c r="M908" s="395">
        <v>30</v>
      </c>
      <c r="N908" s="395">
        <v>442</v>
      </c>
      <c r="O908" s="395">
        <v>546</v>
      </c>
      <c r="P908" s="395">
        <v>2.19</v>
      </c>
      <c r="Q908" s="395">
        <v>-249</v>
      </c>
      <c r="R908" s="396">
        <v>1638</v>
      </c>
      <c r="S908" s="395">
        <v>-768</v>
      </c>
      <c r="T908" s="396">
        <v>115212</v>
      </c>
      <c r="U908" s="396">
        <v>-40900</v>
      </c>
      <c r="V908" s="395">
        <v>4381.76</v>
      </c>
      <c r="W908" s="395">
        <v>3996.07</v>
      </c>
      <c r="X908" s="395">
        <v>77490</v>
      </c>
      <c r="Y908" s="395">
        <v>6933.47</v>
      </c>
      <c r="Z908" s="396">
        <v>12642690</v>
      </c>
      <c r="AA908" s="396">
        <v>103885</v>
      </c>
      <c r="AB908" s="396">
        <v>20028345</v>
      </c>
      <c r="AC908" s="396">
        <v>10207916</v>
      </c>
    </row>
    <row r="909" spans="1:29">
      <c r="A909">
        <v>6116</v>
      </c>
      <c r="B909" s="395" t="s">
        <v>7918</v>
      </c>
      <c r="C909" s="395"/>
      <c r="D909" s="396">
        <v>103226</v>
      </c>
      <c r="E909" s="396">
        <v>170208</v>
      </c>
      <c r="F909" s="395">
        <v>2.54</v>
      </c>
      <c r="G909" s="396">
        <v>-66982</v>
      </c>
      <c r="H909" s="396">
        <v>18887</v>
      </c>
      <c r="I909" s="396">
        <v>992126</v>
      </c>
      <c r="J909" s="395">
        <v>274</v>
      </c>
      <c r="K909" s="395">
        <v>226</v>
      </c>
      <c r="L909" s="397">
        <v>0.82479999999999998</v>
      </c>
      <c r="M909" s="395">
        <v>47</v>
      </c>
      <c r="N909" s="395">
        <v>377</v>
      </c>
      <c r="O909" s="395">
        <v>753</v>
      </c>
      <c r="P909" s="395">
        <v>0.53</v>
      </c>
      <c r="Q909" s="396">
        <v>-1425</v>
      </c>
      <c r="R909" s="396">
        <v>4575</v>
      </c>
      <c r="S909" s="396">
        <v>-5996</v>
      </c>
      <c r="T909" s="396">
        <v>175985</v>
      </c>
      <c r="U909" s="396">
        <v>-129381</v>
      </c>
      <c r="V909" s="395">
        <v>3430.99</v>
      </c>
      <c r="W909" s="395">
        <v>2326.6999999999998</v>
      </c>
      <c r="X909" s="395">
        <v>77490</v>
      </c>
      <c r="Y909" s="395">
        <v>8813.89</v>
      </c>
      <c r="Z909" s="396">
        <v>-7160209</v>
      </c>
      <c r="AA909" s="396">
        <v>103226</v>
      </c>
      <c r="AB909" s="396">
        <v>17711253</v>
      </c>
      <c r="AC909" s="396">
        <v>10207916</v>
      </c>
    </row>
    <row r="910" spans="1:29">
      <c r="A910">
        <v>2702</v>
      </c>
      <c r="B910" s="395" t="s">
        <v>7164</v>
      </c>
      <c r="C910" s="395"/>
      <c r="D910" s="396">
        <v>103152</v>
      </c>
      <c r="E910" s="396">
        <v>134371</v>
      </c>
      <c r="F910" s="395">
        <v>4.3</v>
      </c>
      <c r="G910" s="396">
        <v>-31219</v>
      </c>
      <c r="H910" s="396">
        <v>18198</v>
      </c>
      <c r="I910" s="396">
        <v>473870</v>
      </c>
      <c r="J910" s="395">
        <v>203</v>
      </c>
      <c r="K910" s="395">
        <v>166</v>
      </c>
      <c r="L910" s="397">
        <v>0.81769999999999998</v>
      </c>
      <c r="M910" s="395">
        <v>37</v>
      </c>
      <c r="N910" s="395">
        <v>508</v>
      </c>
      <c r="O910" s="395">
        <v>809</v>
      </c>
      <c r="P910" s="395">
        <v>0.96</v>
      </c>
      <c r="Q910" s="395">
        <v>-844</v>
      </c>
      <c r="R910" s="396">
        <v>3138</v>
      </c>
      <c r="S910" s="396">
        <v>-3359</v>
      </c>
      <c r="T910" s="396">
        <v>129696</v>
      </c>
      <c r="U910" s="396">
        <v>-49135</v>
      </c>
      <c r="V910" s="395">
        <v>2355.62</v>
      </c>
      <c r="W910" s="395">
        <v>1794.48</v>
      </c>
      <c r="X910" s="395">
        <v>77490</v>
      </c>
      <c r="Y910" s="395">
        <v>4873.1899999999996</v>
      </c>
      <c r="Z910" s="396">
        <v>17358212</v>
      </c>
      <c r="AA910" s="396">
        <v>103152</v>
      </c>
      <c r="AB910" s="396">
        <v>23078717</v>
      </c>
      <c r="AC910" s="396">
        <v>10207916</v>
      </c>
    </row>
    <row r="911" spans="1:29">
      <c r="A911">
        <v>8021</v>
      </c>
      <c r="B911" s="395" t="s">
        <v>8227</v>
      </c>
      <c r="C911" s="395"/>
      <c r="D911" s="396">
        <v>103008</v>
      </c>
      <c r="E911" s="396">
        <v>272161</v>
      </c>
      <c r="F911" s="395">
        <v>1.61</v>
      </c>
      <c r="G911" s="396">
        <v>-169153</v>
      </c>
      <c r="H911" s="396">
        <v>41685</v>
      </c>
      <c r="I911" s="396">
        <v>2408368</v>
      </c>
      <c r="J911" s="395">
        <v>267</v>
      </c>
      <c r="K911" s="395">
        <v>192</v>
      </c>
      <c r="L911" s="397">
        <v>0.71909999999999996</v>
      </c>
      <c r="M911" s="395">
        <v>75</v>
      </c>
      <c r="N911" s="395">
        <v>386</v>
      </c>
      <c r="O911" s="396">
        <v>1418</v>
      </c>
      <c r="P911" s="395">
        <v>0.63</v>
      </c>
      <c r="Q911" s="396">
        <v>-2255</v>
      </c>
      <c r="R911" s="396">
        <v>7858</v>
      </c>
      <c r="S911" s="396">
        <v>-6559</v>
      </c>
      <c r="T911" s="396">
        <v>345789</v>
      </c>
      <c r="U911" s="396">
        <v>-274162</v>
      </c>
      <c r="V911" s="395">
        <v>3601.72</v>
      </c>
      <c r="W911" s="395">
        <v>2214.8000000000002</v>
      </c>
      <c r="X911" s="395">
        <v>77490</v>
      </c>
      <c r="Y911" s="395">
        <v>7152.21</v>
      </c>
      <c r="Z911" s="396">
        <v>-8900150</v>
      </c>
      <c r="AA911" s="396">
        <v>103008</v>
      </c>
      <c r="AB911" s="396">
        <v>16841051</v>
      </c>
      <c r="AC911" s="396">
        <v>10207916</v>
      </c>
    </row>
    <row r="912" spans="1:29">
      <c r="A912">
        <v>2547</v>
      </c>
      <c r="B912" s="395" t="s">
        <v>7134</v>
      </c>
      <c r="C912" s="395"/>
      <c r="D912" s="396">
        <v>102783</v>
      </c>
      <c r="E912" s="396">
        <v>129908</v>
      </c>
      <c r="F912" s="395">
        <v>4.79</v>
      </c>
      <c r="G912" s="396">
        <v>-27124</v>
      </c>
      <c r="H912" s="396">
        <v>11519</v>
      </c>
      <c r="I912" s="396">
        <v>1711321</v>
      </c>
      <c r="J912" s="395">
        <v>256</v>
      </c>
      <c r="K912" s="395">
        <v>214</v>
      </c>
      <c r="L912" s="397">
        <v>0.83589999999999998</v>
      </c>
      <c r="M912" s="395">
        <v>42</v>
      </c>
      <c r="N912" s="395">
        <v>401</v>
      </c>
      <c r="O912" s="395">
        <v>607</v>
      </c>
      <c r="P912" s="395">
        <v>0.94</v>
      </c>
      <c r="Q912" s="395">
        <v>-646</v>
      </c>
      <c r="R912" s="396">
        <v>1451</v>
      </c>
      <c r="S912" s="396">
        <v>-1755</v>
      </c>
      <c r="T912" s="396">
        <v>189687</v>
      </c>
      <c r="U912" s="396">
        <v>-98643</v>
      </c>
      <c r="V912" s="395">
        <v>16630.12</v>
      </c>
      <c r="W912" s="395">
        <v>16615.68</v>
      </c>
      <c r="X912" s="395">
        <v>77490</v>
      </c>
      <c r="Y912" s="395">
        <v>16703.689999999999</v>
      </c>
      <c r="Z912" s="396">
        <v>-9798613</v>
      </c>
      <c r="AA912" s="396">
        <v>102783</v>
      </c>
      <c r="AB912" s="396">
        <v>-5528273</v>
      </c>
      <c r="AC912" s="396">
        <v>10207916</v>
      </c>
    </row>
    <row r="913" spans="1:29">
      <c r="A913">
        <v>2838</v>
      </c>
      <c r="B913" s="395" t="s">
        <v>7201</v>
      </c>
      <c r="C913" s="395"/>
      <c r="D913" s="396">
        <v>102775</v>
      </c>
      <c r="E913" s="396">
        <v>104556</v>
      </c>
      <c r="F913" s="395">
        <v>58.71</v>
      </c>
      <c r="G913" s="396">
        <v>-1781</v>
      </c>
      <c r="H913" s="396">
        <v>13486</v>
      </c>
      <c r="I913" s="396">
        <v>1064888</v>
      </c>
      <c r="J913" s="395">
        <v>275</v>
      </c>
      <c r="K913" s="395">
        <v>258</v>
      </c>
      <c r="L913" s="397">
        <v>0.93820000000000003</v>
      </c>
      <c r="M913" s="395">
        <v>17</v>
      </c>
      <c r="N913" s="395">
        <v>374</v>
      </c>
      <c r="O913" s="395">
        <v>405</v>
      </c>
      <c r="P913" s="395">
        <v>3.86</v>
      </c>
      <c r="Q913" s="395">
        <v>-105</v>
      </c>
      <c r="R913" s="396">
        <v>1142</v>
      </c>
      <c r="S913" s="395">
        <v>-549</v>
      </c>
      <c r="T913" s="396">
        <v>106429</v>
      </c>
      <c r="U913" s="396">
        <v>-15613</v>
      </c>
      <c r="V913" s="395">
        <v>5919.88</v>
      </c>
      <c r="W913" s="395">
        <v>6011.71</v>
      </c>
      <c r="X913" s="395">
        <v>77490</v>
      </c>
      <c r="Y913" s="395">
        <v>4526.3500000000004</v>
      </c>
      <c r="Z913" s="396">
        <v>14793257</v>
      </c>
      <c r="AA913" s="396">
        <v>102775</v>
      </c>
      <c r="AB913" s="396">
        <v>22270667</v>
      </c>
      <c r="AC913" s="396">
        <v>10207916</v>
      </c>
    </row>
    <row r="914" spans="1:29">
      <c r="A914">
        <v>1617</v>
      </c>
      <c r="B914" s="395" t="s">
        <v>6843</v>
      </c>
      <c r="C914" s="395"/>
      <c r="D914" s="396">
        <v>102611</v>
      </c>
      <c r="E914" s="396">
        <v>143860</v>
      </c>
      <c r="F914" s="395">
        <v>3.49</v>
      </c>
      <c r="G914" s="396">
        <v>-41249</v>
      </c>
      <c r="H914" s="396">
        <v>16201</v>
      </c>
      <c r="I914" s="396">
        <v>1210476</v>
      </c>
      <c r="J914" s="395">
        <v>226</v>
      </c>
      <c r="K914" s="395">
        <v>188</v>
      </c>
      <c r="L914" s="397">
        <v>0.83189999999999997</v>
      </c>
      <c r="M914" s="395">
        <v>38</v>
      </c>
      <c r="N914" s="395">
        <v>454</v>
      </c>
      <c r="O914" s="395">
        <v>765</v>
      </c>
      <c r="P914" s="395">
        <v>0.71</v>
      </c>
      <c r="Q914" s="396">
        <v>-1085</v>
      </c>
      <c r="R914" s="396">
        <v>3930</v>
      </c>
      <c r="S914" s="396">
        <v>-4637</v>
      </c>
      <c r="T914" s="396">
        <v>144308</v>
      </c>
      <c r="U914" s="396">
        <v>-81808</v>
      </c>
      <c r="V914" s="395">
        <v>5634.23</v>
      </c>
      <c r="W914" s="395">
        <v>5067.9799999999996</v>
      </c>
      <c r="X914" s="395">
        <v>77490</v>
      </c>
      <c r="Y914" s="395">
        <v>8435.68</v>
      </c>
      <c r="Z914" s="396">
        <v>-11794051</v>
      </c>
      <c r="AA914" s="396">
        <v>102611</v>
      </c>
      <c r="AB914" s="396">
        <v>13208330</v>
      </c>
      <c r="AC914" s="396">
        <v>10207916</v>
      </c>
    </row>
    <row r="915" spans="1:29">
      <c r="A915">
        <v>9962</v>
      </c>
      <c r="B915" s="395" t="s">
        <v>8432</v>
      </c>
      <c r="C915" s="395"/>
      <c r="D915" s="396">
        <v>102590</v>
      </c>
      <c r="E915" s="396">
        <v>148050</v>
      </c>
      <c r="F915" s="395">
        <v>3.26</v>
      </c>
      <c r="G915" s="396">
        <v>-45460</v>
      </c>
      <c r="H915" s="396">
        <v>15000</v>
      </c>
      <c r="I915" s="396">
        <v>598828</v>
      </c>
      <c r="J915" s="395">
        <v>232</v>
      </c>
      <c r="K915" s="395">
        <v>185</v>
      </c>
      <c r="L915" s="397">
        <v>0.7974</v>
      </c>
      <c r="M915" s="395">
        <v>47</v>
      </c>
      <c r="N915" s="395">
        <v>442</v>
      </c>
      <c r="O915" s="395">
        <v>800</v>
      </c>
      <c r="P915" s="395">
        <v>0.83</v>
      </c>
      <c r="Q915" s="395">
        <v>-967</v>
      </c>
      <c r="R915" s="396">
        <v>2373</v>
      </c>
      <c r="S915" s="396">
        <v>-3830</v>
      </c>
      <c r="T915" s="396">
        <v>113077</v>
      </c>
      <c r="U915" s="396">
        <v>-64908</v>
      </c>
      <c r="V915" s="395">
        <v>2424.06</v>
      </c>
      <c r="W915" s="395">
        <v>1704.7</v>
      </c>
      <c r="X915" s="395">
        <v>77490</v>
      </c>
      <c r="Y915" s="395">
        <v>5255.57</v>
      </c>
      <c r="Z915" s="396">
        <v>-8838792</v>
      </c>
      <c r="AA915" s="396">
        <v>102590</v>
      </c>
      <c r="AB915" s="396">
        <v>41507463</v>
      </c>
      <c r="AC915" s="396">
        <v>10207916</v>
      </c>
    </row>
    <row r="916" spans="1:29">
      <c r="A916">
        <v>8033</v>
      </c>
      <c r="B916" s="395" t="s">
        <v>8232</v>
      </c>
      <c r="C916" s="395"/>
      <c r="D916" s="396">
        <v>102485</v>
      </c>
      <c r="E916" s="396">
        <v>129096</v>
      </c>
      <c r="F916" s="395">
        <v>4.8499999999999996</v>
      </c>
      <c r="G916" s="396">
        <v>-26611</v>
      </c>
      <c r="H916" s="396">
        <v>13915</v>
      </c>
      <c r="I916" s="396">
        <v>643691</v>
      </c>
      <c r="J916" s="395">
        <v>207</v>
      </c>
      <c r="K916" s="395">
        <v>171</v>
      </c>
      <c r="L916" s="397">
        <v>0.82609999999999995</v>
      </c>
      <c r="M916" s="395">
        <v>36</v>
      </c>
      <c r="N916" s="395">
        <v>495</v>
      </c>
      <c r="O916" s="395">
        <v>755</v>
      </c>
      <c r="P916" s="395">
        <v>1.02</v>
      </c>
      <c r="Q916" s="395">
        <v>-739</v>
      </c>
      <c r="R916" s="396">
        <v>3291</v>
      </c>
      <c r="S916" s="396">
        <v>-4074</v>
      </c>
      <c r="T916" s="396">
        <v>117869</v>
      </c>
      <c r="U916" s="396">
        <v>-57487</v>
      </c>
      <c r="V916" s="395">
        <v>2660.86</v>
      </c>
      <c r="W916" s="395">
        <v>1984.19</v>
      </c>
      <c r="X916" s="395">
        <v>77490</v>
      </c>
      <c r="Y916" s="395">
        <v>5875</v>
      </c>
      <c r="Z916" s="396">
        <v>-11143411</v>
      </c>
      <c r="AA916" s="396">
        <v>102485</v>
      </c>
      <c r="AB916" s="396">
        <v>3638796</v>
      </c>
      <c r="AC916" s="396">
        <v>10207916</v>
      </c>
    </row>
    <row r="917" spans="1:29">
      <c r="A917">
        <v>6542</v>
      </c>
      <c r="B917" s="395" t="s">
        <v>8124</v>
      </c>
      <c r="C917" s="395"/>
      <c r="D917" s="396">
        <v>102167</v>
      </c>
      <c r="E917" s="396">
        <v>456277</v>
      </c>
      <c r="F917" s="395">
        <v>1.29</v>
      </c>
      <c r="G917" s="396">
        <v>-354110</v>
      </c>
      <c r="H917" s="396">
        <v>47283</v>
      </c>
      <c r="I917" s="396">
        <v>4622252</v>
      </c>
      <c r="J917" s="395">
        <v>186</v>
      </c>
      <c r="K917" s="395">
        <v>108</v>
      </c>
      <c r="L917" s="397">
        <v>0.5806</v>
      </c>
      <c r="M917" s="395">
        <v>78</v>
      </c>
      <c r="N917" s="395">
        <v>549</v>
      </c>
      <c r="O917" s="396">
        <v>4225</v>
      </c>
      <c r="P917" s="395">
        <v>0.93</v>
      </c>
      <c r="Q917" s="396">
        <v>-4540</v>
      </c>
      <c r="R917" s="396">
        <v>14265</v>
      </c>
      <c r="S917" s="396">
        <v>-14801</v>
      </c>
      <c r="T917" s="396">
        <v>1038383</v>
      </c>
      <c r="U917" s="396">
        <v>-947596</v>
      </c>
      <c r="V917" s="395">
        <v>6427.15</v>
      </c>
      <c r="W917" s="395">
        <v>3426.06</v>
      </c>
      <c r="X917" s="395">
        <v>68040</v>
      </c>
      <c r="Y917" s="395">
        <v>10582.5</v>
      </c>
      <c r="Z917" s="396">
        <v>-13911247</v>
      </c>
      <c r="AA917" s="396">
        <v>102167</v>
      </c>
      <c r="AB917" s="396">
        <v>-7732075</v>
      </c>
      <c r="AC917" s="396">
        <v>10207916</v>
      </c>
    </row>
    <row r="918" spans="1:29">
      <c r="A918">
        <v>6558</v>
      </c>
      <c r="B918" s="395" t="s">
        <v>8129</v>
      </c>
      <c r="C918" s="395"/>
      <c r="D918" s="396">
        <v>101905</v>
      </c>
      <c r="E918" s="396">
        <v>326280</v>
      </c>
      <c r="F918" s="395">
        <v>1.45</v>
      </c>
      <c r="G918" s="396">
        <v>-224375</v>
      </c>
      <c r="H918" s="396">
        <v>39670</v>
      </c>
      <c r="I918" s="396">
        <v>1781817</v>
      </c>
      <c r="J918" s="395">
        <v>258</v>
      </c>
      <c r="K918" s="395">
        <v>173</v>
      </c>
      <c r="L918" s="397">
        <v>0.67049999999999998</v>
      </c>
      <c r="M918" s="395">
        <v>85</v>
      </c>
      <c r="N918" s="395">
        <v>395</v>
      </c>
      <c r="O918" s="396">
        <v>1886</v>
      </c>
      <c r="P918" s="395">
        <v>0.71</v>
      </c>
      <c r="Q918" s="396">
        <v>-2640</v>
      </c>
      <c r="R918" s="396">
        <v>7950</v>
      </c>
      <c r="S918" s="396">
        <v>-7983</v>
      </c>
      <c r="T918" s="396">
        <v>304109</v>
      </c>
      <c r="U918" s="396">
        <v>-218856</v>
      </c>
      <c r="V918" s="395">
        <v>4308.08</v>
      </c>
      <c r="W918" s="395">
        <v>2774.07</v>
      </c>
      <c r="X918" s="395">
        <v>77490</v>
      </c>
      <c r="Y918" s="395">
        <v>7430.24</v>
      </c>
      <c r="Z918" s="396">
        <v>-26723871</v>
      </c>
      <c r="AA918" s="396">
        <v>101905</v>
      </c>
      <c r="AB918" s="396">
        <v>-21656526</v>
      </c>
      <c r="AC918" s="396">
        <v>10207916</v>
      </c>
    </row>
    <row r="919" spans="1:29">
      <c r="A919">
        <v>4141</v>
      </c>
      <c r="B919" s="395" t="s">
        <v>7576</v>
      </c>
      <c r="C919" s="395"/>
      <c r="D919" s="396">
        <v>101541</v>
      </c>
      <c r="E919" s="396">
        <v>120211</v>
      </c>
      <c r="F919" s="395">
        <v>6.44</v>
      </c>
      <c r="G919" s="396">
        <v>-18670</v>
      </c>
      <c r="H919" s="396">
        <v>18059</v>
      </c>
      <c r="I919" s="396">
        <v>1134334</v>
      </c>
      <c r="J919" s="395">
        <v>256</v>
      </c>
      <c r="K919" s="395">
        <v>221</v>
      </c>
      <c r="L919" s="397">
        <v>0.86329999999999996</v>
      </c>
      <c r="M919" s="395">
        <v>33</v>
      </c>
      <c r="N919" s="395">
        <v>397</v>
      </c>
      <c r="O919" s="395">
        <v>544</v>
      </c>
      <c r="P919" s="395">
        <v>0.96</v>
      </c>
      <c r="Q919" s="395">
        <v>-566</v>
      </c>
      <c r="R919" s="396">
        <v>3010</v>
      </c>
      <c r="S919" s="396">
        <v>-5357</v>
      </c>
      <c r="T919" s="396">
        <v>108176</v>
      </c>
      <c r="U919" s="396">
        <v>-30982</v>
      </c>
      <c r="V919" s="395">
        <v>2895.14</v>
      </c>
      <c r="W919" s="395">
        <v>2749.68</v>
      </c>
      <c r="X919" s="395">
        <v>77220</v>
      </c>
      <c r="Y919" s="395">
        <v>3766.45</v>
      </c>
      <c r="Z919" s="396">
        <v>8933426</v>
      </c>
      <c r="AA919" s="396">
        <v>101541</v>
      </c>
      <c r="AB919" s="396">
        <v>54768293</v>
      </c>
      <c r="AC919" s="396">
        <v>10207916</v>
      </c>
    </row>
    <row r="920" spans="1:29">
      <c r="A920">
        <v>4503</v>
      </c>
      <c r="B920" s="395" t="s">
        <v>7624</v>
      </c>
      <c r="C920" s="395"/>
      <c r="D920" s="396">
        <v>101495</v>
      </c>
      <c r="E920" s="396">
        <v>151301</v>
      </c>
      <c r="F920" s="395">
        <v>3.04</v>
      </c>
      <c r="G920" s="396">
        <v>-49806</v>
      </c>
      <c r="H920" s="396">
        <v>18305</v>
      </c>
      <c r="I920" s="396">
        <v>658012</v>
      </c>
      <c r="J920" s="395">
        <v>187</v>
      </c>
      <c r="K920" s="395">
        <v>148</v>
      </c>
      <c r="L920" s="397">
        <v>0.79139999999999999</v>
      </c>
      <c r="M920" s="395">
        <v>39</v>
      </c>
      <c r="N920" s="395">
        <v>543</v>
      </c>
      <c r="O920" s="396">
        <v>1022</v>
      </c>
      <c r="P920" s="395">
        <v>0.8</v>
      </c>
      <c r="Q920" s="396">
        <v>-1277</v>
      </c>
      <c r="R920" s="396">
        <v>5736</v>
      </c>
      <c r="S920" s="396">
        <v>-5988</v>
      </c>
      <c r="T920" s="396">
        <v>158828</v>
      </c>
      <c r="U920" s="396">
        <v>-95139</v>
      </c>
      <c r="V920" s="395">
        <v>2024.28</v>
      </c>
      <c r="W920" s="395">
        <v>1446.76</v>
      </c>
      <c r="X920" s="395">
        <v>77490</v>
      </c>
      <c r="Y920" s="395">
        <v>4215.87</v>
      </c>
      <c r="Z920" s="396">
        <v>11015587</v>
      </c>
      <c r="AA920" s="396">
        <v>101495</v>
      </c>
      <c r="AB920" s="396">
        <v>27490141</v>
      </c>
      <c r="AC920" s="396">
        <v>10207916</v>
      </c>
    </row>
    <row r="921" spans="1:29">
      <c r="A921">
        <v>8121</v>
      </c>
      <c r="B921" s="395" t="s">
        <v>8283</v>
      </c>
      <c r="C921" s="395"/>
      <c r="D921" s="396">
        <v>101198</v>
      </c>
      <c r="E921" s="396">
        <v>239898</v>
      </c>
      <c r="F921" s="395">
        <v>1.73</v>
      </c>
      <c r="G921" s="396">
        <v>-138700</v>
      </c>
      <c r="H921" s="396">
        <v>30102</v>
      </c>
      <c r="I921" s="396">
        <v>523405</v>
      </c>
      <c r="J921" s="395">
        <v>248</v>
      </c>
      <c r="K921" s="395">
        <v>196</v>
      </c>
      <c r="L921" s="397">
        <v>0.7903</v>
      </c>
      <c r="M921" s="395">
        <v>52</v>
      </c>
      <c r="N921" s="395">
        <v>408</v>
      </c>
      <c r="O921" s="396">
        <v>1224</v>
      </c>
      <c r="P921" s="395">
        <v>0.46</v>
      </c>
      <c r="Q921" s="396">
        <v>-2667</v>
      </c>
      <c r="R921" s="396">
        <v>6682</v>
      </c>
      <c r="S921" s="396">
        <v>-12364</v>
      </c>
      <c r="T921" s="396">
        <v>207295</v>
      </c>
      <c r="U921" s="396">
        <v>-97851</v>
      </c>
      <c r="V921" s="395">
        <v>1292.77</v>
      </c>
      <c r="W921" s="395">
        <v>843.93</v>
      </c>
      <c r="X921" s="395">
        <v>77490</v>
      </c>
      <c r="Y921" s="395">
        <v>2984.54</v>
      </c>
      <c r="Z921" s="396">
        <v>5107850</v>
      </c>
      <c r="AA921" s="396">
        <v>101198</v>
      </c>
      <c r="AB921" s="396">
        <v>41667546</v>
      </c>
      <c r="AC921" s="396">
        <v>10207916</v>
      </c>
    </row>
    <row r="922" spans="1:29">
      <c r="A922">
        <v>3492</v>
      </c>
      <c r="B922" s="395" t="s">
        <v>7440</v>
      </c>
      <c r="C922" s="395"/>
      <c r="D922" s="396">
        <v>100758</v>
      </c>
      <c r="E922" s="396">
        <v>140117</v>
      </c>
      <c r="F922" s="395">
        <v>3.56</v>
      </c>
      <c r="G922" s="396">
        <v>-39359</v>
      </c>
      <c r="H922" s="396">
        <v>17992</v>
      </c>
      <c r="I922" s="396">
        <v>879725</v>
      </c>
      <c r="J922" s="395">
        <v>231</v>
      </c>
      <c r="K922" s="395">
        <v>180</v>
      </c>
      <c r="L922" s="397">
        <v>0.7792</v>
      </c>
      <c r="M922" s="395">
        <v>51</v>
      </c>
      <c r="N922" s="395">
        <v>436</v>
      </c>
      <c r="O922" s="395">
        <v>778</v>
      </c>
      <c r="P922" s="395">
        <v>1.01</v>
      </c>
      <c r="Q922" s="395">
        <v>-772</v>
      </c>
      <c r="R922" s="396">
        <v>3278</v>
      </c>
      <c r="S922" s="396">
        <v>-2787</v>
      </c>
      <c r="T922" s="396">
        <v>161595</v>
      </c>
      <c r="U922" s="396">
        <v>-71726</v>
      </c>
      <c r="V922" s="395">
        <v>4382.8</v>
      </c>
      <c r="W922" s="395">
        <v>3363.57</v>
      </c>
      <c r="X922" s="395">
        <v>77490</v>
      </c>
      <c r="Y922" s="395">
        <v>7980.06</v>
      </c>
      <c r="Z922" s="396">
        <v>-1523115</v>
      </c>
      <c r="AA922" s="396">
        <v>100758</v>
      </c>
      <c r="AB922" s="396">
        <v>7422243</v>
      </c>
      <c r="AC922" s="396">
        <v>10207916</v>
      </c>
    </row>
    <row r="923" spans="1:29">
      <c r="A923">
        <v>2483</v>
      </c>
      <c r="B923" s="395" t="s">
        <v>7096</v>
      </c>
      <c r="C923" s="395"/>
      <c r="D923" s="396">
        <v>100672</v>
      </c>
      <c r="E923" s="396">
        <v>166661</v>
      </c>
      <c r="F923" s="395">
        <v>2.5299999999999998</v>
      </c>
      <c r="G923" s="396">
        <v>-65989</v>
      </c>
      <c r="H923" s="396">
        <v>23313</v>
      </c>
      <c r="I923" s="396">
        <v>712790</v>
      </c>
      <c r="J923" s="395">
        <v>246</v>
      </c>
      <c r="K923" s="395">
        <v>184</v>
      </c>
      <c r="L923" s="397">
        <v>0.748</v>
      </c>
      <c r="M923" s="395">
        <v>62</v>
      </c>
      <c r="N923" s="395">
        <v>409</v>
      </c>
      <c r="O923" s="395">
        <v>906</v>
      </c>
      <c r="P923" s="395">
        <v>0.85</v>
      </c>
      <c r="Q923" s="396">
        <v>-1064</v>
      </c>
      <c r="R923" s="396">
        <v>2770</v>
      </c>
      <c r="S923" s="396">
        <v>-5914</v>
      </c>
      <c r="T923" s="396">
        <v>153377</v>
      </c>
      <c r="U923" s="396">
        <v>-59512</v>
      </c>
      <c r="V923" s="395">
        <v>3309.05</v>
      </c>
      <c r="W923" s="395">
        <v>2170.13</v>
      </c>
      <c r="X923" s="395">
        <v>77490</v>
      </c>
      <c r="Y923" s="395">
        <v>6689.08</v>
      </c>
      <c r="Z923" s="396">
        <v>-12462642</v>
      </c>
      <c r="AA923" s="396">
        <v>100672</v>
      </c>
      <c r="AB923" s="396">
        <v>10475958</v>
      </c>
      <c r="AC923" s="396">
        <v>10207916</v>
      </c>
    </row>
    <row r="924" spans="1:29">
      <c r="A924">
        <v>5601</v>
      </c>
      <c r="B924" s="395" t="s">
        <v>7878</v>
      </c>
      <c r="C924" s="395"/>
      <c r="D924" s="396">
        <v>100357</v>
      </c>
      <c r="E924" s="396">
        <v>120859</v>
      </c>
      <c r="F924" s="395">
        <v>5.89</v>
      </c>
      <c r="G924" s="396">
        <v>-20503</v>
      </c>
      <c r="H924" s="396">
        <v>12255</v>
      </c>
      <c r="I924" s="396">
        <v>462200</v>
      </c>
      <c r="J924" s="395">
        <v>90</v>
      </c>
      <c r="K924" s="395">
        <v>78</v>
      </c>
      <c r="L924" s="397">
        <v>0.86670000000000003</v>
      </c>
      <c r="M924" s="395">
        <v>12</v>
      </c>
      <c r="N924" s="396">
        <v>1115</v>
      </c>
      <c r="O924" s="396">
        <v>1549</v>
      </c>
      <c r="P924" s="395">
        <v>0.91</v>
      </c>
      <c r="Q924" s="396">
        <v>-1709</v>
      </c>
      <c r="R924" s="396">
        <v>4027</v>
      </c>
      <c r="S924" s="396">
        <v>-3833</v>
      </c>
      <c r="T924" s="396">
        <v>133523</v>
      </c>
      <c r="U924" s="396">
        <v>-48825</v>
      </c>
      <c r="V924" s="395">
        <v>2122.09</v>
      </c>
      <c r="W924" s="395">
        <v>1580.58</v>
      </c>
      <c r="X924" s="395">
        <v>72630</v>
      </c>
      <c r="Y924" s="395">
        <v>5641.92</v>
      </c>
      <c r="Z924" s="396">
        <v>40014421</v>
      </c>
      <c r="AA924" s="396">
        <v>100357</v>
      </c>
      <c r="AB924" s="396">
        <v>29465586</v>
      </c>
      <c r="AC924" s="396">
        <v>10207916</v>
      </c>
    </row>
    <row r="925" spans="1:29">
      <c r="A925">
        <v>6153</v>
      </c>
      <c r="B925" s="395" t="s">
        <v>7948</v>
      </c>
      <c r="C925" s="395"/>
      <c r="D925" s="396">
        <v>100230</v>
      </c>
      <c r="E925" s="396">
        <v>251048</v>
      </c>
      <c r="F925" s="395">
        <v>1.66</v>
      </c>
      <c r="G925" s="396">
        <v>-150818</v>
      </c>
      <c r="H925" s="396">
        <v>30769</v>
      </c>
      <c r="I925" s="396">
        <v>1577154</v>
      </c>
      <c r="J925" s="395">
        <v>261</v>
      </c>
      <c r="K925" s="395">
        <v>180</v>
      </c>
      <c r="L925" s="397">
        <v>0.68969999999999998</v>
      </c>
      <c r="M925" s="395">
        <v>81</v>
      </c>
      <c r="N925" s="395">
        <v>384</v>
      </c>
      <c r="O925" s="396">
        <v>1395</v>
      </c>
      <c r="P925" s="395">
        <v>0.75</v>
      </c>
      <c r="Q925" s="396">
        <v>-1862</v>
      </c>
      <c r="R925" s="396">
        <v>6284</v>
      </c>
      <c r="S925" s="396">
        <v>-7944</v>
      </c>
      <c r="T925" s="396">
        <v>283912</v>
      </c>
      <c r="U925" s="396">
        <v>-175202</v>
      </c>
      <c r="V925" s="395">
        <v>5143.42</v>
      </c>
      <c r="W925" s="395">
        <v>3367.36</v>
      </c>
      <c r="X925" s="395">
        <v>77490</v>
      </c>
      <c r="Y925" s="395">
        <v>9090.2199999999993</v>
      </c>
      <c r="Z925" s="396">
        <v>-23071830</v>
      </c>
      <c r="AA925" s="396">
        <v>100230</v>
      </c>
      <c r="AB925" s="396">
        <v>-16646331</v>
      </c>
      <c r="AC925" s="396">
        <v>10207916</v>
      </c>
    </row>
    <row r="926" spans="1:29">
      <c r="A926">
        <v>2468</v>
      </c>
      <c r="B926" s="395" t="s">
        <v>7086</v>
      </c>
      <c r="C926" s="395"/>
      <c r="D926" s="396">
        <v>100219</v>
      </c>
      <c r="E926" s="396">
        <v>115552</v>
      </c>
      <c r="F926" s="395">
        <v>7.54</v>
      </c>
      <c r="G926" s="396">
        <v>-15333</v>
      </c>
      <c r="H926" s="396">
        <v>12173</v>
      </c>
      <c r="I926" s="396">
        <v>1221190</v>
      </c>
      <c r="J926" s="395">
        <v>220</v>
      </c>
      <c r="K926" s="395">
        <v>180</v>
      </c>
      <c r="L926" s="397">
        <v>0.81820000000000004</v>
      </c>
      <c r="M926" s="395">
        <v>40</v>
      </c>
      <c r="N926" s="395">
        <v>456</v>
      </c>
      <c r="O926" s="395">
        <v>642</v>
      </c>
      <c r="P926" s="395">
        <v>1.68</v>
      </c>
      <c r="Q926" s="395">
        <v>-383</v>
      </c>
      <c r="R926" s="396">
        <v>1796</v>
      </c>
      <c r="S926" s="396">
        <v>-2330</v>
      </c>
      <c r="T926" s="396">
        <v>130503</v>
      </c>
      <c r="U926" s="396">
        <v>-48831</v>
      </c>
      <c r="V926" s="395">
        <v>10044.65</v>
      </c>
      <c r="W926" s="395">
        <v>10624.41</v>
      </c>
      <c r="X926" s="395">
        <v>77490</v>
      </c>
      <c r="Y926" s="395">
        <v>7435.7</v>
      </c>
      <c r="Z926" s="396">
        <v>-5116880</v>
      </c>
      <c r="AA926" s="396">
        <v>100219</v>
      </c>
      <c r="AB926" s="396">
        <v>-493125</v>
      </c>
      <c r="AC926" s="396">
        <v>10207916</v>
      </c>
    </row>
    <row r="927" spans="1:29">
      <c r="A927">
        <v>4987</v>
      </c>
      <c r="B927" s="395" t="s">
        <v>7745</v>
      </c>
      <c r="C927" s="395"/>
      <c r="D927" s="396">
        <v>100219</v>
      </c>
      <c r="E927" s="396">
        <v>103604</v>
      </c>
      <c r="F927" s="395">
        <v>30.61</v>
      </c>
      <c r="G927" s="396">
        <v>-3385</v>
      </c>
      <c r="H927" s="396">
        <v>11859</v>
      </c>
      <c r="I927" s="396">
        <v>845536</v>
      </c>
      <c r="J927" s="395">
        <v>53</v>
      </c>
      <c r="K927" s="395">
        <v>50</v>
      </c>
      <c r="L927" s="397">
        <v>0.94340000000000002</v>
      </c>
      <c r="M927" s="395">
        <v>3</v>
      </c>
      <c r="N927" s="396">
        <v>1891</v>
      </c>
      <c r="O927" s="396">
        <v>2072</v>
      </c>
      <c r="P927" s="395">
        <v>1.84</v>
      </c>
      <c r="Q927" s="396">
        <v>-1128</v>
      </c>
      <c r="R927" s="396">
        <v>4389</v>
      </c>
      <c r="S927" s="396">
        <v>-2230</v>
      </c>
      <c r="T927" s="396">
        <v>104063</v>
      </c>
      <c r="U927" s="396">
        <v>-19157</v>
      </c>
      <c r="V927" s="395">
        <v>7409.13</v>
      </c>
      <c r="W927" s="395">
        <v>7680.86</v>
      </c>
      <c r="X927" s="395">
        <v>77220</v>
      </c>
      <c r="Y927" s="395">
        <v>2880.33</v>
      </c>
      <c r="Z927" s="396">
        <v>11174796</v>
      </c>
      <c r="AA927" s="396">
        <v>100219</v>
      </c>
      <c r="AB927" s="396">
        <v>15993297</v>
      </c>
      <c r="AC927" s="396">
        <v>10207916</v>
      </c>
    </row>
    <row r="928" spans="1:29">
      <c r="A928">
        <v>1435</v>
      </c>
      <c r="B928" s="395" t="s">
        <v>6746</v>
      </c>
      <c r="C928" s="395"/>
      <c r="D928" s="396">
        <v>100042</v>
      </c>
      <c r="E928" s="396">
        <v>122280</v>
      </c>
      <c r="F928" s="395">
        <v>5.5</v>
      </c>
      <c r="G928" s="396">
        <v>-22238</v>
      </c>
      <c r="H928" s="396">
        <v>12708</v>
      </c>
      <c r="I928" s="396">
        <v>326720</v>
      </c>
      <c r="J928" s="395">
        <v>115</v>
      </c>
      <c r="K928" s="395">
        <v>100</v>
      </c>
      <c r="L928" s="397">
        <v>0.86960000000000004</v>
      </c>
      <c r="M928" s="395">
        <v>15</v>
      </c>
      <c r="N928" s="395">
        <v>870</v>
      </c>
      <c r="O928" s="396">
        <v>1223</v>
      </c>
      <c r="P928" s="395">
        <v>0.82</v>
      </c>
      <c r="Q928" s="396">
        <v>-1483</v>
      </c>
      <c r="R928" s="396">
        <v>6730</v>
      </c>
      <c r="S928" s="396">
        <v>-6246</v>
      </c>
      <c r="T928" s="396">
        <v>187804</v>
      </c>
      <c r="U928" s="396">
        <v>-92778</v>
      </c>
      <c r="V928" s="395">
        <v>1764.42</v>
      </c>
      <c r="W928" s="395">
        <v>1359.3</v>
      </c>
      <c r="X928" s="395">
        <v>77220</v>
      </c>
      <c r="Y928" s="395">
        <v>4465.2</v>
      </c>
      <c r="Z928" s="396">
        <v>33996507</v>
      </c>
      <c r="AA928" s="396">
        <v>100042</v>
      </c>
      <c r="AB928" s="396">
        <v>74270153</v>
      </c>
      <c r="AC928" s="396">
        <v>10207916</v>
      </c>
    </row>
    <row r="929" spans="1:29">
      <c r="A929">
        <v>1591</v>
      </c>
      <c r="B929" s="395" t="s">
        <v>6827</v>
      </c>
      <c r="C929" s="395"/>
      <c r="D929" s="396">
        <v>99757</v>
      </c>
      <c r="E929" s="396">
        <v>119608</v>
      </c>
      <c r="F929" s="395">
        <v>6.03</v>
      </c>
      <c r="G929" s="396">
        <v>-19851</v>
      </c>
      <c r="H929" s="396">
        <v>12138</v>
      </c>
      <c r="I929" s="396">
        <v>1111855</v>
      </c>
      <c r="J929" s="395">
        <v>174</v>
      </c>
      <c r="K929" s="395">
        <v>139</v>
      </c>
      <c r="L929" s="397">
        <v>0.79890000000000005</v>
      </c>
      <c r="M929" s="395">
        <v>35</v>
      </c>
      <c r="N929" s="395">
        <v>573</v>
      </c>
      <c r="O929" s="395">
        <v>860</v>
      </c>
      <c r="P929" s="395">
        <v>1.52</v>
      </c>
      <c r="Q929" s="395">
        <v>-567</v>
      </c>
      <c r="R929" s="396">
        <v>1777</v>
      </c>
      <c r="S929" s="396">
        <v>-1881</v>
      </c>
      <c r="T929" s="396">
        <v>136324</v>
      </c>
      <c r="U929" s="396">
        <v>-82554</v>
      </c>
      <c r="V929" s="395">
        <v>10933.63</v>
      </c>
      <c r="W929" s="395">
        <v>9826.9</v>
      </c>
      <c r="X929" s="395">
        <v>76410</v>
      </c>
      <c r="Y929" s="395">
        <v>15328.94</v>
      </c>
      <c r="Z929" s="396">
        <v>-10576977</v>
      </c>
      <c r="AA929" s="396">
        <v>99757</v>
      </c>
      <c r="AB929" s="396">
        <v>-2128561</v>
      </c>
      <c r="AC929" s="396">
        <v>10207916</v>
      </c>
    </row>
    <row r="930" spans="1:29">
      <c r="A930">
        <v>5490</v>
      </c>
      <c r="B930" s="395" t="s">
        <v>7854</v>
      </c>
      <c r="C930" s="395"/>
      <c r="D930" s="396">
        <v>99240</v>
      </c>
      <c r="E930" s="396">
        <v>160315</v>
      </c>
      <c r="F930" s="395">
        <v>2.62</v>
      </c>
      <c r="G930" s="396">
        <v>-61076</v>
      </c>
      <c r="H930" s="396">
        <v>25983</v>
      </c>
      <c r="I930" s="396">
        <v>1558733</v>
      </c>
      <c r="J930" s="395">
        <v>235</v>
      </c>
      <c r="K930" s="395">
        <v>181</v>
      </c>
      <c r="L930" s="397">
        <v>0.7702</v>
      </c>
      <c r="M930" s="395">
        <v>54</v>
      </c>
      <c r="N930" s="395">
        <v>422</v>
      </c>
      <c r="O930" s="395">
        <v>886</v>
      </c>
      <c r="P930" s="395">
        <v>0.78</v>
      </c>
      <c r="Q930" s="396">
        <v>-1131</v>
      </c>
      <c r="R930" s="396">
        <v>3942</v>
      </c>
      <c r="S930" s="396">
        <v>-5026</v>
      </c>
      <c r="T930" s="396">
        <v>165897</v>
      </c>
      <c r="U930" s="396">
        <v>-68854</v>
      </c>
      <c r="V930" s="395">
        <v>5962.17</v>
      </c>
      <c r="W930" s="395">
        <v>5041.46</v>
      </c>
      <c r="X930" s="395">
        <v>77490</v>
      </c>
      <c r="Y930" s="395">
        <v>9048.24</v>
      </c>
      <c r="Z930" s="396">
        <v>-5328200</v>
      </c>
      <c r="AA930" s="396">
        <v>99240</v>
      </c>
      <c r="AB930" s="396">
        <v>2202306</v>
      </c>
      <c r="AC930" s="396">
        <v>10207916</v>
      </c>
    </row>
    <row r="931" spans="1:29">
      <c r="A931">
        <v>4420</v>
      </c>
      <c r="B931" s="395" t="s">
        <v>7614</v>
      </c>
      <c r="C931" s="395"/>
      <c r="D931" s="396">
        <v>99094</v>
      </c>
      <c r="E931" s="396">
        <v>117608</v>
      </c>
      <c r="F931" s="395">
        <v>6.35</v>
      </c>
      <c r="G931" s="396">
        <v>-18514</v>
      </c>
      <c r="H931" s="396">
        <v>20180</v>
      </c>
      <c r="I931" s="396">
        <v>785628</v>
      </c>
      <c r="J931" s="395">
        <v>168</v>
      </c>
      <c r="K931" s="395">
        <v>146</v>
      </c>
      <c r="L931" s="397">
        <v>0.86899999999999999</v>
      </c>
      <c r="M931" s="395">
        <v>22</v>
      </c>
      <c r="N931" s="395">
        <v>590</v>
      </c>
      <c r="O931" s="395">
        <v>806</v>
      </c>
      <c r="P931" s="395">
        <v>0.96</v>
      </c>
      <c r="Q931" s="395">
        <v>-842</v>
      </c>
      <c r="R931" s="396">
        <v>4694</v>
      </c>
      <c r="S931" s="396">
        <v>-3038</v>
      </c>
      <c r="T931" s="396">
        <v>125604</v>
      </c>
      <c r="U931" s="396">
        <v>-34579</v>
      </c>
      <c r="V931" s="395">
        <v>3701.63</v>
      </c>
      <c r="W931" s="395">
        <v>3308.71</v>
      </c>
      <c r="X931" s="395">
        <v>77220</v>
      </c>
      <c r="Y931" s="395">
        <v>6309.23</v>
      </c>
      <c r="Z931" s="396">
        <v>5738686</v>
      </c>
      <c r="AA931" s="396">
        <v>99094</v>
      </c>
      <c r="AB931" s="396">
        <v>19857959</v>
      </c>
      <c r="AC931" s="396">
        <v>10207916</v>
      </c>
    </row>
    <row r="932" spans="1:29">
      <c r="A932">
        <v>2406</v>
      </c>
      <c r="B932" s="395" t="s">
        <v>7040</v>
      </c>
      <c r="C932" s="395"/>
      <c r="D932" s="396">
        <v>98964</v>
      </c>
      <c r="E932" s="396">
        <v>179811</v>
      </c>
      <c r="F932" s="395">
        <v>2.2200000000000002</v>
      </c>
      <c r="G932" s="396">
        <v>-80847</v>
      </c>
      <c r="H932" s="396">
        <v>23186</v>
      </c>
      <c r="I932" s="396">
        <v>769599</v>
      </c>
      <c r="J932" s="395">
        <v>243</v>
      </c>
      <c r="K932" s="395">
        <v>193</v>
      </c>
      <c r="L932" s="397">
        <v>0.79420000000000002</v>
      </c>
      <c r="M932" s="395">
        <v>50</v>
      </c>
      <c r="N932" s="395">
        <v>407</v>
      </c>
      <c r="O932" s="395">
        <v>932</v>
      </c>
      <c r="P932" s="395">
        <v>0.57999999999999996</v>
      </c>
      <c r="Q932" s="396">
        <v>-1617</v>
      </c>
      <c r="R932" s="396">
        <v>4581</v>
      </c>
      <c r="S932" s="396">
        <v>-10673</v>
      </c>
      <c r="T932" s="396">
        <v>169845</v>
      </c>
      <c r="U932" s="396">
        <v>-87005</v>
      </c>
      <c r="V932" s="395">
        <v>2173.02</v>
      </c>
      <c r="W932" s="395">
        <v>1235.8699999999999</v>
      </c>
      <c r="X932" s="395">
        <v>77490</v>
      </c>
      <c r="Y932" s="395">
        <v>5790.46</v>
      </c>
      <c r="Z932" s="396">
        <v>-5388881</v>
      </c>
      <c r="AA932" s="396">
        <v>98964</v>
      </c>
      <c r="AB932" s="396">
        <v>8884793</v>
      </c>
      <c r="AC932" s="396">
        <v>10207916</v>
      </c>
    </row>
    <row r="933" spans="1:29">
      <c r="A933">
        <v>6136</v>
      </c>
      <c r="B933" s="395" t="s">
        <v>7934</v>
      </c>
      <c r="C933" s="395"/>
      <c r="D933" s="396">
        <v>98787</v>
      </c>
      <c r="E933" s="396">
        <v>116044</v>
      </c>
      <c r="F933" s="395">
        <v>6.72</v>
      </c>
      <c r="G933" s="396">
        <v>-17257</v>
      </c>
      <c r="H933" s="396">
        <v>17563</v>
      </c>
      <c r="I933" s="396">
        <v>1213858</v>
      </c>
      <c r="J933" s="395">
        <v>241</v>
      </c>
      <c r="K933" s="395">
        <v>198</v>
      </c>
      <c r="L933" s="397">
        <v>0.8216</v>
      </c>
      <c r="M933" s="395">
        <v>43</v>
      </c>
      <c r="N933" s="395">
        <v>410</v>
      </c>
      <c r="O933" s="395">
        <v>586</v>
      </c>
      <c r="P933" s="395">
        <v>1.46</v>
      </c>
      <c r="Q933" s="395">
        <v>-401</v>
      </c>
      <c r="R933" s="396">
        <v>1679</v>
      </c>
      <c r="S933" s="396">
        <v>-1377</v>
      </c>
      <c r="T933" s="396">
        <v>120004</v>
      </c>
      <c r="U933" s="396">
        <v>-23151</v>
      </c>
      <c r="V933" s="395">
        <v>6834.98</v>
      </c>
      <c r="W933" s="395">
        <v>6831.65</v>
      </c>
      <c r="X933" s="395">
        <v>77490</v>
      </c>
      <c r="Y933" s="395">
        <v>6850.33</v>
      </c>
      <c r="Z933" s="396">
        <v>2959207</v>
      </c>
      <c r="AA933" s="396">
        <v>98787</v>
      </c>
      <c r="AB933" s="396">
        <v>5936510</v>
      </c>
      <c r="AC933" s="396">
        <v>10207916</v>
      </c>
    </row>
    <row r="934" spans="1:29">
      <c r="A934">
        <v>3303</v>
      </c>
      <c r="B934" s="395" t="s">
        <v>7381</v>
      </c>
      <c r="C934" s="395"/>
      <c r="D934" s="396">
        <v>98408</v>
      </c>
      <c r="E934" s="396">
        <v>138029</v>
      </c>
      <c r="F934" s="395">
        <v>3.48</v>
      </c>
      <c r="G934" s="396">
        <v>-39621</v>
      </c>
      <c r="H934" s="396">
        <v>23365</v>
      </c>
      <c r="I934" s="396">
        <v>943981</v>
      </c>
      <c r="J934" s="395">
        <v>243</v>
      </c>
      <c r="K934" s="395">
        <v>210</v>
      </c>
      <c r="L934" s="397">
        <v>0.86419999999999997</v>
      </c>
      <c r="M934" s="395">
        <v>33</v>
      </c>
      <c r="N934" s="395">
        <v>405</v>
      </c>
      <c r="O934" s="395">
        <v>657</v>
      </c>
      <c r="P934" s="395">
        <v>0.55000000000000004</v>
      </c>
      <c r="Q934" s="396">
        <v>-1201</v>
      </c>
      <c r="R934" s="396">
        <v>2012</v>
      </c>
      <c r="S934" s="396">
        <v>-4014</v>
      </c>
      <c r="T934" s="396">
        <v>129988</v>
      </c>
      <c r="U934" s="396">
        <v>-37257</v>
      </c>
      <c r="V934" s="395">
        <v>3848.23</v>
      </c>
      <c r="W934" s="395">
        <v>3414.14</v>
      </c>
      <c r="X934" s="395">
        <v>77490</v>
      </c>
      <c r="Y934" s="395">
        <v>6610.61</v>
      </c>
      <c r="Z934" s="396">
        <v>1292991</v>
      </c>
      <c r="AA934" s="396">
        <v>98408</v>
      </c>
      <c r="AB934" s="396">
        <v>11888320</v>
      </c>
      <c r="AC934" s="396">
        <v>10207916</v>
      </c>
    </row>
    <row r="935" spans="1:29">
      <c r="A935">
        <v>9924</v>
      </c>
      <c r="B935" s="395" t="s">
        <v>8406</v>
      </c>
      <c r="C935" s="395"/>
      <c r="D935" s="396">
        <v>98002</v>
      </c>
      <c r="E935" s="396">
        <v>183390</v>
      </c>
      <c r="F935" s="395">
        <v>2.15</v>
      </c>
      <c r="G935" s="396">
        <v>-85388</v>
      </c>
      <c r="H935" s="396">
        <v>42746</v>
      </c>
      <c r="I935" s="396">
        <v>7997189</v>
      </c>
      <c r="J935" s="395">
        <v>245</v>
      </c>
      <c r="K935" s="395">
        <v>175</v>
      </c>
      <c r="L935" s="397">
        <v>0.71430000000000005</v>
      </c>
      <c r="M935" s="395">
        <v>70</v>
      </c>
      <c r="N935" s="395">
        <v>400</v>
      </c>
      <c r="O935" s="396">
        <v>1048</v>
      </c>
      <c r="P935" s="395">
        <v>0.86</v>
      </c>
      <c r="Q935" s="396">
        <v>-1220</v>
      </c>
      <c r="R935" s="396">
        <v>2285</v>
      </c>
      <c r="S935" s="396">
        <v>-4295</v>
      </c>
      <c r="T935" s="396">
        <v>438369</v>
      </c>
      <c r="U935" s="396">
        <v>-430183</v>
      </c>
      <c r="V935" s="395">
        <v>23971.5</v>
      </c>
      <c r="W935" s="395">
        <v>17538.689999999999</v>
      </c>
      <c r="X935" s="395">
        <v>77490</v>
      </c>
      <c r="Y935" s="395">
        <v>40053.53</v>
      </c>
      <c r="Z935" s="396">
        <v>-3587317</v>
      </c>
      <c r="AA935" s="396">
        <v>98002</v>
      </c>
      <c r="AB935" s="396">
        <v>-319795</v>
      </c>
      <c r="AC935" s="396">
        <v>10207916</v>
      </c>
    </row>
    <row r="936" spans="1:29">
      <c r="A936">
        <v>2363</v>
      </c>
      <c r="B936" s="395" t="s">
        <v>7011</v>
      </c>
      <c r="C936" s="395"/>
      <c r="D936" s="396">
        <v>97813</v>
      </c>
      <c r="E936" s="396">
        <v>183246</v>
      </c>
      <c r="F936" s="395">
        <v>2.14</v>
      </c>
      <c r="G936" s="396">
        <v>-85433</v>
      </c>
      <c r="H936" s="396">
        <v>23347</v>
      </c>
      <c r="I936" s="396">
        <v>1216871</v>
      </c>
      <c r="J936" s="395">
        <v>257</v>
      </c>
      <c r="K936" s="395">
        <v>201</v>
      </c>
      <c r="L936" s="397">
        <v>0.78210000000000002</v>
      </c>
      <c r="M936" s="395">
        <v>56</v>
      </c>
      <c r="N936" s="395">
        <v>381</v>
      </c>
      <c r="O936" s="395">
        <v>912</v>
      </c>
      <c r="P936" s="395">
        <v>0.6</v>
      </c>
      <c r="Q936" s="396">
        <v>-1526</v>
      </c>
      <c r="R936" s="396">
        <v>4122</v>
      </c>
      <c r="S936" s="396">
        <v>-5547</v>
      </c>
      <c r="T936" s="396">
        <v>154245</v>
      </c>
      <c r="U936" s="396">
        <v>-167308</v>
      </c>
      <c r="V936" s="395">
        <v>3196.88</v>
      </c>
      <c r="W936" s="395">
        <v>1535.07</v>
      </c>
      <c r="X936" s="395">
        <v>77490</v>
      </c>
      <c r="Y936" s="395">
        <v>9161.59</v>
      </c>
      <c r="Z936" s="396">
        <v>7777787</v>
      </c>
      <c r="AA936" s="396">
        <v>97813</v>
      </c>
      <c r="AB936" s="396">
        <v>28238235</v>
      </c>
      <c r="AC936" s="396">
        <v>10207916</v>
      </c>
    </row>
    <row r="937" spans="1:29">
      <c r="A937">
        <v>8072</v>
      </c>
      <c r="B937" s="395" t="s">
        <v>8254</v>
      </c>
      <c r="C937" s="395"/>
      <c r="D937" s="396">
        <v>97711</v>
      </c>
      <c r="E937" s="396">
        <v>133139</v>
      </c>
      <c r="F937" s="395">
        <v>3.76</v>
      </c>
      <c r="G937" s="396">
        <v>-35428</v>
      </c>
      <c r="H937" s="396">
        <v>19764</v>
      </c>
      <c r="I937" s="396">
        <v>1311737</v>
      </c>
      <c r="J937" s="395">
        <v>186</v>
      </c>
      <c r="K937" s="395">
        <v>142</v>
      </c>
      <c r="L937" s="397">
        <v>0.76339999999999997</v>
      </c>
      <c r="M937" s="395">
        <v>43</v>
      </c>
      <c r="N937" s="395">
        <v>525</v>
      </c>
      <c r="O937" s="395">
        <v>938</v>
      </c>
      <c r="P937" s="395">
        <v>1.1399999999999999</v>
      </c>
      <c r="Q937" s="395">
        <v>-824</v>
      </c>
      <c r="R937" s="396">
        <v>4003</v>
      </c>
      <c r="S937" s="396">
        <v>-4765</v>
      </c>
      <c r="T937" s="396">
        <v>120420</v>
      </c>
      <c r="U937" s="396">
        <v>-52157</v>
      </c>
      <c r="V937" s="395">
        <v>7081.11</v>
      </c>
      <c r="W937" s="395">
        <v>5910.67</v>
      </c>
      <c r="X937" s="395">
        <v>77490</v>
      </c>
      <c r="Y937" s="395">
        <v>11091.88</v>
      </c>
      <c r="Z937" s="396">
        <v>-10609575</v>
      </c>
      <c r="AA937" s="396">
        <v>97711</v>
      </c>
      <c r="AB937" s="396">
        <v>-7986285</v>
      </c>
      <c r="AC937" s="396">
        <v>10207916</v>
      </c>
    </row>
    <row r="938" spans="1:29">
      <c r="A938">
        <v>2539</v>
      </c>
      <c r="B938" s="395" t="s">
        <v>7128</v>
      </c>
      <c r="C938" s="395"/>
      <c r="D938" s="396">
        <v>97631</v>
      </c>
      <c r="E938" s="396">
        <v>119258</v>
      </c>
      <c r="F938" s="395">
        <v>5.51</v>
      </c>
      <c r="G938" s="396">
        <v>-21627</v>
      </c>
      <c r="H938" s="396">
        <v>33164</v>
      </c>
      <c r="I938" s="396">
        <v>3549669</v>
      </c>
      <c r="J938" s="395">
        <v>260</v>
      </c>
      <c r="K938" s="395">
        <v>176</v>
      </c>
      <c r="L938" s="397">
        <v>0.67689999999999995</v>
      </c>
      <c r="M938" s="395">
        <v>84</v>
      </c>
      <c r="N938" s="395">
        <v>376</v>
      </c>
      <c r="O938" s="395">
        <v>678</v>
      </c>
      <c r="P938" s="395">
        <v>2.64</v>
      </c>
      <c r="Q938" s="395">
        <v>-257</v>
      </c>
      <c r="R938" s="396">
        <v>2723</v>
      </c>
      <c r="S938" s="395">
        <v>-675</v>
      </c>
      <c r="T938" s="396">
        <v>207987</v>
      </c>
      <c r="U938" s="396">
        <v>-85409</v>
      </c>
      <c r="V938" s="395">
        <v>13195.73</v>
      </c>
      <c r="W938" s="395">
        <v>10577.5</v>
      </c>
      <c r="X938" s="395">
        <v>77490</v>
      </c>
      <c r="Y938" s="395">
        <v>18681.54</v>
      </c>
      <c r="Z938" s="396">
        <v>5038163</v>
      </c>
      <c r="AA938" s="396">
        <v>97631</v>
      </c>
      <c r="AB938" s="396">
        <v>8280102</v>
      </c>
      <c r="AC938" s="396">
        <v>10207916</v>
      </c>
    </row>
    <row r="939" spans="1:29">
      <c r="A939">
        <v>4711</v>
      </c>
      <c r="B939" s="395" t="s">
        <v>7670</v>
      </c>
      <c r="C939" s="395"/>
      <c r="D939" s="396">
        <v>97214</v>
      </c>
      <c r="E939" s="396">
        <v>114656</v>
      </c>
      <c r="F939" s="395">
        <v>6.57</v>
      </c>
      <c r="G939" s="396">
        <v>-17443</v>
      </c>
      <c r="H939" s="396">
        <v>14854</v>
      </c>
      <c r="I939" s="396">
        <v>402033</v>
      </c>
      <c r="J939" s="395">
        <v>196</v>
      </c>
      <c r="K939" s="395">
        <v>161</v>
      </c>
      <c r="L939" s="397">
        <v>0.82140000000000002</v>
      </c>
      <c r="M939" s="395">
        <v>35</v>
      </c>
      <c r="N939" s="395">
        <v>496</v>
      </c>
      <c r="O939" s="395">
        <v>712</v>
      </c>
      <c r="P939" s="395">
        <v>1.43</v>
      </c>
      <c r="Q939" s="395">
        <v>-498</v>
      </c>
      <c r="R939" s="396">
        <v>2574</v>
      </c>
      <c r="S939" s="396">
        <v>-4140</v>
      </c>
      <c r="T939" s="396">
        <v>103212</v>
      </c>
      <c r="U939" s="396">
        <v>-24058</v>
      </c>
      <c r="V939" s="395">
        <v>2524.35</v>
      </c>
      <c r="W939" s="395">
        <v>2221.71</v>
      </c>
      <c r="X939" s="395">
        <v>77490</v>
      </c>
      <c r="Y939" s="395">
        <v>3916.46</v>
      </c>
      <c r="Z939" s="396">
        <v>8372549</v>
      </c>
      <c r="AA939" s="396">
        <v>97214</v>
      </c>
      <c r="AB939" s="396">
        <v>15340845</v>
      </c>
      <c r="AC939" s="396">
        <v>10207916</v>
      </c>
    </row>
    <row r="940" spans="1:29">
      <c r="A940">
        <v>8011</v>
      </c>
      <c r="B940" s="395" t="s">
        <v>8225</v>
      </c>
      <c r="C940" s="395"/>
      <c r="D940" s="396">
        <v>97034</v>
      </c>
      <c r="E940" s="396">
        <v>152446</v>
      </c>
      <c r="F940" s="395">
        <v>2.75</v>
      </c>
      <c r="G940" s="396">
        <v>-55412</v>
      </c>
      <c r="H940" s="396">
        <v>20416</v>
      </c>
      <c r="I940" s="396">
        <v>603484</v>
      </c>
      <c r="J940" s="395">
        <v>266</v>
      </c>
      <c r="K940" s="395">
        <v>205</v>
      </c>
      <c r="L940" s="397">
        <v>0.77070000000000005</v>
      </c>
      <c r="M940" s="395">
        <v>61</v>
      </c>
      <c r="N940" s="395">
        <v>365</v>
      </c>
      <c r="O940" s="395">
        <v>744</v>
      </c>
      <c r="P940" s="395">
        <v>0.82</v>
      </c>
      <c r="Q940" s="395">
        <v>-908</v>
      </c>
      <c r="R940" s="396">
        <v>4385</v>
      </c>
      <c r="S940" s="396">
        <v>-4148</v>
      </c>
      <c r="T940" s="396">
        <v>142796</v>
      </c>
      <c r="U940" s="396">
        <v>-52137</v>
      </c>
      <c r="V940" s="395">
        <v>1989.35</v>
      </c>
      <c r="W940" s="395">
        <v>1456.5</v>
      </c>
      <c r="X940" s="395">
        <v>77490</v>
      </c>
      <c r="Y940" s="395">
        <v>3780.1</v>
      </c>
      <c r="Z940" s="396">
        <v>-18689080</v>
      </c>
      <c r="AA940" s="396">
        <v>97034</v>
      </c>
      <c r="AB940" s="396">
        <v>-16003984</v>
      </c>
      <c r="AC940" s="396">
        <v>10207916</v>
      </c>
    </row>
    <row r="941" spans="1:29">
      <c r="A941">
        <v>2816</v>
      </c>
      <c r="B941" s="395" t="s">
        <v>7196</v>
      </c>
      <c r="C941" s="395"/>
      <c r="D941" s="396">
        <v>96859</v>
      </c>
      <c r="E941" s="396">
        <v>118861</v>
      </c>
      <c r="F941" s="395">
        <v>5.4</v>
      </c>
      <c r="G941" s="396">
        <v>-22002</v>
      </c>
      <c r="H941" s="396">
        <v>17786</v>
      </c>
      <c r="I941" s="396">
        <v>1650506</v>
      </c>
      <c r="J941" s="395">
        <v>216</v>
      </c>
      <c r="K941" s="395">
        <v>181</v>
      </c>
      <c r="L941" s="397">
        <v>0.83799999999999997</v>
      </c>
      <c r="M941" s="395">
        <v>35</v>
      </c>
      <c r="N941" s="395">
        <v>448</v>
      </c>
      <c r="O941" s="395">
        <v>657</v>
      </c>
      <c r="P941" s="395">
        <v>1.04</v>
      </c>
      <c r="Q941" s="395">
        <v>-629</v>
      </c>
      <c r="R941" s="396">
        <v>1271</v>
      </c>
      <c r="S941" s="396">
        <v>-1730</v>
      </c>
      <c r="T941" s="396">
        <v>132686</v>
      </c>
      <c r="U941" s="396">
        <v>-39966</v>
      </c>
      <c r="V941" s="395">
        <v>10209.709999999999</v>
      </c>
      <c r="W941" s="395">
        <v>10958.37</v>
      </c>
      <c r="X941" s="395">
        <v>77490</v>
      </c>
      <c r="Y941" s="395">
        <v>6338.09</v>
      </c>
      <c r="Z941" s="396">
        <v>-3675238</v>
      </c>
      <c r="AA941" s="396">
        <v>96859</v>
      </c>
      <c r="AB941" s="396">
        <v>-3071473</v>
      </c>
      <c r="AC941" s="396">
        <v>10207916</v>
      </c>
    </row>
    <row r="942" spans="1:29">
      <c r="A942">
        <v>5315</v>
      </c>
      <c r="B942" s="395" t="s">
        <v>7805</v>
      </c>
      <c r="C942" s="395"/>
      <c r="D942" s="396">
        <v>96837</v>
      </c>
      <c r="E942" s="396">
        <v>136936</v>
      </c>
      <c r="F942" s="395">
        <v>3.41</v>
      </c>
      <c r="G942" s="396">
        <v>-40099</v>
      </c>
      <c r="H942" s="396">
        <v>17071</v>
      </c>
      <c r="I942" s="396">
        <v>864679</v>
      </c>
      <c r="J942" s="395">
        <v>239</v>
      </c>
      <c r="K942" s="395">
        <v>200</v>
      </c>
      <c r="L942" s="397">
        <v>0.83679999999999999</v>
      </c>
      <c r="M942" s="395">
        <v>39</v>
      </c>
      <c r="N942" s="395">
        <v>405</v>
      </c>
      <c r="O942" s="395">
        <v>685</v>
      </c>
      <c r="P942" s="395">
        <v>0.67</v>
      </c>
      <c r="Q942" s="396">
        <v>-1028</v>
      </c>
      <c r="R942" s="396">
        <v>2479</v>
      </c>
      <c r="S942" s="396">
        <v>-3074</v>
      </c>
      <c r="T942" s="396">
        <v>127508</v>
      </c>
      <c r="U942" s="396">
        <v>-82561</v>
      </c>
      <c r="V942" s="395">
        <v>3860.74</v>
      </c>
      <c r="W942" s="395">
        <v>3077.39</v>
      </c>
      <c r="X942" s="395">
        <v>77490</v>
      </c>
      <c r="Y942" s="395">
        <v>7877.95</v>
      </c>
      <c r="Z942" s="396">
        <v>-937436</v>
      </c>
      <c r="AA942" s="396">
        <v>96837</v>
      </c>
      <c r="AB942" s="396">
        <v>7359219</v>
      </c>
      <c r="AC942" s="396">
        <v>10207916</v>
      </c>
    </row>
    <row r="943" spans="1:29">
      <c r="A943">
        <v>9907</v>
      </c>
      <c r="B943" s="395" t="s">
        <v>8396</v>
      </c>
      <c r="C943" s="395"/>
      <c r="D943" s="396">
        <v>96805</v>
      </c>
      <c r="E943" s="396">
        <v>112261</v>
      </c>
      <c r="F943" s="395">
        <v>7.26</v>
      </c>
      <c r="G943" s="396">
        <v>-15456</v>
      </c>
      <c r="H943" s="396">
        <v>14405</v>
      </c>
      <c r="I943" s="396">
        <v>1305199</v>
      </c>
      <c r="J943" s="395">
        <v>262</v>
      </c>
      <c r="K943" s="395">
        <v>229</v>
      </c>
      <c r="L943" s="397">
        <v>0.874</v>
      </c>
      <c r="M943" s="395">
        <v>33</v>
      </c>
      <c r="N943" s="395">
        <v>369</v>
      </c>
      <c r="O943" s="395">
        <v>490</v>
      </c>
      <c r="P943" s="395">
        <v>1.05</v>
      </c>
      <c r="Q943" s="395">
        <v>-468</v>
      </c>
      <c r="R943" s="396">
        <v>1346</v>
      </c>
      <c r="S943" s="396">
        <v>-1756</v>
      </c>
      <c r="T943" s="396">
        <v>129870</v>
      </c>
      <c r="U943" s="396">
        <v>-68364</v>
      </c>
      <c r="V943" s="395">
        <v>6281.12</v>
      </c>
      <c r="W943" s="395">
        <v>4733.25</v>
      </c>
      <c r="X943" s="395">
        <v>77490</v>
      </c>
      <c r="Y943" s="395">
        <v>17022.419999999998</v>
      </c>
      <c r="Z943" s="396">
        <v>7430451</v>
      </c>
      <c r="AA943" s="396">
        <v>96805</v>
      </c>
      <c r="AB943" s="396">
        <v>19975781</v>
      </c>
      <c r="AC943" s="396">
        <v>10207916</v>
      </c>
    </row>
    <row r="944" spans="1:29">
      <c r="A944">
        <v>2906</v>
      </c>
      <c r="B944" s="395" t="s">
        <v>7228</v>
      </c>
      <c r="C944" s="395"/>
      <c r="D944" s="396">
        <v>96605</v>
      </c>
      <c r="E944" s="396">
        <v>103288</v>
      </c>
      <c r="F944" s="395">
        <v>15.46</v>
      </c>
      <c r="G944" s="396">
        <v>-6683</v>
      </c>
      <c r="H944" s="396">
        <v>14945</v>
      </c>
      <c r="I944" s="396">
        <v>766909</v>
      </c>
      <c r="J944" s="395">
        <v>229</v>
      </c>
      <c r="K944" s="395">
        <v>216</v>
      </c>
      <c r="L944" s="397">
        <v>0.94320000000000004</v>
      </c>
      <c r="M944" s="395">
        <v>13</v>
      </c>
      <c r="N944" s="395">
        <v>422</v>
      </c>
      <c r="O944" s="395">
        <v>478</v>
      </c>
      <c r="P944" s="395">
        <v>0.93</v>
      </c>
      <c r="Q944" s="395">
        <v>-514</v>
      </c>
      <c r="R944" s="396">
        <v>2842</v>
      </c>
      <c r="S944" s="396">
        <v>-1517</v>
      </c>
      <c r="T944" s="396">
        <v>101823</v>
      </c>
      <c r="U944" s="396">
        <v>-31419</v>
      </c>
      <c r="V944" s="395">
        <v>3689.3</v>
      </c>
      <c r="W944" s="395">
        <v>3669.58</v>
      </c>
      <c r="X944" s="395">
        <v>77490</v>
      </c>
      <c r="Y944" s="395">
        <v>4016.92</v>
      </c>
      <c r="Z944" s="396">
        <v>29094409</v>
      </c>
      <c r="AA944" s="396">
        <v>96605</v>
      </c>
      <c r="AB944" s="396">
        <v>40145994</v>
      </c>
      <c r="AC944" s="396">
        <v>10207916</v>
      </c>
    </row>
    <row r="945" spans="1:29">
      <c r="A945">
        <v>3630</v>
      </c>
      <c r="B945" s="395" t="s">
        <v>7509</v>
      </c>
      <c r="C945" s="395"/>
      <c r="D945" s="396">
        <v>96549</v>
      </c>
      <c r="E945" s="396">
        <v>422052</v>
      </c>
      <c r="F945" s="395">
        <v>1.3</v>
      </c>
      <c r="G945" s="396">
        <v>-325503</v>
      </c>
      <c r="H945" s="396">
        <v>46901</v>
      </c>
      <c r="I945" s="396">
        <v>2467508</v>
      </c>
      <c r="J945" s="395">
        <v>258</v>
      </c>
      <c r="K945" s="395">
        <v>175</v>
      </c>
      <c r="L945" s="397">
        <v>0.67830000000000001</v>
      </c>
      <c r="M945" s="395">
        <v>83</v>
      </c>
      <c r="N945" s="395">
        <v>374</v>
      </c>
      <c r="O945" s="396">
        <v>2412</v>
      </c>
      <c r="P945" s="395">
        <v>0.61</v>
      </c>
      <c r="Q945" s="396">
        <v>-3922</v>
      </c>
      <c r="R945" s="396">
        <v>12119</v>
      </c>
      <c r="S945" s="396">
        <v>-12931</v>
      </c>
      <c r="T945" s="396">
        <v>572443</v>
      </c>
      <c r="U945" s="396">
        <v>-362176</v>
      </c>
      <c r="V945" s="395">
        <v>4165.8</v>
      </c>
      <c r="W945" s="395">
        <v>2643.58</v>
      </c>
      <c r="X945" s="395">
        <v>77490</v>
      </c>
      <c r="Y945" s="395">
        <v>7375.29</v>
      </c>
      <c r="Z945" s="396">
        <v>-19928296</v>
      </c>
      <c r="AA945" s="396">
        <v>96549</v>
      </c>
      <c r="AB945" s="396">
        <v>-18983716</v>
      </c>
      <c r="AC945" s="396">
        <v>10207916</v>
      </c>
    </row>
    <row r="946" spans="1:29">
      <c r="A946">
        <v>9955</v>
      </c>
      <c r="B946" s="395" t="s">
        <v>8429</v>
      </c>
      <c r="C946" s="395"/>
      <c r="D946" s="396">
        <v>96241</v>
      </c>
      <c r="E946" s="396">
        <v>139729</v>
      </c>
      <c r="F946" s="395">
        <v>3.21</v>
      </c>
      <c r="G946" s="396">
        <v>-43488</v>
      </c>
      <c r="H946" s="396">
        <v>17309</v>
      </c>
      <c r="I946" s="396">
        <v>1136035</v>
      </c>
      <c r="J946" s="395">
        <v>228</v>
      </c>
      <c r="K946" s="395">
        <v>149</v>
      </c>
      <c r="L946" s="397">
        <v>0.65349999999999997</v>
      </c>
      <c r="M946" s="395">
        <v>79</v>
      </c>
      <c r="N946" s="395">
        <v>422</v>
      </c>
      <c r="O946" s="395">
        <v>938</v>
      </c>
      <c r="P946" s="395">
        <v>1.71</v>
      </c>
      <c r="Q946" s="395">
        <v>-550</v>
      </c>
      <c r="R946" s="396">
        <v>3048</v>
      </c>
      <c r="S946" s="396">
        <v>-3587</v>
      </c>
      <c r="T946" s="396">
        <v>144111</v>
      </c>
      <c r="U946" s="396">
        <v>-85172</v>
      </c>
      <c r="V946" s="395">
        <v>6129.18</v>
      </c>
      <c r="W946" s="395">
        <v>4099.37</v>
      </c>
      <c r="X946" s="395">
        <v>77490</v>
      </c>
      <c r="Y946" s="395">
        <v>9957.5400000000009</v>
      </c>
      <c r="Z946" s="396">
        <v>-16071462</v>
      </c>
      <c r="AA946" s="396">
        <v>96241</v>
      </c>
      <c r="AB946" s="396">
        <v>12904040</v>
      </c>
      <c r="AC946" s="396">
        <v>10207916</v>
      </c>
    </row>
    <row r="947" spans="1:29">
      <c r="A947">
        <v>3441</v>
      </c>
      <c r="B947" s="395" t="s">
        <v>7425</v>
      </c>
      <c r="C947" s="395"/>
      <c r="D947" s="396">
        <v>96237</v>
      </c>
      <c r="E947" s="396">
        <v>257618</v>
      </c>
      <c r="F947" s="395">
        <v>1.6</v>
      </c>
      <c r="G947" s="396">
        <v>-161382</v>
      </c>
      <c r="H947" s="396">
        <v>35996</v>
      </c>
      <c r="I947" s="396">
        <v>931405</v>
      </c>
      <c r="J947" s="395">
        <v>241</v>
      </c>
      <c r="K947" s="395">
        <v>180</v>
      </c>
      <c r="L947" s="397">
        <v>0.74690000000000001</v>
      </c>
      <c r="M947" s="395">
        <v>61</v>
      </c>
      <c r="N947" s="395">
        <v>399</v>
      </c>
      <c r="O947" s="396">
        <v>1431</v>
      </c>
      <c r="P947" s="395">
        <v>0.54</v>
      </c>
      <c r="Q947" s="396">
        <v>-2646</v>
      </c>
      <c r="R947" s="396">
        <v>6269</v>
      </c>
      <c r="S947" s="396">
        <v>-7795</v>
      </c>
      <c r="T947" s="396">
        <v>254001</v>
      </c>
      <c r="U947" s="396">
        <v>-145227</v>
      </c>
      <c r="V947" s="395">
        <v>1685.71</v>
      </c>
      <c r="W947" s="395">
        <v>896.1</v>
      </c>
      <c r="X947" s="395">
        <v>77490</v>
      </c>
      <c r="Y947" s="395">
        <v>4015.7</v>
      </c>
      <c r="Z947" s="396">
        <v>-973889</v>
      </c>
      <c r="AA947" s="396">
        <v>96237</v>
      </c>
      <c r="AB947" s="396">
        <v>9150698</v>
      </c>
      <c r="AC947" s="396">
        <v>10207916</v>
      </c>
    </row>
    <row r="948" spans="1:29">
      <c r="A948">
        <v>1713</v>
      </c>
      <c r="B948" s="395" t="s">
        <v>6854</v>
      </c>
      <c r="C948" s="395"/>
      <c r="D948" s="396">
        <v>95885</v>
      </c>
      <c r="E948" s="396">
        <v>128459</v>
      </c>
      <c r="F948" s="395">
        <v>3.94</v>
      </c>
      <c r="G948" s="396">
        <v>-32573</v>
      </c>
      <c r="H948" s="396">
        <v>21371</v>
      </c>
      <c r="I948" s="396">
        <v>822462</v>
      </c>
      <c r="J948" s="395">
        <v>231</v>
      </c>
      <c r="K948" s="395">
        <v>168</v>
      </c>
      <c r="L948" s="397">
        <v>0.72729999999999995</v>
      </c>
      <c r="M948" s="395">
        <v>63</v>
      </c>
      <c r="N948" s="395">
        <v>415</v>
      </c>
      <c r="O948" s="395">
        <v>765</v>
      </c>
      <c r="P948" s="395">
        <v>1.48</v>
      </c>
      <c r="Q948" s="395">
        <v>-517</v>
      </c>
      <c r="R948" s="396">
        <v>2613</v>
      </c>
      <c r="S948" s="396">
        <v>-2386</v>
      </c>
      <c r="T948" s="396">
        <v>142509</v>
      </c>
      <c r="U948" s="396">
        <v>-34539</v>
      </c>
      <c r="V948" s="395">
        <v>3789.95</v>
      </c>
      <c r="W948" s="395">
        <v>2692.36</v>
      </c>
      <c r="X948" s="395">
        <v>77490</v>
      </c>
      <c r="Y948" s="395">
        <v>6716.86</v>
      </c>
      <c r="Z948" s="396">
        <v>-2823822</v>
      </c>
      <c r="AA948" s="396">
        <v>95885</v>
      </c>
      <c r="AB948" s="396">
        <v>4523576</v>
      </c>
      <c r="AC948" s="396">
        <v>10207916</v>
      </c>
    </row>
    <row r="949" spans="1:29">
      <c r="A949">
        <v>4702</v>
      </c>
      <c r="B949" s="395" t="s">
        <v>7667</v>
      </c>
      <c r="C949" s="395"/>
      <c r="D949" s="396">
        <v>95794</v>
      </c>
      <c r="E949" s="396">
        <v>118338</v>
      </c>
      <c r="F949" s="395">
        <v>5.25</v>
      </c>
      <c r="G949" s="396">
        <v>-22544</v>
      </c>
      <c r="H949" s="396">
        <v>13806</v>
      </c>
      <c r="I949" s="396">
        <v>589336</v>
      </c>
      <c r="J949" s="395">
        <v>240</v>
      </c>
      <c r="K949" s="395">
        <v>207</v>
      </c>
      <c r="L949" s="397">
        <v>0.86250000000000004</v>
      </c>
      <c r="M949" s="395">
        <v>33</v>
      </c>
      <c r="N949" s="395">
        <v>399</v>
      </c>
      <c r="O949" s="395">
        <v>572</v>
      </c>
      <c r="P949" s="395">
        <v>0.84</v>
      </c>
      <c r="Q949" s="395">
        <v>-683</v>
      </c>
      <c r="R949" s="396">
        <v>2595</v>
      </c>
      <c r="S949" s="396">
        <v>-3216</v>
      </c>
      <c r="T949" s="396">
        <v>126674</v>
      </c>
      <c r="U949" s="396">
        <v>-53744</v>
      </c>
      <c r="V949" s="395">
        <v>2177.6799999999998</v>
      </c>
      <c r="W949" s="395">
        <v>1657.52</v>
      </c>
      <c r="X949" s="395">
        <v>77490</v>
      </c>
      <c r="Y949" s="395">
        <v>5440.52</v>
      </c>
      <c r="Z949" s="396">
        <v>49292433</v>
      </c>
      <c r="AA949" s="396">
        <v>95794</v>
      </c>
      <c r="AB949" s="396">
        <v>20536797</v>
      </c>
      <c r="AC949" s="396">
        <v>10207916</v>
      </c>
    </row>
    <row r="950" spans="1:29">
      <c r="A950">
        <v>6277</v>
      </c>
      <c r="B950" s="395" t="s">
        <v>8047</v>
      </c>
      <c r="C950" s="395"/>
      <c r="D950" s="396">
        <v>95525</v>
      </c>
      <c r="E950" s="396">
        <v>204752</v>
      </c>
      <c r="F950" s="395">
        <v>1.87</v>
      </c>
      <c r="G950" s="396">
        <v>-109227</v>
      </c>
      <c r="H950" s="396">
        <v>75943</v>
      </c>
      <c r="I950" s="396">
        <v>14190149</v>
      </c>
      <c r="J950" s="395">
        <v>224</v>
      </c>
      <c r="K950" s="395">
        <v>135</v>
      </c>
      <c r="L950" s="397">
        <v>0.60270000000000001</v>
      </c>
      <c r="M950" s="395">
        <v>89</v>
      </c>
      <c r="N950" s="395">
        <v>426</v>
      </c>
      <c r="O950" s="396">
        <v>1517</v>
      </c>
      <c r="P950" s="395">
        <v>1.24</v>
      </c>
      <c r="Q950" s="396">
        <v>-1227</v>
      </c>
      <c r="R950" s="396">
        <v>4986</v>
      </c>
      <c r="S950" s="396">
        <v>-5134</v>
      </c>
      <c r="T950" s="396">
        <v>480795</v>
      </c>
      <c r="U950" s="396">
        <v>-522014</v>
      </c>
      <c r="V950" s="395">
        <v>27055.67</v>
      </c>
      <c r="W950" s="395">
        <v>26565.84</v>
      </c>
      <c r="X950" s="395">
        <v>77490</v>
      </c>
      <c r="Y950" s="395">
        <v>27798.69</v>
      </c>
      <c r="Z950" s="396">
        <v>-1399838</v>
      </c>
      <c r="AA950" s="396">
        <v>95525</v>
      </c>
      <c r="AB950" s="396">
        <v>873823</v>
      </c>
      <c r="AC950" s="396">
        <v>10207916</v>
      </c>
    </row>
    <row r="951" spans="1:29">
      <c r="A951">
        <v>4190</v>
      </c>
      <c r="B951" s="395" t="s">
        <v>7597</v>
      </c>
      <c r="C951" s="395"/>
      <c r="D951" s="396">
        <v>94897</v>
      </c>
      <c r="E951" s="396">
        <v>572028</v>
      </c>
      <c r="F951" s="395">
        <v>1.2</v>
      </c>
      <c r="G951" s="396">
        <v>-477131</v>
      </c>
      <c r="H951" s="396">
        <v>72522</v>
      </c>
      <c r="I951" s="396">
        <v>4354830</v>
      </c>
      <c r="J951" s="395">
        <v>228</v>
      </c>
      <c r="K951" s="395">
        <v>137</v>
      </c>
      <c r="L951" s="397">
        <v>0.60089999999999999</v>
      </c>
      <c r="M951" s="395">
        <v>91</v>
      </c>
      <c r="N951" s="395">
        <v>416</v>
      </c>
      <c r="O951" s="396">
        <v>4175</v>
      </c>
      <c r="P951" s="395">
        <v>0.8</v>
      </c>
      <c r="Q951" s="396">
        <v>-5243</v>
      </c>
      <c r="R951" s="396">
        <v>13836</v>
      </c>
      <c r="S951" s="396">
        <v>-20329</v>
      </c>
      <c r="T951" s="396">
        <v>590229</v>
      </c>
      <c r="U951" s="396">
        <v>-425535</v>
      </c>
      <c r="V951" s="395">
        <v>7179.46</v>
      </c>
      <c r="W951" s="395">
        <v>4361.66</v>
      </c>
      <c r="X951" s="395">
        <v>77220</v>
      </c>
      <c r="Y951" s="395">
        <v>11421.63</v>
      </c>
      <c r="Z951" s="396">
        <v>-19436360</v>
      </c>
      <c r="AA951" s="396">
        <v>94897</v>
      </c>
      <c r="AB951" s="396">
        <v>-13370802</v>
      </c>
      <c r="AC951" s="396">
        <v>10207916</v>
      </c>
    </row>
    <row r="952" spans="1:29">
      <c r="A952">
        <v>8111</v>
      </c>
      <c r="B952" s="395" t="s">
        <v>8280</v>
      </c>
      <c r="C952" s="395"/>
      <c r="D952" s="396">
        <v>94658</v>
      </c>
      <c r="E952" s="396">
        <v>164643</v>
      </c>
      <c r="F952" s="395">
        <v>2.35</v>
      </c>
      <c r="G952" s="396">
        <v>-69985</v>
      </c>
      <c r="H952" s="396">
        <v>22389</v>
      </c>
      <c r="I952" s="396">
        <v>1038820</v>
      </c>
      <c r="J952" s="395">
        <v>261</v>
      </c>
      <c r="K952" s="395">
        <v>209</v>
      </c>
      <c r="L952" s="397">
        <v>0.80079999999999996</v>
      </c>
      <c r="M952" s="395">
        <v>52</v>
      </c>
      <c r="N952" s="395">
        <v>363</v>
      </c>
      <c r="O952" s="395">
        <v>788</v>
      </c>
      <c r="P952" s="395">
        <v>0.59</v>
      </c>
      <c r="Q952" s="396">
        <v>-1346</v>
      </c>
      <c r="R952" s="396">
        <v>3080</v>
      </c>
      <c r="S952" s="396">
        <v>-7060</v>
      </c>
      <c r="T952" s="396">
        <v>209874</v>
      </c>
      <c r="U952" s="396">
        <v>-141193</v>
      </c>
      <c r="V952" s="395">
        <v>3204.36</v>
      </c>
      <c r="W952" s="395">
        <v>2336.3200000000002</v>
      </c>
      <c r="X952" s="395">
        <v>77490</v>
      </c>
      <c r="Y952" s="395">
        <v>6693.25</v>
      </c>
      <c r="Z952" s="396">
        <v>-2250129</v>
      </c>
      <c r="AA952" s="396">
        <v>94658</v>
      </c>
      <c r="AB952" s="396">
        <v>23976714</v>
      </c>
      <c r="AC952" s="396">
        <v>10207916</v>
      </c>
    </row>
    <row r="953" spans="1:29">
      <c r="A953">
        <v>6674</v>
      </c>
      <c r="B953" s="395" t="s">
        <v>8180</v>
      </c>
      <c r="C953" s="395"/>
      <c r="D953" s="396">
        <v>94634</v>
      </c>
      <c r="E953" s="396">
        <v>177862</v>
      </c>
      <c r="F953" s="395">
        <v>2.14</v>
      </c>
      <c r="G953" s="396">
        <v>-83228</v>
      </c>
      <c r="H953" s="396">
        <v>22713</v>
      </c>
      <c r="I953" s="396">
        <v>906451</v>
      </c>
      <c r="J953" s="395">
        <v>181</v>
      </c>
      <c r="K953" s="395">
        <v>131</v>
      </c>
      <c r="L953" s="397">
        <v>0.7238</v>
      </c>
      <c r="M953" s="395">
        <v>50</v>
      </c>
      <c r="N953" s="395">
        <v>523</v>
      </c>
      <c r="O953" s="396">
        <v>1358</v>
      </c>
      <c r="P953" s="395">
        <v>0.82</v>
      </c>
      <c r="Q953" s="396">
        <v>-1665</v>
      </c>
      <c r="R953" s="396">
        <v>5443</v>
      </c>
      <c r="S953" s="396">
        <v>-9539</v>
      </c>
      <c r="T953" s="396">
        <v>149508</v>
      </c>
      <c r="U953" s="396">
        <v>-70069</v>
      </c>
      <c r="V953" s="395">
        <v>5297.88</v>
      </c>
      <c r="W953" s="395">
        <v>4521.04</v>
      </c>
      <c r="X953" s="395">
        <v>76950</v>
      </c>
      <c r="Y953" s="395">
        <v>7333.22</v>
      </c>
      <c r="Z953" s="396">
        <v>-21021676</v>
      </c>
      <c r="AA953" s="396">
        <v>94634</v>
      </c>
      <c r="AB953" s="396">
        <v>-3191784</v>
      </c>
      <c r="AC953" s="396">
        <v>10207916</v>
      </c>
    </row>
    <row r="954" spans="1:29">
      <c r="A954">
        <v>2832</v>
      </c>
      <c r="B954" s="395" t="s">
        <v>7198</v>
      </c>
      <c r="C954" s="395"/>
      <c r="D954" s="396">
        <v>94625</v>
      </c>
      <c r="E954" s="396">
        <v>106165</v>
      </c>
      <c r="F954" s="395">
        <v>9.1999999999999993</v>
      </c>
      <c r="G954" s="396">
        <v>-11540</v>
      </c>
      <c r="H954" s="396">
        <v>20099</v>
      </c>
      <c r="I954" s="396">
        <v>2547387</v>
      </c>
      <c r="J954" s="395">
        <v>240</v>
      </c>
      <c r="K954" s="395">
        <v>207</v>
      </c>
      <c r="L954" s="397">
        <v>0.86250000000000004</v>
      </c>
      <c r="M954" s="395">
        <v>33</v>
      </c>
      <c r="N954" s="395">
        <v>394</v>
      </c>
      <c r="O954" s="395">
        <v>513</v>
      </c>
      <c r="P954" s="395">
        <v>1.47</v>
      </c>
      <c r="Q954" s="395">
        <v>-350</v>
      </c>
      <c r="R954" s="396">
        <v>1469</v>
      </c>
      <c r="S954" s="396">
        <v>-2541</v>
      </c>
      <c r="T954" s="396">
        <v>117779</v>
      </c>
      <c r="U954" s="396">
        <v>-37310</v>
      </c>
      <c r="V954" s="395">
        <v>12654.33</v>
      </c>
      <c r="W954" s="395">
        <v>13274.39</v>
      </c>
      <c r="X954" s="395">
        <v>77490</v>
      </c>
      <c r="Y954" s="395">
        <v>8764.8799999999992</v>
      </c>
      <c r="Z954" s="396">
        <v>1029314</v>
      </c>
      <c r="AA954" s="396">
        <v>94625</v>
      </c>
      <c r="AB954" s="396">
        <v>1822709</v>
      </c>
      <c r="AC954" s="396">
        <v>10207916</v>
      </c>
    </row>
    <row r="955" spans="1:29">
      <c r="A955">
        <v>5281</v>
      </c>
      <c r="B955" s="395" t="s">
        <v>7789</v>
      </c>
      <c r="C955" s="395"/>
      <c r="D955" s="396">
        <v>94598</v>
      </c>
      <c r="E955" s="396">
        <v>117056</v>
      </c>
      <c r="F955" s="395">
        <v>5.21</v>
      </c>
      <c r="G955" s="396">
        <v>-22458</v>
      </c>
      <c r="H955" s="396">
        <v>13299</v>
      </c>
      <c r="I955" s="396">
        <v>690793</v>
      </c>
      <c r="J955" s="395">
        <v>140</v>
      </c>
      <c r="K955" s="395">
        <v>117</v>
      </c>
      <c r="L955" s="397">
        <v>0.8357</v>
      </c>
      <c r="M955" s="395">
        <v>23</v>
      </c>
      <c r="N955" s="395">
        <v>676</v>
      </c>
      <c r="O955" s="396">
        <v>1000</v>
      </c>
      <c r="P955" s="395">
        <v>1.02</v>
      </c>
      <c r="Q955" s="395">
        <v>-976</v>
      </c>
      <c r="R955" s="396">
        <v>2906</v>
      </c>
      <c r="S955" s="396">
        <v>-2805</v>
      </c>
      <c r="T955" s="396">
        <v>131708</v>
      </c>
      <c r="U955" s="396">
        <v>-46834</v>
      </c>
      <c r="V955" s="395">
        <v>3255.94</v>
      </c>
      <c r="W955" s="395">
        <v>2442.02</v>
      </c>
      <c r="X955" s="395">
        <v>76950</v>
      </c>
      <c r="Y955" s="395">
        <v>7396.3</v>
      </c>
      <c r="Z955" s="396">
        <v>617150</v>
      </c>
      <c r="AA955" s="396">
        <v>94598</v>
      </c>
      <c r="AB955" s="396">
        <v>-11996053</v>
      </c>
      <c r="AC955" s="396">
        <v>10207916</v>
      </c>
    </row>
    <row r="956" spans="1:29">
      <c r="A956">
        <v>6590</v>
      </c>
      <c r="B956" s="395" t="s">
        <v>8145</v>
      </c>
      <c r="C956" s="395"/>
      <c r="D956" s="396">
        <v>94379</v>
      </c>
      <c r="E956" s="396">
        <v>136911</v>
      </c>
      <c r="F956" s="395">
        <v>3.22</v>
      </c>
      <c r="G956" s="396">
        <v>-42532</v>
      </c>
      <c r="H956" s="396">
        <v>9451</v>
      </c>
      <c r="I956" s="396">
        <v>1394657</v>
      </c>
      <c r="J956" s="395">
        <v>36</v>
      </c>
      <c r="K956" s="395">
        <v>28</v>
      </c>
      <c r="L956" s="397">
        <v>0.77780000000000005</v>
      </c>
      <c r="M956" s="395">
        <v>8</v>
      </c>
      <c r="N956" s="396">
        <v>2622</v>
      </c>
      <c r="O956" s="396">
        <v>4890</v>
      </c>
      <c r="P956" s="395">
        <v>0.92</v>
      </c>
      <c r="Q956" s="396">
        <v>-5316</v>
      </c>
      <c r="R956" s="396">
        <v>12950</v>
      </c>
      <c r="S956" s="396">
        <v>-19306</v>
      </c>
      <c r="T956" s="396">
        <v>293251</v>
      </c>
      <c r="U956" s="396">
        <v>-226498</v>
      </c>
      <c r="V956" s="395">
        <v>24506.83</v>
      </c>
      <c r="W956" s="395">
        <v>23544.43</v>
      </c>
      <c r="X956" s="395">
        <v>76140</v>
      </c>
      <c r="Y956" s="395">
        <v>27875.25</v>
      </c>
      <c r="Z956" s="396">
        <v>-5028799</v>
      </c>
      <c r="AA956" s="396">
        <v>94379</v>
      </c>
      <c r="AB956" s="396">
        <v>20612407</v>
      </c>
      <c r="AC956" s="396">
        <v>10207916</v>
      </c>
    </row>
    <row r="957" spans="1:29">
      <c r="A957">
        <v>6186</v>
      </c>
      <c r="B957" s="395" t="s">
        <v>7975</v>
      </c>
      <c r="C957" s="395"/>
      <c r="D957" s="396">
        <v>94370</v>
      </c>
      <c r="E957" s="396">
        <v>121137</v>
      </c>
      <c r="F957" s="395">
        <v>4.53</v>
      </c>
      <c r="G957" s="396">
        <v>-26767</v>
      </c>
      <c r="H957" s="396">
        <v>25598</v>
      </c>
      <c r="I957" s="396">
        <v>2110651</v>
      </c>
      <c r="J957" s="395">
        <v>226</v>
      </c>
      <c r="K957" s="395">
        <v>183</v>
      </c>
      <c r="L957" s="397">
        <v>0.80969999999999998</v>
      </c>
      <c r="M957" s="395">
        <v>43</v>
      </c>
      <c r="N957" s="395">
        <v>418</v>
      </c>
      <c r="O957" s="395">
        <v>662</v>
      </c>
      <c r="P957" s="395">
        <v>1.06</v>
      </c>
      <c r="Q957" s="395">
        <v>-622</v>
      </c>
      <c r="R957" s="396">
        <v>2692</v>
      </c>
      <c r="S957" s="396">
        <v>-1417</v>
      </c>
      <c r="T957" s="396">
        <v>109331</v>
      </c>
      <c r="U957" s="396">
        <v>-79139</v>
      </c>
      <c r="V957" s="395">
        <v>7984.88</v>
      </c>
      <c r="W957" s="395">
        <v>4948.3500000000004</v>
      </c>
      <c r="X957" s="395">
        <v>77490</v>
      </c>
      <c r="Y957" s="395">
        <v>20907.77</v>
      </c>
      <c r="Z957" s="396">
        <v>-1108686</v>
      </c>
      <c r="AA957" s="396">
        <v>94370</v>
      </c>
      <c r="AB957" s="396">
        <v>-112319</v>
      </c>
      <c r="AC957" s="396">
        <v>10207916</v>
      </c>
    </row>
    <row r="958" spans="1:29">
      <c r="A958">
        <v>1451</v>
      </c>
      <c r="B958" s="395" t="s">
        <v>6760</v>
      </c>
      <c r="C958" s="395"/>
      <c r="D958" s="396">
        <v>94183</v>
      </c>
      <c r="E958" s="396">
        <v>126568</v>
      </c>
      <c r="F958" s="395">
        <v>3.91</v>
      </c>
      <c r="G958" s="396">
        <v>-32385</v>
      </c>
      <c r="H958" s="396">
        <v>18570</v>
      </c>
      <c r="I958" s="396">
        <v>744507</v>
      </c>
      <c r="J958" s="395">
        <v>229</v>
      </c>
      <c r="K958" s="395">
        <v>183</v>
      </c>
      <c r="L958" s="397">
        <v>0.79910000000000003</v>
      </c>
      <c r="M958" s="395">
        <v>46</v>
      </c>
      <c r="N958" s="395">
        <v>411</v>
      </c>
      <c r="O958" s="395">
        <v>692</v>
      </c>
      <c r="P958" s="395">
        <v>0.98</v>
      </c>
      <c r="Q958" s="395">
        <v>-704</v>
      </c>
      <c r="R958" s="396">
        <v>2467</v>
      </c>
      <c r="S958" s="396">
        <v>-3888</v>
      </c>
      <c r="T958" s="396">
        <v>127892</v>
      </c>
      <c r="U958" s="396">
        <v>-36831</v>
      </c>
      <c r="V958" s="395">
        <v>3961.11</v>
      </c>
      <c r="W958" s="395">
        <v>3436.92</v>
      </c>
      <c r="X958" s="395">
        <v>77490</v>
      </c>
      <c r="Y958" s="395">
        <v>6046.48</v>
      </c>
      <c r="Z958" s="396">
        <v>-8655592</v>
      </c>
      <c r="AA958" s="396">
        <v>94183</v>
      </c>
      <c r="AB958" s="396">
        <v>7784812</v>
      </c>
      <c r="AC958" s="396">
        <v>10207916</v>
      </c>
    </row>
    <row r="959" spans="1:29">
      <c r="A959">
        <v>3576</v>
      </c>
      <c r="B959" s="395" t="s">
        <v>7484</v>
      </c>
      <c r="C959" s="395"/>
      <c r="D959" s="396">
        <v>93706</v>
      </c>
      <c r="E959" s="396">
        <v>123281</v>
      </c>
      <c r="F959" s="395">
        <v>4.17</v>
      </c>
      <c r="G959" s="396">
        <v>-29575</v>
      </c>
      <c r="H959" s="396">
        <v>16102</v>
      </c>
      <c r="I959" s="396">
        <v>661141</v>
      </c>
      <c r="J959" s="395">
        <v>223</v>
      </c>
      <c r="K959" s="395">
        <v>174</v>
      </c>
      <c r="L959" s="397">
        <v>0.78029999999999999</v>
      </c>
      <c r="M959" s="395">
        <v>49</v>
      </c>
      <c r="N959" s="395">
        <v>420</v>
      </c>
      <c r="O959" s="395">
        <v>709</v>
      </c>
      <c r="P959" s="395">
        <v>1.17</v>
      </c>
      <c r="Q959" s="395">
        <v>-604</v>
      </c>
      <c r="R959" s="396">
        <v>2613</v>
      </c>
      <c r="S959" s="396">
        <v>-2948</v>
      </c>
      <c r="T959" s="396">
        <v>113033</v>
      </c>
      <c r="U959" s="396">
        <v>-38725</v>
      </c>
      <c r="V959" s="395">
        <v>2793.36</v>
      </c>
      <c r="W959" s="395">
        <v>1795.28</v>
      </c>
      <c r="X959" s="395">
        <v>75600</v>
      </c>
      <c r="Y959" s="395">
        <v>6337.55</v>
      </c>
      <c r="Z959" s="396">
        <v>-10632073</v>
      </c>
      <c r="AA959" s="396">
        <v>93706</v>
      </c>
      <c r="AB959" s="396">
        <v>-6112182</v>
      </c>
      <c r="AC959" s="396">
        <v>10207916</v>
      </c>
    </row>
    <row r="960" spans="1:29">
      <c r="A960">
        <v>2064</v>
      </c>
      <c r="B960" s="395" t="s">
        <v>6936</v>
      </c>
      <c r="C960" s="395"/>
      <c r="D960" s="396">
        <v>93684</v>
      </c>
      <c r="E960" s="396">
        <v>108894</v>
      </c>
      <c r="F960" s="395">
        <v>7.16</v>
      </c>
      <c r="G960" s="396">
        <v>-15210</v>
      </c>
      <c r="H960" s="396">
        <v>13353</v>
      </c>
      <c r="I960" s="396">
        <v>442479</v>
      </c>
      <c r="J960" s="395">
        <v>180</v>
      </c>
      <c r="K960" s="395">
        <v>147</v>
      </c>
      <c r="L960" s="397">
        <v>0.81669999999999998</v>
      </c>
      <c r="M960" s="395">
        <v>33</v>
      </c>
      <c r="N960" s="395">
        <v>520</v>
      </c>
      <c r="O960" s="395">
        <v>741</v>
      </c>
      <c r="P960" s="395">
        <v>1.61</v>
      </c>
      <c r="Q960" s="395">
        <v>-461</v>
      </c>
      <c r="R960" s="396">
        <v>2487</v>
      </c>
      <c r="S960" s="396">
        <v>-3545</v>
      </c>
      <c r="T960" s="396">
        <v>101430</v>
      </c>
      <c r="U960" s="396">
        <v>-36594</v>
      </c>
      <c r="V960" s="395">
        <v>3345.87</v>
      </c>
      <c r="W960" s="395">
        <v>2886.31</v>
      </c>
      <c r="X960" s="395">
        <v>77220</v>
      </c>
      <c r="Y960" s="395">
        <v>5392.97</v>
      </c>
      <c r="Z960" s="396">
        <v>4312355</v>
      </c>
      <c r="AA960" s="396">
        <v>93684</v>
      </c>
      <c r="AB960" s="396">
        <v>49948414</v>
      </c>
      <c r="AC960" s="396">
        <v>10207916</v>
      </c>
    </row>
    <row r="961" spans="1:29">
      <c r="A961">
        <v>6207</v>
      </c>
      <c r="B961" s="395" t="s">
        <v>7994</v>
      </c>
      <c r="C961" s="395"/>
      <c r="D961" s="396">
        <v>93443</v>
      </c>
      <c r="E961" s="396">
        <v>246268</v>
      </c>
      <c r="F961" s="395">
        <v>1.61</v>
      </c>
      <c r="G961" s="396">
        <v>-152826</v>
      </c>
      <c r="H961" s="396">
        <v>30709</v>
      </c>
      <c r="I961" s="396">
        <v>1844066</v>
      </c>
      <c r="J961" s="395">
        <v>238</v>
      </c>
      <c r="K961" s="395">
        <v>177</v>
      </c>
      <c r="L961" s="397">
        <v>0.74370000000000003</v>
      </c>
      <c r="M961" s="395">
        <v>61</v>
      </c>
      <c r="N961" s="395">
        <v>393</v>
      </c>
      <c r="O961" s="396">
        <v>1391</v>
      </c>
      <c r="P961" s="395">
        <v>0.56000000000000005</v>
      </c>
      <c r="Q961" s="396">
        <v>-2505</v>
      </c>
      <c r="R961" s="396">
        <v>3820</v>
      </c>
      <c r="S961" s="396">
        <v>-7500</v>
      </c>
      <c r="T961" s="396">
        <v>246268</v>
      </c>
      <c r="U961" s="396">
        <v>-127956</v>
      </c>
      <c r="V961" s="395">
        <v>4720.75</v>
      </c>
      <c r="W961" s="395">
        <v>3552.93</v>
      </c>
      <c r="X961" s="395">
        <v>77490</v>
      </c>
      <c r="Y961" s="395">
        <v>8109.34</v>
      </c>
      <c r="Z961" s="396">
        <v>1618664</v>
      </c>
      <c r="AA961" s="396">
        <v>93443</v>
      </c>
      <c r="AB961" s="396">
        <v>12082025</v>
      </c>
      <c r="AC961" s="396">
        <v>10207916</v>
      </c>
    </row>
    <row r="962" spans="1:29">
      <c r="A962">
        <v>3466</v>
      </c>
      <c r="B962" s="395" t="s">
        <v>7432</v>
      </c>
      <c r="C962" s="395"/>
      <c r="D962" s="396">
        <v>92950</v>
      </c>
      <c r="E962" s="396">
        <v>112836</v>
      </c>
      <c r="F962" s="395">
        <v>5.67</v>
      </c>
      <c r="G962" s="396">
        <v>-19886</v>
      </c>
      <c r="H962" s="396">
        <v>13500</v>
      </c>
      <c r="I962" s="396">
        <v>303431</v>
      </c>
      <c r="J962" s="395">
        <v>219</v>
      </c>
      <c r="K962" s="395">
        <v>184</v>
      </c>
      <c r="L962" s="397">
        <v>0.84019999999999995</v>
      </c>
      <c r="M962" s="395">
        <v>35</v>
      </c>
      <c r="N962" s="395">
        <v>424</v>
      </c>
      <c r="O962" s="395">
        <v>613</v>
      </c>
      <c r="P962" s="395">
        <v>1.08</v>
      </c>
      <c r="Q962" s="395">
        <v>-568</v>
      </c>
      <c r="R962" s="396">
        <v>2205</v>
      </c>
      <c r="S962" s="396">
        <v>-2505</v>
      </c>
      <c r="T962" s="396">
        <v>104204</v>
      </c>
      <c r="U962" s="396">
        <v>-27404</v>
      </c>
      <c r="V962" s="395">
        <v>1926.11</v>
      </c>
      <c r="W962" s="395">
        <v>1739.64</v>
      </c>
      <c r="X962" s="395">
        <v>77490</v>
      </c>
      <c r="Y962" s="395">
        <v>2906.37</v>
      </c>
      <c r="Z962" s="396">
        <v>16457685</v>
      </c>
      <c r="AA962" s="396">
        <v>92950</v>
      </c>
      <c r="AB962" s="396">
        <v>12970260</v>
      </c>
      <c r="AC962" s="396">
        <v>10207916</v>
      </c>
    </row>
    <row r="963" spans="1:29">
      <c r="A963">
        <v>6112</v>
      </c>
      <c r="B963" s="395" t="s">
        <v>7914</v>
      </c>
      <c r="C963" s="395"/>
      <c r="D963" s="396">
        <v>92941</v>
      </c>
      <c r="E963" s="396">
        <v>146144</v>
      </c>
      <c r="F963" s="395">
        <v>2.75</v>
      </c>
      <c r="G963" s="396">
        <v>-53203</v>
      </c>
      <c r="H963" s="396">
        <v>40979</v>
      </c>
      <c r="I963" s="396">
        <v>5129262</v>
      </c>
      <c r="J963" s="395">
        <v>249</v>
      </c>
      <c r="K963" s="395">
        <v>154</v>
      </c>
      <c r="L963" s="397">
        <v>0.61850000000000005</v>
      </c>
      <c r="M963" s="395">
        <v>95</v>
      </c>
      <c r="N963" s="395">
        <v>373</v>
      </c>
      <c r="O963" s="395">
        <v>949</v>
      </c>
      <c r="P963" s="395">
        <v>1.69</v>
      </c>
      <c r="Q963" s="395">
        <v>-560</v>
      </c>
      <c r="R963" s="396">
        <v>4185</v>
      </c>
      <c r="S963" s="396">
        <v>-2779</v>
      </c>
      <c r="T963" s="396">
        <v>286727</v>
      </c>
      <c r="U963" s="396">
        <v>-182712</v>
      </c>
      <c r="V963" s="395">
        <v>15187.16</v>
      </c>
      <c r="W963" s="395">
        <v>12195.19</v>
      </c>
      <c r="X963" s="395">
        <v>77490</v>
      </c>
      <c r="Y963" s="395">
        <v>20037.310000000001</v>
      </c>
      <c r="Z963" s="396">
        <v>-4641111</v>
      </c>
      <c r="AA963" s="396">
        <v>92941</v>
      </c>
      <c r="AB963" s="396">
        <v>-3035461</v>
      </c>
      <c r="AC963" s="396">
        <v>10207916</v>
      </c>
    </row>
    <row r="964" spans="1:29">
      <c r="A964">
        <v>2820</v>
      </c>
      <c r="B964" s="395" t="s">
        <v>7197</v>
      </c>
      <c r="C964" s="395"/>
      <c r="D964" s="396">
        <v>92883</v>
      </c>
      <c r="E964" s="396">
        <v>100875</v>
      </c>
      <c r="F964" s="395">
        <v>12.62</v>
      </c>
      <c r="G964" s="396">
        <v>-7992</v>
      </c>
      <c r="H964" s="396">
        <v>18314</v>
      </c>
      <c r="I964" s="396">
        <v>1041330</v>
      </c>
      <c r="J964" s="395">
        <v>277</v>
      </c>
      <c r="K964" s="395">
        <v>245</v>
      </c>
      <c r="L964" s="397">
        <v>0.88449999999999995</v>
      </c>
      <c r="M964" s="395">
        <v>32</v>
      </c>
      <c r="N964" s="395">
        <v>335</v>
      </c>
      <c r="O964" s="395">
        <v>412</v>
      </c>
      <c r="P964" s="395">
        <v>1.65</v>
      </c>
      <c r="Q964" s="395">
        <v>-250</v>
      </c>
      <c r="R964" s="395">
        <v>966</v>
      </c>
      <c r="S964" s="395">
        <v>-720</v>
      </c>
      <c r="T964" s="396">
        <v>103625</v>
      </c>
      <c r="U964" s="396">
        <v>-18732</v>
      </c>
      <c r="V964" s="395">
        <v>5904.09</v>
      </c>
      <c r="W964" s="395">
        <v>5830.4</v>
      </c>
      <c r="X964" s="395">
        <v>77490</v>
      </c>
      <c r="Y964" s="395">
        <v>6468.22</v>
      </c>
      <c r="Z964" s="396">
        <v>5165649</v>
      </c>
      <c r="AA964" s="396">
        <v>92883</v>
      </c>
      <c r="AB964" s="396">
        <v>10738260</v>
      </c>
      <c r="AC964" s="396">
        <v>10207916</v>
      </c>
    </row>
    <row r="965" spans="1:29">
      <c r="A965">
        <v>4807</v>
      </c>
      <c r="B965" s="395" t="s">
        <v>7700</v>
      </c>
      <c r="C965" s="395"/>
      <c r="D965" s="396">
        <v>92820</v>
      </c>
      <c r="E965" s="396">
        <v>116239</v>
      </c>
      <c r="F965" s="395">
        <v>4.96</v>
      </c>
      <c r="G965" s="396">
        <v>-23419</v>
      </c>
      <c r="H965" s="396">
        <v>19443</v>
      </c>
      <c r="I965" s="396">
        <v>550200</v>
      </c>
      <c r="J965" s="395">
        <v>183</v>
      </c>
      <c r="K965" s="395">
        <v>134</v>
      </c>
      <c r="L965" s="397">
        <v>0.73219999999999996</v>
      </c>
      <c r="M965" s="395">
        <v>48</v>
      </c>
      <c r="N965" s="395">
        <v>507</v>
      </c>
      <c r="O965" s="395">
        <v>867</v>
      </c>
      <c r="P965" s="395">
        <v>1.78</v>
      </c>
      <c r="Q965" s="395">
        <v>-488</v>
      </c>
      <c r="R965" s="396">
        <v>2551</v>
      </c>
      <c r="S965" s="396">
        <v>-2012</v>
      </c>
      <c r="T965" s="396">
        <v>135771</v>
      </c>
      <c r="U965" s="396">
        <v>-36869</v>
      </c>
      <c r="V965" s="395">
        <v>2260.08</v>
      </c>
      <c r="W965" s="395">
        <v>1654.81</v>
      </c>
      <c r="X965" s="395">
        <v>76950</v>
      </c>
      <c r="Y965" s="395">
        <v>3990.46</v>
      </c>
      <c r="Z965" s="396">
        <v>12702927</v>
      </c>
      <c r="AA965" s="396">
        <v>92820</v>
      </c>
      <c r="AB965" s="396">
        <v>-1006878</v>
      </c>
      <c r="AC965" s="396">
        <v>10207916</v>
      </c>
    </row>
    <row r="966" spans="1:29">
      <c r="A966">
        <v>8110</v>
      </c>
      <c r="B966" s="395" t="s">
        <v>8279</v>
      </c>
      <c r="C966" s="395"/>
      <c r="D966" s="396">
        <v>92191</v>
      </c>
      <c r="E966" s="396">
        <v>159252</v>
      </c>
      <c r="F966" s="395">
        <v>2.37</v>
      </c>
      <c r="G966" s="396">
        <v>-67061</v>
      </c>
      <c r="H966" s="396">
        <v>19159</v>
      </c>
      <c r="I966" s="396">
        <v>812378</v>
      </c>
      <c r="J966" s="395">
        <v>275</v>
      </c>
      <c r="K966" s="395">
        <v>212</v>
      </c>
      <c r="L966" s="397">
        <v>0.77090000000000003</v>
      </c>
      <c r="M966" s="395">
        <v>63</v>
      </c>
      <c r="N966" s="395">
        <v>335</v>
      </c>
      <c r="O966" s="395">
        <v>751</v>
      </c>
      <c r="P966" s="395">
        <v>0.71</v>
      </c>
      <c r="Q966" s="396">
        <v>-1064</v>
      </c>
      <c r="R966" s="396">
        <v>3892</v>
      </c>
      <c r="S966" s="396">
        <v>-4174</v>
      </c>
      <c r="T966" s="396">
        <v>159862</v>
      </c>
      <c r="U966" s="396">
        <v>-79476</v>
      </c>
      <c r="V966" s="395">
        <v>2337.84</v>
      </c>
      <c r="W966" s="395">
        <v>1596.44</v>
      </c>
      <c r="X966" s="395">
        <v>77490</v>
      </c>
      <c r="Y966" s="395">
        <v>4832.7</v>
      </c>
      <c r="Z966" s="396">
        <v>-16670236</v>
      </c>
      <c r="AA966" s="396">
        <v>92191</v>
      </c>
      <c r="AB966" s="396">
        <v>10650310</v>
      </c>
      <c r="AC966" s="396">
        <v>10207916</v>
      </c>
    </row>
    <row r="967" spans="1:29">
      <c r="A967">
        <v>4563</v>
      </c>
      <c r="B967" s="395" t="s">
        <v>7657</v>
      </c>
      <c r="C967" s="395"/>
      <c r="D967" s="396">
        <v>92176</v>
      </c>
      <c r="E967" s="396">
        <v>163547</v>
      </c>
      <c r="F967" s="395">
        <v>2.29</v>
      </c>
      <c r="G967" s="396">
        <v>-71371</v>
      </c>
      <c r="H967" s="396">
        <v>17924</v>
      </c>
      <c r="I967" s="396">
        <v>1241198</v>
      </c>
      <c r="J967" s="395">
        <v>142</v>
      </c>
      <c r="K967" s="395">
        <v>90</v>
      </c>
      <c r="L967" s="397">
        <v>0.63380000000000003</v>
      </c>
      <c r="M967" s="395">
        <v>52</v>
      </c>
      <c r="N967" s="395">
        <v>649</v>
      </c>
      <c r="O967" s="396">
        <v>1817</v>
      </c>
      <c r="P967" s="395">
        <v>1.32</v>
      </c>
      <c r="Q967" s="396">
        <v>-1373</v>
      </c>
      <c r="R967" s="396">
        <v>7534</v>
      </c>
      <c r="S967" s="396">
        <v>-3837</v>
      </c>
      <c r="T967" s="396">
        <v>354198</v>
      </c>
      <c r="U967" s="396">
        <v>-280827</v>
      </c>
      <c r="V967" s="395">
        <v>7248.34</v>
      </c>
      <c r="W967" s="395">
        <v>5048.13</v>
      </c>
      <c r="X967" s="395">
        <v>75870</v>
      </c>
      <c r="Y967" s="395">
        <v>11056.38</v>
      </c>
      <c r="Z967" s="396">
        <v>-848589</v>
      </c>
      <c r="AA967" s="396">
        <v>92176</v>
      </c>
      <c r="AB967" s="396">
        <v>-780366</v>
      </c>
      <c r="AC967" s="396">
        <v>10207916</v>
      </c>
    </row>
    <row r="968" spans="1:29">
      <c r="A968">
        <v>6114</v>
      </c>
      <c r="B968" s="395" t="s">
        <v>7916</v>
      </c>
      <c r="C968" s="395"/>
      <c r="D968" s="396">
        <v>91518</v>
      </c>
      <c r="E968" s="396">
        <v>147157</v>
      </c>
      <c r="F968" s="395">
        <v>2.64</v>
      </c>
      <c r="G968" s="396">
        <v>-55639</v>
      </c>
      <c r="H968" s="396">
        <v>21269</v>
      </c>
      <c r="I968" s="396">
        <v>1157426</v>
      </c>
      <c r="J968" s="395">
        <v>216</v>
      </c>
      <c r="K968" s="395">
        <v>135</v>
      </c>
      <c r="L968" s="397">
        <v>0.625</v>
      </c>
      <c r="M968" s="395">
        <v>81</v>
      </c>
      <c r="N968" s="395">
        <v>424</v>
      </c>
      <c r="O968" s="396">
        <v>1090</v>
      </c>
      <c r="P968" s="395">
        <v>1.59</v>
      </c>
      <c r="Q968" s="395">
        <v>-687</v>
      </c>
      <c r="R968" s="396">
        <v>2904</v>
      </c>
      <c r="S968" s="396">
        <v>-4611</v>
      </c>
      <c r="T968" s="396">
        <v>121725</v>
      </c>
      <c r="U968" s="396">
        <v>-58891</v>
      </c>
      <c r="V968" s="395">
        <v>6231.28</v>
      </c>
      <c r="W968" s="395">
        <v>3560.84</v>
      </c>
      <c r="X968" s="395">
        <v>77490</v>
      </c>
      <c r="Y968" s="395">
        <v>10682.01</v>
      </c>
      <c r="Z968" s="396">
        <v>-14693612</v>
      </c>
      <c r="AA968" s="396">
        <v>91518</v>
      </c>
      <c r="AB968" s="396">
        <v>624428</v>
      </c>
      <c r="AC968" s="396">
        <v>10207916</v>
      </c>
    </row>
    <row r="969" spans="1:29">
      <c r="A969">
        <v>4950</v>
      </c>
      <c r="B969" s="395" t="s">
        <v>7728</v>
      </c>
      <c r="C969" s="395"/>
      <c r="D969" s="396">
        <v>91481</v>
      </c>
      <c r="E969" s="396">
        <v>185953</v>
      </c>
      <c r="F969" s="395">
        <v>1.97</v>
      </c>
      <c r="G969" s="396">
        <v>-94472</v>
      </c>
      <c r="H969" s="396">
        <v>13819</v>
      </c>
      <c r="I969" s="396">
        <v>1713979</v>
      </c>
      <c r="J969" s="395">
        <v>157</v>
      </c>
      <c r="K969" s="395">
        <v>132</v>
      </c>
      <c r="L969" s="397">
        <v>0.84079999999999999</v>
      </c>
      <c r="M969" s="395">
        <v>25</v>
      </c>
      <c r="N969" s="395">
        <v>583</v>
      </c>
      <c r="O969" s="396">
        <v>1409</v>
      </c>
      <c r="P969" s="395">
        <v>0.37</v>
      </c>
      <c r="Q969" s="396">
        <v>-3779</v>
      </c>
      <c r="R969" s="396">
        <v>5475</v>
      </c>
      <c r="S969" s="396">
        <v>-8503</v>
      </c>
      <c r="T969" s="396">
        <v>427714</v>
      </c>
      <c r="U969" s="396">
        <v>-368104</v>
      </c>
      <c r="V969" s="395">
        <v>10814.2</v>
      </c>
      <c r="W969" s="395">
        <v>7832.26</v>
      </c>
      <c r="X969" s="395">
        <v>77490</v>
      </c>
      <c r="Y969" s="395">
        <v>26558.84</v>
      </c>
      <c r="Z969" s="396">
        <v>-8141666</v>
      </c>
      <c r="AA969" s="396">
        <v>91481</v>
      </c>
      <c r="AB969" s="396">
        <v>-3627863</v>
      </c>
      <c r="AC969" s="396">
        <v>10207916</v>
      </c>
    </row>
    <row r="970" spans="1:29">
      <c r="A970">
        <v>2890</v>
      </c>
      <c r="B970" s="395" t="s">
        <v>7220</v>
      </c>
      <c r="C970" s="395"/>
      <c r="D970" s="396">
        <v>90855</v>
      </c>
      <c r="E970" s="396">
        <v>98456</v>
      </c>
      <c r="F970" s="395">
        <v>12.95</v>
      </c>
      <c r="G970" s="396">
        <v>-7601</v>
      </c>
      <c r="H970" s="396">
        <v>15959</v>
      </c>
      <c r="I970" s="396">
        <v>1167670</v>
      </c>
      <c r="J970" s="395">
        <v>281</v>
      </c>
      <c r="K970" s="395">
        <v>258</v>
      </c>
      <c r="L970" s="397">
        <v>0.91810000000000003</v>
      </c>
      <c r="M970" s="395">
        <v>23</v>
      </c>
      <c r="N970" s="395">
        <v>323</v>
      </c>
      <c r="O970" s="395">
        <v>382</v>
      </c>
      <c r="P970" s="395">
        <v>1.1599999999999999</v>
      </c>
      <c r="Q970" s="395">
        <v>-330</v>
      </c>
      <c r="R970" s="395">
        <v>994</v>
      </c>
      <c r="S970" s="395">
        <v>-569</v>
      </c>
      <c r="T970" s="396">
        <v>107413</v>
      </c>
      <c r="U970" s="396">
        <v>-27573</v>
      </c>
      <c r="V970" s="395">
        <v>5134.5200000000004</v>
      </c>
      <c r="W970" s="395">
        <v>5226.2299999999996</v>
      </c>
      <c r="X970" s="395">
        <v>77490</v>
      </c>
      <c r="Y970" s="395">
        <v>4105.83</v>
      </c>
      <c r="Z970" s="396">
        <v>20404204</v>
      </c>
      <c r="AA970" s="396">
        <v>90855</v>
      </c>
      <c r="AB970" s="396">
        <v>27827430</v>
      </c>
      <c r="AC970" s="396">
        <v>10207916</v>
      </c>
    </row>
    <row r="971" spans="1:29">
      <c r="A971">
        <v>2316</v>
      </c>
      <c r="B971" s="395" t="s">
        <v>6980</v>
      </c>
      <c r="C971" s="395"/>
      <c r="D971" s="396">
        <v>90713</v>
      </c>
      <c r="E971" s="396">
        <v>266374</v>
      </c>
      <c r="F971" s="395">
        <v>1.52</v>
      </c>
      <c r="G971" s="396">
        <v>-175661</v>
      </c>
      <c r="H971" s="396">
        <v>33197</v>
      </c>
      <c r="I971" s="396">
        <v>2263989</v>
      </c>
      <c r="J971" s="395">
        <v>268</v>
      </c>
      <c r="K971" s="395">
        <v>197</v>
      </c>
      <c r="L971" s="397">
        <v>0.73509999999999998</v>
      </c>
      <c r="M971" s="395">
        <v>71</v>
      </c>
      <c r="N971" s="395">
        <v>338</v>
      </c>
      <c r="O971" s="396">
        <v>1352</v>
      </c>
      <c r="P971" s="395">
        <v>0.55000000000000004</v>
      </c>
      <c r="Q971" s="396">
        <v>-2474</v>
      </c>
      <c r="R971" s="396">
        <v>6185</v>
      </c>
      <c r="S971" s="396">
        <v>-7741</v>
      </c>
      <c r="T971" s="396">
        <v>333792</v>
      </c>
      <c r="U971" s="396">
        <v>-163485</v>
      </c>
      <c r="V971" s="395">
        <v>7023.65</v>
      </c>
      <c r="W971" s="395">
        <v>6246.34</v>
      </c>
      <c r="X971" s="395">
        <v>77490</v>
      </c>
      <c r="Y971" s="395">
        <v>9180.41</v>
      </c>
      <c r="Z971" s="396">
        <v>-15242498</v>
      </c>
      <c r="AA971" s="396">
        <v>90713</v>
      </c>
      <c r="AB971" s="396">
        <v>163128</v>
      </c>
      <c r="AC971" s="396">
        <v>10207916</v>
      </c>
    </row>
    <row r="972" spans="1:29">
      <c r="A972">
        <v>5498</v>
      </c>
      <c r="B972" s="395" t="s">
        <v>7856</v>
      </c>
      <c r="C972" s="395"/>
      <c r="D972" s="396">
        <v>90205</v>
      </c>
      <c r="E972" s="396">
        <v>136115</v>
      </c>
      <c r="F972" s="395">
        <v>2.96</v>
      </c>
      <c r="G972" s="396">
        <v>-45910</v>
      </c>
      <c r="H972" s="396">
        <v>16237</v>
      </c>
      <c r="I972" s="396">
        <v>1052082</v>
      </c>
      <c r="J972" s="395">
        <v>248</v>
      </c>
      <c r="K972" s="395">
        <v>199</v>
      </c>
      <c r="L972" s="397">
        <v>0.8024</v>
      </c>
      <c r="M972" s="395">
        <v>49</v>
      </c>
      <c r="N972" s="395">
        <v>364</v>
      </c>
      <c r="O972" s="395">
        <v>684</v>
      </c>
      <c r="P972" s="395">
        <v>0.73</v>
      </c>
      <c r="Q972" s="395">
        <v>-937</v>
      </c>
      <c r="R972" s="396">
        <v>3988</v>
      </c>
      <c r="S972" s="396">
        <v>-3727</v>
      </c>
      <c r="T972" s="396">
        <v>140864</v>
      </c>
      <c r="U972" s="396">
        <v>-75070</v>
      </c>
      <c r="V972" s="395">
        <v>4830.8900000000003</v>
      </c>
      <c r="W972" s="395">
        <v>3580.47</v>
      </c>
      <c r="X972" s="395">
        <v>77490</v>
      </c>
      <c r="Y972" s="395">
        <v>9909.1200000000008</v>
      </c>
      <c r="Z972" s="396">
        <v>-11782895</v>
      </c>
      <c r="AA972" s="396">
        <v>90205</v>
      </c>
      <c r="AB972" s="396">
        <v>-9422222</v>
      </c>
      <c r="AC972" s="396">
        <v>10207916</v>
      </c>
    </row>
    <row r="973" spans="1:29">
      <c r="A973">
        <v>2495</v>
      </c>
      <c r="B973" s="395" t="s">
        <v>7105</v>
      </c>
      <c r="C973" s="395"/>
      <c r="D973" s="396">
        <v>90076</v>
      </c>
      <c r="E973" s="396">
        <v>132499</v>
      </c>
      <c r="F973" s="395">
        <v>3.12</v>
      </c>
      <c r="G973" s="396">
        <v>-42424</v>
      </c>
      <c r="H973" s="396">
        <v>17931</v>
      </c>
      <c r="I973" s="396">
        <v>559100</v>
      </c>
      <c r="J973" s="395">
        <v>272</v>
      </c>
      <c r="K973" s="395">
        <v>213</v>
      </c>
      <c r="L973" s="397">
        <v>0.78310000000000002</v>
      </c>
      <c r="M973" s="395">
        <v>58</v>
      </c>
      <c r="N973" s="395">
        <v>331</v>
      </c>
      <c r="O973" s="395">
        <v>622</v>
      </c>
      <c r="P973" s="395">
        <v>0.85</v>
      </c>
      <c r="Q973" s="395">
        <v>-731</v>
      </c>
      <c r="R973" s="396">
        <v>2419</v>
      </c>
      <c r="S973" s="396">
        <v>-3693</v>
      </c>
      <c r="T973" s="396">
        <v>126479</v>
      </c>
      <c r="U973" s="396">
        <v>-36803</v>
      </c>
      <c r="V973" s="395">
        <v>3068.56</v>
      </c>
      <c r="W973" s="395">
        <v>2301.3000000000002</v>
      </c>
      <c r="X973" s="395">
        <v>77490</v>
      </c>
      <c r="Y973" s="395">
        <v>5796.47</v>
      </c>
      <c r="Z973" s="396">
        <v>-14043147</v>
      </c>
      <c r="AA973" s="396">
        <v>90076</v>
      </c>
      <c r="AB973" s="396">
        <v>10261526</v>
      </c>
      <c r="AC973" s="396">
        <v>10207916</v>
      </c>
    </row>
    <row r="974" spans="1:29">
      <c r="A974">
        <v>6155</v>
      </c>
      <c r="B974" s="395" t="s">
        <v>7950</v>
      </c>
      <c r="C974" s="395"/>
      <c r="D974" s="396">
        <v>90022</v>
      </c>
      <c r="E974" s="396">
        <v>206223</v>
      </c>
      <c r="F974" s="395">
        <v>1.77</v>
      </c>
      <c r="G974" s="396">
        <v>-116201</v>
      </c>
      <c r="H974" s="396">
        <v>25130</v>
      </c>
      <c r="I974" s="396">
        <v>2230105</v>
      </c>
      <c r="J974" s="395">
        <v>239</v>
      </c>
      <c r="K974" s="395">
        <v>177</v>
      </c>
      <c r="L974" s="397">
        <v>0.74060000000000004</v>
      </c>
      <c r="M974" s="395">
        <v>62</v>
      </c>
      <c r="N974" s="395">
        <v>377</v>
      </c>
      <c r="O974" s="396">
        <v>1165</v>
      </c>
      <c r="P974" s="395">
        <v>0.62</v>
      </c>
      <c r="Q974" s="396">
        <v>-1874</v>
      </c>
      <c r="R974" s="396">
        <v>4552</v>
      </c>
      <c r="S974" s="396">
        <v>-6571</v>
      </c>
      <c r="T974" s="396">
        <v>210410</v>
      </c>
      <c r="U974" s="396">
        <v>-155497</v>
      </c>
      <c r="V974" s="395">
        <v>7434.14</v>
      </c>
      <c r="W974" s="395">
        <v>6310.5</v>
      </c>
      <c r="X974" s="395">
        <v>77490</v>
      </c>
      <c r="Y974" s="395">
        <v>10641.95</v>
      </c>
      <c r="Z974" s="396">
        <v>-20811594</v>
      </c>
      <c r="AA974" s="396">
        <v>90022</v>
      </c>
      <c r="AB974" s="396">
        <v>-5536489</v>
      </c>
      <c r="AC974" s="396">
        <v>10207916</v>
      </c>
    </row>
    <row r="975" spans="1:29">
      <c r="A975">
        <v>1475</v>
      </c>
      <c r="B975" s="395" t="s">
        <v>6780</v>
      </c>
      <c r="C975" s="395"/>
      <c r="D975" s="396">
        <v>89892</v>
      </c>
      <c r="E975" s="396">
        <v>192285</v>
      </c>
      <c r="F975" s="395">
        <v>1.88</v>
      </c>
      <c r="G975" s="396">
        <v>-102393</v>
      </c>
      <c r="H975" s="396">
        <v>21358</v>
      </c>
      <c r="I975" s="396">
        <v>639065</v>
      </c>
      <c r="J975" s="395">
        <v>110</v>
      </c>
      <c r="K975" s="395">
        <v>78</v>
      </c>
      <c r="L975" s="397">
        <v>0.70909999999999995</v>
      </c>
      <c r="M975" s="395">
        <v>32</v>
      </c>
      <c r="N975" s="395">
        <v>817</v>
      </c>
      <c r="O975" s="396">
        <v>2465</v>
      </c>
      <c r="P975" s="395">
        <v>0.77</v>
      </c>
      <c r="Q975" s="396">
        <v>-3200</v>
      </c>
      <c r="R975" s="396">
        <v>9956</v>
      </c>
      <c r="S975" s="396">
        <v>-11266</v>
      </c>
      <c r="T975" s="396">
        <v>154462</v>
      </c>
      <c r="U975" s="396">
        <v>-75792</v>
      </c>
      <c r="V975" s="395">
        <v>2501.94</v>
      </c>
      <c r="W975" s="395">
        <v>1983.31</v>
      </c>
      <c r="X975" s="395">
        <v>75870</v>
      </c>
      <c r="Y975" s="395">
        <v>3766.09</v>
      </c>
      <c r="Z975" s="396">
        <v>17236113</v>
      </c>
      <c r="AA975" s="396">
        <v>89892</v>
      </c>
      <c r="AB975" s="396">
        <v>29374674</v>
      </c>
      <c r="AC975" s="396">
        <v>10207916</v>
      </c>
    </row>
    <row r="976" spans="1:29">
      <c r="A976">
        <v>2459</v>
      </c>
      <c r="B976" s="395" t="s">
        <v>7078</v>
      </c>
      <c r="C976" s="395"/>
      <c r="D976" s="396">
        <v>89891</v>
      </c>
      <c r="E976" s="396">
        <v>217548</v>
      </c>
      <c r="F976" s="395">
        <v>1.7</v>
      </c>
      <c r="G976" s="396">
        <v>-127657</v>
      </c>
      <c r="H976" s="396">
        <v>50977</v>
      </c>
      <c r="I976" s="396">
        <v>2986427</v>
      </c>
      <c r="J976" s="395">
        <v>233</v>
      </c>
      <c r="K976" s="395">
        <v>138</v>
      </c>
      <c r="L976" s="397">
        <v>0.59230000000000005</v>
      </c>
      <c r="M976" s="395">
        <v>95</v>
      </c>
      <c r="N976" s="395">
        <v>386</v>
      </c>
      <c r="O976" s="396">
        <v>1576</v>
      </c>
      <c r="P976" s="395">
        <v>1.17</v>
      </c>
      <c r="Q976" s="396">
        <v>-1344</v>
      </c>
      <c r="R976" s="396">
        <v>4988</v>
      </c>
      <c r="S976" s="396">
        <v>-4337</v>
      </c>
      <c r="T976" s="396">
        <v>243325</v>
      </c>
      <c r="U976" s="396">
        <v>-127329</v>
      </c>
      <c r="V976" s="395">
        <v>6043.23</v>
      </c>
      <c r="W976" s="395">
        <v>3255.16</v>
      </c>
      <c r="X976" s="395">
        <v>77490</v>
      </c>
      <c r="Y976" s="395">
        <v>10093.27</v>
      </c>
      <c r="Z976" s="396">
        <v>2785080</v>
      </c>
      <c r="AA976" s="396">
        <v>89891</v>
      </c>
      <c r="AB976" s="396">
        <v>15727888</v>
      </c>
      <c r="AC976" s="396">
        <v>10207916</v>
      </c>
    </row>
    <row r="977" spans="1:29">
      <c r="A977">
        <v>6733</v>
      </c>
      <c r="B977" s="395" t="s">
        <v>8199</v>
      </c>
      <c r="C977" s="395"/>
      <c r="D977" s="396">
        <v>89460</v>
      </c>
      <c r="E977" s="396">
        <v>152768</v>
      </c>
      <c r="F977" s="395">
        <v>2.41</v>
      </c>
      <c r="G977" s="396">
        <v>-63308</v>
      </c>
      <c r="H977" s="396">
        <v>12540</v>
      </c>
      <c r="I977" s="396">
        <v>1611016</v>
      </c>
      <c r="J977" s="395">
        <v>112</v>
      </c>
      <c r="K977" s="395">
        <v>82</v>
      </c>
      <c r="L977" s="397">
        <v>0.73209999999999997</v>
      </c>
      <c r="M977" s="395">
        <v>30</v>
      </c>
      <c r="N977" s="395">
        <v>799</v>
      </c>
      <c r="O977" s="396">
        <v>1863</v>
      </c>
      <c r="P977" s="395">
        <v>0.88</v>
      </c>
      <c r="Q977" s="396">
        <v>-2110</v>
      </c>
      <c r="R977" s="396">
        <v>4750</v>
      </c>
      <c r="S977" s="396">
        <v>-6623</v>
      </c>
      <c r="T977" s="396">
        <v>317368</v>
      </c>
      <c r="U977" s="396">
        <v>-251287</v>
      </c>
      <c r="V977" s="395">
        <v>16436.009999999998</v>
      </c>
      <c r="W977" s="395">
        <v>11935.91</v>
      </c>
      <c r="X977" s="395">
        <v>72630</v>
      </c>
      <c r="Y977" s="395">
        <v>28736.27</v>
      </c>
      <c r="Z977" s="396">
        <v>-14631290</v>
      </c>
      <c r="AA977" s="396">
        <v>89460</v>
      </c>
      <c r="AB977" s="396">
        <v>-9824959</v>
      </c>
      <c r="AC977" s="396">
        <v>10207916</v>
      </c>
    </row>
    <row r="978" spans="1:29">
      <c r="A978">
        <v>1464</v>
      </c>
      <c r="B978" s="395" t="s">
        <v>6770</v>
      </c>
      <c r="C978" s="395"/>
      <c r="D978" s="396">
        <v>89123</v>
      </c>
      <c r="E978" s="396">
        <v>136823</v>
      </c>
      <c r="F978" s="395">
        <v>2.87</v>
      </c>
      <c r="G978" s="396">
        <v>-47700</v>
      </c>
      <c r="H978" s="396">
        <v>17867</v>
      </c>
      <c r="I978" s="396">
        <v>2024592</v>
      </c>
      <c r="J978" s="395">
        <v>262</v>
      </c>
      <c r="K978" s="395">
        <v>200</v>
      </c>
      <c r="L978" s="397">
        <v>0.76339999999999997</v>
      </c>
      <c r="M978" s="395">
        <v>62</v>
      </c>
      <c r="N978" s="395">
        <v>340</v>
      </c>
      <c r="O978" s="395">
        <v>684</v>
      </c>
      <c r="P978" s="395">
        <v>0.89</v>
      </c>
      <c r="Q978" s="395">
        <v>-769</v>
      </c>
      <c r="R978" s="396">
        <v>1535</v>
      </c>
      <c r="S978" s="396">
        <v>-1775</v>
      </c>
      <c r="T978" s="396">
        <v>179843</v>
      </c>
      <c r="U978" s="396">
        <v>-123868</v>
      </c>
      <c r="V978" s="395">
        <v>10096.51</v>
      </c>
      <c r="W978" s="395">
        <v>7521.3</v>
      </c>
      <c r="X978" s="395">
        <v>77490</v>
      </c>
      <c r="Y978" s="395">
        <v>18403.650000000001</v>
      </c>
      <c r="Z978" s="396">
        <v>-5821813</v>
      </c>
      <c r="AA978" s="396">
        <v>89123</v>
      </c>
      <c r="AB978" s="396">
        <v>-8211327</v>
      </c>
      <c r="AC978" s="396">
        <v>10207916</v>
      </c>
    </row>
    <row r="979" spans="1:29">
      <c r="A979">
        <v>3162</v>
      </c>
      <c r="B979" s="395" t="s">
        <v>7329</v>
      </c>
      <c r="C979" s="395"/>
      <c r="D979" s="396">
        <v>88960</v>
      </c>
      <c r="E979" s="396">
        <v>219888</v>
      </c>
      <c r="F979" s="395">
        <v>1.68</v>
      </c>
      <c r="G979" s="396">
        <v>-130928</v>
      </c>
      <c r="H979" s="396">
        <v>30340</v>
      </c>
      <c r="I979" s="396">
        <v>1002086</v>
      </c>
      <c r="J979" s="395">
        <v>182</v>
      </c>
      <c r="K979" s="395">
        <v>140</v>
      </c>
      <c r="L979" s="397">
        <v>0.76919999999999999</v>
      </c>
      <c r="M979" s="395">
        <v>42</v>
      </c>
      <c r="N979" s="395">
        <v>489</v>
      </c>
      <c r="O979" s="396">
        <v>1571</v>
      </c>
      <c r="P979" s="395">
        <v>0.5</v>
      </c>
      <c r="Q979" s="396">
        <v>-3117</v>
      </c>
      <c r="R979" s="396">
        <v>7860</v>
      </c>
      <c r="S979" s="396">
        <v>-7822</v>
      </c>
      <c r="T979" s="396">
        <v>234467</v>
      </c>
      <c r="U979" s="396">
        <v>-122527</v>
      </c>
      <c r="V979" s="395">
        <v>1793.87</v>
      </c>
      <c r="W979" s="395">
        <v>1168.3800000000001</v>
      </c>
      <c r="X979" s="395">
        <v>75600</v>
      </c>
      <c r="Y979" s="395">
        <v>3878.83</v>
      </c>
      <c r="Z979" s="396">
        <v>8582819</v>
      </c>
      <c r="AA979" s="396">
        <v>88960</v>
      </c>
      <c r="AB979" s="396">
        <v>26784949</v>
      </c>
      <c r="AC979" s="396">
        <v>10207916</v>
      </c>
    </row>
    <row r="980" spans="1:29">
      <c r="A980">
        <v>2614</v>
      </c>
      <c r="B980" s="395" t="s">
        <v>7149</v>
      </c>
      <c r="C980" s="395"/>
      <c r="D980" s="396">
        <v>88864</v>
      </c>
      <c r="E980" s="396">
        <v>262864</v>
      </c>
      <c r="F980" s="395">
        <v>1.51</v>
      </c>
      <c r="G980" s="396">
        <v>-174001</v>
      </c>
      <c r="H980" s="396">
        <v>31709</v>
      </c>
      <c r="I980" s="396">
        <v>1242902</v>
      </c>
      <c r="J980" s="395">
        <v>266</v>
      </c>
      <c r="K980" s="395">
        <v>195</v>
      </c>
      <c r="L980" s="397">
        <v>0.73309999999999997</v>
      </c>
      <c r="M980" s="395">
        <v>71</v>
      </c>
      <c r="N980" s="395">
        <v>334</v>
      </c>
      <c r="O980" s="396">
        <v>1348</v>
      </c>
      <c r="P980" s="395">
        <v>0.55000000000000004</v>
      </c>
      <c r="Q980" s="396">
        <v>-2451</v>
      </c>
      <c r="R980" s="396">
        <v>6085</v>
      </c>
      <c r="S980" s="396">
        <v>-16263</v>
      </c>
      <c r="T980" s="396">
        <v>258494</v>
      </c>
      <c r="U980" s="396">
        <v>-162198</v>
      </c>
      <c r="V980" s="395">
        <v>3322.13</v>
      </c>
      <c r="W980" s="395">
        <v>2637.92</v>
      </c>
      <c r="X980" s="395">
        <v>75600</v>
      </c>
      <c r="Y980" s="395">
        <v>5201.28</v>
      </c>
      <c r="Z980" s="396">
        <v>-18976056</v>
      </c>
      <c r="AA980" s="396">
        <v>88864</v>
      </c>
      <c r="AB980" s="396">
        <v>40745967</v>
      </c>
      <c r="AC980" s="396">
        <v>10207916</v>
      </c>
    </row>
    <row r="981" spans="1:29">
      <c r="A981">
        <v>2402</v>
      </c>
      <c r="B981" s="395" t="s">
        <v>7037</v>
      </c>
      <c r="C981" s="395"/>
      <c r="D981" s="396">
        <v>88567</v>
      </c>
      <c r="E981" s="396">
        <v>137370</v>
      </c>
      <c r="F981" s="395">
        <v>2.81</v>
      </c>
      <c r="G981" s="396">
        <v>-48803</v>
      </c>
      <c r="H981" s="396">
        <v>18795</v>
      </c>
      <c r="I981" s="396">
        <v>1116439</v>
      </c>
      <c r="J981" s="395">
        <v>264</v>
      </c>
      <c r="K981" s="395">
        <v>210</v>
      </c>
      <c r="L981" s="397">
        <v>0.79549999999999998</v>
      </c>
      <c r="M981" s="395">
        <v>54</v>
      </c>
      <c r="N981" s="395">
        <v>335</v>
      </c>
      <c r="O981" s="395">
        <v>654</v>
      </c>
      <c r="P981" s="395">
        <v>0.72</v>
      </c>
      <c r="Q981" s="395">
        <v>-904</v>
      </c>
      <c r="R981" s="396">
        <v>2786</v>
      </c>
      <c r="S981" s="396">
        <v>-3321</v>
      </c>
      <c r="T981" s="396">
        <v>144775</v>
      </c>
      <c r="U981" s="396">
        <v>-99031</v>
      </c>
      <c r="V981" s="395">
        <v>3845.66</v>
      </c>
      <c r="W981" s="395">
        <v>2731.54</v>
      </c>
      <c r="X981" s="395">
        <v>77490</v>
      </c>
      <c r="Y981" s="395">
        <v>8178.37</v>
      </c>
      <c r="Z981" s="396">
        <v>-10203467</v>
      </c>
      <c r="AA981" s="396">
        <v>88567</v>
      </c>
      <c r="AB981" s="396">
        <v>-5779705</v>
      </c>
      <c r="AC981" s="396">
        <v>10207916</v>
      </c>
    </row>
    <row r="982" spans="1:29">
      <c r="A982">
        <v>1423</v>
      </c>
      <c r="B982" s="395" t="s">
        <v>6743</v>
      </c>
      <c r="C982" s="395"/>
      <c r="D982" s="396">
        <v>88406</v>
      </c>
      <c r="E982" s="396">
        <v>124615</v>
      </c>
      <c r="F982" s="395">
        <v>3.44</v>
      </c>
      <c r="G982" s="396">
        <v>-36209</v>
      </c>
      <c r="H982" s="396">
        <v>17457</v>
      </c>
      <c r="I982" s="396">
        <v>2205907</v>
      </c>
      <c r="J982" s="395">
        <v>217</v>
      </c>
      <c r="K982" s="395">
        <v>144</v>
      </c>
      <c r="L982" s="397">
        <v>0.66359999999999997</v>
      </c>
      <c r="M982" s="395">
        <v>73</v>
      </c>
      <c r="N982" s="395">
        <v>407</v>
      </c>
      <c r="O982" s="395">
        <v>865</v>
      </c>
      <c r="P982" s="395">
        <v>1.74</v>
      </c>
      <c r="Q982" s="395">
        <v>-496</v>
      </c>
      <c r="R982" s="396">
        <v>2627</v>
      </c>
      <c r="S982" s="396">
        <v>-2288</v>
      </c>
      <c r="T982" s="396">
        <v>224934</v>
      </c>
      <c r="U982" s="396">
        <v>-134209</v>
      </c>
      <c r="V982" s="395">
        <v>14294.38</v>
      </c>
      <c r="W982" s="395">
        <v>10016.09</v>
      </c>
      <c r="X982" s="395">
        <v>77490</v>
      </c>
      <c r="Y982" s="395">
        <v>22733.74</v>
      </c>
      <c r="Z982" s="396">
        <v>4686455</v>
      </c>
      <c r="AA982" s="396">
        <v>88406</v>
      </c>
      <c r="AB982" s="396">
        <v>16063256</v>
      </c>
      <c r="AC982" s="396">
        <v>10207916</v>
      </c>
    </row>
    <row r="983" spans="1:29">
      <c r="A983">
        <v>1906</v>
      </c>
      <c r="B983" s="395" t="s">
        <v>6902</v>
      </c>
      <c r="C983" s="395"/>
      <c r="D983" s="396">
        <v>87486</v>
      </c>
      <c r="E983" s="396">
        <v>133024</v>
      </c>
      <c r="F983" s="395">
        <v>2.92</v>
      </c>
      <c r="G983" s="396">
        <v>-45538</v>
      </c>
      <c r="H983" s="396">
        <v>21314</v>
      </c>
      <c r="I983" s="396">
        <v>689356</v>
      </c>
      <c r="J983" s="395">
        <v>267</v>
      </c>
      <c r="K983" s="395">
        <v>205</v>
      </c>
      <c r="L983" s="397">
        <v>0.76780000000000004</v>
      </c>
      <c r="M983" s="395">
        <v>62</v>
      </c>
      <c r="N983" s="395">
        <v>328</v>
      </c>
      <c r="O983" s="395">
        <v>649</v>
      </c>
      <c r="P983" s="395">
        <v>0.88</v>
      </c>
      <c r="Q983" s="395">
        <v>-734</v>
      </c>
      <c r="R983" s="396">
        <v>2277</v>
      </c>
      <c r="S983" s="396">
        <v>-3334</v>
      </c>
      <c r="T983" s="396">
        <v>141050</v>
      </c>
      <c r="U983" s="396">
        <v>-37595</v>
      </c>
      <c r="V983" s="395">
        <v>2694.01</v>
      </c>
      <c r="W983" s="395">
        <v>1686.24</v>
      </c>
      <c r="X983" s="395">
        <v>77490</v>
      </c>
      <c r="Y983" s="395">
        <v>6026.18</v>
      </c>
      <c r="Z983" s="396">
        <v>-9847032</v>
      </c>
      <c r="AA983" s="396">
        <v>87486</v>
      </c>
      <c r="AB983" s="396">
        <v>4296344</v>
      </c>
      <c r="AC983" s="396">
        <v>10207916</v>
      </c>
    </row>
    <row r="984" spans="1:29">
      <c r="A984">
        <v>6233</v>
      </c>
      <c r="B984" s="395" t="s">
        <v>8018</v>
      </c>
      <c r="C984" s="395"/>
      <c r="D984" s="396">
        <v>87481</v>
      </c>
      <c r="E984" s="396">
        <v>317875</v>
      </c>
      <c r="F984" s="395">
        <v>1.38</v>
      </c>
      <c r="G984" s="396">
        <v>-230394</v>
      </c>
      <c r="H984" s="396">
        <v>40519</v>
      </c>
      <c r="I984" s="396">
        <v>1023233</v>
      </c>
      <c r="J984" s="395">
        <v>264</v>
      </c>
      <c r="K984" s="395">
        <v>184</v>
      </c>
      <c r="L984" s="397">
        <v>0.69699999999999995</v>
      </c>
      <c r="M984" s="395">
        <v>80</v>
      </c>
      <c r="N984" s="395">
        <v>331</v>
      </c>
      <c r="O984" s="396">
        <v>1728</v>
      </c>
      <c r="P984" s="395">
        <v>0.6</v>
      </c>
      <c r="Q984" s="396">
        <v>-2880</v>
      </c>
      <c r="R984" s="396">
        <v>8618</v>
      </c>
      <c r="S984" s="396">
        <v>-9218</v>
      </c>
      <c r="T984" s="396">
        <v>282916</v>
      </c>
      <c r="U984" s="396">
        <v>-182836</v>
      </c>
      <c r="V984" s="395">
        <v>2392</v>
      </c>
      <c r="W984" s="395">
        <v>1068.51</v>
      </c>
      <c r="X984" s="395">
        <v>77490</v>
      </c>
      <c r="Y984" s="395">
        <v>5436.02</v>
      </c>
      <c r="Z984" s="396">
        <v>-6959716</v>
      </c>
      <c r="AA984" s="396">
        <v>87481</v>
      </c>
      <c r="AB984" s="396">
        <v>-5777950</v>
      </c>
      <c r="AC984" s="396">
        <v>10207916</v>
      </c>
    </row>
    <row r="985" spans="1:29">
      <c r="A985">
        <v>5353</v>
      </c>
      <c r="B985" s="395" t="s">
        <v>7815</v>
      </c>
      <c r="C985" s="395"/>
      <c r="D985" s="396">
        <v>87354</v>
      </c>
      <c r="E985" s="396">
        <v>119389</v>
      </c>
      <c r="F985" s="395">
        <v>3.73</v>
      </c>
      <c r="G985" s="396">
        <v>-32036</v>
      </c>
      <c r="H985" s="396">
        <v>12907</v>
      </c>
      <c r="I985" s="396">
        <v>1172307</v>
      </c>
      <c r="J985" s="395">
        <v>170</v>
      </c>
      <c r="K985" s="395">
        <v>123</v>
      </c>
      <c r="L985" s="397">
        <v>0.72350000000000003</v>
      </c>
      <c r="M985" s="395">
        <v>47</v>
      </c>
      <c r="N985" s="395">
        <v>514</v>
      </c>
      <c r="O985" s="395">
        <v>971</v>
      </c>
      <c r="P985" s="395">
        <v>1.42</v>
      </c>
      <c r="Q985" s="395">
        <v>-682</v>
      </c>
      <c r="R985" s="396">
        <v>3084</v>
      </c>
      <c r="S985" s="396">
        <v>-2286</v>
      </c>
      <c r="T985" s="396">
        <v>143014</v>
      </c>
      <c r="U985" s="396">
        <v>-46776</v>
      </c>
      <c r="V985" s="395">
        <v>11902.41</v>
      </c>
      <c r="W985" s="395">
        <v>12498.1</v>
      </c>
      <c r="X985" s="395">
        <v>77490</v>
      </c>
      <c r="Y985" s="395">
        <v>10343.469999999999</v>
      </c>
      <c r="Z985" s="396">
        <v>499166</v>
      </c>
      <c r="AA985" s="396">
        <v>87354</v>
      </c>
      <c r="AB985" s="396">
        <v>13038593</v>
      </c>
      <c r="AC985" s="396">
        <v>10207916</v>
      </c>
    </row>
    <row r="986" spans="1:29">
      <c r="A986">
        <v>4995</v>
      </c>
      <c r="B986" s="395" t="s">
        <v>7749</v>
      </c>
      <c r="C986" s="395"/>
      <c r="D986" s="396">
        <v>86978</v>
      </c>
      <c r="E986" s="396">
        <v>103763</v>
      </c>
      <c r="F986" s="395">
        <v>6.18</v>
      </c>
      <c r="G986" s="396">
        <v>-16786</v>
      </c>
      <c r="H986" s="396">
        <v>13754</v>
      </c>
      <c r="I986" s="396">
        <v>2120555</v>
      </c>
      <c r="J986" s="395">
        <v>94</v>
      </c>
      <c r="K986" s="395">
        <v>76</v>
      </c>
      <c r="L986" s="397">
        <v>0.8085</v>
      </c>
      <c r="M986" s="395">
        <v>18</v>
      </c>
      <c r="N986" s="395">
        <v>925</v>
      </c>
      <c r="O986" s="396">
        <v>1365</v>
      </c>
      <c r="P986" s="395">
        <v>1.46</v>
      </c>
      <c r="Q986" s="395">
        <v>-933</v>
      </c>
      <c r="R986" s="396">
        <v>4336</v>
      </c>
      <c r="S986" s="396">
        <v>-2160</v>
      </c>
      <c r="T986" s="396">
        <v>203948</v>
      </c>
      <c r="U986" s="396">
        <v>-108520</v>
      </c>
      <c r="V986" s="395">
        <v>21578.05</v>
      </c>
      <c r="W986" s="395">
        <v>20967.62</v>
      </c>
      <c r="X986" s="395">
        <v>76680</v>
      </c>
      <c r="Y986" s="395">
        <v>24155.439999999999</v>
      </c>
      <c r="Z986" s="396">
        <v>3211573</v>
      </c>
      <c r="AA986" s="396">
        <v>86978</v>
      </c>
      <c r="AB986" s="396">
        <v>3253938</v>
      </c>
      <c r="AC986" s="396">
        <v>10207916</v>
      </c>
    </row>
    <row r="987" spans="1:29">
      <c r="A987">
        <v>8034</v>
      </c>
      <c r="B987" s="395" t="s">
        <v>8233</v>
      </c>
      <c r="C987" s="395"/>
      <c r="D987" s="396">
        <v>86822</v>
      </c>
      <c r="E987" s="396">
        <v>146371</v>
      </c>
      <c r="F987" s="395">
        <v>2.46</v>
      </c>
      <c r="G987" s="396">
        <v>-59549</v>
      </c>
      <c r="H987" s="396">
        <v>17228</v>
      </c>
      <c r="I987" s="396">
        <v>719115</v>
      </c>
      <c r="J987" s="395">
        <v>243</v>
      </c>
      <c r="K987" s="395">
        <v>188</v>
      </c>
      <c r="L987" s="397">
        <v>0.77370000000000005</v>
      </c>
      <c r="M987" s="395">
        <v>55</v>
      </c>
      <c r="N987" s="395">
        <v>357</v>
      </c>
      <c r="O987" s="395">
        <v>779</v>
      </c>
      <c r="P987" s="395">
        <v>0.72</v>
      </c>
      <c r="Q987" s="396">
        <v>-1083</v>
      </c>
      <c r="R987" s="396">
        <v>4287</v>
      </c>
      <c r="S987" s="396">
        <v>-3529</v>
      </c>
      <c r="T987" s="396">
        <v>145134</v>
      </c>
      <c r="U987" s="396">
        <v>-80578</v>
      </c>
      <c r="V987" s="395">
        <v>3662.28</v>
      </c>
      <c r="W987" s="395">
        <v>2443.79</v>
      </c>
      <c r="X987" s="395">
        <v>77490</v>
      </c>
      <c r="Y987" s="395">
        <v>7827.31</v>
      </c>
      <c r="Z987" s="396">
        <v>-13782545</v>
      </c>
      <c r="AA987" s="396">
        <v>86822</v>
      </c>
      <c r="AB987" s="396">
        <v>-8381733</v>
      </c>
      <c r="AC987" s="396">
        <v>10207916</v>
      </c>
    </row>
    <row r="988" spans="1:29">
      <c r="A988">
        <v>6246</v>
      </c>
      <c r="B988" s="395" t="s">
        <v>8030</v>
      </c>
      <c r="C988" s="395"/>
      <c r="D988" s="396">
        <v>86741</v>
      </c>
      <c r="E988" s="396">
        <v>110595</v>
      </c>
      <c r="F988" s="395">
        <v>4.6399999999999997</v>
      </c>
      <c r="G988" s="396">
        <v>-23854</v>
      </c>
      <c r="H988" s="396">
        <v>14759</v>
      </c>
      <c r="I988" s="396">
        <v>274156</v>
      </c>
      <c r="J988" s="395">
        <v>215</v>
      </c>
      <c r="K988" s="395">
        <v>174</v>
      </c>
      <c r="L988" s="397">
        <v>0.80930000000000002</v>
      </c>
      <c r="M988" s="395">
        <v>41</v>
      </c>
      <c r="N988" s="395">
        <v>403</v>
      </c>
      <c r="O988" s="395">
        <v>636</v>
      </c>
      <c r="P988" s="395">
        <v>1.0900000000000001</v>
      </c>
      <c r="Q988" s="395">
        <v>-582</v>
      </c>
      <c r="R988" s="396">
        <v>2141</v>
      </c>
      <c r="S988" s="396">
        <v>-4180</v>
      </c>
      <c r="T988" s="396">
        <v>90719</v>
      </c>
      <c r="U988" s="396">
        <v>-35966</v>
      </c>
      <c r="V988" s="395">
        <v>1581.12</v>
      </c>
      <c r="W988" s="395">
        <v>1191.71</v>
      </c>
      <c r="X988" s="395">
        <v>77490</v>
      </c>
      <c r="Y988" s="395">
        <v>3233.73</v>
      </c>
      <c r="Z988" s="396">
        <v>-14463401</v>
      </c>
      <c r="AA988" s="396">
        <v>86741</v>
      </c>
      <c r="AB988" s="396">
        <v>1400641</v>
      </c>
      <c r="AC988" s="396">
        <v>10207916</v>
      </c>
    </row>
    <row r="989" spans="1:29">
      <c r="A989">
        <v>6130</v>
      </c>
      <c r="B989" s="395" t="s">
        <v>7931</v>
      </c>
      <c r="C989" s="395"/>
      <c r="D989" s="396">
        <v>86153</v>
      </c>
      <c r="E989" s="396">
        <v>100938</v>
      </c>
      <c r="F989" s="395">
        <v>6.83</v>
      </c>
      <c r="G989" s="396">
        <v>-14785</v>
      </c>
      <c r="H989" s="396">
        <v>12597</v>
      </c>
      <c r="I989" s="396">
        <v>210501</v>
      </c>
      <c r="J989" s="395">
        <v>88</v>
      </c>
      <c r="K989" s="395">
        <v>69</v>
      </c>
      <c r="L989" s="397">
        <v>0.78410000000000002</v>
      </c>
      <c r="M989" s="395">
        <v>19</v>
      </c>
      <c r="N989" s="395">
        <v>979</v>
      </c>
      <c r="O989" s="396">
        <v>1463</v>
      </c>
      <c r="P989" s="395">
        <v>1.88</v>
      </c>
      <c r="Q989" s="395">
        <v>-778</v>
      </c>
      <c r="R989" s="396">
        <v>5720</v>
      </c>
      <c r="S989" s="396">
        <v>-1955</v>
      </c>
      <c r="T989" s="396">
        <v>88158</v>
      </c>
      <c r="U989" s="396">
        <v>-31173</v>
      </c>
      <c r="V989" s="395">
        <v>1023.77</v>
      </c>
      <c r="W989" s="395">
        <v>699.29</v>
      </c>
      <c r="X989" s="395">
        <v>76140</v>
      </c>
      <c r="Y989" s="395">
        <v>2202.16</v>
      </c>
      <c r="Z989" s="396">
        <v>25626678</v>
      </c>
      <c r="AA989" s="396">
        <v>86153</v>
      </c>
      <c r="AB989" s="396">
        <v>58201794</v>
      </c>
      <c r="AC989" s="396">
        <v>10207916</v>
      </c>
    </row>
    <row r="990" spans="1:29">
      <c r="A990">
        <v>3066</v>
      </c>
      <c r="B990" s="395" t="s">
        <v>7300</v>
      </c>
      <c r="C990" s="395"/>
      <c r="D990" s="396">
        <v>85533</v>
      </c>
      <c r="E990" s="396">
        <v>108051</v>
      </c>
      <c r="F990" s="395">
        <v>4.8</v>
      </c>
      <c r="G990" s="396">
        <v>-22518</v>
      </c>
      <c r="H990" s="396">
        <v>11737</v>
      </c>
      <c r="I990" s="396">
        <v>310914</v>
      </c>
      <c r="J990" s="395">
        <v>144</v>
      </c>
      <c r="K990" s="395">
        <v>118</v>
      </c>
      <c r="L990" s="397">
        <v>0.81940000000000002</v>
      </c>
      <c r="M990" s="395">
        <v>26</v>
      </c>
      <c r="N990" s="395">
        <v>594</v>
      </c>
      <c r="O990" s="395">
        <v>916</v>
      </c>
      <c r="P990" s="395">
        <v>1.06</v>
      </c>
      <c r="Q990" s="395">
        <v>-866</v>
      </c>
      <c r="R990" s="396">
        <v>4844</v>
      </c>
      <c r="S990" s="396">
        <v>-5577</v>
      </c>
      <c r="T990" s="396">
        <v>91720</v>
      </c>
      <c r="U990" s="396">
        <v>-44123</v>
      </c>
      <c r="V990" s="395">
        <v>1288.42</v>
      </c>
      <c r="W990" s="395">
        <v>991.98</v>
      </c>
      <c r="X990" s="395">
        <v>77490</v>
      </c>
      <c r="Y990" s="395">
        <v>2633.81</v>
      </c>
      <c r="Z990" s="396">
        <v>77382008</v>
      </c>
      <c r="AA990" s="396">
        <v>85533</v>
      </c>
      <c r="AB990" s="396">
        <v>224346667</v>
      </c>
      <c r="AC990" s="396">
        <v>10207916</v>
      </c>
    </row>
    <row r="991" spans="1:29">
      <c r="A991">
        <v>6431</v>
      </c>
      <c r="B991" s="395" t="s">
        <v>8075</v>
      </c>
      <c r="C991" s="395"/>
      <c r="D991" s="396">
        <v>85495</v>
      </c>
      <c r="E991" s="396">
        <v>118470</v>
      </c>
      <c r="F991" s="395">
        <v>3.59</v>
      </c>
      <c r="G991" s="396">
        <v>-32975</v>
      </c>
      <c r="H991" s="396">
        <v>14655</v>
      </c>
      <c r="I991" s="396">
        <v>504971</v>
      </c>
      <c r="J991" s="395">
        <v>113</v>
      </c>
      <c r="K991" s="395">
        <v>77</v>
      </c>
      <c r="L991" s="397">
        <v>0.68140000000000001</v>
      </c>
      <c r="M991" s="395">
        <v>36</v>
      </c>
      <c r="N991" s="395">
        <v>757</v>
      </c>
      <c r="O991" s="396">
        <v>1539</v>
      </c>
      <c r="P991" s="395">
        <v>1.68</v>
      </c>
      <c r="Q991" s="395">
        <v>-916</v>
      </c>
      <c r="R991" s="396">
        <v>4068</v>
      </c>
      <c r="S991" s="396">
        <v>-3003</v>
      </c>
      <c r="T991" s="396">
        <v>109613</v>
      </c>
      <c r="U991" s="396">
        <v>-49204</v>
      </c>
      <c r="V991" s="395">
        <v>3217.61</v>
      </c>
      <c r="W991" s="395">
        <v>2225.2199999999998</v>
      </c>
      <c r="X991" s="395">
        <v>77490</v>
      </c>
      <c r="Y991" s="395">
        <v>5340.22</v>
      </c>
      <c r="Z991" s="396">
        <v>-9118854</v>
      </c>
      <c r="AA991" s="396">
        <v>85495</v>
      </c>
      <c r="AB991" s="396">
        <v>-3727273</v>
      </c>
      <c r="AC991" s="396">
        <v>10207916</v>
      </c>
    </row>
    <row r="992" spans="1:29">
      <c r="A992">
        <v>1474</v>
      </c>
      <c r="B992" s="395" t="s">
        <v>6779</v>
      </c>
      <c r="C992" s="395"/>
      <c r="D992" s="396">
        <v>85221</v>
      </c>
      <c r="E992" s="396">
        <v>109297</v>
      </c>
      <c r="F992" s="395">
        <v>4.54</v>
      </c>
      <c r="G992" s="396">
        <v>-24077</v>
      </c>
      <c r="H992" s="396">
        <v>15608</v>
      </c>
      <c r="I992" s="396">
        <v>802609</v>
      </c>
      <c r="J992" s="395">
        <v>259</v>
      </c>
      <c r="K992" s="395">
        <v>208</v>
      </c>
      <c r="L992" s="397">
        <v>0.80310000000000004</v>
      </c>
      <c r="M992" s="395">
        <v>51</v>
      </c>
      <c r="N992" s="395">
        <v>329</v>
      </c>
      <c r="O992" s="395">
        <v>525</v>
      </c>
      <c r="P992" s="395">
        <v>1.1100000000000001</v>
      </c>
      <c r="Q992" s="395">
        <v>-472</v>
      </c>
      <c r="R992" s="396">
        <v>1790</v>
      </c>
      <c r="S992" s="396">
        <v>-2619</v>
      </c>
      <c r="T992" s="396">
        <v>126881</v>
      </c>
      <c r="U992" s="396">
        <v>-69636</v>
      </c>
      <c r="V992" s="395">
        <v>3379.78</v>
      </c>
      <c r="W992" s="395">
        <v>2416.1</v>
      </c>
      <c r="X992" s="395">
        <v>77490</v>
      </c>
      <c r="Y992" s="395">
        <v>7310.1</v>
      </c>
      <c r="Z992" s="396">
        <v>-2041912</v>
      </c>
      <c r="AA992" s="396">
        <v>85221</v>
      </c>
      <c r="AB992" s="396">
        <v>7681163</v>
      </c>
      <c r="AC992" s="396">
        <v>10207916</v>
      </c>
    </row>
    <row r="993" spans="1:29">
      <c r="A993">
        <v>2312</v>
      </c>
      <c r="B993" s="395" t="s">
        <v>6977</v>
      </c>
      <c r="C993" s="395"/>
      <c r="D993" s="396">
        <v>85166</v>
      </c>
      <c r="E993" s="396">
        <v>122881</v>
      </c>
      <c r="F993" s="395">
        <v>3.26</v>
      </c>
      <c r="G993" s="396">
        <v>-37715</v>
      </c>
      <c r="H993" s="396">
        <v>14657</v>
      </c>
      <c r="I993" s="396">
        <v>1469659</v>
      </c>
      <c r="J993" s="395">
        <v>264</v>
      </c>
      <c r="K993" s="395">
        <v>231</v>
      </c>
      <c r="L993" s="397">
        <v>0.875</v>
      </c>
      <c r="M993" s="395">
        <v>33</v>
      </c>
      <c r="N993" s="395">
        <v>323</v>
      </c>
      <c r="O993" s="395">
        <v>532</v>
      </c>
      <c r="P993" s="395">
        <v>0.47</v>
      </c>
      <c r="Q993" s="396">
        <v>-1143</v>
      </c>
      <c r="R993" s="396">
        <v>1950</v>
      </c>
      <c r="S993" s="396">
        <v>-4594</v>
      </c>
      <c r="T993" s="396">
        <v>219790</v>
      </c>
      <c r="U993" s="396">
        <v>-163921</v>
      </c>
      <c r="V993" s="395">
        <v>7933.16</v>
      </c>
      <c r="W993" s="395">
        <v>7015.32</v>
      </c>
      <c r="X993" s="395">
        <v>77490</v>
      </c>
      <c r="Y993" s="395">
        <v>14357.97</v>
      </c>
      <c r="Z993" s="396">
        <v>-7875126</v>
      </c>
      <c r="AA993" s="396">
        <v>85166</v>
      </c>
      <c r="AB993" s="396">
        <v>9075667</v>
      </c>
      <c r="AC993" s="396">
        <v>10207916</v>
      </c>
    </row>
    <row r="994" spans="1:29">
      <c r="A994">
        <v>6134</v>
      </c>
      <c r="B994" s="395" t="s">
        <v>7933</v>
      </c>
      <c r="C994" s="395"/>
      <c r="D994" s="396">
        <v>85142</v>
      </c>
      <c r="E994" s="396">
        <v>245044</v>
      </c>
      <c r="F994" s="395">
        <v>1.53</v>
      </c>
      <c r="G994" s="396">
        <v>-159902</v>
      </c>
      <c r="H994" s="396">
        <v>19381</v>
      </c>
      <c r="I994" s="396">
        <v>1116537</v>
      </c>
      <c r="J994" s="395">
        <v>228</v>
      </c>
      <c r="K994" s="395">
        <v>165</v>
      </c>
      <c r="L994" s="397">
        <v>0.72370000000000001</v>
      </c>
      <c r="M994" s="395">
        <v>63</v>
      </c>
      <c r="N994" s="395">
        <v>373</v>
      </c>
      <c r="O994" s="396">
        <v>1485</v>
      </c>
      <c r="P994" s="395">
        <v>0.59</v>
      </c>
      <c r="Q994" s="396">
        <v>-2538</v>
      </c>
      <c r="R994" s="396">
        <v>5557</v>
      </c>
      <c r="S994" s="396">
        <v>-10505</v>
      </c>
      <c r="T994" s="396">
        <v>358127</v>
      </c>
      <c r="U994" s="396">
        <v>-273050</v>
      </c>
      <c r="V994" s="395">
        <v>3890.58</v>
      </c>
      <c r="W994" s="395">
        <v>2276.14</v>
      </c>
      <c r="X994" s="395">
        <v>75600</v>
      </c>
      <c r="Y994" s="395">
        <v>8118.89</v>
      </c>
      <c r="Z994" s="396">
        <v>-22254480</v>
      </c>
      <c r="AA994" s="396">
        <v>85142</v>
      </c>
      <c r="AB994" s="396">
        <v>17801692</v>
      </c>
      <c r="AC994" s="396">
        <v>10207916</v>
      </c>
    </row>
    <row r="995" spans="1:29">
      <c r="A995">
        <v>3268</v>
      </c>
      <c r="B995" s="395" t="s">
        <v>7368</v>
      </c>
      <c r="C995" s="395"/>
      <c r="D995" s="396">
        <v>84819</v>
      </c>
      <c r="E995" s="396">
        <v>270056</v>
      </c>
      <c r="F995" s="395">
        <v>1.46</v>
      </c>
      <c r="G995" s="396">
        <v>-185237</v>
      </c>
      <c r="H995" s="396">
        <v>24957</v>
      </c>
      <c r="I995" s="396">
        <v>1071212</v>
      </c>
      <c r="J995" s="395">
        <v>210</v>
      </c>
      <c r="K995" s="395">
        <v>139</v>
      </c>
      <c r="L995" s="397">
        <v>0.66190000000000004</v>
      </c>
      <c r="M995" s="395">
        <v>71</v>
      </c>
      <c r="N995" s="395">
        <v>404</v>
      </c>
      <c r="O995" s="396">
        <v>1943</v>
      </c>
      <c r="P995" s="395">
        <v>0.74</v>
      </c>
      <c r="Q995" s="396">
        <v>-2609</v>
      </c>
      <c r="R995" s="396">
        <v>8190</v>
      </c>
      <c r="S995" s="396">
        <v>-7060</v>
      </c>
      <c r="T995" s="396">
        <v>254677</v>
      </c>
      <c r="U995" s="396">
        <v>-187572</v>
      </c>
      <c r="V995" s="395">
        <v>3634.74</v>
      </c>
      <c r="W995" s="395">
        <v>2045.38</v>
      </c>
      <c r="X995" s="395">
        <v>77490</v>
      </c>
      <c r="Y995" s="395">
        <v>6746.31</v>
      </c>
      <c r="Z995" s="396">
        <v>-16008582</v>
      </c>
      <c r="AA995" s="396">
        <v>84819</v>
      </c>
      <c r="AB995" s="396">
        <v>24323873</v>
      </c>
      <c r="AC995" s="396">
        <v>10207916</v>
      </c>
    </row>
    <row r="996" spans="1:29">
      <c r="A996">
        <v>6124</v>
      </c>
      <c r="B996" s="395" t="s">
        <v>7925</v>
      </c>
      <c r="C996" s="395"/>
      <c r="D996" s="396">
        <v>84470</v>
      </c>
      <c r="E996" s="396">
        <v>133294</v>
      </c>
      <c r="F996" s="395">
        <v>2.73</v>
      </c>
      <c r="G996" s="396">
        <v>-48824</v>
      </c>
      <c r="H996" s="396">
        <v>22280</v>
      </c>
      <c r="I996" s="396">
        <v>1321597</v>
      </c>
      <c r="J996" s="395">
        <v>202</v>
      </c>
      <c r="K996" s="395">
        <v>138</v>
      </c>
      <c r="L996" s="397">
        <v>0.68320000000000003</v>
      </c>
      <c r="M996" s="395">
        <v>63</v>
      </c>
      <c r="N996" s="395">
        <v>418</v>
      </c>
      <c r="O996" s="395">
        <v>966</v>
      </c>
      <c r="P996" s="395">
        <v>1.25</v>
      </c>
      <c r="Q996" s="395">
        <v>-775</v>
      </c>
      <c r="R996" s="396">
        <v>3435</v>
      </c>
      <c r="S996" s="396">
        <v>-2856</v>
      </c>
      <c r="T996" s="396">
        <v>149248</v>
      </c>
      <c r="U996" s="396">
        <v>-107528</v>
      </c>
      <c r="V996" s="395">
        <v>6067.72</v>
      </c>
      <c r="W996" s="395">
        <v>3743.77</v>
      </c>
      <c r="X996" s="395">
        <v>75600</v>
      </c>
      <c r="Y996" s="395">
        <v>11010.3</v>
      </c>
      <c r="Z996" s="396">
        <v>-1515322</v>
      </c>
      <c r="AA996" s="396">
        <v>84470</v>
      </c>
      <c r="AB996" s="396">
        <v>-7811864</v>
      </c>
      <c r="AC996" s="396">
        <v>10207916</v>
      </c>
    </row>
    <row r="997" spans="1:29">
      <c r="A997">
        <v>3686</v>
      </c>
      <c r="B997" s="395" t="s">
        <v>7531</v>
      </c>
      <c r="C997" s="395"/>
      <c r="D997" s="396">
        <v>84339</v>
      </c>
      <c r="E997" s="396">
        <v>120434</v>
      </c>
      <c r="F997" s="395">
        <v>3.34</v>
      </c>
      <c r="G997" s="396">
        <v>-36095</v>
      </c>
      <c r="H997" s="396">
        <v>13661</v>
      </c>
      <c r="I997" s="396">
        <v>486303</v>
      </c>
      <c r="J997" s="395">
        <v>201</v>
      </c>
      <c r="K997" s="395">
        <v>156</v>
      </c>
      <c r="L997" s="397">
        <v>0.77610000000000001</v>
      </c>
      <c r="M997" s="395">
        <v>45</v>
      </c>
      <c r="N997" s="395">
        <v>420</v>
      </c>
      <c r="O997" s="395">
        <v>772</v>
      </c>
      <c r="P997" s="395">
        <v>0.96</v>
      </c>
      <c r="Q997" s="395">
        <v>-802</v>
      </c>
      <c r="R997" s="396">
        <v>2589</v>
      </c>
      <c r="S997" s="396">
        <v>-3272</v>
      </c>
      <c r="T997" s="396">
        <v>95440</v>
      </c>
      <c r="U997" s="396">
        <v>-48339</v>
      </c>
      <c r="V997" s="395">
        <v>3142.64</v>
      </c>
      <c r="W997" s="395">
        <v>2055.19</v>
      </c>
      <c r="X997" s="395">
        <v>77490</v>
      </c>
      <c r="Y997" s="395">
        <v>6912.47</v>
      </c>
      <c r="Z997" s="396">
        <v>-8696891</v>
      </c>
      <c r="AA997" s="396">
        <v>84339</v>
      </c>
      <c r="AB997" s="396">
        <v>-6764384</v>
      </c>
      <c r="AC997" s="396">
        <v>10207916</v>
      </c>
    </row>
    <row r="998" spans="1:29">
      <c r="A998">
        <v>2630</v>
      </c>
      <c r="B998" s="395" t="s">
        <v>7154</v>
      </c>
      <c r="C998" s="395"/>
      <c r="D998" s="396">
        <v>84314</v>
      </c>
      <c r="E998" s="396">
        <v>127583</v>
      </c>
      <c r="F998" s="395">
        <v>2.95</v>
      </c>
      <c r="G998" s="396">
        <v>-43268</v>
      </c>
      <c r="H998" s="396">
        <v>15021</v>
      </c>
      <c r="I998" s="396">
        <v>605380</v>
      </c>
      <c r="J998" s="395">
        <v>198</v>
      </c>
      <c r="K998" s="395">
        <v>156</v>
      </c>
      <c r="L998" s="397">
        <v>0.78790000000000004</v>
      </c>
      <c r="M998" s="395">
        <v>42</v>
      </c>
      <c r="N998" s="395">
        <v>426</v>
      </c>
      <c r="O998" s="395">
        <v>818</v>
      </c>
      <c r="P998" s="395">
        <v>0.79</v>
      </c>
      <c r="Q998" s="396">
        <v>-1030</v>
      </c>
      <c r="R998" s="396">
        <v>3884</v>
      </c>
      <c r="S998" s="396">
        <v>-7339</v>
      </c>
      <c r="T998" s="396">
        <v>134927</v>
      </c>
      <c r="U998" s="396">
        <v>-59238</v>
      </c>
      <c r="V998" s="395">
        <v>3375.83</v>
      </c>
      <c r="W998" s="395">
        <v>2805.41</v>
      </c>
      <c r="X998" s="395">
        <v>77490</v>
      </c>
      <c r="Y998" s="395">
        <v>5494.55</v>
      </c>
      <c r="Z998" s="396">
        <v>-8844995</v>
      </c>
      <c r="AA998" s="396">
        <v>84314</v>
      </c>
      <c r="AB998" s="396">
        <v>5453257</v>
      </c>
      <c r="AC998" s="396">
        <v>10207916</v>
      </c>
    </row>
    <row r="999" spans="1:29">
      <c r="A999">
        <v>6506</v>
      </c>
      <c r="B999" s="395" t="s">
        <v>8106</v>
      </c>
      <c r="C999" s="395"/>
      <c r="D999" s="396">
        <v>84012</v>
      </c>
      <c r="E999" s="396">
        <v>94595</v>
      </c>
      <c r="F999" s="395">
        <v>8.94</v>
      </c>
      <c r="G999" s="396">
        <v>-10583</v>
      </c>
      <c r="H999" s="396">
        <v>12942</v>
      </c>
      <c r="I999" s="396">
        <v>638726</v>
      </c>
      <c r="J999" s="395">
        <v>179</v>
      </c>
      <c r="K999" s="395">
        <v>164</v>
      </c>
      <c r="L999" s="397">
        <v>0.91620000000000001</v>
      </c>
      <c r="M999" s="395">
        <v>15</v>
      </c>
      <c r="N999" s="395">
        <v>469</v>
      </c>
      <c r="O999" s="395">
        <v>577</v>
      </c>
      <c r="P999" s="395">
        <v>0.82</v>
      </c>
      <c r="Q999" s="395">
        <v>-706</v>
      </c>
      <c r="R999" s="396">
        <v>2213</v>
      </c>
      <c r="S999" s="396">
        <v>-3688</v>
      </c>
      <c r="T999" s="396">
        <v>86602</v>
      </c>
      <c r="U999" s="396">
        <v>-18864</v>
      </c>
      <c r="V999" s="395">
        <v>3455.25</v>
      </c>
      <c r="W999" s="395">
        <v>3342.54</v>
      </c>
      <c r="X999" s="395">
        <v>77490</v>
      </c>
      <c r="Y999" s="395">
        <v>4687.53</v>
      </c>
      <c r="Z999" s="396">
        <v>467596</v>
      </c>
      <c r="AA999" s="396">
        <v>84012</v>
      </c>
      <c r="AB999" s="396">
        <v>10429942</v>
      </c>
      <c r="AC999" s="396">
        <v>10207916</v>
      </c>
    </row>
    <row r="1000" spans="1:29">
      <c r="A1000">
        <v>3025</v>
      </c>
      <c r="B1000" s="395" t="s">
        <v>7264</v>
      </c>
      <c r="C1000" s="395"/>
      <c r="D1000" s="396">
        <v>83637</v>
      </c>
      <c r="E1000" s="396">
        <v>363049</v>
      </c>
      <c r="F1000" s="395">
        <v>1.3</v>
      </c>
      <c r="G1000" s="396">
        <v>-279412</v>
      </c>
      <c r="H1000" s="396">
        <v>26289</v>
      </c>
      <c r="I1000" s="396">
        <v>2717757</v>
      </c>
      <c r="J1000" s="395">
        <v>252</v>
      </c>
      <c r="K1000" s="395">
        <v>160</v>
      </c>
      <c r="L1000" s="397">
        <v>0.63490000000000002</v>
      </c>
      <c r="M1000" s="395">
        <v>92</v>
      </c>
      <c r="N1000" s="395">
        <v>332</v>
      </c>
      <c r="O1000" s="396">
        <v>2269</v>
      </c>
      <c r="P1000" s="395">
        <v>0.75</v>
      </c>
      <c r="Q1000" s="396">
        <v>-3037</v>
      </c>
      <c r="R1000" s="396">
        <v>6465</v>
      </c>
      <c r="S1000" s="396">
        <v>-12924</v>
      </c>
      <c r="T1000" s="396">
        <v>734095</v>
      </c>
      <c r="U1000" s="396">
        <v>-631944</v>
      </c>
      <c r="V1000" s="395">
        <v>10174.44</v>
      </c>
      <c r="W1000" s="395">
        <v>7084.6</v>
      </c>
      <c r="X1000" s="395">
        <v>77490</v>
      </c>
      <c r="Y1000" s="395">
        <v>15548.08</v>
      </c>
      <c r="Z1000" s="396">
        <v>-27014832</v>
      </c>
      <c r="AA1000" s="396">
        <v>83637</v>
      </c>
      <c r="AB1000" s="396">
        <v>-26725209</v>
      </c>
      <c r="AC1000" s="396">
        <v>10207916</v>
      </c>
    </row>
    <row r="1001" spans="1:29">
      <c r="A1001">
        <v>6108</v>
      </c>
      <c r="B1001" s="395" t="s">
        <v>7911</v>
      </c>
      <c r="C1001" s="395"/>
      <c r="D1001" s="396">
        <v>83204</v>
      </c>
      <c r="E1001" s="396">
        <v>139197</v>
      </c>
      <c r="F1001" s="395">
        <v>2.4900000000000002</v>
      </c>
      <c r="G1001" s="396">
        <v>-55993</v>
      </c>
      <c r="H1001" s="396">
        <v>22201</v>
      </c>
      <c r="I1001" s="396">
        <v>891535</v>
      </c>
      <c r="J1001" s="395">
        <v>258</v>
      </c>
      <c r="K1001" s="395">
        <v>204</v>
      </c>
      <c r="L1001" s="397">
        <v>0.79069999999999996</v>
      </c>
      <c r="M1001" s="395">
        <v>54</v>
      </c>
      <c r="N1001" s="395">
        <v>322</v>
      </c>
      <c r="O1001" s="395">
        <v>682</v>
      </c>
      <c r="P1001" s="395">
        <v>0.66</v>
      </c>
      <c r="Q1001" s="396">
        <v>-1037</v>
      </c>
      <c r="R1001" s="396">
        <v>2974</v>
      </c>
      <c r="S1001" s="396">
        <v>-3136</v>
      </c>
      <c r="T1001" s="396">
        <v>134713</v>
      </c>
      <c r="U1001" s="396">
        <v>-56465</v>
      </c>
      <c r="V1001" s="395">
        <v>3587.22</v>
      </c>
      <c r="W1001" s="395">
        <v>2730.91</v>
      </c>
      <c r="X1001" s="395">
        <v>77490</v>
      </c>
      <c r="Y1001" s="395">
        <v>6822.17</v>
      </c>
      <c r="Z1001" s="396">
        <v>-16801913</v>
      </c>
      <c r="AA1001" s="396">
        <v>83204</v>
      </c>
      <c r="AB1001" s="396">
        <v>-281559</v>
      </c>
      <c r="AC1001" s="396">
        <v>10207916</v>
      </c>
    </row>
    <row r="1002" spans="1:29">
      <c r="A1002">
        <v>8488</v>
      </c>
      <c r="B1002" s="395" t="s">
        <v>8364</v>
      </c>
      <c r="C1002" s="395"/>
      <c r="D1002" s="396">
        <v>83140</v>
      </c>
      <c r="E1002" s="396">
        <v>99142</v>
      </c>
      <c r="F1002" s="395">
        <v>6.2</v>
      </c>
      <c r="G1002" s="396">
        <v>-16002</v>
      </c>
      <c r="H1002" s="396">
        <v>9073</v>
      </c>
      <c r="I1002" s="396">
        <v>589083</v>
      </c>
      <c r="J1002" s="395">
        <v>138</v>
      </c>
      <c r="K1002" s="395">
        <v>113</v>
      </c>
      <c r="L1002" s="397">
        <v>0.81879999999999997</v>
      </c>
      <c r="M1002" s="395">
        <v>25</v>
      </c>
      <c r="N1002" s="395">
        <v>602</v>
      </c>
      <c r="O1002" s="395">
        <v>877</v>
      </c>
      <c r="P1002" s="395">
        <v>1.37</v>
      </c>
      <c r="Q1002" s="395">
        <v>-640</v>
      </c>
      <c r="R1002" s="396">
        <v>2384</v>
      </c>
      <c r="S1002" s="396">
        <v>-2445</v>
      </c>
      <c r="T1002" s="396">
        <v>94108</v>
      </c>
      <c r="U1002" s="396">
        <v>-34192</v>
      </c>
      <c r="V1002" s="395">
        <v>7319.17</v>
      </c>
      <c r="W1002" s="395">
        <v>6243.63</v>
      </c>
      <c r="X1002" s="395">
        <v>75330</v>
      </c>
      <c r="Y1002" s="395">
        <v>12180.64</v>
      </c>
      <c r="Z1002" s="396">
        <v>-3614708</v>
      </c>
      <c r="AA1002" s="396">
        <v>83140</v>
      </c>
      <c r="AB1002" s="396">
        <v>3260637</v>
      </c>
      <c r="AC1002" s="396">
        <v>10207916</v>
      </c>
    </row>
    <row r="1003" spans="1:29">
      <c r="A1003">
        <v>3360</v>
      </c>
      <c r="B1003" s="395" t="s">
        <v>7403</v>
      </c>
      <c r="C1003" s="395"/>
      <c r="D1003" s="396">
        <v>83135</v>
      </c>
      <c r="E1003" s="396">
        <v>92368</v>
      </c>
      <c r="F1003" s="395">
        <v>10</v>
      </c>
      <c r="G1003" s="396">
        <v>-9233</v>
      </c>
      <c r="H1003" s="396">
        <v>14270</v>
      </c>
      <c r="I1003" s="396">
        <v>571517</v>
      </c>
      <c r="J1003" s="395">
        <v>227</v>
      </c>
      <c r="K1003" s="395">
        <v>203</v>
      </c>
      <c r="L1003" s="397">
        <v>0.89429999999999998</v>
      </c>
      <c r="M1003" s="395">
        <v>24</v>
      </c>
      <c r="N1003" s="395">
        <v>366</v>
      </c>
      <c r="O1003" s="395">
        <v>455</v>
      </c>
      <c r="P1003" s="395">
        <v>1.18</v>
      </c>
      <c r="Q1003" s="395">
        <v>-385</v>
      </c>
      <c r="R1003" s="396">
        <v>1789</v>
      </c>
      <c r="S1003" s="396">
        <v>-2369</v>
      </c>
      <c r="T1003" s="396">
        <v>85184</v>
      </c>
      <c r="U1003" s="396">
        <v>-15766</v>
      </c>
      <c r="V1003" s="395">
        <v>3642.67</v>
      </c>
      <c r="W1003" s="395">
        <v>3242.7</v>
      </c>
      <c r="X1003" s="395">
        <v>77490</v>
      </c>
      <c r="Y1003" s="395">
        <v>7025.75</v>
      </c>
      <c r="Z1003" s="396">
        <v>-9688478</v>
      </c>
      <c r="AA1003" s="396">
        <v>83135</v>
      </c>
      <c r="AB1003" s="396">
        <v>7821681</v>
      </c>
      <c r="AC1003" s="396">
        <v>10207916</v>
      </c>
    </row>
    <row r="1004" spans="1:29">
      <c r="A1004">
        <v>6570</v>
      </c>
      <c r="B1004" s="395" t="s">
        <v>8134</v>
      </c>
      <c r="C1004" s="395"/>
      <c r="D1004" s="396">
        <v>82999</v>
      </c>
      <c r="E1004" s="396">
        <v>110902</v>
      </c>
      <c r="F1004" s="395">
        <v>3.97</v>
      </c>
      <c r="G1004" s="396">
        <v>-27903</v>
      </c>
      <c r="H1004" s="396">
        <v>18508</v>
      </c>
      <c r="I1004" s="396">
        <v>639979</v>
      </c>
      <c r="J1004" s="395">
        <v>125</v>
      </c>
      <c r="K1004" s="395">
        <v>96</v>
      </c>
      <c r="L1004" s="397">
        <v>0.76800000000000002</v>
      </c>
      <c r="M1004" s="395">
        <v>29</v>
      </c>
      <c r="N1004" s="395">
        <v>664</v>
      </c>
      <c r="O1004" s="396">
        <v>1155</v>
      </c>
      <c r="P1004" s="395">
        <v>1.2</v>
      </c>
      <c r="Q1004" s="395">
        <v>-962</v>
      </c>
      <c r="R1004" s="396">
        <v>3369</v>
      </c>
      <c r="S1004" s="396">
        <v>-2785</v>
      </c>
      <c r="T1004" s="396">
        <v>104443</v>
      </c>
      <c r="U1004" s="396">
        <v>-27795</v>
      </c>
      <c r="V1004" s="395">
        <v>2281.54</v>
      </c>
      <c r="W1004" s="395">
        <v>1828.54</v>
      </c>
      <c r="X1004" s="395">
        <v>77490</v>
      </c>
      <c r="Y1004" s="395">
        <v>3781.14</v>
      </c>
      <c r="Z1004" s="396">
        <v>11044147</v>
      </c>
      <c r="AA1004" s="396">
        <v>82999</v>
      </c>
      <c r="AB1004" s="396">
        <v>23356624</v>
      </c>
      <c r="AC1004" s="396">
        <v>10207916</v>
      </c>
    </row>
    <row r="1005" spans="1:29">
      <c r="A1005">
        <v>1473</v>
      </c>
      <c r="B1005" s="395" t="s">
        <v>6778</v>
      </c>
      <c r="C1005" s="395"/>
      <c r="D1005" s="396">
        <v>82786</v>
      </c>
      <c r="E1005" s="396">
        <v>96599</v>
      </c>
      <c r="F1005" s="395">
        <v>6.99</v>
      </c>
      <c r="G1005" s="396">
        <v>-13813</v>
      </c>
      <c r="H1005" s="396">
        <v>15741</v>
      </c>
      <c r="I1005" s="396">
        <v>932507</v>
      </c>
      <c r="J1005" s="395">
        <v>215</v>
      </c>
      <c r="K1005" s="395">
        <v>183</v>
      </c>
      <c r="L1005" s="397">
        <v>0.85119999999999996</v>
      </c>
      <c r="M1005" s="395">
        <v>32</v>
      </c>
      <c r="N1005" s="395">
        <v>385</v>
      </c>
      <c r="O1005" s="395">
        <v>528</v>
      </c>
      <c r="P1005" s="395">
        <v>1.22</v>
      </c>
      <c r="Q1005" s="395">
        <v>-432</v>
      </c>
      <c r="R1005" s="396">
        <v>1778</v>
      </c>
      <c r="S1005" s="396">
        <v>-1278</v>
      </c>
      <c r="T1005" s="396">
        <v>106064</v>
      </c>
      <c r="U1005" s="396">
        <v>-42072</v>
      </c>
      <c r="V1005" s="395">
        <v>7683.09</v>
      </c>
      <c r="W1005" s="395">
        <v>7248.39</v>
      </c>
      <c r="X1005" s="395">
        <v>77490</v>
      </c>
      <c r="Y1005" s="395">
        <v>10169.030000000001</v>
      </c>
      <c r="Z1005" s="396">
        <v>-5081485</v>
      </c>
      <c r="AA1005" s="396">
        <v>82786</v>
      </c>
      <c r="AB1005" s="396">
        <v>-956966</v>
      </c>
      <c r="AC1005" s="396">
        <v>10207916</v>
      </c>
    </row>
    <row r="1006" spans="1:29">
      <c r="A1006">
        <v>3703</v>
      </c>
      <c r="B1006" s="395" t="s">
        <v>7539</v>
      </c>
      <c r="C1006" s="395"/>
      <c r="D1006" s="396">
        <v>82439</v>
      </c>
      <c r="E1006" s="396">
        <v>140862</v>
      </c>
      <c r="F1006" s="395">
        <v>2.41</v>
      </c>
      <c r="G1006" s="396">
        <v>-58423</v>
      </c>
      <c r="H1006" s="396">
        <v>25603</v>
      </c>
      <c r="I1006" s="396">
        <v>1113734</v>
      </c>
      <c r="J1006" s="395">
        <v>261</v>
      </c>
      <c r="K1006" s="395">
        <v>191</v>
      </c>
      <c r="L1006" s="397">
        <v>0.73180000000000001</v>
      </c>
      <c r="M1006" s="395">
        <v>70</v>
      </c>
      <c r="N1006" s="395">
        <v>316</v>
      </c>
      <c r="O1006" s="395">
        <v>737</v>
      </c>
      <c r="P1006" s="395">
        <v>0.88</v>
      </c>
      <c r="Q1006" s="395">
        <v>-835</v>
      </c>
      <c r="R1006" s="396">
        <v>2451</v>
      </c>
      <c r="S1006" s="396">
        <v>-2759</v>
      </c>
      <c r="T1006" s="396">
        <v>143579</v>
      </c>
      <c r="U1006" s="396">
        <v>-106144</v>
      </c>
      <c r="V1006" s="395">
        <v>3029.48</v>
      </c>
      <c r="W1006" s="395">
        <v>1672.06</v>
      </c>
      <c r="X1006" s="395">
        <v>77490</v>
      </c>
      <c r="Y1006" s="395">
        <v>6733.29</v>
      </c>
      <c r="Z1006" s="396">
        <v>-1813854</v>
      </c>
      <c r="AA1006" s="396">
        <v>82439</v>
      </c>
      <c r="AB1006" s="396">
        <v>9592706</v>
      </c>
      <c r="AC1006" s="396">
        <v>10207916</v>
      </c>
    </row>
    <row r="1007" spans="1:29">
      <c r="A1007">
        <v>8222</v>
      </c>
      <c r="B1007" s="395" t="s">
        <v>8297</v>
      </c>
      <c r="C1007" s="395"/>
      <c r="D1007" s="396">
        <v>82438</v>
      </c>
      <c r="E1007" s="396">
        <v>100573</v>
      </c>
      <c r="F1007" s="395">
        <v>5.55</v>
      </c>
      <c r="G1007" s="396">
        <v>-18135</v>
      </c>
      <c r="H1007" s="396">
        <v>14112</v>
      </c>
      <c r="I1007" s="396">
        <v>413060</v>
      </c>
      <c r="J1007" s="395">
        <v>244</v>
      </c>
      <c r="K1007" s="395">
        <v>206</v>
      </c>
      <c r="L1007" s="397">
        <v>0.84430000000000005</v>
      </c>
      <c r="M1007" s="395">
        <v>38</v>
      </c>
      <c r="N1007" s="395">
        <v>338</v>
      </c>
      <c r="O1007" s="395">
        <v>488</v>
      </c>
      <c r="P1007" s="395">
        <v>1.02</v>
      </c>
      <c r="Q1007" s="395">
        <v>-477</v>
      </c>
      <c r="R1007" s="396">
        <v>1699</v>
      </c>
      <c r="S1007" s="396">
        <v>-1557</v>
      </c>
      <c r="T1007" s="396">
        <v>98162</v>
      </c>
      <c r="U1007" s="396">
        <v>-25077</v>
      </c>
      <c r="V1007" s="395">
        <v>2592.79</v>
      </c>
      <c r="W1007" s="395">
        <v>2216.44</v>
      </c>
      <c r="X1007" s="395">
        <v>77490</v>
      </c>
      <c r="Y1007" s="395">
        <v>4633</v>
      </c>
      <c r="Z1007" s="396">
        <v>5646815</v>
      </c>
      <c r="AA1007" s="396">
        <v>82438</v>
      </c>
      <c r="AB1007" s="396">
        <v>2765799</v>
      </c>
      <c r="AC1007" s="396">
        <v>10207916</v>
      </c>
    </row>
    <row r="1008" spans="1:29">
      <c r="A1008">
        <v>1517</v>
      </c>
      <c r="B1008" s="395" t="s">
        <v>6792</v>
      </c>
      <c r="C1008" s="395"/>
      <c r="D1008" s="396">
        <v>82248</v>
      </c>
      <c r="E1008" s="396">
        <v>185454</v>
      </c>
      <c r="F1008" s="395">
        <v>1.8</v>
      </c>
      <c r="G1008" s="396">
        <v>-103206</v>
      </c>
      <c r="H1008" s="396">
        <v>25704</v>
      </c>
      <c r="I1008" s="396">
        <v>615158</v>
      </c>
      <c r="J1008" s="395">
        <v>260</v>
      </c>
      <c r="K1008" s="395">
        <v>189</v>
      </c>
      <c r="L1008" s="397">
        <v>0.72689999999999999</v>
      </c>
      <c r="M1008" s="395">
        <v>71</v>
      </c>
      <c r="N1008" s="395">
        <v>316</v>
      </c>
      <c r="O1008" s="395">
        <v>981</v>
      </c>
      <c r="P1008" s="395">
        <v>0.67</v>
      </c>
      <c r="Q1008" s="396">
        <v>-1454</v>
      </c>
      <c r="R1008" s="396">
        <v>4247</v>
      </c>
      <c r="S1008" s="396">
        <v>-4621</v>
      </c>
      <c r="T1008" s="396">
        <v>155857</v>
      </c>
      <c r="U1008" s="396">
        <v>-84766</v>
      </c>
      <c r="V1008" s="395">
        <v>2162.9899999999998</v>
      </c>
      <c r="W1008" s="395">
        <v>1320.26</v>
      </c>
      <c r="X1008" s="395">
        <v>77490</v>
      </c>
      <c r="Y1008" s="395">
        <v>4406.3100000000004</v>
      </c>
      <c r="Z1008" s="396">
        <v>-15244883</v>
      </c>
      <c r="AA1008" s="396">
        <v>82248</v>
      </c>
      <c r="AB1008" s="396">
        <v>34197408</v>
      </c>
      <c r="AC1008" s="396">
        <v>10207916</v>
      </c>
    </row>
    <row r="1009" spans="1:29">
      <c r="A1009">
        <v>1786</v>
      </c>
      <c r="B1009" s="395" t="s">
        <v>6884</v>
      </c>
      <c r="C1009" s="395"/>
      <c r="D1009" s="396">
        <v>82076</v>
      </c>
      <c r="E1009" s="396">
        <v>290410</v>
      </c>
      <c r="F1009" s="395">
        <v>1.39</v>
      </c>
      <c r="G1009" s="396">
        <v>-208334</v>
      </c>
      <c r="H1009" s="396">
        <v>42168</v>
      </c>
      <c r="I1009" s="396">
        <v>2639879</v>
      </c>
      <c r="J1009" s="395">
        <v>197</v>
      </c>
      <c r="K1009" s="395">
        <v>137</v>
      </c>
      <c r="L1009" s="397">
        <v>0.69540000000000002</v>
      </c>
      <c r="M1009" s="395">
        <v>60</v>
      </c>
      <c r="N1009" s="395">
        <v>417</v>
      </c>
      <c r="O1009" s="396">
        <v>2120</v>
      </c>
      <c r="P1009" s="395">
        <v>0.61</v>
      </c>
      <c r="Q1009" s="396">
        <v>-3472</v>
      </c>
      <c r="R1009" s="396">
        <v>9295</v>
      </c>
      <c r="S1009" s="396">
        <v>-8430</v>
      </c>
      <c r="T1009" s="396">
        <v>343243</v>
      </c>
      <c r="U1009" s="396">
        <v>-201191</v>
      </c>
      <c r="V1009" s="395">
        <v>5362.86</v>
      </c>
      <c r="W1009" s="395">
        <v>4197.8500000000004</v>
      </c>
      <c r="X1009" s="395">
        <v>77490</v>
      </c>
      <c r="Y1009" s="395">
        <v>8022.98</v>
      </c>
      <c r="Z1009" s="396">
        <v>-14464248</v>
      </c>
      <c r="AA1009" s="396">
        <v>82076</v>
      </c>
      <c r="AB1009" s="396">
        <v>-13749323</v>
      </c>
      <c r="AC1009" s="396">
        <v>10207916</v>
      </c>
    </row>
    <row r="1010" spans="1:29">
      <c r="A1010">
        <v>3522</v>
      </c>
      <c r="B1010" s="395" t="s">
        <v>7454</v>
      </c>
      <c r="C1010" s="395"/>
      <c r="D1010" s="396">
        <v>81952</v>
      </c>
      <c r="E1010" s="396">
        <v>137712</v>
      </c>
      <c r="F1010" s="395">
        <v>2.4700000000000002</v>
      </c>
      <c r="G1010" s="396">
        <v>-55760</v>
      </c>
      <c r="H1010" s="396">
        <v>10118</v>
      </c>
      <c r="I1010" s="396">
        <v>421986</v>
      </c>
      <c r="J1010" s="395">
        <v>210</v>
      </c>
      <c r="K1010" s="395">
        <v>140</v>
      </c>
      <c r="L1010" s="397">
        <v>0.66669999999999996</v>
      </c>
      <c r="M1010" s="395">
        <v>69</v>
      </c>
      <c r="N1010" s="395">
        <v>390</v>
      </c>
      <c r="O1010" s="395">
        <v>984</v>
      </c>
      <c r="P1010" s="395">
        <v>1.22</v>
      </c>
      <c r="Q1010" s="395">
        <v>-808</v>
      </c>
      <c r="R1010" s="396">
        <v>3217</v>
      </c>
      <c r="S1010" s="396">
        <v>-2555</v>
      </c>
      <c r="T1010" s="396">
        <v>139104</v>
      </c>
      <c r="U1010" s="396">
        <v>-77893</v>
      </c>
      <c r="V1010" s="395">
        <v>5073.97</v>
      </c>
      <c r="W1010" s="395">
        <v>3095.31</v>
      </c>
      <c r="X1010" s="395">
        <v>77490</v>
      </c>
      <c r="Y1010" s="395">
        <v>9103.1299999999992</v>
      </c>
      <c r="Z1010" s="396">
        <v>-19085409</v>
      </c>
      <c r="AA1010" s="396">
        <v>81952</v>
      </c>
      <c r="AB1010" s="396">
        <v>-16478723</v>
      </c>
      <c r="AC1010" s="396">
        <v>10207916</v>
      </c>
    </row>
    <row r="1011" spans="1:29">
      <c r="A1011">
        <v>1796</v>
      </c>
      <c r="B1011" s="395" t="s">
        <v>6888</v>
      </c>
      <c r="C1011" s="395"/>
      <c r="D1011" s="396">
        <v>81893</v>
      </c>
      <c r="E1011" s="396">
        <v>96555</v>
      </c>
      <c r="F1011" s="395">
        <v>6.59</v>
      </c>
      <c r="G1011" s="396">
        <v>-14662</v>
      </c>
      <c r="H1011" s="396">
        <v>13984</v>
      </c>
      <c r="I1011" s="396">
        <v>458104</v>
      </c>
      <c r="J1011" s="395">
        <v>90</v>
      </c>
      <c r="K1011" s="395">
        <v>72</v>
      </c>
      <c r="L1011" s="397">
        <v>0.8</v>
      </c>
      <c r="M1011" s="395">
        <v>18</v>
      </c>
      <c r="N1011" s="395">
        <v>910</v>
      </c>
      <c r="O1011" s="396">
        <v>1341</v>
      </c>
      <c r="P1011" s="395">
        <v>1.65</v>
      </c>
      <c r="Q1011" s="395">
        <v>-815</v>
      </c>
      <c r="R1011" s="396">
        <v>3562</v>
      </c>
      <c r="S1011" s="396">
        <v>-2845</v>
      </c>
      <c r="T1011" s="396">
        <v>107429</v>
      </c>
      <c r="U1011" s="396">
        <v>-24074</v>
      </c>
      <c r="V1011" s="395">
        <v>3363.71</v>
      </c>
      <c r="W1011" s="395">
        <v>3317.14</v>
      </c>
      <c r="X1011" s="395">
        <v>74790</v>
      </c>
      <c r="Y1011" s="395">
        <v>3550</v>
      </c>
      <c r="Z1011" s="396">
        <v>3742800</v>
      </c>
      <c r="AA1011" s="396">
        <v>81893</v>
      </c>
      <c r="AB1011" s="396">
        <v>27637330</v>
      </c>
      <c r="AC1011" s="396">
        <v>10207916</v>
      </c>
    </row>
    <row r="1012" spans="1:29">
      <c r="A1012">
        <v>6016</v>
      </c>
      <c r="B1012" s="395" t="s">
        <v>7902</v>
      </c>
      <c r="C1012" s="395"/>
      <c r="D1012" s="396">
        <v>81729</v>
      </c>
      <c r="E1012" s="396">
        <v>138199</v>
      </c>
      <c r="F1012" s="395">
        <v>2.4500000000000002</v>
      </c>
      <c r="G1012" s="396">
        <v>-56470</v>
      </c>
      <c r="H1012" s="396">
        <v>14570</v>
      </c>
      <c r="I1012" s="396">
        <v>965623</v>
      </c>
      <c r="J1012" s="395">
        <v>244</v>
      </c>
      <c r="K1012" s="395">
        <v>181</v>
      </c>
      <c r="L1012" s="397">
        <v>0.74180000000000001</v>
      </c>
      <c r="M1012" s="395">
        <v>63</v>
      </c>
      <c r="N1012" s="395">
        <v>335</v>
      </c>
      <c r="O1012" s="395">
        <v>764</v>
      </c>
      <c r="P1012" s="395">
        <v>0.85</v>
      </c>
      <c r="Q1012" s="395">
        <v>-896</v>
      </c>
      <c r="R1012" s="396">
        <v>2600</v>
      </c>
      <c r="S1012" s="396">
        <v>-2378</v>
      </c>
      <c r="T1012" s="396">
        <v>187489</v>
      </c>
      <c r="U1012" s="396">
        <v>-130820</v>
      </c>
      <c r="V1012" s="395">
        <v>5304.07</v>
      </c>
      <c r="W1012" s="395">
        <v>3320.22</v>
      </c>
      <c r="X1012" s="395">
        <v>77490</v>
      </c>
      <c r="Y1012" s="395">
        <v>11003.7</v>
      </c>
      <c r="Z1012" s="396">
        <v>-2755684</v>
      </c>
      <c r="AA1012" s="396">
        <v>81729</v>
      </c>
      <c r="AB1012" s="396">
        <v>3497791</v>
      </c>
      <c r="AC1012" s="396">
        <v>10207916</v>
      </c>
    </row>
    <row r="1013" spans="1:29">
      <c r="A1013">
        <v>5102</v>
      </c>
      <c r="B1013" s="395" t="s">
        <v>7758</v>
      </c>
      <c r="C1013" s="395"/>
      <c r="D1013" s="396">
        <v>81551</v>
      </c>
      <c r="E1013" s="396">
        <v>93956</v>
      </c>
      <c r="F1013" s="395">
        <v>7.57</v>
      </c>
      <c r="G1013" s="396">
        <v>-12404</v>
      </c>
      <c r="H1013" s="396">
        <v>9270</v>
      </c>
      <c r="I1013" s="396">
        <v>604461</v>
      </c>
      <c r="J1013" s="395">
        <v>117</v>
      </c>
      <c r="K1013" s="395">
        <v>102</v>
      </c>
      <c r="L1013" s="397">
        <v>0.87180000000000002</v>
      </c>
      <c r="M1013" s="395">
        <v>15</v>
      </c>
      <c r="N1013" s="395">
        <v>697</v>
      </c>
      <c r="O1013" s="395">
        <v>921</v>
      </c>
      <c r="P1013" s="395">
        <v>1.1100000000000001</v>
      </c>
      <c r="Q1013" s="395">
        <v>-827</v>
      </c>
      <c r="R1013" s="396">
        <v>2528</v>
      </c>
      <c r="S1013" s="396">
        <v>-3633</v>
      </c>
      <c r="T1013" s="396">
        <v>96882</v>
      </c>
      <c r="U1013" s="396">
        <v>-22277</v>
      </c>
      <c r="V1013" s="395">
        <v>4704.79</v>
      </c>
      <c r="W1013" s="395">
        <v>4507.7299999999996</v>
      </c>
      <c r="X1013" s="395">
        <v>76950</v>
      </c>
      <c r="Y1013" s="395">
        <v>6044.87</v>
      </c>
      <c r="Z1013" s="396">
        <v>4212086</v>
      </c>
      <c r="AA1013" s="396">
        <v>81551</v>
      </c>
      <c r="AB1013" s="396">
        <v>31410219</v>
      </c>
      <c r="AC1013" s="396">
        <v>10207916</v>
      </c>
    </row>
    <row r="1014" spans="1:29">
      <c r="A1014">
        <v>1584</v>
      </c>
      <c r="B1014" s="395" t="s">
        <v>6822</v>
      </c>
      <c r="C1014" s="395"/>
      <c r="D1014" s="396">
        <v>81472</v>
      </c>
      <c r="E1014" s="396">
        <v>111173</v>
      </c>
      <c r="F1014" s="395">
        <v>3.74</v>
      </c>
      <c r="G1014" s="396">
        <v>-29701</v>
      </c>
      <c r="H1014" s="396">
        <v>13978</v>
      </c>
      <c r="I1014" s="396">
        <v>1172206</v>
      </c>
      <c r="J1014" s="395">
        <v>218</v>
      </c>
      <c r="K1014" s="395">
        <v>180</v>
      </c>
      <c r="L1014" s="397">
        <v>0.82569999999999999</v>
      </c>
      <c r="M1014" s="395">
        <v>38</v>
      </c>
      <c r="N1014" s="395">
        <v>374</v>
      </c>
      <c r="O1014" s="395">
        <v>618</v>
      </c>
      <c r="P1014" s="395">
        <v>0.79</v>
      </c>
      <c r="Q1014" s="395">
        <v>-782</v>
      </c>
      <c r="R1014" s="396">
        <v>3182</v>
      </c>
      <c r="S1014" s="396">
        <v>-2980</v>
      </c>
      <c r="T1014" s="396">
        <v>201807</v>
      </c>
      <c r="U1014" s="396">
        <v>-171071</v>
      </c>
      <c r="V1014" s="395">
        <v>3952.72</v>
      </c>
      <c r="W1014" s="395">
        <v>2715.62</v>
      </c>
      <c r="X1014" s="395">
        <v>77490</v>
      </c>
      <c r="Y1014" s="395">
        <v>9812.7099999999991</v>
      </c>
      <c r="Z1014" s="396">
        <v>9661690</v>
      </c>
      <c r="AA1014" s="396">
        <v>81472</v>
      </c>
      <c r="AB1014" s="396">
        <v>24958333</v>
      </c>
      <c r="AC1014" s="396">
        <v>10207916</v>
      </c>
    </row>
    <row r="1015" spans="1:29">
      <c r="A1015">
        <v>6212</v>
      </c>
      <c r="B1015" s="395" t="s">
        <v>7998</v>
      </c>
      <c r="C1015" s="395"/>
      <c r="D1015" s="396">
        <v>81097</v>
      </c>
      <c r="E1015" s="396">
        <v>94433</v>
      </c>
      <c r="F1015" s="395">
        <v>7.08</v>
      </c>
      <c r="G1015" s="396">
        <v>-13336</v>
      </c>
      <c r="H1015" s="396">
        <v>10289</v>
      </c>
      <c r="I1015" s="396">
        <v>759133</v>
      </c>
      <c r="J1015" s="395">
        <v>43</v>
      </c>
      <c r="K1015" s="395">
        <v>35</v>
      </c>
      <c r="L1015" s="397">
        <v>0.81399999999999995</v>
      </c>
      <c r="M1015" s="395">
        <v>8</v>
      </c>
      <c r="N1015" s="396">
        <v>1886</v>
      </c>
      <c r="O1015" s="396">
        <v>2698</v>
      </c>
      <c r="P1015" s="395">
        <v>1.62</v>
      </c>
      <c r="Q1015" s="396">
        <v>-1667</v>
      </c>
      <c r="R1015" s="396">
        <v>6579</v>
      </c>
      <c r="S1015" s="396">
        <v>-5150</v>
      </c>
      <c r="T1015" s="396">
        <v>97474</v>
      </c>
      <c r="U1015" s="396">
        <v>-29727</v>
      </c>
      <c r="V1015" s="395">
        <v>4001.4</v>
      </c>
      <c r="W1015" s="395">
        <v>3798.77</v>
      </c>
      <c r="X1015" s="395">
        <v>56160</v>
      </c>
      <c r="Y1015" s="395">
        <v>4887.88</v>
      </c>
      <c r="Z1015" s="396">
        <v>30358160</v>
      </c>
      <c r="AA1015" s="396">
        <v>81097</v>
      </c>
      <c r="AB1015" s="396">
        <v>2165764</v>
      </c>
      <c r="AC1015" s="396">
        <v>10207916</v>
      </c>
    </row>
    <row r="1016" spans="1:29">
      <c r="A1016">
        <v>4541</v>
      </c>
      <c r="B1016" s="395" t="s">
        <v>7641</v>
      </c>
      <c r="C1016" s="395"/>
      <c r="D1016" s="396">
        <v>80684</v>
      </c>
      <c r="E1016" s="396">
        <v>127575</v>
      </c>
      <c r="F1016" s="395">
        <v>2.72</v>
      </c>
      <c r="G1016" s="396">
        <v>-46890</v>
      </c>
      <c r="H1016" s="396">
        <v>19420</v>
      </c>
      <c r="I1016" s="396">
        <v>1024730</v>
      </c>
      <c r="J1016" s="395">
        <v>215</v>
      </c>
      <c r="K1016" s="395">
        <v>157</v>
      </c>
      <c r="L1016" s="397">
        <v>0.73019999999999996</v>
      </c>
      <c r="M1016" s="395">
        <v>58</v>
      </c>
      <c r="N1016" s="395">
        <v>375</v>
      </c>
      <c r="O1016" s="395">
        <v>813</v>
      </c>
      <c r="P1016" s="395">
        <v>1.01</v>
      </c>
      <c r="Q1016" s="395">
        <v>-808</v>
      </c>
      <c r="R1016" s="396">
        <v>3673</v>
      </c>
      <c r="S1016" s="396">
        <v>-3095</v>
      </c>
      <c r="T1016" s="396">
        <v>177242</v>
      </c>
      <c r="U1016" s="396">
        <v>-89853</v>
      </c>
      <c r="V1016" s="395">
        <v>4371.5</v>
      </c>
      <c r="W1016" s="395">
        <v>3317.32</v>
      </c>
      <c r="X1016" s="395">
        <v>77490</v>
      </c>
      <c r="Y1016" s="395">
        <v>7225.05</v>
      </c>
      <c r="Z1016" s="396">
        <v>-2732864</v>
      </c>
      <c r="AA1016" s="396">
        <v>80684</v>
      </c>
      <c r="AB1016" s="396">
        <v>8979437</v>
      </c>
      <c r="AC1016" s="396">
        <v>10207916</v>
      </c>
    </row>
    <row r="1017" spans="1:29">
      <c r="A1017">
        <v>8040</v>
      </c>
      <c r="B1017" s="395" t="s">
        <v>8236</v>
      </c>
      <c r="C1017" s="395"/>
      <c r="D1017" s="396">
        <v>80475</v>
      </c>
      <c r="E1017" s="396">
        <v>484136</v>
      </c>
      <c r="F1017" s="395">
        <v>1.2</v>
      </c>
      <c r="G1017" s="396">
        <v>-403661</v>
      </c>
      <c r="H1017" s="396">
        <v>59025</v>
      </c>
      <c r="I1017" s="396">
        <v>2467318</v>
      </c>
      <c r="J1017" s="395">
        <v>258</v>
      </c>
      <c r="K1017" s="395">
        <v>178</v>
      </c>
      <c r="L1017" s="397">
        <v>0.68989999999999996</v>
      </c>
      <c r="M1017" s="395">
        <v>80</v>
      </c>
      <c r="N1017" s="395">
        <v>312</v>
      </c>
      <c r="O1017" s="396">
        <v>2720</v>
      </c>
      <c r="P1017" s="395">
        <v>0.54</v>
      </c>
      <c r="Q1017" s="396">
        <v>-5046</v>
      </c>
      <c r="R1017" s="396">
        <v>13732</v>
      </c>
      <c r="S1017" s="396">
        <v>-29755</v>
      </c>
      <c r="T1017" s="396">
        <v>559666</v>
      </c>
      <c r="U1017" s="396">
        <v>-311906</v>
      </c>
      <c r="V1017" s="395">
        <v>2134.23</v>
      </c>
      <c r="W1017" s="395">
        <v>857.91</v>
      </c>
      <c r="X1017" s="395">
        <v>77490</v>
      </c>
      <c r="Y1017" s="395">
        <v>4974.05</v>
      </c>
      <c r="Z1017" s="396">
        <v>-12940289</v>
      </c>
      <c r="AA1017" s="396">
        <v>80475</v>
      </c>
      <c r="AB1017" s="396">
        <v>81857778</v>
      </c>
      <c r="AC1017" s="396">
        <v>10207916</v>
      </c>
    </row>
    <row r="1018" spans="1:29">
      <c r="A1018">
        <v>6120</v>
      </c>
      <c r="B1018" s="395" t="s">
        <v>7921</v>
      </c>
      <c r="C1018" s="395"/>
      <c r="D1018" s="396">
        <v>80338</v>
      </c>
      <c r="E1018" s="396">
        <v>119640</v>
      </c>
      <c r="F1018" s="395">
        <v>3.04</v>
      </c>
      <c r="G1018" s="396">
        <v>-39302</v>
      </c>
      <c r="H1018" s="396">
        <v>14812</v>
      </c>
      <c r="I1018" s="396">
        <v>733011</v>
      </c>
      <c r="J1018" s="395">
        <v>273</v>
      </c>
      <c r="K1018" s="395">
        <v>215</v>
      </c>
      <c r="L1018" s="397">
        <v>0.78749999999999998</v>
      </c>
      <c r="M1018" s="395">
        <v>58</v>
      </c>
      <c r="N1018" s="395">
        <v>294</v>
      </c>
      <c r="O1018" s="395">
        <v>556</v>
      </c>
      <c r="P1018" s="395">
        <v>0.82</v>
      </c>
      <c r="Q1018" s="395">
        <v>-678</v>
      </c>
      <c r="R1018" s="396">
        <v>2948</v>
      </c>
      <c r="S1018" s="396">
        <v>-3415</v>
      </c>
      <c r="T1018" s="396">
        <v>109413</v>
      </c>
      <c r="U1018" s="396">
        <v>-56317</v>
      </c>
      <c r="V1018" s="395">
        <v>3525.03</v>
      </c>
      <c r="W1018" s="395">
        <v>2572.62</v>
      </c>
      <c r="X1018" s="395">
        <v>77490</v>
      </c>
      <c r="Y1018" s="395">
        <v>7055.5</v>
      </c>
      <c r="Z1018" s="396">
        <v>-11386141</v>
      </c>
      <c r="AA1018" s="396">
        <v>80338</v>
      </c>
      <c r="AB1018" s="396">
        <v>-3887324</v>
      </c>
      <c r="AC1018" s="396">
        <v>10207916</v>
      </c>
    </row>
    <row r="1019" spans="1:29">
      <c r="A1019">
        <v>1714</v>
      </c>
      <c r="B1019" s="395" t="s">
        <v>6855</v>
      </c>
      <c r="C1019" s="395"/>
      <c r="D1019" s="396">
        <v>80127</v>
      </c>
      <c r="E1019" s="396">
        <v>96070</v>
      </c>
      <c r="F1019" s="395">
        <v>6.03</v>
      </c>
      <c r="G1019" s="396">
        <v>-15943</v>
      </c>
      <c r="H1019" s="396">
        <v>11527</v>
      </c>
      <c r="I1019" s="396">
        <v>601872</v>
      </c>
      <c r="J1019" s="395">
        <v>261</v>
      </c>
      <c r="K1019" s="395">
        <v>215</v>
      </c>
      <c r="L1019" s="397">
        <v>0.82379999999999998</v>
      </c>
      <c r="M1019" s="395">
        <v>46</v>
      </c>
      <c r="N1019" s="395">
        <v>307</v>
      </c>
      <c r="O1019" s="395">
        <v>447</v>
      </c>
      <c r="P1019" s="395">
        <v>1.29</v>
      </c>
      <c r="Q1019" s="395">
        <v>-347</v>
      </c>
      <c r="R1019" s="396">
        <v>1287</v>
      </c>
      <c r="S1019" s="396">
        <v>-1144</v>
      </c>
      <c r="T1019" s="396">
        <v>106058</v>
      </c>
      <c r="U1019" s="396">
        <v>-29787</v>
      </c>
      <c r="V1019" s="395">
        <v>4306.3900000000003</v>
      </c>
      <c r="W1019" s="395">
        <v>3916.28</v>
      </c>
      <c r="X1019" s="395">
        <v>77490</v>
      </c>
      <c r="Y1019" s="395">
        <v>6129.72</v>
      </c>
      <c r="Z1019" s="396">
        <v>6370332</v>
      </c>
      <c r="AA1019" s="396">
        <v>80127</v>
      </c>
      <c r="AB1019" s="396">
        <v>2078151</v>
      </c>
      <c r="AC1019" s="396">
        <v>10207916</v>
      </c>
    </row>
    <row r="1020" spans="1:29">
      <c r="A1020">
        <v>1203</v>
      </c>
      <c r="B1020" s="395" t="s">
        <v>6684</v>
      </c>
      <c r="C1020" s="395"/>
      <c r="D1020" s="396">
        <v>80093</v>
      </c>
      <c r="E1020" s="396">
        <v>113622</v>
      </c>
      <c r="F1020" s="395">
        <v>3.39</v>
      </c>
      <c r="G1020" s="396">
        <v>-33529</v>
      </c>
      <c r="H1020" s="396">
        <v>26880</v>
      </c>
      <c r="I1020" s="396">
        <v>4267643</v>
      </c>
      <c r="J1020" s="395">
        <v>193</v>
      </c>
      <c r="K1020" s="395">
        <v>149</v>
      </c>
      <c r="L1020" s="397">
        <v>0.77200000000000002</v>
      </c>
      <c r="M1020" s="395">
        <v>44</v>
      </c>
      <c r="N1020" s="395">
        <v>415</v>
      </c>
      <c r="O1020" s="395">
        <v>763</v>
      </c>
      <c r="P1020" s="395">
        <v>1</v>
      </c>
      <c r="Q1020" s="395">
        <v>-762</v>
      </c>
      <c r="R1020" s="396">
        <v>2547</v>
      </c>
      <c r="S1020" s="396">
        <v>-5569</v>
      </c>
      <c r="T1020" s="396">
        <v>231587</v>
      </c>
      <c r="U1020" s="396">
        <v>-153065</v>
      </c>
      <c r="V1020" s="395">
        <v>19016.060000000001</v>
      </c>
      <c r="W1020" s="395">
        <v>14788.36</v>
      </c>
      <c r="X1020" s="395">
        <v>77490</v>
      </c>
      <c r="Y1020" s="395">
        <v>33332.589999999997</v>
      </c>
      <c r="Z1020" s="396">
        <v>-2742264</v>
      </c>
      <c r="AA1020" s="396">
        <v>80093</v>
      </c>
      <c r="AB1020" s="396">
        <v>-2632973</v>
      </c>
      <c r="AC1020" s="396">
        <v>10207916</v>
      </c>
    </row>
    <row r="1021" spans="1:29">
      <c r="A1021">
        <v>1806</v>
      </c>
      <c r="B1021" s="395" t="s">
        <v>6892</v>
      </c>
      <c r="C1021" s="395"/>
      <c r="D1021" s="396">
        <v>79908</v>
      </c>
      <c r="E1021" s="396">
        <v>111377</v>
      </c>
      <c r="F1021" s="395">
        <v>3.54</v>
      </c>
      <c r="G1021" s="396">
        <v>-31469</v>
      </c>
      <c r="H1021" s="396">
        <v>11872</v>
      </c>
      <c r="I1021" s="396">
        <v>430948</v>
      </c>
      <c r="J1021" s="395">
        <v>262</v>
      </c>
      <c r="K1021" s="395">
        <v>217</v>
      </c>
      <c r="L1021" s="397">
        <v>0.82820000000000005</v>
      </c>
      <c r="M1021" s="395">
        <v>43</v>
      </c>
      <c r="N1021" s="395">
        <v>305</v>
      </c>
      <c r="O1021" s="395">
        <v>513</v>
      </c>
      <c r="P1021" s="395">
        <v>0.7</v>
      </c>
      <c r="Q1021" s="395">
        <v>-732</v>
      </c>
      <c r="R1021" s="396">
        <v>3054</v>
      </c>
      <c r="S1021" s="396">
        <v>-4561</v>
      </c>
      <c r="T1021" s="396">
        <v>112919</v>
      </c>
      <c r="U1021" s="396">
        <v>-49615</v>
      </c>
      <c r="V1021" s="395">
        <v>2794.87</v>
      </c>
      <c r="W1021" s="395">
        <v>2040.31</v>
      </c>
      <c r="X1021" s="395">
        <v>77490</v>
      </c>
      <c r="Y1021" s="395">
        <v>6694.93</v>
      </c>
      <c r="Z1021" s="396">
        <v>-8422695</v>
      </c>
      <c r="AA1021" s="396">
        <v>79908</v>
      </c>
      <c r="AB1021" s="396">
        <v>21542821</v>
      </c>
      <c r="AC1021" s="396">
        <v>10207916</v>
      </c>
    </row>
    <row r="1022" spans="1:29">
      <c r="A1022">
        <v>5356</v>
      </c>
      <c r="B1022" s="395" t="s">
        <v>7817</v>
      </c>
      <c r="C1022" s="395"/>
      <c r="D1022" s="396">
        <v>79845</v>
      </c>
      <c r="E1022" s="396">
        <v>146489</v>
      </c>
      <c r="F1022" s="395">
        <v>2.2000000000000002</v>
      </c>
      <c r="G1022" s="396">
        <v>-66644</v>
      </c>
      <c r="H1022" s="396">
        <v>23080</v>
      </c>
      <c r="I1022" s="396">
        <v>1586854</v>
      </c>
      <c r="J1022" s="395">
        <v>203</v>
      </c>
      <c r="K1022" s="395">
        <v>139</v>
      </c>
      <c r="L1022" s="397">
        <v>0.68469999999999998</v>
      </c>
      <c r="M1022" s="395">
        <v>64</v>
      </c>
      <c r="N1022" s="395">
        <v>393</v>
      </c>
      <c r="O1022" s="396">
        <v>1054</v>
      </c>
      <c r="P1022" s="395">
        <v>1.01</v>
      </c>
      <c r="Q1022" s="396">
        <v>-1041</v>
      </c>
      <c r="R1022" s="396">
        <v>2635</v>
      </c>
      <c r="S1022" s="396">
        <v>-7923</v>
      </c>
      <c r="T1022" s="396">
        <v>154914</v>
      </c>
      <c r="U1022" s="396">
        <v>-71409</v>
      </c>
      <c r="V1022" s="395">
        <v>8206.6</v>
      </c>
      <c r="W1022" s="395">
        <v>6953.1</v>
      </c>
      <c r="X1022" s="395">
        <v>77490</v>
      </c>
      <c r="Y1022" s="395">
        <v>10929.03</v>
      </c>
      <c r="Z1022" s="396">
        <v>-8790013</v>
      </c>
      <c r="AA1022" s="396">
        <v>79845</v>
      </c>
      <c r="AB1022" s="396">
        <v>1874971</v>
      </c>
      <c r="AC1022" s="396">
        <v>10207916</v>
      </c>
    </row>
    <row r="1023" spans="1:29">
      <c r="A1023">
        <v>8416</v>
      </c>
      <c r="B1023" s="395" t="s">
        <v>8327</v>
      </c>
      <c r="C1023" s="395"/>
      <c r="D1023" s="396">
        <v>79318</v>
      </c>
      <c r="E1023" s="396">
        <v>99814</v>
      </c>
      <c r="F1023" s="395">
        <v>4.87</v>
      </c>
      <c r="G1023" s="396">
        <v>-20496</v>
      </c>
      <c r="H1023" s="396">
        <v>18682</v>
      </c>
      <c r="I1023" s="396">
        <v>2632557</v>
      </c>
      <c r="J1023" s="395">
        <v>38</v>
      </c>
      <c r="K1023" s="395">
        <v>27</v>
      </c>
      <c r="L1023" s="397">
        <v>0.71050000000000002</v>
      </c>
      <c r="M1023" s="395">
        <v>11</v>
      </c>
      <c r="N1023" s="396">
        <v>2087</v>
      </c>
      <c r="O1023" s="396">
        <v>3697</v>
      </c>
      <c r="P1023" s="395">
        <v>1.98</v>
      </c>
      <c r="Q1023" s="396">
        <v>-1863</v>
      </c>
      <c r="R1023" s="396">
        <v>11031</v>
      </c>
      <c r="S1023" s="396">
        <v>-2995</v>
      </c>
      <c r="T1023" s="396">
        <v>206056</v>
      </c>
      <c r="U1023" s="396">
        <v>-149930</v>
      </c>
      <c r="V1023" s="395">
        <v>9341.5</v>
      </c>
      <c r="W1023" s="395">
        <v>7526.96</v>
      </c>
      <c r="X1023" s="395">
        <v>77220</v>
      </c>
      <c r="Y1023" s="395">
        <v>13795.36</v>
      </c>
      <c r="Z1023" s="396">
        <v>3571170</v>
      </c>
      <c r="AA1023" s="396">
        <v>79318</v>
      </c>
      <c r="AB1023" s="396">
        <v>7067609</v>
      </c>
      <c r="AC1023" s="396">
        <v>10207916</v>
      </c>
    </row>
    <row r="1024" spans="1:29">
      <c r="A1024">
        <v>5522</v>
      </c>
      <c r="B1024" s="395" t="s">
        <v>7866</v>
      </c>
      <c r="C1024" s="395"/>
      <c r="D1024" s="396">
        <v>78995</v>
      </c>
      <c r="E1024" s="396">
        <v>331028</v>
      </c>
      <c r="F1024" s="395">
        <v>1.31</v>
      </c>
      <c r="G1024" s="396">
        <v>-252033</v>
      </c>
      <c r="H1024" s="396">
        <v>66044</v>
      </c>
      <c r="I1024" s="396">
        <v>4906398</v>
      </c>
      <c r="J1024" s="395">
        <v>279</v>
      </c>
      <c r="K1024" s="395">
        <v>171</v>
      </c>
      <c r="L1024" s="397">
        <v>0.6129</v>
      </c>
      <c r="M1024" s="395">
        <v>108</v>
      </c>
      <c r="N1024" s="395">
        <v>283</v>
      </c>
      <c r="O1024" s="396">
        <v>1936</v>
      </c>
      <c r="P1024" s="395">
        <v>0.83</v>
      </c>
      <c r="Q1024" s="396">
        <v>-2334</v>
      </c>
      <c r="R1024" s="396">
        <v>6886</v>
      </c>
      <c r="S1024" s="396">
        <v>-8264</v>
      </c>
      <c r="T1024" s="396">
        <v>424583</v>
      </c>
      <c r="U1024" s="396">
        <v>-284412</v>
      </c>
      <c r="V1024" s="395">
        <v>5529.69</v>
      </c>
      <c r="W1024" s="395">
        <v>2671.5</v>
      </c>
      <c r="X1024" s="395">
        <v>77490</v>
      </c>
      <c r="Y1024" s="395">
        <v>10055.17</v>
      </c>
      <c r="Z1024" s="396">
        <v>-764064</v>
      </c>
      <c r="AA1024" s="396">
        <v>78995</v>
      </c>
      <c r="AB1024" s="396">
        <v>9154841</v>
      </c>
      <c r="AC1024" s="396">
        <v>10207916</v>
      </c>
    </row>
    <row r="1025" spans="1:29">
      <c r="A1025">
        <v>6482</v>
      </c>
      <c r="B1025" s="395" t="s">
        <v>8095</v>
      </c>
      <c r="C1025" s="395"/>
      <c r="D1025" s="396">
        <v>78622</v>
      </c>
      <c r="E1025" s="396">
        <v>132459</v>
      </c>
      <c r="F1025" s="395">
        <v>2.46</v>
      </c>
      <c r="G1025" s="396">
        <v>-53837</v>
      </c>
      <c r="H1025" s="396">
        <v>12128</v>
      </c>
      <c r="I1025" s="396">
        <v>358268</v>
      </c>
      <c r="J1025" s="395">
        <v>64</v>
      </c>
      <c r="K1025" s="395">
        <v>49</v>
      </c>
      <c r="L1025" s="397">
        <v>0.76559999999999995</v>
      </c>
      <c r="M1025" s="395">
        <v>15</v>
      </c>
      <c r="N1025" s="396">
        <v>1228</v>
      </c>
      <c r="O1025" s="396">
        <v>2703</v>
      </c>
      <c r="P1025" s="395">
        <v>0.75</v>
      </c>
      <c r="Q1025" s="396">
        <v>-3589</v>
      </c>
      <c r="R1025" s="396">
        <v>10044</v>
      </c>
      <c r="S1025" s="396">
        <v>-11168</v>
      </c>
      <c r="T1025" s="396">
        <v>145902</v>
      </c>
      <c r="U1025" s="396">
        <v>-63235</v>
      </c>
      <c r="V1025" s="395">
        <v>1190.08</v>
      </c>
      <c r="W1025" s="395">
        <v>799.51</v>
      </c>
      <c r="X1025" s="395">
        <v>72900</v>
      </c>
      <c r="Y1025" s="395">
        <v>2465.9299999999998</v>
      </c>
      <c r="Z1025" s="396">
        <v>15866437</v>
      </c>
      <c r="AA1025" s="396">
        <v>78622</v>
      </c>
      <c r="AB1025" s="396">
        <v>23246988</v>
      </c>
      <c r="AC1025" s="396">
        <v>10207916</v>
      </c>
    </row>
    <row r="1026" spans="1:29">
      <c r="A1026">
        <v>2405</v>
      </c>
      <c r="B1026" s="395" t="s">
        <v>7039</v>
      </c>
      <c r="C1026" s="395"/>
      <c r="D1026" s="396">
        <v>78596</v>
      </c>
      <c r="E1026" s="396">
        <v>121785</v>
      </c>
      <c r="F1026" s="395">
        <v>2.82</v>
      </c>
      <c r="G1026" s="396">
        <v>-43189</v>
      </c>
      <c r="H1026" s="396">
        <v>11954</v>
      </c>
      <c r="I1026" s="396">
        <v>1267823</v>
      </c>
      <c r="J1026" s="395">
        <v>224</v>
      </c>
      <c r="K1026" s="395">
        <v>179</v>
      </c>
      <c r="L1026" s="397">
        <v>0.79910000000000003</v>
      </c>
      <c r="M1026" s="395">
        <v>44</v>
      </c>
      <c r="N1026" s="395">
        <v>351</v>
      </c>
      <c r="O1026" s="395">
        <v>680</v>
      </c>
      <c r="P1026" s="395">
        <v>0.69</v>
      </c>
      <c r="Q1026" s="395">
        <v>-982</v>
      </c>
      <c r="R1026" s="396">
        <v>2543</v>
      </c>
      <c r="S1026" s="396">
        <v>-2917</v>
      </c>
      <c r="T1026" s="396">
        <v>227923</v>
      </c>
      <c r="U1026" s="396">
        <v>-173523</v>
      </c>
      <c r="V1026" s="395">
        <v>10944.6</v>
      </c>
      <c r="W1026" s="395">
        <v>7471.75</v>
      </c>
      <c r="X1026" s="395">
        <v>77490</v>
      </c>
      <c r="Y1026" s="395">
        <v>24755.09</v>
      </c>
      <c r="Z1026" s="396">
        <v>-7302142</v>
      </c>
      <c r="AA1026" s="396">
        <v>78596</v>
      </c>
      <c r="AB1026" s="396">
        <v>4620818</v>
      </c>
      <c r="AC1026" s="396">
        <v>10207916</v>
      </c>
    </row>
    <row r="1027" spans="1:29">
      <c r="A1027">
        <v>8401</v>
      </c>
      <c r="B1027" s="395" t="s">
        <v>8319</v>
      </c>
      <c r="C1027" s="395"/>
      <c r="D1027" s="396">
        <v>78492</v>
      </c>
      <c r="E1027" s="396">
        <v>87546</v>
      </c>
      <c r="F1027" s="395">
        <v>9.67</v>
      </c>
      <c r="G1027" s="396">
        <v>-9054</v>
      </c>
      <c r="H1027" s="396">
        <v>11130</v>
      </c>
      <c r="I1027" s="396">
        <v>922801</v>
      </c>
      <c r="J1027" s="395">
        <v>184</v>
      </c>
      <c r="K1027" s="395">
        <v>166</v>
      </c>
      <c r="L1027" s="397">
        <v>0.9022</v>
      </c>
      <c r="M1027" s="395">
        <v>18</v>
      </c>
      <c r="N1027" s="395">
        <v>427</v>
      </c>
      <c r="O1027" s="395">
        <v>527</v>
      </c>
      <c r="P1027" s="395">
        <v>1.05</v>
      </c>
      <c r="Q1027" s="395">
        <v>-503</v>
      </c>
      <c r="R1027" s="396">
        <v>1342</v>
      </c>
      <c r="S1027" s="396">
        <v>-1611</v>
      </c>
      <c r="T1027" s="396">
        <v>81954</v>
      </c>
      <c r="U1027" s="396">
        <v>-25839</v>
      </c>
      <c r="V1027" s="395">
        <v>7109.33</v>
      </c>
      <c r="W1027" s="395">
        <v>6294.9</v>
      </c>
      <c r="X1027" s="395">
        <v>77490</v>
      </c>
      <c r="Y1027" s="395">
        <v>14620.17</v>
      </c>
      <c r="Z1027" s="396">
        <v>13016076</v>
      </c>
      <c r="AA1027" s="396">
        <v>78492</v>
      </c>
      <c r="AB1027" s="396">
        <v>37118711</v>
      </c>
      <c r="AC1027" s="396">
        <v>10207916</v>
      </c>
    </row>
    <row r="1028" spans="1:29">
      <c r="A1028">
        <v>4111</v>
      </c>
      <c r="B1028" s="395" t="s">
        <v>7558</v>
      </c>
      <c r="C1028" s="395"/>
      <c r="D1028" s="396">
        <v>78221</v>
      </c>
      <c r="E1028" s="396">
        <v>81810</v>
      </c>
      <c r="F1028" s="395">
        <v>22.79</v>
      </c>
      <c r="G1028" s="396">
        <v>-3589</v>
      </c>
      <c r="H1028" s="396">
        <v>10602</v>
      </c>
      <c r="I1028" s="396">
        <v>1304161</v>
      </c>
      <c r="J1028" s="395">
        <v>113</v>
      </c>
      <c r="K1028" s="395">
        <v>103</v>
      </c>
      <c r="L1028" s="397">
        <v>0.91149999999999998</v>
      </c>
      <c r="M1028" s="395">
        <v>10</v>
      </c>
      <c r="N1028" s="395">
        <v>692</v>
      </c>
      <c r="O1028" s="395">
        <v>794</v>
      </c>
      <c r="P1028" s="395">
        <v>2.21</v>
      </c>
      <c r="Q1028" s="395">
        <v>-359</v>
      </c>
      <c r="R1028" s="396">
        <v>1660</v>
      </c>
      <c r="S1028" s="395">
        <v>-847</v>
      </c>
      <c r="T1028" s="396">
        <v>91449</v>
      </c>
      <c r="U1028" s="396">
        <v>-15856</v>
      </c>
      <c r="V1028" s="395">
        <v>14696.65</v>
      </c>
      <c r="W1028" s="395">
        <v>15432.61</v>
      </c>
      <c r="X1028" s="395">
        <v>77490</v>
      </c>
      <c r="Y1028" s="395">
        <v>7116.3</v>
      </c>
      <c r="Z1028" s="396">
        <v>-2051333</v>
      </c>
      <c r="AA1028" s="396">
        <v>78221</v>
      </c>
      <c r="AB1028" s="396">
        <v>18885</v>
      </c>
      <c r="AC1028" s="396">
        <v>10207916</v>
      </c>
    </row>
    <row r="1029" spans="1:29">
      <c r="A1029">
        <v>6418</v>
      </c>
      <c r="B1029" s="395" t="s">
        <v>8071</v>
      </c>
      <c r="C1029" s="395"/>
      <c r="D1029" s="396">
        <v>78177</v>
      </c>
      <c r="E1029" s="396">
        <v>116384</v>
      </c>
      <c r="F1029" s="395">
        <v>3.05</v>
      </c>
      <c r="G1029" s="396">
        <v>-38207</v>
      </c>
      <c r="H1029" s="396">
        <v>12370</v>
      </c>
      <c r="I1029" s="396">
        <v>710749</v>
      </c>
      <c r="J1029" s="395">
        <v>175</v>
      </c>
      <c r="K1029" s="395">
        <v>134</v>
      </c>
      <c r="L1029" s="397">
        <v>0.76570000000000005</v>
      </c>
      <c r="M1029" s="395">
        <v>41</v>
      </c>
      <c r="N1029" s="395">
        <v>447</v>
      </c>
      <c r="O1029" s="395">
        <v>869</v>
      </c>
      <c r="P1029" s="395">
        <v>0.93</v>
      </c>
      <c r="Q1029" s="395">
        <v>-932</v>
      </c>
      <c r="R1029" s="396">
        <v>4174</v>
      </c>
      <c r="S1029" s="396">
        <v>-8952</v>
      </c>
      <c r="T1029" s="396">
        <v>159187</v>
      </c>
      <c r="U1029" s="396">
        <v>-130390</v>
      </c>
      <c r="V1029" s="395">
        <v>6344.82</v>
      </c>
      <c r="W1029" s="395">
        <v>4470.07</v>
      </c>
      <c r="X1029" s="395">
        <v>76950</v>
      </c>
      <c r="Y1029" s="395">
        <v>12472.02</v>
      </c>
      <c r="Z1029" s="396">
        <v>3169837</v>
      </c>
      <c r="AA1029" s="396">
        <v>78177</v>
      </c>
      <c r="AB1029" s="396">
        <v>15760984</v>
      </c>
      <c r="AC1029" s="396">
        <v>10207916</v>
      </c>
    </row>
    <row r="1030" spans="1:29">
      <c r="A1030">
        <v>2706</v>
      </c>
      <c r="B1030" s="395" t="s">
        <v>7167</v>
      </c>
      <c r="C1030" s="395"/>
      <c r="D1030" s="396">
        <v>78175</v>
      </c>
      <c r="E1030" s="396">
        <v>90171</v>
      </c>
      <c r="F1030" s="395">
        <v>7.52</v>
      </c>
      <c r="G1030" s="396">
        <v>-11996</v>
      </c>
      <c r="H1030" s="396">
        <v>14673</v>
      </c>
      <c r="I1030" s="396">
        <v>679834</v>
      </c>
      <c r="J1030" s="395">
        <v>254</v>
      </c>
      <c r="K1030" s="395">
        <v>218</v>
      </c>
      <c r="L1030" s="397">
        <v>0.85829999999999995</v>
      </c>
      <c r="M1030" s="395">
        <v>36</v>
      </c>
      <c r="N1030" s="395">
        <v>308</v>
      </c>
      <c r="O1030" s="395">
        <v>414</v>
      </c>
      <c r="P1030" s="395">
        <v>1.24</v>
      </c>
      <c r="Q1030" s="395">
        <v>-333</v>
      </c>
      <c r="R1030" s="396">
        <v>1345</v>
      </c>
      <c r="S1030" s="396">
        <v>-1166</v>
      </c>
      <c r="T1030" s="396">
        <v>89415</v>
      </c>
      <c r="U1030" s="396">
        <v>-21432</v>
      </c>
      <c r="V1030" s="395">
        <v>4240.96</v>
      </c>
      <c r="W1030" s="395">
        <v>3700.5</v>
      </c>
      <c r="X1030" s="395">
        <v>77490</v>
      </c>
      <c r="Y1030" s="395">
        <v>7513.72</v>
      </c>
      <c r="Z1030" s="396">
        <v>-8193178</v>
      </c>
      <c r="AA1030" s="396">
        <v>78175</v>
      </c>
      <c r="AB1030" s="396">
        <v>510796</v>
      </c>
      <c r="AC1030" s="396">
        <v>10207916</v>
      </c>
    </row>
    <row r="1031" spans="1:29">
      <c r="A1031">
        <v>6266</v>
      </c>
      <c r="B1031" s="395" t="s">
        <v>8040</v>
      </c>
      <c r="C1031" s="395"/>
      <c r="D1031" s="396">
        <v>78139</v>
      </c>
      <c r="E1031" s="396">
        <v>135879</v>
      </c>
      <c r="F1031" s="395">
        <v>2.35</v>
      </c>
      <c r="G1031" s="396">
        <v>-57740</v>
      </c>
      <c r="H1031" s="396">
        <v>18790</v>
      </c>
      <c r="I1031" s="396">
        <v>1337523</v>
      </c>
      <c r="J1031" s="395">
        <v>210</v>
      </c>
      <c r="K1031" s="395">
        <v>171</v>
      </c>
      <c r="L1031" s="397">
        <v>0.81430000000000002</v>
      </c>
      <c r="M1031" s="395">
        <v>39</v>
      </c>
      <c r="N1031" s="395">
        <v>372</v>
      </c>
      <c r="O1031" s="395">
        <v>795</v>
      </c>
      <c r="P1031" s="395">
        <v>0.54</v>
      </c>
      <c r="Q1031" s="396">
        <v>-1481</v>
      </c>
      <c r="R1031" s="396">
        <v>2020</v>
      </c>
      <c r="S1031" s="396">
        <v>-10024</v>
      </c>
      <c r="T1031" s="396">
        <v>133496</v>
      </c>
      <c r="U1031" s="396">
        <v>-98945</v>
      </c>
      <c r="V1031" s="395">
        <v>7034.37</v>
      </c>
      <c r="W1031" s="395">
        <v>7028.74</v>
      </c>
      <c r="X1031" s="395">
        <v>77490</v>
      </c>
      <c r="Y1031" s="395">
        <v>7059.08</v>
      </c>
      <c r="Z1031" s="396">
        <v>-1469651</v>
      </c>
      <c r="AA1031" s="396">
        <v>78139</v>
      </c>
      <c r="AB1031" s="396">
        <v>20039687</v>
      </c>
      <c r="AC1031" s="396">
        <v>10207916</v>
      </c>
    </row>
    <row r="1032" spans="1:29">
      <c r="A1032">
        <v>4535</v>
      </c>
      <c r="B1032" s="395" t="s">
        <v>7637</v>
      </c>
      <c r="C1032" s="395"/>
      <c r="D1032" s="396">
        <v>78075</v>
      </c>
      <c r="E1032" s="396">
        <v>81871</v>
      </c>
      <c r="F1032" s="395">
        <v>21.57</v>
      </c>
      <c r="G1032" s="396">
        <v>-3796</v>
      </c>
      <c r="H1032" s="396">
        <v>10864</v>
      </c>
      <c r="I1032" s="396">
        <v>1086557</v>
      </c>
      <c r="J1032" s="395">
        <v>78</v>
      </c>
      <c r="K1032" s="395">
        <v>68</v>
      </c>
      <c r="L1032" s="397">
        <v>0.87180000000000002</v>
      </c>
      <c r="M1032" s="395">
        <v>10</v>
      </c>
      <c r="N1032" s="396">
        <v>1001</v>
      </c>
      <c r="O1032" s="396">
        <v>1204</v>
      </c>
      <c r="P1032" s="395">
        <v>3.17</v>
      </c>
      <c r="Q1032" s="395">
        <v>-380</v>
      </c>
      <c r="R1032" s="396">
        <v>4712</v>
      </c>
      <c r="S1032" s="395">
        <v>-948</v>
      </c>
      <c r="T1032" s="396">
        <v>81139</v>
      </c>
      <c r="U1032" s="396">
        <v>-33908</v>
      </c>
      <c r="V1032" s="395">
        <v>12530.49</v>
      </c>
      <c r="W1032" s="395">
        <v>12361.63</v>
      </c>
      <c r="X1032" s="395">
        <v>74250</v>
      </c>
      <c r="Y1032" s="395">
        <v>13678.7</v>
      </c>
      <c r="Z1032" s="396">
        <v>8313173</v>
      </c>
      <c r="AA1032" s="396">
        <v>78075</v>
      </c>
      <c r="AB1032" s="396">
        <v>6859892</v>
      </c>
      <c r="AC1032" s="396">
        <v>10207916</v>
      </c>
    </row>
    <row r="1033" spans="1:29">
      <c r="A1033">
        <v>5543</v>
      </c>
      <c r="B1033" s="395" t="s">
        <v>7876</v>
      </c>
      <c r="C1033" s="395"/>
      <c r="D1033" s="396">
        <v>78024</v>
      </c>
      <c r="E1033" s="396">
        <v>222747</v>
      </c>
      <c r="F1033" s="395">
        <v>1.54</v>
      </c>
      <c r="G1033" s="396">
        <v>-144723</v>
      </c>
      <c r="H1033" s="396">
        <v>38330</v>
      </c>
      <c r="I1033" s="396">
        <v>2551195</v>
      </c>
      <c r="J1033" s="395">
        <v>150</v>
      </c>
      <c r="K1033" s="395">
        <v>106</v>
      </c>
      <c r="L1033" s="397">
        <v>0.70669999999999999</v>
      </c>
      <c r="M1033" s="395">
        <v>44</v>
      </c>
      <c r="N1033" s="395">
        <v>520</v>
      </c>
      <c r="O1033" s="396">
        <v>2101</v>
      </c>
      <c r="P1033" s="395">
        <v>0.64</v>
      </c>
      <c r="Q1033" s="396">
        <v>-3289</v>
      </c>
      <c r="R1033" s="396">
        <v>4866</v>
      </c>
      <c r="S1033" s="396">
        <v>-10661</v>
      </c>
      <c r="T1033" s="396">
        <v>212154</v>
      </c>
      <c r="U1033" s="396">
        <v>-168562</v>
      </c>
      <c r="V1033" s="395">
        <v>4096.78</v>
      </c>
      <c r="W1033" s="395">
        <v>2339.5100000000002</v>
      </c>
      <c r="X1033" s="395">
        <v>77490</v>
      </c>
      <c r="Y1033" s="395">
        <v>8330.2000000000007</v>
      </c>
      <c r="Z1033" s="396">
        <v>-5687513</v>
      </c>
      <c r="AA1033" s="396">
        <v>78024</v>
      </c>
      <c r="AB1033" s="396">
        <v>-299609</v>
      </c>
      <c r="AC1033" s="396">
        <v>10207916</v>
      </c>
    </row>
    <row r="1034" spans="1:29">
      <c r="A1034">
        <v>3432</v>
      </c>
      <c r="B1034" s="395" t="s">
        <v>7421</v>
      </c>
      <c r="C1034" s="395"/>
      <c r="D1034" s="396">
        <v>77987</v>
      </c>
      <c r="E1034" s="396">
        <v>111240</v>
      </c>
      <c r="F1034" s="395">
        <v>3.35</v>
      </c>
      <c r="G1034" s="396">
        <v>-33253</v>
      </c>
      <c r="H1034" s="396">
        <v>12523</v>
      </c>
      <c r="I1034" s="396">
        <v>653366</v>
      </c>
      <c r="J1034" s="395">
        <v>222</v>
      </c>
      <c r="K1034" s="395">
        <v>173</v>
      </c>
      <c r="L1034" s="397">
        <v>0.77929999999999999</v>
      </c>
      <c r="M1034" s="395">
        <v>49</v>
      </c>
      <c r="N1034" s="395">
        <v>351</v>
      </c>
      <c r="O1034" s="395">
        <v>643</v>
      </c>
      <c r="P1034" s="395">
        <v>0.95</v>
      </c>
      <c r="Q1034" s="395">
        <v>-679</v>
      </c>
      <c r="R1034" s="396">
        <v>2199</v>
      </c>
      <c r="S1034" s="396">
        <v>-2033</v>
      </c>
      <c r="T1034" s="396">
        <v>98918</v>
      </c>
      <c r="U1034" s="396">
        <v>-35735</v>
      </c>
      <c r="V1034" s="395">
        <v>4922.55</v>
      </c>
      <c r="W1034" s="395">
        <v>3868.28</v>
      </c>
      <c r="X1034" s="395">
        <v>77490</v>
      </c>
      <c r="Y1034" s="395">
        <v>8644.7999999999993</v>
      </c>
      <c r="Z1034" s="396">
        <v>-10075720</v>
      </c>
      <c r="AA1034" s="396">
        <v>77987</v>
      </c>
      <c r="AB1034" s="396">
        <v>4026119</v>
      </c>
      <c r="AC1034" s="396">
        <v>10207916</v>
      </c>
    </row>
    <row r="1035" spans="1:29">
      <c r="A1035">
        <v>2427</v>
      </c>
      <c r="B1035" s="395" t="s">
        <v>7055</v>
      </c>
      <c r="C1035" s="395"/>
      <c r="D1035" s="396">
        <v>77496</v>
      </c>
      <c r="E1035" s="396">
        <v>92175</v>
      </c>
      <c r="F1035" s="395">
        <v>6.28</v>
      </c>
      <c r="G1035" s="396">
        <v>-14680</v>
      </c>
      <c r="H1035" s="396">
        <v>11929</v>
      </c>
      <c r="I1035" s="396">
        <v>1410239</v>
      </c>
      <c r="J1035" s="395">
        <v>255</v>
      </c>
      <c r="K1035" s="395">
        <v>225</v>
      </c>
      <c r="L1035" s="397">
        <v>0.88239999999999996</v>
      </c>
      <c r="M1035" s="395">
        <v>28</v>
      </c>
      <c r="N1035" s="395">
        <v>304</v>
      </c>
      <c r="O1035" s="395">
        <v>410</v>
      </c>
      <c r="P1035" s="395">
        <v>0.78</v>
      </c>
      <c r="Q1035" s="395">
        <v>-524</v>
      </c>
      <c r="R1035" s="396">
        <v>1034</v>
      </c>
      <c r="S1035" s="396">
        <v>-2823</v>
      </c>
      <c r="T1035" s="396">
        <v>132570</v>
      </c>
      <c r="U1035" s="396">
        <v>-66960</v>
      </c>
      <c r="V1035" s="395">
        <v>11693.58</v>
      </c>
      <c r="W1035" s="395">
        <v>11318.15</v>
      </c>
      <c r="X1035" s="395">
        <v>77490</v>
      </c>
      <c r="Y1035" s="395">
        <v>15410.79</v>
      </c>
      <c r="Z1035" s="396">
        <v>-4079089</v>
      </c>
      <c r="AA1035" s="396">
        <v>77496</v>
      </c>
      <c r="AB1035" s="396">
        <v>4725497</v>
      </c>
      <c r="AC1035" s="396">
        <v>10207916</v>
      </c>
    </row>
    <row r="1036" spans="1:29">
      <c r="A1036">
        <v>3705</v>
      </c>
      <c r="B1036" s="395" t="s">
        <v>7541</v>
      </c>
      <c r="C1036" s="395"/>
      <c r="D1036" s="396">
        <v>77470</v>
      </c>
      <c r="E1036" s="396">
        <v>119170</v>
      </c>
      <c r="F1036" s="395">
        <v>2.86</v>
      </c>
      <c r="G1036" s="396">
        <v>-41700</v>
      </c>
      <c r="H1036" s="396">
        <v>39938</v>
      </c>
      <c r="I1036" s="396">
        <v>6941417</v>
      </c>
      <c r="J1036" s="395">
        <v>228</v>
      </c>
      <c r="K1036" s="395">
        <v>147</v>
      </c>
      <c r="L1036" s="397">
        <v>0.64470000000000005</v>
      </c>
      <c r="M1036" s="395">
        <v>81</v>
      </c>
      <c r="N1036" s="395">
        <v>340</v>
      </c>
      <c r="O1036" s="395">
        <v>811</v>
      </c>
      <c r="P1036" s="395">
        <v>1.57</v>
      </c>
      <c r="Q1036" s="395">
        <v>-515</v>
      </c>
      <c r="R1036" s="396">
        <v>2101</v>
      </c>
      <c r="S1036" s="396">
        <v>-1174</v>
      </c>
      <c r="T1036" s="396">
        <v>229638</v>
      </c>
      <c r="U1036" s="396">
        <v>-189094</v>
      </c>
      <c r="V1036" s="395">
        <v>23268.43</v>
      </c>
      <c r="W1036" s="395">
        <v>25277.01</v>
      </c>
      <c r="X1036" s="395">
        <v>77490</v>
      </c>
      <c r="Y1036" s="395">
        <v>19623.25</v>
      </c>
      <c r="Z1036" s="396">
        <v>-1572468</v>
      </c>
      <c r="AA1036" s="396">
        <v>77470</v>
      </c>
      <c r="AB1036" s="396">
        <v>-171835</v>
      </c>
      <c r="AC1036" s="396">
        <v>10207916</v>
      </c>
    </row>
    <row r="1037" spans="1:29">
      <c r="A1037">
        <v>2916</v>
      </c>
      <c r="B1037" s="395" t="s">
        <v>7235</v>
      </c>
      <c r="C1037" s="395"/>
      <c r="D1037" s="396">
        <v>77221</v>
      </c>
      <c r="E1037" s="396">
        <v>82858</v>
      </c>
      <c r="F1037" s="395">
        <v>14.7</v>
      </c>
      <c r="G1037" s="396">
        <v>-5637</v>
      </c>
      <c r="H1037" s="396">
        <v>11829</v>
      </c>
      <c r="I1037" s="396">
        <v>749318</v>
      </c>
      <c r="J1037" s="395">
        <v>136</v>
      </c>
      <c r="K1037" s="395">
        <v>122</v>
      </c>
      <c r="L1037" s="397">
        <v>0.89710000000000001</v>
      </c>
      <c r="M1037" s="395">
        <v>14</v>
      </c>
      <c r="N1037" s="395">
        <v>568</v>
      </c>
      <c r="O1037" s="395">
        <v>679</v>
      </c>
      <c r="P1037" s="395">
        <v>1.68</v>
      </c>
      <c r="Q1037" s="395">
        <v>-403</v>
      </c>
      <c r="R1037" s="396">
        <v>1975</v>
      </c>
      <c r="S1037" s="396">
        <v>-1132</v>
      </c>
      <c r="T1037" s="396">
        <v>77221</v>
      </c>
      <c r="U1037" s="396">
        <v>-29442</v>
      </c>
      <c r="V1037" s="395">
        <v>5979.31</v>
      </c>
      <c r="W1037" s="395">
        <v>4737.3900000000003</v>
      </c>
      <c r="X1037" s="395">
        <v>76410</v>
      </c>
      <c r="Y1037" s="395">
        <v>16801.71</v>
      </c>
      <c r="Z1037" s="396">
        <v>34215718</v>
      </c>
      <c r="AA1037" s="396">
        <v>77221</v>
      </c>
      <c r="AB1037" s="396">
        <v>23715283</v>
      </c>
      <c r="AC1037" s="396">
        <v>10207916</v>
      </c>
    </row>
    <row r="1038" spans="1:29">
      <c r="A1038">
        <v>5251</v>
      </c>
      <c r="B1038" s="395" t="s">
        <v>7781</v>
      </c>
      <c r="C1038" s="395"/>
      <c r="D1038" s="396">
        <v>77008</v>
      </c>
      <c r="E1038" s="396">
        <v>106613</v>
      </c>
      <c r="F1038" s="395">
        <v>3.6</v>
      </c>
      <c r="G1038" s="396">
        <v>-29605</v>
      </c>
      <c r="H1038" s="396">
        <v>10092</v>
      </c>
      <c r="I1038" s="396">
        <v>397837</v>
      </c>
      <c r="J1038" s="395">
        <v>166</v>
      </c>
      <c r="K1038" s="395">
        <v>127</v>
      </c>
      <c r="L1038" s="397">
        <v>0.7651</v>
      </c>
      <c r="M1038" s="395">
        <v>39</v>
      </c>
      <c r="N1038" s="395">
        <v>464</v>
      </c>
      <c r="O1038" s="395">
        <v>839</v>
      </c>
      <c r="P1038" s="395">
        <v>1.1100000000000001</v>
      </c>
      <c r="Q1038" s="395">
        <v>-759</v>
      </c>
      <c r="R1038" s="396">
        <v>2948</v>
      </c>
      <c r="S1038" s="396">
        <v>-5430</v>
      </c>
      <c r="T1038" s="396">
        <v>109826</v>
      </c>
      <c r="U1038" s="396">
        <v>-52909</v>
      </c>
      <c r="V1038" s="395">
        <v>3350.1</v>
      </c>
      <c r="W1038" s="395">
        <v>2307.0500000000002</v>
      </c>
      <c r="X1038" s="395">
        <v>76950</v>
      </c>
      <c r="Y1038" s="395">
        <v>6746.72</v>
      </c>
      <c r="Z1038" s="396">
        <v>-14987256</v>
      </c>
      <c r="AA1038" s="396">
        <v>77008</v>
      </c>
      <c r="AB1038" s="396">
        <v>12815217</v>
      </c>
      <c r="AC1038" s="396">
        <v>10207916</v>
      </c>
    </row>
    <row r="1039" spans="1:29">
      <c r="A1039">
        <v>6191</v>
      </c>
      <c r="B1039" s="395" t="s">
        <v>7980</v>
      </c>
      <c r="C1039" s="395"/>
      <c r="D1039" s="396">
        <v>76640</v>
      </c>
      <c r="E1039" s="396">
        <v>206135</v>
      </c>
      <c r="F1039" s="395">
        <v>1.59</v>
      </c>
      <c r="G1039" s="396">
        <v>-129495</v>
      </c>
      <c r="H1039" s="396">
        <v>35944</v>
      </c>
      <c r="I1039" s="396">
        <v>1317753</v>
      </c>
      <c r="J1039" s="395">
        <v>269</v>
      </c>
      <c r="K1039" s="395">
        <v>197</v>
      </c>
      <c r="L1039" s="397">
        <v>0.73229999999999995</v>
      </c>
      <c r="M1039" s="395">
        <v>72</v>
      </c>
      <c r="N1039" s="395">
        <v>285</v>
      </c>
      <c r="O1039" s="396">
        <v>1046</v>
      </c>
      <c r="P1039" s="395">
        <v>0.57999999999999996</v>
      </c>
      <c r="Q1039" s="396">
        <v>-1799</v>
      </c>
      <c r="R1039" s="396">
        <v>5032</v>
      </c>
      <c r="S1039" s="396">
        <v>-5547</v>
      </c>
      <c r="T1039" s="396">
        <v>194452</v>
      </c>
      <c r="U1039" s="396">
        <v>-127372</v>
      </c>
      <c r="V1039" s="395">
        <v>2260.5700000000002</v>
      </c>
      <c r="W1039" s="395">
        <v>1214.29</v>
      </c>
      <c r="X1039" s="395">
        <v>76140</v>
      </c>
      <c r="Y1039" s="395">
        <v>5123.28</v>
      </c>
      <c r="Z1039" s="396">
        <v>-5391613</v>
      </c>
      <c r="AA1039" s="396">
        <v>76640</v>
      </c>
      <c r="AB1039" s="396">
        <v>14797320</v>
      </c>
      <c r="AC1039" s="396">
        <v>10207916</v>
      </c>
    </row>
    <row r="1040" spans="1:29">
      <c r="A1040">
        <v>5468</v>
      </c>
      <c r="B1040" s="395" t="s">
        <v>7842</v>
      </c>
      <c r="C1040" s="395"/>
      <c r="D1040" s="396">
        <v>76562</v>
      </c>
      <c r="E1040" s="396">
        <v>115342</v>
      </c>
      <c r="F1040" s="395">
        <v>2.97</v>
      </c>
      <c r="G1040" s="396">
        <v>-38780</v>
      </c>
      <c r="H1040" s="396">
        <v>9488</v>
      </c>
      <c r="I1040" s="396">
        <v>566707</v>
      </c>
      <c r="J1040" s="395">
        <v>121</v>
      </c>
      <c r="K1040" s="395">
        <v>89</v>
      </c>
      <c r="L1040" s="397">
        <v>0.73550000000000004</v>
      </c>
      <c r="M1040" s="395">
        <v>32</v>
      </c>
      <c r="N1040" s="395">
        <v>633</v>
      </c>
      <c r="O1040" s="396">
        <v>1296</v>
      </c>
      <c r="P1040" s="395">
        <v>1.07</v>
      </c>
      <c r="Q1040" s="396">
        <v>-1212</v>
      </c>
      <c r="R1040" s="396">
        <v>5736</v>
      </c>
      <c r="S1040" s="396">
        <v>-3833</v>
      </c>
      <c r="T1040" s="396">
        <v>179129</v>
      </c>
      <c r="U1040" s="396">
        <v>-113560</v>
      </c>
      <c r="V1040" s="395">
        <v>3945.25</v>
      </c>
      <c r="W1040" s="395">
        <v>2455.64</v>
      </c>
      <c r="X1040" s="395">
        <v>77490</v>
      </c>
      <c r="Y1040" s="395">
        <v>8088.22</v>
      </c>
      <c r="Z1040" s="396">
        <v>-4724878</v>
      </c>
      <c r="AA1040" s="396">
        <v>76562</v>
      </c>
      <c r="AB1040" s="396">
        <v>8749386</v>
      </c>
      <c r="AC1040" s="396">
        <v>10207916</v>
      </c>
    </row>
    <row r="1041" spans="1:29">
      <c r="A1041">
        <v>5531</v>
      </c>
      <c r="B1041" s="395" t="s">
        <v>7871</v>
      </c>
      <c r="C1041" s="395"/>
      <c r="D1041" s="396">
        <v>76336</v>
      </c>
      <c r="E1041" s="396">
        <v>112793</v>
      </c>
      <c r="F1041" s="395">
        <v>3.09</v>
      </c>
      <c r="G1041" s="396">
        <v>-36457</v>
      </c>
      <c r="H1041" s="396">
        <v>13484</v>
      </c>
      <c r="I1041" s="396">
        <v>404824</v>
      </c>
      <c r="J1041" s="395">
        <v>269</v>
      </c>
      <c r="K1041" s="395">
        <v>214</v>
      </c>
      <c r="L1041" s="397">
        <v>0.79549999999999998</v>
      </c>
      <c r="M1041" s="395">
        <v>55</v>
      </c>
      <c r="N1041" s="395">
        <v>284</v>
      </c>
      <c r="O1041" s="395">
        <v>527</v>
      </c>
      <c r="P1041" s="395">
        <v>0.79</v>
      </c>
      <c r="Q1041" s="395">
        <v>-663</v>
      </c>
      <c r="R1041" s="396">
        <v>2752</v>
      </c>
      <c r="S1041" s="396">
        <v>-4262</v>
      </c>
      <c r="T1041" s="396">
        <v>109536</v>
      </c>
      <c r="U1041" s="396">
        <v>-51094</v>
      </c>
      <c r="V1041" s="395">
        <v>3191.14</v>
      </c>
      <c r="W1041" s="395">
        <v>2478.9</v>
      </c>
      <c r="X1041" s="395">
        <v>77490</v>
      </c>
      <c r="Y1041" s="395">
        <v>5962.42</v>
      </c>
      <c r="Z1041" s="396">
        <v>-15488280</v>
      </c>
      <c r="AA1041" s="396">
        <v>76336</v>
      </c>
      <c r="AB1041" s="396">
        <v>-19554545</v>
      </c>
      <c r="AC1041" s="396">
        <v>10207916</v>
      </c>
    </row>
    <row r="1042" spans="1:29">
      <c r="A1042">
        <v>5905</v>
      </c>
      <c r="B1042" s="395" t="s">
        <v>7897</v>
      </c>
      <c r="C1042" s="395"/>
      <c r="D1042" s="396">
        <v>76323</v>
      </c>
      <c r="E1042" s="396">
        <v>104871</v>
      </c>
      <c r="F1042" s="395">
        <v>3.67</v>
      </c>
      <c r="G1042" s="396">
        <v>-28548</v>
      </c>
      <c r="H1042" s="396">
        <v>13383</v>
      </c>
      <c r="I1042" s="396">
        <v>1001495</v>
      </c>
      <c r="J1042" s="395">
        <v>237</v>
      </c>
      <c r="K1042" s="395">
        <v>191</v>
      </c>
      <c r="L1042" s="397">
        <v>0.80589999999999995</v>
      </c>
      <c r="M1042" s="395">
        <v>46</v>
      </c>
      <c r="N1042" s="395">
        <v>322</v>
      </c>
      <c r="O1042" s="395">
        <v>549</v>
      </c>
      <c r="P1042" s="395">
        <v>0.88</v>
      </c>
      <c r="Q1042" s="395">
        <v>-621</v>
      </c>
      <c r="R1042" s="396">
        <v>2351</v>
      </c>
      <c r="S1042" s="396">
        <v>-2816</v>
      </c>
      <c r="T1042" s="396">
        <v>82141</v>
      </c>
      <c r="U1042" s="396">
        <v>-61638</v>
      </c>
      <c r="V1042" s="395">
        <v>4225.43</v>
      </c>
      <c r="W1042" s="395">
        <v>3064.03</v>
      </c>
      <c r="X1042" s="395">
        <v>77490</v>
      </c>
      <c r="Y1042" s="395">
        <v>9047.7800000000007</v>
      </c>
      <c r="Z1042" s="396">
        <v>14863875</v>
      </c>
      <c r="AA1042" s="396">
        <v>76323</v>
      </c>
      <c r="AB1042" s="396">
        <v>19485282</v>
      </c>
      <c r="AC1042" s="396">
        <v>10207916</v>
      </c>
    </row>
    <row r="1043" spans="1:29">
      <c r="A1043">
        <v>5469</v>
      </c>
      <c r="B1043" s="395" t="s">
        <v>7843</v>
      </c>
      <c r="C1043" s="395"/>
      <c r="D1043" s="396">
        <v>76240</v>
      </c>
      <c r="E1043" s="396">
        <v>257616</v>
      </c>
      <c r="F1043" s="395">
        <v>1.42</v>
      </c>
      <c r="G1043" s="396">
        <v>-181376</v>
      </c>
      <c r="H1043" s="396">
        <v>49754</v>
      </c>
      <c r="I1043" s="396">
        <v>2960464</v>
      </c>
      <c r="J1043" s="395">
        <v>276</v>
      </c>
      <c r="K1043" s="395">
        <v>184</v>
      </c>
      <c r="L1043" s="397">
        <v>0.66669999999999996</v>
      </c>
      <c r="M1043" s="395">
        <v>92</v>
      </c>
      <c r="N1043" s="395">
        <v>276</v>
      </c>
      <c r="O1043" s="396">
        <v>1400</v>
      </c>
      <c r="P1043" s="395">
        <v>0.71</v>
      </c>
      <c r="Q1043" s="396">
        <v>-1971</v>
      </c>
      <c r="R1043" s="396">
        <v>5781</v>
      </c>
      <c r="S1043" s="396">
        <v>-4829</v>
      </c>
      <c r="T1043" s="396">
        <v>297553</v>
      </c>
      <c r="U1043" s="396">
        <v>-243008</v>
      </c>
      <c r="V1043" s="395">
        <v>5249.84</v>
      </c>
      <c r="W1043" s="395">
        <v>3062.3</v>
      </c>
      <c r="X1043" s="395">
        <v>77490</v>
      </c>
      <c r="Y1043" s="395">
        <v>9624.92</v>
      </c>
      <c r="Z1043" s="396">
        <v>-6975128</v>
      </c>
      <c r="AA1043" s="396">
        <v>76240</v>
      </c>
      <c r="AB1043" s="396">
        <v>879722</v>
      </c>
      <c r="AC1043" s="396">
        <v>10207916</v>
      </c>
    </row>
    <row r="1044" spans="1:29">
      <c r="A1044">
        <v>1416</v>
      </c>
      <c r="B1044" s="395" t="s">
        <v>6739</v>
      </c>
      <c r="C1044" s="395"/>
      <c r="D1044" s="396">
        <v>76102</v>
      </c>
      <c r="E1044" s="396">
        <v>85566</v>
      </c>
      <c r="F1044" s="395">
        <v>9.0399999999999991</v>
      </c>
      <c r="G1044" s="396">
        <v>-9465</v>
      </c>
      <c r="H1044" s="396">
        <v>11304</v>
      </c>
      <c r="I1044" s="396">
        <v>689935</v>
      </c>
      <c r="J1044" s="395">
        <v>251</v>
      </c>
      <c r="K1044" s="395">
        <v>229</v>
      </c>
      <c r="L1044" s="397">
        <v>0.91239999999999999</v>
      </c>
      <c r="M1044" s="395">
        <v>22</v>
      </c>
      <c r="N1044" s="395">
        <v>303</v>
      </c>
      <c r="O1044" s="395">
        <v>374</v>
      </c>
      <c r="P1044" s="395">
        <v>0.87</v>
      </c>
      <c r="Q1044" s="395">
        <v>-430</v>
      </c>
      <c r="R1044" s="396">
        <v>1647</v>
      </c>
      <c r="S1044" s="396">
        <v>-1249</v>
      </c>
      <c r="T1044" s="396">
        <v>91553</v>
      </c>
      <c r="U1044" s="396">
        <v>-25450</v>
      </c>
      <c r="V1044" s="395">
        <v>5413.99</v>
      </c>
      <c r="W1044" s="395">
        <v>5139.3500000000004</v>
      </c>
      <c r="X1044" s="395">
        <v>77490</v>
      </c>
      <c r="Y1044" s="395">
        <v>8272.68</v>
      </c>
      <c r="Z1044" s="396">
        <v>-5404007</v>
      </c>
      <c r="AA1044" s="396">
        <v>76102</v>
      </c>
      <c r="AB1044" s="396">
        <v>207611</v>
      </c>
      <c r="AC1044" s="396">
        <v>10207916</v>
      </c>
    </row>
    <row r="1045" spans="1:29">
      <c r="A1045">
        <v>8071</v>
      </c>
      <c r="B1045" s="395" t="s">
        <v>8253</v>
      </c>
      <c r="C1045" s="395"/>
      <c r="D1045" s="396">
        <v>76050</v>
      </c>
      <c r="E1045" s="396">
        <v>90953</v>
      </c>
      <c r="F1045" s="395">
        <v>6.1</v>
      </c>
      <c r="G1045" s="396">
        <v>-14903</v>
      </c>
      <c r="H1045" s="396">
        <v>12918</v>
      </c>
      <c r="I1045" s="396">
        <v>380088</v>
      </c>
      <c r="J1045" s="395">
        <v>235</v>
      </c>
      <c r="K1045" s="395">
        <v>195</v>
      </c>
      <c r="L1045" s="397">
        <v>0.82979999999999998</v>
      </c>
      <c r="M1045" s="395">
        <v>40</v>
      </c>
      <c r="N1045" s="395">
        <v>324</v>
      </c>
      <c r="O1045" s="395">
        <v>466</v>
      </c>
      <c r="P1045" s="395">
        <v>1.25</v>
      </c>
      <c r="Q1045" s="395">
        <v>-373</v>
      </c>
      <c r="R1045" s="396">
        <v>1600</v>
      </c>
      <c r="S1045" s="396">
        <v>-1826</v>
      </c>
      <c r="T1045" s="396">
        <v>82422</v>
      </c>
      <c r="U1045" s="396">
        <v>-32001</v>
      </c>
      <c r="V1045" s="395">
        <v>2848.77</v>
      </c>
      <c r="W1045" s="395">
        <v>2129.11</v>
      </c>
      <c r="X1045" s="395">
        <v>77490</v>
      </c>
      <c r="Y1045" s="395">
        <v>6357.1</v>
      </c>
      <c r="Z1045" s="396">
        <v>-4655685</v>
      </c>
      <c r="AA1045" s="396">
        <v>76050</v>
      </c>
      <c r="AB1045" s="396">
        <v>21770084</v>
      </c>
      <c r="AC1045" s="396">
        <v>10207916</v>
      </c>
    </row>
    <row r="1046" spans="1:29">
      <c r="A1046">
        <v>1417</v>
      </c>
      <c r="B1046" s="395" t="s">
        <v>6740</v>
      </c>
      <c r="C1046" s="395"/>
      <c r="D1046" s="396">
        <v>75194</v>
      </c>
      <c r="E1046" s="396">
        <v>97235</v>
      </c>
      <c r="F1046" s="395">
        <v>4.41</v>
      </c>
      <c r="G1046" s="396">
        <v>-22041</v>
      </c>
      <c r="H1046" s="396">
        <v>14749</v>
      </c>
      <c r="I1046" s="396">
        <v>522506</v>
      </c>
      <c r="J1046" s="395">
        <v>263</v>
      </c>
      <c r="K1046" s="395">
        <v>199</v>
      </c>
      <c r="L1046" s="397">
        <v>0.75670000000000004</v>
      </c>
      <c r="M1046" s="395">
        <v>64</v>
      </c>
      <c r="N1046" s="395">
        <v>286</v>
      </c>
      <c r="O1046" s="395">
        <v>489</v>
      </c>
      <c r="P1046" s="395">
        <v>1.42</v>
      </c>
      <c r="Q1046" s="395">
        <v>-344</v>
      </c>
      <c r="R1046" s="396">
        <v>1591</v>
      </c>
      <c r="S1046" s="396">
        <v>-1308</v>
      </c>
      <c r="T1046" s="396">
        <v>95283</v>
      </c>
      <c r="U1046" s="396">
        <v>-28360</v>
      </c>
      <c r="V1046" s="395">
        <v>2839.48</v>
      </c>
      <c r="W1046" s="395">
        <v>1732.72</v>
      </c>
      <c r="X1046" s="395">
        <v>77490</v>
      </c>
      <c r="Y1046" s="395">
        <v>6280.78</v>
      </c>
      <c r="Z1046" s="396">
        <v>9294745</v>
      </c>
      <c r="AA1046" s="396">
        <v>75194</v>
      </c>
      <c r="AB1046" s="396">
        <v>8669388</v>
      </c>
      <c r="AC1046" s="396">
        <v>10207916</v>
      </c>
    </row>
    <row r="1047" spans="1:29">
      <c r="A1047">
        <v>3622</v>
      </c>
      <c r="B1047" s="395" t="s">
        <v>7503</v>
      </c>
      <c r="C1047" s="395"/>
      <c r="D1047" s="396">
        <v>74978</v>
      </c>
      <c r="E1047" s="396">
        <v>177620</v>
      </c>
      <c r="F1047" s="395">
        <v>1.73</v>
      </c>
      <c r="G1047" s="396">
        <v>-102642</v>
      </c>
      <c r="H1047" s="396">
        <v>31691</v>
      </c>
      <c r="I1047" s="396">
        <v>1425244</v>
      </c>
      <c r="J1047" s="395">
        <v>250</v>
      </c>
      <c r="K1047" s="395">
        <v>179</v>
      </c>
      <c r="L1047" s="397">
        <v>0.71599999999999997</v>
      </c>
      <c r="M1047" s="395">
        <v>71</v>
      </c>
      <c r="N1047" s="395">
        <v>300</v>
      </c>
      <c r="O1047" s="395">
        <v>992</v>
      </c>
      <c r="P1047" s="395">
        <v>0.69</v>
      </c>
      <c r="Q1047" s="396">
        <v>-1446</v>
      </c>
      <c r="R1047" s="396">
        <v>4419</v>
      </c>
      <c r="S1047" s="396">
        <v>-4416</v>
      </c>
      <c r="T1047" s="396">
        <v>166976</v>
      </c>
      <c r="U1047" s="396">
        <v>-142767</v>
      </c>
      <c r="V1047" s="395">
        <v>3532.37</v>
      </c>
      <c r="W1047" s="395">
        <v>1317.5</v>
      </c>
      <c r="X1047" s="395">
        <v>77490</v>
      </c>
      <c r="Y1047" s="395">
        <v>9116.35</v>
      </c>
      <c r="Z1047" s="396">
        <v>1516105</v>
      </c>
      <c r="AA1047" s="396">
        <v>74978</v>
      </c>
      <c r="AB1047" s="396">
        <v>-9754861</v>
      </c>
      <c r="AC1047" s="396">
        <v>10207916</v>
      </c>
    </row>
    <row r="1048" spans="1:29">
      <c r="A1048">
        <v>8932</v>
      </c>
      <c r="B1048" s="395" t="s">
        <v>8381</v>
      </c>
      <c r="C1048" s="395"/>
      <c r="D1048" s="396">
        <v>74924</v>
      </c>
      <c r="E1048" s="396">
        <v>79439</v>
      </c>
      <c r="F1048" s="395">
        <v>17.59</v>
      </c>
      <c r="G1048" s="396">
        <v>-4515</v>
      </c>
      <c r="H1048" s="396">
        <v>13476</v>
      </c>
      <c r="I1048" s="396">
        <v>678018</v>
      </c>
      <c r="J1048" s="395">
        <v>160</v>
      </c>
      <c r="K1048" s="395">
        <v>146</v>
      </c>
      <c r="L1048" s="397">
        <v>0.91249999999999998</v>
      </c>
      <c r="M1048" s="395">
        <v>14</v>
      </c>
      <c r="N1048" s="395">
        <v>468</v>
      </c>
      <c r="O1048" s="395">
        <v>544</v>
      </c>
      <c r="P1048" s="395">
        <v>1.68</v>
      </c>
      <c r="Q1048" s="395">
        <v>-323</v>
      </c>
      <c r="R1048" s="396">
        <v>1840</v>
      </c>
      <c r="S1048" s="396">
        <v>-1357</v>
      </c>
      <c r="T1048" s="396">
        <v>81790</v>
      </c>
      <c r="U1048" s="396">
        <v>-17235</v>
      </c>
      <c r="V1048" s="395">
        <v>3459.43</v>
      </c>
      <c r="W1048" s="395">
        <v>3271.77</v>
      </c>
      <c r="X1048" s="395">
        <v>76950</v>
      </c>
      <c r="Y1048" s="395">
        <v>5416.5</v>
      </c>
      <c r="Z1048" s="396">
        <v>5593030</v>
      </c>
      <c r="AA1048" s="396">
        <v>74924</v>
      </c>
      <c r="AB1048" s="396">
        <v>20219512</v>
      </c>
      <c r="AC1048" s="396">
        <v>10207916</v>
      </c>
    </row>
    <row r="1049" spans="1:29">
      <c r="A1049">
        <v>4716</v>
      </c>
      <c r="B1049" s="395" t="s">
        <v>7673</v>
      </c>
      <c r="C1049" s="395"/>
      <c r="D1049" s="396">
        <v>74744</v>
      </c>
      <c r="E1049" s="396">
        <v>101877</v>
      </c>
      <c r="F1049" s="395">
        <v>3.75</v>
      </c>
      <c r="G1049" s="396">
        <v>-27134</v>
      </c>
      <c r="H1049" s="396">
        <v>14894</v>
      </c>
      <c r="I1049" s="396">
        <v>489024</v>
      </c>
      <c r="J1049" s="395">
        <v>243</v>
      </c>
      <c r="K1049" s="395">
        <v>194</v>
      </c>
      <c r="L1049" s="397">
        <v>0.7984</v>
      </c>
      <c r="M1049" s="395">
        <v>49</v>
      </c>
      <c r="N1049" s="395">
        <v>308</v>
      </c>
      <c r="O1049" s="395">
        <v>525</v>
      </c>
      <c r="P1049" s="395">
        <v>0.95</v>
      </c>
      <c r="Q1049" s="395">
        <v>-554</v>
      </c>
      <c r="R1049" s="396">
        <v>1980</v>
      </c>
      <c r="S1049" s="396">
        <v>-1409</v>
      </c>
      <c r="T1049" s="396">
        <v>106005</v>
      </c>
      <c r="U1049" s="396">
        <v>-41291</v>
      </c>
      <c r="V1049" s="395">
        <v>2525.16</v>
      </c>
      <c r="W1049" s="395">
        <v>1893.99</v>
      </c>
      <c r="X1049" s="395">
        <v>77490</v>
      </c>
      <c r="Y1049" s="395">
        <v>5024.1000000000004</v>
      </c>
      <c r="Z1049" s="396">
        <v>6876341</v>
      </c>
      <c r="AA1049" s="396">
        <v>74744</v>
      </c>
      <c r="AB1049" s="396">
        <v>-5958105</v>
      </c>
      <c r="AC1049" s="396">
        <v>10207916</v>
      </c>
    </row>
    <row r="1050" spans="1:29">
      <c r="A1050">
        <v>2739</v>
      </c>
      <c r="B1050" s="395" t="s">
        <v>7183</v>
      </c>
      <c r="C1050" s="395"/>
      <c r="D1050" s="396">
        <v>74572</v>
      </c>
      <c r="E1050" s="396">
        <v>104204</v>
      </c>
      <c r="F1050" s="395">
        <v>3.52</v>
      </c>
      <c r="G1050" s="396">
        <v>-29632</v>
      </c>
      <c r="H1050" s="396">
        <v>21128</v>
      </c>
      <c r="I1050" s="396">
        <v>2293591</v>
      </c>
      <c r="J1050" s="395">
        <v>220</v>
      </c>
      <c r="K1050" s="395">
        <v>160</v>
      </c>
      <c r="L1050" s="397">
        <v>0.72729999999999995</v>
      </c>
      <c r="M1050" s="395">
        <v>60</v>
      </c>
      <c r="N1050" s="395">
        <v>339</v>
      </c>
      <c r="O1050" s="395">
        <v>651</v>
      </c>
      <c r="P1050" s="395">
        <v>1.32</v>
      </c>
      <c r="Q1050" s="395">
        <v>-494</v>
      </c>
      <c r="R1050" s="396">
        <v>2756</v>
      </c>
      <c r="S1050" s="396">
        <v>-1954</v>
      </c>
      <c r="T1050" s="396">
        <v>152702</v>
      </c>
      <c r="U1050" s="396">
        <v>-135013</v>
      </c>
      <c r="V1050" s="395">
        <v>11489.54</v>
      </c>
      <c r="W1050" s="395">
        <v>9684.2999999999993</v>
      </c>
      <c r="X1050" s="395">
        <v>77490</v>
      </c>
      <c r="Y1050" s="395">
        <v>16303.52</v>
      </c>
      <c r="Z1050" s="396">
        <v>-3888908</v>
      </c>
      <c r="AA1050" s="396">
        <v>74572</v>
      </c>
      <c r="AB1050" s="396">
        <v>-3291322</v>
      </c>
      <c r="AC1050" s="396">
        <v>10207916</v>
      </c>
    </row>
    <row r="1051" spans="1:29">
      <c r="A1051">
        <v>6026</v>
      </c>
      <c r="B1051" s="395" t="s">
        <v>7907</v>
      </c>
      <c r="C1051" s="395"/>
      <c r="D1051" s="396">
        <v>74084</v>
      </c>
      <c r="E1051" s="396">
        <v>134382</v>
      </c>
      <c r="F1051" s="395">
        <v>2.23</v>
      </c>
      <c r="G1051" s="396">
        <v>-60298</v>
      </c>
      <c r="H1051" s="396">
        <v>15907</v>
      </c>
      <c r="I1051" s="396">
        <v>765682</v>
      </c>
      <c r="J1051" s="395">
        <v>239</v>
      </c>
      <c r="K1051" s="395">
        <v>191</v>
      </c>
      <c r="L1051" s="397">
        <v>0.79920000000000002</v>
      </c>
      <c r="M1051" s="395">
        <v>48</v>
      </c>
      <c r="N1051" s="395">
        <v>310</v>
      </c>
      <c r="O1051" s="395">
        <v>704</v>
      </c>
      <c r="P1051" s="395">
        <v>0.56000000000000005</v>
      </c>
      <c r="Q1051" s="396">
        <v>-1256</v>
      </c>
      <c r="R1051" s="396">
        <v>3635</v>
      </c>
      <c r="S1051" s="396">
        <v>-3730</v>
      </c>
      <c r="T1051" s="396">
        <v>134042</v>
      </c>
      <c r="U1051" s="396">
        <v>-71285</v>
      </c>
      <c r="V1051" s="395">
        <v>3838.21</v>
      </c>
      <c r="W1051" s="395">
        <v>2561.52</v>
      </c>
      <c r="X1051" s="395">
        <v>77490</v>
      </c>
      <c r="Y1051" s="395">
        <v>8918.3700000000008</v>
      </c>
      <c r="Z1051" s="396">
        <v>-1222843</v>
      </c>
      <c r="AA1051" s="396">
        <v>74084</v>
      </c>
      <c r="AB1051" s="396">
        <v>56775827</v>
      </c>
      <c r="AC1051" s="396">
        <v>10207916</v>
      </c>
    </row>
    <row r="1052" spans="1:29">
      <c r="A1052">
        <v>6283</v>
      </c>
      <c r="B1052" s="395" t="s">
        <v>8052</v>
      </c>
      <c r="C1052" s="395"/>
      <c r="D1052" s="396">
        <v>74027</v>
      </c>
      <c r="E1052" s="396">
        <v>522555</v>
      </c>
      <c r="F1052" s="395">
        <v>1.17</v>
      </c>
      <c r="G1052" s="396">
        <v>-448528</v>
      </c>
      <c r="H1052" s="396">
        <v>52073</v>
      </c>
      <c r="I1052" s="396">
        <v>2290894</v>
      </c>
      <c r="J1052" s="395">
        <v>268</v>
      </c>
      <c r="K1052" s="395">
        <v>166</v>
      </c>
      <c r="L1052" s="397">
        <v>0.61939999999999995</v>
      </c>
      <c r="M1052" s="395">
        <v>102</v>
      </c>
      <c r="N1052" s="395">
        <v>276</v>
      </c>
      <c r="O1052" s="396">
        <v>3148</v>
      </c>
      <c r="P1052" s="395">
        <v>0.72</v>
      </c>
      <c r="Q1052" s="396">
        <v>-4397</v>
      </c>
      <c r="R1052" s="396">
        <v>14419</v>
      </c>
      <c r="S1052" s="396">
        <v>-14037</v>
      </c>
      <c r="T1052" s="396">
        <v>644327</v>
      </c>
      <c r="U1052" s="396">
        <v>-399475</v>
      </c>
      <c r="V1052" s="395">
        <v>3846.48</v>
      </c>
      <c r="W1052" s="395">
        <v>2048.3000000000002</v>
      </c>
      <c r="X1052" s="395">
        <v>77490</v>
      </c>
      <c r="Y1052" s="395">
        <v>6772.92</v>
      </c>
      <c r="Z1052" s="396">
        <v>-24286441</v>
      </c>
      <c r="AA1052" s="396">
        <v>74027</v>
      </c>
      <c r="AB1052" s="396">
        <v>-3670038</v>
      </c>
      <c r="AC1052" s="396">
        <v>10207916</v>
      </c>
    </row>
    <row r="1053" spans="1:29">
      <c r="A1053">
        <v>8201</v>
      </c>
      <c r="B1053" s="395" t="s">
        <v>8293</v>
      </c>
      <c r="C1053" s="395"/>
      <c r="D1053" s="396">
        <v>73892</v>
      </c>
      <c r="E1053" s="396">
        <v>94697</v>
      </c>
      <c r="F1053" s="395">
        <v>4.55</v>
      </c>
      <c r="G1053" s="396">
        <v>-20805</v>
      </c>
      <c r="H1053" s="396">
        <v>11538</v>
      </c>
      <c r="I1053" s="396">
        <v>278163</v>
      </c>
      <c r="J1053" s="395">
        <v>205</v>
      </c>
      <c r="K1053" s="395">
        <v>172</v>
      </c>
      <c r="L1053" s="397">
        <v>0.83899999999999997</v>
      </c>
      <c r="M1053" s="395">
        <v>33</v>
      </c>
      <c r="N1053" s="395">
        <v>360</v>
      </c>
      <c r="O1053" s="395">
        <v>551</v>
      </c>
      <c r="P1053" s="395">
        <v>0.87</v>
      </c>
      <c r="Q1053" s="395">
        <v>-630</v>
      </c>
      <c r="R1053" s="396">
        <v>2237</v>
      </c>
      <c r="S1053" s="396">
        <v>-1912</v>
      </c>
      <c r="T1053" s="396">
        <v>83980</v>
      </c>
      <c r="U1053" s="396">
        <v>-38333</v>
      </c>
      <c r="V1053" s="395">
        <v>1449.22</v>
      </c>
      <c r="W1053" s="395">
        <v>1004.04</v>
      </c>
      <c r="X1053" s="395">
        <v>77490</v>
      </c>
      <c r="Y1053" s="395">
        <v>3769.55</v>
      </c>
      <c r="Z1053" s="396">
        <v>23942639</v>
      </c>
      <c r="AA1053" s="396">
        <v>73892</v>
      </c>
      <c r="AB1053" s="396">
        <v>22077077</v>
      </c>
      <c r="AC1053" s="396">
        <v>10207916</v>
      </c>
    </row>
    <row r="1054" spans="1:29">
      <c r="A1054">
        <v>2515</v>
      </c>
      <c r="B1054" s="395" t="s">
        <v>7116</v>
      </c>
      <c r="C1054" s="395"/>
      <c r="D1054" s="396">
        <v>73335</v>
      </c>
      <c r="E1054" s="396">
        <v>87302</v>
      </c>
      <c r="F1054" s="395">
        <v>6.25</v>
      </c>
      <c r="G1054" s="396">
        <v>-13967</v>
      </c>
      <c r="H1054" s="396">
        <v>10009</v>
      </c>
      <c r="I1054" s="396">
        <v>1096253</v>
      </c>
      <c r="J1054" s="395">
        <v>272</v>
      </c>
      <c r="K1054" s="395">
        <v>237</v>
      </c>
      <c r="L1054" s="397">
        <v>0.87129999999999996</v>
      </c>
      <c r="M1054" s="395">
        <v>35</v>
      </c>
      <c r="N1054" s="395">
        <v>270</v>
      </c>
      <c r="O1054" s="395">
        <v>368</v>
      </c>
      <c r="P1054" s="395">
        <v>0.92</v>
      </c>
      <c r="Q1054" s="395">
        <v>-399</v>
      </c>
      <c r="R1054" s="396">
        <v>1215</v>
      </c>
      <c r="S1054" s="396">
        <v>-1381</v>
      </c>
      <c r="T1054" s="396">
        <v>122469</v>
      </c>
      <c r="U1054" s="396">
        <v>-63604</v>
      </c>
      <c r="V1054" s="395">
        <v>11260.32</v>
      </c>
      <c r="W1054" s="395">
        <v>10693.79</v>
      </c>
      <c r="X1054" s="395">
        <v>77490</v>
      </c>
      <c r="Y1054" s="395">
        <v>15096.51</v>
      </c>
      <c r="Z1054" s="396">
        <v>-11919047</v>
      </c>
      <c r="AA1054" s="396">
        <v>73335</v>
      </c>
      <c r="AB1054" s="396">
        <v>-5119273</v>
      </c>
      <c r="AC1054" s="396">
        <v>10207916</v>
      </c>
    </row>
    <row r="1055" spans="1:29">
      <c r="A1055">
        <v>2369</v>
      </c>
      <c r="B1055" s="395" t="s">
        <v>7016</v>
      </c>
      <c r="C1055" s="395"/>
      <c r="D1055" s="396">
        <v>73186</v>
      </c>
      <c r="E1055" s="396">
        <v>157420</v>
      </c>
      <c r="F1055" s="395">
        <v>1.87</v>
      </c>
      <c r="G1055" s="396">
        <v>-84234</v>
      </c>
      <c r="H1055" s="396">
        <v>23614</v>
      </c>
      <c r="I1055" s="396">
        <v>796974</v>
      </c>
      <c r="J1055" s="395">
        <v>264</v>
      </c>
      <c r="K1055" s="395">
        <v>200</v>
      </c>
      <c r="L1055" s="397">
        <v>0.75760000000000005</v>
      </c>
      <c r="M1055" s="395">
        <v>64</v>
      </c>
      <c r="N1055" s="395">
        <v>277</v>
      </c>
      <c r="O1055" s="395">
        <v>787</v>
      </c>
      <c r="P1055" s="395">
        <v>0.6</v>
      </c>
      <c r="Q1055" s="396">
        <v>-1316</v>
      </c>
      <c r="R1055" s="396">
        <v>3198</v>
      </c>
      <c r="S1055" s="396">
        <v>-4301</v>
      </c>
      <c r="T1055" s="396">
        <v>136429</v>
      </c>
      <c r="U1055" s="396">
        <v>-101376</v>
      </c>
      <c r="V1055" s="395">
        <v>1894.9</v>
      </c>
      <c r="W1055" s="395">
        <v>1018.43</v>
      </c>
      <c r="X1055" s="395">
        <v>77490</v>
      </c>
      <c r="Y1055" s="395">
        <v>4633.87</v>
      </c>
      <c r="Z1055" s="396">
        <v>2430420</v>
      </c>
      <c r="AA1055" s="396">
        <v>73186</v>
      </c>
      <c r="AB1055" s="396">
        <v>30226481</v>
      </c>
      <c r="AC1055" s="396">
        <v>10207916</v>
      </c>
    </row>
    <row r="1056" spans="1:29">
      <c r="A1056">
        <v>1316</v>
      </c>
      <c r="B1056" s="395" t="s">
        <v>6720</v>
      </c>
      <c r="C1056" s="395"/>
      <c r="D1056" s="396">
        <v>73092</v>
      </c>
      <c r="E1056" s="396">
        <v>95253</v>
      </c>
      <c r="F1056" s="395">
        <v>4.3</v>
      </c>
      <c r="G1056" s="396">
        <v>-22161</v>
      </c>
      <c r="H1056" s="396">
        <v>15458</v>
      </c>
      <c r="I1056" s="396">
        <v>340862</v>
      </c>
      <c r="J1056" s="395">
        <v>254</v>
      </c>
      <c r="K1056" s="395">
        <v>225</v>
      </c>
      <c r="L1056" s="397">
        <v>0.88580000000000003</v>
      </c>
      <c r="M1056" s="395">
        <v>29</v>
      </c>
      <c r="N1056" s="395">
        <v>288</v>
      </c>
      <c r="O1056" s="395">
        <v>423</v>
      </c>
      <c r="P1056" s="395">
        <v>0.55000000000000004</v>
      </c>
      <c r="Q1056" s="395">
        <v>-764</v>
      </c>
      <c r="R1056" s="396">
        <v>1441</v>
      </c>
      <c r="S1056" s="396">
        <v>-4739</v>
      </c>
      <c r="T1056" s="396">
        <v>91436</v>
      </c>
      <c r="U1056" s="396">
        <v>-28621</v>
      </c>
      <c r="V1056" s="395">
        <v>1669.41</v>
      </c>
      <c r="W1056" s="395">
        <v>1372.49</v>
      </c>
      <c r="X1056" s="395">
        <v>77490</v>
      </c>
      <c r="Y1056" s="395">
        <v>3973.1</v>
      </c>
      <c r="Z1056" s="396">
        <v>31811056</v>
      </c>
      <c r="AA1056" s="396">
        <v>73092</v>
      </c>
      <c r="AB1056" s="396">
        <v>29658635</v>
      </c>
      <c r="AC1056" s="396">
        <v>10207916</v>
      </c>
    </row>
    <row r="1057" spans="1:29">
      <c r="A1057">
        <v>6603</v>
      </c>
      <c r="B1057" s="395" t="s">
        <v>8152</v>
      </c>
      <c r="C1057" s="395"/>
      <c r="D1057" s="396">
        <v>72955</v>
      </c>
      <c r="E1057" s="396">
        <v>106216</v>
      </c>
      <c r="F1057" s="395">
        <v>3.19</v>
      </c>
      <c r="G1057" s="396">
        <v>-33261</v>
      </c>
      <c r="H1057" s="396">
        <v>16395</v>
      </c>
      <c r="I1057" s="396">
        <v>307257</v>
      </c>
      <c r="J1057" s="395">
        <v>261</v>
      </c>
      <c r="K1057" s="395">
        <v>212</v>
      </c>
      <c r="L1057" s="397">
        <v>0.81230000000000002</v>
      </c>
      <c r="M1057" s="395">
        <v>49</v>
      </c>
      <c r="N1057" s="395">
        <v>280</v>
      </c>
      <c r="O1057" s="395">
        <v>501</v>
      </c>
      <c r="P1057" s="395">
        <v>0.74</v>
      </c>
      <c r="Q1057" s="395">
        <v>-679</v>
      </c>
      <c r="R1057" s="396">
        <v>1786</v>
      </c>
      <c r="S1057" s="396">
        <v>-2315</v>
      </c>
      <c r="T1057" s="396">
        <v>95536</v>
      </c>
      <c r="U1057" s="396">
        <v>-36629</v>
      </c>
      <c r="V1057" s="395">
        <v>1288.49</v>
      </c>
      <c r="W1057" s="395">
        <v>860.54</v>
      </c>
      <c r="X1057" s="395">
        <v>77490</v>
      </c>
      <c r="Y1057" s="395">
        <v>3140.04</v>
      </c>
      <c r="Z1057" s="396">
        <v>3566826</v>
      </c>
      <c r="AA1057" s="396">
        <v>72955</v>
      </c>
      <c r="AB1057" s="396">
        <v>15548857</v>
      </c>
      <c r="AC1057" s="396">
        <v>10207916</v>
      </c>
    </row>
    <row r="1058" spans="1:29">
      <c r="A1058">
        <v>1446</v>
      </c>
      <c r="B1058" s="395" t="s">
        <v>6757</v>
      </c>
      <c r="C1058" s="395"/>
      <c r="D1058" s="396">
        <v>72798</v>
      </c>
      <c r="E1058" s="396">
        <v>180740</v>
      </c>
      <c r="F1058" s="395">
        <v>1.67</v>
      </c>
      <c r="G1058" s="396">
        <v>-107942</v>
      </c>
      <c r="H1058" s="396">
        <v>30451</v>
      </c>
      <c r="I1058" s="396">
        <v>1835464</v>
      </c>
      <c r="J1058" s="395">
        <v>242</v>
      </c>
      <c r="K1058" s="395">
        <v>156</v>
      </c>
      <c r="L1058" s="397">
        <v>0.64459999999999995</v>
      </c>
      <c r="M1058" s="395">
        <v>86</v>
      </c>
      <c r="N1058" s="395">
        <v>301</v>
      </c>
      <c r="O1058" s="396">
        <v>1159</v>
      </c>
      <c r="P1058" s="395">
        <v>0.92</v>
      </c>
      <c r="Q1058" s="396">
        <v>-1255</v>
      </c>
      <c r="R1058" s="396">
        <v>4737</v>
      </c>
      <c r="S1058" s="396">
        <v>-3833</v>
      </c>
      <c r="T1058" s="396">
        <v>356229</v>
      </c>
      <c r="U1058" s="396">
        <v>-206360</v>
      </c>
      <c r="V1058" s="395">
        <v>6535.55</v>
      </c>
      <c r="W1058" s="395">
        <v>4282.53</v>
      </c>
      <c r="X1058" s="395">
        <v>77490</v>
      </c>
      <c r="Y1058" s="395">
        <v>10622.44</v>
      </c>
      <c r="Z1058" s="396">
        <v>-10828066</v>
      </c>
      <c r="AA1058" s="396">
        <v>72798</v>
      </c>
      <c r="AB1058" s="396">
        <v>-425813</v>
      </c>
      <c r="AC1058" s="396">
        <v>10207916</v>
      </c>
    </row>
    <row r="1059" spans="1:29">
      <c r="A1059">
        <v>1721</v>
      </c>
      <c r="B1059" s="395" t="s">
        <v>6859</v>
      </c>
      <c r="C1059" s="395"/>
      <c r="D1059" s="396">
        <v>72790</v>
      </c>
      <c r="E1059" s="396">
        <v>118595</v>
      </c>
      <c r="F1059" s="395">
        <v>2.59</v>
      </c>
      <c r="G1059" s="396">
        <v>-45805</v>
      </c>
      <c r="H1059" s="396">
        <v>14548</v>
      </c>
      <c r="I1059" s="396">
        <v>337015</v>
      </c>
      <c r="J1059" s="395">
        <v>225</v>
      </c>
      <c r="K1059" s="395">
        <v>186</v>
      </c>
      <c r="L1059" s="397">
        <v>0.82669999999999999</v>
      </c>
      <c r="M1059" s="395">
        <v>39</v>
      </c>
      <c r="N1059" s="395">
        <v>324</v>
      </c>
      <c r="O1059" s="395">
        <v>638</v>
      </c>
      <c r="P1059" s="395">
        <v>0.54</v>
      </c>
      <c r="Q1059" s="396">
        <v>-1174</v>
      </c>
      <c r="R1059" s="396">
        <v>4642</v>
      </c>
      <c r="S1059" s="396">
        <v>-3825</v>
      </c>
      <c r="T1059" s="396">
        <v>103391</v>
      </c>
      <c r="U1059" s="396">
        <v>-43029</v>
      </c>
      <c r="V1059" s="395">
        <v>2563.1799999999998</v>
      </c>
      <c r="W1059" s="395">
        <v>2291.46</v>
      </c>
      <c r="X1059" s="395">
        <v>75600</v>
      </c>
      <c r="Y1059" s="395">
        <v>3859.05</v>
      </c>
      <c r="Z1059" s="396">
        <v>-194757</v>
      </c>
      <c r="AA1059" s="396">
        <v>72790</v>
      </c>
      <c r="AB1059" s="396">
        <v>46345211</v>
      </c>
      <c r="AC1059" s="396">
        <v>10207916</v>
      </c>
    </row>
    <row r="1060" spans="1:29">
      <c r="A1060">
        <v>3252</v>
      </c>
      <c r="B1060" s="395" t="s">
        <v>7361</v>
      </c>
      <c r="C1060" s="395"/>
      <c r="D1060" s="396">
        <v>72686</v>
      </c>
      <c r="E1060" s="396">
        <v>88278</v>
      </c>
      <c r="F1060" s="395">
        <v>5.66</v>
      </c>
      <c r="G1060" s="396">
        <v>-15592</v>
      </c>
      <c r="H1060" s="396">
        <v>12264</v>
      </c>
      <c r="I1060" s="396">
        <v>478448</v>
      </c>
      <c r="J1060" s="395">
        <v>174</v>
      </c>
      <c r="K1060" s="395">
        <v>138</v>
      </c>
      <c r="L1060" s="397">
        <v>0.79310000000000003</v>
      </c>
      <c r="M1060" s="395">
        <v>36</v>
      </c>
      <c r="N1060" s="395">
        <v>418</v>
      </c>
      <c r="O1060" s="395">
        <v>640</v>
      </c>
      <c r="P1060" s="395">
        <v>1.48</v>
      </c>
      <c r="Q1060" s="395">
        <v>-433</v>
      </c>
      <c r="R1060" s="396">
        <v>2680</v>
      </c>
      <c r="S1060" s="396">
        <v>-1623</v>
      </c>
      <c r="T1060" s="396">
        <v>100948</v>
      </c>
      <c r="U1060" s="396">
        <v>-27246</v>
      </c>
      <c r="V1060" s="395">
        <v>4106.97</v>
      </c>
      <c r="W1060" s="395">
        <v>3234.01</v>
      </c>
      <c r="X1060" s="395">
        <v>77220</v>
      </c>
      <c r="Y1060" s="395">
        <v>7453.33</v>
      </c>
      <c r="Z1060" s="396">
        <v>-3173660</v>
      </c>
      <c r="AA1060" s="396">
        <v>72686</v>
      </c>
      <c r="AB1060" s="396">
        <v>-3440678</v>
      </c>
      <c r="AC1060" s="396">
        <v>10207916</v>
      </c>
    </row>
    <row r="1061" spans="1:29">
      <c r="A1061">
        <v>1439</v>
      </c>
      <c r="B1061" s="395" t="s">
        <v>6750</v>
      </c>
      <c r="C1061" s="395"/>
      <c r="D1061" s="396">
        <v>72499</v>
      </c>
      <c r="E1061" s="396">
        <v>153932</v>
      </c>
      <c r="F1061" s="395">
        <v>1.89</v>
      </c>
      <c r="G1061" s="396">
        <v>-81433</v>
      </c>
      <c r="H1061" s="396">
        <v>19851</v>
      </c>
      <c r="I1061" s="396">
        <v>2149150</v>
      </c>
      <c r="J1061" s="395">
        <v>204</v>
      </c>
      <c r="K1061" s="395">
        <v>124</v>
      </c>
      <c r="L1061" s="397">
        <v>0.60780000000000001</v>
      </c>
      <c r="M1061" s="395">
        <v>80</v>
      </c>
      <c r="N1061" s="395">
        <v>355</v>
      </c>
      <c r="O1061" s="396">
        <v>1241</v>
      </c>
      <c r="P1061" s="395">
        <v>1.22</v>
      </c>
      <c r="Q1061" s="396">
        <v>-1018</v>
      </c>
      <c r="R1061" s="396">
        <v>4956</v>
      </c>
      <c r="S1061" s="396">
        <v>-2549</v>
      </c>
      <c r="T1061" s="396">
        <v>351475</v>
      </c>
      <c r="U1061" s="396">
        <v>-235902</v>
      </c>
      <c r="V1061" s="395">
        <v>12085.59</v>
      </c>
      <c r="W1061" s="395">
        <v>9309.74</v>
      </c>
      <c r="X1061" s="395">
        <v>77220</v>
      </c>
      <c r="Y1061" s="395">
        <v>16388.16</v>
      </c>
      <c r="Z1061" s="396">
        <v>-12138766</v>
      </c>
      <c r="AA1061" s="396">
        <v>72499</v>
      </c>
      <c r="AB1061" s="396">
        <v>-11931579</v>
      </c>
      <c r="AC1061" s="396">
        <v>10207916</v>
      </c>
    </row>
    <row r="1062" spans="1:29">
      <c r="A1062">
        <v>1445</v>
      </c>
      <c r="B1062" s="395" t="s">
        <v>6756</v>
      </c>
      <c r="C1062" s="395"/>
      <c r="D1062" s="396">
        <v>72255</v>
      </c>
      <c r="E1062" s="396">
        <v>77807</v>
      </c>
      <c r="F1062" s="395">
        <v>14.01</v>
      </c>
      <c r="G1062" s="396">
        <v>-5552</v>
      </c>
      <c r="H1062" s="396">
        <v>12562</v>
      </c>
      <c r="I1062" s="396">
        <v>411408</v>
      </c>
      <c r="J1062" s="395">
        <v>231</v>
      </c>
      <c r="K1062" s="395">
        <v>207</v>
      </c>
      <c r="L1062" s="397">
        <v>0.89610000000000001</v>
      </c>
      <c r="M1062" s="395">
        <v>23</v>
      </c>
      <c r="N1062" s="395">
        <v>313</v>
      </c>
      <c r="O1062" s="395">
        <v>376</v>
      </c>
      <c r="P1062" s="395">
        <v>1.56</v>
      </c>
      <c r="Q1062" s="395">
        <v>-241</v>
      </c>
      <c r="R1062" s="396">
        <v>1289</v>
      </c>
      <c r="S1062" s="396">
        <v>-1350</v>
      </c>
      <c r="T1062" s="396">
        <v>76175</v>
      </c>
      <c r="U1062" s="396">
        <v>-11642</v>
      </c>
      <c r="V1062" s="395">
        <v>2336.34</v>
      </c>
      <c r="W1062" s="395">
        <v>2369.6799999999998</v>
      </c>
      <c r="X1062" s="395">
        <v>77490</v>
      </c>
      <c r="Y1062" s="395">
        <v>2110.4299999999998</v>
      </c>
      <c r="Z1062" s="396">
        <v>23657652</v>
      </c>
      <c r="AA1062" s="396">
        <v>72255</v>
      </c>
      <c r="AB1062" s="396">
        <v>19603023</v>
      </c>
      <c r="AC1062" s="396">
        <v>10207916</v>
      </c>
    </row>
    <row r="1063" spans="1:29">
      <c r="A1063">
        <v>6185</v>
      </c>
      <c r="B1063" s="395" t="s">
        <v>7974</v>
      </c>
      <c r="C1063" s="395"/>
      <c r="D1063" s="396">
        <v>72179</v>
      </c>
      <c r="E1063" s="396">
        <v>82064</v>
      </c>
      <c r="F1063" s="395">
        <v>8.3000000000000007</v>
      </c>
      <c r="G1063" s="396">
        <v>-9884</v>
      </c>
      <c r="H1063" s="396">
        <v>12389</v>
      </c>
      <c r="I1063" s="396">
        <v>624846</v>
      </c>
      <c r="J1063" s="395">
        <v>226</v>
      </c>
      <c r="K1063" s="395">
        <v>202</v>
      </c>
      <c r="L1063" s="397">
        <v>0.89380000000000004</v>
      </c>
      <c r="M1063" s="395">
        <v>24</v>
      </c>
      <c r="N1063" s="395">
        <v>319</v>
      </c>
      <c r="O1063" s="395">
        <v>406</v>
      </c>
      <c r="P1063" s="395">
        <v>0.99</v>
      </c>
      <c r="Q1063" s="395">
        <v>-412</v>
      </c>
      <c r="R1063" s="396">
        <v>1656</v>
      </c>
      <c r="S1063" s="396">
        <v>-1801</v>
      </c>
      <c r="T1063" s="396">
        <v>78899</v>
      </c>
      <c r="U1063" s="396">
        <v>-18298</v>
      </c>
      <c r="V1063" s="395">
        <v>3398.58</v>
      </c>
      <c r="W1063" s="395">
        <v>2913</v>
      </c>
      <c r="X1063" s="395">
        <v>77490</v>
      </c>
      <c r="Y1063" s="395">
        <v>7485.5</v>
      </c>
      <c r="Z1063" s="396">
        <v>-4384202</v>
      </c>
      <c r="AA1063" s="396">
        <v>72179</v>
      </c>
      <c r="AB1063" s="396">
        <v>1894267</v>
      </c>
      <c r="AC1063" s="396">
        <v>10207916</v>
      </c>
    </row>
    <row r="1064" spans="1:29">
      <c r="A1064">
        <v>1531</v>
      </c>
      <c r="B1064" s="395" t="s">
        <v>6803</v>
      </c>
      <c r="C1064" s="395"/>
      <c r="D1064" s="396">
        <v>71756</v>
      </c>
      <c r="E1064" s="396">
        <v>101437</v>
      </c>
      <c r="F1064" s="395">
        <v>3.42</v>
      </c>
      <c r="G1064" s="396">
        <v>-29681</v>
      </c>
      <c r="H1064" s="396">
        <v>14394</v>
      </c>
      <c r="I1064" s="396">
        <v>424520</v>
      </c>
      <c r="J1064" s="395">
        <v>238</v>
      </c>
      <c r="K1064" s="395">
        <v>183</v>
      </c>
      <c r="L1064" s="397">
        <v>0.76890000000000003</v>
      </c>
      <c r="M1064" s="395">
        <v>54</v>
      </c>
      <c r="N1064" s="395">
        <v>301</v>
      </c>
      <c r="O1064" s="395">
        <v>554</v>
      </c>
      <c r="P1064" s="395">
        <v>1.01</v>
      </c>
      <c r="Q1064" s="395">
        <v>-550</v>
      </c>
      <c r="R1064" s="396">
        <v>1845</v>
      </c>
      <c r="S1064" s="396">
        <v>-1962</v>
      </c>
      <c r="T1064" s="396">
        <v>105880</v>
      </c>
      <c r="U1064" s="396">
        <v>-26031</v>
      </c>
      <c r="V1064" s="395">
        <v>2820.55</v>
      </c>
      <c r="W1064" s="395">
        <v>1995.19</v>
      </c>
      <c r="X1064" s="395">
        <v>77490</v>
      </c>
      <c r="Y1064" s="395">
        <v>5574.91</v>
      </c>
      <c r="Z1064" s="396">
        <v>-6200213</v>
      </c>
      <c r="AA1064" s="396">
        <v>71756</v>
      </c>
      <c r="AB1064" s="396">
        <v>7721474</v>
      </c>
      <c r="AC1064" s="396">
        <v>10207916</v>
      </c>
    </row>
    <row r="1065" spans="1:29">
      <c r="A1065">
        <v>2511</v>
      </c>
      <c r="B1065" s="395" t="s">
        <v>7114</v>
      </c>
      <c r="C1065" s="395"/>
      <c r="D1065" s="396">
        <v>71231</v>
      </c>
      <c r="E1065" s="396">
        <v>79513</v>
      </c>
      <c r="F1065" s="395">
        <v>9.6</v>
      </c>
      <c r="G1065" s="396">
        <v>-8282</v>
      </c>
      <c r="H1065" s="396">
        <v>12988</v>
      </c>
      <c r="I1065" s="396">
        <v>449320</v>
      </c>
      <c r="J1065" s="395">
        <v>255</v>
      </c>
      <c r="K1065" s="395">
        <v>228</v>
      </c>
      <c r="L1065" s="397">
        <v>0.89410000000000001</v>
      </c>
      <c r="M1065" s="395">
        <v>27</v>
      </c>
      <c r="N1065" s="395">
        <v>279</v>
      </c>
      <c r="O1065" s="395">
        <v>349</v>
      </c>
      <c r="P1065" s="395">
        <v>1.1399999999999999</v>
      </c>
      <c r="Q1065" s="395">
        <v>-307</v>
      </c>
      <c r="R1065" s="396">
        <v>1047</v>
      </c>
      <c r="S1065" s="396">
        <v>-1155</v>
      </c>
      <c r="T1065" s="396">
        <v>79161</v>
      </c>
      <c r="U1065" s="396">
        <v>-23329</v>
      </c>
      <c r="V1065" s="395">
        <v>2810.05</v>
      </c>
      <c r="W1065" s="395">
        <v>2544.5300000000002</v>
      </c>
      <c r="X1065" s="395">
        <v>77490</v>
      </c>
      <c r="Y1065" s="395">
        <v>5052.22</v>
      </c>
      <c r="Z1065" s="396">
        <v>-2084608</v>
      </c>
      <c r="AA1065" s="396">
        <v>71231</v>
      </c>
      <c r="AB1065" s="396">
        <v>8800842</v>
      </c>
      <c r="AC1065" s="396">
        <v>10207916</v>
      </c>
    </row>
    <row r="1066" spans="1:29">
      <c r="A1066">
        <v>2701</v>
      </c>
      <c r="B1066" s="395" t="s">
        <v>7163</v>
      </c>
      <c r="C1066" s="395"/>
      <c r="D1066" s="396">
        <v>70816</v>
      </c>
      <c r="E1066" s="396">
        <v>78736</v>
      </c>
      <c r="F1066" s="395">
        <v>9.94</v>
      </c>
      <c r="G1066" s="396">
        <v>-7921</v>
      </c>
      <c r="H1066" s="396">
        <v>12244</v>
      </c>
      <c r="I1066" s="396">
        <v>923935</v>
      </c>
      <c r="J1066" s="395">
        <v>248</v>
      </c>
      <c r="K1066" s="395">
        <v>220</v>
      </c>
      <c r="L1066" s="397">
        <v>0.8871</v>
      </c>
      <c r="M1066" s="395">
        <v>25</v>
      </c>
      <c r="N1066" s="395">
        <v>286</v>
      </c>
      <c r="O1066" s="395">
        <v>358</v>
      </c>
      <c r="P1066" s="395">
        <v>1.1299999999999999</v>
      </c>
      <c r="Q1066" s="395">
        <v>-317</v>
      </c>
      <c r="R1066" s="396">
        <v>1453</v>
      </c>
      <c r="S1066" s="395">
        <v>-952</v>
      </c>
      <c r="T1066" s="396">
        <v>78550</v>
      </c>
      <c r="U1066" s="396">
        <v>-22001</v>
      </c>
      <c r="V1066" s="395">
        <v>7226.33</v>
      </c>
      <c r="W1066" s="395">
        <v>7018.48</v>
      </c>
      <c r="X1066" s="395">
        <v>77490</v>
      </c>
      <c r="Y1066" s="395">
        <v>7992.28</v>
      </c>
      <c r="Z1066" s="396">
        <v>-5589282</v>
      </c>
      <c r="AA1066" s="396">
        <v>70816</v>
      </c>
      <c r="AB1066" s="396">
        <v>-563628</v>
      </c>
      <c r="AC1066" s="396">
        <v>10207916</v>
      </c>
    </row>
    <row r="1067" spans="1:29">
      <c r="A1067">
        <v>2323</v>
      </c>
      <c r="B1067" s="395" t="s">
        <v>6983</v>
      </c>
      <c r="C1067" s="395"/>
      <c r="D1067" s="396">
        <v>70483</v>
      </c>
      <c r="E1067" s="396">
        <v>81751</v>
      </c>
      <c r="F1067" s="395">
        <v>7.26</v>
      </c>
      <c r="G1067" s="396">
        <v>-11268</v>
      </c>
      <c r="H1067" s="396">
        <v>10939</v>
      </c>
      <c r="I1067" s="396">
        <v>410949</v>
      </c>
      <c r="J1067" s="395">
        <v>273</v>
      </c>
      <c r="K1067" s="395">
        <v>232</v>
      </c>
      <c r="L1067" s="397">
        <v>0.8498</v>
      </c>
      <c r="M1067" s="395">
        <v>41</v>
      </c>
      <c r="N1067" s="395">
        <v>258</v>
      </c>
      <c r="O1067" s="395">
        <v>352</v>
      </c>
      <c r="P1067" s="395">
        <v>1.28</v>
      </c>
      <c r="Q1067" s="395">
        <v>-275</v>
      </c>
      <c r="R1067" s="396">
        <v>1261</v>
      </c>
      <c r="S1067" s="396">
        <v>-1344</v>
      </c>
      <c r="T1067" s="396">
        <v>95001</v>
      </c>
      <c r="U1067" s="396">
        <v>-24517</v>
      </c>
      <c r="V1067" s="395">
        <v>3573.35</v>
      </c>
      <c r="W1067" s="395">
        <v>3002.87</v>
      </c>
      <c r="X1067" s="395">
        <v>77490</v>
      </c>
      <c r="Y1067" s="395">
        <v>6801.44</v>
      </c>
      <c r="Z1067" s="396">
        <v>-9967039</v>
      </c>
      <c r="AA1067" s="396">
        <v>70483</v>
      </c>
      <c r="AB1067" s="396">
        <v>12285646</v>
      </c>
      <c r="AC1067" s="396">
        <v>10207916</v>
      </c>
    </row>
    <row r="1068" spans="1:29">
      <c r="A1068">
        <v>2514</v>
      </c>
      <c r="B1068" s="395" t="s">
        <v>7115</v>
      </c>
      <c r="C1068" s="395"/>
      <c r="D1068" s="396">
        <v>70067</v>
      </c>
      <c r="E1068" s="396">
        <v>94421</v>
      </c>
      <c r="F1068" s="395">
        <v>3.88</v>
      </c>
      <c r="G1068" s="396">
        <v>-24354</v>
      </c>
      <c r="H1068" s="396">
        <v>16983</v>
      </c>
      <c r="I1068" s="396">
        <v>1291993</v>
      </c>
      <c r="J1068" s="395">
        <v>243</v>
      </c>
      <c r="K1068" s="395">
        <v>170</v>
      </c>
      <c r="L1068" s="397">
        <v>0.6996</v>
      </c>
      <c r="M1068" s="395">
        <v>73</v>
      </c>
      <c r="N1068" s="395">
        <v>288</v>
      </c>
      <c r="O1068" s="395">
        <v>555</v>
      </c>
      <c r="P1068" s="395">
        <v>1.66</v>
      </c>
      <c r="Q1068" s="395">
        <v>-334</v>
      </c>
      <c r="R1068" s="396">
        <v>1732</v>
      </c>
      <c r="S1068" s="396">
        <v>-1474</v>
      </c>
      <c r="T1068" s="396">
        <v>106940</v>
      </c>
      <c r="U1068" s="396">
        <v>-55177</v>
      </c>
      <c r="V1068" s="395">
        <v>7322.17</v>
      </c>
      <c r="W1068" s="395">
        <v>5592.48</v>
      </c>
      <c r="X1068" s="395">
        <v>77490</v>
      </c>
      <c r="Y1068" s="395">
        <v>11350.21</v>
      </c>
      <c r="Z1068" s="396">
        <v>1019028</v>
      </c>
      <c r="AA1068" s="396">
        <v>70067</v>
      </c>
      <c r="AB1068" s="396">
        <v>10926829</v>
      </c>
      <c r="AC1068" s="396">
        <v>10207916</v>
      </c>
    </row>
    <row r="1069" spans="1:29">
      <c r="A1069">
        <v>6005</v>
      </c>
      <c r="B1069" s="395" t="s">
        <v>7900</v>
      </c>
      <c r="C1069" s="395"/>
      <c r="D1069" s="396">
        <v>69715</v>
      </c>
      <c r="E1069" s="396">
        <v>105701</v>
      </c>
      <c r="F1069" s="395">
        <v>2.94</v>
      </c>
      <c r="G1069" s="396">
        <v>-35986</v>
      </c>
      <c r="H1069" s="396">
        <v>17780</v>
      </c>
      <c r="I1069" s="396">
        <v>1141344</v>
      </c>
      <c r="J1069" s="395">
        <v>275</v>
      </c>
      <c r="K1069" s="395">
        <v>212</v>
      </c>
      <c r="L1069" s="397">
        <v>0.77090000000000003</v>
      </c>
      <c r="M1069" s="395">
        <v>63</v>
      </c>
      <c r="N1069" s="395">
        <v>254</v>
      </c>
      <c r="O1069" s="395">
        <v>499</v>
      </c>
      <c r="P1069" s="395">
        <v>0.87</v>
      </c>
      <c r="Q1069" s="395">
        <v>-571</v>
      </c>
      <c r="R1069" s="396">
        <v>1984</v>
      </c>
      <c r="S1069" s="396">
        <v>-1573</v>
      </c>
      <c r="T1069" s="396">
        <v>103716</v>
      </c>
      <c r="U1069" s="396">
        <v>-53016</v>
      </c>
      <c r="V1069" s="395">
        <v>5120.6000000000004</v>
      </c>
      <c r="W1069" s="395">
        <v>4057.12</v>
      </c>
      <c r="X1069" s="395">
        <v>77490</v>
      </c>
      <c r="Y1069" s="395">
        <v>8699.2999999999993</v>
      </c>
      <c r="Z1069" s="396">
        <v>-1389811</v>
      </c>
      <c r="AA1069" s="396">
        <v>69715</v>
      </c>
      <c r="AB1069" s="396">
        <v>12225498</v>
      </c>
      <c r="AC1069" s="396">
        <v>10207916</v>
      </c>
    </row>
    <row r="1070" spans="1:29">
      <c r="A1070">
        <v>2530</v>
      </c>
      <c r="B1070" s="395" t="s">
        <v>7122</v>
      </c>
      <c r="C1070" s="395"/>
      <c r="D1070" s="396">
        <v>69582</v>
      </c>
      <c r="E1070" s="396">
        <v>78330</v>
      </c>
      <c r="F1070" s="395">
        <v>8.9499999999999993</v>
      </c>
      <c r="G1070" s="396">
        <v>-8748</v>
      </c>
      <c r="H1070" s="396">
        <v>14418</v>
      </c>
      <c r="I1070" s="396">
        <v>840923</v>
      </c>
      <c r="J1070" s="395">
        <v>250</v>
      </c>
      <c r="K1070" s="395">
        <v>208</v>
      </c>
      <c r="L1070" s="397">
        <v>0.83199999999999996</v>
      </c>
      <c r="M1070" s="395">
        <v>42</v>
      </c>
      <c r="N1070" s="395">
        <v>278</v>
      </c>
      <c r="O1070" s="395">
        <v>377</v>
      </c>
      <c r="P1070" s="395">
        <v>1.81</v>
      </c>
      <c r="Q1070" s="395">
        <v>-208</v>
      </c>
      <c r="R1070" s="395">
        <v>946</v>
      </c>
      <c r="S1070" s="396">
        <v>-1259</v>
      </c>
      <c r="T1070" s="396">
        <v>77997</v>
      </c>
      <c r="U1070" s="396">
        <v>-17557</v>
      </c>
      <c r="V1070" s="395">
        <v>5701.05</v>
      </c>
      <c r="W1070" s="395">
        <v>5189.8900000000003</v>
      </c>
      <c r="X1070" s="395">
        <v>77490</v>
      </c>
      <c r="Y1070" s="395">
        <v>8232.5</v>
      </c>
      <c r="Z1070" s="396">
        <v>-3301398</v>
      </c>
      <c r="AA1070" s="396">
        <v>69582</v>
      </c>
      <c r="AB1070" s="396">
        <v>1576512</v>
      </c>
      <c r="AC1070" s="396">
        <v>10207916</v>
      </c>
    </row>
    <row r="1071" spans="1:29">
      <c r="A1071">
        <v>4804</v>
      </c>
      <c r="B1071" s="395" t="s">
        <v>7698</v>
      </c>
      <c r="C1071" s="395"/>
      <c r="D1071" s="396">
        <v>69021</v>
      </c>
      <c r="E1071" s="396">
        <v>93496</v>
      </c>
      <c r="F1071" s="395">
        <v>3.82</v>
      </c>
      <c r="G1071" s="396">
        <v>-24475</v>
      </c>
      <c r="H1071" s="396">
        <v>8869</v>
      </c>
      <c r="I1071" s="396">
        <v>491148</v>
      </c>
      <c r="J1071" s="395">
        <v>212</v>
      </c>
      <c r="K1071" s="395">
        <v>152</v>
      </c>
      <c r="L1071" s="397">
        <v>0.71699999999999997</v>
      </c>
      <c r="M1071" s="395">
        <v>60</v>
      </c>
      <c r="N1071" s="395">
        <v>326</v>
      </c>
      <c r="O1071" s="395">
        <v>615</v>
      </c>
      <c r="P1071" s="395">
        <v>1.51</v>
      </c>
      <c r="Q1071" s="395">
        <v>-408</v>
      </c>
      <c r="R1071" s="396">
        <v>1908</v>
      </c>
      <c r="S1071" s="396">
        <v>-2701</v>
      </c>
      <c r="T1071" s="396">
        <v>91631</v>
      </c>
      <c r="U1071" s="396">
        <v>-59041</v>
      </c>
      <c r="V1071" s="395">
        <v>5755.69</v>
      </c>
      <c r="W1071" s="395">
        <v>4126.68</v>
      </c>
      <c r="X1071" s="395">
        <v>77490</v>
      </c>
      <c r="Y1071" s="395">
        <v>9882.5</v>
      </c>
      <c r="Z1071" s="396">
        <v>-20673558</v>
      </c>
      <c r="AA1071" s="396">
        <v>69021</v>
      </c>
      <c r="AB1071" s="396">
        <v>-11626263</v>
      </c>
      <c r="AC1071" s="396">
        <v>10207916</v>
      </c>
    </row>
    <row r="1072" spans="1:29">
      <c r="A1072">
        <v>4706</v>
      </c>
      <c r="B1072" s="395" t="s">
        <v>7668</v>
      </c>
      <c r="C1072" s="395"/>
      <c r="D1072" s="396">
        <v>68998</v>
      </c>
      <c r="E1072" s="396">
        <v>78073</v>
      </c>
      <c r="F1072" s="395">
        <v>8.6</v>
      </c>
      <c r="G1072" s="396">
        <v>-9075</v>
      </c>
      <c r="H1072" s="396">
        <v>8728</v>
      </c>
      <c r="I1072" s="396">
        <v>445470</v>
      </c>
      <c r="J1072" s="395">
        <v>113</v>
      </c>
      <c r="K1072" s="395">
        <v>98</v>
      </c>
      <c r="L1072" s="397">
        <v>0.86729999999999996</v>
      </c>
      <c r="M1072" s="395">
        <v>15</v>
      </c>
      <c r="N1072" s="395">
        <v>611</v>
      </c>
      <c r="O1072" s="395">
        <v>797</v>
      </c>
      <c r="P1072" s="395">
        <v>1.32</v>
      </c>
      <c r="Q1072" s="395">
        <v>-605</v>
      </c>
      <c r="R1072" s="396">
        <v>2575</v>
      </c>
      <c r="S1072" s="396">
        <v>-2435</v>
      </c>
      <c r="T1072" s="396">
        <v>84154</v>
      </c>
      <c r="U1072" s="396">
        <v>-22350</v>
      </c>
      <c r="V1072" s="395">
        <v>5331.62</v>
      </c>
      <c r="W1072" s="395">
        <v>5227.93</v>
      </c>
      <c r="X1072" s="395">
        <v>77490</v>
      </c>
      <c r="Y1072" s="395">
        <v>6009.07</v>
      </c>
      <c r="Z1072" s="396">
        <v>-2052523</v>
      </c>
      <c r="AA1072" s="396">
        <v>68998</v>
      </c>
      <c r="AB1072" s="396">
        <v>7476989</v>
      </c>
      <c r="AC1072" s="396">
        <v>10207916</v>
      </c>
    </row>
    <row r="1073" spans="1:29">
      <c r="A1073">
        <v>6148</v>
      </c>
      <c r="B1073" s="395" t="s">
        <v>7944</v>
      </c>
      <c r="C1073" s="395"/>
      <c r="D1073" s="396">
        <v>68706</v>
      </c>
      <c r="E1073" s="396">
        <v>108139</v>
      </c>
      <c r="F1073" s="395">
        <v>2.74</v>
      </c>
      <c r="G1073" s="396">
        <v>-39433</v>
      </c>
      <c r="H1073" s="396">
        <v>12894</v>
      </c>
      <c r="I1073" s="396">
        <v>734484</v>
      </c>
      <c r="J1073" s="395">
        <v>221</v>
      </c>
      <c r="K1073" s="395">
        <v>178</v>
      </c>
      <c r="L1073" s="397">
        <v>0.8054</v>
      </c>
      <c r="M1073" s="395">
        <v>43</v>
      </c>
      <c r="N1073" s="395">
        <v>311</v>
      </c>
      <c r="O1073" s="395">
        <v>608</v>
      </c>
      <c r="P1073" s="395">
        <v>0.66</v>
      </c>
      <c r="Q1073" s="395">
        <v>-917</v>
      </c>
      <c r="R1073" s="396">
        <v>2297</v>
      </c>
      <c r="S1073" s="396">
        <v>-3665</v>
      </c>
      <c r="T1073" s="396">
        <v>141039</v>
      </c>
      <c r="U1073" s="396">
        <v>-85207</v>
      </c>
      <c r="V1073" s="395">
        <v>4067.17</v>
      </c>
      <c r="W1073" s="395">
        <v>3379.83</v>
      </c>
      <c r="X1073" s="395">
        <v>77490</v>
      </c>
      <c r="Y1073" s="395">
        <v>6912.47</v>
      </c>
      <c r="Z1073" s="396">
        <v>-10673019</v>
      </c>
      <c r="AA1073" s="396">
        <v>68706</v>
      </c>
      <c r="AB1073" s="396">
        <v>-4050016</v>
      </c>
      <c r="AC1073" s="396">
        <v>10207916</v>
      </c>
    </row>
    <row r="1074" spans="1:29">
      <c r="A1074">
        <v>2887</v>
      </c>
      <c r="B1074" s="395" t="s">
        <v>7217</v>
      </c>
      <c r="C1074" s="395"/>
      <c r="D1074" s="396">
        <v>68688</v>
      </c>
      <c r="E1074" s="396">
        <v>106225</v>
      </c>
      <c r="F1074" s="395">
        <v>2.83</v>
      </c>
      <c r="G1074" s="396">
        <v>-37537</v>
      </c>
      <c r="H1074" s="396">
        <v>19024</v>
      </c>
      <c r="I1074" s="396">
        <v>625710</v>
      </c>
      <c r="J1074" s="395">
        <v>285</v>
      </c>
      <c r="K1074" s="395">
        <v>243</v>
      </c>
      <c r="L1074" s="397">
        <v>0.85260000000000002</v>
      </c>
      <c r="M1074" s="395">
        <v>42</v>
      </c>
      <c r="N1074" s="395">
        <v>241</v>
      </c>
      <c r="O1074" s="395">
        <v>437</v>
      </c>
      <c r="P1074" s="395">
        <v>0.49</v>
      </c>
      <c r="Q1074" s="395">
        <v>-894</v>
      </c>
      <c r="R1074" s="396">
        <v>1284</v>
      </c>
      <c r="S1074" s="396">
        <v>-1829</v>
      </c>
      <c r="T1074" s="396">
        <v>118780</v>
      </c>
      <c r="U1074" s="396">
        <v>-56282</v>
      </c>
      <c r="V1074" s="395">
        <v>3566.22</v>
      </c>
      <c r="W1074" s="395">
        <v>3293.63</v>
      </c>
      <c r="X1074" s="395">
        <v>77490</v>
      </c>
      <c r="Y1074" s="395">
        <v>5143.3599999999997</v>
      </c>
      <c r="Z1074" s="396">
        <v>9703384</v>
      </c>
      <c r="AA1074" s="396">
        <v>68688</v>
      </c>
      <c r="AB1074" s="396">
        <v>27008346</v>
      </c>
      <c r="AC1074" s="396">
        <v>10207916</v>
      </c>
    </row>
    <row r="1075" spans="1:29">
      <c r="A1075">
        <v>3018</v>
      </c>
      <c r="B1075" s="395" t="s">
        <v>7258</v>
      </c>
      <c r="C1075" s="395"/>
      <c r="D1075" s="396">
        <v>68563</v>
      </c>
      <c r="E1075" s="396">
        <v>96278</v>
      </c>
      <c r="F1075" s="395">
        <v>3.47</v>
      </c>
      <c r="G1075" s="396">
        <v>-27715</v>
      </c>
      <c r="H1075" s="396">
        <v>11337</v>
      </c>
      <c r="I1075" s="396">
        <v>430995</v>
      </c>
      <c r="J1075" s="395">
        <v>163</v>
      </c>
      <c r="K1075" s="395">
        <v>129</v>
      </c>
      <c r="L1075" s="397">
        <v>0.79139999999999999</v>
      </c>
      <c r="M1075" s="395">
        <v>34</v>
      </c>
      <c r="N1075" s="395">
        <v>421</v>
      </c>
      <c r="O1075" s="395">
        <v>746</v>
      </c>
      <c r="P1075" s="395">
        <v>0.92</v>
      </c>
      <c r="Q1075" s="395">
        <v>-815</v>
      </c>
      <c r="R1075" s="396">
        <v>2379</v>
      </c>
      <c r="S1075" s="396">
        <v>-3132</v>
      </c>
      <c r="T1075" s="396">
        <v>92328</v>
      </c>
      <c r="U1075" s="396">
        <v>-28430</v>
      </c>
      <c r="V1075" s="395">
        <v>3257.8</v>
      </c>
      <c r="W1075" s="395">
        <v>2373.21</v>
      </c>
      <c r="X1075" s="395">
        <v>77490</v>
      </c>
      <c r="Y1075" s="395">
        <v>6614.06</v>
      </c>
      <c r="Z1075" s="396">
        <v>-14939624</v>
      </c>
      <c r="AA1075" s="396">
        <v>68563</v>
      </c>
      <c r="AB1075" s="396">
        <v>4583562</v>
      </c>
      <c r="AC1075" s="396">
        <v>10207916</v>
      </c>
    </row>
    <row r="1076" spans="1:29">
      <c r="A1076">
        <v>1201</v>
      </c>
      <c r="B1076" s="395" t="s">
        <v>6683</v>
      </c>
      <c r="C1076" s="395"/>
      <c r="D1076" s="396">
        <v>68510</v>
      </c>
      <c r="E1076" s="396">
        <v>138936</v>
      </c>
      <c r="F1076" s="395">
        <v>1.97</v>
      </c>
      <c r="G1076" s="396">
        <v>-70426</v>
      </c>
      <c r="H1076" s="396">
        <v>22497</v>
      </c>
      <c r="I1076" s="396">
        <v>2043262</v>
      </c>
      <c r="J1076" s="395">
        <v>256</v>
      </c>
      <c r="K1076" s="395">
        <v>159</v>
      </c>
      <c r="L1076" s="397">
        <v>0.62109999999999999</v>
      </c>
      <c r="M1076" s="395">
        <v>97</v>
      </c>
      <c r="N1076" s="395">
        <v>268</v>
      </c>
      <c r="O1076" s="395">
        <v>874</v>
      </c>
      <c r="P1076" s="395">
        <v>1.2</v>
      </c>
      <c r="Q1076" s="395">
        <v>-726</v>
      </c>
      <c r="R1076" s="396">
        <v>2611</v>
      </c>
      <c r="S1076" s="396">
        <v>-2650</v>
      </c>
      <c r="T1076" s="396">
        <v>208099</v>
      </c>
      <c r="U1076" s="396">
        <v>-126829</v>
      </c>
      <c r="V1076" s="395">
        <v>10581.41</v>
      </c>
      <c r="W1076" s="395">
        <v>8173.73</v>
      </c>
      <c r="X1076" s="395">
        <v>77490</v>
      </c>
      <c r="Y1076" s="395">
        <v>14528.03</v>
      </c>
      <c r="Z1076" s="396">
        <v>-7667838</v>
      </c>
      <c r="AA1076" s="396">
        <v>68510</v>
      </c>
      <c r="AB1076" s="396">
        <v>-466527</v>
      </c>
      <c r="AC1076" s="396">
        <v>10207916</v>
      </c>
    </row>
    <row r="1077" spans="1:29">
      <c r="A1077">
        <v>2221</v>
      </c>
      <c r="B1077" s="395" t="s">
        <v>6959</v>
      </c>
      <c r="C1077" s="395"/>
      <c r="D1077" s="396">
        <v>68387</v>
      </c>
      <c r="E1077" s="396">
        <v>234204</v>
      </c>
      <c r="F1077" s="395">
        <v>1.41</v>
      </c>
      <c r="G1077" s="396">
        <v>-165817</v>
      </c>
      <c r="H1077" s="396">
        <v>30363</v>
      </c>
      <c r="I1077" s="396">
        <v>1772704</v>
      </c>
      <c r="J1077" s="395">
        <v>224</v>
      </c>
      <c r="K1077" s="395">
        <v>144</v>
      </c>
      <c r="L1077" s="397">
        <v>0.64290000000000003</v>
      </c>
      <c r="M1077" s="395">
        <v>80</v>
      </c>
      <c r="N1077" s="395">
        <v>305</v>
      </c>
      <c r="O1077" s="396">
        <v>1626</v>
      </c>
      <c r="P1077" s="395">
        <v>0.78</v>
      </c>
      <c r="Q1077" s="396">
        <v>-2073</v>
      </c>
      <c r="R1077" s="396">
        <v>5007</v>
      </c>
      <c r="S1077" s="396">
        <v>-8362</v>
      </c>
      <c r="T1077" s="396">
        <v>241098</v>
      </c>
      <c r="U1077" s="396">
        <v>-188305</v>
      </c>
      <c r="V1077" s="395">
        <v>4111.9799999999996</v>
      </c>
      <c r="W1077" s="395">
        <v>1956.88</v>
      </c>
      <c r="X1077" s="395">
        <v>77490</v>
      </c>
      <c r="Y1077" s="395">
        <v>7991.16</v>
      </c>
      <c r="Z1077" s="396">
        <v>-2183784</v>
      </c>
      <c r="AA1077" s="396">
        <v>68387</v>
      </c>
      <c r="AB1077" s="396">
        <v>20604190</v>
      </c>
      <c r="AC1077" s="396">
        <v>10207916</v>
      </c>
    </row>
    <row r="1078" spans="1:29">
      <c r="A1078">
        <v>2845</v>
      </c>
      <c r="B1078" s="395" t="s">
        <v>7203</v>
      </c>
      <c r="C1078" s="395"/>
      <c r="D1078" s="396">
        <v>68347</v>
      </c>
      <c r="E1078" s="396">
        <v>72248</v>
      </c>
      <c r="F1078" s="395">
        <v>18.52</v>
      </c>
      <c r="G1078" s="396">
        <v>-3901</v>
      </c>
      <c r="H1078" s="396">
        <v>12022</v>
      </c>
      <c r="I1078" s="396">
        <v>947266</v>
      </c>
      <c r="J1078" s="395">
        <v>276</v>
      </c>
      <c r="K1078" s="395">
        <v>249</v>
      </c>
      <c r="L1078" s="397">
        <v>0.9022</v>
      </c>
      <c r="M1078" s="395">
        <v>27</v>
      </c>
      <c r="N1078" s="395">
        <v>248</v>
      </c>
      <c r="O1078" s="395">
        <v>290</v>
      </c>
      <c r="P1078" s="395">
        <v>2.0099999999999998</v>
      </c>
      <c r="Q1078" s="395">
        <v>-144</v>
      </c>
      <c r="R1078" s="395">
        <v>657</v>
      </c>
      <c r="S1078" s="395">
        <v>-345</v>
      </c>
      <c r="T1078" s="396">
        <v>77852</v>
      </c>
      <c r="U1078" s="396">
        <v>-14020</v>
      </c>
      <c r="V1078" s="395">
        <v>7265.09</v>
      </c>
      <c r="W1078" s="395">
        <v>6819.91</v>
      </c>
      <c r="X1078" s="395">
        <v>77490</v>
      </c>
      <c r="Y1078" s="395">
        <v>11370.59</v>
      </c>
      <c r="Z1078" s="396">
        <v>2420554</v>
      </c>
      <c r="AA1078" s="396">
        <v>68347</v>
      </c>
      <c r="AB1078" s="396">
        <v>4342066</v>
      </c>
      <c r="AC1078" s="396">
        <v>10207916</v>
      </c>
    </row>
    <row r="1079" spans="1:29">
      <c r="A1079">
        <v>6020</v>
      </c>
      <c r="B1079" s="395" t="s">
        <v>7903</v>
      </c>
      <c r="C1079" s="395"/>
      <c r="D1079" s="396">
        <v>68281</v>
      </c>
      <c r="E1079" s="396">
        <v>106902</v>
      </c>
      <c r="F1079" s="395">
        <v>2.77</v>
      </c>
      <c r="G1079" s="396">
        <v>-38621</v>
      </c>
      <c r="H1079" s="396">
        <v>13380</v>
      </c>
      <c r="I1079" s="396">
        <v>576740</v>
      </c>
      <c r="J1079" s="395">
        <v>153</v>
      </c>
      <c r="K1079" s="395">
        <v>121</v>
      </c>
      <c r="L1079" s="397">
        <v>0.79079999999999995</v>
      </c>
      <c r="M1079" s="395">
        <v>32</v>
      </c>
      <c r="N1079" s="395">
        <v>446</v>
      </c>
      <c r="O1079" s="395">
        <v>883</v>
      </c>
      <c r="P1079" s="395">
        <v>0.73</v>
      </c>
      <c r="Q1079" s="396">
        <v>-1207</v>
      </c>
      <c r="R1079" s="396">
        <v>2622</v>
      </c>
      <c r="S1079" s="396">
        <v>-3000</v>
      </c>
      <c r="T1079" s="396">
        <v>102208</v>
      </c>
      <c r="U1079" s="396">
        <v>-36761</v>
      </c>
      <c r="V1079" s="395">
        <v>4919.3900000000003</v>
      </c>
      <c r="W1079" s="395">
        <v>4731.88</v>
      </c>
      <c r="X1079" s="395">
        <v>77490</v>
      </c>
      <c r="Y1079" s="395">
        <v>5628.41</v>
      </c>
      <c r="Z1079" s="396">
        <v>-64759</v>
      </c>
      <c r="AA1079" s="396">
        <v>68281</v>
      </c>
      <c r="AB1079" s="396">
        <v>19295712</v>
      </c>
      <c r="AC1079" s="396">
        <v>10207916</v>
      </c>
    </row>
    <row r="1080" spans="1:29">
      <c r="A1080">
        <v>4538</v>
      </c>
      <c r="B1080" s="395" t="s">
        <v>7639</v>
      </c>
      <c r="C1080" s="395"/>
      <c r="D1080" s="396">
        <v>68207</v>
      </c>
      <c r="E1080" s="396">
        <v>68207</v>
      </c>
      <c r="F1080" s="395">
        <v>0</v>
      </c>
      <c r="G1080" s="395">
        <v>0</v>
      </c>
      <c r="H1080" s="396">
        <v>7871</v>
      </c>
      <c r="I1080" s="396">
        <v>838699</v>
      </c>
      <c r="J1080" s="395">
        <v>96</v>
      </c>
      <c r="K1080" s="395">
        <v>96</v>
      </c>
      <c r="L1080" s="397">
        <v>1</v>
      </c>
      <c r="M1080" s="395">
        <v>0</v>
      </c>
      <c r="N1080" s="395">
        <v>710</v>
      </c>
      <c r="O1080" s="395">
        <v>710</v>
      </c>
      <c r="P1080" s="395">
        <v>0</v>
      </c>
      <c r="Q1080" s="395">
        <v>0</v>
      </c>
      <c r="R1080" s="396">
        <v>1672</v>
      </c>
      <c r="S1080" s="395">
        <v>0</v>
      </c>
      <c r="T1080" s="396">
        <v>75772</v>
      </c>
      <c r="U1080" s="396">
        <v>-28978</v>
      </c>
      <c r="V1080" s="395">
        <v>10160.41</v>
      </c>
      <c r="W1080" s="395">
        <v>10160.41</v>
      </c>
      <c r="X1080" s="395">
        <v>76950</v>
      </c>
      <c r="Y1080" s="395">
        <v>0</v>
      </c>
      <c r="Z1080" s="396">
        <v>14264681</v>
      </c>
      <c r="AA1080" s="396">
        <v>68207</v>
      </c>
      <c r="AB1080" s="396">
        <v>15274524</v>
      </c>
      <c r="AC1080" s="396">
        <v>10207916</v>
      </c>
    </row>
    <row r="1081" spans="1:29">
      <c r="A1081">
        <v>8096</v>
      </c>
      <c r="B1081" s="395" t="s">
        <v>8270</v>
      </c>
      <c r="C1081" s="395"/>
      <c r="D1081" s="396">
        <v>68105</v>
      </c>
      <c r="E1081" s="396">
        <v>108179</v>
      </c>
      <c r="F1081" s="395">
        <v>2.7</v>
      </c>
      <c r="G1081" s="396">
        <v>-40073</v>
      </c>
      <c r="H1081" s="396">
        <v>13679</v>
      </c>
      <c r="I1081" s="396">
        <v>435211</v>
      </c>
      <c r="J1081" s="395">
        <v>248</v>
      </c>
      <c r="K1081" s="395">
        <v>189</v>
      </c>
      <c r="L1081" s="397">
        <v>0.7621</v>
      </c>
      <c r="M1081" s="395">
        <v>59</v>
      </c>
      <c r="N1081" s="395">
        <v>275</v>
      </c>
      <c r="O1081" s="395">
        <v>572</v>
      </c>
      <c r="P1081" s="395">
        <v>0.84</v>
      </c>
      <c r="Q1081" s="395">
        <v>-679</v>
      </c>
      <c r="R1081" s="396">
        <v>2852</v>
      </c>
      <c r="S1081" s="396">
        <v>-2509</v>
      </c>
      <c r="T1081" s="396">
        <v>116705</v>
      </c>
      <c r="U1081" s="396">
        <v>-43086</v>
      </c>
      <c r="V1081" s="395">
        <v>2919.53</v>
      </c>
      <c r="W1081" s="395">
        <v>2006.21</v>
      </c>
      <c r="X1081" s="395">
        <v>77490</v>
      </c>
      <c r="Y1081" s="395">
        <v>5845.24</v>
      </c>
      <c r="Z1081" s="396">
        <v>-4218267</v>
      </c>
      <c r="AA1081" s="396">
        <v>68105</v>
      </c>
      <c r="AB1081" s="396">
        <v>3568665</v>
      </c>
      <c r="AC1081" s="396">
        <v>10207916</v>
      </c>
    </row>
    <row r="1082" spans="1:29">
      <c r="A1082">
        <v>2812</v>
      </c>
      <c r="B1082" s="395" t="s">
        <v>7195</v>
      </c>
      <c r="C1082" s="395"/>
      <c r="D1082" s="396">
        <v>67888</v>
      </c>
      <c r="E1082" s="396">
        <v>69673</v>
      </c>
      <c r="F1082" s="395">
        <v>39.03</v>
      </c>
      <c r="G1082" s="396">
        <v>-1785</v>
      </c>
      <c r="H1082" s="396">
        <v>13512</v>
      </c>
      <c r="I1082" s="396">
        <v>656284</v>
      </c>
      <c r="J1082" s="395">
        <v>280</v>
      </c>
      <c r="K1082" s="395">
        <v>258</v>
      </c>
      <c r="L1082" s="397">
        <v>0.9214</v>
      </c>
      <c r="M1082" s="395">
        <v>22</v>
      </c>
      <c r="N1082" s="395">
        <v>242</v>
      </c>
      <c r="O1082" s="395">
        <v>270</v>
      </c>
      <c r="P1082" s="395">
        <v>3.33</v>
      </c>
      <c r="Q1082" s="395">
        <v>-81</v>
      </c>
      <c r="R1082" s="395">
        <v>804</v>
      </c>
      <c r="S1082" s="395">
        <v>-255</v>
      </c>
      <c r="T1082" s="396">
        <v>72245</v>
      </c>
      <c r="U1082" s="396">
        <v>-16365</v>
      </c>
      <c r="V1082" s="395">
        <v>5090.46</v>
      </c>
      <c r="W1082" s="395">
        <v>4836.76</v>
      </c>
      <c r="X1082" s="395">
        <v>77490</v>
      </c>
      <c r="Y1082" s="395">
        <v>8065.73</v>
      </c>
      <c r="Z1082" s="396">
        <v>7358117</v>
      </c>
      <c r="AA1082" s="396">
        <v>67888</v>
      </c>
      <c r="AB1082" s="396">
        <v>16726513</v>
      </c>
      <c r="AC1082" s="396">
        <v>10207916</v>
      </c>
    </row>
    <row r="1083" spans="1:29">
      <c r="A1083">
        <v>3607</v>
      </c>
      <c r="B1083" s="395" t="s">
        <v>7498</v>
      </c>
      <c r="C1083" s="395"/>
      <c r="D1083" s="396">
        <v>67605</v>
      </c>
      <c r="E1083" s="396">
        <v>107153</v>
      </c>
      <c r="F1083" s="395">
        <v>2.71</v>
      </c>
      <c r="G1083" s="396">
        <v>-39548</v>
      </c>
      <c r="H1083" s="396">
        <v>15395</v>
      </c>
      <c r="I1083" s="396">
        <v>374413</v>
      </c>
      <c r="J1083" s="395">
        <v>255</v>
      </c>
      <c r="K1083" s="395">
        <v>209</v>
      </c>
      <c r="L1083" s="397">
        <v>0.8196</v>
      </c>
      <c r="M1083" s="395">
        <v>46</v>
      </c>
      <c r="N1083" s="395">
        <v>265</v>
      </c>
      <c r="O1083" s="395">
        <v>513</v>
      </c>
      <c r="P1083" s="395">
        <v>0.6</v>
      </c>
      <c r="Q1083" s="395">
        <v>-860</v>
      </c>
      <c r="R1083" s="396">
        <v>1924</v>
      </c>
      <c r="S1083" s="396">
        <v>-3013</v>
      </c>
      <c r="T1083" s="396">
        <v>114303</v>
      </c>
      <c r="U1083" s="396">
        <v>-28917</v>
      </c>
      <c r="V1083" s="395">
        <v>1326.08</v>
      </c>
      <c r="W1083" s="395">
        <v>956.18</v>
      </c>
      <c r="X1083" s="395">
        <v>77490</v>
      </c>
      <c r="Y1083" s="395">
        <v>3006.72</v>
      </c>
      <c r="Z1083" s="396">
        <v>-13367534</v>
      </c>
      <c r="AA1083" s="396">
        <v>67605</v>
      </c>
      <c r="AB1083" s="396">
        <v>-5190323</v>
      </c>
      <c r="AC1083" s="396">
        <v>10207916</v>
      </c>
    </row>
    <row r="1084" spans="1:29">
      <c r="A1084">
        <v>4527</v>
      </c>
      <c r="B1084" s="395" t="s">
        <v>7630</v>
      </c>
      <c r="C1084" s="395"/>
      <c r="D1084" s="396">
        <v>67574</v>
      </c>
      <c r="E1084" s="396">
        <v>78240</v>
      </c>
      <c r="F1084" s="395">
        <v>7.34</v>
      </c>
      <c r="G1084" s="396">
        <v>-10665</v>
      </c>
      <c r="H1084" s="396">
        <v>12311</v>
      </c>
      <c r="I1084" s="396">
        <v>2359415</v>
      </c>
      <c r="J1084" s="395">
        <v>105</v>
      </c>
      <c r="K1084" s="395">
        <v>92</v>
      </c>
      <c r="L1084" s="397">
        <v>0.87619999999999998</v>
      </c>
      <c r="M1084" s="395">
        <v>13</v>
      </c>
      <c r="N1084" s="395">
        <v>644</v>
      </c>
      <c r="O1084" s="395">
        <v>850</v>
      </c>
      <c r="P1084" s="395">
        <v>1.04</v>
      </c>
      <c r="Q1084" s="395">
        <v>-820</v>
      </c>
      <c r="R1084" s="396">
        <v>2373</v>
      </c>
      <c r="S1084" s="396">
        <v>-1485</v>
      </c>
      <c r="T1084" s="396">
        <v>139871</v>
      </c>
      <c r="U1084" s="396">
        <v>-87067</v>
      </c>
      <c r="V1084" s="395">
        <v>26200.34</v>
      </c>
      <c r="W1084" s="395">
        <v>22535.39</v>
      </c>
      <c r="X1084" s="395">
        <v>77490</v>
      </c>
      <c r="Y1084" s="395">
        <v>52136.92</v>
      </c>
      <c r="Z1084" s="396">
        <v>833592</v>
      </c>
      <c r="AA1084" s="396">
        <v>67574</v>
      </c>
      <c r="AB1084" s="396">
        <v>4835238</v>
      </c>
      <c r="AC1084" s="396">
        <v>10207916</v>
      </c>
    </row>
    <row r="1085" spans="1:29">
      <c r="A1085">
        <v>2913</v>
      </c>
      <c r="B1085" s="395" t="s">
        <v>7233</v>
      </c>
      <c r="C1085" s="395"/>
      <c r="D1085" s="396">
        <v>67432</v>
      </c>
      <c r="E1085" s="396">
        <v>130703</v>
      </c>
      <c r="F1085" s="395">
        <v>2.0699999999999998</v>
      </c>
      <c r="G1085" s="396">
        <v>-63271</v>
      </c>
      <c r="H1085" s="396">
        <v>21068</v>
      </c>
      <c r="I1085" s="396">
        <v>973264</v>
      </c>
      <c r="J1085" s="395">
        <v>264</v>
      </c>
      <c r="K1085" s="395">
        <v>202</v>
      </c>
      <c r="L1085" s="397">
        <v>0.76519999999999999</v>
      </c>
      <c r="M1085" s="395">
        <v>62</v>
      </c>
      <c r="N1085" s="395">
        <v>255</v>
      </c>
      <c r="O1085" s="395">
        <v>647</v>
      </c>
      <c r="P1085" s="395">
        <v>0.63</v>
      </c>
      <c r="Q1085" s="396">
        <v>-1020</v>
      </c>
      <c r="R1085" s="396">
        <v>2020</v>
      </c>
      <c r="S1085" s="396">
        <v>-2682</v>
      </c>
      <c r="T1085" s="396">
        <v>131076</v>
      </c>
      <c r="U1085" s="396">
        <v>-52857</v>
      </c>
      <c r="V1085" s="395">
        <v>4489.87</v>
      </c>
      <c r="W1085" s="395">
        <v>3479.01</v>
      </c>
      <c r="X1085" s="395">
        <v>77490</v>
      </c>
      <c r="Y1085" s="395">
        <v>7783.31</v>
      </c>
      <c r="Z1085" s="396">
        <v>-8580547</v>
      </c>
      <c r="AA1085" s="396">
        <v>67432</v>
      </c>
      <c r="AB1085" s="396">
        <v>2834254</v>
      </c>
      <c r="AC1085" s="396">
        <v>10207916</v>
      </c>
    </row>
    <row r="1086" spans="1:29">
      <c r="A1086">
        <v>6259</v>
      </c>
      <c r="B1086" s="395" t="s">
        <v>8035</v>
      </c>
      <c r="C1086" s="395"/>
      <c r="D1086" s="396">
        <v>67344</v>
      </c>
      <c r="E1086" s="396">
        <v>109055</v>
      </c>
      <c r="F1086" s="395">
        <v>2.61</v>
      </c>
      <c r="G1086" s="396">
        <v>-41711</v>
      </c>
      <c r="H1086" s="396">
        <v>9956</v>
      </c>
      <c r="I1086" s="396">
        <v>344382</v>
      </c>
      <c r="J1086" s="395">
        <v>84</v>
      </c>
      <c r="K1086" s="395">
        <v>67</v>
      </c>
      <c r="L1086" s="397">
        <v>0.79759999999999998</v>
      </c>
      <c r="M1086" s="395">
        <v>17</v>
      </c>
      <c r="N1086" s="395">
        <v>802</v>
      </c>
      <c r="O1086" s="396">
        <v>1628</v>
      </c>
      <c r="P1086" s="395">
        <v>0.66</v>
      </c>
      <c r="Q1086" s="396">
        <v>-2454</v>
      </c>
      <c r="R1086" s="396">
        <v>6319</v>
      </c>
      <c r="S1086" s="396">
        <v>-10681</v>
      </c>
      <c r="T1086" s="396">
        <v>90534</v>
      </c>
      <c r="U1086" s="396">
        <v>-44146</v>
      </c>
      <c r="V1086" s="395">
        <v>1893.04</v>
      </c>
      <c r="W1086" s="395">
        <v>1086.28</v>
      </c>
      <c r="X1086" s="395">
        <v>76680</v>
      </c>
      <c r="Y1086" s="395">
        <v>5072.59</v>
      </c>
      <c r="Z1086" s="396">
        <v>309818</v>
      </c>
      <c r="AA1086" s="396">
        <v>67344</v>
      </c>
      <c r="AB1086" s="396">
        <v>104207692</v>
      </c>
      <c r="AC1086" s="396">
        <v>10207916</v>
      </c>
    </row>
    <row r="1087" spans="1:29">
      <c r="A1087">
        <v>4907</v>
      </c>
      <c r="B1087" s="395" t="s">
        <v>7705</v>
      </c>
      <c r="C1087" s="395"/>
      <c r="D1087" s="396">
        <v>67283</v>
      </c>
      <c r="E1087" s="396">
        <v>80244</v>
      </c>
      <c r="F1087" s="395">
        <v>6.19</v>
      </c>
      <c r="G1087" s="396">
        <v>-12961</v>
      </c>
      <c r="H1087" s="396">
        <v>9617</v>
      </c>
      <c r="I1087" s="396">
        <v>1066541</v>
      </c>
      <c r="J1087" s="395">
        <v>95</v>
      </c>
      <c r="K1087" s="395">
        <v>68</v>
      </c>
      <c r="L1087" s="397">
        <v>0.71579999999999999</v>
      </c>
      <c r="M1087" s="395">
        <v>26</v>
      </c>
      <c r="N1087" s="395">
        <v>708</v>
      </c>
      <c r="O1087" s="396">
        <v>1180</v>
      </c>
      <c r="P1087" s="395">
        <v>2.37</v>
      </c>
      <c r="Q1087" s="395">
        <v>-498</v>
      </c>
      <c r="R1087" s="396">
        <v>3401</v>
      </c>
      <c r="S1087" s="396">
        <v>-1551</v>
      </c>
      <c r="T1087" s="396">
        <v>133850</v>
      </c>
      <c r="U1087" s="396">
        <v>-61431</v>
      </c>
      <c r="V1087" s="395">
        <v>9241.27</v>
      </c>
      <c r="W1087" s="395">
        <v>7537.53</v>
      </c>
      <c r="X1087" s="395">
        <v>76950</v>
      </c>
      <c r="Y1087" s="395">
        <v>14030.38</v>
      </c>
      <c r="Z1087" s="396">
        <v>2195344</v>
      </c>
      <c r="AA1087" s="396">
        <v>67283</v>
      </c>
      <c r="AB1087" s="396">
        <v>-3680518</v>
      </c>
      <c r="AC1087" s="396">
        <v>10207916</v>
      </c>
    </row>
    <row r="1088" spans="1:29">
      <c r="A1088">
        <v>5516</v>
      </c>
      <c r="B1088" s="395" t="s">
        <v>7862</v>
      </c>
      <c r="C1088" s="395"/>
      <c r="D1088" s="396">
        <v>67244</v>
      </c>
      <c r="E1088" s="396">
        <v>88520</v>
      </c>
      <c r="F1088" s="395">
        <v>4.16</v>
      </c>
      <c r="G1088" s="396">
        <v>-21276</v>
      </c>
      <c r="H1088" s="396">
        <v>11051</v>
      </c>
      <c r="I1088" s="396">
        <v>1395036</v>
      </c>
      <c r="J1088" s="395">
        <v>186</v>
      </c>
      <c r="K1088" s="395">
        <v>149</v>
      </c>
      <c r="L1088" s="397">
        <v>0.80110000000000003</v>
      </c>
      <c r="M1088" s="395">
        <v>37</v>
      </c>
      <c r="N1088" s="395">
        <v>362</v>
      </c>
      <c r="O1088" s="395">
        <v>594</v>
      </c>
      <c r="P1088" s="395">
        <v>1.03</v>
      </c>
      <c r="Q1088" s="395">
        <v>-575</v>
      </c>
      <c r="R1088" s="396">
        <v>1892</v>
      </c>
      <c r="S1088" s="396">
        <v>-1964</v>
      </c>
      <c r="T1088" s="396">
        <v>152239</v>
      </c>
      <c r="U1088" s="396">
        <v>-91504</v>
      </c>
      <c r="V1088" s="395">
        <v>11663.94</v>
      </c>
      <c r="W1088" s="395">
        <v>9644.7199999999993</v>
      </c>
      <c r="X1088" s="395">
        <v>77220</v>
      </c>
      <c r="Y1088" s="395">
        <v>19795.38</v>
      </c>
      <c r="Z1088" s="396">
        <v>1088989</v>
      </c>
      <c r="AA1088" s="396">
        <v>67244</v>
      </c>
      <c r="AB1088" s="396">
        <v>8569496</v>
      </c>
      <c r="AC1088" s="396">
        <v>10207916</v>
      </c>
    </row>
    <row r="1089" spans="1:29">
      <c r="A1089">
        <v>6218</v>
      </c>
      <c r="B1089" s="395" t="s">
        <v>8004</v>
      </c>
      <c r="C1089" s="395"/>
      <c r="D1089" s="396">
        <v>67034</v>
      </c>
      <c r="E1089" s="396">
        <v>85520</v>
      </c>
      <c r="F1089" s="395">
        <v>4.63</v>
      </c>
      <c r="G1089" s="396">
        <v>-18486</v>
      </c>
      <c r="H1089" s="396">
        <v>14453</v>
      </c>
      <c r="I1089" s="396">
        <v>749376</v>
      </c>
      <c r="J1089" s="395">
        <v>173</v>
      </c>
      <c r="K1089" s="395">
        <v>148</v>
      </c>
      <c r="L1089" s="397">
        <v>0.85550000000000004</v>
      </c>
      <c r="M1089" s="395">
        <v>25</v>
      </c>
      <c r="N1089" s="395">
        <v>387</v>
      </c>
      <c r="O1089" s="395">
        <v>578</v>
      </c>
      <c r="P1089" s="395">
        <v>0.78</v>
      </c>
      <c r="Q1089" s="395">
        <v>-739</v>
      </c>
      <c r="R1089" s="396">
        <v>2223</v>
      </c>
      <c r="S1089" s="396">
        <v>-2190</v>
      </c>
      <c r="T1089" s="396">
        <v>83806</v>
      </c>
      <c r="U1089" s="396">
        <v>-23581</v>
      </c>
      <c r="V1089" s="395">
        <v>3796.38</v>
      </c>
      <c r="W1089" s="395">
        <v>3250.41</v>
      </c>
      <c r="X1089" s="395">
        <v>77490</v>
      </c>
      <c r="Y1089" s="395">
        <v>7028.48</v>
      </c>
      <c r="Z1089" s="396">
        <v>866392</v>
      </c>
      <c r="AA1089" s="396">
        <v>67034</v>
      </c>
      <c r="AB1089" s="396">
        <v>8831977</v>
      </c>
      <c r="AC1089" s="396">
        <v>10207916</v>
      </c>
    </row>
    <row r="1090" spans="1:29">
      <c r="A1090">
        <v>1240</v>
      </c>
      <c r="B1090" s="395" t="s">
        <v>6702</v>
      </c>
      <c r="C1090" s="395"/>
      <c r="D1090" s="396">
        <v>66615</v>
      </c>
      <c r="E1090" s="396">
        <v>132418</v>
      </c>
      <c r="F1090" s="395">
        <v>2.0099999999999998</v>
      </c>
      <c r="G1090" s="396">
        <v>-65803</v>
      </c>
      <c r="H1090" s="396">
        <v>33085</v>
      </c>
      <c r="I1090" s="396">
        <v>1364929</v>
      </c>
      <c r="J1090" s="395">
        <v>154</v>
      </c>
      <c r="K1090" s="395">
        <v>102</v>
      </c>
      <c r="L1090" s="397">
        <v>0.6623</v>
      </c>
      <c r="M1090" s="395">
        <v>52</v>
      </c>
      <c r="N1090" s="395">
        <v>433</v>
      </c>
      <c r="O1090" s="396">
        <v>1298</v>
      </c>
      <c r="P1090" s="395">
        <v>1.03</v>
      </c>
      <c r="Q1090" s="396">
        <v>-1265</v>
      </c>
      <c r="R1090" s="396">
        <v>4786</v>
      </c>
      <c r="S1090" s="396">
        <v>-4332</v>
      </c>
      <c r="T1090" s="396">
        <v>143084</v>
      </c>
      <c r="U1090" s="396">
        <v>-52414</v>
      </c>
      <c r="V1090" s="395">
        <v>5636.16</v>
      </c>
      <c r="W1090" s="395">
        <v>4904.93</v>
      </c>
      <c r="X1090" s="395">
        <v>77220</v>
      </c>
      <c r="Y1090" s="395">
        <v>7070.5</v>
      </c>
      <c r="Z1090" s="396">
        <v>-1901649</v>
      </c>
      <c r="AA1090" s="396">
        <v>66615</v>
      </c>
      <c r="AB1090" s="396">
        <v>-133864</v>
      </c>
      <c r="AC1090" s="396">
        <v>10207916</v>
      </c>
    </row>
    <row r="1091" spans="1:29">
      <c r="A1091">
        <v>5489</v>
      </c>
      <c r="B1091" s="395" t="s">
        <v>7853</v>
      </c>
      <c r="C1091" s="395"/>
      <c r="D1091" s="396">
        <v>66555</v>
      </c>
      <c r="E1091" s="396">
        <v>108167</v>
      </c>
      <c r="F1091" s="395">
        <v>2.6</v>
      </c>
      <c r="G1091" s="396">
        <v>-41612</v>
      </c>
      <c r="H1091" s="396">
        <v>21768</v>
      </c>
      <c r="I1091" s="396">
        <v>1277419</v>
      </c>
      <c r="J1091" s="395">
        <v>163</v>
      </c>
      <c r="K1091" s="395">
        <v>111</v>
      </c>
      <c r="L1091" s="397">
        <v>0.68100000000000005</v>
      </c>
      <c r="M1091" s="395">
        <v>52</v>
      </c>
      <c r="N1091" s="395">
        <v>408</v>
      </c>
      <c r="O1091" s="395">
        <v>974</v>
      </c>
      <c r="P1091" s="395">
        <v>1.22</v>
      </c>
      <c r="Q1091" s="395">
        <v>-800</v>
      </c>
      <c r="R1091" s="396">
        <v>3377</v>
      </c>
      <c r="S1091" s="396">
        <v>-1892</v>
      </c>
      <c r="T1091" s="396">
        <v>136856</v>
      </c>
      <c r="U1091" s="396">
        <v>-68578</v>
      </c>
      <c r="V1091" s="395">
        <v>4672.46</v>
      </c>
      <c r="W1091" s="395">
        <v>3365.22</v>
      </c>
      <c r="X1091" s="395">
        <v>76950</v>
      </c>
      <c r="Y1091" s="395">
        <v>7462.92</v>
      </c>
      <c r="Z1091" s="396">
        <v>7882599</v>
      </c>
      <c r="AA1091" s="396">
        <v>66555</v>
      </c>
      <c r="AB1091" s="396">
        <v>10530408</v>
      </c>
      <c r="AC1091" s="396">
        <v>10207916</v>
      </c>
    </row>
    <row r="1092" spans="1:29">
      <c r="A1092">
        <v>3207</v>
      </c>
      <c r="B1092" s="395" t="s">
        <v>7343</v>
      </c>
      <c r="C1092" s="395"/>
      <c r="D1092" s="396">
        <v>66485</v>
      </c>
      <c r="E1092" s="396">
        <v>97773</v>
      </c>
      <c r="F1092" s="395">
        <v>3.12</v>
      </c>
      <c r="G1092" s="396">
        <v>-31288</v>
      </c>
      <c r="H1092" s="396">
        <v>11565</v>
      </c>
      <c r="I1092" s="396">
        <v>528025</v>
      </c>
      <c r="J1092" s="395">
        <v>148</v>
      </c>
      <c r="K1092" s="395">
        <v>107</v>
      </c>
      <c r="L1092" s="397">
        <v>0.72299999999999998</v>
      </c>
      <c r="M1092" s="395">
        <v>40</v>
      </c>
      <c r="N1092" s="395">
        <v>449</v>
      </c>
      <c r="O1092" s="395">
        <v>914</v>
      </c>
      <c r="P1092" s="395">
        <v>1.17</v>
      </c>
      <c r="Q1092" s="395">
        <v>-782</v>
      </c>
      <c r="R1092" s="396">
        <v>2890</v>
      </c>
      <c r="S1092" s="396">
        <v>-3022</v>
      </c>
      <c r="T1092" s="396">
        <v>90403</v>
      </c>
      <c r="U1092" s="396">
        <v>-57076</v>
      </c>
      <c r="V1092" s="395">
        <v>2560.1799999999998</v>
      </c>
      <c r="W1092" s="395">
        <v>1058.4100000000001</v>
      </c>
      <c r="X1092" s="395">
        <v>77490</v>
      </c>
      <c r="Y1092" s="395">
        <v>6619.07</v>
      </c>
      <c r="Z1092" s="396">
        <v>21474391</v>
      </c>
      <c r="AA1092" s="396">
        <v>66485</v>
      </c>
      <c r="AB1092" s="396">
        <v>70682051</v>
      </c>
      <c r="AC1092" s="396">
        <v>10207916</v>
      </c>
    </row>
    <row r="1093" spans="1:29">
      <c r="A1093">
        <v>8422</v>
      </c>
      <c r="B1093" s="395" t="s">
        <v>8331</v>
      </c>
      <c r="C1093" s="395"/>
      <c r="D1093" s="396">
        <v>66381</v>
      </c>
      <c r="E1093" s="396">
        <v>1454513</v>
      </c>
      <c r="F1093" s="395">
        <v>1.05</v>
      </c>
      <c r="G1093" s="396">
        <v>-1388132</v>
      </c>
      <c r="H1093" s="396">
        <v>213723</v>
      </c>
      <c r="I1093" s="396">
        <v>16467765</v>
      </c>
      <c r="J1093" s="395">
        <v>283</v>
      </c>
      <c r="K1093" s="395">
        <v>216</v>
      </c>
      <c r="L1093" s="397">
        <v>0.76329999999999998</v>
      </c>
      <c r="M1093" s="395">
        <v>67</v>
      </c>
      <c r="N1093" s="395">
        <v>235</v>
      </c>
      <c r="O1093" s="396">
        <v>6734</v>
      </c>
      <c r="P1093" s="395">
        <v>0.33</v>
      </c>
      <c r="Q1093" s="396">
        <v>-20718</v>
      </c>
      <c r="R1093" s="396">
        <v>16996</v>
      </c>
      <c r="S1093" s="396">
        <v>-46389</v>
      </c>
      <c r="T1093" s="396">
        <v>1560264</v>
      </c>
      <c r="U1093" s="396">
        <v>-1400577</v>
      </c>
      <c r="V1093" s="395">
        <v>7699.07</v>
      </c>
      <c r="W1093" s="395">
        <v>7398.69</v>
      </c>
      <c r="X1093" s="395">
        <v>77490</v>
      </c>
      <c r="Y1093" s="395">
        <v>8667.4599999999991</v>
      </c>
      <c r="Z1093" s="396">
        <v>3976406</v>
      </c>
      <c r="AA1093" s="396">
        <v>66381</v>
      </c>
      <c r="AB1093" s="396">
        <v>14118491</v>
      </c>
      <c r="AC1093" s="396">
        <v>10207916</v>
      </c>
    </row>
    <row r="1094" spans="1:29">
      <c r="A1094">
        <v>2538</v>
      </c>
      <c r="B1094" s="395" t="s">
        <v>7127</v>
      </c>
      <c r="C1094" s="395"/>
      <c r="D1094" s="396">
        <v>66179</v>
      </c>
      <c r="E1094" s="396">
        <v>74791</v>
      </c>
      <c r="F1094" s="395">
        <v>8.68</v>
      </c>
      <c r="G1094" s="396">
        <v>-8612</v>
      </c>
      <c r="H1094" s="396">
        <v>11750</v>
      </c>
      <c r="I1094" s="396">
        <v>611546</v>
      </c>
      <c r="J1094" s="395">
        <v>256</v>
      </c>
      <c r="K1094" s="395">
        <v>224</v>
      </c>
      <c r="L1094" s="397">
        <v>0.875</v>
      </c>
      <c r="M1094" s="395">
        <v>30</v>
      </c>
      <c r="N1094" s="395">
        <v>259</v>
      </c>
      <c r="O1094" s="395">
        <v>334</v>
      </c>
      <c r="P1094" s="395">
        <v>1.1599999999999999</v>
      </c>
      <c r="Q1094" s="395">
        <v>-287</v>
      </c>
      <c r="R1094" s="396">
        <v>1040</v>
      </c>
      <c r="S1094" s="396">
        <v>-1153</v>
      </c>
      <c r="T1094" s="396">
        <v>73373</v>
      </c>
      <c r="U1094" s="396">
        <v>-19263</v>
      </c>
      <c r="V1094" s="395">
        <v>4167.3599999999997</v>
      </c>
      <c r="W1094" s="395">
        <v>3520.31</v>
      </c>
      <c r="X1094" s="395">
        <v>77490</v>
      </c>
      <c r="Y1094" s="395">
        <v>8629.7999999999993</v>
      </c>
      <c r="Z1094" s="396">
        <v>9131233</v>
      </c>
      <c r="AA1094" s="396">
        <v>66179</v>
      </c>
      <c r="AB1094" s="396">
        <v>11457560</v>
      </c>
      <c r="AC1094" s="396">
        <v>10207916</v>
      </c>
    </row>
    <row r="1095" spans="1:29">
      <c r="A1095">
        <v>8426</v>
      </c>
      <c r="B1095" s="395" t="s">
        <v>8334</v>
      </c>
      <c r="C1095" s="395"/>
      <c r="D1095" s="396">
        <v>66027</v>
      </c>
      <c r="E1095" s="396">
        <v>95723</v>
      </c>
      <c r="F1095" s="395">
        <v>3.22</v>
      </c>
      <c r="G1095" s="396">
        <v>-29696</v>
      </c>
      <c r="H1095" s="396">
        <v>10773</v>
      </c>
      <c r="I1095" s="396">
        <v>582657</v>
      </c>
      <c r="J1095" s="395">
        <v>161</v>
      </c>
      <c r="K1095" s="395">
        <v>115</v>
      </c>
      <c r="L1095" s="397">
        <v>0.71430000000000005</v>
      </c>
      <c r="M1095" s="395">
        <v>46</v>
      </c>
      <c r="N1095" s="395">
        <v>410</v>
      </c>
      <c r="O1095" s="395">
        <v>832</v>
      </c>
      <c r="P1095" s="395">
        <v>1.29</v>
      </c>
      <c r="Q1095" s="395">
        <v>-646</v>
      </c>
      <c r="R1095" s="396">
        <v>2986</v>
      </c>
      <c r="S1095" s="396">
        <v>-2378</v>
      </c>
      <c r="T1095" s="396">
        <v>105413</v>
      </c>
      <c r="U1095" s="396">
        <v>-77495</v>
      </c>
      <c r="V1095" s="395">
        <v>4316.6000000000004</v>
      </c>
      <c r="W1095" s="395">
        <v>2563.94</v>
      </c>
      <c r="X1095" s="395">
        <v>74520</v>
      </c>
      <c r="Y1095" s="395">
        <v>8698.24</v>
      </c>
      <c r="Z1095" s="396">
        <v>-10142872</v>
      </c>
      <c r="AA1095" s="396">
        <v>66027</v>
      </c>
      <c r="AB1095" s="396">
        <v>7338129</v>
      </c>
      <c r="AC1095" s="396">
        <v>10207916</v>
      </c>
    </row>
    <row r="1096" spans="1:29">
      <c r="A1096">
        <v>2230</v>
      </c>
      <c r="B1096" s="395" t="s">
        <v>6962</v>
      </c>
      <c r="C1096" s="395"/>
      <c r="D1096" s="396">
        <v>65977</v>
      </c>
      <c r="E1096" s="396">
        <v>94756</v>
      </c>
      <c r="F1096" s="395">
        <v>3.29</v>
      </c>
      <c r="G1096" s="396">
        <v>-28779</v>
      </c>
      <c r="H1096" s="396">
        <v>13020</v>
      </c>
      <c r="I1096" s="396">
        <v>685548</v>
      </c>
      <c r="J1096" s="395">
        <v>211</v>
      </c>
      <c r="K1096" s="395">
        <v>167</v>
      </c>
      <c r="L1096" s="397">
        <v>0.79149999999999998</v>
      </c>
      <c r="M1096" s="395">
        <v>44</v>
      </c>
      <c r="N1096" s="395">
        <v>313</v>
      </c>
      <c r="O1096" s="395">
        <v>567</v>
      </c>
      <c r="P1096" s="395">
        <v>0.87</v>
      </c>
      <c r="Q1096" s="395">
        <v>-654</v>
      </c>
      <c r="R1096" s="396">
        <v>2840</v>
      </c>
      <c r="S1096" s="396">
        <v>-2671</v>
      </c>
      <c r="T1096" s="396">
        <v>102475</v>
      </c>
      <c r="U1096" s="396">
        <v>-54579</v>
      </c>
      <c r="V1096" s="395">
        <v>3878.65</v>
      </c>
      <c r="W1096" s="395">
        <v>2956.49</v>
      </c>
      <c r="X1096" s="395">
        <v>77490</v>
      </c>
      <c r="Y1096" s="395">
        <v>7378.68</v>
      </c>
      <c r="Z1096" s="396">
        <v>-14521931</v>
      </c>
      <c r="AA1096" s="396">
        <v>65977</v>
      </c>
      <c r="AB1096" s="396">
        <v>1866072</v>
      </c>
      <c r="AC1096" s="396">
        <v>10207916</v>
      </c>
    </row>
    <row r="1097" spans="1:29">
      <c r="A1097">
        <v>9944</v>
      </c>
      <c r="B1097" s="395" t="s">
        <v>8423</v>
      </c>
      <c r="C1097" s="395"/>
      <c r="D1097" s="396">
        <v>65971</v>
      </c>
      <c r="E1097" s="396">
        <v>124709</v>
      </c>
      <c r="F1097" s="395">
        <v>2.12</v>
      </c>
      <c r="G1097" s="396">
        <v>-58739</v>
      </c>
      <c r="H1097" s="396">
        <v>22422</v>
      </c>
      <c r="I1097" s="396">
        <v>1265742</v>
      </c>
      <c r="J1097" s="395">
        <v>255</v>
      </c>
      <c r="K1097" s="395">
        <v>193</v>
      </c>
      <c r="L1097" s="397">
        <v>0.75690000000000002</v>
      </c>
      <c r="M1097" s="395">
        <v>62</v>
      </c>
      <c r="N1097" s="395">
        <v>259</v>
      </c>
      <c r="O1097" s="395">
        <v>646</v>
      </c>
      <c r="P1097" s="395">
        <v>0.68</v>
      </c>
      <c r="Q1097" s="395">
        <v>-947</v>
      </c>
      <c r="R1097" s="396">
        <v>1666</v>
      </c>
      <c r="S1097" s="396">
        <v>-2591</v>
      </c>
      <c r="T1097" s="396">
        <v>140748</v>
      </c>
      <c r="U1097" s="396">
        <v>-61934</v>
      </c>
      <c r="V1097" s="395">
        <v>6028.35</v>
      </c>
      <c r="W1097" s="395">
        <v>4560.09</v>
      </c>
      <c r="X1097" s="395">
        <v>77490</v>
      </c>
      <c r="Y1097" s="395">
        <v>10598.89</v>
      </c>
      <c r="Z1097" s="396">
        <v>-7030932</v>
      </c>
      <c r="AA1097" s="396">
        <v>65971</v>
      </c>
      <c r="AB1097" s="396">
        <v>-1735533</v>
      </c>
      <c r="AC1097" s="396">
        <v>10207916</v>
      </c>
    </row>
    <row r="1098" spans="1:29">
      <c r="A1098">
        <v>3297</v>
      </c>
      <c r="B1098" s="395" t="s">
        <v>7380</v>
      </c>
      <c r="C1098" s="395"/>
      <c r="D1098" s="396">
        <v>65941</v>
      </c>
      <c r="E1098" s="396">
        <v>142370</v>
      </c>
      <c r="F1098" s="395">
        <v>1.86</v>
      </c>
      <c r="G1098" s="396">
        <v>-76429</v>
      </c>
      <c r="H1098" s="396">
        <v>16209</v>
      </c>
      <c r="I1098" s="396">
        <v>719953</v>
      </c>
      <c r="J1098" s="395">
        <v>231</v>
      </c>
      <c r="K1098" s="395">
        <v>174</v>
      </c>
      <c r="L1098" s="397">
        <v>0.75319999999999998</v>
      </c>
      <c r="M1098" s="395">
        <v>57</v>
      </c>
      <c r="N1098" s="395">
        <v>285</v>
      </c>
      <c r="O1098" s="395">
        <v>818</v>
      </c>
      <c r="P1098" s="395">
        <v>0.61</v>
      </c>
      <c r="Q1098" s="396">
        <v>-1341</v>
      </c>
      <c r="R1098" s="396">
        <v>3838</v>
      </c>
      <c r="S1098" s="396">
        <v>-9990</v>
      </c>
      <c r="T1098" s="396">
        <v>124563</v>
      </c>
      <c r="U1098" s="396">
        <v>-37521</v>
      </c>
      <c r="V1098" s="395">
        <v>2947.08</v>
      </c>
      <c r="W1098" s="395">
        <v>2406.33</v>
      </c>
      <c r="X1098" s="395">
        <v>77490</v>
      </c>
      <c r="Y1098" s="395">
        <v>4597.7700000000004</v>
      </c>
      <c r="Z1098" s="396">
        <v>-31774495</v>
      </c>
      <c r="AA1098" s="396">
        <v>65941</v>
      </c>
      <c r="AB1098" s="396">
        <v>-20746324</v>
      </c>
      <c r="AC1098" s="396">
        <v>10207916</v>
      </c>
    </row>
    <row r="1099" spans="1:29">
      <c r="A1099">
        <v>8277</v>
      </c>
      <c r="B1099" s="395" t="s">
        <v>8304</v>
      </c>
      <c r="C1099" s="395"/>
      <c r="D1099" s="396">
        <v>65230</v>
      </c>
      <c r="E1099" s="396">
        <v>128885</v>
      </c>
      <c r="F1099" s="395">
        <v>2.02</v>
      </c>
      <c r="G1099" s="396">
        <v>-63655</v>
      </c>
      <c r="H1099" s="396">
        <v>11060</v>
      </c>
      <c r="I1099" s="396">
        <v>869024</v>
      </c>
      <c r="J1099" s="395">
        <v>213</v>
      </c>
      <c r="K1099" s="395">
        <v>156</v>
      </c>
      <c r="L1099" s="397">
        <v>0.73240000000000005</v>
      </c>
      <c r="M1099" s="395">
        <v>57</v>
      </c>
      <c r="N1099" s="395">
        <v>306</v>
      </c>
      <c r="O1099" s="395">
        <v>826</v>
      </c>
      <c r="P1099" s="395">
        <v>0.74</v>
      </c>
      <c r="Q1099" s="396">
        <v>-1117</v>
      </c>
      <c r="R1099" s="396">
        <v>3545</v>
      </c>
      <c r="S1099" s="396">
        <v>-5362</v>
      </c>
      <c r="T1099" s="396">
        <v>228147</v>
      </c>
      <c r="U1099" s="396">
        <v>-195669</v>
      </c>
      <c r="V1099" s="395">
        <v>5095.8599999999997</v>
      </c>
      <c r="W1099" s="395">
        <v>2733.29</v>
      </c>
      <c r="X1099" s="395">
        <v>77490</v>
      </c>
      <c r="Y1099" s="395">
        <v>11561.82</v>
      </c>
      <c r="Z1099" s="396">
        <v>-5224374</v>
      </c>
      <c r="AA1099" s="396">
        <v>65230</v>
      </c>
      <c r="AB1099" s="396">
        <v>6483254</v>
      </c>
      <c r="AC1099" s="396">
        <v>10207916</v>
      </c>
    </row>
    <row r="1100" spans="1:29">
      <c r="A1100">
        <v>1810</v>
      </c>
      <c r="B1100" s="395" t="s">
        <v>6895</v>
      </c>
      <c r="C1100" s="395"/>
      <c r="D1100" s="396">
        <v>65174</v>
      </c>
      <c r="E1100" s="396">
        <v>92124</v>
      </c>
      <c r="F1100" s="395">
        <v>3.42</v>
      </c>
      <c r="G1100" s="396">
        <v>-26950</v>
      </c>
      <c r="H1100" s="396">
        <v>14276</v>
      </c>
      <c r="I1100" s="396">
        <v>629424</v>
      </c>
      <c r="J1100" s="395">
        <v>275</v>
      </c>
      <c r="K1100" s="395">
        <v>231</v>
      </c>
      <c r="L1100" s="397">
        <v>0.84</v>
      </c>
      <c r="M1100" s="395">
        <v>44</v>
      </c>
      <c r="N1100" s="395">
        <v>237</v>
      </c>
      <c r="O1100" s="395">
        <v>399</v>
      </c>
      <c r="P1100" s="395">
        <v>0.65</v>
      </c>
      <c r="Q1100" s="395">
        <v>-613</v>
      </c>
      <c r="R1100" s="396">
        <v>1489</v>
      </c>
      <c r="S1100" s="396">
        <v>-2218</v>
      </c>
      <c r="T1100" s="396">
        <v>76775</v>
      </c>
      <c r="U1100" s="396">
        <v>-51829</v>
      </c>
      <c r="V1100" s="395">
        <v>2836.6</v>
      </c>
      <c r="W1100" s="395">
        <v>1960.87</v>
      </c>
      <c r="X1100" s="395">
        <v>77490</v>
      </c>
      <c r="Y1100" s="395">
        <v>7434.16</v>
      </c>
      <c r="Z1100" s="396">
        <v>20181768</v>
      </c>
      <c r="AA1100" s="396">
        <v>65174</v>
      </c>
      <c r="AB1100" s="396">
        <v>27994113</v>
      </c>
      <c r="AC1100" s="396">
        <v>10207916</v>
      </c>
    </row>
    <row r="1101" spans="1:29">
      <c r="A1101">
        <v>4513</v>
      </c>
      <c r="B1101" s="395" t="s">
        <v>7627</v>
      </c>
      <c r="C1101" s="395"/>
      <c r="D1101" s="396">
        <v>64794</v>
      </c>
      <c r="E1101" s="396">
        <v>79521</v>
      </c>
      <c r="F1101" s="395">
        <v>5.4</v>
      </c>
      <c r="G1101" s="396">
        <v>-14727</v>
      </c>
      <c r="H1101" s="396">
        <v>10526</v>
      </c>
      <c r="I1101" s="396">
        <v>232161</v>
      </c>
      <c r="J1101" s="395">
        <v>209</v>
      </c>
      <c r="K1101" s="395">
        <v>170</v>
      </c>
      <c r="L1101" s="397">
        <v>0.81340000000000001</v>
      </c>
      <c r="M1101" s="395">
        <v>39</v>
      </c>
      <c r="N1101" s="395">
        <v>310</v>
      </c>
      <c r="O1101" s="395">
        <v>468</v>
      </c>
      <c r="P1101" s="395">
        <v>1.24</v>
      </c>
      <c r="Q1101" s="395">
        <v>-378</v>
      </c>
      <c r="R1101" s="396">
        <v>1443</v>
      </c>
      <c r="S1101" s="396">
        <v>-3166</v>
      </c>
      <c r="T1101" s="396">
        <v>75256</v>
      </c>
      <c r="U1101" s="396">
        <v>-16672</v>
      </c>
      <c r="V1101" s="395">
        <v>1974.56</v>
      </c>
      <c r="W1101" s="395">
        <v>1267.92</v>
      </c>
      <c r="X1101" s="395">
        <v>77490</v>
      </c>
      <c r="Y1101" s="395">
        <v>5054.7700000000004</v>
      </c>
      <c r="Z1101" s="396">
        <v>26678797</v>
      </c>
      <c r="AA1101" s="396">
        <v>64794</v>
      </c>
      <c r="AB1101" s="396">
        <v>47073684</v>
      </c>
      <c r="AC1101" s="396">
        <v>10207916</v>
      </c>
    </row>
    <row r="1102" spans="1:29">
      <c r="A1102">
        <v>8087</v>
      </c>
      <c r="B1102" s="395" t="s">
        <v>8264</v>
      </c>
      <c r="C1102" s="395"/>
      <c r="D1102" s="396">
        <v>64592</v>
      </c>
      <c r="E1102" s="396">
        <v>78627</v>
      </c>
      <c r="F1102" s="395">
        <v>5.6</v>
      </c>
      <c r="G1102" s="396">
        <v>-14035</v>
      </c>
      <c r="H1102" s="396">
        <v>8458</v>
      </c>
      <c r="I1102" s="396">
        <v>311014</v>
      </c>
      <c r="J1102" s="395">
        <v>76</v>
      </c>
      <c r="K1102" s="395">
        <v>61</v>
      </c>
      <c r="L1102" s="397">
        <v>0.80259999999999998</v>
      </c>
      <c r="M1102" s="395">
        <v>15</v>
      </c>
      <c r="N1102" s="395">
        <v>850</v>
      </c>
      <c r="O1102" s="396">
        <v>1289</v>
      </c>
      <c r="P1102" s="395">
        <v>1.38</v>
      </c>
      <c r="Q1102" s="395">
        <v>-936</v>
      </c>
      <c r="R1102" s="396">
        <v>4647</v>
      </c>
      <c r="S1102" s="396">
        <v>-4320</v>
      </c>
      <c r="T1102" s="396">
        <v>65787</v>
      </c>
      <c r="U1102" s="396">
        <v>-18560</v>
      </c>
      <c r="V1102" s="395">
        <v>1261.71</v>
      </c>
      <c r="W1102" s="395">
        <v>766.57</v>
      </c>
      <c r="X1102" s="395">
        <v>76140</v>
      </c>
      <c r="Y1102" s="395">
        <v>3275.27</v>
      </c>
      <c r="Z1102" s="396">
        <v>23832929</v>
      </c>
      <c r="AA1102" s="396">
        <v>64592</v>
      </c>
      <c r="AB1102" s="396">
        <v>60186441</v>
      </c>
      <c r="AC1102" s="396">
        <v>10207916</v>
      </c>
    </row>
    <row r="1103" spans="1:29">
      <c r="A1103">
        <v>4534</v>
      </c>
      <c r="B1103" s="395" t="s">
        <v>7636</v>
      </c>
      <c r="C1103" s="395"/>
      <c r="D1103" s="396">
        <v>64438</v>
      </c>
      <c r="E1103" s="396">
        <v>105683</v>
      </c>
      <c r="F1103" s="395">
        <v>2.56</v>
      </c>
      <c r="G1103" s="396">
        <v>-41245</v>
      </c>
      <c r="H1103" s="396">
        <v>12722</v>
      </c>
      <c r="I1103" s="396">
        <v>812116</v>
      </c>
      <c r="J1103" s="395">
        <v>238</v>
      </c>
      <c r="K1103" s="395">
        <v>179</v>
      </c>
      <c r="L1103" s="397">
        <v>0.75209999999999999</v>
      </c>
      <c r="M1103" s="395">
        <v>59</v>
      </c>
      <c r="N1103" s="395">
        <v>271</v>
      </c>
      <c r="O1103" s="395">
        <v>590</v>
      </c>
      <c r="P1103" s="395">
        <v>0.84</v>
      </c>
      <c r="Q1103" s="395">
        <v>-699</v>
      </c>
      <c r="R1103" s="396">
        <v>2101</v>
      </c>
      <c r="S1103" s="396">
        <v>-2156</v>
      </c>
      <c r="T1103" s="396">
        <v>149874</v>
      </c>
      <c r="U1103" s="396">
        <v>-105840</v>
      </c>
      <c r="V1103" s="395">
        <v>4141.43</v>
      </c>
      <c r="W1103" s="395">
        <v>2294.21</v>
      </c>
      <c r="X1103" s="395">
        <v>77490</v>
      </c>
      <c r="Y1103" s="395">
        <v>9745.73</v>
      </c>
      <c r="Z1103" s="396">
        <v>7213918</v>
      </c>
      <c r="AA1103" s="396">
        <v>64438</v>
      </c>
      <c r="AB1103" s="396">
        <v>17657895</v>
      </c>
      <c r="AC1103" s="396">
        <v>10207916</v>
      </c>
    </row>
    <row r="1104" spans="1:29">
      <c r="A1104">
        <v>1456</v>
      </c>
      <c r="B1104" s="395" t="s">
        <v>6765</v>
      </c>
      <c r="C1104" s="395"/>
      <c r="D1104" s="396">
        <v>64430</v>
      </c>
      <c r="E1104" s="396">
        <v>148154</v>
      </c>
      <c r="F1104" s="395">
        <v>1.77</v>
      </c>
      <c r="G1104" s="396">
        <v>-83724</v>
      </c>
      <c r="H1104" s="396">
        <v>21370</v>
      </c>
      <c r="I1104" s="396">
        <v>836374</v>
      </c>
      <c r="J1104" s="395">
        <v>257</v>
      </c>
      <c r="K1104" s="395">
        <v>184</v>
      </c>
      <c r="L1104" s="397">
        <v>0.71599999999999997</v>
      </c>
      <c r="M1104" s="395">
        <v>73</v>
      </c>
      <c r="N1104" s="395">
        <v>251</v>
      </c>
      <c r="O1104" s="395">
        <v>805</v>
      </c>
      <c r="P1104" s="395">
        <v>0.7</v>
      </c>
      <c r="Q1104" s="396">
        <v>-1147</v>
      </c>
      <c r="R1104" s="396">
        <v>3193</v>
      </c>
      <c r="S1104" s="396">
        <v>-5066</v>
      </c>
      <c r="T1104" s="396">
        <v>126674</v>
      </c>
      <c r="U1104" s="396">
        <v>-64644</v>
      </c>
      <c r="V1104" s="395">
        <v>2529.25</v>
      </c>
      <c r="W1104" s="395">
        <v>1304.17</v>
      </c>
      <c r="X1104" s="395">
        <v>77490</v>
      </c>
      <c r="Y1104" s="395">
        <v>5617.14</v>
      </c>
      <c r="Z1104" s="396">
        <v>-21308434</v>
      </c>
      <c r="AA1104" s="396">
        <v>64430</v>
      </c>
      <c r="AB1104" s="396">
        <v>10687879</v>
      </c>
      <c r="AC1104" s="396">
        <v>10207916</v>
      </c>
    </row>
    <row r="1105" spans="1:29">
      <c r="A1105">
        <v>1414</v>
      </c>
      <c r="B1105" s="395" t="s">
        <v>6738</v>
      </c>
      <c r="C1105" s="395"/>
      <c r="D1105" s="396">
        <v>64359</v>
      </c>
      <c r="E1105" s="396">
        <v>121153</v>
      </c>
      <c r="F1105" s="395">
        <v>2.13</v>
      </c>
      <c r="G1105" s="396">
        <v>-56794</v>
      </c>
      <c r="H1105" s="396">
        <v>16480</v>
      </c>
      <c r="I1105" s="396">
        <v>609278</v>
      </c>
      <c r="J1105" s="395">
        <v>251</v>
      </c>
      <c r="K1105" s="395">
        <v>189</v>
      </c>
      <c r="L1105" s="397">
        <v>0.753</v>
      </c>
      <c r="M1105" s="395">
        <v>62</v>
      </c>
      <c r="N1105" s="395">
        <v>256</v>
      </c>
      <c r="O1105" s="395">
        <v>641</v>
      </c>
      <c r="P1105" s="395">
        <v>0.7</v>
      </c>
      <c r="Q1105" s="395">
        <v>-916</v>
      </c>
      <c r="R1105" s="396">
        <v>3132</v>
      </c>
      <c r="S1105" s="396">
        <v>-6487</v>
      </c>
      <c r="T1105" s="396">
        <v>116004</v>
      </c>
      <c r="U1105" s="396">
        <v>-69613</v>
      </c>
      <c r="V1105" s="395">
        <v>3094.59</v>
      </c>
      <c r="W1105" s="395">
        <v>1885.49</v>
      </c>
      <c r="X1105" s="395">
        <v>77490</v>
      </c>
      <c r="Y1105" s="395">
        <v>6780.39</v>
      </c>
      <c r="Z1105" s="396">
        <v>-9284473</v>
      </c>
      <c r="AA1105" s="396">
        <v>64359</v>
      </c>
      <c r="AB1105" s="396">
        <v>12739866</v>
      </c>
      <c r="AC1105" s="396">
        <v>10207916</v>
      </c>
    </row>
    <row r="1106" spans="1:29">
      <c r="A1106">
        <v>6496</v>
      </c>
      <c r="B1106" s="395" t="s">
        <v>8102</v>
      </c>
      <c r="C1106" s="395"/>
      <c r="D1106" s="396">
        <v>64177</v>
      </c>
      <c r="E1106" s="396">
        <v>77916</v>
      </c>
      <c r="F1106" s="395">
        <v>5.67</v>
      </c>
      <c r="G1106" s="396">
        <v>-13739</v>
      </c>
      <c r="H1106" s="396">
        <v>13544</v>
      </c>
      <c r="I1106" s="396">
        <v>620644</v>
      </c>
      <c r="J1106" s="395">
        <v>117</v>
      </c>
      <c r="K1106" s="395">
        <v>98</v>
      </c>
      <c r="L1106" s="397">
        <v>0.83760000000000001</v>
      </c>
      <c r="M1106" s="395">
        <v>19</v>
      </c>
      <c r="N1106" s="395">
        <v>549</v>
      </c>
      <c r="O1106" s="395">
        <v>795</v>
      </c>
      <c r="P1106" s="395">
        <v>1.1000000000000001</v>
      </c>
      <c r="Q1106" s="395">
        <v>-723</v>
      </c>
      <c r="R1106" s="396">
        <v>1481</v>
      </c>
      <c r="S1106" s="396">
        <v>-2365</v>
      </c>
      <c r="T1106" s="396">
        <v>75034</v>
      </c>
      <c r="U1106" s="396">
        <v>-19810</v>
      </c>
      <c r="V1106" s="395">
        <v>4196.3900000000003</v>
      </c>
      <c r="W1106" s="395">
        <v>3987.33</v>
      </c>
      <c r="X1106" s="395">
        <v>77220</v>
      </c>
      <c r="Y1106" s="395">
        <v>5274.74</v>
      </c>
      <c r="Z1106" s="396">
        <v>4508669</v>
      </c>
      <c r="AA1106" s="396">
        <v>64177</v>
      </c>
      <c r="AB1106" s="396">
        <v>-2471690</v>
      </c>
      <c r="AC1106" s="396">
        <v>10207916</v>
      </c>
    </row>
    <row r="1107" spans="1:29">
      <c r="A1107">
        <v>2834</v>
      </c>
      <c r="B1107" s="395" t="s">
        <v>7199</v>
      </c>
      <c r="C1107" s="395"/>
      <c r="D1107" s="396">
        <v>64075</v>
      </c>
      <c r="E1107" s="396">
        <v>69974</v>
      </c>
      <c r="F1107" s="395">
        <v>11.86</v>
      </c>
      <c r="G1107" s="396">
        <v>-5899</v>
      </c>
      <c r="H1107" s="396">
        <v>11129</v>
      </c>
      <c r="I1107" s="396">
        <v>745837</v>
      </c>
      <c r="J1107" s="395">
        <v>280</v>
      </c>
      <c r="K1107" s="395">
        <v>251</v>
      </c>
      <c r="L1107" s="397">
        <v>0.89639999999999997</v>
      </c>
      <c r="M1107" s="395">
        <v>29</v>
      </c>
      <c r="N1107" s="395">
        <v>229</v>
      </c>
      <c r="O1107" s="395">
        <v>279</v>
      </c>
      <c r="P1107" s="395">
        <v>1.37</v>
      </c>
      <c r="Q1107" s="395">
        <v>-203</v>
      </c>
      <c r="R1107" s="395">
        <v>669</v>
      </c>
      <c r="S1107" s="395">
        <v>-431</v>
      </c>
      <c r="T1107" s="396">
        <v>73814</v>
      </c>
      <c r="U1107" s="396">
        <v>-16275</v>
      </c>
      <c r="V1107" s="395">
        <v>6607.81</v>
      </c>
      <c r="W1107" s="395">
        <v>5864.76</v>
      </c>
      <c r="X1107" s="395">
        <v>77490</v>
      </c>
      <c r="Y1107" s="395">
        <v>13039.07</v>
      </c>
      <c r="Z1107" s="396">
        <v>3848786</v>
      </c>
      <c r="AA1107" s="396">
        <v>64075</v>
      </c>
      <c r="AB1107" s="396">
        <v>10044408</v>
      </c>
      <c r="AC1107" s="396">
        <v>10207916</v>
      </c>
    </row>
    <row r="1108" spans="1:29">
      <c r="A1108">
        <v>2365</v>
      </c>
      <c r="B1108" s="395" t="s">
        <v>7013</v>
      </c>
      <c r="C1108" s="395"/>
      <c r="D1108" s="396">
        <v>64035</v>
      </c>
      <c r="E1108" s="396">
        <v>112637</v>
      </c>
      <c r="F1108" s="395">
        <v>2.3199999999999998</v>
      </c>
      <c r="G1108" s="396">
        <v>-48602</v>
      </c>
      <c r="H1108" s="396">
        <v>12724</v>
      </c>
      <c r="I1108" s="396">
        <v>1054910</v>
      </c>
      <c r="J1108" s="395">
        <v>272</v>
      </c>
      <c r="K1108" s="395">
        <v>195</v>
      </c>
      <c r="L1108" s="397">
        <v>0.71689999999999998</v>
      </c>
      <c r="M1108" s="395">
        <v>77</v>
      </c>
      <c r="N1108" s="395">
        <v>235</v>
      </c>
      <c r="O1108" s="395">
        <v>578</v>
      </c>
      <c r="P1108" s="395">
        <v>0.92</v>
      </c>
      <c r="Q1108" s="395">
        <v>-631</v>
      </c>
      <c r="R1108" s="396">
        <v>2002</v>
      </c>
      <c r="S1108" s="396">
        <v>-2307</v>
      </c>
      <c r="T1108" s="396">
        <v>159138</v>
      </c>
      <c r="U1108" s="396">
        <v>-110061</v>
      </c>
      <c r="V1108" s="395">
        <v>6381.06</v>
      </c>
      <c r="W1108" s="395">
        <v>3313.47</v>
      </c>
      <c r="X1108" s="395">
        <v>77490</v>
      </c>
      <c r="Y1108" s="395">
        <v>14149.62</v>
      </c>
      <c r="Z1108" s="396">
        <v>-12595932</v>
      </c>
      <c r="AA1108" s="396">
        <v>64035</v>
      </c>
      <c r="AB1108" s="396">
        <v>-3575039</v>
      </c>
      <c r="AC1108" s="396">
        <v>10207916</v>
      </c>
    </row>
    <row r="1109" spans="1:29">
      <c r="A1109">
        <v>3520</v>
      </c>
      <c r="B1109" s="395" t="s">
        <v>7452</v>
      </c>
      <c r="C1109" s="395"/>
      <c r="D1109" s="396">
        <v>64013</v>
      </c>
      <c r="E1109" s="396">
        <v>87278</v>
      </c>
      <c r="F1109" s="395">
        <v>3.75</v>
      </c>
      <c r="G1109" s="396">
        <v>-23265</v>
      </c>
      <c r="H1109" s="396">
        <v>7437</v>
      </c>
      <c r="I1109" s="396">
        <v>521549</v>
      </c>
      <c r="J1109" s="395">
        <v>123</v>
      </c>
      <c r="K1109" s="395">
        <v>98</v>
      </c>
      <c r="L1109" s="397">
        <v>0.79669999999999996</v>
      </c>
      <c r="M1109" s="395">
        <v>25</v>
      </c>
      <c r="N1109" s="395">
        <v>520</v>
      </c>
      <c r="O1109" s="395">
        <v>891</v>
      </c>
      <c r="P1109" s="395">
        <v>0.96</v>
      </c>
      <c r="Q1109" s="395">
        <v>-931</v>
      </c>
      <c r="R1109" s="396">
        <v>2441</v>
      </c>
      <c r="S1109" s="396">
        <v>-4365</v>
      </c>
      <c r="T1109" s="396">
        <v>95957</v>
      </c>
      <c r="U1109" s="396">
        <v>-49128</v>
      </c>
      <c r="V1109" s="395">
        <v>8820.6299999999992</v>
      </c>
      <c r="W1109" s="395">
        <v>7234.99</v>
      </c>
      <c r="X1109" s="395">
        <v>77220</v>
      </c>
      <c r="Y1109" s="395">
        <v>15036.32</v>
      </c>
      <c r="Z1109" s="396">
        <v>-13337840</v>
      </c>
      <c r="AA1109" s="396">
        <v>64013</v>
      </c>
      <c r="AB1109" s="396">
        <v>-1915625</v>
      </c>
      <c r="AC1109" s="396">
        <v>10207916</v>
      </c>
    </row>
    <row r="1110" spans="1:29">
      <c r="A1110">
        <v>6015</v>
      </c>
      <c r="B1110" s="395" t="s">
        <v>7901</v>
      </c>
      <c r="C1110" s="395"/>
      <c r="D1110" s="396">
        <v>63921</v>
      </c>
      <c r="E1110" s="396">
        <v>221177</v>
      </c>
      <c r="F1110" s="395">
        <v>1.41</v>
      </c>
      <c r="G1110" s="396">
        <v>-157256</v>
      </c>
      <c r="H1110" s="396">
        <v>17903</v>
      </c>
      <c r="I1110" s="396">
        <v>2087514</v>
      </c>
      <c r="J1110" s="395">
        <v>248</v>
      </c>
      <c r="K1110" s="395">
        <v>158</v>
      </c>
      <c r="L1110" s="397">
        <v>0.6371</v>
      </c>
      <c r="M1110" s="395">
        <v>89</v>
      </c>
      <c r="N1110" s="395">
        <v>258</v>
      </c>
      <c r="O1110" s="396">
        <v>1400</v>
      </c>
      <c r="P1110" s="395">
        <v>0.79</v>
      </c>
      <c r="Q1110" s="396">
        <v>-1767</v>
      </c>
      <c r="R1110" s="396">
        <v>3481</v>
      </c>
      <c r="S1110" s="396">
        <v>-7040</v>
      </c>
      <c r="T1110" s="396">
        <v>354601</v>
      </c>
      <c r="U1110" s="396">
        <v>-308753</v>
      </c>
      <c r="V1110" s="395">
        <v>9070.7199999999993</v>
      </c>
      <c r="W1110" s="395">
        <v>5317.82</v>
      </c>
      <c r="X1110" s="395">
        <v>77490</v>
      </c>
      <c r="Y1110" s="395">
        <v>15787.92</v>
      </c>
      <c r="Z1110" s="396">
        <v>-5672508</v>
      </c>
      <c r="AA1110" s="396">
        <v>63921</v>
      </c>
      <c r="AB1110" s="396">
        <v>20282181</v>
      </c>
      <c r="AC1110" s="396">
        <v>10207916</v>
      </c>
    </row>
    <row r="1111" spans="1:29">
      <c r="A1111">
        <v>6241</v>
      </c>
      <c r="B1111" s="395" t="s">
        <v>8025</v>
      </c>
      <c r="C1111" s="395"/>
      <c r="D1111" s="396">
        <v>63565</v>
      </c>
      <c r="E1111" s="396">
        <v>76021</v>
      </c>
      <c r="F1111" s="395">
        <v>6.1</v>
      </c>
      <c r="G1111" s="396">
        <v>-12456</v>
      </c>
      <c r="H1111" s="396">
        <v>6435</v>
      </c>
      <c r="I1111" s="396">
        <v>382314</v>
      </c>
      <c r="J1111" s="395">
        <v>68</v>
      </c>
      <c r="K1111" s="395">
        <v>59</v>
      </c>
      <c r="L1111" s="397">
        <v>0.86760000000000004</v>
      </c>
      <c r="M1111" s="395">
        <v>9</v>
      </c>
      <c r="N1111" s="395">
        <v>935</v>
      </c>
      <c r="O1111" s="396">
        <v>1288</v>
      </c>
      <c r="P1111" s="395">
        <v>0.93</v>
      </c>
      <c r="Q1111" s="396">
        <v>-1384</v>
      </c>
      <c r="R1111" s="396">
        <v>3874</v>
      </c>
      <c r="S1111" s="396">
        <v>-3689</v>
      </c>
      <c r="T1111" s="396">
        <v>86278</v>
      </c>
      <c r="U1111" s="396">
        <v>-52815</v>
      </c>
      <c r="V1111" s="395">
        <v>4167.63</v>
      </c>
      <c r="W1111" s="395">
        <v>3363.15</v>
      </c>
      <c r="X1111" s="395">
        <v>76950</v>
      </c>
      <c r="Y1111" s="395">
        <v>9441.44</v>
      </c>
      <c r="Z1111" s="396">
        <v>11573727</v>
      </c>
      <c r="AA1111" s="396">
        <v>63565</v>
      </c>
      <c r="AB1111" s="396">
        <v>-3253497</v>
      </c>
      <c r="AC1111" s="396">
        <v>10207916</v>
      </c>
    </row>
    <row r="1112" spans="1:29">
      <c r="A1112">
        <v>2442</v>
      </c>
      <c r="B1112" s="395" t="s">
        <v>7067</v>
      </c>
      <c r="C1112" s="395"/>
      <c r="D1112" s="396">
        <v>63546</v>
      </c>
      <c r="E1112" s="396">
        <v>93834</v>
      </c>
      <c r="F1112" s="395">
        <v>3.1</v>
      </c>
      <c r="G1112" s="396">
        <v>-30288</v>
      </c>
      <c r="H1112" s="396">
        <v>12189</v>
      </c>
      <c r="I1112" s="396">
        <v>611428</v>
      </c>
      <c r="J1112" s="395">
        <v>265</v>
      </c>
      <c r="K1112" s="395">
        <v>215</v>
      </c>
      <c r="L1112" s="397">
        <v>0.81130000000000002</v>
      </c>
      <c r="M1112" s="395">
        <v>49</v>
      </c>
      <c r="N1112" s="395">
        <v>240</v>
      </c>
      <c r="O1112" s="395">
        <v>436</v>
      </c>
      <c r="P1112" s="395">
        <v>0.71</v>
      </c>
      <c r="Q1112" s="395">
        <v>-618</v>
      </c>
      <c r="R1112" s="396">
        <v>1360</v>
      </c>
      <c r="S1112" s="396">
        <v>-2297</v>
      </c>
      <c r="T1112" s="396">
        <v>91810</v>
      </c>
      <c r="U1112" s="396">
        <v>-37828</v>
      </c>
      <c r="V1112" s="395">
        <v>3175.99</v>
      </c>
      <c r="W1112" s="395">
        <v>2319.31</v>
      </c>
      <c r="X1112" s="395">
        <v>77490</v>
      </c>
      <c r="Y1112" s="395">
        <v>6982.2</v>
      </c>
      <c r="Z1112" s="396">
        <v>-10665267</v>
      </c>
      <c r="AA1112" s="396">
        <v>63546</v>
      </c>
      <c r="AB1112" s="396">
        <v>9049815</v>
      </c>
      <c r="AC1112" s="396">
        <v>10207916</v>
      </c>
    </row>
    <row r="1113" spans="1:29">
      <c r="A1113">
        <v>2509</v>
      </c>
      <c r="B1113" s="395" t="s">
        <v>7113</v>
      </c>
      <c r="C1113" s="395"/>
      <c r="D1113" s="396">
        <v>63212</v>
      </c>
      <c r="E1113" s="396">
        <v>118169</v>
      </c>
      <c r="F1113" s="395">
        <v>2.15</v>
      </c>
      <c r="G1113" s="396">
        <v>-54957</v>
      </c>
      <c r="H1113" s="396">
        <v>19841</v>
      </c>
      <c r="I1113" s="396">
        <v>1114480</v>
      </c>
      <c r="J1113" s="395">
        <v>260</v>
      </c>
      <c r="K1113" s="395">
        <v>176</v>
      </c>
      <c r="L1113" s="397">
        <v>0.67689999999999995</v>
      </c>
      <c r="M1113" s="395">
        <v>84</v>
      </c>
      <c r="N1113" s="395">
        <v>243</v>
      </c>
      <c r="O1113" s="395">
        <v>671</v>
      </c>
      <c r="P1113" s="395">
        <v>1.03</v>
      </c>
      <c r="Q1113" s="395">
        <v>-654</v>
      </c>
      <c r="R1113" s="396">
        <v>2423</v>
      </c>
      <c r="S1113" s="396">
        <v>-5092</v>
      </c>
      <c r="T1113" s="396">
        <v>115271</v>
      </c>
      <c r="U1113" s="396">
        <v>-46646</v>
      </c>
      <c r="V1113" s="395">
        <v>6361.77</v>
      </c>
      <c r="W1113" s="395">
        <v>4700.63</v>
      </c>
      <c r="X1113" s="395">
        <v>77490</v>
      </c>
      <c r="Y1113" s="395">
        <v>9842.25</v>
      </c>
      <c r="Z1113" s="396">
        <v>-17834209</v>
      </c>
      <c r="AA1113" s="396">
        <v>63212</v>
      </c>
      <c r="AB1113" s="396">
        <v>1944633</v>
      </c>
      <c r="AC1113" s="396">
        <v>10207916</v>
      </c>
    </row>
    <row r="1114" spans="1:29">
      <c r="A1114">
        <v>5525</v>
      </c>
      <c r="B1114" s="395" t="s">
        <v>7868</v>
      </c>
      <c r="C1114" s="395"/>
      <c r="D1114" s="396">
        <v>62886</v>
      </c>
      <c r="E1114" s="396">
        <v>101112</v>
      </c>
      <c r="F1114" s="395">
        <v>2.65</v>
      </c>
      <c r="G1114" s="396">
        <v>-38226</v>
      </c>
      <c r="H1114" s="396">
        <v>19812</v>
      </c>
      <c r="I1114" s="396">
        <v>1070715</v>
      </c>
      <c r="J1114" s="395">
        <v>194</v>
      </c>
      <c r="K1114" s="395">
        <v>160</v>
      </c>
      <c r="L1114" s="397">
        <v>0.82469999999999999</v>
      </c>
      <c r="M1114" s="395">
        <v>34</v>
      </c>
      <c r="N1114" s="395">
        <v>324</v>
      </c>
      <c r="O1114" s="395">
        <v>632</v>
      </c>
      <c r="P1114" s="395">
        <v>0.56000000000000005</v>
      </c>
      <c r="Q1114" s="396">
        <v>-1124</v>
      </c>
      <c r="R1114" s="396">
        <v>3349</v>
      </c>
      <c r="S1114" s="396">
        <v>-2313</v>
      </c>
      <c r="T1114" s="396">
        <v>104415</v>
      </c>
      <c r="U1114" s="396">
        <v>-64107</v>
      </c>
      <c r="V1114" s="395">
        <v>5860.75</v>
      </c>
      <c r="W1114" s="395">
        <v>4694.5200000000004</v>
      </c>
      <c r="X1114" s="395">
        <v>77490</v>
      </c>
      <c r="Y1114" s="395">
        <v>11348.88</v>
      </c>
      <c r="Z1114" s="396">
        <v>8979796</v>
      </c>
      <c r="AA1114" s="396">
        <v>62886</v>
      </c>
      <c r="AB1114" s="396">
        <v>12750276</v>
      </c>
      <c r="AC1114" s="396">
        <v>10207916</v>
      </c>
    </row>
    <row r="1115" spans="1:29">
      <c r="A1115">
        <v>3226</v>
      </c>
      <c r="B1115" s="395" t="s">
        <v>7352</v>
      </c>
      <c r="C1115" s="395"/>
      <c r="D1115" s="396">
        <v>62870</v>
      </c>
      <c r="E1115" s="396">
        <v>107862</v>
      </c>
      <c r="F1115" s="395">
        <v>2.4</v>
      </c>
      <c r="G1115" s="396">
        <v>-44992</v>
      </c>
      <c r="H1115" s="396">
        <v>22502</v>
      </c>
      <c r="I1115" s="396">
        <v>1870603</v>
      </c>
      <c r="J1115" s="395">
        <v>82</v>
      </c>
      <c r="K1115" s="395">
        <v>53</v>
      </c>
      <c r="L1115" s="397">
        <v>0.64629999999999999</v>
      </c>
      <c r="M1115" s="395">
        <v>29</v>
      </c>
      <c r="N1115" s="395">
        <v>767</v>
      </c>
      <c r="O1115" s="396">
        <v>2035</v>
      </c>
      <c r="P1115" s="395">
        <v>1.31</v>
      </c>
      <c r="Q1115" s="396">
        <v>-1551</v>
      </c>
      <c r="R1115" s="396">
        <v>5532</v>
      </c>
      <c r="S1115" s="396">
        <v>-4063</v>
      </c>
      <c r="T1115" s="396">
        <v>115923</v>
      </c>
      <c r="U1115" s="396">
        <v>-116029</v>
      </c>
      <c r="V1115" s="395">
        <v>9059.1299999999992</v>
      </c>
      <c r="W1115" s="395">
        <v>5305.47</v>
      </c>
      <c r="X1115" s="395">
        <v>76950</v>
      </c>
      <c r="Y1115" s="395">
        <v>15919.28</v>
      </c>
      <c r="Z1115" s="396">
        <v>-1370840</v>
      </c>
      <c r="AA1115" s="396">
        <v>62870</v>
      </c>
      <c r="AB1115" s="396">
        <v>526688</v>
      </c>
      <c r="AC1115" s="396">
        <v>10207916</v>
      </c>
    </row>
    <row r="1116" spans="1:29">
      <c r="A1116">
        <v>8215</v>
      </c>
      <c r="B1116" s="395" t="s">
        <v>8296</v>
      </c>
      <c r="C1116" s="395"/>
      <c r="D1116" s="396">
        <v>62434</v>
      </c>
      <c r="E1116" s="396">
        <v>233626</v>
      </c>
      <c r="F1116" s="395">
        <v>1.36</v>
      </c>
      <c r="G1116" s="396">
        <v>-171192</v>
      </c>
      <c r="H1116" s="396">
        <v>34716</v>
      </c>
      <c r="I1116" s="396">
        <v>1601597</v>
      </c>
      <c r="J1116" s="395">
        <v>262</v>
      </c>
      <c r="K1116" s="395">
        <v>175</v>
      </c>
      <c r="L1116" s="397">
        <v>0.66790000000000005</v>
      </c>
      <c r="M1116" s="395">
        <v>87</v>
      </c>
      <c r="N1116" s="395">
        <v>238</v>
      </c>
      <c r="O1116" s="396">
        <v>1335</v>
      </c>
      <c r="P1116" s="395">
        <v>0.68</v>
      </c>
      <c r="Q1116" s="396">
        <v>-1968</v>
      </c>
      <c r="R1116" s="396">
        <v>5403</v>
      </c>
      <c r="S1116" s="396">
        <v>-6421</v>
      </c>
      <c r="T1116" s="396">
        <v>238371</v>
      </c>
      <c r="U1116" s="396">
        <v>-205620</v>
      </c>
      <c r="V1116" s="395">
        <v>3076.7</v>
      </c>
      <c r="W1116" s="395">
        <v>1258.6400000000001</v>
      </c>
      <c r="X1116" s="395">
        <v>77490</v>
      </c>
      <c r="Y1116" s="395">
        <v>6733.72</v>
      </c>
      <c r="Z1116" s="396">
        <v>-1442172</v>
      </c>
      <c r="AA1116" s="396">
        <v>62434</v>
      </c>
      <c r="AB1116" s="396">
        <v>14200697</v>
      </c>
      <c r="AC1116" s="396">
        <v>10207916</v>
      </c>
    </row>
    <row r="1117" spans="1:29">
      <c r="A1117">
        <v>5515</v>
      </c>
      <c r="B1117" s="395" t="s">
        <v>7861</v>
      </c>
      <c r="C1117" s="395"/>
      <c r="D1117" s="396">
        <v>62253</v>
      </c>
      <c r="E1117" s="396">
        <v>91344</v>
      </c>
      <c r="F1117" s="395">
        <v>3.14</v>
      </c>
      <c r="G1117" s="396">
        <v>-29092</v>
      </c>
      <c r="H1117" s="396">
        <v>13382</v>
      </c>
      <c r="I1117" s="396">
        <v>712673</v>
      </c>
      <c r="J1117" s="395">
        <v>243</v>
      </c>
      <c r="K1117" s="395">
        <v>164</v>
      </c>
      <c r="L1117" s="397">
        <v>0.67490000000000006</v>
      </c>
      <c r="M1117" s="395">
        <v>79</v>
      </c>
      <c r="N1117" s="395">
        <v>256</v>
      </c>
      <c r="O1117" s="395">
        <v>557</v>
      </c>
      <c r="P1117" s="395">
        <v>1.51</v>
      </c>
      <c r="Q1117" s="395">
        <v>-368</v>
      </c>
      <c r="R1117" s="396">
        <v>1898</v>
      </c>
      <c r="S1117" s="396">
        <v>-2310</v>
      </c>
      <c r="T1117" s="396">
        <v>98120</v>
      </c>
      <c r="U1117" s="396">
        <v>-38608</v>
      </c>
      <c r="V1117" s="395">
        <v>6461.46</v>
      </c>
      <c r="W1117" s="395">
        <v>4504.7</v>
      </c>
      <c r="X1117" s="395">
        <v>77490</v>
      </c>
      <c r="Y1117" s="395">
        <v>10523.59</v>
      </c>
      <c r="Z1117" s="396">
        <v>-4273633</v>
      </c>
      <c r="AA1117" s="396">
        <v>62253</v>
      </c>
      <c r="AB1117" s="396">
        <v>3389084</v>
      </c>
      <c r="AC1117" s="396">
        <v>10207916</v>
      </c>
    </row>
    <row r="1118" spans="1:29">
      <c r="A1118">
        <v>4960</v>
      </c>
      <c r="B1118" s="395" t="s">
        <v>7733</v>
      </c>
      <c r="C1118" s="395"/>
      <c r="D1118" s="396">
        <v>61869</v>
      </c>
      <c r="E1118" s="396">
        <v>90832</v>
      </c>
      <c r="F1118" s="395">
        <v>3.14</v>
      </c>
      <c r="G1118" s="396">
        <v>-28963</v>
      </c>
      <c r="H1118" s="396">
        <v>13131</v>
      </c>
      <c r="I1118" s="396">
        <v>531125</v>
      </c>
      <c r="J1118" s="395">
        <v>264</v>
      </c>
      <c r="K1118" s="395">
        <v>215</v>
      </c>
      <c r="L1118" s="397">
        <v>0.81440000000000001</v>
      </c>
      <c r="M1118" s="395">
        <v>49</v>
      </c>
      <c r="N1118" s="395">
        <v>234</v>
      </c>
      <c r="O1118" s="395">
        <v>422</v>
      </c>
      <c r="P1118" s="395">
        <v>0.71</v>
      </c>
      <c r="Q1118" s="395">
        <v>-591</v>
      </c>
      <c r="R1118" s="396">
        <v>1854</v>
      </c>
      <c r="S1118" s="396">
        <v>-1901</v>
      </c>
      <c r="T1118" s="396">
        <v>77040</v>
      </c>
      <c r="U1118" s="396">
        <v>-36485</v>
      </c>
      <c r="V1118" s="395">
        <v>3001.69</v>
      </c>
      <c r="W1118" s="395">
        <v>2445.37</v>
      </c>
      <c r="X1118" s="395">
        <v>77490</v>
      </c>
      <c r="Y1118" s="395">
        <v>5442.71</v>
      </c>
      <c r="Z1118" s="396">
        <v>-11284264</v>
      </c>
      <c r="AA1118" s="396">
        <v>61869</v>
      </c>
      <c r="AB1118" s="396">
        <v>4542986</v>
      </c>
      <c r="AC1118" s="396">
        <v>10207916</v>
      </c>
    </row>
    <row r="1119" spans="1:29">
      <c r="A1119">
        <v>1444</v>
      </c>
      <c r="B1119" s="395" t="s">
        <v>6755</v>
      </c>
      <c r="C1119" s="395"/>
      <c r="D1119" s="396">
        <v>61742</v>
      </c>
      <c r="E1119" s="396">
        <v>93174</v>
      </c>
      <c r="F1119" s="395">
        <v>2.96</v>
      </c>
      <c r="G1119" s="396">
        <v>-31432</v>
      </c>
      <c r="H1119" s="396">
        <v>12508</v>
      </c>
      <c r="I1119" s="396">
        <v>615610</v>
      </c>
      <c r="J1119" s="395">
        <v>260</v>
      </c>
      <c r="K1119" s="395">
        <v>212</v>
      </c>
      <c r="L1119" s="397">
        <v>0.81540000000000001</v>
      </c>
      <c r="M1119" s="395">
        <v>45</v>
      </c>
      <c r="N1119" s="395">
        <v>237</v>
      </c>
      <c r="O1119" s="395">
        <v>439</v>
      </c>
      <c r="P1119" s="395">
        <v>0.63</v>
      </c>
      <c r="Q1119" s="395">
        <v>-698</v>
      </c>
      <c r="R1119" s="396">
        <v>1705</v>
      </c>
      <c r="S1119" s="396">
        <v>-2203</v>
      </c>
      <c r="T1119" s="396">
        <v>93821</v>
      </c>
      <c r="U1119" s="396">
        <v>-53340</v>
      </c>
      <c r="V1119" s="395">
        <v>3603.8</v>
      </c>
      <c r="W1119" s="395">
        <v>2840.26</v>
      </c>
      <c r="X1119" s="395">
        <v>77490</v>
      </c>
      <c r="Y1119" s="395">
        <v>7139.36</v>
      </c>
      <c r="Z1119" s="396">
        <v>-17666137</v>
      </c>
      <c r="AA1119" s="396">
        <v>61742</v>
      </c>
      <c r="AB1119" s="396">
        <v>-12488806</v>
      </c>
      <c r="AC1119" s="396">
        <v>10207916</v>
      </c>
    </row>
    <row r="1120" spans="1:29">
      <c r="A1120">
        <v>6160</v>
      </c>
      <c r="B1120" s="395" t="s">
        <v>7953</v>
      </c>
      <c r="C1120" s="395"/>
      <c r="D1120" s="396">
        <v>61561</v>
      </c>
      <c r="E1120" s="396">
        <v>166673</v>
      </c>
      <c r="F1120" s="395">
        <v>1.59</v>
      </c>
      <c r="G1120" s="396">
        <v>-105112</v>
      </c>
      <c r="H1120" s="396">
        <v>18489</v>
      </c>
      <c r="I1120" s="396">
        <v>1042357</v>
      </c>
      <c r="J1120" s="395">
        <v>247</v>
      </c>
      <c r="K1120" s="395">
        <v>192</v>
      </c>
      <c r="L1120" s="397">
        <v>0.77729999999999999</v>
      </c>
      <c r="M1120" s="395">
        <v>55</v>
      </c>
      <c r="N1120" s="395">
        <v>249</v>
      </c>
      <c r="O1120" s="395">
        <v>868</v>
      </c>
      <c r="P1120" s="395">
        <v>0.45</v>
      </c>
      <c r="Q1120" s="396">
        <v>-1911</v>
      </c>
      <c r="R1120" s="396">
        <v>3379</v>
      </c>
      <c r="S1120" s="396">
        <v>-4984</v>
      </c>
      <c r="T1120" s="396">
        <v>175397</v>
      </c>
      <c r="U1120" s="396">
        <v>-117445</v>
      </c>
      <c r="V1120" s="395">
        <v>3335.86</v>
      </c>
      <c r="W1120" s="395">
        <v>2288.2800000000002</v>
      </c>
      <c r="X1120" s="395">
        <v>77490</v>
      </c>
      <c r="Y1120" s="395">
        <v>6992.89</v>
      </c>
      <c r="Z1120" s="396">
        <v>2440426</v>
      </c>
      <c r="AA1120" s="396">
        <v>61561</v>
      </c>
      <c r="AB1120" s="396">
        <v>10421687</v>
      </c>
      <c r="AC1120" s="396">
        <v>10207916</v>
      </c>
    </row>
    <row r="1121" spans="1:29">
      <c r="A1121">
        <v>2482</v>
      </c>
      <c r="B1121" s="395" t="s">
        <v>7095</v>
      </c>
      <c r="C1121" s="395"/>
      <c r="D1121" s="396">
        <v>61280</v>
      </c>
      <c r="E1121" s="396">
        <v>103774</v>
      </c>
      <c r="F1121" s="395">
        <v>2.44</v>
      </c>
      <c r="G1121" s="396">
        <v>-42494</v>
      </c>
      <c r="H1121" s="396">
        <v>13270</v>
      </c>
      <c r="I1121" s="396">
        <v>317350</v>
      </c>
      <c r="J1121" s="395">
        <v>249</v>
      </c>
      <c r="K1121" s="395">
        <v>200</v>
      </c>
      <c r="L1121" s="397">
        <v>0.80320000000000003</v>
      </c>
      <c r="M1121" s="395">
        <v>49</v>
      </c>
      <c r="N1121" s="395">
        <v>246</v>
      </c>
      <c r="O1121" s="395">
        <v>519</v>
      </c>
      <c r="P1121" s="395">
        <v>0.6</v>
      </c>
      <c r="Q1121" s="395">
        <v>-867</v>
      </c>
      <c r="R1121" s="396">
        <v>2106</v>
      </c>
      <c r="S1121" s="396">
        <v>-3405</v>
      </c>
      <c r="T1121" s="396">
        <v>96540</v>
      </c>
      <c r="U1121" s="396">
        <v>-29657</v>
      </c>
      <c r="V1121" s="395">
        <v>2117</v>
      </c>
      <c r="W1121" s="395">
        <v>1721.23</v>
      </c>
      <c r="X1121" s="395">
        <v>77490</v>
      </c>
      <c r="Y1121" s="395">
        <v>3732.37</v>
      </c>
      <c r="Z1121" s="396">
        <v>11928462</v>
      </c>
      <c r="AA1121" s="396">
        <v>61280</v>
      </c>
      <c r="AB1121" s="396">
        <v>10176991</v>
      </c>
      <c r="AC1121" s="396">
        <v>10207916</v>
      </c>
    </row>
    <row r="1122" spans="1:29">
      <c r="A1122">
        <v>1470</v>
      </c>
      <c r="B1122" s="395" t="s">
        <v>6775</v>
      </c>
      <c r="C1122" s="395"/>
      <c r="D1122" s="396">
        <v>60985</v>
      </c>
      <c r="E1122" s="396">
        <v>71903</v>
      </c>
      <c r="F1122" s="395">
        <v>6.59</v>
      </c>
      <c r="G1122" s="396">
        <v>-10918</v>
      </c>
      <c r="H1122" s="396">
        <v>11069</v>
      </c>
      <c r="I1122" s="396">
        <v>465946</v>
      </c>
      <c r="J1122" s="395">
        <v>155</v>
      </c>
      <c r="K1122" s="395">
        <v>131</v>
      </c>
      <c r="L1122" s="397">
        <v>0.84519999999999995</v>
      </c>
      <c r="M1122" s="395">
        <v>24</v>
      </c>
      <c r="N1122" s="395">
        <v>393</v>
      </c>
      <c r="O1122" s="395">
        <v>549</v>
      </c>
      <c r="P1122" s="395">
        <v>1.21</v>
      </c>
      <c r="Q1122" s="395">
        <v>-455</v>
      </c>
      <c r="R1122" s="396">
        <v>1622</v>
      </c>
      <c r="S1122" s="396">
        <v>-1821</v>
      </c>
      <c r="T1122" s="396">
        <v>71677</v>
      </c>
      <c r="U1122" s="396">
        <v>-12543</v>
      </c>
      <c r="V1122" s="395">
        <v>2725.93</v>
      </c>
      <c r="W1122" s="395">
        <v>2455.42</v>
      </c>
      <c r="X1122" s="395">
        <v>70740</v>
      </c>
      <c r="Y1122" s="395">
        <v>4202.46</v>
      </c>
      <c r="Z1122" s="396">
        <v>3490941</v>
      </c>
      <c r="AA1122" s="396">
        <v>60985</v>
      </c>
      <c r="AB1122" s="396">
        <v>9031265</v>
      </c>
      <c r="AC1122" s="396">
        <v>10207916</v>
      </c>
    </row>
    <row r="1123" spans="1:29">
      <c r="A1123">
        <v>2103</v>
      </c>
      <c r="B1123" s="395" t="s">
        <v>6944</v>
      </c>
      <c r="C1123" s="395"/>
      <c r="D1123" s="396">
        <v>60759</v>
      </c>
      <c r="E1123" s="396">
        <v>206604</v>
      </c>
      <c r="F1123" s="395">
        <v>1.42</v>
      </c>
      <c r="G1123" s="396">
        <v>-145845</v>
      </c>
      <c r="H1123" s="396">
        <v>35215</v>
      </c>
      <c r="I1123" s="396">
        <v>2225570</v>
      </c>
      <c r="J1123" s="395">
        <v>276</v>
      </c>
      <c r="K1123" s="395">
        <v>220</v>
      </c>
      <c r="L1123" s="397">
        <v>0.79710000000000003</v>
      </c>
      <c r="M1123" s="395">
        <v>56</v>
      </c>
      <c r="N1123" s="395">
        <v>220</v>
      </c>
      <c r="O1123" s="395">
        <v>939</v>
      </c>
      <c r="P1123" s="395">
        <v>0.36</v>
      </c>
      <c r="Q1123" s="396">
        <v>-2604</v>
      </c>
      <c r="R1123" s="396">
        <v>2589</v>
      </c>
      <c r="S1123" s="396">
        <v>-7302</v>
      </c>
      <c r="T1123" s="396">
        <v>234824</v>
      </c>
      <c r="U1123" s="396">
        <v>-189189</v>
      </c>
      <c r="V1123" s="395">
        <v>4197.28</v>
      </c>
      <c r="W1123" s="395">
        <v>3228.28</v>
      </c>
      <c r="X1123" s="395">
        <v>77490</v>
      </c>
      <c r="Y1123" s="395">
        <v>8004.07</v>
      </c>
      <c r="Z1123" s="396">
        <v>41608876</v>
      </c>
      <c r="AA1123" s="396">
        <v>60759</v>
      </c>
      <c r="AB1123" s="396">
        <v>24347063</v>
      </c>
      <c r="AC1123" s="396">
        <v>10207916</v>
      </c>
    </row>
    <row r="1124" spans="1:29">
      <c r="A1124">
        <v>6240</v>
      </c>
      <c r="B1124" s="395" t="s">
        <v>8024</v>
      </c>
      <c r="C1124" s="395"/>
      <c r="D1124" s="396">
        <v>60677</v>
      </c>
      <c r="E1124" s="396">
        <v>67367</v>
      </c>
      <c r="F1124" s="395">
        <v>10.07</v>
      </c>
      <c r="G1124" s="396">
        <v>-6690</v>
      </c>
      <c r="H1124" s="396">
        <v>9573</v>
      </c>
      <c r="I1124" s="396">
        <v>177338</v>
      </c>
      <c r="J1124" s="395">
        <v>152</v>
      </c>
      <c r="K1124" s="395">
        <v>128</v>
      </c>
      <c r="L1124" s="397">
        <v>0.84209999999999996</v>
      </c>
      <c r="M1124" s="395">
        <v>24</v>
      </c>
      <c r="N1124" s="395">
        <v>399</v>
      </c>
      <c r="O1124" s="395">
        <v>526</v>
      </c>
      <c r="P1124" s="395">
        <v>1.89</v>
      </c>
      <c r="Q1124" s="395">
        <v>-279</v>
      </c>
      <c r="R1124" s="396">
        <v>1924</v>
      </c>
      <c r="S1124" s="395">
        <v>-767</v>
      </c>
      <c r="T1124" s="396">
        <v>61683</v>
      </c>
      <c r="U1124" s="396">
        <v>-8795</v>
      </c>
      <c r="V1124" s="395">
        <v>1451.26</v>
      </c>
      <c r="W1124" s="395">
        <v>1294.42</v>
      </c>
      <c r="X1124" s="395">
        <v>75330</v>
      </c>
      <c r="Y1124" s="395">
        <v>2287.75</v>
      </c>
      <c r="Z1124" s="396">
        <v>11568704</v>
      </c>
      <c r="AA1124" s="396">
        <v>60677</v>
      </c>
      <c r="AB1124" s="396">
        <v>8403448</v>
      </c>
      <c r="AC1124" s="396">
        <v>10207916</v>
      </c>
    </row>
    <row r="1125" spans="1:29">
      <c r="A1125">
        <v>4543</v>
      </c>
      <c r="B1125" s="395" t="s">
        <v>7643</v>
      </c>
      <c r="C1125" s="395"/>
      <c r="D1125" s="396">
        <v>60467</v>
      </c>
      <c r="E1125" s="396">
        <v>75558</v>
      </c>
      <c r="F1125" s="395">
        <v>5.01</v>
      </c>
      <c r="G1125" s="396">
        <v>-15091</v>
      </c>
      <c r="H1125" s="396">
        <v>11433</v>
      </c>
      <c r="I1125" s="396">
        <v>252177</v>
      </c>
      <c r="J1125" s="395">
        <v>159</v>
      </c>
      <c r="K1125" s="395">
        <v>130</v>
      </c>
      <c r="L1125" s="397">
        <v>0.81759999999999999</v>
      </c>
      <c r="M1125" s="395">
        <v>29</v>
      </c>
      <c r="N1125" s="395">
        <v>380</v>
      </c>
      <c r="O1125" s="395">
        <v>581</v>
      </c>
      <c r="P1125" s="395">
        <v>1.1200000000000001</v>
      </c>
      <c r="Q1125" s="395">
        <v>-520</v>
      </c>
      <c r="R1125" s="396">
        <v>2114</v>
      </c>
      <c r="S1125" s="396">
        <v>-2380</v>
      </c>
      <c r="T1125" s="396">
        <v>66574</v>
      </c>
      <c r="U1125" s="396">
        <v>-20830</v>
      </c>
      <c r="V1125" s="395">
        <v>2008.55</v>
      </c>
      <c r="W1125" s="395">
        <v>1716.04</v>
      </c>
      <c r="X1125" s="395">
        <v>76140</v>
      </c>
      <c r="Y1125" s="395">
        <v>3319.83</v>
      </c>
      <c r="Z1125" s="396">
        <v>193655</v>
      </c>
      <c r="AA1125" s="396">
        <v>60467</v>
      </c>
      <c r="AB1125" s="396">
        <v>6609524</v>
      </c>
      <c r="AC1125" s="396">
        <v>10207916</v>
      </c>
    </row>
    <row r="1126" spans="1:29">
      <c r="A1126">
        <v>8929</v>
      </c>
      <c r="B1126" s="395" t="s">
        <v>8378</v>
      </c>
      <c r="C1126" s="395"/>
      <c r="D1126" s="396">
        <v>60415</v>
      </c>
      <c r="E1126" s="396">
        <v>74863</v>
      </c>
      <c r="F1126" s="395">
        <v>5.18</v>
      </c>
      <c r="G1126" s="396">
        <v>-14448</v>
      </c>
      <c r="H1126" s="396">
        <v>11085</v>
      </c>
      <c r="I1126" s="396">
        <v>420261</v>
      </c>
      <c r="J1126" s="395">
        <v>126</v>
      </c>
      <c r="K1126" s="395">
        <v>98</v>
      </c>
      <c r="L1126" s="397">
        <v>0.77780000000000005</v>
      </c>
      <c r="M1126" s="395">
        <v>28</v>
      </c>
      <c r="N1126" s="395">
        <v>479</v>
      </c>
      <c r="O1126" s="395">
        <v>764</v>
      </c>
      <c r="P1126" s="395">
        <v>1.48</v>
      </c>
      <c r="Q1126" s="395">
        <v>-516</v>
      </c>
      <c r="R1126" s="396">
        <v>3020</v>
      </c>
      <c r="S1126" s="396">
        <v>-1391</v>
      </c>
      <c r="T1126" s="396">
        <v>74230</v>
      </c>
      <c r="U1126" s="396">
        <v>-18204</v>
      </c>
      <c r="V1126" s="395">
        <v>4325.8900000000003</v>
      </c>
      <c r="W1126" s="395">
        <v>3812.9</v>
      </c>
      <c r="X1126" s="395">
        <v>77490</v>
      </c>
      <c r="Y1126" s="395">
        <v>6121.36</v>
      </c>
      <c r="Z1126" s="396">
        <v>-7376874</v>
      </c>
      <c r="AA1126" s="396">
        <v>60415</v>
      </c>
      <c r="AB1126" s="396">
        <v>-1331686</v>
      </c>
      <c r="AC1126" s="396">
        <v>10207916</v>
      </c>
    </row>
    <row r="1127" spans="1:29">
      <c r="A1127">
        <v>1454</v>
      </c>
      <c r="B1127" s="395" t="s">
        <v>6763</v>
      </c>
      <c r="C1127" s="395"/>
      <c r="D1127" s="396">
        <v>60115</v>
      </c>
      <c r="E1127" s="396">
        <v>66216</v>
      </c>
      <c r="F1127" s="395">
        <v>10.85</v>
      </c>
      <c r="G1127" s="396">
        <v>-6101</v>
      </c>
      <c r="H1127" s="396">
        <v>10597</v>
      </c>
      <c r="I1127" s="396">
        <v>236830</v>
      </c>
      <c r="J1127" s="395">
        <v>238</v>
      </c>
      <c r="K1127" s="395">
        <v>215</v>
      </c>
      <c r="L1127" s="397">
        <v>0.90339999999999998</v>
      </c>
      <c r="M1127" s="395">
        <v>23</v>
      </c>
      <c r="N1127" s="395">
        <v>253</v>
      </c>
      <c r="O1127" s="395">
        <v>308</v>
      </c>
      <c r="P1127" s="395">
        <v>1.1599999999999999</v>
      </c>
      <c r="Q1127" s="395">
        <v>-265</v>
      </c>
      <c r="R1127" s="396">
        <v>1072</v>
      </c>
      <c r="S1127" s="396">
        <v>-1403</v>
      </c>
      <c r="T1127" s="396">
        <v>66232</v>
      </c>
      <c r="U1127" s="396">
        <v>-10356</v>
      </c>
      <c r="V1127" s="395">
        <v>1848.66</v>
      </c>
      <c r="W1127" s="395">
        <v>1576.42</v>
      </c>
      <c r="X1127" s="395">
        <v>77490</v>
      </c>
      <c r="Y1127" s="395">
        <v>4393.5200000000004</v>
      </c>
      <c r="Z1127" s="396">
        <v>10842224</v>
      </c>
      <c r="AA1127" s="396">
        <v>60115</v>
      </c>
      <c r="AB1127" s="396">
        <v>33170584</v>
      </c>
      <c r="AC1127" s="396">
        <v>10207916</v>
      </c>
    </row>
    <row r="1128" spans="1:29">
      <c r="A1128">
        <v>5529</v>
      </c>
      <c r="B1128" s="395" t="s">
        <v>7869</v>
      </c>
      <c r="C1128" s="395"/>
      <c r="D1128" s="396">
        <v>59913</v>
      </c>
      <c r="E1128" s="396">
        <v>79282</v>
      </c>
      <c r="F1128" s="395">
        <v>4.09</v>
      </c>
      <c r="G1128" s="396">
        <v>-19369</v>
      </c>
      <c r="H1128" s="396">
        <v>10327</v>
      </c>
      <c r="I1128" s="396">
        <v>281562</v>
      </c>
      <c r="J1128" s="395">
        <v>155</v>
      </c>
      <c r="K1128" s="395">
        <v>123</v>
      </c>
      <c r="L1128" s="397">
        <v>0.79349999999999998</v>
      </c>
      <c r="M1128" s="395">
        <v>32</v>
      </c>
      <c r="N1128" s="395">
        <v>387</v>
      </c>
      <c r="O1128" s="395">
        <v>645</v>
      </c>
      <c r="P1128" s="395">
        <v>1.07</v>
      </c>
      <c r="Q1128" s="395">
        <v>-605</v>
      </c>
      <c r="R1128" s="396">
        <v>3183</v>
      </c>
      <c r="S1128" s="396">
        <v>-2878</v>
      </c>
      <c r="T1128" s="396">
        <v>86917</v>
      </c>
      <c r="U1128" s="396">
        <v>-44571</v>
      </c>
      <c r="V1128" s="395">
        <v>2049.65</v>
      </c>
      <c r="W1128" s="395">
        <v>1699.95</v>
      </c>
      <c r="X1128" s="395">
        <v>77490</v>
      </c>
      <c r="Y1128" s="395">
        <v>3393.78</v>
      </c>
      <c r="Z1128" s="396">
        <v>-181602</v>
      </c>
      <c r="AA1128" s="396">
        <v>59913</v>
      </c>
      <c r="AB1128" s="396">
        <v>35978373</v>
      </c>
      <c r="AC1128" s="396">
        <v>10207916</v>
      </c>
    </row>
    <row r="1129" spans="1:29">
      <c r="A1129">
        <v>2883</v>
      </c>
      <c r="B1129" s="395" t="s">
        <v>7213</v>
      </c>
      <c r="C1129" s="395"/>
      <c r="D1129" s="396">
        <v>59890</v>
      </c>
      <c r="E1129" s="396">
        <v>92270</v>
      </c>
      <c r="F1129" s="395">
        <v>2.85</v>
      </c>
      <c r="G1129" s="396">
        <v>-32380</v>
      </c>
      <c r="H1129" s="396">
        <v>15785</v>
      </c>
      <c r="I1129" s="396">
        <v>468791</v>
      </c>
      <c r="J1129" s="395">
        <v>284</v>
      </c>
      <c r="K1129" s="395">
        <v>246</v>
      </c>
      <c r="L1129" s="397">
        <v>0.86619999999999997</v>
      </c>
      <c r="M1129" s="395">
        <v>38</v>
      </c>
      <c r="N1129" s="395">
        <v>211</v>
      </c>
      <c r="O1129" s="395">
        <v>375</v>
      </c>
      <c r="P1129" s="395">
        <v>0.44</v>
      </c>
      <c r="Q1129" s="395">
        <v>-852</v>
      </c>
      <c r="R1129" s="396">
        <v>1230</v>
      </c>
      <c r="S1129" s="396">
        <v>-2074</v>
      </c>
      <c r="T1129" s="396">
        <v>93233</v>
      </c>
      <c r="U1129" s="396">
        <v>-41869</v>
      </c>
      <c r="V1129" s="395">
        <v>2228.9699999999998</v>
      </c>
      <c r="W1129" s="395">
        <v>1993.43</v>
      </c>
      <c r="X1129" s="395">
        <v>77490</v>
      </c>
      <c r="Y1129" s="395">
        <v>3753.82</v>
      </c>
      <c r="Z1129" s="396">
        <v>5759005</v>
      </c>
      <c r="AA1129" s="396">
        <v>59890</v>
      </c>
      <c r="AB1129" s="396">
        <v>47869584</v>
      </c>
      <c r="AC1129" s="396">
        <v>10207916</v>
      </c>
    </row>
    <row r="1130" spans="1:29">
      <c r="A1130">
        <v>2736</v>
      </c>
      <c r="B1130" s="395" t="s">
        <v>7182</v>
      </c>
      <c r="C1130" s="395"/>
      <c r="D1130" s="396">
        <v>59561</v>
      </c>
      <c r="E1130" s="396">
        <v>104995</v>
      </c>
      <c r="F1130" s="395">
        <v>2.31</v>
      </c>
      <c r="G1130" s="396">
        <v>-45434</v>
      </c>
      <c r="H1130" s="396">
        <v>14218</v>
      </c>
      <c r="I1130" s="396">
        <v>842992</v>
      </c>
      <c r="J1130" s="395">
        <v>219</v>
      </c>
      <c r="K1130" s="395">
        <v>161</v>
      </c>
      <c r="L1130" s="397">
        <v>0.73519999999999996</v>
      </c>
      <c r="M1130" s="395">
        <v>58</v>
      </c>
      <c r="N1130" s="395">
        <v>272</v>
      </c>
      <c r="O1130" s="395">
        <v>652</v>
      </c>
      <c r="P1130" s="395">
        <v>0.83</v>
      </c>
      <c r="Q1130" s="395">
        <v>-783</v>
      </c>
      <c r="R1130" s="396">
        <v>2789</v>
      </c>
      <c r="S1130" s="396">
        <v>-4225</v>
      </c>
      <c r="T1130" s="396">
        <v>98004</v>
      </c>
      <c r="U1130" s="396">
        <v>-73044</v>
      </c>
      <c r="V1130" s="395">
        <v>5029.68</v>
      </c>
      <c r="W1130" s="395">
        <v>3526.72</v>
      </c>
      <c r="X1130" s="395">
        <v>77490</v>
      </c>
      <c r="Y1130" s="395">
        <v>9201.7099999999991</v>
      </c>
      <c r="Z1130" s="396">
        <v>-10049298</v>
      </c>
      <c r="AA1130" s="396">
        <v>59561</v>
      </c>
      <c r="AB1130" s="396">
        <v>9114239</v>
      </c>
      <c r="AC1130" s="396">
        <v>10207916</v>
      </c>
    </row>
    <row r="1131" spans="1:29">
      <c r="A1131">
        <v>3188</v>
      </c>
      <c r="B1131" s="395" t="s">
        <v>7337</v>
      </c>
      <c r="C1131" s="395"/>
      <c r="D1131" s="396">
        <v>59558</v>
      </c>
      <c r="E1131" s="396">
        <v>92334</v>
      </c>
      <c r="F1131" s="395">
        <v>2.82</v>
      </c>
      <c r="G1131" s="396">
        <v>-32776</v>
      </c>
      <c r="H1131" s="396">
        <v>13690</v>
      </c>
      <c r="I1131" s="396">
        <v>414050</v>
      </c>
      <c r="J1131" s="395">
        <v>218</v>
      </c>
      <c r="K1131" s="395">
        <v>166</v>
      </c>
      <c r="L1131" s="397">
        <v>0.76149999999999995</v>
      </c>
      <c r="M1131" s="395">
        <v>52</v>
      </c>
      <c r="N1131" s="395">
        <v>273</v>
      </c>
      <c r="O1131" s="395">
        <v>556</v>
      </c>
      <c r="P1131" s="395">
        <v>0.88</v>
      </c>
      <c r="Q1131" s="395">
        <v>-630</v>
      </c>
      <c r="R1131" s="396">
        <v>2435</v>
      </c>
      <c r="S1131" s="396">
        <v>-1818</v>
      </c>
      <c r="T1131" s="396">
        <v>94276</v>
      </c>
      <c r="U1131" s="396">
        <v>-37632</v>
      </c>
      <c r="V1131" s="395">
        <v>3592.28</v>
      </c>
      <c r="W1131" s="395">
        <v>2879.57</v>
      </c>
      <c r="X1131" s="395">
        <v>77490</v>
      </c>
      <c r="Y1131" s="395">
        <v>5867.44</v>
      </c>
      <c r="Z1131" s="396">
        <v>-1647084</v>
      </c>
      <c r="AA1131" s="396">
        <v>59558</v>
      </c>
      <c r="AB1131" s="396">
        <v>7339168</v>
      </c>
      <c r="AC1131" s="396">
        <v>10207916</v>
      </c>
    </row>
    <row r="1132" spans="1:29">
      <c r="A1132">
        <v>2745</v>
      </c>
      <c r="B1132" s="395" t="s">
        <v>7186</v>
      </c>
      <c r="C1132" s="395"/>
      <c r="D1132" s="396">
        <v>59472</v>
      </c>
      <c r="E1132" s="396">
        <v>97724</v>
      </c>
      <c r="F1132" s="395">
        <v>2.5499999999999998</v>
      </c>
      <c r="G1132" s="396">
        <v>-38252</v>
      </c>
      <c r="H1132" s="396">
        <v>9378</v>
      </c>
      <c r="I1132" s="396">
        <v>751071</v>
      </c>
      <c r="J1132" s="395">
        <v>93</v>
      </c>
      <c r="K1132" s="395">
        <v>71</v>
      </c>
      <c r="L1132" s="397">
        <v>0.76339999999999997</v>
      </c>
      <c r="M1132" s="395">
        <v>22</v>
      </c>
      <c r="N1132" s="395">
        <v>639</v>
      </c>
      <c r="O1132" s="396">
        <v>1376</v>
      </c>
      <c r="P1132" s="395">
        <v>0.79</v>
      </c>
      <c r="Q1132" s="396">
        <v>-1739</v>
      </c>
      <c r="R1132" s="396">
        <v>7365</v>
      </c>
      <c r="S1132" s="396">
        <v>-4908</v>
      </c>
      <c r="T1132" s="396">
        <v>231765</v>
      </c>
      <c r="U1132" s="396">
        <v>-174458</v>
      </c>
      <c r="V1132" s="395">
        <v>4542.4799999999996</v>
      </c>
      <c r="W1132" s="395">
        <v>2754.63</v>
      </c>
      <c r="X1132" s="395">
        <v>76950</v>
      </c>
      <c r="Y1132" s="395">
        <v>10312.36</v>
      </c>
      <c r="Z1132" s="396">
        <v>7425235</v>
      </c>
      <c r="AA1132" s="396">
        <v>59472</v>
      </c>
      <c r="AB1132" s="396">
        <v>42491667</v>
      </c>
      <c r="AC1132" s="396">
        <v>10207916</v>
      </c>
    </row>
    <row r="1133" spans="1:29">
      <c r="A1133">
        <v>1324</v>
      </c>
      <c r="B1133" s="395" t="s">
        <v>6724</v>
      </c>
      <c r="C1133" s="395"/>
      <c r="D1133" s="396">
        <v>59370</v>
      </c>
      <c r="E1133" s="396">
        <v>73912</v>
      </c>
      <c r="F1133" s="395">
        <v>5.08</v>
      </c>
      <c r="G1133" s="396">
        <v>-14542</v>
      </c>
      <c r="H1133" s="396">
        <v>9520</v>
      </c>
      <c r="I1133" s="396">
        <v>421924</v>
      </c>
      <c r="J1133" s="395">
        <v>210</v>
      </c>
      <c r="K1133" s="395">
        <v>170</v>
      </c>
      <c r="L1133" s="397">
        <v>0.8095</v>
      </c>
      <c r="M1133" s="395">
        <v>40</v>
      </c>
      <c r="N1133" s="395">
        <v>283</v>
      </c>
      <c r="O1133" s="395">
        <v>435</v>
      </c>
      <c r="P1133" s="395">
        <v>1.2</v>
      </c>
      <c r="Q1133" s="395">
        <v>-364</v>
      </c>
      <c r="R1133" s="396">
        <v>1607</v>
      </c>
      <c r="S1133" s="396">
        <v>-1098</v>
      </c>
      <c r="T1133" s="396">
        <v>76766</v>
      </c>
      <c r="U1133" s="396">
        <v>-25804</v>
      </c>
      <c r="V1133" s="395">
        <v>5815.28</v>
      </c>
      <c r="W1133" s="395">
        <v>5233.95</v>
      </c>
      <c r="X1133" s="395">
        <v>77490</v>
      </c>
      <c r="Y1133" s="395">
        <v>8285.92</v>
      </c>
      <c r="Z1133" s="396">
        <v>-1108219</v>
      </c>
      <c r="AA1133" s="396">
        <v>59370</v>
      </c>
      <c r="AB1133" s="396">
        <v>4833597</v>
      </c>
      <c r="AC1133" s="396">
        <v>10207916</v>
      </c>
    </row>
    <row r="1134" spans="1:29">
      <c r="A1134">
        <v>5481</v>
      </c>
      <c r="B1134" s="395" t="s">
        <v>7848</v>
      </c>
      <c r="C1134" s="395"/>
      <c r="D1134" s="396">
        <v>59218</v>
      </c>
      <c r="E1134" s="396">
        <v>82082</v>
      </c>
      <c r="F1134" s="395">
        <v>3.59</v>
      </c>
      <c r="G1134" s="396">
        <v>-22865</v>
      </c>
      <c r="H1134" s="396">
        <v>12220</v>
      </c>
      <c r="I1134" s="396">
        <v>597810</v>
      </c>
      <c r="J1134" s="395">
        <v>226</v>
      </c>
      <c r="K1134" s="395">
        <v>150</v>
      </c>
      <c r="L1134" s="397">
        <v>0.66369999999999996</v>
      </c>
      <c r="M1134" s="395">
        <v>76</v>
      </c>
      <c r="N1134" s="395">
        <v>262</v>
      </c>
      <c r="O1134" s="395">
        <v>547</v>
      </c>
      <c r="P1134" s="395">
        <v>1.82</v>
      </c>
      <c r="Q1134" s="395">
        <v>-301</v>
      </c>
      <c r="R1134" s="396">
        <v>1952</v>
      </c>
      <c r="S1134" s="395">
        <v>-954</v>
      </c>
      <c r="T1134" s="396">
        <v>94440</v>
      </c>
      <c r="U1134" s="396">
        <v>-39651</v>
      </c>
      <c r="V1134" s="395">
        <v>5745.97</v>
      </c>
      <c r="W1134" s="395">
        <v>5043.01</v>
      </c>
      <c r="X1134" s="395">
        <v>77490</v>
      </c>
      <c r="Y1134" s="395">
        <v>7133.38</v>
      </c>
      <c r="Z1134" s="396">
        <v>-9422855</v>
      </c>
      <c r="AA1134" s="396">
        <v>59218</v>
      </c>
      <c r="AB1134" s="396">
        <v>-5617940</v>
      </c>
      <c r="AC1134" s="396">
        <v>10207916</v>
      </c>
    </row>
    <row r="1135" spans="1:29">
      <c r="A1135">
        <v>4440</v>
      </c>
      <c r="B1135" s="395" t="s">
        <v>7622</v>
      </c>
      <c r="C1135" s="395"/>
      <c r="D1135" s="396">
        <v>58987</v>
      </c>
      <c r="E1135" s="396">
        <v>64860</v>
      </c>
      <c r="F1135" s="395">
        <v>11.04</v>
      </c>
      <c r="G1135" s="396">
        <v>-5873</v>
      </c>
      <c r="H1135" s="396">
        <v>12013</v>
      </c>
      <c r="I1135" s="396">
        <v>1278124</v>
      </c>
      <c r="J1135" s="395">
        <v>64</v>
      </c>
      <c r="K1135" s="395">
        <v>53</v>
      </c>
      <c r="L1135" s="397">
        <v>0.82809999999999995</v>
      </c>
      <c r="M1135" s="395">
        <v>11</v>
      </c>
      <c r="N1135" s="395">
        <v>922</v>
      </c>
      <c r="O1135" s="396">
        <v>1224</v>
      </c>
      <c r="P1135" s="395">
        <v>2.29</v>
      </c>
      <c r="Q1135" s="395">
        <v>-534</v>
      </c>
      <c r="R1135" s="396">
        <v>2309</v>
      </c>
      <c r="S1135" s="395">
        <v>-997</v>
      </c>
      <c r="T1135" s="396">
        <v>63759</v>
      </c>
      <c r="U1135" s="396">
        <v>-23119</v>
      </c>
      <c r="V1135" s="395">
        <v>3203.08</v>
      </c>
      <c r="W1135" s="395">
        <v>3296.25</v>
      </c>
      <c r="X1135" s="395">
        <v>24840</v>
      </c>
      <c r="Y1135" s="395">
        <v>2754.18</v>
      </c>
      <c r="Z1135" s="396">
        <v>4054146</v>
      </c>
      <c r="AA1135" s="396">
        <v>58987</v>
      </c>
      <c r="AB1135" s="396">
        <v>3280090</v>
      </c>
      <c r="AC1135" s="396">
        <v>10207916</v>
      </c>
    </row>
    <row r="1136" spans="1:29">
      <c r="A1136">
        <v>5864</v>
      </c>
      <c r="B1136" s="395" t="s">
        <v>7889</v>
      </c>
      <c r="C1136" s="395"/>
      <c r="D1136" s="396">
        <v>58984</v>
      </c>
      <c r="E1136" s="396">
        <v>188330</v>
      </c>
      <c r="F1136" s="395">
        <v>1.46</v>
      </c>
      <c r="G1136" s="396">
        <v>-129346</v>
      </c>
      <c r="H1136" s="396">
        <v>17245</v>
      </c>
      <c r="I1136" s="396">
        <v>1528165</v>
      </c>
      <c r="J1136" s="395">
        <v>243</v>
      </c>
      <c r="K1136" s="395">
        <v>178</v>
      </c>
      <c r="L1136" s="397">
        <v>0.73250000000000004</v>
      </c>
      <c r="M1136" s="395">
        <v>65</v>
      </c>
      <c r="N1136" s="395">
        <v>243</v>
      </c>
      <c r="O1136" s="396">
        <v>1058</v>
      </c>
      <c r="P1136" s="395">
        <v>0.53</v>
      </c>
      <c r="Q1136" s="396">
        <v>-1990</v>
      </c>
      <c r="R1136" s="396">
        <v>3220</v>
      </c>
      <c r="S1136" s="396">
        <v>-5929</v>
      </c>
      <c r="T1136" s="396">
        <v>223181</v>
      </c>
      <c r="U1136" s="396">
        <v>-186012</v>
      </c>
      <c r="V1136" s="395">
        <v>8479.42</v>
      </c>
      <c r="W1136" s="395">
        <v>6293.19</v>
      </c>
      <c r="X1136" s="395">
        <v>77490</v>
      </c>
      <c r="Y1136" s="395">
        <v>14466.32</v>
      </c>
      <c r="Z1136" s="396">
        <v>-11720099</v>
      </c>
      <c r="AA1136" s="396">
        <v>58984</v>
      </c>
      <c r="AB1136" s="396">
        <v>11393463</v>
      </c>
      <c r="AC1136" s="396">
        <v>10207916</v>
      </c>
    </row>
    <row r="1137" spans="1:29">
      <c r="A1137">
        <v>2520</v>
      </c>
      <c r="B1137" s="395" t="s">
        <v>7118</v>
      </c>
      <c r="C1137" s="395"/>
      <c r="D1137" s="396">
        <v>58271</v>
      </c>
      <c r="E1137" s="396">
        <v>246427</v>
      </c>
      <c r="F1137" s="395">
        <v>1.31</v>
      </c>
      <c r="G1137" s="396">
        <v>-188156</v>
      </c>
      <c r="H1137" s="396">
        <v>42109</v>
      </c>
      <c r="I1137" s="396">
        <v>4362393</v>
      </c>
      <c r="J1137" s="395">
        <v>272</v>
      </c>
      <c r="K1137" s="395">
        <v>157</v>
      </c>
      <c r="L1137" s="397">
        <v>0.57720000000000005</v>
      </c>
      <c r="M1137" s="395">
        <v>115</v>
      </c>
      <c r="N1137" s="395">
        <v>214</v>
      </c>
      <c r="O1137" s="396">
        <v>1570</v>
      </c>
      <c r="P1137" s="395">
        <v>0.96</v>
      </c>
      <c r="Q1137" s="396">
        <v>-1636</v>
      </c>
      <c r="R1137" s="396">
        <v>6257</v>
      </c>
      <c r="S1137" s="396">
        <v>-5310</v>
      </c>
      <c r="T1137" s="396">
        <v>296265</v>
      </c>
      <c r="U1137" s="396">
        <v>-311743</v>
      </c>
      <c r="V1137" s="395">
        <v>9602.69</v>
      </c>
      <c r="W1137" s="395">
        <v>3179.98</v>
      </c>
      <c r="X1137" s="395">
        <v>77490</v>
      </c>
      <c r="Y1137" s="395">
        <v>18371.099999999999</v>
      </c>
      <c r="Z1137" s="396">
        <v>7521015</v>
      </c>
      <c r="AA1137" s="396">
        <v>58271</v>
      </c>
      <c r="AB1137" s="396">
        <v>14247888</v>
      </c>
      <c r="AC1137" s="396">
        <v>10207916</v>
      </c>
    </row>
    <row r="1138" spans="1:29">
      <c r="A1138">
        <v>5328</v>
      </c>
      <c r="B1138" s="395" t="s">
        <v>7808</v>
      </c>
      <c r="C1138" s="395"/>
      <c r="D1138" s="396">
        <v>58241</v>
      </c>
      <c r="E1138" s="396">
        <v>108483</v>
      </c>
      <c r="F1138" s="395">
        <v>2.16</v>
      </c>
      <c r="G1138" s="396">
        <v>-50242</v>
      </c>
      <c r="H1138" s="396">
        <v>15109</v>
      </c>
      <c r="I1138" s="396">
        <v>589022</v>
      </c>
      <c r="J1138" s="395">
        <v>251</v>
      </c>
      <c r="K1138" s="395">
        <v>186</v>
      </c>
      <c r="L1138" s="397">
        <v>0.74099999999999999</v>
      </c>
      <c r="M1138" s="395">
        <v>65</v>
      </c>
      <c r="N1138" s="395">
        <v>232</v>
      </c>
      <c r="O1138" s="395">
        <v>583</v>
      </c>
      <c r="P1138" s="395">
        <v>0.75</v>
      </c>
      <c r="Q1138" s="395">
        <v>-773</v>
      </c>
      <c r="R1138" s="396">
        <v>2549</v>
      </c>
      <c r="S1138" s="396">
        <v>-2762</v>
      </c>
      <c r="T1138" s="396">
        <v>92752</v>
      </c>
      <c r="U1138" s="396">
        <v>-34822</v>
      </c>
      <c r="V1138" s="395">
        <v>2268.92</v>
      </c>
      <c r="W1138" s="395">
        <v>1620.16</v>
      </c>
      <c r="X1138" s="395">
        <v>77490</v>
      </c>
      <c r="Y1138" s="395">
        <v>4125.37</v>
      </c>
      <c r="Z1138" s="396">
        <v>-13974344</v>
      </c>
      <c r="AA1138" s="396">
        <v>58241</v>
      </c>
      <c r="AB1138" s="396">
        <v>-3592453</v>
      </c>
      <c r="AC1138" s="396">
        <v>10207916</v>
      </c>
    </row>
    <row r="1139" spans="1:29">
      <c r="A1139">
        <v>8917</v>
      </c>
      <c r="B1139" s="395" t="s">
        <v>8371</v>
      </c>
      <c r="C1139" s="395"/>
      <c r="D1139" s="396">
        <v>57733</v>
      </c>
      <c r="E1139" s="396">
        <v>67289</v>
      </c>
      <c r="F1139" s="395">
        <v>7.04</v>
      </c>
      <c r="G1139" s="396">
        <v>-9556</v>
      </c>
      <c r="H1139" s="396">
        <v>11767</v>
      </c>
      <c r="I1139" s="396">
        <v>749949</v>
      </c>
      <c r="J1139" s="395">
        <v>35</v>
      </c>
      <c r="K1139" s="395">
        <v>30</v>
      </c>
      <c r="L1139" s="397">
        <v>0.85709999999999997</v>
      </c>
      <c r="M1139" s="395">
        <v>5</v>
      </c>
      <c r="N1139" s="396">
        <v>1650</v>
      </c>
      <c r="O1139" s="396">
        <v>2243</v>
      </c>
      <c r="P1139" s="395">
        <v>1.17</v>
      </c>
      <c r="Q1139" s="396">
        <v>-1911</v>
      </c>
      <c r="R1139" s="396">
        <v>6287</v>
      </c>
      <c r="S1139" s="396">
        <v>-6041</v>
      </c>
      <c r="T1139" s="396">
        <v>85961</v>
      </c>
      <c r="U1139" s="396">
        <v>-35496</v>
      </c>
      <c r="V1139" s="395">
        <v>8220.89</v>
      </c>
      <c r="W1139" s="395">
        <v>6254.4</v>
      </c>
      <c r="X1139" s="395">
        <v>69390</v>
      </c>
      <c r="Y1139" s="395">
        <v>20019.8</v>
      </c>
      <c r="Z1139" s="396">
        <v>14034875</v>
      </c>
      <c r="AA1139" s="396">
        <v>57733</v>
      </c>
      <c r="AB1139" s="396">
        <v>23820529</v>
      </c>
      <c r="AC1139" s="396">
        <v>10207916</v>
      </c>
    </row>
    <row r="1140" spans="1:29">
      <c r="A1140">
        <v>6023</v>
      </c>
      <c r="B1140" s="395" t="s">
        <v>7905</v>
      </c>
      <c r="C1140" s="395"/>
      <c r="D1140" s="396">
        <v>57473</v>
      </c>
      <c r="E1140" s="396">
        <v>86191</v>
      </c>
      <c r="F1140" s="395">
        <v>3</v>
      </c>
      <c r="G1140" s="396">
        <v>-28718</v>
      </c>
      <c r="H1140" s="396">
        <v>40757</v>
      </c>
      <c r="I1140" s="396">
        <v>10152750</v>
      </c>
      <c r="J1140" s="395">
        <v>201</v>
      </c>
      <c r="K1140" s="395">
        <v>124</v>
      </c>
      <c r="L1140" s="397">
        <v>0.6169</v>
      </c>
      <c r="M1140" s="395">
        <v>77</v>
      </c>
      <c r="N1140" s="395">
        <v>286</v>
      </c>
      <c r="O1140" s="395">
        <v>695</v>
      </c>
      <c r="P1140" s="395">
        <v>1.86</v>
      </c>
      <c r="Q1140" s="395">
        <v>-373</v>
      </c>
      <c r="R1140" s="396">
        <v>3187</v>
      </c>
      <c r="S1140" s="396">
        <v>-1200</v>
      </c>
      <c r="T1140" s="396">
        <v>444775</v>
      </c>
      <c r="U1140" s="396">
        <v>-221888</v>
      </c>
      <c r="V1140" s="395">
        <v>39364.879999999997</v>
      </c>
      <c r="W1140" s="395">
        <v>42625.41</v>
      </c>
      <c r="X1140" s="395">
        <v>77490</v>
      </c>
      <c r="Y1140" s="395">
        <v>34114.14</v>
      </c>
      <c r="Z1140" s="396">
        <v>-678667</v>
      </c>
      <c r="AA1140" s="396">
        <v>57473</v>
      </c>
      <c r="AB1140" s="396">
        <v>-66794</v>
      </c>
      <c r="AC1140" s="396">
        <v>10207916</v>
      </c>
    </row>
    <row r="1141" spans="1:29">
      <c r="A1141">
        <v>1449</v>
      </c>
      <c r="B1141" s="395" t="s">
        <v>6759</v>
      </c>
      <c r="C1141" s="395"/>
      <c r="D1141" s="396">
        <v>57443</v>
      </c>
      <c r="E1141" s="396">
        <v>138216</v>
      </c>
      <c r="F1141" s="395">
        <v>1.71</v>
      </c>
      <c r="G1141" s="396">
        <v>-80773</v>
      </c>
      <c r="H1141" s="396">
        <v>16757</v>
      </c>
      <c r="I1141" s="396">
        <v>764750</v>
      </c>
      <c r="J1141" s="395">
        <v>235</v>
      </c>
      <c r="K1141" s="395">
        <v>174</v>
      </c>
      <c r="L1141" s="397">
        <v>0.74039999999999995</v>
      </c>
      <c r="M1141" s="395">
        <v>61</v>
      </c>
      <c r="N1141" s="395">
        <v>244</v>
      </c>
      <c r="O1141" s="395">
        <v>794</v>
      </c>
      <c r="P1141" s="395">
        <v>0.6</v>
      </c>
      <c r="Q1141" s="396">
        <v>-1324</v>
      </c>
      <c r="R1141" s="396">
        <v>2860</v>
      </c>
      <c r="S1141" s="396">
        <v>-6057</v>
      </c>
      <c r="T1141" s="396">
        <v>161636</v>
      </c>
      <c r="U1141" s="396">
        <v>-59558</v>
      </c>
      <c r="V1141" s="395">
        <v>3339.87</v>
      </c>
      <c r="W1141" s="395">
        <v>2351.21</v>
      </c>
      <c r="X1141" s="395">
        <v>77490</v>
      </c>
      <c r="Y1141" s="395">
        <v>6159.97</v>
      </c>
      <c r="Z1141" s="396">
        <v>-23055782</v>
      </c>
      <c r="AA1141" s="396">
        <v>57443</v>
      </c>
      <c r="AB1141" s="396">
        <v>-28594276</v>
      </c>
      <c r="AC1141" s="396">
        <v>10207916</v>
      </c>
    </row>
    <row r="1142" spans="1:29">
      <c r="A1142">
        <v>3710</v>
      </c>
      <c r="B1142" s="395" t="s">
        <v>7546</v>
      </c>
      <c r="C1142" s="395"/>
      <c r="D1142" s="396">
        <v>57217</v>
      </c>
      <c r="E1142" s="396">
        <v>107735</v>
      </c>
      <c r="F1142" s="395">
        <v>2.13</v>
      </c>
      <c r="G1142" s="396">
        <v>-50518</v>
      </c>
      <c r="H1142" s="396">
        <v>9593</v>
      </c>
      <c r="I1142" s="396">
        <v>924093</v>
      </c>
      <c r="J1142" s="395">
        <v>231</v>
      </c>
      <c r="K1142" s="395">
        <v>163</v>
      </c>
      <c r="L1142" s="397">
        <v>0.7056</v>
      </c>
      <c r="M1142" s="395">
        <v>68</v>
      </c>
      <c r="N1142" s="395">
        <v>248</v>
      </c>
      <c r="O1142" s="395">
        <v>661</v>
      </c>
      <c r="P1142" s="395">
        <v>0.89</v>
      </c>
      <c r="Q1142" s="395">
        <v>-743</v>
      </c>
      <c r="R1142" s="396">
        <v>1826</v>
      </c>
      <c r="S1142" s="396">
        <v>-3785</v>
      </c>
      <c r="T1142" s="396">
        <v>217305</v>
      </c>
      <c r="U1142" s="396">
        <v>-173832</v>
      </c>
      <c r="V1142" s="395">
        <v>8574.66</v>
      </c>
      <c r="W1142" s="395">
        <v>4039.71</v>
      </c>
      <c r="X1142" s="395">
        <v>77490</v>
      </c>
      <c r="Y1142" s="395">
        <v>19445.21</v>
      </c>
      <c r="Z1142" s="396">
        <v>-3511407</v>
      </c>
      <c r="AA1142" s="396">
        <v>57217</v>
      </c>
      <c r="AB1142" s="396">
        <v>29842932</v>
      </c>
      <c r="AC1142" s="396">
        <v>10207916</v>
      </c>
    </row>
    <row r="1143" spans="1:29">
      <c r="A1143">
        <v>2705</v>
      </c>
      <c r="B1143" s="395" t="s">
        <v>7166</v>
      </c>
      <c r="C1143" s="395"/>
      <c r="D1143" s="396">
        <v>57195</v>
      </c>
      <c r="E1143" s="396">
        <v>89933</v>
      </c>
      <c r="F1143" s="395">
        <v>2.75</v>
      </c>
      <c r="G1143" s="396">
        <v>-32738</v>
      </c>
      <c r="H1143" s="396">
        <v>15355</v>
      </c>
      <c r="I1143" s="396">
        <v>1277593</v>
      </c>
      <c r="J1143" s="395">
        <v>207</v>
      </c>
      <c r="K1143" s="395">
        <v>151</v>
      </c>
      <c r="L1143" s="397">
        <v>0.72950000000000004</v>
      </c>
      <c r="M1143" s="395">
        <v>56</v>
      </c>
      <c r="N1143" s="395">
        <v>276</v>
      </c>
      <c r="O1143" s="395">
        <v>596</v>
      </c>
      <c r="P1143" s="395">
        <v>1.02</v>
      </c>
      <c r="Q1143" s="395">
        <v>-585</v>
      </c>
      <c r="R1143" s="396">
        <v>2435</v>
      </c>
      <c r="S1143" s="396">
        <v>-3276</v>
      </c>
      <c r="T1143" s="396">
        <v>78932</v>
      </c>
      <c r="U1143" s="396">
        <v>-57944</v>
      </c>
      <c r="V1143" s="395">
        <v>6229.61</v>
      </c>
      <c r="W1143" s="395">
        <v>4001.29</v>
      </c>
      <c r="X1143" s="395">
        <v>77490</v>
      </c>
      <c r="Y1143" s="395">
        <v>12238.12</v>
      </c>
      <c r="Z1143" s="396">
        <v>-16671762</v>
      </c>
      <c r="AA1143" s="396">
        <v>57195</v>
      </c>
      <c r="AB1143" s="396">
        <v>-10844037</v>
      </c>
      <c r="AC1143" s="396">
        <v>10207916</v>
      </c>
    </row>
    <row r="1144" spans="1:29">
      <c r="A1144">
        <v>2836</v>
      </c>
      <c r="B1144" s="395" t="s">
        <v>7200</v>
      </c>
      <c r="C1144" s="395"/>
      <c r="D1144" s="396">
        <v>56991</v>
      </c>
      <c r="E1144" s="396">
        <v>68890</v>
      </c>
      <c r="F1144" s="395">
        <v>5.79</v>
      </c>
      <c r="G1144" s="396">
        <v>-11899</v>
      </c>
      <c r="H1144" s="396">
        <v>11442</v>
      </c>
      <c r="I1144" s="396">
        <v>534759</v>
      </c>
      <c r="J1144" s="395">
        <v>248</v>
      </c>
      <c r="K1144" s="395">
        <v>219</v>
      </c>
      <c r="L1144" s="397">
        <v>0.8831</v>
      </c>
      <c r="M1144" s="395">
        <v>29</v>
      </c>
      <c r="N1144" s="395">
        <v>230</v>
      </c>
      <c r="O1144" s="395">
        <v>315</v>
      </c>
      <c r="P1144" s="395">
        <v>0.77</v>
      </c>
      <c r="Q1144" s="395">
        <v>-410</v>
      </c>
      <c r="R1144" s="396">
        <v>1006</v>
      </c>
      <c r="S1144" s="395">
        <v>-706</v>
      </c>
      <c r="T1144" s="396">
        <v>68782</v>
      </c>
      <c r="U1144" s="396">
        <v>-17083</v>
      </c>
      <c r="V1144" s="395">
        <v>4936.4399999999996</v>
      </c>
      <c r="W1144" s="395">
        <v>4575.93</v>
      </c>
      <c r="X1144" s="395">
        <v>77490</v>
      </c>
      <c r="Y1144" s="395">
        <v>7658.93</v>
      </c>
      <c r="Z1144" s="396">
        <v>6274798</v>
      </c>
      <c r="AA1144" s="396">
        <v>56991</v>
      </c>
      <c r="AB1144" s="396">
        <v>22010611</v>
      </c>
      <c r="AC1144" s="396">
        <v>10207916</v>
      </c>
    </row>
    <row r="1145" spans="1:29">
      <c r="A1145">
        <v>2485</v>
      </c>
      <c r="B1145" s="395" t="s">
        <v>7098</v>
      </c>
      <c r="C1145" s="395"/>
      <c r="D1145" s="396">
        <v>56874</v>
      </c>
      <c r="E1145" s="396">
        <v>153458</v>
      </c>
      <c r="F1145" s="395">
        <v>1.59</v>
      </c>
      <c r="G1145" s="396">
        <v>-96584</v>
      </c>
      <c r="H1145" s="396">
        <v>20876</v>
      </c>
      <c r="I1145" s="396">
        <v>1191836</v>
      </c>
      <c r="J1145" s="395">
        <v>262</v>
      </c>
      <c r="K1145" s="395">
        <v>191</v>
      </c>
      <c r="L1145" s="397">
        <v>0.72899999999999998</v>
      </c>
      <c r="M1145" s="395">
        <v>71</v>
      </c>
      <c r="N1145" s="395">
        <v>217</v>
      </c>
      <c r="O1145" s="395">
        <v>803</v>
      </c>
      <c r="P1145" s="395">
        <v>0.59</v>
      </c>
      <c r="Q1145" s="396">
        <v>-1360</v>
      </c>
      <c r="R1145" s="396">
        <v>2559</v>
      </c>
      <c r="S1145" s="396">
        <v>-4080</v>
      </c>
      <c r="T1145" s="396">
        <v>152318</v>
      </c>
      <c r="U1145" s="396">
        <v>-100261</v>
      </c>
      <c r="V1145" s="395">
        <v>3919.59</v>
      </c>
      <c r="W1145" s="395">
        <v>2290.77</v>
      </c>
      <c r="X1145" s="395">
        <v>77490</v>
      </c>
      <c r="Y1145" s="395">
        <v>8301.35</v>
      </c>
      <c r="Z1145" s="396">
        <v>-10874888</v>
      </c>
      <c r="AA1145" s="396">
        <v>56874</v>
      </c>
      <c r="AB1145" s="396">
        <v>-4827068</v>
      </c>
      <c r="AC1145" s="396">
        <v>10207916</v>
      </c>
    </row>
    <row r="1146" spans="1:29">
      <c r="A1146">
        <v>4430</v>
      </c>
      <c r="B1146" s="395" t="s">
        <v>7617</v>
      </c>
      <c r="C1146" s="395"/>
      <c r="D1146" s="396">
        <v>56558</v>
      </c>
      <c r="E1146" s="396">
        <v>68985</v>
      </c>
      <c r="F1146" s="395">
        <v>5.55</v>
      </c>
      <c r="G1146" s="396">
        <v>-12427</v>
      </c>
      <c r="H1146" s="396">
        <v>11656</v>
      </c>
      <c r="I1146" s="396">
        <v>1105531</v>
      </c>
      <c r="J1146" s="395">
        <v>115</v>
      </c>
      <c r="K1146" s="395">
        <v>83</v>
      </c>
      <c r="L1146" s="397">
        <v>0.72170000000000001</v>
      </c>
      <c r="M1146" s="395">
        <v>32</v>
      </c>
      <c r="N1146" s="395">
        <v>492</v>
      </c>
      <c r="O1146" s="395">
        <v>831</v>
      </c>
      <c r="P1146" s="395">
        <v>2.14</v>
      </c>
      <c r="Q1146" s="395">
        <v>-388</v>
      </c>
      <c r="R1146" s="396">
        <v>1885</v>
      </c>
      <c r="S1146" s="396">
        <v>-1512</v>
      </c>
      <c r="T1146" s="396">
        <v>95117</v>
      </c>
      <c r="U1146" s="396">
        <v>-55857</v>
      </c>
      <c r="V1146" s="395">
        <v>9953.5</v>
      </c>
      <c r="W1146" s="395">
        <v>10718.24</v>
      </c>
      <c r="X1146" s="395">
        <v>76410</v>
      </c>
      <c r="Y1146" s="395">
        <v>7969.97</v>
      </c>
      <c r="Z1146" s="396">
        <v>1510934</v>
      </c>
      <c r="AA1146" s="396">
        <v>56558</v>
      </c>
      <c r="AB1146" s="396">
        <v>1187025</v>
      </c>
      <c r="AC1146" s="396">
        <v>10207916</v>
      </c>
    </row>
    <row r="1147" spans="1:29">
      <c r="A1147">
        <v>4429</v>
      </c>
      <c r="B1147" s="395" t="s">
        <v>7616</v>
      </c>
      <c r="C1147" s="395"/>
      <c r="D1147" s="396">
        <v>56260</v>
      </c>
      <c r="E1147" s="396">
        <v>62310</v>
      </c>
      <c r="F1147" s="395">
        <v>10.3</v>
      </c>
      <c r="G1147" s="396">
        <v>-6050</v>
      </c>
      <c r="H1147" s="396">
        <v>10240</v>
      </c>
      <c r="I1147" s="396">
        <v>574594</v>
      </c>
      <c r="J1147" s="395">
        <v>70</v>
      </c>
      <c r="K1147" s="395">
        <v>57</v>
      </c>
      <c r="L1147" s="397">
        <v>0.81430000000000002</v>
      </c>
      <c r="M1147" s="395">
        <v>13</v>
      </c>
      <c r="N1147" s="395">
        <v>804</v>
      </c>
      <c r="O1147" s="396">
        <v>1093</v>
      </c>
      <c r="P1147" s="395">
        <v>2.35</v>
      </c>
      <c r="Q1147" s="395">
        <v>-465</v>
      </c>
      <c r="R1147" s="396">
        <v>2756</v>
      </c>
      <c r="S1147" s="396">
        <v>-1994</v>
      </c>
      <c r="T1147" s="396">
        <v>62466</v>
      </c>
      <c r="U1147" s="396">
        <v>-8564</v>
      </c>
      <c r="V1147" s="395">
        <v>2484.3000000000002</v>
      </c>
      <c r="W1147" s="395">
        <v>1873.14</v>
      </c>
      <c r="X1147" s="395">
        <v>62100</v>
      </c>
      <c r="Y1147" s="395">
        <v>5164</v>
      </c>
      <c r="Z1147" s="396">
        <v>24647876</v>
      </c>
      <c r="AA1147" s="396">
        <v>56260</v>
      </c>
      <c r="AB1147" s="396">
        <v>22713249</v>
      </c>
      <c r="AC1147" s="396">
        <v>10207916</v>
      </c>
    </row>
    <row r="1148" spans="1:29">
      <c r="A1148">
        <v>3379</v>
      </c>
      <c r="B1148" s="395" t="s">
        <v>7410</v>
      </c>
      <c r="C1148" s="395"/>
      <c r="D1148" s="396">
        <v>55939</v>
      </c>
      <c r="E1148" s="396">
        <v>77210</v>
      </c>
      <c r="F1148" s="395">
        <v>3.63</v>
      </c>
      <c r="G1148" s="396">
        <v>-21271</v>
      </c>
      <c r="H1148" s="396">
        <v>12667</v>
      </c>
      <c r="I1148" s="396">
        <v>360613</v>
      </c>
      <c r="J1148" s="395">
        <v>243</v>
      </c>
      <c r="K1148" s="395">
        <v>187</v>
      </c>
      <c r="L1148" s="397">
        <v>0.76949999999999996</v>
      </c>
      <c r="M1148" s="395">
        <v>55</v>
      </c>
      <c r="N1148" s="395">
        <v>230</v>
      </c>
      <c r="O1148" s="395">
        <v>413</v>
      </c>
      <c r="P1148" s="395">
        <v>1.07</v>
      </c>
      <c r="Q1148" s="395">
        <v>-387</v>
      </c>
      <c r="R1148" s="396">
        <v>1494</v>
      </c>
      <c r="S1148" s="396">
        <v>-1401</v>
      </c>
      <c r="T1148" s="396">
        <v>85861</v>
      </c>
      <c r="U1148" s="396">
        <v>-21015</v>
      </c>
      <c r="V1148" s="395">
        <v>2582.06</v>
      </c>
      <c r="W1148" s="395">
        <v>1717.18</v>
      </c>
      <c r="X1148" s="395">
        <v>77490</v>
      </c>
      <c r="Y1148" s="395">
        <v>5569.22</v>
      </c>
      <c r="Z1148" s="396">
        <v>7092790</v>
      </c>
      <c r="AA1148" s="396">
        <v>55939</v>
      </c>
      <c r="AB1148" s="396">
        <v>-4049408</v>
      </c>
      <c r="AC1148" s="396">
        <v>10207916</v>
      </c>
    </row>
    <row r="1149" spans="1:29">
      <c r="A1149">
        <v>6169</v>
      </c>
      <c r="B1149" s="395" t="s">
        <v>7961</v>
      </c>
      <c r="C1149" s="395"/>
      <c r="D1149" s="396">
        <v>55689</v>
      </c>
      <c r="E1149" s="396">
        <v>124583</v>
      </c>
      <c r="F1149" s="395">
        <v>1.81</v>
      </c>
      <c r="G1149" s="396">
        <v>-68894</v>
      </c>
      <c r="H1149" s="396">
        <v>13311</v>
      </c>
      <c r="I1149" s="396">
        <v>616427</v>
      </c>
      <c r="J1149" s="395">
        <v>128</v>
      </c>
      <c r="K1149" s="395">
        <v>89</v>
      </c>
      <c r="L1149" s="397">
        <v>0.69530000000000003</v>
      </c>
      <c r="M1149" s="395">
        <v>39</v>
      </c>
      <c r="N1149" s="395">
        <v>435</v>
      </c>
      <c r="O1149" s="396">
        <v>1400</v>
      </c>
      <c r="P1149" s="395">
        <v>0.79</v>
      </c>
      <c r="Q1149" s="396">
        <v>-1767</v>
      </c>
      <c r="R1149" s="396">
        <v>4205</v>
      </c>
      <c r="S1149" s="396">
        <v>-8605</v>
      </c>
      <c r="T1149" s="396">
        <v>120878</v>
      </c>
      <c r="U1149" s="396">
        <v>-41639</v>
      </c>
      <c r="V1149" s="395">
        <v>3522.4</v>
      </c>
      <c r="W1149" s="395">
        <v>2437.19</v>
      </c>
      <c r="X1149" s="395">
        <v>77490</v>
      </c>
      <c r="Y1149" s="395">
        <v>5998.9</v>
      </c>
      <c r="Z1149" s="396">
        <v>-18623788</v>
      </c>
      <c r="AA1149" s="396">
        <v>55689</v>
      </c>
      <c r="AB1149" s="396">
        <v>-15578616</v>
      </c>
      <c r="AC1149" s="396">
        <v>10207916</v>
      </c>
    </row>
    <row r="1150" spans="1:29">
      <c r="A1150">
        <v>1817</v>
      </c>
      <c r="B1150" s="395" t="s">
        <v>6898</v>
      </c>
      <c r="C1150" s="395"/>
      <c r="D1150" s="396">
        <v>55688</v>
      </c>
      <c r="E1150" s="396">
        <v>119467</v>
      </c>
      <c r="F1150" s="395">
        <v>1.87</v>
      </c>
      <c r="G1150" s="396">
        <v>-63779</v>
      </c>
      <c r="H1150" s="396">
        <v>29798</v>
      </c>
      <c r="I1150" s="396">
        <v>3534921</v>
      </c>
      <c r="J1150" s="395">
        <v>204</v>
      </c>
      <c r="K1150" s="395">
        <v>121</v>
      </c>
      <c r="L1150" s="397">
        <v>0.59309999999999996</v>
      </c>
      <c r="M1150" s="395">
        <v>83</v>
      </c>
      <c r="N1150" s="395">
        <v>273</v>
      </c>
      <c r="O1150" s="395">
        <v>987</v>
      </c>
      <c r="P1150" s="395">
        <v>1.29</v>
      </c>
      <c r="Q1150" s="395">
        <v>-768</v>
      </c>
      <c r="R1150" s="396">
        <v>3658</v>
      </c>
      <c r="S1150" s="396">
        <v>-2004</v>
      </c>
      <c r="T1150" s="396">
        <v>188491</v>
      </c>
      <c r="U1150" s="396">
        <v>-126558</v>
      </c>
      <c r="V1150" s="395">
        <v>13557.15</v>
      </c>
      <c r="W1150" s="395">
        <v>7517.74</v>
      </c>
      <c r="X1150" s="395">
        <v>77490</v>
      </c>
      <c r="Y1150" s="395">
        <v>22361.59</v>
      </c>
      <c r="Z1150" s="396">
        <v>1355676</v>
      </c>
      <c r="AA1150" s="396">
        <v>55688</v>
      </c>
      <c r="AB1150" s="396">
        <v>4617689</v>
      </c>
      <c r="AC1150" s="396">
        <v>10207916</v>
      </c>
    </row>
    <row r="1151" spans="1:29">
      <c r="A1151">
        <v>3002</v>
      </c>
      <c r="B1151" s="395" t="s">
        <v>7245</v>
      </c>
      <c r="C1151" s="395"/>
      <c r="D1151" s="396">
        <v>55570</v>
      </c>
      <c r="E1151" s="396">
        <v>89583</v>
      </c>
      <c r="F1151" s="395">
        <v>2.63</v>
      </c>
      <c r="G1151" s="396">
        <v>-34012</v>
      </c>
      <c r="H1151" s="396">
        <v>11704</v>
      </c>
      <c r="I1151" s="396">
        <v>634206</v>
      </c>
      <c r="J1151" s="395">
        <v>241</v>
      </c>
      <c r="K1151" s="395">
        <v>182</v>
      </c>
      <c r="L1151" s="397">
        <v>0.75519999999999998</v>
      </c>
      <c r="M1151" s="395">
        <v>58</v>
      </c>
      <c r="N1151" s="395">
        <v>231</v>
      </c>
      <c r="O1151" s="395">
        <v>492</v>
      </c>
      <c r="P1151" s="395">
        <v>0.84</v>
      </c>
      <c r="Q1151" s="395">
        <v>-586</v>
      </c>
      <c r="R1151" s="396">
        <v>1303</v>
      </c>
      <c r="S1151" s="396">
        <v>-1952</v>
      </c>
      <c r="T1151" s="396">
        <v>89269</v>
      </c>
      <c r="U1151" s="396">
        <v>-44056</v>
      </c>
      <c r="V1151" s="395">
        <v>5846.22</v>
      </c>
      <c r="W1151" s="395">
        <v>4473.8</v>
      </c>
      <c r="X1151" s="395">
        <v>77490</v>
      </c>
      <c r="Y1151" s="395">
        <v>10030.09</v>
      </c>
      <c r="Z1151" s="396">
        <v>-7758532</v>
      </c>
      <c r="AA1151" s="396">
        <v>55570</v>
      </c>
      <c r="AB1151" s="396">
        <v>-8280066</v>
      </c>
      <c r="AC1151" s="396">
        <v>10207916</v>
      </c>
    </row>
    <row r="1152" spans="1:29">
      <c r="A1152">
        <v>8940</v>
      </c>
      <c r="B1152" s="395" t="s">
        <v>8387</v>
      </c>
      <c r="C1152" s="395"/>
      <c r="D1152" s="396">
        <v>55568</v>
      </c>
      <c r="E1152" s="396">
        <v>69500</v>
      </c>
      <c r="F1152" s="395">
        <v>4.99</v>
      </c>
      <c r="G1152" s="396">
        <v>-13932</v>
      </c>
      <c r="H1152" s="396">
        <v>8632</v>
      </c>
      <c r="I1152" s="396">
        <v>186696</v>
      </c>
      <c r="J1152" s="395">
        <v>164</v>
      </c>
      <c r="K1152" s="395">
        <v>127</v>
      </c>
      <c r="L1152" s="397">
        <v>0.77439999999999998</v>
      </c>
      <c r="M1152" s="395">
        <v>37</v>
      </c>
      <c r="N1152" s="395">
        <v>339</v>
      </c>
      <c r="O1152" s="395">
        <v>547</v>
      </c>
      <c r="P1152" s="395">
        <v>1.45</v>
      </c>
      <c r="Q1152" s="395">
        <v>-377</v>
      </c>
      <c r="R1152" s="396">
        <v>1697</v>
      </c>
      <c r="S1152" s="396">
        <v>-1164</v>
      </c>
      <c r="T1152" s="396">
        <v>63104</v>
      </c>
      <c r="U1152" s="396">
        <v>-14267</v>
      </c>
      <c r="V1152" s="395">
        <v>1957.35</v>
      </c>
      <c r="W1152" s="395">
        <v>1484.16</v>
      </c>
      <c r="X1152" s="395">
        <v>77490</v>
      </c>
      <c r="Y1152" s="395">
        <v>3581.57</v>
      </c>
      <c r="Z1152" s="396">
        <v>10008764</v>
      </c>
      <c r="AA1152" s="396">
        <v>55568</v>
      </c>
      <c r="AB1152" s="396">
        <v>8888889</v>
      </c>
      <c r="AC1152" s="396">
        <v>10207916</v>
      </c>
    </row>
    <row r="1153" spans="1:29">
      <c r="A1153">
        <v>6461</v>
      </c>
      <c r="B1153" s="395" t="s">
        <v>8087</v>
      </c>
      <c r="C1153" s="395"/>
      <c r="D1153" s="396">
        <v>55499</v>
      </c>
      <c r="E1153" s="396">
        <v>122267</v>
      </c>
      <c r="F1153" s="395">
        <v>1.83</v>
      </c>
      <c r="G1153" s="396">
        <v>-66768</v>
      </c>
      <c r="H1153" s="396">
        <v>19601</v>
      </c>
      <c r="I1153" s="396">
        <v>873182</v>
      </c>
      <c r="J1153" s="395">
        <v>235</v>
      </c>
      <c r="K1153" s="395">
        <v>167</v>
      </c>
      <c r="L1153" s="397">
        <v>0.71060000000000001</v>
      </c>
      <c r="M1153" s="395">
        <v>68</v>
      </c>
      <c r="N1153" s="395">
        <v>236</v>
      </c>
      <c r="O1153" s="395">
        <v>732</v>
      </c>
      <c r="P1153" s="395">
        <v>0.75</v>
      </c>
      <c r="Q1153" s="395">
        <v>-982</v>
      </c>
      <c r="R1153" s="396">
        <v>1866</v>
      </c>
      <c r="S1153" s="396">
        <v>-2980</v>
      </c>
      <c r="T1153" s="396">
        <v>123771</v>
      </c>
      <c r="U1153" s="396">
        <v>-69071</v>
      </c>
      <c r="V1153" s="395">
        <v>3869.73</v>
      </c>
      <c r="W1153" s="395">
        <v>2129.9</v>
      </c>
      <c r="X1153" s="395">
        <v>77490</v>
      </c>
      <c r="Y1153" s="395">
        <v>8142.53</v>
      </c>
      <c r="Z1153" s="396">
        <v>-3082775</v>
      </c>
      <c r="AA1153" s="396">
        <v>55499</v>
      </c>
      <c r="AB1153" s="396">
        <v>-5571770</v>
      </c>
      <c r="AC1153" s="396">
        <v>10207916</v>
      </c>
    </row>
    <row r="1154" spans="1:29">
      <c r="A1154">
        <v>6209</v>
      </c>
      <c r="B1154" s="395" t="s">
        <v>7996</v>
      </c>
      <c r="C1154" s="395"/>
      <c r="D1154" s="396">
        <v>54997</v>
      </c>
      <c r="E1154" s="396">
        <v>270609</v>
      </c>
      <c r="F1154" s="395">
        <v>1.26</v>
      </c>
      <c r="G1154" s="396">
        <v>-215612</v>
      </c>
      <c r="H1154" s="396">
        <v>35353</v>
      </c>
      <c r="I1154" s="396">
        <v>1511406</v>
      </c>
      <c r="J1154" s="395">
        <v>259</v>
      </c>
      <c r="K1154" s="395">
        <v>175</v>
      </c>
      <c r="L1154" s="397">
        <v>0.67569999999999997</v>
      </c>
      <c r="M1154" s="395">
        <v>84</v>
      </c>
      <c r="N1154" s="395">
        <v>212</v>
      </c>
      <c r="O1154" s="396">
        <v>1546</v>
      </c>
      <c r="P1154" s="395">
        <v>0.6</v>
      </c>
      <c r="Q1154" s="396">
        <v>-2567</v>
      </c>
      <c r="R1154" s="396">
        <v>7523</v>
      </c>
      <c r="S1154" s="396">
        <v>-9184</v>
      </c>
      <c r="T1154" s="396">
        <v>300253</v>
      </c>
      <c r="U1154" s="396">
        <v>-165981</v>
      </c>
      <c r="V1154" s="395">
        <v>3383.12</v>
      </c>
      <c r="W1154" s="395">
        <v>1876.08</v>
      </c>
      <c r="X1154" s="395">
        <v>77490</v>
      </c>
      <c r="Y1154" s="395">
        <v>6522.8</v>
      </c>
      <c r="Z1154" s="396">
        <v>-17200017</v>
      </c>
      <c r="AA1154" s="396">
        <v>54997</v>
      </c>
      <c r="AB1154" s="396">
        <v>-10042759</v>
      </c>
      <c r="AC1154" s="396">
        <v>10207916</v>
      </c>
    </row>
    <row r="1155" spans="1:29">
      <c r="A1155">
        <v>3321</v>
      </c>
      <c r="B1155" s="395" t="s">
        <v>7390</v>
      </c>
      <c r="C1155" s="395"/>
      <c r="D1155" s="396">
        <v>54963</v>
      </c>
      <c r="E1155" s="396">
        <v>80351</v>
      </c>
      <c r="F1155" s="395">
        <v>3.16</v>
      </c>
      <c r="G1155" s="396">
        <v>-25388</v>
      </c>
      <c r="H1155" s="396">
        <v>10787</v>
      </c>
      <c r="I1155" s="396">
        <v>358715</v>
      </c>
      <c r="J1155" s="395">
        <v>198</v>
      </c>
      <c r="K1155" s="395">
        <v>153</v>
      </c>
      <c r="L1155" s="397">
        <v>0.77270000000000005</v>
      </c>
      <c r="M1155" s="395">
        <v>45</v>
      </c>
      <c r="N1155" s="395">
        <v>278</v>
      </c>
      <c r="O1155" s="395">
        <v>525</v>
      </c>
      <c r="P1155" s="395">
        <v>0.93</v>
      </c>
      <c r="Q1155" s="395">
        <v>-564</v>
      </c>
      <c r="R1155" s="396">
        <v>1704</v>
      </c>
      <c r="S1155" s="396">
        <v>-2355</v>
      </c>
      <c r="T1155" s="396">
        <v>70765</v>
      </c>
      <c r="U1155" s="396">
        <v>-36830</v>
      </c>
      <c r="V1155" s="395">
        <v>2566.58</v>
      </c>
      <c r="W1155" s="395">
        <v>1451.04</v>
      </c>
      <c r="X1155" s="395">
        <v>77490</v>
      </c>
      <c r="Y1155" s="395">
        <v>6359.42</v>
      </c>
      <c r="Z1155" s="396">
        <v>-17304492</v>
      </c>
      <c r="AA1155" s="396">
        <v>54963</v>
      </c>
      <c r="AB1155" s="396">
        <v>-9720395</v>
      </c>
      <c r="AC1155" s="396">
        <v>10207916</v>
      </c>
    </row>
    <row r="1156" spans="1:29">
      <c r="A1156">
        <v>1781</v>
      </c>
      <c r="B1156" s="395" t="s">
        <v>6880</v>
      </c>
      <c r="C1156" s="395"/>
      <c r="D1156" s="396">
        <v>54848</v>
      </c>
      <c r="E1156" s="396">
        <v>176899</v>
      </c>
      <c r="F1156" s="395">
        <v>1.45</v>
      </c>
      <c r="G1156" s="396">
        <v>-122051</v>
      </c>
      <c r="H1156" s="396">
        <v>12952</v>
      </c>
      <c r="I1156" s="396">
        <v>1149882</v>
      </c>
      <c r="J1156" s="395">
        <v>163</v>
      </c>
      <c r="K1156" s="395">
        <v>105</v>
      </c>
      <c r="L1156" s="397">
        <v>0.64419999999999999</v>
      </c>
      <c r="M1156" s="395">
        <v>58</v>
      </c>
      <c r="N1156" s="395">
        <v>336</v>
      </c>
      <c r="O1156" s="396">
        <v>1685</v>
      </c>
      <c r="P1156" s="395">
        <v>0.8</v>
      </c>
      <c r="Q1156" s="396">
        <v>-2104</v>
      </c>
      <c r="R1156" s="396">
        <v>4636</v>
      </c>
      <c r="S1156" s="396">
        <v>-7889</v>
      </c>
      <c r="T1156" s="396">
        <v>308203</v>
      </c>
      <c r="U1156" s="396">
        <v>-279346</v>
      </c>
      <c r="V1156" s="395">
        <v>9287.0400000000009</v>
      </c>
      <c r="W1156" s="395">
        <v>5042.47</v>
      </c>
      <c r="X1156" s="395">
        <v>77490</v>
      </c>
      <c r="Y1156" s="395">
        <v>16971.189999999999</v>
      </c>
      <c r="Z1156" s="396">
        <v>-26279860</v>
      </c>
      <c r="AA1156" s="396">
        <v>54848</v>
      </c>
      <c r="AB1156" s="396">
        <v>-23721374</v>
      </c>
      <c r="AC1156" s="396">
        <v>10207916</v>
      </c>
    </row>
    <row r="1157" spans="1:29">
      <c r="A1157">
        <v>6790</v>
      </c>
      <c r="B1157" s="395" t="s">
        <v>8216</v>
      </c>
      <c r="C1157" s="395"/>
      <c r="D1157" s="396">
        <v>54734</v>
      </c>
      <c r="E1157" s="396">
        <v>90410</v>
      </c>
      <c r="F1157" s="395">
        <v>2.5299999999999998</v>
      </c>
      <c r="G1157" s="396">
        <v>-35676</v>
      </c>
      <c r="H1157" s="396">
        <v>18666</v>
      </c>
      <c r="I1157" s="396">
        <v>1777800</v>
      </c>
      <c r="J1157" s="395">
        <v>94</v>
      </c>
      <c r="K1157" s="395">
        <v>63</v>
      </c>
      <c r="L1157" s="397">
        <v>0.67020000000000002</v>
      </c>
      <c r="M1157" s="395">
        <v>31</v>
      </c>
      <c r="N1157" s="395">
        <v>582</v>
      </c>
      <c r="O1157" s="396">
        <v>1435</v>
      </c>
      <c r="P1157" s="395">
        <v>1.25</v>
      </c>
      <c r="Q1157" s="396">
        <v>-1151</v>
      </c>
      <c r="R1157" s="396">
        <v>2603</v>
      </c>
      <c r="S1157" s="396">
        <v>-4812</v>
      </c>
      <c r="T1157" s="396">
        <v>115683</v>
      </c>
      <c r="U1157" s="396">
        <v>-67217</v>
      </c>
      <c r="V1157" s="395">
        <v>5108.91</v>
      </c>
      <c r="W1157" s="395">
        <v>3383.92</v>
      </c>
      <c r="X1157" s="395">
        <v>29430</v>
      </c>
      <c r="Y1157" s="395">
        <v>8614.5499999999993</v>
      </c>
      <c r="Z1157" s="396">
        <v>-6416203</v>
      </c>
      <c r="AA1157" s="396">
        <v>54734</v>
      </c>
      <c r="AB1157" s="396">
        <v>-6526786</v>
      </c>
      <c r="AC1157" s="396">
        <v>10207916</v>
      </c>
    </row>
    <row r="1158" spans="1:29">
      <c r="A1158">
        <v>6113</v>
      </c>
      <c r="B1158" s="395" t="s">
        <v>7915</v>
      </c>
      <c r="C1158" s="395"/>
      <c r="D1158" s="396">
        <v>54730</v>
      </c>
      <c r="E1158" s="396">
        <v>86735</v>
      </c>
      <c r="F1158" s="395">
        <v>2.71</v>
      </c>
      <c r="G1158" s="396">
        <v>-32005</v>
      </c>
      <c r="H1158" s="396">
        <v>9370</v>
      </c>
      <c r="I1158" s="396">
        <v>323729</v>
      </c>
      <c r="J1158" s="395">
        <v>173</v>
      </c>
      <c r="K1158" s="395">
        <v>132</v>
      </c>
      <c r="L1158" s="397">
        <v>0.76300000000000001</v>
      </c>
      <c r="M1158" s="395">
        <v>41</v>
      </c>
      <c r="N1158" s="395">
        <v>316</v>
      </c>
      <c r="O1158" s="395">
        <v>657</v>
      </c>
      <c r="P1158" s="395">
        <v>0.84</v>
      </c>
      <c r="Q1158" s="395">
        <v>-781</v>
      </c>
      <c r="R1158" s="396">
        <v>2104</v>
      </c>
      <c r="S1158" s="396">
        <v>-3459</v>
      </c>
      <c r="T1158" s="396">
        <v>81648</v>
      </c>
      <c r="U1158" s="396">
        <v>-51400</v>
      </c>
      <c r="V1158" s="395">
        <v>3804.67</v>
      </c>
      <c r="W1158" s="395">
        <v>3125.22</v>
      </c>
      <c r="X1158" s="395">
        <v>77490</v>
      </c>
      <c r="Y1158" s="395">
        <v>5992.17</v>
      </c>
      <c r="Z1158" s="396">
        <v>-15333851</v>
      </c>
      <c r="AA1158" s="396">
        <v>54730</v>
      </c>
      <c r="AB1158" s="396">
        <v>-2913043</v>
      </c>
      <c r="AC1158" s="396">
        <v>10207916</v>
      </c>
    </row>
    <row r="1159" spans="1:29">
      <c r="A1159">
        <v>3047</v>
      </c>
      <c r="B1159" s="395" t="s">
        <v>7285</v>
      </c>
      <c r="C1159" s="395"/>
      <c r="D1159" s="396">
        <v>54671</v>
      </c>
      <c r="E1159" s="396">
        <v>89951</v>
      </c>
      <c r="F1159" s="395">
        <v>2.5499999999999998</v>
      </c>
      <c r="G1159" s="396">
        <v>-35280</v>
      </c>
      <c r="H1159" s="396">
        <v>12684</v>
      </c>
      <c r="I1159" s="396">
        <v>296681</v>
      </c>
      <c r="J1159" s="395">
        <v>261</v>
      </c>
      <c r="K1159" s="395">
        <v>221</v>
      </c>
      <c r="L1159" s="397">
        <v>0.84670000000000001</v>
      </c>
      <c r="M1159" s="395">
        <v>40</v>
      </c>
      <c r="N1159" s="395">
        <v>209</v>
      </c>
      <c r="O1159" s="395">
        <v>407</v>
      </c>
      <c r="P1159" s="395">
        <v>0.46</v>
      </c>
      <c r="Q1159" s="395">
        <v>-882</v>
      </c>
      <c r="R1159" s="396">
        <v>2558</v>
      </c>
      <c r="S1159" s="396">
        <v>-3104</v>
      </c>
      <c r="T1159" s="396">
        <v>79357</v>
      </c>
      <c r="U1159" s="396">
        <v>-26109</v>
      </c>
      <c r="V1159" s="395">
        <v>2004.53</v>
      </c>
      <c r="W1159" s="395">
        <v>1673.65</v>
      </c>
      <c r="X1159" s="395">
        <v>77490</v>
      </c>
      <c r="Y1159" s="395">
        <v>3832.65</v>
      </c>
      <c r="Z1159" s="396">
        <v>-6918741</v>
      </c>
      <c r="AA1159" s="396">
        <v>54671</v>
      </c>
      <c r="AB1159" s="396">
        <v>-3809338</v>
      </c>
      <c r="AC1159" s="396">
        <v>10207916</v>
      </c>
    </row>
    <row r="1160" spans="1:29">
      <c r="A1160">
        <v>4432</v>
      </c>
      <c r="B1160" s="395" t="s">
        <v>7618</v>
      </c>
      <c r="C1160" s="395"/>
      <c r="D1160" s="396">
        <v>54617</v>
      </c>
      <c r="E1160" s="396">
        <v>89518</v>
      </c>
      <c r="F1160" s="395">
        <v>2.56</v>
      </c>
      <c r="G1160" s="396">
        <v>-34901</v>
      </c>
      <c r="H1160" s="396">
        <v>11933</v>
      </c>
      <c r="I1160" s="396">
        <v>855773</v>
      </c>
      <c r="J1160" s="395">
        <v>188</v>
      </c>
      <c r="K1160" s="395">
        <v>138</v>
      </c>
      <c r="L1160" s="397">
        <v>0.73399999999999999</v>
      </c>
      <c r="M1160" s="395">
        <v>50</v>
      </c>
      <c r="N1160" s="395">
        <v>291</v>
      </c>
      <c r="O1160" s="395">
        <v>649</v>
      </c>
      <c r="P1160" s="395">
        <v>0.93</v>
      </c>
      <c r="Q1160" s="395">
        <v>-698</v>
      </c>
      <c r="R1160" s="396">
        <v>2292</v>
      </c>
      <c r="S1160" s="396">
        <v>-3220</v>
      </c>
      <c r="T1160" s="396">
        <v>136730</v>
      </c>
      <c r="U1160" s="396">
        <v>-96168</v>
      </c>
      <c r="V1160" s="395">
        <v>6126.49</v>
      </c>
      <c r="W1160" s="395">
        <v>4266.43</v>
      </c>
      <c r="X1160" s="395">
        <v>77490</v>
      </c>
      <c r="Y1160" s="395">
        <v>11260.26</v>
      </c>
      <c r="Z1160" s="396">
        <v>-3752491</v>
      </c>
      <c r="AA1160" s="396">
        <v>54617</v>
      </c>
      <c r="AB1160" s="396">
        <v>-3943750</v>
      </c>
      <c r="AC1160" s="396">
        <v>10207916</v>
      </c>
    </row>
    <row r="1161" spans="1:29">
      <c r="A1161">
        <v>1217</v>
      </c>
      <c r="B1161" s="395" t="s">
        <v>6689</v>
      </c>
      <c r="C1161" s="395"/>
      <c r="D1161" s="396">
        <v>54469</v>
      </c>
      <c r="E1161" s="396">
        <v>73524</v>
      </c>
      <c r="F1161" s="395">
        <v>3.86</v>
      </c>
      <c r="G1161" s="396">
        <v>-19055</v>
      </c>
      <c r="H1161" s="396">
        <v>11231</v>
      </c>
      <c r="I1161" s="396">
        <v>1248849</v>
      </c>
      <c r="J1161" s="395">
        <v>262</v>
      </c>
      <c r="K1161" s="395">
        <v>206</v>
      </c>
      <c r="L1161" s="397">
        <v>0.7863</v>
      </c>
      <c r="M1161" s="395">
        <v>56</v>
      </c>
      <c r="N1161" s="395">
        <v>208</v>
      </c>
      <c r="O1161" s="395">
        <v>357</v>
      </c>
      <c r="P1161" s="395">
        <v>1.05</v>
      </c>
      <c r="Q1161" s="395">
        <v>-340</v>
      </c>
      <c r="R1161" s="396">
        <v>1147</v>
      </c>
      <c r="S1161" s="396">
        <v>-1228</v>
      </c>
      <c r="T1161" s="396">
        <v>83091</v>
      </c>
      <c r="U1161" s="396">
        <v>-52673</v>
      </c>
      <c r="V1161" s="395">
        <v>8906.6200000000008</v>
      </c>
      <c r="W1161" s="395">
        <v>6687.76</v>
      </c>
      <c r="X1161" s="395">
        <v>77490</v>
      </c>
      <c r="Y1161" s="395">
        <v>17068.84</v>
      </c>
      <c r="Z1161" s="396">
        <v>-3421062</v>
      </c>
      <c r="AA1161" s="396">
        <v>54469</v>
      </c>
      <c r="AB1161" s="396">
        <v>3273632</v>
      </c>
      <c r="AC1161" s="396">
        <v>10207916</v>
      </c>
    </row>
    <row r="1162" spans="1:29">
      <c r="A1162">
        <v>3284</v>
      </c>
      <c r="B1162" s="395" t="s">
        <v>7371</v>
      </c>
      <c r="C1162" s="395"/>
      <c r="D1162" s="396">
        <v>54461</v>
      </c>
      <c r="E1162" s="396">
        <v>62061</v>
      </c>
      <c r="F1162" s="395">
        <v>8.17</v>
      </c>
      <c r="G1162" s="396">
        <v>-7600</v>
      </c>
      <c r="H1162" s="396">
        <v>7539</v>
      </c>
      <c r="I1162" s="396">
        <v>453353</v>
      </c>
      <c r="J1162" s="395">
        <v>143</v>
      </c>
      <c r="K1162" s="395">
        <v>117</v>
      </c>
      <c r="L1162" s="397">
        <v>0.81820000000000004</v>
      </c>
      <c r="M1162" s="395">
        <v>26</v>
      </c>
      <c r="N1162" s="395">
        <v>381</v>
      </c>
      <c r="O1162" s="395">
        <v>530</v>
      </c>
      <c r="P1162" s="395">
        <v>1.82</v>
      </c>
      <c r="Q1162" s="395">
        <v>-292</v>
      </c>
      <c r="R1162" s="396">
        <v>1649</v>
      </c>
      <c r="S1162" s="396">
        <v>-1006</v>
      </c>
      <c r="T1162" s="396">
        <v>79627</v>
      </c>
      <c r="U1162" s="396">
        <v>-24898</v>
      </c>
      <c r="V1162" s="395">
        <v>7009.78</v>
      </c>
      <c r="W1162" s="395">
        <v>6246.5</v>
      </c>
      <c r="X1162" s="395">
        <v>76950</v>
      </c>
      <c r="Y1162" s="395">
        <v>10444.540000000001</v>
      </c>
      <c r="Z1162" s="396">
        <v>-2506787</v>
      </c>
      <c r="AA1162" s="396">
        <v>54461</v>
      </c>
      <c r="AB1162" s="396">
        <v>-3296552</v>
      </c>
      <c r="AC1162" s="396">
        <v>10207916</v>
      </c>
    </row>
    <row r="1163" spans="1:29">
      <c r="A1163">
        <v>8047</v>
      </c>
      <c r="B1163" s="395" t="s">
        <v>8241</v>
      </c>
      <c r="C1163" s="395"/>
      <c r="D1163" s="396">
        <v>54325</v>
      </c>
      <c r="E1163" s="396">
        <v>56646</v>
      </c>
      <c r="F1163" s="395">
        <v>24.41</v>
      </c>
      <c r="G1163" s="396">
        <v>-2321</v>
      </c>
      <c r="H1163" s="396">
        <v>9075</v>
      </c>
      <c r="I1163" s="396">
        <v>181882</v>
      </c>
      <c r="J1163" s="395">
        <v>182</v>
      </c>
      <c r="K1163" s="395">
        <v>168</v>
      </c>
      <c r="L1163" s="397">
        <v>0.92310000000000003</v>
      </c>
      <c r="M1163" s="395">
        <v>14</v>
      </c>
      <c r="N1163" s="395">
        <v>298</v>
      </c>
      <c r="O1163" s="395">
        <v>337</v>
      </c>
      <c r="P1163" s="395">
        <v>2.0299999999999998</v>
      </c>
      <c r="Q1163" s="395">
        <v>-166</v>
      </c>
      <c r="R1163" s="395">
        <v>906</v>
      </c>
      <c r="S1163" s="395">
        <v>-306</v>
      </c>
      <c r="T1163" s="396">
        <v>54627</v>
      </c>
      <c r="U1163" s="396">
        <v>-7236</v>
      </c>
      <c r="V1163" s="395">
        <v>1436.63</v>
      </c>
      <c r="W1163" s="395">
        <v>1296.7</v>
      </c>
      <c r="X1163" s="395">
        <v>77220</v>
      </c>
      <c r="Y1163" s="395">
        <v>3115.86</v>
      </c>
      <c r="Z1163" s="396">
        <v>65724769</v>
      </c>
      <c r="AA1163" s="396">
        <v>54325</v>
      </c>
      <c r="AB1163" s="396">
        <v>11167101</v>
      </c>
      <c r="AC1163" s="396">
        <v>10207916</v>
      </c>
    </row>
    <row r="1164" spans="1:29">
      <c r="A1164">
        <v>2332</v>
      </c>
      <c r="B1164" s="395" t="s">
        <v>6990</v>
      </c>
      <c r="C1164" s="395"/>
      <c r="D1164" s="396">
        <v>54321</v>
      </c>
      <c r="E1164" s="396">
        <v>173813</v>
      </c>
      <c r="F1164" s="395">
        <v>1.45</v>
      </c>
      <c r="G1164" s="396">
        <v>-119492</v>
      </c>
      <c r="H1164" s="396">
        <v>20869</v>
      </c>
      <c r="I1164" s="396">
        <v>1417736</v>
      </c>
      <c r="J1164" s="395">
        <v>255</v>
      </c>
      <c r="K1164" s="395">
        <v>173</v>
      </c>
      <c r="L1164" s="397">
        <v>0.6784</v>
      </c>
      <c r="M1164" s="395">
        <v>82</v>
      </c>
      <c r="N1164" s="395">
        <v>213</v>
      </c>
      <c r="O1164" s="396">
        <v>1005</v>
      </c>
      <c r="P1164" s="395">
        <v>0.69</v>
      </c>
      <c r="Q1164" s="396">
        <v>-1457</v>
      </c>
      <c r="R1164" s="396">
        <v>3375</v>
      </c>
      <c r="S1164" s="396">
        <v>-5643</v>
      </c>
      <c r="T1164" s="396">
        <v>177556</v>
      </c>
      <c r="U1164" s="396">
        <v>-107857</v>
      </c>
      <c r="V1164" s="395">
        <v>6116.57</v>
      </c>
      <c r="W1164" s="395">
        <v>4577.84</v>
      </c>
      <c r="X1164" s="395">
        <v>75600</v>
      </c>
      <c r="Y1164" s="395">
        <v>9362.91</v>
      </c>
      <c r="Z1164" s="396">
        <v>-24191118</v>
      </c>
      <c r="AA1164" s="396">
        <v>54321</v>
      </c>
      <c r="AB1164" s="396">
        <v>-22989210</v>
      </c>
      <c r="AC1164" s="396">
        <v>10207916</v>
      </c>
    </row>
    <row r="1165" spans="1:29">
      <c r="A1165">
        <v>2852</v>
      </c>
      <c r="B1165" s="395" t="s">
        <v>7207</v>
      </c>
      <c r="C1165" s="395"/>
      <c r="D1165" s="396">
        <v>53648</v>
      </c>
      <c r="E1165" s="396">
        <v>67833</v>
      </c>
      <c r="F1165" s="395">
        <v>4.78</v>
      </c>
      <c r="G1165" s="396">
        <v>-14185</v>
      </c>
      <c r="H1165" s="396">
        <v>13273</v>
      </c>
      <c r="I1165" s="396">
        <v>905875</v>
      </c>
      <c r="J1165" s="395">
        <v>240</v>
      </c>
      <c r="K1165" s="395">
        <v>207</v>
      </c>
      <c r="L1165" s="397">
        <v>0.86250000000000004</v>
      </c>
      <c r="M1165" s="395">
        <v>33</v>
      </c>
      <c r="N1165" s="395">
        <v>224</v>
      </c>
      <c r="O1165" s="395">
        <v>328</v>
      </c>
      <c r="P1165" s="395">
        <v>0.76</v>
      </c>
      <c r="Q1165" s="395">
        <v>-430</v>
      </c>
      <c r="R1165" s="395">
        <v>748</v>
      </c>
      <c r="S1165" s="396">
        <v>-1010</v>
      </c>
      <c r="T1165" s="396">
        <v>72413</v>
      </c>
      <c r="U1165" s="396">
        <v>-24726</v>
      </c>
      <c r="V1165" s="395">
        <v>6382.6</v>
      </c>
      <c r="W1165" s="395">
        <v>6332.14</v>
      </c>
      <c r="X1165" s="395">
        <v>77490</v>
      </c>
      <c r="Y1165" s="395">
        <v>6699.18</v>
      </c>
      <c r="Z1165" s="396">
        <v>988632</v>
      </c>
      <c r="AA1165" s="396">
        <v>53648</v>
      </c>
      <c r="AB1165" s="396">
        <v>6519755</v>
      </c>
      <c r="AC1165" s="396">
        <v>10207916</v>
      </c>
    </row>
    <row r="1166" spans="1:29">
      <c r="A1166">
        <v>5465</v>
      </c>
      <c r="B1166" s="395" t="s">
        <v>7841</v>
      </c>
      <c r="C1166" s="395"/>
      <c r="D1166" s="396">
        <v>53607</v>
      </c>
      <c r="E1166" s="396">
        <v>88058</v>
      </c>
      <c r="F1166" s="395">
        <v>2.56</v>
      </c>
      <c r="G1166" s="396">
        <v>-34451</v>
      </c>
      <c r="H1166" s="396">
        <v>13505</v>
      </c>
      <c r="I1166" s="396">
        <v>680859</v>
      </c>
      <c r="J1166" s="395">
        <v>196</v>
      </c>
      <c r="K1166" s="395">
        <v>138</v>
      </c>
      <c r="L1166" s="397">
        <v>0.70409999999999995</v>
      </c>
      <c r="M1166" s="395">
        <v>58</v>
      </c>
      <c r="N1166" s="395">
        <v>274</v>
      </c>
      <c r="O1166" s="395">
        <v>638</v>
      </c>
      <c r="P1166" s="395">
        <v>1.07</v>
      </c>
      <c r="Q1166" s="395">
        <v>-594</v>
      </c>
      <c r="R1166" s="396">
        <v>2182</v>
      </c>
      <c r="S1166" s="396">
        <v>-3629</v>
      </c>
      <c r="T1166" s="396">
        <v>80675</v>
      </c>
      <c r="U1166" s="396">
        <v>-63782</v>
      </c>
      <c r="V1166" s="395">
        <v>5577.39</v>
      </c>
      <c r="W1166" s="395">
        <v>3828.57</v>
      </c>
      <c r="X1166" s="395">
        <v>75600</v>
      </c>
      <c r="Y1166" s="395">
        <v>9738.36</v>
      </c>
      <c r="Z1166" s="396">
        <v>-15531731</v>
      </c>
      <c r="AA1166" s="396">
        <v>53607</v>
      </c>
      <c r="AB1166" s="396">
        <v>-8408863</v>
      </c>
      <c r="AC1166" s="396">
        <v>10207916</v>
      </c>
    </row>
    <row r="1167" spans="1:29">
      <c r="A1167">
        <v>4934</v>
      </c>
      <c r="B1167" s="395" t="s">
        <v>7719</v>
      </c>
      <c r="C1167" s="395"/>
      <c r="D1167" s="396">
        <v>53439</v>
      </c>
      <c r="E1167" s="396">
        <v>182978</v>
      </c>
      <c r="F1167" s="395">
        <v>1.41</v>
      </c>
      <c r="G1167" s="396">
        <v>-129539</v>
      </c>
      <c r="H1167" s="396">
        <v>26211</v>
      </c>
      <c r="I1167" s="396">
        <v>844410</v>
      </c>
      <c r="J1167" s="395">
        <v>211</v>
      </c>
      <c r="K1167" s="395">
        <v>150</v>
      </c>
      <c r="L1167" s="397">
        <v>0.71089999999999998</v>
      </c>
      <c r="M1167" s="395">
        <v>61</v>
      </c>
      <c r="N1167" s="395">
        <v>253</v>
      </c>
      <c r="O1167" s="396">
        <v>1220</v>
      </c>
      <c r="P1167" s="395">
        <v>0.56999999999999995</v>
      </c>
      <c r="Q1167" s="396">
        <v>-2124</v>
      </c>
      <c r="R1167" s="396">
        <v>4307</v>
      </c>
      <c r="S1167" s="396">
        <v>-8746</v>
      </c>
      <c r="T1167" s="396">
        <v>166321</v>
      </c>
      <c r="U1167" s="396">
        <v>-92913</v>
      </c>
      <c r="V1167" s="395">
        <v>2127.09</v>
      </c>
      <c r="W1167" s="395">
        <v>1085.5</v>
      </c>
      <c r="X1167" s="395">
        <v>77490</v>
      </c>
      <c r="Y1167" s="395">
        <v>4688.3900000000003</v>
      </c>
      <c r="Z1167" s="396">
        <v>-11327930</v>
      </c>
      <c r="AA1167" s="396">
        <v>53439</v>
      </c>
      <c r="AB1167" s="396">
        <v>3818792</v>
      </c>
      <c r="AC1167" s="396">
        <v>10207916</v>
      </c>
    </row>
    <row r="1168" spans="1:29">
      <c r="A1168">
        <v>2888</v>
      </c>
      <c r="B1168" s="395" t="s">
        <v>7218</v>
      </c>
      <c r="C1168" s="395"/>
      <c r="D1168" s="396">
        <v>53431</v>
      </c>
      <c r="E1168" s="396">
        <v>69436</v>
      </c>
      <c r="F1168" s="395">
        <v>4.34</v>
      </c>
      <c r="G1168" s="396">
        <v>-16006</v>
      </c>
      <c r="H1168" s="396">
        <v>11263</v>
      </c>
      <c r="I1168" s="396">
        <v>386421</v>
      </c>
      <c r="J1168" s="395">
        <v>286</v>
      </c>
      <c r="K1168" s="395">
        <v>247</v>
      </c>
      <c r="L1168" s="397">
        <v>0.86360000000000003</v>
      </c>
      <c r="M1168" s="395">
        <v>39</v>
      </c>
      <c r="N1168" s="395">
        <v>187</v>
      </c>
      <c r="O1168" s="395">
        <v>281</v>
      </c>
      <c r="P1168" s="395">
        <v>0.69</v>
      </c>
      <c r="Q1168" s="395">
        <v>-410</v>
      </c>
      <c r="R1168" s="395">
        <v>754</v>
      </c>
      <c r="S1168" s="396">
        <v>-1794</v>
      </c>
      <c r="T1168" s="396">
        <v>72824</v>
      </c>
      <c r="U1168" s="396">
        <v>-12313</v>
      </c>
      <c r="V1168" s="395">
        <v>3278.05</v>
      </c>
      <c r="W1168" s="395">
        <v>2848.68</v>
      </c>
      <c r="X1168" s="395">
        <v>77490</v>
      </c>
      <c r="Y1168" s="395">
        <v>5997.38</v>
      </c>
      <c r="Z1168" s="396">
        <v>-8233684</v>
      </c>
      <c r="AA1168" s="396">
        <v>53431</v>
      </c>
      <c r="AB1168" s="396">
        <v>9341535</v>
      </c>
      <c r="AC1168" s="396">
        <v>10207916</v>
      </c>
    </row>
    <row r="1169" spans="1:29">
      <c r="A1169">
        <v>6117</v>
      </c>
      <c r="B1169" s="395" t="s">
        <v>7919</v>
      </c>
      <c r="C1169" s="395"/>
      <c r="D1169" s="396">
        <v>52933</v>
      </c>
      <c r="E1169" s="396">
        <v>83578</v>
      </c>
      <c r="F1169" s="395">
        <v>2.73</v>
      </c>
      <c r="G1169" s="396">
        <v>-30645</v>
      </c>
      <c r="H1169" s="396">
        <v>10617</v>
      </c>
      <c r="I1169" s="396">
        <v>336787</v>
      </c>
      <c r="J1169" s="395">
        <v>159</v>
      </c>
      <c r="K1169" s="395">
        <v>116</v>
      </c>
      <c r="L1169" s="397">
        <v>0.72960000000000003</v>
      </c>
      <c r="M1169" s="395">
        <v>43</v>
      </c>
      <c r="N1169" s="395">
        <v>333</v>
      </c>
      <c r="O1169" s="395">
        <v>720</v>
      </c>
      <c r="P1169" s="395">
        <v>1.01</v>
      </c>
      <c r="Q1169" s="395">
        <v>-713</v>
      </c>
      <c r="R1169" s="396">
        <v>1934</v>
      </c>
      <c r="S1169" s="396">
        <v>-2926</v>
      </c>
      <c r="T1169" s="396">
        <v>89485</v>
      </c>
      <c r="U1169" s="396">
        <v>-27926</v>
      </c>
      <c r="V1169" s="395">
        <v>3893.62</v>
      </c>
      <c r="W1169" s="395">
        <v>3083.15</v>
      </c>
      <c r="X1169" s="395">
        <v>77490</v>
      </c>
      <c r="Y1169" s="395">
        <v>6080</v>
      </c>
      <c r="Z1169" s="396">
        <v>-11783156</v>
      </c>
      <c r="AA1169" s="396">
        <v>52933</v>
      </c>
      <c r="AB1169" s="396">
        <v>-6035088</v>
      </c>
      <c r="AC1169" s="396">
        <v>10207916</v>
      </c>
    </row>
    <row r="1170" spans="1:29">
      <c r="A1170">
        <v>5398</v>
      </c>
      <c r="B1170" s="395" t="s">
        <v>7825</v>
      </c>
      <c r="C1170" s="395"/>
      <c r="D1170" s="396">
        <v>52921</v>
      </c>
      <c r="E1170" s="396">
        <v>69219</v>
      </c>
      <c r="F1170" s="395">
        <v>4.25</v>
      </c>
      <c r="G1170" s="396">
        <v>-16298</v>
      </c>
      <c r="H1170" s="396">
        <v>12246</v>
      </c>
      <c r="I1170" s="396">
        <v>820782</v>
      </c>
      <c r="J1170" s="395">
        <v>154</v>
      </c>
      <c r="K1170" s="395">
        <v>107</v>
      </c>
      <c r="L1170" s="397">
        <v>0.69479999999999997</v>
      </c>
      <c r="M1170" s="395">
        <v>47</v>
      </c>
      <c r="N1170" s="395">
        <v>344</v>
      </c>
      <c r="O1170" s="395">
        <v>647</v>
      </c>
      <c r="P1170" s="395">
        <v>1.86</v>
      </c>
      <c r="Q1170" s="395">
        <v>-347</v>
      </c>
      <c r="R1170" s="396">
        <v>1925</v>
      </c>
      <c r="S1170" s="396">
        <v>-1180</v>
      </c>
      <c r="T1170" s="396">
        <v>102189</v>
      </c>
      <c r="U1170" s="396">
        <v>-56532</v>
      </c>
      <c r="V1170" s="395">
        <v>5782.2</v>
      </c>
      <c r="W1170" s="395">
        <v>4096.1899999999996</v>
      </c>
      <c r="X1170" s="395">
        <v>76680</v>
      </c>
      <c r="Y1170" s="395">
        <v>9620.57</v>
      </c>
      <c r="Z1170" s="396">
        <v>7945563</v>
      </c>
      <c r="AA1170" s="396">
        <v>52921</v>
      </c>
      <c r="AB1170" s="396">
        <v>1222023</v>
      </c>
      <c r="AC1170" s="396">
        <v>10207916</v>
      </c>
    </row>
    <row r="1171" spans="1:29">
      <c r="A1171">
        <v>1314</v>
      </c>
      <c r="B1171" s="395" t="s">
        <v>6718</v>
      </c>
      <c r="C1171" s="395"/>
      <c r="D1171" s="396">
        <v>52792</v>
      </c>
      <c r="E1171" s="396">
        <v>82779</v>
      </c>
      <c r="F1171" s="395">
        <v>2.76</v>
      </c>
      <c r="G1171" s="396">
        <v>-29987</v>
      </c>
      <c r="H1171" s="396">
        <v>13278</v>
      </c>
      <c r="I1171" s="396">
        <v>674563</v>
      </c>
      <c r="J1171" s="395">
        <v>262</v>
      </c>
      <c r="K1171" s="395">
        <v>193</v>
      </c>
      <c r="L1171" s="397">
        <v>0.73660000000000003</v>
      </c>
      <c r="M1171" s="395">
        <v>69</v>
      </c>
      <c r="N1171" s="395">
        <v>201</v>
      </c>
      <c r="O1171" s="395">
        <v>429</v>
      </c>
      <c r="P1171" s="395">
        <v>0.99</v>
      </c>
      <c r="Q1171" s="395">
        <v>-435</v>
      </c>
      <c r="R1171" s="396">
        <v>1199</v>
      </c>
      <c r="S1171" s="396">
        <v>-1454</v>
      </c>
      <c r="T1171" s="396">
        <v>84353</v>
      </c>
      <c r="U1171" s="396">
        <v>-51165</v>
      </c>
      <c r="V1171" s="395">
        <v>3435.87</v>
      </c>
      <c r="W1171" s="395">
        <v>2385.4</v>
      </c>
      <c r="X1171" s="395">
        <v>77490</v>
      </c>
      <c r="Y1171" s="395">
        <v>6374.13</v>
      </c>
      <c r="Z1171" s="396">
        <v>-6733728</v>
      </c>
      <c r="AA1171" s="396">
        <v>52792</v>
      </c>
      <c r="AB1171" s="396">
        <v>1081197</v>
      </c>
      <c r="AC1171" s="396">
        <v>10207916</v>
      </c>
    </row>
    <row r="1172" spans="1:29">
      <c r="A1172">
        <v>6578</v>
      </c>
      <c r="B1172" s="395" t="s">
        <v>8139</v>
      </c>
      <c r="C1172" s="395"/>
      <c r="D1172" s="396">
        <v>52460</v>
      </c>
      <c r="E1172" s="396">
        <v>118954</v>
      </c>
      <c r="F1172" s="395">
        <v>1.79</v>
      </c>
      <c r="G1172" s="396">
        <v>-66494</v>
      </c>
      <c r="H1172" s="396">
        <v>14768</v>
      </c>
      <c r="I1172" s="396">
        <v>936991</v>
      </c>
      <c r="J1172" s="395">
        <v>189</v>
      </c>
      <c r="K1172" s="395">
        <v>129</v>
      </c>
      <c r="L1172" s="397">
        <v>0.6825</v>
      </c>
      <c r="M1172" s="395">
        <v>60</v>
      </c>
      <c r="N1172" s="395">
        <v>278</v>
      </c>
      <c r="O1172" s="395">
        <v>922</v>
      </c>
      <c r="P1172" s="395">
        <v>0.83</v>
      </c>
      <c r="Q1172" s="396">
        <v>-1108</v>
      </c>
      <c r="R1172" s="396">
        <v>2403</v>
      </c>
      <c r="S1172" s="396">
        <v>-2621</v>
      </c>
      <c r="T1172" s="396">
        <v>124388</v>
      </c>
      <c r="U1172" s="396">
        <v>-63104</v>
      </c>
      <c r="V1172" s="395">
        <v>7000.2</v>
      </c>
      <c r="W1172" s="395">
        <v>6394.05</v>
      </c>
      <c r="X1172" s="395">
        <v>77490</v>
      </c>
      <c r="Y1172" s="395">
        <v>8303.43</v>
      </c>
      <c r="Z1172" s="396">
        <v>-6871327</v>
      </c>
      <c r="AA1172" s="396">
        <v>52460</v>
      </c>
      <c r="AB1172" s="396">
        <v>-8119075</v>
      </c>
      <c r="AC1172" s="396">
        <v>10207916</v>
      </c>
    </row>
    <row r="1173" spans="1:29">
      <c r="A1173">
        <v>1813</v>
      </c>
      <c r="B1173" s="395" t="s">
        <v>6896</v>
      </c>
      <c r="C1173" s="395"/>
      <c r="D1173" s="396">
        <v>52459</v>
      </c>
      <c r="E1173" s="396">
        <v>64320</v>
      </c>
      <c r="F1173" s="395">
        <v>5.42</v>
      </c>
      <c r="G1173" s="396">
        <v>-11861</v>
      </c>
      <c r="H1173" s="396">
        <v>10291</v>
      </c>
      <c r="I1173" s="396">
        <v>711002</v>
      </c>
      <c r="J1173" s="395">
        <v>137</v>
      </c>
      <c r="K1173" s="395">
        <v>103</v>
      </c>
      <c r="L1173" s="397">
        <v>0.75180000000000002</v>
      </c>
      <c r="M1173" s="395">
        <v>34</v>
      </c>
      <c r="N1173" s="395">
        <v>383</v>
      </c>
      <c r="O1173" s="395">
        <v>624</v>
      </c>
      <c r="P1173" s="395">
        <v>1.79</v>
      </c>
      <c r="Q1173" s="395">
        <v>-349</v>
      </c>
      <c r="R1173" s="396">
        <v>1678</v>
      </c>
      <c r="S1173" s="396">
        <v>-1128</v>
      </c>
      <c r="T1173" s="396">
        <v>74436</v>
      </c>
      <c r="U1173" s="396">
        <v>-35890</v>
      </c>
      <c r="V1173" s="395">
        <v>8488.66</v>
      </c>
      <c r="W1173" s="395">
        <v>6612.71</v>
      </c>
      <c r="X1173" s="395">
        <v>77490</v>
      </c>
      <c r="Y1173" s="395">
        <v>14171.68</v>
      </c>
      <c r="Z1173" s="396">
        <v>-3449537</v>
      </c>
      <c r="AA1173" s="396">
        <v>52459</v>
      </c>
      <c r="AB1173" s="396">
        <v>-1239583</v>
      </c>
      <c r="AC1173" s="396">
        <v>10207916</v>
      </c>
    </row>
    <row r="1174" spans="1:29">
      <c r="A1174">
        <v>2438</v>
      </c>
      <c r="B1174" s="395" t="s">
        <v>7063</v>
      </c>
      <c r="C1174" s="395"/>
      <c r="D1174" s="396">
        <v>52340</v>
      </c>
      <c r="E1174" s="396">
        <v>64085</v>
      </c>
      <c r="F1174" s="395">
        <v>5.46</v>
      </c>
      <c r="G1174" s="396">
        <v>-11745</v>
      </c>
      <c r="H1174" s="396">
        <v>6820</v>
      </c>
      <c r="I1174" s="396">
        <v>146059</v>
      </c>
      <c r="J1174" s="395">
        <v>130</v>
      </c>
      <c r="K1174" s="395">
        <v>107</v>
      </c>
      <c r="L1174" s="397">
        <v>0.82310000000000005</v>
      </c>
      <c r="M1174" s="395">
        <v>23</v>
      </c>
      <c r="N1174" s="395">
        <v>403</v>
      </c>
      <c r="O1174" s="395">
        <v>599</v>
      </c>
      <c r="P1174" s="395">
        <v>1.17</v>
      </c>
      <c r="Q1174" s="395">
        <v>-511</v>
      </c>
      <c r="R1174" s="396">
        <v>2640</v>
      </c>
      <c r="S1174" s="396">
        <v>-1557</v>
      </c>
      <c r="T1174" s="396">
        <v>64303</v>
      </c>
      <c r="U1174" s="396">
        <v>-13788</v>
      </c>
      <c r="V1174" s="395">
        <v>1619.41</v>
      </c>
      <c r="W1174" s="395">
        <v>1083.26</v>
      </c>
      <c r="X1174" s="395">
        <v>76140</v>
      </c>
      <c r="Y1174" s="395">
        <v>4113.6499999999996</v>
      </c>
      <c r="Z1174" s="396">
        <v>44949656</v>
      </c>
      <c r="AA1174" s="396">
        <v>52340</v>
      </c>
      <c r="AB1174" s="396">
        <v>10213043</v>
      </c>
      <c r="AC1174" s="396">
        <v>10207916</v>
      </c>
    </row>
    <row r="1175" spans="1:29">
      <c r="A1175">
        <v>3062</v>
      </c>
      <c r="B1175" s="395" t="s">
        <v>7298</v>
      </c>
      <c r="C1175" s="395"/>
      <c r="D1175" s="396">
        <v>52153</v>
      </c>
      <c r="E1175" s="396">
        <v>177048</v>
      </c>
      <c r="F1175" s="395">
        <v>1.42</v>
      </c>
      <c r="G1175" s="396">
        <v>-124895</v>
      </c>
      <c r="H1175" s="396">
        <v>24343</v>
      </c>
      <c r="I1175" s="396">
        <v>895485</v>
      </c>
      <c r="J1175" s="395">
        <v>272</v>
      </c>
      <c r="K1175" s="395">
        <v>198</v>
      </c>
      <c r="L1175" s="397">
        <v>0.72789999999999999</v>
      </c>
      <c r="M1175" s="395">
        <v>74</v>
      </c>
      <c r="N1175" s="395">
        <v>192</v>
      </c>
      <c r="O1175" s="395">
        <v>894</v>
      </c>
      <c r="P1175" s="395">
        <v>0.53</v>
      </c>
      <c r="Q1175" s="396">
        <v>-1688</v>
      </c>
      <c r="R1175" s="396">
        <v>4183</v>
      </c>
      <c r="S1175" s="396">
        <v>-6360</v>
      </c>
      <c r="T1175" s="396">
        <v>190976</v>
      </c>
      <c r="U1175" s="396">
        <v>-128076</v>
      </c>
      <c r="V1175" s="395">
        <v>2380.79</v>
      </c>
      <c r="W1175" s="395">
        <v>1264.73</v>
      </c>
      <c r="X1175" s="395">
        <v>77490</v>
      </c>
      <c r="Y1175" s="395">
        <v>5367.03</v>
      </c>
      <c r="Z1175" s="396">
        <v>-9977738</v>
      </c>
      <c r="AA1175" s="396">
        <v>52153</v>
      </c>
      <c r="AB1175" s="396">
        <v>16945833</v>
      </c>
      <c r="AC1175" s="396">
        <v>10207916</v>
      </c>
    </row>
    <row r="1176" spans="1:29">
      <c r="A1176">
        <v>9902</v>
      </c>
      <c r="B1176" s="395" t="s">
        <v>8392</v>
      </c>
      <c r="C1176" s="395"/>
      <c r="D1176" s="396">
        <v>52152</v>
      </c>
      <c r="E1176" s="396">
        <v>83270</v>
      </c>
      <c r="F1176" s="395">
        <v>2.68</v>
      </c>
      <c r="G1176" s="396">
        <v>-31118</v>
      </c>
      <c r="H1176" s="396">
        <v>12573</v>
      </c>
      <c r="I1176" s="396">
        <v>511436</v>
      </c>
      <c r="J1176" s="395">
        <v>244</v>
      </c>
      <c r="K1176" s="395">
        <v>201</v>
      </c>
      <c r="L1176" s="397">
        <v>0.82379999999999998</v>
      </c>
      <c r="M1176" s="395">
        <v>43</v>
      </c>
      <c r="N1176" s="395">
        <v>214</v>
      </c>
      <c r="O1176" s="395">
        <v>414</v>
      </c>
      <c r="P1176" s="395">
        <v>0.56999999999999995</v>
      </c>
      <c r="Q1176" s="395">
        <v>-724</v>
      </c>
      <c r="R1176" s="396">
        <v>2104</v>
      </c>
      <c r="S1176" s="396">
        <v>-1651</v>
      </c>
      <c r="T1176" s="396">
        <v>75925</v>
      </c>
      <c r="U1176" s="396">
        <v>-27017</v>
      </c>
      <c r="V1176" s="395">
        <v>2736.35</v>
      </c>
      <c r="W1176" s="395">
        <v>2200.85</v>
      </c>
      <c r="X1176" s="395">
        <v>77490</v>
      </c>
      <c r="Y1176" s="395">
        <v>5239.51</v>
      </c>
      <c r="Z1176" s="396">
        <v>6566021</v>
      </c>
      <c r="AA1176" s="396">
        <v>52152</v>
      </c>
      <c r="AB1176" s="396">
        <v>5928409</v>
      </c>
      <c r="AC1176" s="396">
        <v>10207916</v>
      </c>
    </row>
    <row r="1177" spans="1:29">
      <c r="A1177">
        <v>4714</v>
      </c>
      <c r="B1177" s="395" t="s">
        <v>7672</v>
      </c>
      <c r="C1177" s="395"/>
      <c r="D1177" s="396">
        <v>51846</v>
      </c>
      <c r="E1177" s="396">
        <v>82839</v>
      </c>
      <c r="F1177" s="395">
        <v>2.67</v>
      </c>
      <c r="G1177" s="396">
        <v>-30993</v>
      </c>
      <c r="H1177" s="396">
        <v>13694</v>
      </c>
      <c r="I1177" s="396">
        <v>459068</v>
      </c>
      <c r="J1177" s="395">
        <v>254</v>
      </c>
      <c r="K1177" s="395">
        <v>196</v>
      </c>
      <c r="L1177" s="397">
        <v>0.77170000000000005</v>
      </c>
      <c r="M1177" s="395">
        <v>58</v>
      </c>
      <c r="N1177" s="395">
        <v>204</v>
      </c>
      <c r="O1177" s="395">
        <v>423</v>
      </c>
      <c r="P1177" s="395">
        <v>0.79</v>
      </c>
      <c r="Q1177" s="395">
        <v>-534</v>
      </c>
      <c r="R1177" s="396">
        <v>1529</v>
      </c>
      <c r="S1177" s="396">
        <v>-1507</v>
      </c>
      <c r="T1177" s="396">
        <v>86697</v>
      </c>
      <c r="U1177" s="396">
        <v>-49848</v>
      </c>
      <c r="V1177" s="395">
        <v>2757.02</v>
      </c>
      <c r="W1177" s="395">
        <v>1634.72</v>
      </c>
      <c r="X1177" s="395">
        <v>77490</v>
      </c>
      <c r="Y1177" s="395">
        <v>6549.59</v>
      </c>
      <c r="Z1177" s="396">
        <v>-2963284</v>
      </c>
      <c r="AA1177" s="396">
        <v>51846</v>
      </c>
      <c r="AB1177" s="396">
        <v>4958514</v>
      </c>
      <c r="AC1177" s="396">
        <v>10207916</v>
      </c>
    </row>
    <row r="1178" spans="1:29">
      <c r="A1178">
        <v>6101</v>
      </c>
      <c r="B1178" s="395" t="s">
        <v>7908</v>
      </c>
      <c r="C1178" s="395"/>
      <c r="D1178" s="396">
        <v>51838</v>
      </c>
      <c r="E1178" s="396">
        <v>62717</v>
      </c>
      <c r="F1178" s="395">
        <v>5.76</v>
      </c>
      <c r="G1178" s="396">
        <v>-10879</v>
      </c>
      <c r="H1178" s="396">
        <v>8312</v>
      </c>
      <c r="I1178" s="396">
        <v>767892</v>
      </c>
      <c r="J1178" s="395">
        <v>94</v>
      </c>
      <c r="K1178" s="395">
        <v>68</v>
      </c>
      <c r="L1178" s="397">
        <v>0.72340000000000004</v>
      </c>
      <c r="M1178" s="395">
        <v>26</v>
      </c>
      <c r="N1178" s="395">
        <v>551</v>
      </c>
      <c r="O1178" s="395">
        <v>922</v>
      </c>
      <c r="P1178" s="395">
        <v>2.21</v>
      </c>
      <c r="Q1178" s="395">
        <v>-418</v>
      </c>
      <c r="R1178" s="396">
        <v>2359</v>
      </c>
      <c r="S1178" s="396">
        <v>-1399</v>
      </c>
      <c r="T1178" s="396">
        <v>105869</v>
      </c>
      <c r="U1178" s="396">
        <v>-56175</v>
      </c>
      <c r="V1178" s="395">
        <v>3885</v>
      </c>
      <c r="W1178" s="395">
        <v>2541.41</v>
      </c>
      <c r="X1178" s="395">
        <v>76140</v>
      </c>
      <c r="Y1178" s="395">
        <v>7399</v>
      </c>
      <c r="Z1178" s="396">
        <v>3556482</v>
      </c>
      <c r="AA1178" s="396">
        <v>51838</v>
      </c>
      <c r="AB1178" s="396">
        <v>-6927565</v>
      </c>
      <c r="AC1178" s="396">
        <v>10207916</v>
      </c>
    </row>
    <row r="1179" spans="1:29">
      <c r="A1179">
        <v>8933</v>
      </c>
      <c r="B1179" s="395" t="s">
        <v>8382</v>
      </c>
      <c r="C1179" s="395"/>
      <c r="D1179" s="396">
        <v>51254</v>
      </c>
      <c r="E1179" s="396">
        <v>66418</v>
      </c>
      <c r="F1179" s="395">
        <v>4.38</v>
      </c>
      <c r="G1179" s="396">
        <v>-15164</v>
      </c>
      <c r="H1179" s="396">
        <v>10206</v>
      </c>
      <c r="I1179" s="396">
        <v>182786</v>
      </c>
      <c r="J1179" s="395">
        <v>208</v>
      </c>
      <c r="K1179" s="395">
        <v>166</v>
      </c>
      <c r="L1179" s="397">
        <v>0.79810000000000003</v>
      </c>
      <c r="M1179" s="395">
        <v>40</v>
      </c>
      <c r="N1179" s="395">
        <v>246</v>
      </c>
      <c r="O1179" s="395">
        <v>400</v>
      </c>
      <c r="P1179" s="395">
        <v>1.06</v>
      </c>
      <c r="Q1179" s="395">
        <v>-379</v>
      </c>
      <c r="R1179" s="396">
        <v>1345</v>
      </c>
      <c r="S1179" s="396">
        <v>-1511</v>
      </c>
      <c r="T1179" s="396">
        <v>60885</v>
      </c>
      <c r="U1179" s="396">
        <v>-13634</v>
      </c>
      <c r="V1179" s="395">
        <v>1503.34</v>
      </c>
      <c r="W1179" s="395">
        <v>1128.29</v>
      </c>
      <c r="X1179" s="395">
        <v>77490</v>
      </c>
      <c r="Y1179" s="395">
        <v>3046.93</v>
      </c>
      <c r="Z1179" s="396">
        <v>1584541</v>
      </c>
      <c r="AA1179" s="396">
        <v>51254</v>
      </c>
      <c r="AB1179" s="396">
        <v>1911017</v>
      </c>
      <c r="AC1179" s="396">
        <v>10207916</v>
      </c>
    </row>
    <row r="1180" spans="1:29">
      <c r="A1180">
        <v>1442</v>
      </c>
      <c r="B1180" s="395" t="s">
        <v>6753</v>
      </c>
      <c r="C1180" s="395"/>
      <c r="D1180" s="396">
        <v>51184</v>
      </c>
      <c r="E1180" s="396">
        <v>117769</v>
      </c>
      <c r="F1180" s="395">
        <v>1.77</v>
      </c>
      <c r="G1180" s="396">
        <v>-66585</v>
      </c>
      <c r="H1180" s="396">
        <v>21265</v>
      </c>
      <c r="I1180" s="396">
        <v>1704494</v>
      </c>
      <c r="J1180" s="395">
        <v>260</v>
      </c>
      <c r="K1180" s="395">
        <v>209</v>
      </c>
      <c r="L1180" s="397">
        <v>0.80379999999999996</v>
      </c>
      <c r="M1180" s="395">
        <v>51</v>
      </c>
      <c r="N1180" s="395">
        <v>197</v>
      </c>
      <c r="O1180" s="395">
        <v>563</v>
      </c>
      <c r="P1180" s="395">
        <v>0.43</v>
      </c>
      <c r="Q1180" s="396">
        <v>-1306</v>
      </c>
      <c r="R1180" s="396">
        <v>2031</v>
      </c>
      <c r="S1180" s="396">
        <v>-3397</v>
      </c>
      <c r="T1180" s="396">
        <v>142052</v>
      </c>
      <c r="U1180" s="396">
        <v>-112639</v>
      </c>
      <c r="V1180" s="395">
        <v>5646.22</v>
      </c>
      <c r="W1180" s="395">
        <v>3667.63</v>
      </c>
      <c r="X1180" s="395">
        <v>77490</v>
      </c>
      <c r="Y1180" s="395">
        <v>13754.55</v>
      </c>
      <c r="Z1180" s="396">
        <v>-788283</v>
      </c>
      <c r="AA1180" s="396">
        <v>51184</v>
      </c>
      <c r="AB1180" s="396">
        <v>14380883</v>
      </c>
      <c r="AC1180" s="396">
        <v>10207916</v>
      </c>
    </row>
    <row r="1181" spans="1:29">
      <c r="A1181">
        <v>4729</v>
      </c>
      <c r="B1181" s="395" t="s">
        <v>7679</v>
      </c>
      <c r="C1181" s="395"/>
      <c r="D1181" s="396">
        <v>50965</v>
      </c>
      <c r="E1181" s="396">
        <v>67583</v>
      </c>
      <c r="F1181" s="395">
        <v>4.07</v>
      </c>
      <c r="G1181" s="396">
        <v>-16618</v>
      </c>
      <c r="H1181" s="396">
        <v>6335</v>
      </c>
      <c r="I1181" s="396">
        <v>412640</v>
      </c>
      <c r="J1181" s="395">
        <v>121</v>
      </c>
      <c r="K1181" s="395">
        <v>87</v>
      </c>
      <c r="L1181" s="397">
        <v>0.71899999999999997</v>
      </c>
      <c r="M1181" s="395">
        <v>34</v>
      </c>
      <c r="N1181" s="395">
        <v>421</v>
      </c>
      <c r="O1181" s="395">
        <v>777</v>
      </c>
      <c r="P1181" s="395">
        <v>1.59</v>
      </c>
      <c r="Q1181" s="395">
        <v>-489</v>
      </c>
      <c r="R1181" s="396">
        <v>2649</v>
      </c>
      <c r="S1181" s="396">
        <v>-1810</v>
      </c>
      <c r="T1181" s="396">
        <v>78008</v>
      </c>
      <c r="U1181" s="396">
        <v>-48950</v>
      </c>
      <c r="V1181" s="395">
        <v>6930.36</v>
      </c>
      <c r="W1181" s="395">
        <v>5676.14</v>
      </c>
      <c r="X1181" s="395">
        <v>77490</v>
      </c>
      <c r="Y1181" s="395">
        <v>10139.709999999999</v>
      </c>
      <c r="Z1181" s="396">
        <v>863671</v>
      </c>
      <c r="AA1181" s="396">
        <v>50965</v>
      </c>
      <c r="AB1181" s="396">
        <v>-7782</v>
      </c>
      <c r="AC1181" s="396">
        <v>10207916</v>
      </c>
    </row>
    <row r="1182" spans="1:29">
      <c r="A1182">
        <v>1438</v>
      </c>
      <c r="B1182" s="395" t="s">
        <v>6749</v>
      </c>
      <c r="C1182" s="395"/>
      <c r="D1182" s="396">
        <v>50810</v>
      </c>
      <c r="E1182" s="396">
        <v>106232</v>
      </c>
      <c r="F1182" s="395">
        <v>1.92</v>
      </c>
      <c r="G1182" s="396">
        <v>-55422</v>
      </c>
      <c r="H1182" s="396">
        <v>20440</v>
      </c>
      <c r="I1182" s="396">
        <v>1738490</v>
      </c>
      <c r="J1182" s="395">
        <v>177</v>
      </c>
      <c r="K1182" s="395">
        <v>116</v>
      </c>
      <c r="L1182" s="397">
        <v>0.65539999999999998</v>
      </c>
      <c r="M1182" s="395">
        <v>61</v>
      </c>
      <c r="N1182" s="395">
        <v>287</v>
      </c>
      <c r="O1182" s="395">
        <v>916</v>
      </c>
      <c r="P1182" s="395">
        <v>1.01</v>
      </c>
      <c r="Q1182" s="395">
        <v>-909</v>
      </c>
      <c r="R1182" s="396">
        <v>2778</v>
      </c>
      <c r="S1182" s="396">
        <v>-4080</v>
      </c>
      <c r="T1182" s="396">
        <v>96682</v>
      </c>
      <c r="U1182" s="396">
        <v>-69239</v>
      </c>
      <c r="V1182" s="395">
        <v>5140.45</v>
      </c>
      <c r="W1182" s="395">
        <v>3210.12</v>
      </c>
      <c r="X1182" s="395">
        <v>75870</v>
      </c>
      <c r="Y1182" s="395">
        <v>8811.25</v>
      </c>
      <c r="Z1182" s="396">
        <v>446157</v>
      </c>
      <c r="AA1182" s="396">
        <v>50810</v>
      </c>
      <c r="AB1182" s="396">
        <v>13212500</v>
      </c>
      <c r="AC1182" s="396">
        <v>10207916</v>
      </c>
    </row>
    <row r="1183" spans="1:29">
      <c r="A1183">
        <v>8930</v>
      </c>
      <c r="B1183" s="395" t="s">
        <v>8379</v>
      </c>
      <c r="C1183" s="395"/>
      <c r="D1183" s="396">
        <v>50787</v>
      </c>
      <c r="E1183" s="396">
        <v>105004</v>
      </c>
      <c r="F1183" s="395">
        <v>1.94</v>
      </c>
      <c r="G1183" s="396">
        <v>-54217</v>
      </c>
      <c r="H1183" s="396">
        <v>14262</v>
      </c>
      <c r="I1183" s="396">
        <v>1874822</v>
      </c>
      <c r="J1183" s="395">
        <v>230</v>
      </c>
      <c r="K1183" s="395">
        <v>184</v>
      </c>
      <c r="L1183" s="397">
        <v>0.8</v>
      </c>
      <c r="M1183" s="395">
        <v>46</v>
      </c>
      <c r="N1183" s="395">
        <v>221</v>
      </c>
      <c r="O1183" s="395">
        <v>571</v>
      </c>
      <c r="P1183" s="395">
        <v>0.48</v>
      </c>
      <c r="Q1183" s="396">
        <v>-1179</v>
      </c>
      <c r="R1183" s="396">
        <v>2135</v>
      </c>
      <c r="S1183" s="396">
        <v>-4623</v>
      </c>
      <c r="T1183" s="396">
        <v>117990</v>
      </c>
      <c r="U1183" s="396">
        <v>-121339</v>
      </c>
      <c r="V1183" s="395">
        <v>13001.23</v>
      </c>
      <c r="W1183" s="395">
        <v>8929.3700000000008</v>
      </c>
      <c r="X1183" s="395">
        <v>77490</v>
      </c>
      <c r="Y1183" s="395">
        <v>29288.7</v>
      </c>
      <c r="Z1183" s="396">
        <v>-11709324</v>
      </c>
      <c r="AA1183" s="396">
        <v>50787</v>
      </c>
      <c r="AB1183" s="396">
        <v>10465669</v>
      </c>
      <c r="AC1183" s="396">
        <v>10207916</v>
      </c>
    </row>
    <row r="1184" spans="1:29">
      <c r="A1184">
        <v>2431</v>
      </c>
      <c r="B1184" s="395" t="s">
        <v>7059</v>
      </c>
      <c r="C1184" s="395"/>
      <c r="D1184" s="396">
        <v>50680</v>
      </c>
      <c r="E1184" s="396">
        <v>117337</v>
      </c>
      <c r="F1184" s="395">
        <v>1.76</v>
      </c>
      <c r="G1184" s="396">
        <v>-66657</v>
      </c>
      <c r="H1184" s="396">
        <v>13010</v>
      </c>
      <c r="I1184" s="396">
        <v>695689</v>
      </c>
      <c r="J1184" s="395">
        <v>257</v>
      </c>
      <c r="K1184" s="395">
        <v>187</v>
      </c>
      <c r="L1184" s="397">
        <v>0.72760000000000002</v>
      </c>
      <c r="M1184" s="395">
        <v>70</v>
      </c>
      <c r="N1184" s="395">
        <v>197</v>
      </c>
      <c r="O1184" s="395">
        <v>627</v>
      </c>
      <c r="P1184" s="395">
        <v>0.66</v>
      </c>
      <c r="Q1184" s="395">
        <v>-952</v>
      </c>
      <c r="R1184" s="396">
        <v>2199</v>
      </c>
      <c r="S1184" s="396">
        <v>-3100</v>
      </c>
      <c r="T1184" s="396">
        <v>125245</v>
      </c>
      <c r="U1184" s="396">
        <v>-69581</v>
      </c>
      <c r="V1184" s="395">
        <v>4231.95</v>
      </c>
      <c r="W1184" s="395">
        <v>3006.62</v>
      </c>
      <c r="X1184" s="395">
        <v>77490</v>
      </c>
      <c r="Y1184" s="395">
        <v>7505.33</v>
      </c>
      <c r="Z1184" s="396">
        <v>-5249316</v>
      </c>
      <c r="AA1184" s="396">
        <v>50680</v>
      </c>
      <c r="AB1184" s="396">
        <v>-4256487</v>
      </c>
      <c r="AC1184" s="396">
        <v>10207916</v>
      </c>
    </row>
    <row r="1185" spans="1:29">
      <c r="A1185">
        <v>2537</v>
      </c>
      <c r="B1185" s="395" t="s">
        <v>7126</v>
      </c>
      <c r="C1185" s="395"/>
      <c r="D1185" s="396">
        <v>50546</v>
      </c>
      <c r="E1185" s="396">
        <v>67985</v>
      </c>
      <c r="F1185" s="395">
        <v>3.9</v>
      </c>
      <c r="G1185" s="396">
        <v>-17439</v>
      </c>
      <c r="H1185" s="396">
        <v>10886</v>
      </c>
      <c r="I1185" s="396">
        <v>515575</v>
      </c>
      <c r="J1185" s="395">
        <v>274</v>
      </c>
      <c r="K1185" s="395">
        <v>199</v>
      </c>
      <c r="L1185" s="397">
        <v>0.72629999999999995</v>
      </c>
      <c r="M1185" s="395">
        <v>72</v>
      </c>
      <c r="N1185" s="395">
        <v>184</v>
      </c>
      <c r="O1185" s="395">
        <v>342</v>
      </c>
      <c r="P1185" s="395">
        <v>1.41</v>
      </c>
      <c r="Q1185" s="395">
        <v>-242</v>
      </c>
      <c r="R1185" s="396">
        <v>1565</v>
      </c>
      <c r="S1185" s="395">
        <v>-910</v>
      </c>
      <c r="T1185" s="396">
        <v>75037</v>
      </c>
      <c r="U1185" s="396">
        <v>-30337</v>
      </c>
      <c r="V1185" s="395">
        <v>4506.99</v>
      </c>
      <c r="W1185" s="395">
        <v>3129.52</v>
      </c>
      <c r="X1185" s="395">
        <v>77490</v>
      </c>
      <c r="Y1185" s="395">
        <v>8202.5400000000009</v>
      </c>
      <c r="Z1185" s="396">
        <v>-3977638</v>
      </c>
      <c r="AA1185" s="396">
        <v>50546</v>
      </c>
      <c r="AB1185" s="396">
        <v>3998592</v>
      </c>
      <c r="AC1185" s="396">
        <v>10207916</v>
      </c>
    </row>
    <row r="1186" spans="1:29">
      <c r="A1186">
        <v>8443</v>
      </c>
      <c r="B1186" s="395" t="s">
        <v>8345</v>
      </c>
      <c r="C1186" s="395"/>
      <c r="D1186" s="396">
        <v>49998</v>
      </c>
      <c r="E1186" s="396">
        <v>70843</v>
      </c>
      <c r="F1186" s="395">
        <v>3.4</v>
      </c>
      <c r="G1186" s="396">
        <v>-20845</v>
      </c>
      <c r="H1186" s="396">
        <v>9861</v>
      </c>
      <c r="I1186" s="396">
        <v>389554</v>
      </c>
      <c r="J1186" s="395">
        <v>208</v>
      </c>
      <c r="K1186" s="395">
        <v>154</v>
      </c>
      <c r="L1186" s="397">
        <v>0.74039999999999995</v>
      </c>
      <c r="M1186" s="395">
        <v>53</v>
      </c>
      <c r="N1186" s="395">
        <v>240</v>
      </c>
      <c r="O1186" s="395">
        <v>460</v>
      </c>
      <c r="P1186" s="395">
        <v>1.17</v>
      </c>
      <c r="Q1186" s="395">
        <v>-393</v>
      </c>
      <c r="R1186" s="396">
        <v>2056</v>
      </c>
      <c r="S1186" s="396">
        <v>-2353</v>
      </c>
      <c r="T1186" s="396">
        <v>70362</v>
      </c>
      <c r="U1186" s="396">
        <v>-24651</v>
      </c>
      <c r="V1186" s="395">
        <v>5735.63</v>
      </c>
      <c r="W1186" s="395">
        <v>5030.6000000000004</v>
      </c>
      <c r="X1186" s="395">
        <v>77490</v>
      </c>
      <c r="Y1186" s="395">
        <v>7733.13</v>
      </c>
      <c r="Z1186" s="396">
        <v>-10598378</v>
      </c>
      <c r="AA1186" s="396">
        <v>49998</v>
      </c>
      <c r="AB1186" s="396">
        <v>-1424620</v>
      </c>
      <c r="AC1186" s="396">
        <v>10207916</v>
      </c>
    </row>
    <row r="1187" spans="1:29">
      <c r="A1187">
        <v>2067</v>
      </c>
      <c r="B1187" s="395" t="s">
        <v>6939</v>
      </c>
      <c r="C1187" s="395"/>
      <c r="D1187" s="396">
        <v>49978</v>
      </c>
      <c r="E1187" s="396">
        <v>54694</v>
      </c>
      <c r="F1187" s="395">
        <v>11.6</v>
      </c>
      <c r="G1187" s="396">
        <v>-4716</v>
      </c>
      <c r="H1187" s="396">
        <v>4622</v>
      </c>
      <c r="I1187" s="396">
        <v>279869</v>
      </c>
      <c r="J1187" s="395">
        <v>84</v>
      </c>
      <c r="K1187" s="395">
        <v>68</v>
      </c>
      <c r="L1187" s="397">
        <v>0.8095</v>
      </c>
      <c r="M1187" s="395">
        <v>16</v>
      </c>
      <c r="N1187" s="395">
        <v>595</v>
      </c>
      <c r="O1187" s="395">
        <v>804</v>
      </c>
      <c r="P1187" s="395">
        <v>2.73</v>
      </c>
      <c r="Q1187" s="395">
        <v>-295</v>
      </c>
      <c r="R1187" s="396">
        <v>3746</v>
      </c>
      <c r="S1187" s="396">
        <v>-1264</v>
      </c>
      <c r="T1187" s="396">
        <v>74967</v>
      </c>
      <c r="U1187" s="396">
        <v>-32347</v>
      </c>
      <c r="V1187" s="395">
        <v>3134.56</v>
      </c>
      <c r="W1187" s="395">
        <v>2956.24</v>
      </c>
      <c r="X1187" s="395">
        <v>77490</v>
      </c>
      <c r="Y1187" s="395">
        <v>3892.44</v>
      </c>
      <c r="Z1187" s="396">
        <v>24677601</v>
      </c>
      <c r="AA1187" s="396">
        <v>49978</v>
      </c>
      <c r="AB1187" s="396">
        <v>17857143</v>
      </c>
      <c r="AC1187" s="396">
        <v>10207916</v>
      </c>
    </row>
    <row r="1188" spans="1:29">
      <c r="A1188">
        <v>6523</v>
      </c>
      <c r="B1188" s="395" t="s">
        <v>8114</v>
      </c>
      <c r="C1188" s="395"/>
      <c r="D1188" s="396">
        <v>49875</v>
      </c>
      <c r="E1188" s="396">
        <v>499775</v>
      </c>
      <c r="F1188" s="395">
        <v>1.1100000000000001</v>
      </c>
      <c r="G1188" s="396">
        <v>-449900</v>
      </c>
      <c r="H1188" s="396">
        <v>86516</v>
      </c>
      <c r="I1188" s="396">
        <v>4854140</v>
      </c>
      <c r="J1188" s="395">
        <v>252</v>
      </c>
      <c r="K1188" s="395">
        <v>184</v>
      </c>
      <c r="L1188" s="397">
        <v>0.73019999999999996</v>
      </c>
      <c r="M1188" s="395">
        <v>68</v>
      </c>
      <c r="N1188" s="395">
        <v>198</v>
      </c>
      <c r="O1188" s="396">
        <v>2716</v>
      </c>
      <c r="P1188" s="395">
        <v>0.41</v>
      </c>
      <c r="Q1188" s="396">
        <v>-6616</v>
      </c>
      <c r="R1188" s="396">
        <v>13432</v>
      </c>
      <c r="S1188" s="396">
        <v>-50779</v>
      </c>
      <c r="T1188" s="396">
        <v>509856</v>
      </c>
      <c r="U1188" s="396">
        <v>-488412</v>
      </c>
      <c r="V1188" s="395">
        <v>3312.68</v>
      </c>
      <c r="W1188" s="395">
        <v>1899.57</v>
      </c>
      <c r="X1188" s="395">
        <v>77490</v>
      </c>
      <c r="Y1188" s="395">
        <v>7136.38</v>
      </c>
      <c r="Z1188" s="396">
        <v>-7505181</v>
      </c>
      <c r="AA1188" s="396">
        <v>49875</v>
      </c>
      <c r="AB1188" s="396">
        <v>34099411</v>
      </c>
      <c r="AC1188" s="396">
        <v>10207916</v>
      </c>
    </row>
    <row r="1189" spans="1:29">
      <c r="A1189">
        <v>3434</v>
      </c>
      <c r="B1189" s="395" t="s">
        <v>7422</v>
      </c>
      <c r="C1189" s="395"/>
      <c r="D1189" s="396">
        <v>49300</v>
      </c>
      <c r="E1189" s="396">
        <v>63210</v>
      </c>
      <c r="F1189" s="395">
        <v>4.54</v>
      </c>
      <c r="G1189" s="396">
        <v>-13910</v>
      </c>
      <c r="H1189" s="396">
        <v>9650</v>
      </c>
      <c r="I1189" s="396">
        <v>185549</v>
      </c>
      <c r="J1189" s="395">
        <v>143</v>
      </c>
      <c r="K1189" s="395">
        <v>119</v>
      </c>
      <c r="L1189" s="397">
        <v>0.83220000000000005</v>
      </c>
      <c r="M1189" s="395">
        <v>24</v>
      </c>
      <c r="N1189" s="395">
        <v>345</v>
      </c>
      <c r="O1189" s="395">
        <v>531</v>
      </c>
      <c r="P1189" s="395">
        <v>0.92</v>
      </c>
      <c r="Q1189" s="395">
        <v>-580</v>
      </c>
      <c r="R1189" s="396">
        <v>1331</v>
      </c>
      <c r="S1189" s="396">
        <v>-3136</v>
      </c>
      <c r="T1189" s="396">
        <v>66155</v>
      </c>
      <c r="U1189" s="396">
        <v>-13397</v>
      </c>
      <c r="V1189" s="395">
        <v>2098.1</v>
      </c>
      <c r="W1189" s="395">
        <v>1695.08</v>
      </c>
      <c r="X1189" s="395">
        <v>71010</v>
      </c>
      <c r="Y1189" s="395">
        <v>4096.42</v>
      </c>
      <c r="Z1189" s="396">
        <v>33224413</v>
      </c>
      <c r="AA1189" s="396">
        <v>49300</v>
      </c>
      <c r="AB1189" s="396">
        <v>22098901</v>
      </c>
      <c r="AC1189" s="396">
        <v>10207916</v>
      </c>
    </row>
    <row r="1190" spans="1:29">
      <c r="A1190">
        <v>8411</v>
      </c>
      <c r="B1190" s="395" t="s">
        <v>8325</v>
      </c>
      <c r="C1190" s="395"/>
      <c r="D1190" s="396">
        <v>49270</v>
      </c>
      <c r="E1190" s="396">
        <v>77019</v>
      </c>
      <c r="F1190" s="395">
        <v>2.78</v>
      </c>
      <c r="G1190" s="396">
        <v>-27749</v>
      </c>
      <c r="H1190" s="396">
        <v>13630</v>
      </c>
      <c r="I1190" s="396">
        <v>713636</v>
      </c>
      <c r="J1190" s="395">
        <v>221</v>
      </c>
      <c r="K1190" s="395">
        <v>169</v>
      </c>
      <c r="L1190" s="397">
        <v>0.76470000000000005</v>
      </c>
      <c r="M1190" s="395">
        <v>52</v>
      </c>
      <c r="N1190" s="395">
        <v>223</v>
      </c>
      <c r="O1190" s="395">
        <v>456</v>
      </c>
      <c r="P1190" s="395">
        <v>0.85</v>
      </c>
      <c r="Q1190" s="395">
        <v>-534</v>
      </c>
      <c r="R1190" s="396">
        <v>1643</v>
      </c>
      <c r="S1190" s="396">
        <v>-2615</v>
      </c>
      <c r="T1190" s="396">
        <v>75076</v>
      </c>
      <c r="U1190" s="396">
        <v>-32403</v>
      </c>
      <c r="V1190" s="395">
        <v>5307.56</v>
      </c>
      <c r="W1190" s="395">
        <v>3998.92</v>
      </c>
      <c r="X1190" s="395">
        <v>77490</v>
      </c>
      <c r="Y1190" s="395">
        <v>9560.65</v>
      </c>
      <c r="Z1190" s="396">
        <v>-1916938</v>
      </c>
      <c r="AA1190" s="396">
        <v>49270</v>
      </c>
      <c r="AB1190" s="396">
        <v>8679715</v>
      </c>
      <c r="AC1190" s="396">
        <v>10207916</v>
      </c>
    </row>
    <row r="1191" spans="1:29">
      <c r="A1191">
        <v>4113</v>
      </c>
      <c r="B1191" s="395" t="s">
        <v>7559</v>
      </c>
      <c r="C1191" s="395"/>
      <c r="D1191" s="396">
        <v>49269</v>
      </c>
      <c r="E1191" s="396">
        <v>67801</v>
      </c>
      <c r="F1191" s="395">
        <v>3.66</v>
      </c>
      <c r="G1191" s="396">
        <v>-18532</v>
      </c>
      <c r="H1191" s="396">
        <v>12621</v>
      </c>
      <c r="I1191" s="396">
        <v>576027</v>
      </c>
      <c r="J1191" s="395">
        <v>225</v>
      </c>
      <c r="K1191" s="395">
        <v>167</v>
      </c>
      <c r="L1191" s="397">
        <v>0.74219999999999997</v>
      </c>
      <c r="M1191" s="395">
        <v>58</v>
      </c>
      <c r="N1191" s="395">
        <v>219</v>
      </c>
      <c r="O1191" s="395">
        <v>406</v>
      </c>
      <c r="P1191" s="395">
        <v>1.27</v>
      </c>
      <c r="Q1191" s="395">
        <v>-320</v>
      </c>
      <c r="R1191" s="396">
        <v>1097</v>
      </c>
      <c r="S1191" s="396">
        <v>-1009</v>
      </c>
      <c r="T1191" s="396">
        <v>80200</v>
      </c>
      <c r="U1191" s="396">
        <v>-30792</v>
      </c>
      <c r="V1191" s="395">
        <v>4650.95</v>
      </c>
      <c r="W1191" s="395">
        <v>3227.96</v>
      </c>
      <c r="X1191" s="395">
        <v>77490</v>
      </c>
      <c r="Y1191" s="395">
        <v>8748.19</v>
      </c>
      <c r="Z1191" s="396">
        <v>1796252</v>
      </c>
      <c r="AA1191" s="396">
        <v>49269</v>
      </c>
      <c r="AB1191" s="396">
        <v>5805147</v>
      </c>
      <c r="AC1191" s="396">
        <v>10207916</v>
      </c>
    </row>
    <row r="1192" spans="1:29">
      <c r="A1192">
        <v>2929</v>
      </c>
      <c r="B1192" s="395" t="s">
        <v>7239</v>
      </c>
      <c r="C1192" s="395"/>
      <c r="D1192" s="396">
        <v>49000</v>
      </c>
      <c r="E1192" s="396">
        <v>122805</v>
      </c>
      <c r="F1192" s="395">
        <v>1.66</v>
      </c>
      <c r="G1192" s="396">
        <v>-73805</v>
      </c>
      <c r="H1192" s="396">
        <v>11460</v>
      </c>
      <c r="I1192" s="396">
        <v>313326</v>
      </c>
      <c r="J1192" s="395">
        <v>214</v>
      </c>
      <c r="K1192" s="395">
        <v>149</v>
      </c>
      <c r="L1192" s="397">
        <v>0.69630000000000003</v>
      </c>
      <c r="M1192" s="395">
        <v>65</v>
      </c>
      <c r="N1192" s="395">
        <v>229</v>
      </c>
      <c r="O1192" s="395">
        <v>824</v>
      </c>
      <c r="P1192" s="395">
        <v>0.73</v>
      </c>
      <c r="Q1192" s="396">
        <v>-1135</v>
      </c>
      <c r="R1192" s="396">
        <v>4213</v>
      </c>
      <c r="S1192" s="396">
        <v>-5267</v>
      </c>
      <c r="T1192" s="396">
        <v>120754</v>
      </c>
      <c r="U1192" s="396">
        <v>-40035</v>
      </c>
      <c r="V1192" s="395">
        <v>2502.0500000000002</v>
      </c>
      <c r="W1192" s="395">
        <v>1597.77</v>
      </c>
      <c r="X1192" s="395">
        <v>72630</v>
      </c>
      <c r="Y1192" s="395">
        <v>4574.95</v>
      </c>
      <c r="Z1192" s="396">
        <v>-28746490</v>
      </c>
      <c r="AA1192" s="396">
        <v>49000</v>
      </c>
      <c r="AB1192" s="396">
        <v>-26076923</v>
      </c>
      <c r="AC1192" s="396">
        <v>10207916</v>
      </c>
    </row>
    <row r="1193" spans="1:29">
      <c r="A1193">
        <v>8105</v>
      </c>
      <c r="B1193" s="395" t="s">
        <v>8276</v>
      </c>
      <c r="C1193" s="395"/>
      <c r="D1193" s="396">
        <v>48983</v>
      </c>
      <c r="E1193" s="396">
        <v>99391</v>
      </c>
      <c r="F1193" s="395">
        <v>1.97</v>
      </c>
      <c r="G1193" s="396">
        <v>-50408</v>
      </c>
      <c r="H1193" s="396">
        <v>13467</v>
      </c>
      <c r="I1193" s="396">
        <v>544303</v>
      </c>
      <c r="J1193" s="395">
        <v>260</v>
      </c>
      <c r="K1193" s="395">
        <v>192</v>
      </c>
      <c r="L1193" s="397">
        <v>0.73850000000000005</v>
      </c>
      <c r="M1193" s="395">
        <v>68</v>
      </c>
      <c r="N1193" s="395">
        <v>188</v>
      </c>
      <c r="O1193" s="395">
        <v>518</v>
      </c>
      <c r="P1193" s="395">
        <v>0.7</v>
      </c>
      <c r="Q1193" s="395">
        <v>-741</v>
      </c>
      <c r="R1193" s="396">
        <v>3150</v>
      </c>
      <c r="S1193" s="396">
        <v>-4114</v>
      </c>
      <c r="T1193" s="396">
        <v>94122</v>
      </c>
      <c r="U1193" s="396">
        <v>-49716</v>
      </c>
      <c r="V1193" s="395">
        <v>3750.99</v>
      </c>
      <c r="W1193" s="395">
        <v>2595.4699999999998</v>
      </c>
      <c r="X1193" s="395">
        <v>77490</v>
      </c>
      <c r="Y1193" s="395">
        <v>7013.63</v>
      </c>
      <c r="Z1193" s="396">
        <v>-7304802</v>
      </c>
      <c r="AA1193" s="396">
        <v>48983</v>
      </c>
      <c r="AB1193" s="396">
        <v>1300429</v>
      </c>
      <c r="AC1193" s="396">
        <v>10207916</v>
      </c>
    </row>
    <row r="1194" spans="1:29">
      <c r="A1194">
        <v>3024</v>
      </c>
      <c r="B1194" s="395" t="s">
        <v>7263</v>
      </c>
      <c r="C1194" s="395"/>
      <c r="D1194" s="396">
        <v>48745</v>
      </c>
      <c r="E1194" s="396">
        <v>85857</v>
      </c>
      <c r="F1194" s="395">
        <v>2.31</v>
      </c>
      <c r="G1194" s="396">
        <v>-37112</v>
      </c>
      <c r="H1194" s="396">
        <v>10382</v>
      </c>
      <c r="I1194" s="396">
        <v>493122</v>
      </c>
      <c r="J1194" s="395">
        <v>199</v>
      </c>
      <c r="K1194" s="395">
        <v>150</v>
      </c>
      <c r="L1194" s="397">
        <v>0.75380000000000003</v>
      </c>
      <c r="M1194" s="395">
        <v>48</v>
      </c>
      <c r="N1194" s="395">
        <v>245</v>
      </c>
      <c r="O1194" s="395">
        <v>572</v>
      </c>
      <c r="P1194" s="395">
        <v>0.74</v>
      </c>
      <c r="Q1194" s="395">
        <v>-773</v>
      </c>
      <c r="R1194" s="396">
        <v>2499</v>
      </c>
      <c r="S1194" s="396">
        <v>-2305</v>
      </c>
      <c r="T1194" s="396">
        <v>82953</v>
      </c>
      <c r="U1194" s="396">
        <v>-41979</v>
      </c>
      <c r="V1194" s="395">
        <v>3988.99</v>
      </c>
      <c r="W1194" s="395">
        <v>2536.38</v>
      </c>
      <c r="X1194" s="395">
        <v>77490</v>
      </c>
      <c r="Y1194" s="395">
        <v>8555.27</v>
      </c>
      <c r="Z1194" s="396">
        <v>2885417</v>
      </c>
      <c r="AA1194" s="396">
        <v>48745</v>
      </c>
      <c r="AB1194" s="396">
        <v>5275453</v>
      </c>
      <c r="AC1194" s="396">
        <v>10207916</v>
      </c>
    </row>
    <row r="1195" spans="1:29">
      <c r="A1195">
        <v>3593</v>
      </c>
      <c r="B1195" s="395" t="s">
        <v>7493</v>
      </c>
      <c r="C1195" s="395"/>
      <c r="D1195" s="396">
        <v>48567</v>
      </c>
      <c r="E1195" s="396">
        <v>78419</v>
      </c>
      <c r="F1195" s="395">
        <v>2.63</v>
      </c>
      <c r="G1195" s="396">
        <v>-29852</v>
      </c>
      <c r="H1195" s="396">
        <v>8633</v>
      </c>
      <c r="I1195" s="396">
        <v>343860</v>
      </c>
      <c r="J1195" s="395">
        <v>140</v>
      </c>
      <c r="K1195" s="395">
        <v>113</v>
      </c>
      <c r="L1195" s="397">
        <v>0.80710000000000004</v>
      </c>
      <c r="M1195" s="395">
        <v>27</v>
      </c>
      <c r="N1195" s="395">
        <v>347</v>
      </c>
      <c r="O1195" s="395">
        <v>694</v>
      </c>
      <c r="P1195" s="395">
        <v>0.63</v>
      </c>
      <c r="Q1195" s="396">
        <v>-1106</v>
      </c>
      <c r="R1195" s="396">
        <v>1797</v>
      </c>
      <c r="S1195" s="396">
        <v>-2862</v>
      </c>
      <c r="T1195" s="396">
        <v>104603</v>
      </c>
      <c r="U1195" s="396">
        <v>-53983</v>
      </c>
      <c r="V1195" s="395">
        <v>3318.32</v>
      </c>
      <c r="W1195" s="395">
        <v>2707.94</v>
      </c>
      <c r="X1195" s="395">
        <v>77490</v>
      </c>
      <c r="Y1195" s="395">
        <v>5872.89</v>
      </c>
      <c r="Z1195" s="396">
        <v>3990168</v>
      </c>
      <c r="AA1195" s="396">
        <v>48567</v>
      </c>
      <c r="AB1195" s="396">
        <v>9940239</v>
      </c>
      <c r="AC1195" s="396">
        <v>10207916</v>
      </c>
    </row>
    <row r="1196" spans="1:29">
      <c r="A1196">
        <v>6274</v>
      </c>
      <c r="B1196" s="395" t="s">
        <v>8044</v>
      </c>
      <c r="C1196" s="395"/>
      <c r="D1196" s="396">
        <v>48370</v>
      </c>
      <c r="E1196" s="396">
        <v>888330</v>
      </c>
      <c r="F1196" s="395">
        <v>1.06</v>
      </c>
      <c r="G1196" s="396">
        <v>-839960</v>
      </c>
      <c r="H1196" s="396">
        <v>119022</v>
      </c>
      <c r="I1196" s="396">
        <v>3775059</v>
      </c>
      <c r="J1196" s="395">
        <v>277</v>
      </c>
      <c r="K1196" s="395">
        <v>192</v>
      </c>
      <c r="L1196" s="397">
        <v>0.69310000000000005</v>
      </c>
      <c r="M1196" s="395">
        <v>85</v>
      </c>
      <c r="N1196" s="395">
        <v>175</v>
      </c>
      <c r="O1196" s="396">
        <v>4627</v>
      </c>
      <c r="P1196" s="395">
        <v>0.47</v>
      </c>
      <c r="Q1196" s="396">
        <v>-9882</v>
      </c>
      <c r="R1196" s="396">
        <v>18710</v>
      </c>
      <c r="S1196" s="396">
        <v>-22671</v>
      </c>
      <c r="T1196" s="396">
        <v>804561</v>
      </c>
      <c r="U1196" s="396">
        <v>-582452</v>
      </c>
      <c r="V1196" s="395">
        <v>2905.65</v>
      </c>
      <c r="W1196" s="395">
        <v>1529.99</v>
      </c>
      <c r="X1196" s="395">
        <v>77490</v>
      </c>
      <c r="Y1196" s="395">
        <v>6013.02</v>
      </c>
      <c r="Z1196" s="396">
        <v>-18872484</v>
      </c>
      <c r="AA1196" s="396">
        <v>48370</v>
      </c>
      <c r="AB1196" s="396">
        <v>-15279191</v>
      </c>
      <c r="AC1196" s="396">
        <v>10207916</v>
      </c>
    </row>
    <row r="1197" spans="1:29">
      <c r="A1197">
        <v>3060</v>
      </c>
      <c r="B1197" s="395" t="s">
        <v>7297</v>
      </c>
      <c r="C1197" s="395"/>
      <c r="D1197" s="396">
        <v>48122</v>
      </c>
      <c r="E1197" s="396">
        <v>172136</v>
      </c>
      <c r="F1197" s="395">
        <v>1.39</v>
      </c>
      <c r="G1197" s="396">
        <v>-124014</v>
      </c>
      <c r="H1197" s="396">
        <v>24628</v>
      </c>
      <c r="I1197" s="396">
        <v>987191</v>
      </c>
      <c r="J1197" s="395">
        <v>271</v>
      </c>
      <c r="K1197" s="395">
        <v>192</v>
      </c>
      <c r="L1197" s="397">
        <v>0.70850000000000002</v>
      </c>
      <c r="M1197" s="395">
        <v>79</v>
      </c>
      <c r="N1197" s="395">
        <v>178</v>
      </c>
      <c r="O1197" s="395">
        <v>897</v>
      </c>
      <c r="P1197" s="395">
        <v>0.56999999999999995</v>
      </c>
      <c r="Q1197" s="396">
        <v>-1570</v>
      </c>
      <c r="R1197" s="396">
        <v>3405</v>
      </c>
      <c r="S1197" s="396">
        <v>-7066</v>
      </c>
      <c r="T1197" s="396">
        <v>148436</v>
      </c>
      <c r="U1197" s="396">
        <v>-146993</v>
      </c>
      <c r="V1197" s="395">
        <v>2665.92</v>
      </c>
      <c r="W1197" s="395">
        <v>1198.6300000000001</v>
      </c>
      <c r="X1197" s="395">
        <v>77490</v>
      </c>
      <c r="Y1197" s="395">
        <v>6231.97</v>
      </c>
      <c r="Z1197" s="396">
        <v>-12078519</v>
      </c>
      <c r="AA1197" s="396">
        <v>48122</v>
      </c>
      <c r="AB1197" s="396">
        <v>16827893</v>
      </c>
      <c r="AC1197" s="396">
        <v>10207916</v>
      </c>
    </row>
    <row r="1198" spans="1:29">
      <c r="A1198">
        <v>1468</v>
      </c>
      <c r="B1198" s="395" t="s">
        <v>6774</v>
      </c>
      <c r="C1198" s="395"/>
      <c r="D1198" s="396">
        <v>47086</v>
      </c>
      <c r="E1198" s="396">
        <v>73371</v>
      </c>
      <c r="F1198" s="395">
        <v>2.79</v>
      </c>
      <c r="G1198" s="396">
        <v>-26285</v>
      </c>
      <c r="H1198" s="396">
        <v>6464</v>
      </c>
      <c r="I1198" s="396">
        <v>474670</v>
      </c>
      <c r="J1198" s="395">
        <v>123</v>
      </c>
      <c r="K1198" s="395">
        <v>92</v>
      </c>
      <c r="L1198" s="397">
        <v>0.748</v>
      </c>
      <c r="M1198" s="395">
        <v>31</v>
      </c>
      <c r="N1198" s="395">
        <v>383</v>
      </c>
      <c r="O1198" s="395">
        <v>798</v>
      </c>
      <c r="P1198" s="395">
        <v>0.94</v>
      </c>
      <c r="Q1198" s="395">
        <v>-848</v>
      </c>
      <c r="R1198" s="396">
        <v>2295</v>
      </c>
      <c r="S1198" s="396">
        <v>-3760</v>
      </c>
      <c r="T1198" s="396">
        <v>97022</v>
      </c>
      <c r="U1198" s="396">
        <v>-64170</v>
      </c>
      <c r="V1198" s="395">
        <v>5006.96</v>
      </c>
      <c r="W1198" s="395">
        <v>3566.01</v>
      </c>
      <c r="X1198" s="395">
        <v>77490</v>
      </c>
      <c r="Y1198" s="395">
        <v>9283.32</v>
      </c>
      <c r="Z1198" s="396">
        <v>768096</v>
      </c>
      <c r="AA1198" s="396">
        <v>47086</v>
      </c>
      <c r="AB1198" s="396">
        <v>-9674576</v>
      </c>
      <c r="AC1198" s="396">
        <v>10207916</v>
      </c>
    </row>
    <row r="1199" spans="1:29">
      <c r="A1199">
        <v>8935</v>
      </c>
      <c r="B1199" s="395" t="s">
        <v>8383</v>
      </c>
      <c r="C1199" s="395"/>
      <c r="D1199" s="396">
        <v>46576</v>
      </c>
      <c r="E1199" s="396">
        <v>81285</v>
      </c>
      <c r="F1199" s="395">
        <v>2.34</v>
      </c>
      <c r="G1199" s="396">
        <v>-34709</v>
      </c>
      <c r="H1199" s="396">
        <v>7814</v>
      </c>
      <c r="I1199" s="396">
        <v>730107</v>
      </c>
      <c r="J1199" s="395">
        <v>142</v>
      </c>
      <c r="K1199" s="395">
        <v>118</v>
      </c>
      <c r="L1199" s="397">
        <v>0.83099999999999996</v>
      </c>
      <c r="M1199" s="395">
        <v>24</v>
      </c>
      <c r="N1199" s="395">
        <v>328</v>
      </c>
      <c r="O1199" s="395">
        <v>689</v>
      </c>
      <c r="P1199" s="395">
        <v>0.48</v>
      </c>
      <c r="Q1199" s="396">
        <v>-1446</v>
      </c>
      <c r="R1199" s="396">
        <v>1747</v>
      </c>
      <c r="S1199" s="396">
        <v>-4966</v>
      </c>
      <c r="T1199" s="396">
        <v>91344</v>
      </c>
      <c r="U1199" s="396">
        <v>-68006</v>
      </c>
      <c r="V1199" s="395">
        <v>5722.68</v>
      </c>
      <c r="W1199" s="395">
        <v>3747.26</v>
      </c>
      <c r="X1199" s="395">
        <v>77490</v>
      </c>
      <c r="Y1199" s="395">
        <v>15435.17</v>
      </c>
      <c r="Z1199" s="396">
        <v>7269515</v>
      </c>
      <c r="AA1199" s="396">
        <v>46576</v>
      </c>
      <c r="AB1199" s="396">
        <v>34635220</v>
      </c>
      <c r="AC1199" s="396">
        <v>10207916</v>
      </c>
    </row>
    <row r="1200" spans="1:29">
      <c r="A1200">
        <v>1815</v>
      </c>
      <c r="B1200" s="395" t="s">
        <v>6897</v>
      </c>
      <c r="C1200" s="395"/>
      <c r="D1200" s="396">
        <v>46465</v>
      </c>
      <c r="E1200" s="396">
        <v>112751</v>
      </c>
      <c r="F1200" s="395">
        <v>1.7</v>
      </c>
      <c r="G1200" s="396">
        <v>-66286</v>
      </c>
      <c r="H1200" s="396">
        <v>18435</v>
      </c>
      <c r="I1200" s="396">
        <v>595866</v>
      </c>
      <c r="J1200" s="395">
        <v>274</v>
      </c>
      <c r="K1200" s="395">
        <v>206</v>
      </c>
      <c r="L1200" s="397">
        <v>0.75180000000000002</v>
      </c>
      <c r="M1200" s="395">
        <v>68</v>
      </c>
      <c r="N1200" s="395">
        <v>170</v>
      </c>
      <c r="O1200" s="395">
        <v>547</v>
      </c>
      <c r="P1200" s="395">
        <v>0.56000000000000005</v>
      </c>
      <c r="Q1200" s="395">
        <v>-975</v>
      </c>
      <c r="R1200" s="396">
        <v>1994</v>
      </c>
      <c r="S1200" s="396">
        <v>-2966</v>
      </c>
      <c r="T1200" s="396">
        <v>105263</v>
      </c>
      <c r="U1200" s="396">
        <v>-82825</v>
      </c>
      <c r="V1200" s="395">
        <v>2535.7399999999998</v>
      </c>
      <c r="W1200" s="395">
        <v>1430.49</v>
      </c>
      <c r="X1200" s="395">
        <v>77490</v>
      </c>
      <c r="Y1200" s="395">
        <v>5884.01</v>
      </c>
      <c r="Z1200" s="396">
        <v>-10856446</v>
      </c>
      <c r="AA1200" s="396">
        <v>46465</v>
      </c>
      <c r="AB1200" s="396">
        <v>993174</v>
      </c>
      <c r="AC1200" s="396">
        <v>10207916</v>
      </c>
    </row>
    <row r="1201" spans="1:29">
      <c r="A1201">
        <v>5450</v>
      </c>
      <c r="B1201" s="395" t="s">
        <v>7835</v>
      </c>
      <c r="C1201" s="395"/>
      <c r="D1201" s="396">
        <v>46357</v>
      </c>
      <c r="E1201" s="396">
        <v>87071</v>
      </c>
      <c r="F1201" s="395">
        <v>2.14</v>
      </c>
      <c r="G1201" s="396">
        <v>-40714</v>
      </c>
      <c r="H1201" s="396">
        <v>12493</v>
      </c>
      <c r="I1201" s="396">
        <v>500753</v>
      </c>
      <c r="J1201" s="395">
        <v>168</v>
      </c>
      <c r="K1201" s="395">
        <v>133</v>
      </c>
      <c r="L1201" s="397">
        <v>0.79169999999999996</v>
      </c>
      <c r="M1201" s="395">
        <v>35</v>
      </c>
      <c r="N1201" s="395">
        <v>276</v>
      </c>
      <c r="O1201" s="395">
        <v>655</v>
      </c>
      <c r="P1201" s="395">
        <v>0.56000000000000005</v>
      </c>
      <c r="Q1201" s="396">
        <v>-1163</v>
      </c>
      <c r="R1201" s="396">
        <v>1832</v>
      </c>
      <c r="S1201" s="396">
        <v>-3926</v>
      </c>
      <c r="T1201" s="396">
        <v>92321</v>
      </c>
      <c r="U1201" s="396">
        <v>-36928</v>
      </c>
      <c r="V1201" s="395">
        <v>2775.95</v>
      </c>
      <c r="W1201" s="395">
        <v>2215.2199999999998</v>
      </c>
      <c r="X1201" s="395">
        <v>77490</v>
      </c>
      <c r="Y1201" s="395">
        <v>4906.74</v>
      </c>
      <c r="Z1201" s="396">
        <v>-7629235</v>
      </c>
      <c r="AA1201" s="396">
        <v>46357</v>
      </c>
      <c r="AB1201" s="396">
        <v>-1758523</v>
      </c>
      <c r="AC1201" s="396">
        <v>10207916</v>
      </c>
    </row>
    <row r="1202" spans="1:29">
      <c r="A1202">
        <v>1463</v>
      </c>
      <c r="B1202" s="395" t="s">
        <v>6769</v>
      </c>
      <c r="C1202" s="395"/>
      <c r="D1202" s="396">
        <v>46191</v>
      </c>
      <c r="E1202" s="396">
        <v>84863</v>
      </c>
      <c r="F1202" s="395">
        <v>2.19</v>
      </c>
      <c r="G1202" s="396">
        <v>-38672</v>
      </c>
      <c r="H1202" s="396">
        <v>13036</v>
      </c>
      <c r="I1202" s="396">
        <v>911906</v>
      </c>
      <c r="J1202" s="395">
        <v>232</v>
      </c>
      <c r="K1202" s="395">
        <v>157</v>
      </c>
      <c r="L1202" s="397">
        <v>0.67669999999999997</v>
      </c>
      <c r="M1202" s="395">
        <v>75</v>
      </c>
      <c r="N1202" s="395">
        <v>199</v>
      </c>
      <c r="O1202" s="395">
        <v>541</v>
      </c>
      <c r="P1202" s="395">
        <v>1.05</v>
      </c>
      <c r="Q1202" s="395">
        <v>-516</v>
      </c>
      <c r="R1202" s="396">
        <v>2280</v>
      </c>
      <c r="S1202" s="396">
        <v>-2328</v>
      </c>
      <c r="T1202" s="396">
        <v>135312</v>
      </c>
      <c r="U1202" s="396">
        <v>-82093</v>
      </c>
      <c r="V1202" s="395">
        <v>6374.19</v>
      </c>
      <c r="W1202" s="395">
        <v>4822.74</v>
      </c>
      <c r="X1202" s="395">
        <v>77490</v>
      </c>
      <c r="Y1202" s="395">
        <v>9621.8799999999992</v>
      </c>
      <c r="Z1202" s="396">
        <v>-7656850</v>
      </c>
      <c r="AA1202" s="396">
        <v>46191</v>
      </c>
      <c r="AB1202" s="396">
        <v>-711456</v>
      </c>
      <c r="AC1202" s="396">
        <v>10207916</v>
      </c>
    </row>
    <row r="1203" spans="1:29">
      <c r="A1203">
        <v>6767</v>
      </c>
      <c r="B1203" s="395" t="s">
        <v>8210</v>
      </c>
      <c r="C1203" s="395"/>
      <c r="D1203" s="396">
        <v>46187</v>
      </c>
      <c r="E1203" s="396">
        <v>85476</v>
      </c>
      <c r="F1203" s="395">
        <v>2.1800000000000002</v>
      </c>
      <c r="G1203" s="396">
        <v>-39289</v>
      </c>
      <c r="H1203" s="396">
        <v>8713</v>
      </c>
      <c r="I1203" s="396">
        <v>860698</v>
      </c>
      <c r="J1203" s="395">
        <v>64</v>
      </c>
      <c r="K1203" s="395">
        <v>43</v>
      </c>
      <c r="L1203" s="397">
        <v>0.67190000000000005</v>
      </c>
      <c r="M1203" s="395">
        <v>21</v>
      </c>
      <c r="N1203" s="395">
        <v>722</v>
      </c>
      <c r="O1203" s="396">
        <v>1988</v>
      </c>
      <c r="P1203" s="395">
        <v>1.06</v>
      </c>
      <c r="Q1203" s="396">
        <v>-1871</v>
      </c>
      <c r="R1203" s="396">
        <v>5426</v>
      </c>
      <c r="S1203" s="396">
        <v>-4643</v>
      </c>
      <c r="T1203" s="396">
        <v>141625</v>
      </c>
      <c r="U1203" s="396">
        <v>-102565</v>
      </c>
      <c r="V1203" s="395">
        <v>15715.02</v>
      </c>
      <c r="W1203" s="395">
        <v>12004.19</v>
      </c>
      <c r="X1203" s="395">
        <v>73440</v>
      </c>
      <c r="Y1203" s="395">
        <v>23313.38</v>
      </c>
      <c r="Z1203" s="396">
        <v>-4420598</v>
      </c>
      <c r="AA1203" s="396">
        <v>46187</v>
      </c>
      <c r="AB1203" s="396">
        <v>-7518667</v>
      </c>
      <c r="AC1203" s="396">
        <v>10207916</v>
      </c>
    </row>
    <row r="1204" spans="1:29">
      <c r="A1204">
        <v>2433</v>
      </c>
      <c r="B1204" s="395" t="s">
        <v>7060</v>
      </c>
      <c r="C1204" s="395"/>
      <c r="D1204" s="396">
        <v>46149</v>
      </c>
      <c r="E1204" s="396">
        <v>92136</v>
      </c>
      <c r="F1204" s="395">
        <v>2</v>
      </c>
      <c r="G1204" s="396">
        <v>-45986</v>
      </c>
      <c r="H1204" s="396">
        <v>43367</v>
      </c>
      <c r="I1204" s="396">
        <v>6231871</v>
      </c>
      <c r="J1204" s="395">
        <v>208</v>
      </c>
      <c r="K1204" s="395">
        <v>115</v>
      </c>
      <c r="L1204" s="397">
        <v>0.55289999999999995</v>
      </c>
      <c r="M1204" s="395">
        <v>93</v>
      </c>
      <c r="N1204" s="395">
        <v>222</v>
      </c>
      <c r="O1204" s="395">
        <v>801</v>
      </c>
      <c r="P1204" s="395">
        <v>1.62</v>
      </c>
      <c r="Q1204" s="395">
        <v>-494</v>
      </c>
      <c r="R1204" s="396">
        <v>3492</v>
      </c>
      <c r="S1204" s="396">
        <v>-1216</v>
      </c>
      <c r="T1204" s="396">
        <v>247252</v>
      </c>
      <c r="U1204" s="396">
        <v>-128954</v>
      </c>
      <c r="V1204" s="395">
        <v>17614.53</v>
      </c>
      <c r="W1204" s="395">
        <v>20681.66</v>
      </c>
      <c r="X1204" s="395">
        <v>77490</v>
      </c>
      <c r="Y1204" s="395">
        <v>13821.84</v>
      </c>
      <c r="Z1204" s="396">
        <v>873346</v>
      </c>
      <c r="AA1204" s="396">
        <v>46149</v>
      </c>
      <c r="AB1204" s="396">
        <v>2597811</v>
      </c>
      <c r="AC1204" s="396">
        <v>10207916</v>
      </c>
    </row>
    <row r="1205" spans="1:29">
      <c r="A1205">
        <v>8906</v>
      </c>
      <c r="B1205" s="395" t="s">
        <v>8368</v>
      </c>
      <c r="C1205" s="395"/>
      <c r="D1205" s="396">
        <v>46127</v>
      </c>
      <c r="E1205" s="396">
        <v>48271</v>
      </c>
      <c r="F1205" s="395">
        <v>22.51</v>
      </c>
      <c r="G1205" s="396">
        <v>-2144</v>
      </c>
      <c r="H1205" s="396">
        <v>5977</v>
      </c>
      <c r="I1205" s="396">
        <v>164458</v>
      </c>
      <c r="J1205" s="395">
        <v>86</v>
      </c>
      <c r="K1205" s="395">
        <v>79</v>
      </c>
      <c r="L1205" s="397">
        <v>0.91859999999999997</v>
      </c>
      <c r="M1205" s="395">
        <v>7</v>
      </c>
      <c r="N1205" s="395">
        <v>536</v>
      </c>
      <c r="O1205" s="395">
        <v>611</v>
      </c>
      <c r="P1205" s="395">
        <v>2</v>
      </c>
      <c r="Q1205" s="395">
        <v>-306</v>
      </c>
      <c r="R1205" s="396">
        <v>1570</v>
      </c>
      <c r="S1205" s="395">
        <v>-877</v>
      </c>
      <c r="T1205" s="396">
        <v>47250</v>
      </c>
      <c r="U1205" s="396">
        <v>-3302</v>
      </c>
      <c r="V1205" s="395">
        <v>1137.48</v>
      </c>
      <c r="W1205" s="395">
        <v>1168.3399999999999</v>
      </c>
      <c r="X1205" s="395">
        <v>67770</v>
      </c>
      <c r="Y1205" s="395">
        <v>789.14</v>
      </c>
      <c r="Z1205" s="396">
        <v>59438066</v>
      </c>
      <c r="AA1205" s="396">
        <v>46127</v>
      </c>
      <c r="AB1205" s="396">
        <v>4030537</v>
      </c>
      <c r="AC1205" s="396">
        <v>10207916</v>
      </c>
    </row>
    <row r="1206" spans="1:29">
      <c r="A1206">
        <v>1805</v>
      </c>
      <c r="B1206" s="395" t="s">
        <v>6891</v>
      </c>
      <c r="C1206" s="395"/>
      <c r="D1206" s="396">
        <v>45497</v>
      </c>
      <c r="E1206" s="396">
        <v>67668</v>
      </c>
      <c r="F1206" s="395">
        <v>3.05</v>
      </c>
      <c r="G1206" s="396">
        <v>-22171</v>
      </c>
      <c r="H1206" s="396">
        <v>7163</v>
      </c>
      <c r="I1206" s="396">
        <v>394431</v>
      </c>
      <c r="J1206" s="395">
        <v>126</v>
      </c>
      <c r="K1206" s="395">
        <v>99</v>
      </c>
      <c r="L1206" s="397">
        <v>0.78569999999999995</v>
      </c>
      <c r="M1206" s="395">
        <v>27</v>
      </c>
      <c r="N1206" s="395">
        <v>361</v>
      </c>
      <c r="O1206" s="395">
        <v>684</v>
      </c>
      <c r="P1206" s="395">
        <v>0.83</v>
      </c>
      <c r="Q1206" s="395">
        <v>-821</v>
      </c>
      <c r="R1206" s="396">
        <v>3399</v>
      </c>
      <c r="S1206" s="396">
        <v>-3064</v>
      </c>
      <c r="T1206" s="396">
        <v>75313</v>
      </c>
      <c r="U1206" s="396">
        <v>-44921</v>
      </c>
      <c r="V1206" s="395">
        <v>5006.9399999999996</v>
      </c>
      <c r="W1206" s="395">
        <v>3760.12</v>
      </c>
      <c r="X1206" s="395">
        <v>77490</v>
      </c>
      <c r="Y1206" s="395">
        <v>9578.59</v>
      </c>
      <c r="Z1206" s="396">
        <v>-1897187</v>
      </c>
      <c r="AA1206" s="396">
        <v>45497</v>
      </c>
      <c r="AB1206" s="396">
        <v>19829830</v>
      </c>
      <c r="AC1206" s="396">
        <v>10207916</v>
      </c>
    </row>
    <row r="1207" spans="1:29">
      <c r="A1207">
        <v>1413</v>
      </c>
      <c r="B1207" s="395" t="s">
        <v>6737</v>
      </c>
      <c r="C1207" s="395"/>
      <c r="D1207" s="396">
        <v>45253</v>
      </c>
      <c r="E1207" s="396">
        <v>58804</v>
      </c>
      <c r="F1207" s="395">
        <v>4.34</v>
      </c>
      <c r="G1207" s="396">
        <v>-13551</v>
      </c>
      <c r="H1207" s="396">
        <v>6567</v>
      </c>
      <c r="I1207" s="396">
        <v>618422</v>
      </c>
      <c r="J1207" s="395">
        <v>156</v>
      </c>
      <c r="K1207" s="395">
        <v>130</v>
      </c>
      <c r="L1207" s="397">
        <v>0.83330000000000004</v>
      </c>
      <c r="M1207" s="395">
        <v>26</v>
      </c>
      <c r="N1207" s="395">
        <v>290</v>
      </c>
      <c r="O1207" s="395">
        <v>452</v>
      </c>
      <c r="P1207" s="395">
        <v>0.87</v>
      </c>
      <c r="Q1207" s="395">
        <v>-521</v>
      </c>
      <c r="R1207" s="396">
        <v>1060</v>
      </c>
      <c r="S1207" s="396">
        <v>-2448</v>
      </c>
      <c r="T1207" s="396">
        <v>51439</v>
      </c>
      <c r="U1207" s="396">
        <v>-29987</v>
      </c>
      <c r="V1207" s="395">
        <v>8305.98</v>
      </c>
      <c r="W1207" s="395">
        <v>6304.32</v>
      </c>
      <c r="X1207" s="395">
        <v>77490</v>
      </c>
      <c r="Y1207" s="395">
        <v>18314.310000000001</v>
      </c>
      <c r="Z1207" s="396">
        <v>-1808512</v>
      </c>
      <c r="AA1207" s="396">
        <v>45253</v>
      </c>
      <c r="AB1207" s="396">
        <v>8348066</v>
      </c>
      <c r="AC1207" s="396">
        <v>10207916</v>
      </c>
    </row>
    <row r="1208" spans="1:29">
      <c r="A1208">
        <v>1524</v>
      </c>
      <c r="B1208" s="395" t="s">
        <v>6796</v>
      </c>
      <c r="C1208" s="395"/>
      <c r="D1208" s="396">
        <v>45164</v>
      </c>
      <c r="E1208" s="396">
        <v>63754</v>
      </c>
      <c r="F1208" s="395">
        <v>3.43</v>
      </c>
      <c r="G1208" s="396">
        <v>-18590</v>
      </c>
      <c r="H1208" s="396">
        <v>9895</v>
      </c>
      <c r="I1208" s="396">
        <v>708119</v>
      </c>
      <c r="J1208" s="395">
        <v>231</v>
      </c>
      <c r="K1208" s="395">
        <v>187</v>
      </c>
      <c r="L1208" s="397">
        <v>0.8095</v>
      </c>
      <c r="M1208" s="395">
        <v>44</v>
      </c>
      <c r="N1208" s="395">
        <v>196</v>
      </c>
      <c r="O1208" s="395">
        <v>341</v>
      </c>
      <c r="P1208" s="395">
        <v>0.81</v>
      </c>
      <c r="Q1208" s="395">
        <v>-423</v>
      </c>
      <c r="R1208" s="396">
        <v>1611</v>
      </c>
      <c r="S1208" s="396">
        <v>-2246</v>
      </c>
      <c r="T1208" s="396">
        <v>54441</v>
      </c>
      <c r="U1208" s="396">
        <v>-23535</v>
      </c>
      <c r="V1208" s="395">
        <v>5853.05</v>
      </c>
      <c r="W1208" s="395">
        <v>4517.53</v>
      </c>
      <c r="X1208" s="395">
        <v>77490</v>
      </c>
      <c r="Y1208" s="395">
        <v>11529.02</v>
      </c>
      <c r="Z1208" s="396">
        <v>-11030322</v>
      </c>
      <c r="AA1208" s="396">
        <v>45164</v>
      </c>
      <c r="AB1208" s="396">
        <v>438393</v>
      </c>
      <c r="AC1208" s="396">
        <v>10207916</v>
      </c>
    </row>
    <row r="1209" spans="1:29">
      <c r="A1209">
        <v>3011</v>
      </c>
      <c r="B1209" s="395" t="s">
        <v>7252</v>
      </c>
      <c r="C1209" s="395"/>
      <c r="D1209" s="396">
        <v>44891</v>
      </c>
      <c r="E1209" s="396">
        <v>58466</v>
      </c>
      <c r="F1209" s="395">
        <v>4.3099999999999996</v>
      </c>
      <c r="G1209" s="396">
        <v>-13575</v>
      </c>
      <c r="H1209" s="396">
        <v>7429</v>
      </c>
      <c r="I1209" s="396">
        <v>121480</v>
      </c>
      <c r="J1209" s="395">
        <v>191</v>
      </c>
      <c r="K1209" s="395">
        <v>158</v>
      </c>
      <c r="L1209" s="397">
        <v>0.82720000000000005</v>
      </c>
      <c r="M1209" s="395">
        <v>33</v>
      </c>
      <c r="N1209" s="395">
        <v>235</v>
      </c>
      <c r="O1209" s="395">
        <v>370</v>
      </c>
      <c r="P1209" s="395">
        <v>0.9</v>
      </c>
      <c r="Q1209" s="395">
        <v>-411</v>
      </c>
      <c r="R1209" s="396">
        <v>1461</v>
      </c>
      <c r="S1209" s="396">
        <v>-2447</v>
      </c>
      <c r="T1209" s="396">
        <v>50986</v>
      </c>
      <c r="U1209" s="396">
        <v>-15089</v>
      </c>
      <c r="V1209" s="395">
        <v>1664.14</v>
      </c>
      <c r="W1209" s="395">
        <v>1204.73</v>
      </c>
      <c r="X1209" s="395">
        <v>77490</v>
      </c>
      <c r="Y1209" s="395">
        <v>3863.73</v>
      </c>
      <c r="Z1209" s="396">
        <v>727385</v>
      </c>
      <c r="AA1209" s="396">
        <v>44891</v>
      </c>
      <c r="AB1209" s="396">
        <v>36369863</v>
      </c>
      <c r="AC1209" s="396">
        <v>10207916</v>
      </c>
    </row>
    <row r="1210" spans="1:29">
      <c r="A1210">
        <v>4530</v>
      </c>
      <c r="B1210" s="395" t="s">
        <v>7633</v>
      </c>
      <c r="C1210" s="395"/>
      <c r="D1210" s="396">
        <v>44560</v>
      </c>
      <c r="E1210" s="396">
        <v>80012</v>
      </c>
      <c r="F1210" s="395">
        <v>2.2599999999999998</v>
      </c>
      <c r="G1210" s="396">
        <v>-35452</v>
      </c>
      <c r="H1210" s="396">
        <v>5360</v>
      </c>
      <c r="I1210" s="396">
        <v>261594</v>
      </c>
      <c r="J1210" s="395">
        <v>120</v>
      </c>
      <c r="K1210" s="395">
        <v>79</v>
      </c>
      <c r="L1210" s="397">
        <v>0.6583</v>
      </c>
      <c r="M1210" s="395">
        <v>41</v>
      </c>
      <c r="N1210" s="395">
        <v>371</v>
      </c>
      <c r="O1210" s="396">
        <v>1013</v>
      </c>
      <c r="P1210" s="395">
        <v>1.17</v>
      </c>
      <c r="Q1210" s="395">
        <v>-865</v>
      </c>
      <c r="R1210" s="396">
        <v>3491</v>
      </c>
      <c r="S1210" s="396">
        <v>-4218</v>
      </c>
      <c r="T1210" s="396">
        <v>105497</v>
      </c>
      <c r="U1210" s="396">
        <v>-66965</v>
      </c>
      <c r="V1210" s="395">
        <v>4583.42</v>
      </c>
      <c r="W1210" s="395">
        <v>2814.03</v>
      </c>
      <c r="X1210" s="395">
        <v>77220</v>
      </c>
      <c r="Y1210" s="395">
        <v>7992.73</v>
      </c>
      <c r="Z1210" s="396">
        <v>-19735530</v>
      </c>
      <c r="AA1210" s="396">
        <v>44560</v>
      </c>
      <c r="AB1210" s="396">
        <v>-26532982</v>
      </c>
      <c r="AC1210" s="396">
        <v>10207916</v>
      </c>
    </row>
    <row r="1211" spans="1:29">
      <c r="A1211">
        <v>1506</v>
      </c>
      <c r="B1211" s="395" t="s">
        <v>6785</v>
      </c>
      <c r="C1211" s="395"/>
      <c r="D1211" s="396">
        <v>44405</v>
      </c>
      <c r="E1211" s="396">
        <v>60136</v>
      </c>
      <c r="F1211" s="395">
        <v>3.82</v>
      </c>
      <c r="G1211" s="396">
        <v>-15731</v>
      </c>
      <c r="H1211" s="396">
        <v>8295</v>
      </c>
      <c r="I1211" s="396">
        <v>361482</v>
      </c>
      <c r="J1211" s="395">
        <v>184</v>
      </c>
      <c r="K1211" s="395">
        <v>146</v>
      </c>
      <c r="L1211" s="397">
        <v>0.79349999999999998</v>
      </c>
      <c r="M1211" s="395">
        <v>38</v>
      </c>
      <c r="N1211" s="395">
        <v>241</v>
      </c>
      <c r="O1211" s="395">
        <v>412</v>
      </c>
      <c r="P1211" s="395">
        <v>1</v>
      </c>
      <c r="Q1211" s="395">
        <v>-414</v>
      </c>
      <c r="R1211" s="396">
        <v>1794</v>
      </c>
      <c r="S1211" s="396">
        <v>-1413</v>
      </c>
      <c r="T1211" s="396">
        <v>57129</v>
      </c>
      <c r="U1211" s="396">
        <v>-25695</v>
      </c>
      <c r="V1211" s="395">
        <v>3878.17</v>
      </c>
      <c r="W1211" s="395">
        <v>2814.69</v>
      </c>
      <c r="X1211" s="395">
        <v>77490</v>
      </c>
      <c r="Y1211" s="395">
        <v>7964.18</v>
      </c>
      <c r="Z1211" s="396">
        <v>-7673495</v>
      </c>
      <c r="AA1211" s="396">
        <v>44405</v>
      </c>
      <c r="AB1211" s="396">
        <v>15046296</v>
      </c>
      <c r="AC1211" s="396">
        <v>10207916</v>
      </c>
    </row>
    <row r="1212" spans="1:29">
      <c r="A1212">
        <v>6122</v>
      </c>
      <c r="B1212" s="395" t="s">
        <v>7923</v>
      </c>
      <c r="C1212" s="395"/>
      <c r="D1212" s="396">
        <v>44215</v>
      </c>
      <c r="E1212" s="396">
        <v>61282</v>
      </c>
      <c r="F1212" s="395">
        <v>3.59</v>
      </c>
      <c r="G1212" s="396">
        <v>-17067</v>
      </c>
      <c r="H1212" s="396">
        <v>8624</v>
      </c>
      <c r="I1212" s="396">
        <v>544481</v>
      </c>
      <c r="J1212" s="395">
        <v>183</v>
      </c>
      <c r="K1212" s="395">
        <v>153</v>
      </c>
      <c r="L1212" s="397">
        <v>0.83609999999999995</v>
      </c>
      <c r="M1212" s="395">
        <v>30</v>
      </c>
      <c r="N1212" s="395">
        <v>242</v>
      </c>
      <c r="O1212" s="395">
        <v>401</v>
      </c>
      <c r="P1212" s="395">
        <v>0.7</v>
      </c>
      <c r="Q1212" s="395">
        <v>-569</v>
      </c>
      <c r="R1212" s="396">
        <v>1108</v>
      </c>
      <c r="S1212" s="396">
        <v>-1449</v>
      </c>
      <c r="T1212" s="396">
        <v>75106</v>
      </c>
      <c r="U1212" s="396">
        <v>-40101</v>
      </c>
      <c r="V1212" s="395">
        <v>7530.23</v>
      </c>
      <c r="W1212" s="395">
        <v>6066.76</v>
      </c>
      <c r="X1212" s="395">
        <v>77490</v>
      </c>
      <c r="Y1212" s="395">
        <v>14993.97</v>
      </c>
      <c r="Z1212" s="396">
        <v>276375</v>
      </c>
      <c r="AA1212" s="396">
        <v>44215</v>
      </c>
      <c r="AB1212" s="396">
        <v>5546095</v>
      </c>
      <c r="AC1212" s="396">
        <v>10207916</v>
      </c>
    </row>
    <row r="1213" spans="1:29">
      <c r="A1213">
        <v>5520</v>
      </c>
      <c r="B1213" s="395" t="s">
        <v>7864</v>
      </c>
      <c r="C1213" s="395"/>
      <c r="D1213" s="396">
        <v>43914</v>
      </c>
      <c r="E1213" s="396">
        <v>47732</v>
      </c>
      <c r="F1213" s="395">
        <v>12.5</v>
      </c>
      <c r="G1213" s="396">
        <v>-3818</v>
      </c>
      <c r="H1213" s="396">
        <v>7236</v>
      </c>
      <c r="I1213" s="396">
        <v>403040</v>
      </c>
      <c r="J1213" s="395">
        <v>35</v>
      </c>
      <c r="K1213" s="395">
        <v>33</v>
      </c>
      <c r="L1213" s="397">
        <v>0.94289999999999996</v>
      </c>
      <c r="M1213" s="395">
        <v>2</v>
      </c>
      <c r="N1213" s="396">
        <v>1255</v>
      </c>
      <c r="O1213" s="396">
        <v>1446</v>
      </c>
      <c r="P1213" s="395">
        <v>0.76</v>
      </c>
      <c r="Q1213" s="396">
        <v>-1909</v>
      </c>
      <c r="R1213" s="396">
        <v>3291</v>
      </c>
      <c r="S1213" s="396">
        <v>-3815</v>
      </c>
      <c r="T1213" s="396">
        <v>57165</v>
      </c>
      <c r="U1213" s="396">
        <v>-15411</v>
      </c>
      <c r="V1213" s="395">
        <v>3207.23</v>
      </c>
      <c r="W1213" s="395">
        <v>2998.09</v>
      </c>
      <c r="X1213" s="395">
        <v>75870</v>
      </c>
      <c r="Y1213" s="395">
        <v>6658</v>
      </c>
      <c r="Z1213" s="396">
        <v>6620792</v>
      </c>
      <c r="AA1213" s="396">
        <v>43914</v>
      </c>
      <c r="AB1213" s="396">
        <v>19072815</v>
      </c>
      <c r="AC1213" s="396">
        <v>10207916</v>
      </c>
    </row>
    <row r="1214" spans="1:29">
      <c r="A1214">
        <v>3289</v>
      </c>
      <c r="B1214" s="395" t="s">
        <v>7375</v>
      </c>
      <c r="C1214" s="395"/>
      <c r="D1214" s="396">
        <v>43679</v>
      </c>
      <c r="E1214" s="396">
        <v>320235</v>
      </c>
      <c r="F1214" s="395">
        <v>1.1599999999999999</v>
      </c>
      <c r="G1214" s="396">
        <v>-276557</v>
      </c>
      <c r="H1214" s="396">
        <v>50166</v>
      </c>
      <c r="I1214" s="396">
        <v>2906300</v>
      </c>
      <c r="J1214" s="395">
        <v>240</v>
      </c>
      <c r="K1214" s="395">
        <v>161</v>
      </c>
      <c r="L1214" s="397">
        <v>0.67079999999999995</v>
      </c>
      <c r="M1214" s="395">
        <v>79</v>
      </c>
      <c r="N1214" s="395">
        <v>182</v>
      </c>
      <c r="O1214" s="396">
        <v>1989</v>
      </c>
      <c r="P1214" s="395">
        <v>0.56999999999999995</v>
      </c>
      <c r="Q1214" s="396">
        <v>-3501</v>
      </c>
      <c r="R1214" s="396">
        <v>7253</v>
      </c>
      <c r="S1214" s="396">
        <v>-11182</v>
      </c>
      <c r="T1214" s="396">
        <v>392323</v>
      </c>
      <c r="U1214" s="396">
        <v>-356286</v>
      </c>
      <c r="V1214" s="395">
        <v>5851.9</v>
      </c>
      <c r="W1214" s="395">
        <v>3394.63</v>
      </c>
      <c r="X1214" s="395">
        <v>77490</v>
      </c>
      <c r="Y1214" s="395">
        <v>10859.76</v>
      </c>
      <c r="Z1214" s="396">
        <v>-12646178</v>
      </c>
      <c r="AA1214" s="396">
        <v>43679</v>
      </c>
      <c r="AB1214" s="396">
        <v>-7878350</v>
      </c>
      <c r="AC1214" s="396">
        <v>10207916</v>
      </c>
    </row>
    <row r="1215" spans="1:29">
      <c r="A1215">
        <v>6425</v>
      </c>
      <c r="B1215" s="395" t="s">
        <v>8073</v>
      </c>
      <c r="C1215" s="395"/>
      <c r="D1215" s="396">
        <v>43469</v>
      </c>
      <c r="E1215" s="396">
        <v>122960</v>
      </c>
      <c r="F1215" s="395">
        <v>1.55</v>
      </c>
      <c r="G1215" s="396">
        <v>-79491</v>
      </c>
      <c r="H1215" s="396">
        <v>19890</v>
      </c>
      <c r="I1215" s="396">
        <v>1285135</v>
      </c>
      <c r="J1215" s="395">
        <v>181</v>
      </c>
      <c r="K1215" s="395">
        <v>117</v>
      </c>
      <c r="L1215" s="397">
        <v>0.64639999999999997</v>
      </c>
      <c r="M1215" s="395">
        <v>64</v>
      </c>
      <c r="N1215" s="395">
        <v>240</v>
      </c>
      <c r="O1215" s="396">
        <v>1051</v>
      </c>
      <c r="P1215" s="395">
        <v>0.85</v>
      </c>
      <c r="Q1215" s="396">
        <v>-1242</v>
      </c>
      <c r="R1215" s="396">
        <v>2906</v>
      </c>
      <c r="S1215" s="396">
        <v>-6497</v>
      </c>
      <c r="T1215" s="396">
        <v>211517</v>
      </c>
      <c r="U1215" s="396">
        <v>-196385</v>
      </c>
      <c r="V1215" s="395">
        <v>6186.45</v>
      </c>
      <c r="W1215" s="395">
        <v>2763.03</v>
      </c>
      <c r="X1215" s="395">
        <v>77220</v>
      </c>
      <c r="Y1215" s="395">
        <v>12444.87</v>
      </c>
      <c r="Z1215" s="396">
        <v>-10341248</v>
      </c>
      <c r="AA1215" s="396">
        <v>43469</v>
      </c>
      <c r="AB1215" s="396">
        <v>-11035159</v>
      </c>
      <c r="AC1215" s="396">
        <v>10207916</v>
      </c>
    </row>
    <row r="1216" spans="1:29">
      <c r="A1216">
        <v>3288</v>
      </c>
      <c r="B1216" s="395" t="s">
        <v>7374</v>
      </c>
      <c r="C1216" s="395"/>
      <c r="D1216" s="396">
        <v>43440</v>
      </c>
      <c r="E1216" s="396">
        <v>65858</v>
      </c>
      <c r="F1216" s="395">
        <v>2.94</v>
      </c>
      <c r="G1216" s="396">
        <v>-22418</v>
      </c>
      <c r="H1216" s="396">
        <v>5710</v>
      </c>
      <c r="I1216" s="396">
        <v>280834</v>
      </c>
      <c r="J1216" s="395">
        <v>81</v>
      </c>
      <c r="K1216" s="395">
        <v>60</v>
      </c>
      <c r="L1216" s="397">
        <v>0.74070000000000003</v>
      </c>
      <c r="M1216" s="395">
        <v>21</v>
      </c>
      <c r="N1216" s="395">
        <v>536</v>
      </c>
      <c r="O1216" s="396">
        <v>1098</v>
      </c>
      <c r="P1216" s="395">
        <v>1.03</v>
      </c>
      <c r="Q1216" s="396">
        <v>-1068</v>
      </c>
      <c r="R1216" s="396">
        <v>4234</v>
      </c>
      <c r="S1216" s="396">
        <v>-2980</v>
      </c>
      <c r="T1216" s="396">
        <v>97593</v>
      </c>
      <c r="U1216" s="396">
        <v>-64290</v>
      </c>
      <c r="V1216" s="395">
        <v>5335.36</v>
      </c>
      <c r="W1216" s="395">
        <v>3616.32</v>
      </c>
      <c r="X1216" s="395">
        <v>76680</v>
      </c>
      <c r="Y1216" s="395">
        <v>10246.9</v>
      </c>
      <c r="Z1216" s="396">
        <v>5838292</v>
      </c>
      <c r="AA1216" s="396">
        <v>43440</v>
      </c>
      <c r="AB1216" s="396">
        <v>10208633</v>
      </c>
      <c r="AC1216" s="396">
        <v>10207916</v>
      </c>
    </row>
    <row r="1217" spans="1:29">
      <c r="A1217">
        <v>5523</v>
      </c>
      <c r="B1217" s="395" t="s">
        <v>7867</v>
      </c>
      <c r="C1217" s="395"/>
      <c r="D1217" s="396">
        <v>43370</v>
      </c>
      <c r="E1217" s="396">
        <v>138831</v>
      </c>
      <c r="F1217" s="395">
        <v>1.45</v>
      </c>
      <c r="G1217" s="396">
        <v>-95461</v>
      </c>
      <c r="H1217" s="396">
        <v>25888</v>
      </c>
      <c r="I1217" s="396">
        <v>1713444</v>
      </c>
      <c r="J1217" s="395">
        <v>237</v>
      </c>
      <c r="K1217" s="395">
        <v>148</v>
      </c>
      <c r="L1217" s="397">
        <v>0.62450000000000006</v>
      </c>
      <c r="M1217" s="395">
        <v>89</v>
      </c>
      <c r="N1217" s="395">
        <v>183</v>
      </c>
      <c r="O1217" s="395">
        <v>938</v>
      </c>
      <c r="P1217" s="395">
        <v>0.87</v>
      </c>
      <c r="Q1217" s="396">
        <v>-1073</v>
      </c>
      <c r="R1217" s="396">
        <v>3091</v>
      </c>
      <c r="S1217" s="396">
        <v>-6182</v>
      </c>
      <c r="T1217" s="396">
        <v>127164</v>
      </c>
      <c r="U1217" s="396">
        <v>-83419</v>
      </c>
      <c r="V1217" s="395">
        <v>5772.72</v>
      </c>
      <c r="W1217" s="395">
        <v>2896.91</v>
      </c>
      <c r="X1217" s="395">
        <v>77490</v>
      </c>
      <c r="Y1217" s="395">
        <v>10554.98</v>
      </c>
      <c r="Z1217" s="396">
        <v>-2680752</v>
      </c>
      <c r="AA1217" s="396">
        <v>43370</v>
      </c>
      <c r="AB1217" s="396">
        <v>31104664</v>
      </c>
      <c r="AC1217" s="396">
        <v>10207916</v>
      </c>
    </row>
    <row r="1218" spans="1:29">
      <c r="A1218">
        <v>1466</v>
      </c>
      <c r="B1218" s="395" t="s">
        <v>6772</v>
      </c>
      <c r="C1218" s="395"/>
      <c r="D1218" s="396">
        <v>43368</v>
      </c>
      <c r="E1218" s="396">
        <v>102576</v>
      </c>
      <c r="F1218" s="395">
        <v>1.73</v>
      </c>
      <c r="G1218" s="396">
        <v>-59208</v>
      </c>
      <c r="H1218" s="396">
        <v>17732</v>
      </c>
      <c r="I1218" s="396">
        <v>980551</v>
      </c>
      <c r="J1218" s="395">
        <v>262</v>
      </c>
      <c r="K1218" s="395">
        <v>158</v>
      </c>
      <c r="L1218" s="397">
        <v>0.60309999999999997</v>
      </c>
      <c r="M1218" s="395">
        <v>104</v>
      </c>
      <c r="N1218" s="395">
        <v>166</v>
      </c>
      <c r="O1218" s="395">
        <v>649</v>
      </c>
      <c r="P1218" s="395">
        <v>1.1399999999999999</v>
      </c>
      <c r="Q1218" s="395">
        <v>-569</v>
      </c>
      <c r="R1218" s="396">
        <v>2076</v>
      </c>
      <c r="S1218" s="396">
        <v>-3178</v>
      </c>
      <c r="T1218" s="396">
        <v>90789</v>
      </c>
      <c r="U1218" s="396">
        <v>-66315</v>
      </c>
      <c r="V1218" s="395">
        <v>4996.66</v>
      </c>
      <c r="W1218" s="395">
        <v>1913.81</v>
      </c>
      <c r="X1218" s="395">
        <v>77490</v>
      </c>
      <c r="Y1218" s="395">
        <v>9680.2199999999993</v>
      </c>
      <c r="Z1218" s="396">
        <v>-15743188</v>
      </c>
      <c r="AA1218" s="396">
        <v>43368</v>
      </c>
      <c r="AB1218" s="396">
        <v>-12165816</v>
      </c>
      <c r="AC1218" s="396">
        <v>10207916</v>
      </c>
    </row>
    <row r="1219" spans="1:29">
      <c r="A1219">
        <v>8059</v>
      </c>
      <c r="B1219" s="395" t="s">
        <v>8246</v>
      </c>
      <c r="C1219" s="395"/>
      <c r="D1219" s="396">
        <v>42674</v>
      </c>
      <c r="E1219" s="396">
        <v>71543</v>
      </c>
      <c r="F1219" s="395">
        <v>2.48</v>
      </c>
      <c r="G1219" s="396">
        <v>-28869</v>
      </c>
      <c r="H1219" s="396">
        <v>9006</v>
      </c>
      <c r="I1219" s="396">
        <v>405873</v>
      </c>
      <c r="J1219" s="395">
        <v>203</v>
      </c>
      <c r="K1219" s="395">
        <v>156</v>
      </c>
      <c r="L1219" s="397">
        <v>0.76849999999999996</v>
      </c>
      <c r="M1219" s="395">
        <v>47</v>
      </c>
      <c r="N1219" s="395">
        <v>210</v>
      </c>
      <c r="O1219" s="395">
        <v>459</v>
      </c>
      <c r="P1219" s="395">
        <v>0.75</v>
      </c>
      <c r="Q1219" s="395">
        <v>-614</v>
      </c>
      <c r="R1219" s="396">
        <v>2060</v>
      </c>
      <c r="S1219" s="396">
        <v>-2048</v>
      </c>
      <c r="T1219" s="396">
        <v>72439</v>
      </c>
      <c r="U1219" s="396">
        <v>-41033</v>
      </c>
      <c r="V1219" s="395">
        <v>3065.69</v>
      </c>
      <c r="W1219" s="395">
        <v>2192.27</v>
      </c>
      <c r="X1219" s="395">
        <v>77490</v>
      </c>
      <c r="Y1219" s="395">
        <v>5964.72</v>
      </c>
      <c r="Z1219" s="396">
        <v>-12957260</v>
      </c>
      <c r="AA1219" s="396">
        <v>42674</v>
      </c>
      <c r="AB1219" s="396">
        <v>-7389831</v>
      </c>
      <c r="AC1219" s="396">
        <v>10207916</v>
      </c>
    </row>
    <row r="1220" spans="1:29">
      <c r="A1220">
        <v>6593</v>
      </c>
      <c r="B1220" s="395" t="s">
        <v>8148</v>
      </c>
      <c r="C1220" s="395"/>
      <c r="D1220" s="396">
        <v>42248</v>
      </c>
      <c r="E1220" s="396">
        <v>49452</v>
      </c>
      <c r="F1220" s="395">
        <v>6.86</v>
      </c>
      <c r="G1220" s="396">
        <v>-7204</v>
      </c>
      <c r="H1220" s="396">
        <v>4902</v>
      </c>
      <c r="I1220" s="396">
        <v>383588</v>
      </c>
      <c r="J1220" s="395">
        <v>35</v>
      </c>
      <c r="K1220" s="395">
        <v>30</v>
      </c>
      <c r="L1220" s="397">
        <v>0.85709999999999997</v>
      </c>
      <c r="M1220" s="395">
        <v>5</v>
      </c>
      <c r="N1220" s="396">
        <v>1207</v>
      </c>
      <c r="O1220" s="396">
        <v>1648</v>
      </c>
      <c r="P1220" s="395">
        <v>1.1399999999999999</v>
      </c>
      <c r="Q1220" s="396">
        <v>-1441</v>
      </c>
      <c r="R1220" s="396">
        <v>3570</v>
      </c>
      <c r="S1220" s="396">
        <v>-3513</v>
      </c>
      <c r="T1220" s="396">
        <v>48318</v>
      </c>
      <c r="U1220" s="396">
        <v>-12885</v>
      </c>
      <c r="V1220" s="395">
        <v>3298.26</v>
      </c>
      <c r="W1220" s="395">
        <v>3101.83</v>
      </c>
      <c r="X1220" s="395">
        <v>72630</v>
      </c>
      <c r="Y1220" s="395">
        <v>4476.8</v>
      </c>
      <c r="Z1220" s="396">
        <v>5114989</v>
      </c>
      <c r="AA1220" s="396">
        <v>42248</v>
      </c>
      <c r="AB1220" s="396">
        <v>24349580</v>
      </c>
      <c r="AC1220" s="396">
        <v>10207916</v>
      </c>
    </row>
    <row r="1221" spans="1:29">
      <c r="A1221">
        <v>3308</v>
      </c>
      <c r="B1221" s="395" t="s">
        <v>7384</v>
      </c>
      <c r="C1221" s="395"/>
      <c r="D1221" s="396">
        <v>42157</v>
      </c>
      <c r="E1221" s="396">
        <v>62112</v>
      </c>
      <c r="F1221" s="395">
        <v>3.11</v>
      </c>
      <c r="G1221" s="396">
        <v>-19955</v>
      </c>
      <c r="H1221" s="396">
        <v>6581</v>
      </c>
      <c r="I1221" s="396">
        <v>89140</v>
      </c>
      <c r="J1221" s="395">
        <v>165</v>
      </c>
      <c r="K1221" s="395">
        <v>129</v>
      </c>
      <c r="L1221" s="397">
        <v>0.78180000000000005</v>
      </c>
      <c r="M1221" s="395">
        <v>36</v>
      </c>
      <c r="N1221" s="395">
        <v>255</v>
      </c>
      <c r="O1221" s="395">
        <v>481</v>
      </c>
      <c r="P1221" s="395">
        <v>0.87</v>
      </c>
      <c r="Q1221" s="395">
        <v>-554</v>
      </c>
      <c r="R1221" s="396">
        <v>2177</v>
      </c>
      <c r="S1221" s="396">
        <v>-1731</v>
      </c>
      <c r="T1221" s="396">
        <v>49108</v>
      </c>
      <c r="U1221" s="396">
        <v>-10368</v>
      </c>
      <c r="V1221" s="395">
        <v>1602.62</v>
      </c>
      <c r="W1221" s="395">
        <v>1186.8900000000001</v>
      </c>
      <c r="X1221" s="395">
        <v>76140</v>
      </c>
      <c r="Y1221" s="395">
        <v>3092.33</v>
      </c>
      <c r="Z1221" s="396">
        <v>-13917532</v>
      </c>
      <c r="AA1221" s="396">
        <v>42157</v>
      </c>
      <c r="AB1221" s="396">
        <v>25067637</v>
      </c>
      <c r="AC1221" s="396">
        <v>10207916</v>
      </c>
    </row>
    <row r="1222" spans="1:29">
      <c r="A1222">
        <v>4127</v>
      </c>
      <c r="B1222" s="395" t="s">
        <v>7567</v>
      </c>
      <c r="C1222" s="395"/>
      <c r="D1222" s="396">
        <v>41407</v>
      </c>
      <c r="E1222" s="396">
        <v>50872</v>
      </c>
      <c r="F1222" s="395">
        <v>5.37</v>
      </c>
      <c r="G1222" s="396">
        <v>-9465</v>
      </c>
      <c r="H1222" s="396">
        <v>6753</v>
      </c>
      <c r="I1222" s="396">
        <v>197105</v>
      </c>
      <c r="J1222" s="395">
        <v>140</v>
      </c>
      <c r="K1222" s="395">
        <v>115</v>
      </c>
      <c r="L1222" s="397">
        <v>0.82140000000000002</v>
      </c>
      <c r="M1222" s="395">
        <v>25</v>
      </c>
      <c r="N1222" s="395">
        <v>296</v>
      </c>
      <c r="O1222" s="395">
        <v>442</v>
      </c>
      <c r="P1222" s="395">
        <v>1.17</v>
      </c>
      <c r="Q1222" s="395">
        <v>-379</v>
      </c>
      <c r="R1222" s="396">
        <v>1297</v>
      </c>
      <c r="S1222" s="396">
        <v>-1359</v>
      </c>
      <c r="T1222" s="396">
        <v>44291</v>
      </c>
      <c r="U1222" s="396">
        <v>-15250</v>
      </c>
      <c r="V1222" s="395">
        <v>2187.85</v>
      </c>
      <c r="W1222" s="395">
        <v>1739.62</v>
      </c>
      <c r="X1222" s="395">
        <v>77490</v>
      </c>
      <c r="Y1222" s="395">
        <v>4249.72</v>
      </c>
      <c r="Z1222" s="396">
        <v>-8234026</v>
      </c>
      <c r="AA1222" s="396">
        <v>41407</v>
      </c>
      <c r="AB1222" s="396">
        <v>5370536</v>
      </c>
      <c r="AC1222" s="396">
        <v>10207916</v>
      </c>
    </row>
    <row r="1223" spans="1:29">
      <c r="A1223">
        <v>1258</v>
      </c>
      <c r="B1223" s="395" t="s">
        <v>6704</v>
      </c>
      <c r="C1223" s="395"/>
      <c r="D1223" s="396">
        <v>41380</v>
      </c>
      <c r="E1223" s="396">
        <v>48797</v>
      </c>
      <c r="F1223" s="395">
        <v>6.58</v>
      </c>
      <c r="G1223" s="396">
        <v>-7417</v>
      </c>
      <c r="H1223" s="396">
        <v>6870</v>
      </c>
      <c r="I1223" s="396">
        <v>245152</v>
      </c>
      <c r="J1223" s="395">
        <v>96</v>
      </c>
      <c r="K1223" s="395">
        <v>79</v>
      </c>
      <c r="L1223" s="397">
        <v>0.82289999999999996</v>
      </c>
      <c r="M1223" s="395">
        <v>17</v>
      </c>
      <c r="N1223" s="395">
        <v>431</v>
      </c>
      <c r="O1223" s="395">
        <v>618</v>
      </c>
      <c r="P1223" s="395">
        <v>1.42</v>
      </c>
      <c r="Q1223" s="395">
        <v>-436</v>
      </c>
      <c r="R1223" s="396">
        <v>1475</v>
      </c>
      <c r="S1223" s="396">
        <v>-1379</v>
      </c>
      <c r="T1223" s="396">
        <v>45989</v>
      </c>
      <c r="U1223" s="396">
        <v>-16123</v>
      </c>
      <c r="V1223" s="395">
        <v>2339.6</v>
      </c>
      <c r="W1223" s="395">
        <v>1971.62</v>
      </c>
      <c r="X1223" s="395">
        <v>73440</v>
      </c>
      <c r="Y1223" s="395">
        <v>4049.65</v>
      </c>
      <c r="Z1223" s="396">
        <v>21614540</v>
      </c>
      <c r="AA1223" s="396">
        <v>41380</v>
      </c>
      <c r="AB1223" s="396">
        <v>6928571</v>
      </c>
      <c r="AC1223" s="396">
        <v>10207916</v>
      </c>
    </row>
    <row r="1224" spans="1:29">
      <c r="A1224">
        <v>2419</v>
      </c>
      <c r="B1224" s="395" t="s">
        <v>7048</v>
      </c>
      <c r="C1224" s="395"/>
      <c r="D1224" s="396">
        <v>41280</v>
      </c>
      <c r="E1224" s="396">
        <v>141416</v>
      </c>
      <c r="F1224" s="395">
        <v>1.41</v>
      </c>
      <c r="G1224" s="396">
        <v>-100136</v>
      </c>
      <c r="H1224" s="396">
        <v>23667</v>
      </c>
      <c r="I1224" s="396">
        <v>1253622</v>
      </c>
      <c r="J1224" s="395">
        <v>269</v>
      </c>
      <c r="K1224" s="395">
        <v>201</v>
      </c>
      <c r="L1224" s="397">
        <v>0.74719999999999998</v>
      </c>
      <c r="M1224" s="395">
        <v>68</v>
      </c>
      <c r="N1224" s="395">
        <v>153</v>
      </c>
      <c r="O1224" s="395">
        <v>704</v>
      </c>
      <c r="P1224" s="395">
        <v>0.48</v>
      </c>
      <c r="Q1224" s="396">
        <v>-1473</v>
      </c>
      <c r="R1224" s="396">
        <v>2319</v>
      </c>
      <c r="S1224" s="396">
        <v>-5142</v>
      </c>
      <c r="T1224" s="396">
        <v>152697</v>
      </c>
      <c r="U1224" s="396">
        <v>-90139</v>
      </c>
      <c r="V1224" s="395">
        <v>4941.92</v>
      </c>
      <c r="W1224" s="395">
        <v>4311.3999999999996</v>
      </c>
      <c r="X1224" s="395">
        <v>77490</v>
      </c>
      <c r="Y1224" s="395">
        <v>6805.65</v>
      </c>
      <c r="Z1224" s="396">
        <v>-8250803</v>
      </c>
      <c r="AA1224" s="396">
        <v>41280</v>
      </c>
      <c r="AB1224" s="396">
        <v>-6298447</v>
      </c>
      <c r="AC1224" s="396">
        <v>10207916</v>
      </c>
    </row>
    <row r="1225" spans="1:29">
      <c r="A1225">
        <v>3290</v>
      </c>
      <c r="B1225" s="395" t="s">
        <v>7376</v>
      </c>
      <c r="C1225" s="395"/>
      <c r="D1225" s="396">
        <v>41193</v>
      </c>
      <c r="E1225" s="396">
        <v>124434</v>
      </c>
      <c r="F1225" s="395">
        <v>1.49</v>
      </c>
      <c r="G1225" s="396">
        <v>-83241</v>
      </c>
      <c r="H1225" s="396">
        <v>15946</v>
      </c>
      <c r="I1225" s="396">
        <v>541316</v>
      </c>
      <c r="J1225" s="395">
        <v>240</v>
      </c>
      <c r="K1225" s="395">
        <v>194</v>
      </c>
      <c r="L1225" s="397">
        <v>0.80830000000000002</v>
      </c>
      <c r="M1225" s="395">
        <v>46</v>
      </c>
      <c r="N1225" s="395">
        <v>172</v>
      </c>
      <c r="O1225" s="395">
        <v>641</v>
      </c>
      <c r="P1225" s="395">
        <v>0.35</v>
      </c>
      <c r="Q1225" s="396">
        <v>-1810</v>
      </c>
      <c r="R1225" s="396">
        <v>3008</v>
      </c>
      <c r="S1225" s="396">
        <v>-5490</v>
      </c>
      <c r="T1225" s="396">
        <v>110935</v>
      </c>
      <c r="U1225" s="396">
        <v>-65864</v>
      </c>
      <c r="V1225" s="395">
        <v>3846.35</v>
      </c>
      <c r="W1225" s="395">
        <v>3439.98</v>
      </c>
      <c r="X1225" s="395">
        <v>77490</v>
      </c>
      <c r="Y1225" s="395">
        <v>5560.17</v>
      </c>
      <c r="Z1225" s="396">
        <v>-4394801</v>
      </c>
      <c r="AA1225" s="396">
        <v>41193</v>
      </c>
      <c r="AB1225" s="396">
        <v>13428917</v>
      </c>
      <c r="AC1225" s="396">
        <v>10207916</v>
      </c>
    </row>
    <row r="1226" spans="1:29">
      <c r="A1226">
        <v>3202</v>
      </c>
      <c r="B1226" s="395" t="s">
        <v>7340</v>
      </c>
      <c r="C1226" s="395"/>
      <c r="D1226" s="396">
        <v>41169</v>
      </c>
      <c r="E1226" s="396">
        <v>150612</v>
      </c>
      <c r="F1226" s="395">
        <v>1.38</v>
      </c>
      <c r="G1226" s="396">
        <v>-109443</v>
      </c>
      <c r="H1226" s="396">
        <v>15431</v>
      </c>
      <c r="I1226" s="396">
        <v>1210480</v>
      </c>
      <c r="J1226" s="395">
        <v>238</v>
      </c>
      <c r="K1226" s="395">
        <v>166</v>
      </c>
      <c r="L1226" s="397">
        <v>0.69750000000000001</v>
      </c>
      <c r="M1226" s="395">
        <v>72</v>
      </c>
      <c r="N1226" s="395">
        <v>173</v>
      </c>
      <c r="O1226" s="395">
        <v>907</v>
      </c>
      <c r="P1226" s="395">
        <v>0.6</v>
      </c>
      <c r="Q1226" s="396">
        <v>-1520</v>
      </c>
      <c r="R1226" s="396">
        <v>4395</v>
      </c>
      <c r="S1226" s="396">
        <v>-3872</v>
      </c>
      <c r="T1226" s="396">
        <v>290267</v>
      </c>
      <c r="U1226" s="396">
        <v>-232491</v>
      </c>
      <c r="V1226" s="395">
        <v>5180.26</v>
      </c>
      <c r="W1226" s="395">
        <v>2715.58</v>
      </c>
      <c r="X1226" s="395">
        <v>77490</v>
      </c>
      <c r="Y1226" s="395">
        <v>10862.71</v>
      </c>
      <c r="Z1226" s="396">
        <v>-3135103</v>
      </c>
      <c r="AA1226" s="396">
        <v>41169</v>
      </c>
      <c r="AB1226" s="396">
        <v>-6712794</v>
      </c>
      <c r="AC1226" s="396">
        <v>10207916</v>
      </c>
    </row>
    <row r="1227" spans="1:29">
      <c r="A1227">
        <v>4707</v>
      </c>
      <c r="B1227" s="395" t="s">
        <v>7669</v>
      </c>
      <c r="C1227" s="395"/>
      <c r="D1227" s="396">
        <v>41124</v>
      </c>
      <c r="E1227" s="396">
        <v>62016</v>
      </c>
      <c r="F1227" s="395">
        <v>2.97</v>
      </c>
      <c r="G1227" s="396">
        <v>-20892</v>
      </c>
      <c r="H1227" s="396">
        <v>12984</v>
      </c>
      <c r="I1227" s="396">
        <v>991073</v>
      </c>
      <c r="J1227" s="395">
        <v>251</v>
      </c>
      <c r="K1227" s="395">
        <v>166</v>
      </c>
      <c r="L1227" s="397">
        <v>0.66139999999999999</v>
      </c>
      <c r="M1227" s="395">
        <v>76</v>
      </c>
      <c r="N1227" s="395">
        <v>164</v>
      </c>
      <c r="O1227" s="395">
        <v>374</v>
      </c>
      <c r="P1227" s="395">
        <v>1.36</v>
      </c>
      <c r="Q1227" s="395">
        <v>-275</v>
      </c>
      <c r="R1227" s="396">
        <v>1698</v>
      </c>
      <c r="S1227" s="396">
        <v>-1859</v>
      </c>
      <c r="T1227" s="396">
        <v>78364</v>
      </c>
      <c r="U1227" s="396">
        <v>-38045</v>
      </c>
      <c r="V1227" s="395">
        <v>6605.94</v>
      </c>
      <c r="W1227" s="395">
        <v>4257.13</v>
      </c>
      <c r="X1227" s="395">
        <v>77490</v>
      </c>
      <c r="Y1227" s="395">
        <v>10937.83</v>
      </c>
      <c r="Z1227" s="396">
        <v>-977655</v>
      </c>
      <c r="AA1227" s="396">
        <v>41124</v>
      </c>
      <c r="AB1227" s="396">
        <v>6410035</v>
      </c>
      <c r="AC1227" s="396">
        <v>10207916</v>
      </c>
    </row>
    <row r="1228" spans="1:29">
      <c r="A1228">
        <v>6163</v>
      </c>
      <c r="B1228" s="395" t="s">
        <v>7955</v>
      </c>
      <c r="C1228" s="395"/>
      <c r="D1228" s="396">
        <v>41055</v>
      </c>
      <c r="E1228" s="396">
        <v>111995</v>
      </c>
      <c r="F1228" s="395">
        <v>1.58</v>
      </c>
      <c r="G1228" s="396">
        <v>-70940</v>
      </c>
      <c r="H1228" s="396">
        <v>18795</v>
      </c>
      <c r="I1228" s="396">
        <v>664035</v>
      </c>
      <c r="J1228" s="395">
        <v>251</v>
      </c>
      <c r="K1228" s="395">
        <v>176</v>
      </c>
      <c r="L1228" s="397">
        <v>0.70120000000000005</v>
      </c>
      <c r="M1228" s="395">
        <v>75</v>
      </c>
      <c r="N1228" s="395">
        <v>164</v>
      </c>
      <c r="O1228" s="395">
        <v>636</v>
      </c>
      <c r="P1228" s="395">
        <v>0.67</v>
      </c>
      <c r="Q1228" s="395">
        <v>-946</v>
      </c>
      <c r="R1228" s="396">
        <v>1984</v>
      </c>
      <c r="S1228" s="396">
        <v>-3427</v>
      </c>
      <c r="T1228" s="396">
        <v>101056</v>
      </c>
      <c r="U1228" s="396">
        <v>-51832</v>
      </c>
      <c r="V1228" s="395">
        <v>2533.5100000000002</v>
      </c>
      <c r="W1228" s="395">
        <v>1350.01</v>
      </c>
      <c r="X1228" s="395">
        <v>77490</v>
      </c>
      <c r="Y1228" s="395">
        <v>5310.81</v>
      </c>
      <c r="Z1228" s="396">
        <v>-6458812</v>
      </c>
      <c r="AA1228" s="396">
        <v>41055</v>
      </c>
      <c r="AB1228" s="396">
        <v>3268882</v>
      </c>
      <c r="AC1228" s="396">
        <v>10207916</v>
      </c>
    </row>
    <row r="1229" spans="1:29">
      <c r="A1229">
        <v>2356</v>
      </c>
      <c r="B1229" s="395" t="s">
        <v>7005</v>
      </c>
      <c r="C1229" s="395"/>
      <c r="D1229" s="396">
        <v>41000</v>
      </c>
      <c r="E1229" s="396">
        <v>128572</v>
      </c>
      <c r="F1229" s="395">
        <v>1.47</v>
      </c>
      <c r="G1229" s="396">
        <v>-87572</v>
      </c>
      <c r="H1229" s="396">
        <v>29083</v>
      </c>
      <c r="I1229" s="396">
        <v>2483845</v>
      </c>
      <c r="J1229" s="395">
        <v>285</v>
      </c>
      <c r="K1229" s="395">
        <v>166</v>
      </c>
      <c r="L1229" s="397">
        <v>0.58250000000000002</v>
      </c>
      <c r="M1229" s="395">
        <v>115</v>
      </c>
      <c r="N1229" s="395">
        <v>144</v>
      </c>
      <c r="O1229" s="395">
        <v>775</v>
      </c>
      <c r="P1229" s="395">
        <v>1.02</v>
      </c>
      <c r="Q1229" s="395">
        <v>-761</v>
      </c>
      <c r="R1229" s="396">
        <v>2598</v>
      </c>
      <c r="S1229" s="396">
        <v>-2054</v>
      </c>
      <c r="T1229" s="396">
        <v>168466</v>
      </c>
      <c r="U1229" s="396">
        <v>-125520</v>
      </c>
      <c r="V1229" s="395">
        <v>8601.76</v>
      </c>
      <c r="W1229" s="395">
        <v>4587.5</v>
      </c>
      <c r="X1229" s="395">
        <v>77490</v>
      </c>
      <c r="Y1229" s="395">
        <v>14265.79</v>
      </c>
      <c r="Z1229" s="396">
        <v>-149074</v>
      </c>
      <c r="AA1229" s="396">
        <v>41000</v>
      </c>
      <c r="AB1229" s="396">
        <v>5670904</v>
      </c>
      <c r="AC1229" s="396">
        <v>10207916</v>
      </c>
    </row>
    <row r="1230" spans="1:29">
      <c r="A1230">
        <v>2897</v>
      </c>
      <c r="B1230" s="395" t="s">
        <v>7223</v>
      </c>
      <c r="C1230" s="395"/>
      <c r="D1230" s="396">
        <v>40897</v>
      </c>
      <c r="E1230" s="396">
        <v>45903</v>
      </c>
      <c r="F1230" s="395">
        <v>9.17</v>
      </c>
      <c r="G1230" s="396">
        <v>-5006</v>
      </c>
      <c r="H1230" s="396">
        <v>8266</v>
      </c>
      <c r="I1230" s="396">
        <v>415987</v>
      </c>
      <c r="J1230" s="395">
        <v>271</v>
      </c>
      <c r="K1230" s="395">
        <v>239</v>
      </c>
      <c r="L1230" s="397">
        <v>0.88190000000000002</v>
      </c>
      <c r="M1230" s="395">
        <v>32</v>
      </c>
      <c r="N1230" s="395">
        <v>151</v>
      </c>
      <c r="O1230" s="395">
        <v>192</v>
      </c>
      <c r="P1230" s="395">
        <v>1.23</v>
      </c>
      <c r="Q1230" s="395">
        <v>-156</v>
      </c>
      <c r="R1230" s="395">
        <v>632</v>
      </c>
      <c r="S1230" s="395">
        <v>-813</v>
      </c>
      <c r="T1230" s="396">
        <v>45462</v>
      </c>
      <c r="U1230" s="396">
        <v>-11581</v>
      </c>
      <c r="V1230" s="395">
        <v>4454.4799999999996</v>
      </c>
      <c r="W1230" s="395">
        <v>3942.64</v>
      </c>
      <c r="X1230" s="395">
        <v>77490</v>
      </c>
      <c r="Y1230" s="395">
        <v>8277.31</v>
      </c>
      <c r="Z1230" s="396">
        <v>723023</v>
      </c>
      <c r="AA1230" s="396">
        <v>40897</v>
      </c>
      <c r="AB1230" s="396">
        <v>16682270</v>
      </c>
      <c r="AC1230" s="396">
        <v>10207916</v>
      </c>
    </row>
    <row r="1231" spans="1:29">
      <c r="A1231">
        <v>6291</v>
      </c>
      <c r="B1231" s="395" t="s">
        <v>8059</v>
      </c>
      <c r="C1231" s="395"/>
      <c r="D1231" s="396">
        <v>40605</v>
      </c>
      <c r="E1231" s="396">
        <v>52852</v>
      </c>
      <c r="F1231" s="395">
        <v>4.32</v>
      </c>
      <c r="G1231" s="396">
        <v>-12247</v>
      </c>
      <c r="H1231" s="396">
        <v>5545</v>
      </c>
      <c r="I1231" s="396">
        <v>162280</v>
      </c>
      <c r="J1231" s="395">
        <v>39</v>
      </c>
      <c r="K1231" s="395">
        <v>32</v>
      </c>
      <c r="L1231" s="397">
        <v>0.82050000000000001</v>
      </c>
      <c r="M1231" s="395">
        <v>7</v>
      </c>
      <c r="N1231" s="396">
        <v>1041</v>
      </c>
      <c r="O1231" s="396">
        <v>1652</v>
      </c>
      <c r="P1231" s="395">
        <v>0.94</v>
      </c>
      <c r="Q1231" s="396">
        <v>-1750</v>
      </c>
      <c r="R1231" s="396">
        <v>4734</v>
      </c>
      <c r="S1231" s="396">
        <v>-3637</v>
      </c>
      <c r="T1231" s="396">
        <v>54430</v>
      </c>
      <c r="U1231" s="396">
        <v>-15874</v>
      </c>
      <c r="V1231" s="395">
        <v>1305.56</v>
      </c>
      <c r="W1231" s="395">
        <v>688.94</v>
      </c>
      <c r="X1231" s="395">
        <v>75600</v>
      </c>
      <c r="Y1231" s="395">
        <v>4124.43</v>
      </c>
      <c r="Z1231" s="396">
        <v>22736606</v>
      </c>
      <c r="AA1231" s="396">
        <v>40605</v>
      </c>
      <c r="AB1231" s="396">
        <v>76672673</v>
      </c>
      <c r="AC1231" s="396">
        <v>10207916</v>
      </c>
    </row>
    <row r="1232" spans="1:29">
      <c r="A1232">
        <v>1776</v>
      </c>
      <c r="B1232" s="395" t="s">
        <v>6878</v>
      </c>
      <c r="C1232" s="395"/>
      <c r="D1232" s="396">
        <v>40522</v>
      </c>
      <c r="E1232" s="396">
        <v>94758</v>
      </c>
      <c r="F1232" s="395">
        <v>1.75</v>
      </c>
      <c r="G1232" s="396">
        <v>-54236</v>
      </c>
      <c r="H1232" s="396">
        <v>16944</v>
      </c>
      <c r="I1232" s="396">
        <v>1299102</v>
      </c>
      <c r="J1232" s="395">
        <v>208</v>
      </c>
      <c r="K1232" s="395">
        <v>148</v>
      </c>
      <c r="L1232" s="397">
        <v>0.71150000000000002</v>
      </c>
      <c r="M1232" s="395">
        <v>60</v>
      </c>
      <c r="N1232" s="395">
        <v>195</v>
      </c>
      <c r="O1232" s="395">
        <v>640</v>
      </c>
      <c r="P1232" s="395">
        <v>0.71</v>
      </c>
      <c r="Q1232" s="395">
        <v>-904</v>
      </c>
      <c r="R1232" s="396">
        <v>2713</v>
      </c>
      <c r="S1232" s="396">
        <v>-3442</v>
      </c>
      <c r="T1232" s="396">
        <v>79225</v>
      </c>
      <c r="U1232" s="396">
        <v>-98352</v>
      </c>
      <c r="V1232" s="395">
        <v>5754.03</v>
      </c>
      <c r="W1232" s="395">
        <v>3374.91</v>
      </c>
      <c r="X1232" s="395">
        <v>77220</v>
      </c>
      <c r="Y1232" s="395">
        <v>11622.53</v>
      </c>
      <c r="Z1232" s="396">
        <v>-13567519</v>
      </c>
      <c r="AA1232" s="396">
        <v>40522</v>
      </c>
      <c r="AB1232" s="396">
        <v>16573471</v>
      </c>
      <c r="AC1232" s="396">
        <v>10207916</v>
      </c>
    </row>
    <row r="1233" spans="1:29">
      <c r="A1233">
        <v>6167</v>
      </c>
      <c r="B1233" s="395" t="s">
        <v>7959</v>
      </c>
      <c r="C1233" s="395"/>
      <c r="D1233" s="396">
        <v>40514</v>
      </c>
      <c r="E1233" s="396">
        <v>56487</v>
      </c>
      <c r="F1233" s="395">
        <v>3.54</v>
      </c>
      <c r="G1233" s="396">
        <v>-15973</v>
      </c>
      <c r="H1233" s="396">
        <v>7926</v>
      </c>
      <c r="I1233" s="396">
        <v>251586</v>
      </c>
      <c r="J1233" s="395">
        <v>188</v>
      </c>
      <c r="K1233" s="395">
        <v>161</v>
      </c>
      <c r="L1233" s="397">
        <v>0.85640000000000005</v>
      </c>
      <c r="M1233" s="395">
        <v>27</v>
      </c>
      <c r="N1233" s="395">
        <v>215</v>
      </c>
      <c r="O1233" s="395">
        <v>351</v>
      </c>
      <c r="P1233" s="395">
        <v>0.59</v>
      </c>
      <c r="Q1233" s="395">
        <v>-592</v>
      </c>
      <c r="R1233" s="396">
        <v>1892</v>
      </c>
      <c r="S1233" s="396">
        <v>-2054</v>
      </c>
      <c r="T1233" s="396">
        <v>50473</v>
      </c>
      <c r="U1233" s="396">
        <v>-16704</v>
      </c>
      <c r="V1233" s="395">
        <v>2041.97</v>
      </c>
      <c r="W1233" s="395">
        <v>1567.42</v>
      </c>
      <c r="X1233" s="395">
        <v>77490</v>
      </c>
      <c r="Y1233" s="395">
        <v>4871.67</v>
      </c>
      <c r="Z1233" s="396">
        <v>20626100</v>
      </c>
      <c r="AA1233" s="396">
        <v>40514</v>
      </c>
      <c r="AB1233" s="396">
        <v>27771536</v>
      </c>
      <c r="AC1233" s="396">
        <v>10207916</v>
      </c>
    </row>
    <row r="1234" spans="1:29">
      <c r="A1234">
        <v>2867</v>
      </c>
      <c r="B1234" s="395" t="s">
        <v>7209</v>
      </c>
      <c r="C1234" s="395"/>
      <c r="D1234" s="396">
        <v>40373</v>
      </c>
      <c r="E1234" s="396">
        <v>75369</v>
      </c>
      <c r="F1234" s="395">
        <v>2.15</v>
      </c>
      <c r="G1234" s="396">
        <v>-34996</v>
      </c>
      <c r="H1234" s="396">
        <v>10100</v>
      </c>
      <c r="I1234" s="396">
        <v>1310701</v>
      </c>
      <c r="J1234" s="395">
        <v>275</v>
      </c>
      <c r="K1234" s="395">
        <v>217</v>
      </c>
      <c r="L1234" s="397">
        <v>0.78910000000000002</v>
      </c>
      <c r="M1234" s="395">
        <v>58</v>
      </c>
      <c r="N1234" s="395">
        <v>147</v>
      </c>
      <c r="O1234" s="395">
        <v>347</v>
      </c>
      <c r="P1234" s="395">
        <v>0.57999999999999996</v>
      </c>
      <c r="Q1234" s="395">
        <v>-603</v>
      </c>
      <c r="R1234" s="396">
        <v>1160</v>
      </c>
      <c r="S1234" s="396">
        <v>-1737</v>
      </c>
      <c r="T1234" s="396">
        <v>90788</v>
      </c>
      <c r="U1234" s="396">
        <v>-40396</v>
      </c>
      <c r="V1234" s="395">
        <v>11812.49</v>
      </c>
      <c r="W1234" s="395">
        <v>11368.51</v>
      </c>
      <c r="X1234" s="395">
        <v>77490</v>
      </c>
      <c r="Y1234" s="395">
        <v>13473.6</v>
      </c>
      <c r="Z1234" s="396">
        <v>-8941435</v>
      </c>
      <c r="AA1234" s="396">
        <v>40373</v>
      </c>
      <c r="AB1234" s="396">
        <v>-1376351</v>
      </c>
      <c r="AC1234" s="396">
        <v>10207916</v>
      </c>
    </row>
    <row r="1235" spans="1:29">
      <c r="A1235">
        <v>6752</v>
      </c>
      <c r="B1235" s="395" t="s">
        <v>8204</v>
      </c>
      <c r="C1235" s="395"/>
      <c r="D1235" s="396">
        <v>40253</v>
      </c>
      <c r="E1235" s="396">
        <v>53055</v>
      </c>
      <c r="F1235" s="395">
        <v>4.1399999999999997</v>
      </c>
      <c r="G1235" s="396">
        <v>-12802</v>
      </c>
      <c r="H1235" s="396">
        <v>6747</v>
      </c>
      <c r="I1235" s="396">
        <v>544100</v>
      </c>
      <c r="J1235" s="395">
        <v>27</v>
      </c>
      <c r="K1235" s="395">
        <v>20</v>
      </c>
      <c r="L1235" s="397">
        <v>0.74070000000000003</v>
      </c>
      <c r="M1235" s="395">
        <v>7</v>
      </c>
      <c r="N1235" s="396">
        <v>1491</v>
      </c>
      <c r="O1235" s="396">
        <v>2653</v>
      </c>
      <c r="P1235" s="395">
        <v>1.45</v>
      </c>
      <c r="Q1235" s="396">
        <v>-1829</v>
      </c>
      <c r="R1235" s="396">
        <v>5852</v>
      </c>
      <c r="S1235" s="396">
        <v>-6372</v>
      </c>
      <c r="T1235" s="396">
        <v>61406</v>
      </c>
      <c r="U1235" s="396">
        <v>-26812</v>
      </c>
      <c r="V1235" s="395">
        <v>4158.8900000000003</v>
      </c>
      <c r="W1235" s="395">
        <v>3013.75</v>
      </c>
      <c r="X1235" s="395">
        <v>67770</v>
      </c>
      <c r="Y1235" s="395">
        <v>7430.71</v>
      </c>
      <c r="Z1235" s="396">
        <v>636844</v>
      </c>
      <c r="AA1235" s="396">
        <v>40253</v>
      </c>
      <c r="AB1235" s="396">
        <v>-4836842</v>
      </c>
      <c r="AC1235" s="396">
        <v>10207916</v>
      </c>
    </row>
    <row r="1236" spans="1:29">
      <c r="A1236">
        <v>5902</v>
      </c>
      <c r="B1236" s="395" t="s">
        <v>7894</v>
      </c>
      <c r="C1236" s="395"/>
      <c r="D1236" s="396">
        <v>39978</v>
      </c>
      <c r="E1236" s="396">
        <v>81741</v>
      </c>
      <c r="F1236" s="395">
        <v>1.96</v>
      </c>
      <c r="G1236" s="396">
        <v>-41763</v>
      </c>
      <c r="H1236" s="396">
        <v>18672</v>
      </c>
      <c r="I1236" s="396">
        <v>1409549</v>
      </c>
      <c r="J1236" s="395">
        <v>186</v>
      </c>
      <c r="K1236" s="395">
        <v>127</v>
      </c>
      <c r="L1236" s="397">
        <v>0.68279999999999996</v>
      </c>
      <c r="M1236" s="395">
        <v>59</v>
      </c>
      <c r="N1236" s="395">
        <v>215</v>
      </c>
      <c r="O1236" s="395">
        <v>644</v>
      </c>
      <c r="P1236" s="395">
        <v>0.91</v>
      </c>
      <c r="Q1236" s="395">
        <v>-708</v>
      </c>
      <c r="R1236" s="396">
        <v>2318</v>
      </c>
      <c r="S1236" s="396">
        <v>-2311</v>
      </c>
      <c r="T1236" s="396">
        <v>70328</v>
      </c>
      <c r="U1236" s="396">
        <v>-69995</v>
      </c>
      <c r="V1236" s="395">
        <v>4951.2700000000004</v>
      </c>
      <c r="W1236" s="395">
        <v>3579.78</v>
      </c>
      <c r="X1236" s="395">
        <v>77220</v>
      </c>
      <c r="Y1236" s="395">
        <v>7903.46</v>
      </c>
      <c r="Z1236" s="396">
        <v>7091007</v>
      </c>
      <c r="AA1236" s="396">
        <v>39978</v>
      </c>
      <c r="AB1236" s="396">
        <v>26076923</v>
      </c>
      <c r="AC1236" s="396">
        <v>10207916</v>
      </c>
    </row>
    <row r="1237" spans="1:29">
      <c r="A1237">
        <v>3499</v>
      </c>
      <c r="B1237" s="395" t="s">
        <v>7443</v>
      </c>
      <c r="C1237" s="395"/>
      <c r="D1237" s="396">
        <v>39954</v>
      </c>
      <c r="E1237" s="396">
        <v>112410</v>
      </c>
      <c r="F1237" s="395">
        <v>1.55</v>
      </c>
      <c r="G1237" s="396">
        <v>-72456</v>
      </c>
      <c r="H1237" s="396">
        <v>14196</v>
      </c>
      <c r="I1237" s="396">
        <v>603108</v>
      </c>
      <c r="J1237" s="395">
        <v>226</v>
      </c>
      <c r="K1237" s="395">
        <v>180</v>
      </c>
      <c r="L1237" s="397">
        <v>0.79649999999999999</v>
      </c>
      <c r="M1237" s="395">
        <v>46</v>
      </c>
      <c r="N1237" s="395">
        <v>177</v>
      </c>
      <c r="O1237" s="395">
        <v>624</v>
      </c>
      <c r="P1237" s="395">
        <v>0.4</v>
      </c>
      <c r="Q1237" s="396">
        <v>-1575</v>
      </c>
      <c r="R1237" s="396">
        <v>1958</v>
      </c>
      <c r="S1237" s="396">
        <v>-5737</v>
      </c>
      <c r="T1237" s="396">
        <v>107493</v>
      </c>
      <c r="U1237" s="396">
        <v>-48627</v>
      </c>
      <c r="V1237" s="395">
        <v>3582.65</v>
      </c>
      <c r="W1237" s="395">
        <v>2473.63</v>
      </c>
      <c r="X1237" s="395">
        <v>77490</v>
      </c>
      <c r="Y1237" s="395">
        <v>7922.33</v>
      </c>
      <c r="Z1237" s="396">
        <v>12304138</v>
      </c>
      <c r="AA1237" s="396">
        <v>39954</v>
      </c>
      <c r="AB1237" s="396">
        <v>22000000</v>
      </c>
      <c r="AC1237" s="396">
        <v>10207916</v>
      </c>
    </row>
    <row r="1238" spans="1:29">
      <c r="A1238">
        <v>2380</v>
      </c>
      <c r="B1238" s="395" t="s">
        <v>7024</v>
      </c>
      <c r="C1238" s="395"/>
      <c r="D1238" s="396">
        <v>39584</v>
      </c>
      <c r="E1238" s="396">
        <v>79619</v>
      </c>
      <c r="F1238" s="395">
        <v>1.99</v>
      </c>
      <c r="G1238" s="396">
        <v>-40035</v>
      </c>
      <c r="H1238" s="396">
        <v>10146</v>
      </c>
      <c r="I1238" s="396">
        <v>182910</v>
      </c>
      <c r="J1238" s="395">
        <v>217</v>
      </c>
      <c r="K1238" s="395">
        <v>162</v>
      </c>
      <c r="L1238" s="397">
        <v>0.74650000000000005</v>
      </c>
      <c r="M1238" s="395">
        <v>54</v>
      </c>
      <c r="N1238" s="395">
        <v>182</v>
      </c>
      <c r="O1238" s="395">
        <v>491</v>
      </c>
      <c r="P1238" s="395">
        <v>0.66</v>
      </c>
      <c r="Q1238" s="395">
        <v>-741</v>
      </c>
      <c r="R1238" s="396">
        <v>1942</v>
      </c>
      <c r="S1238" s="396">
        <v>-3555</v>
      </c>
      <c r="T1238" s="396">
        <v>65034</v>
      </c>
      <c r="U1238" s="396">
        <v>-29209</v>
      </c>
      <c r="V1238" s="395">
        <v>1796.75</v>
      </c>
      <c r="W1238" s="395">
        <v>1291.69</v>
      </c>
      <c r="X1238" s="395">
        <v>77490</v>
      </c>
      <c r="Y1238" s="395">
        <v>3307.96</v>
      </c>
      <c r="Z1238" s="396">
        <v>-20840102</v>
      </c>
      <c r="AA1238" s="396">
        <v>39584</v>
      </c>
      <c r="AB1238" s="396">
        <v>10888889</v>
      </c>
      <c r="AC1238" s="396">
        <v>10207916</v>
      </c>
    </row>
    <row r="1239" spans="1:29">
      <c r="A1239">
        <v>2305</v>
      </c>
      <c r="B1239" s="395" t="s">
        <v>6975</v>
      </c>
      <c r="C1239" s="395"/>
      <c r="D1239" s="396">
        <v>38896</v>
      </c>
      <c r="E1239" s="396">
        <v>72249</v>
      </c>
      <c r="F1239" s="395">
        <v>2.17</v>
      </c>
      <c r="G1239" s="396">
        <v>-33353</v>
      </c>
      <c r="H1239" s="396">
        <v>9944</v>
      </c>
      <c r="I1239" s="396">
        <v>444936</v>
      </c>
      <c r="J1239" s="395">
        <v>272</v>
      </c>
      <c r="K1239" s="395">
        <v>214</v>
      </c>
      <c r="L1239" s="397">
        <v>0.78680000000000005</v>
      </c>
      <c r="M1239" s="395">
        <v>58</v>
      </c>
      <c r="N1239" s="395">
        <v>143</v>
      </c>
      <c r="O1239" s="395">
        <v>338</v>
      </c>
      <c r="P1239" s="395">
        <v>0.59</v>
      </c>
      <c r="Q1239" s="395">
        <v>-575</v>
      </c>
      <c r="R1239" s="396">
        <v>2196</v>
      </c>
      <c r="S1239" s="396">
        <v>-2343</v>
      </c>
      <c r="T1239" s="396">
        <v>76685</v>
      </c>
      <c r="U1239" s="396">
        <v>-39221</v>
      </c>
      <c r="V1239" s="395">
        <v>3418.89</v>
      </c>
      <c r="W1239" s="395">
        <v>2610.6</v>
      </c>
      <c r="X1239" s="395">
        <v>77490</v>
      </c>
      <c r="Y1239" s="395">
        <v>6401.17</v>
      </c>
      <c r="Z1239" s="396">
        <v>-10530650</v>
      </c>
      <c r="AA1239" s="396">
        <v>38896</v>
      </c>
      <c r="AB1239" s="396">
        <v>-2753695</v>
      </c>
      <c r="AC1239" s="396">
        <v>10207916</v>
      </c>
    </row>
    <row r="1240" spans="1:29">
      <c r="A1240">
        <v>6690</v>
      </c>
      <c r="B1240" s="395" t="s">
        <v>8185</v>
      </c>
      <c r="C1240" s="395"/>
      <c r="D1240" s="396">
        <v>38538</v>
      </c>
      <c r="E1240" s="396">
        <v>69505</v>
      </c>
      <c r="F1240" s="395">
        <v>2.2400000000000002</v>
      </c>
      <c r="G1240" s="396">
        <v>-30967</v>
      </c>
      <c r="H1240" s="396">
        <v>10066</v>
      </c>
      <c r="I1240" s="396">
        <v>980990</v>
      </c>
      <c r="J1240" s="395">
        <v>21</v>
      </c>
      <c r="K1240" s="395">
        <v>16</v>
      </c>
      <c r="L1240" s="397">
        <v>0.76190000000000002</v>
      </c>
      <c r="M1240" s="395">
        <v>5</v>
      </c>
      <c r="N1240" s="396">
        <v>1835</v>
      </c>
      <c r="O1240" s="396">
        <v>4344</v>
      </c>
      <c r="P1240" s="395">
        <v>0.7</v>
      </c>
      <c r="Q1240" s="396">
        <v>-6193</v>
      </c>
      <c r="R1240" s="396">
        <v>14542</v>
      </c>
      <c r="S1240" s="396">
        <v>-10999</v>
      </c>
      <c r="T1240" s="396">
        <v>99055</v>
      </c>
      <c r="U1240" s="396">
        <v>-52288</v>
      </c>
      <c r="V1240" s="395">
        <v>7456.9</v>
      </c>
      <c r="W1240" s="395">
        <v>6619.44</v>
      </c>
      <c r="X1240" s="395">
        <v>76680</v>
      </c>
      <c r="Y1240" s="395">
        <v>10136.799999999999</v>
      </c>
      <c r="Z1240" s="396">
        <v>-2503207</v>
      </c>
      <c r="AA1240" s="396">
        <v>38538</v>
      </c>
      <c r="AB1240" s="396">
        <v>-6184531</v>
      </c>
      <c r="AC1240" s="396">
        <v>10207916</v>
      </c>
    </row>
    <row r="1241" spans="1:29">
      <c r="A1241">
        <v>4108</v>
      </c>
      <c r="B1241" s="395" t="s">
        <v>7556</v>
      </c>
      <c r="C1241" s="395"/>
      <c r="D1241" s="396">
        <v>38365</v>
      </c>
      <c r="E1241" s="396">
        <v>201947</v>
      </c>
      <c r="F1241" s="395">
        <v>1.23</v>
      </c>
      <c r="G1241" s="396">
        <v>-163582</v>
      </c>
      <c r="H1241" s="396">
        <v>22385</v>
      </c>
      <c r="I1241" s="396">
        <v>2900696</v>
      </c>
      <c r="J1241" s="395">
        <v>232</v>
      </c>
      <c r="K1241" s="395">
        <v>134</v>
      </c>
      <c r="L1241" s="397">
        <v>0.5776</v>
      </c>
      <c r="M1241" s="395">
        <v>98</v>
      </c>
      <c r="N1241" s="395">
        <v>165</v>
      </c>
      <c r="O1241" s="396">
        <v>1507</v>
      </c>
      <c r="P1241" s="395">
        <v>0.9</v>
      </c>
      <c r="Q1241" s="396">
        <v>-1669</v>
      </c>
      <c r="R1241" s="396">
        <v>4212</v>
      </c>
      <c r="S1241" s="396">
        <v>-4958</v>
      </c>
      <c r="T1241" s="396">
        <v>414134</v>
      </c>
      <c r="U1241" s="396">
        <v>-316308</v>
      </c>
      <c r="V1241" s="395">
        <v>13179.09</v>
      </c>
      <c r="W1241" s="395">
        <v>9725.67</v>
      </c>
      <c r="X1241" s="395">
        <v>77490</v>
      </c>
      <c r="Y1241" s="395">
        <v>17901.12</v>
      </c>
      <c r="Z1241" s="396">
        <v>-20897636</v>
      </c>
      <c r="AA1241" s="396">
        <v>38365</v>
      </c>
      <c r="AB1241" s="396">
        <v>-9662675</v>
      </c>
      <c r="AC1241" s="396">
        <v>10207916</v>
      </c>
    </row>
    <row r="1242" spans="1:29">
      <c r="A1242">
        <v>6140</v>
      </c>
      <c r="B1242" s="395" t="s">
        <v>7937</v>
      </c>
      <c r="C1242" s="395"/>
      <c r="D1242" s="396">
        <v>38225</v>
      </c>
      <c r="E1242" s="396">
        <v>157036</v>
      </c>
      <c r="F1242" s="395">
        <v>1.32</v>
      </c>
      <c r="G1242" s="396">
        <v>-118811</v>
      </c>
      <c r="H1242" s="396">
        <v>14675</v>
      </c>
      <c r="I1242" s="396">
        <v>1006505</v>
      </c>
      <c r="J1242" s="395">
        <v>209</v>
      </c>
      <c r="K1242" s="395">
        <v>148</v>
      </c>
      <c r="L1242" s="397">
        <v>0.70809999999999995</v>
      </c>
      <c r="M1242" s="395">
        <v>61</v>
      </c>
      <c r="N1242" s="395">
        <v>183</v>
      </c>
      <c r="O1242" s="396">
        <v>1061</v>
      </c>
      <c r="P1242" s="395">
        <v>0.54</v>
      </c>
      <c r="Q1242" s="396">
        <v>-1948</v>
      </c>
      <c r="R1242" s="396">
        <v>2992</v>
      </c>
      <c r="S1242" s="396">
        <v>-6427</v>
      </c>
      <c r="T1242" s="396">
        <v>173875</v>
      </c>
      <c r="U1242" s="396">
        <v>-122263</v>
      </c>
      <c r="V1242" s="395">
        <v>7120.97</v>
      </c>
      <c r="W1242" s="395">
        <v>4592.82</v>
      </c>
      <c r="X1242" s="395">
        <v>77490</v>
      </c>
      <c r="Y1242" s="395">
        <v>13254.82</v>
      </c>
      <c r="Z1242" s="396">
        <v>-10688192</v>
      </c>
      <c r="AA1242" s="396">
        <v>38225</v>
      </c>
      <c r="AB1242" s="396">
        <v>-12866521</v>
      </c>
      <c r="AC1242" s="396">
        <v>10207916</v>
      </c>
    </row>
    <row r="1243" spans="1:29">
      <c r="A1243">
        <v>6228</v>
      </c>
      <c r="B1243" s="395" t="s">
        <v>8014</v>
      </c>
      <c r="C1243" s="395"/>
      <c r="D1243" s="396">
        <v>37480</v>
      </c>
      <c r="E1243" s="396">
        <v>76446</v>
      </c>
      <c r="F1243" s="395">
        <v>1.96</v>
      </c>
      <c r="G1243" s="396">
        <v>-38966</v>
      </c>
      <c r="H1243" s="396">
        <v>5970</v>
      </c>
      <c r="I1243" s="396">
        <v>151958</v>
      </c>
      <c r="J1243" s="395">
        <v>105</v>
      </c>
      <c r="K1243" s="395">
        <v>80</v>
      </c>
      <c r="L1243" s="397">
        <v>0.76190000000000002</v>
      </c>
      <c r="M1243" s="395">
        <v>25</v>
      </c>
      <c r="N1243" s="395">
        <v>357</v>
      </c>
      <c r="O1243" s="395">
        <v>956</v>
      </c>
      <c r="P1243" s="395">
        <v>0.61</v>
      </c>
      <c r="Q1243" s="396">
        <v>-1559</v>
      </c>
      <c r="R1243" s="396">
        <v>3898</v>
      </c>
      <c r="S1243" s="396">
        <v>-5287</v>
      </c>
      <c r="T1243" s="396">
        <v>60379</v>
      </c>
      <c r="U1243" s="396">
        <v>-26466</v>
      </c>
      <c r="V1243" s="395">
        <v>1338.26</v>
      </c>
      <c r="W1243" s="395">
        <v>791.25</v>
      </c>
      <c r="X1243" s="395">
        <v>74790</v>
      </c>
      <c r="Y1243" s="395">
        <v>3088.68</v>
      </c>
      <c r="Z1243" s="396">
        <v>-1601692</v>
      </c>
      <c r="AA1243" s="396">
        <v>37480</v>
      </c>
      <c r="AB1243" s="396">
        <v>68725000</v>
      </c>
      <c r="AC1243" s="396">
        <v>10207916</v>
      </c>
    </row>
    <row r="1244" spans="1:29">
      <c r="A1244">
        <v>2349</v>
      </c>
      <c r="B1244" s="395" t="s">
        <v>6999</v>
      </c>
      <c r="C1244" s="395"/>
      <c r="D1244" s="396">
        <v>37125</v>
      </c>
      <c r="E1244" s="396">
        <v>63028</v>
      </c>
      <c r="F1244" s="395">
        <v>2.4300000000000002</v>
      </c>
      <c r="G1244" s="396">
        <v>-25903</v>
      </c>
      <c r="H1244" s="396">
        <v>9015</v>
      </c>
      <c r="I1244" s="396">
        <v>309930</v>
      </c>
      <c r="J1244" s="395">
        <v>222</v>
      </c>
      <c r="K1244" s="395">
        <v>176</v>
      </c>
      <c r="L1244" s="397">
        <v>0.79279999999999995</v>
      </c>
      <c r="M1244" s="395">
        <v>46</v>
      </c>
      <c r="N1244" s="395">
        <v>167</v>
      </c>
      <c r="O1244" s="395">
        <v>358</v>
      </c>
      <c r="P1244" s="395">
        <v>0.64</v>
      </c>
      <c r="Q1244" s="395">
        <v>-563</v>
      </c>
      <c r="R1244" s="396">
        <v>1341</v>
      </c>
      <c r="S1244" s="396">
        <v>-2146</v>
      </c>
      <c r="T1244" s="396">
        <v>62177</v>
      </c>
      <c r="U1244" s="396">
        <v>-26260</v>
      </c>
      <c r="V1244" s="395">
        <v>3311.35</v>
      </c>
      <c r="W1244" s="395">
        <v>2587.0300000000002</v>
      </c>
      <c r="X1244" s="395">
        <v>77490</v>
      </c>
      <c r="Y1244" s="395">
        <v>6082.67</v>
      </c>
      <c r="Z1244" s="396">
        <v>-7105118</v>
      </c>
      <c r="AA1244" s="396">
        <v>37125</v>
      </c>
      <c r="AB1244" s="396">
        <v>-7990868</v>
      </c>
      <c r="AC1244" s="396">
        <v>10207916</v>
      </c>
    </row>
    <row r="1245" spans="1:29">
      <c r="A1245">
        <v>9949</v>
      </c>
      <c r="B1245" s="395" t="s">
        <v>8426</v>
      </c>
      <c r="C1245" s="395"/>
      <c r="D1245" s="396">
        <v>37124</v>
      </c>
      <c r="E1245" s="396">
        <v>41143</v>
      </c>
      <c r="F1245" s="395">
        <v>10.24</v>
      </c>
      <c r="G1245" s="396">
        <v>-4019</v>
      </c>
      <c r="H1245" s="396">
        <v>4876</v>
      </c>
      <c r="I1245" s="396">
        <v>460102</v>
      </c>
      <c r="J1245" s="395">
        <v>106</v>
      </c>
      <c r="K1245" s="395">
        <v>93</v>
      </c>
      <c r="L1245" s="397">
        <v>0.87739999999999996</v>
      </c>
      <c r="M1245" s="395">
        <v>13</v>
      </c>
      <c r="N1245" s="395">
        <v>350</v>
      </c>
      <c r="O1245" s="395">
        <v>442</v>
      </c>
      <c r="P1245" s="395">
        <v>1.43</v>
      </c>
      <c r="Q1245" s="395">
        <v>-309</v>
      </c>
      <c r="R1245" s="395">
        <v>906</v>
      </c>
      <c r="S1245" s="395">
        <v>-796</v>
      </c>
      <c r="T1245" s="396">
        <v>59814</v>
      </c>
      <c r="U1245" s="396">
        <v>-22540</v>
      </c>
      <c r="V1245" s="395">
        <v>8055.08</v>
      </c>
      <c r="W1245" s="395">
        <v>6992.16</v>
      </c>
      <c r="X1245" s="395">
        <v>77490</v>
      </c>
      <c r="Y1245" s="395">
        <v>15659.08</v>
      </c>
      <c r="Z1245" s="396">
        <v>2580544</v>
      </c>
      <c r="AA1245" s="396">
        <v>37124</v>
      </c>
      <c r="AB1245" s="396">
        <v>200803</v>
      </c>
      <c r="AC1245" s="396">
        <v>10207916</v>
      </c>
    </row>
    <row r="1246" spans="1:29">
      <c r="A1246">
        <v>1337</v>
      </c>
      <c r="B1246" s="395" t="s">
        <v>6728</v>
      </c>
      <c r="C1246" s="395"/>
      <c r="D1246" s="396">
        <v>37052</v>
      </c>
      <c r="E1246" s="396">
        <v>63584</v>
      </c>
      <c r="F1246" s="395">
        <v>2.4</v>
      </c>
      <c r="G1246" s="396">
        <v>-26532</v>
      </c>
      <c r="H1246" s="396">
        <v>8448</v>
      </c>
      <c r="I1246" s="396">
        <v>374223</v>
      </c>
      <c r="J1246" s="395">
        <v>269</v>
      </c>
      <c r="K1246" s="395">
        <v>186</v>
      </c>
      <c r="L1246" s="397">
        <v>0.69140000000000001</v>
      </c>
      <c r="M1246" s="395">
        <v>81</v>
      </c>
      <c r="N1246" s="395">
        <v>138</v>
      </c>
      <c r="O1246" s="395">
        <v>342</v>
      </c>
      <c r="P1246" s="395">
        <v>1.04</v>
      </c>
      <c r="Q1246" s="395">
        <v>-328</v>
      </c>
      <c r="R1246" s="396">
        <v>1082</v>
      </c>
      <c r="S1246" s="396">
        <v>-1433</v>
      </c>
      <c r="T1246" s="396">
        <v>65817</v>
      </c>
      <c r="U1246" s="396">
        <v>-40453</v>
      </c>
      <c r="V1246" s="395">
        <v>4186.4399999999996</v>
      </c>
      <c r="W1246" s="395">
        <v>2925.69</v>
      </c>
      <c r="X1246" s="395">
        <v>77490</v>
      </c>
      <c r="Y1246" s="395">
        <v>6921.05</v>
      </c>
      <c r="Z1246" s="396">
        <v>-16040344</v>
      </c>
      <c r="AA1246" s="396">
        <v>37052</v>
      </c>
      <c r="AB1246" s="396">
        <v>-14841102</v>
      </c>
      <c r="AC1246" s="396">
        <v>10207916</v>
      </c>
    </row>
    <row r="1247" spans="1:29">
      <c r="A1247">
        <v>8064</v>
      </c>
      <c r="B1247" s="395" t="s">
        <v>8247</v>
      </c>
      <c r="C1247" s="395"/>
      <c r="D1247" s="396">
        <v>36811</v>
      </c>
      <c r="E1247" s="396">
        <v>131063</v>
      </c>
      <c r="F1247" s="395">
        <v>1.39</v>
      </c>
      <c r="G1247" s="396">
        <v>-94252</v>
      </c>
      <c r="H1247" s="396">
        <v>19608</v>
      </c>
      <c r="I1247" s="396">
        <v>732819</v>
      </c>
      <c r="J1247" s="395">
        <v>256</v>
      </c>
      <c r="K1247" s="395">
        <v>180</v>
      </c>
      <c r="L1247" s="397">
        <v>0.70309999999999995</v>
      </c>
      <c r="M1247" s="395">
        <v>76</v>
      </c>
      <c r="N1247" s="395">
        <v>144</v>
      </c>
      <c r="O1247" s="395">
        <v>728</v>
      </c>
      <c r="P1247" s="395">
        <v>0.59</v>
      </c>
      <c r="Q1247" s="396">
        <v>-1240</v>
      </c>
      <c r="R1247" s="396">
        <v>3373</v>
      </c>
      <c r="S1247" s="396">
        <v>-4284</v>
      </c>
      <c r="T1247" s="396">
        <v>135112</v>
      </c>
      <c r="U1247" s="396">
        <v>-105954</v>
      </c>
      <c r="V1247" s="395">
        <v>2942.28</v>
      </c>
      <c r="W1247" s="395">
        <v>1575.96</v>
      </c>
      <c r="X1247" s="395">
        <v>77490</v>
      </c>
      <c r="Y1247" s="395">
        <v>6178.3</v>
      </c>
      <c r="Z1247" s="396">
        <v>3100592</v>
      </c>
      <c r="AA1247" s="396">
        <v>36811</v>
      </c>
      <c r="AB1247" s="396">
        <v>12552355</v>
      </c>
      <c r="AC1247" s="396">
        <v>10207916</v>
      </c>
    </row>
    <row r="1248" spans="1:29">
      <c r="A1248">
        <v>2329</v>
      </c>
      <c r="B1248" s="395" t="s">
        <v>6987</v>
      </c>
      <c r="C1248" s="395"/>
      <c r="D1248" s="396">
        <v>36788</v>
      </c>
      <c r="E1248" s="396">
        <v>146704</v>
      </c>
      <c r="F1248" s="395">
        <v>1.33</v>
      </c>
      <c r="G1248" s="396">
        <v>-109916</v>
      </c>
      <c r="H1248" s="396">
        <v>23312</v>
      </c>
      <c r="I1248" s="396">
        <v>1049486</v>
      </c>
      <c r="J1248" s="395">
        <v>265</v>
      </c>
      <c r="K1248" s="395">
        <v>197</v>
      </c>
      <c r="L1248" s="397">
        <v>0.74339999999999995</v>
      </c>
      <c r="M1248" s="395">
        <v>68</v>
      </c>
      <c r="N1248" s="395">
        <v>139</v>
      </c>
      <c r="O1248" s="395">
        <v>745</v>
      </c>
      <c r="P1248" s="395">
        <v>0.46</v>
      </c>
      <c r="Q1248" s="396">
        <v>-1616</v>
      </c>
      <c r="R1248" s="396">
        <v>3503</v>
      </c>
      <c r="S1248" s="396">
        <v>-4697</v>
      </c>
      <c r="T1248" s="396">
        <v>116001</v>
      </c>
      <c r="U1248" s="396">
        <v>-112580</v>
      </c>
      <c r="V1248" s="395">
        <v>2573.34</v>
      </c>
      <c r="W1248" s="395">
        <v>1348.95</v>
      </c>
      <c r="X1248" s="395">
        <v>77490</v>
      </c>
      <c r="Y1248" s="395">
        <v>6120.44</v>
      </c>
      <c r="Z1248" s="396">
        <v>4030863</v>
      </c>
      <c r="AA1248" s="396">
        <v>36788</v>
      </c>
      <c r="AB1248" s="396">
        <v>23331104</v>
      </c>
      <c r="AC1248" s="396">
        <v>10207916</v>
      </c>
    </row>
    <row r="1249" spans="1:29">
      <c r="A1249">
        <v>4533</v>
      </c>
      <c r="B1249" s="395" t="s">
        <v>7635</v>
      </c>
      <c r="C1249" s="395"/>
      <c r="D1249" s="396">
        <v>36480</v>
      </c>
      <c r="E1249" s="396">
        <v>71364</v>
      </c>
      <c r="F1249" s="395">
        <v>2.0499999999999998</v>
      </c>
      <c r="G1249" s="396">
        <v>-34884</v>
      </c>
      <c r="H1249" s="396">
        <v>9802</v>
      </c>
      <c r="I1249" s="396">
        <v>518049</v>
      </c>
      <c r="J1249" s="395">
        <v>204</v>
      </c>
      <c r="K1249" s="395">
        <v>150</v>
      </c>
      <c r="L1249" s="397">
        <v>0.73529999999999995</v>
      </c>
      <c r="M1249" s="395">
        <v>54</v>
      </c>
      <c r="N1249" s="395">
        <v>179</v>
      </c>
      <c r="O1249" s="395">
        <v>476</v>
      </c>
      <c r="P1249" s="395">
        <v>0.74</v>
      </c>
      <c r="Q1249" s="395">
        <v>-646</v>
      </c>
      <c r="R1249" s="396">
        <v>1605</v>
      </c>
      <c r="S1249" s="396">
        <v>-2000</v>
      </c>
      <c r="T1249" s="396">
        <v>67936</v>
      </c>
      <c r="U1249" s="396">
        <v>-43470</v>
      </c>
      <c r="V1249" s="395">
        <v>4835.6099999999997</v>
      </c>
      <c r="W1249" s="395">
        <v>3326.87</v>
      </c>
      <c r="X1249" s="395">
        <v>77220</v>
      </c>
      <c r="Y1249" s="395">
        <v>9026.56</v>
      </c>
      <c r="Z1249" s="396">
        <v>-7859089</v>
      </c>
      <c r="AA1249" s="396">
        <v>36480</v>
      </c>
      <c r="AB1249" s="396">
        <v>476703</v>
      </c>
      <c r="AC1249" s="396">
        <v>10207916</v>
      </c>
    </row>
    <row r="1250" spans="1:29">
      <c r="A1250">
        <v>5512</v>
      </c>
      <c r="B1250" s="395" t="s">
        <v>7859</v>
      </c>
      <c r="C1250" s="395"/>
      <c r="D1250" s="396">
        <v>36388</v>
      </c>
      <c r="E1250" s="396">
        <v>60332</v>
      </c>
      <c r="F1250" s="395">
        <v>2.52</v>
      </c>
      <c r="G1250" s="396">
        <v>-23944</v>
      </c>
      <c r="H1250" s="396">
        <v>9734</v>
      </c>
      <c r="I1250" s="396">
        <v>867482</v>
      </c>
      <c r="J1250" s="395">
        <v>250</v>
      </c>
      <c r="K1250" s="395">
        <v>172</v>
      </c>
      <c r="L1250" s="397">
        <v>0.68799999999999994</v>
      </c>
      <c r="M1250" s="395">
        <v>78</v>
      </c>
      <c r="N1250" s="395">
        <v>146</v>
      </c>
      <c r="O1250" s="395">
        <v>351</v>
      </c>
      <c r="P1250" s="395">
        <v>1.1399999999999999</v>
      </c>
      <c r="Q1250" s="395">
        <v>-307</v>
      </c>
      <c r="R1250" s="396">
        <v>1013</v>
      </c>
      <c r="S1250" s="396">
        <v>-1613</v>
      </c>
      <c r="T1250" s="396">
        <v>69034</v>
      </c>
      <c r="U1250" s="396">
        <v>-29826</v>
      </c>
      <c r="V1250" s="395">
        <v>9063.6200000000008</v>
      </c>
      <c r="W1250" s="395">
        <v>8662.48</v>
      </c>
      <c r="X1250" s="395">
        <v>77490</v>
      </c>
      <c r="Y1250" s="395">
        <v>9948.19</v>
      </c>
      <c r="Z1250" s="396">
        <v>-12456729</v>
      </c>
      <c r="AA1250" s="396">
        <v>36388</v>
      </c>
      <c r="AB1250" s="396">
        <v>-5662657</v>
      </c>
      <c r="AC1250" s="396">
        <v>10207916</v>
      </c>
    </row>
    <row r="1251" spans="1:29">
      <c r="A1251">
        <v>4510</v>
      </c>
      <c r="B1251" s="395" t="s">
        <v>7626</v>
      </c>
      <c r="C1251" s="395"/>
      <c r="D1251" s="396">
        <v>35818</v>
      </c>
      <c r="E1251" s="396">
        <v>46201</v>
      </c>
      <c r="F1251" s="395">
        <v>4.45</v>
      </c>
      <c r="G1251" s="396">
        <v>-10383</v>
      </c>
      <c r="H1251" s="396">
        <v>7482</v>
      </c>
      <c r="I1251" s="396">
        <v>424363</v>
      </c>
      <c r="J1251" s="395">
        <v>158</v>
      </c>
      <c r="K1251" s="395">
        <v>129</v>
      </c>
      <c r="L1251" s="397">
        <v>0.8165</v>
      </c>
      <c r="M1251" s="395">
        <v>29</v>
      </c>
      <c r="N1251" s="395">
        <v>227</v>
      </c>
      <c r="O1251" s="395">
        <v>358</v>
      </c>
      <c r="P1251" s="395">
        <v>1</v>
      </c>
      <c r="Q1251" s="395">
        <v>-358</v>
      </c>
      <c r="R1251" s="396">
        <v>1355</v>
      </c>
      <c r="S1251" s="395">
        <v>-749</v>
      </c>
      <c r="T1251" s="396">
        <v>45683</v>
      </c>
      <c r="U1251" s="396">
        <v>-14802</v>
      </c>
      <c r="V1251" s="395">
        <v>5985.69</v>
      </c>
      <c r="W1251" s="395">
        <v>5025.01</v>
      </c>
      <c r="X1251" s="395">
        <v>77490</v>
      </c>
      <c r="Y1251" s="395">
        <v>10259.07</v>
      </c>
      <c r="Z1251" s="396">
        <v>-2428245</v>
      </c>
      <c r="AA1251" s="396">
        <v>35818</v>
      </c>
      <c r="AB1251" s="396">
        <v>-3853659</v>
      </c>
      <c r="AC1251" s="396">
        <v>10207916</v>
      </c>
    </row>
    <row r="1252" spans="1:29">
      <c r="A1252">
        <v>4207</v>
      </c>
      <c r="B1252" s="395" t="s">
        <v>7601</v>
      </c>
      <c r="C1252" s="395"/>
      <c r="D1252" s="396">
        <v>35477</v>
      </c>
      <c r="E1252" s="396">
        <v>53634</v>
      </c>
      <c r="F1252" s="395">
        <v>2.95</v>
      </c>
      <c r="G1252" s="396">
        <v>-18157</v>
      </c>
      <c r="H1252" s="396">
        <v>10593</v>
      </c>
      <c r="I1252" s="396">
        <v>847340</v>
      </c>
      <c r="J1252" s="395">
        <v>194</v>
      </c>
      <c r="K1252" s="395">
        <v>146</v>
      </c>
      <c r="L1252" s="397">
        <v>0.75260000000000005</v>
      </c>
      <c r="M1252" s="395">
        <v>48</v>
      </c>
      <c r="N1252" s="395">
        <v>183</v>
      </c>
      <c r="O1252" s="395">
        <v>367</v>
      </c>
      <c r="P1252" s="395">
        <v>0.97</v>
      </c>
      <c r="Q1252" s="395">
        <v>-378</v>
      </c>
      <c r="R1252" s="396">
        <v>1096</v>
      </c>
      <c r="S1252" s="396">
        <v>-2411</v>
      </c>
      <c r="T1252" s="396">
        <v>59372</v>
      </c>
      <c r="U1252" s="396">
        <v>-25222</v>
      </c>
      <c r="V1252" s="395">
        <v>6896.76</v>
      </c>
      <c r="W1252" s="395">
        <v>4108.3599999999997</v>
      </c>
      <c r="X1252" s="395">
        <v>77490</v>
      </c>
      <c r="Y1252" s="395">
        <v>15378.15</v>
      </c>
      <c r="Z1252" s="396">
        <v>-3020065</v>
      </c>
      <c r="AA1252" s="396">
        <v>35477</v>
      </c>
      <c r="AB1252" s="396">
        <v>10814621</v>
      </c>
      <c r="AC1252" s="396">
        <v>10207916</v>
      </c>
    </row>
    <row r="1253" spans="1:29">
      <c r="A1253">
        <v>4581</v>
      </c>
      <c r="B1253" s="395" t="s">
        <v>7665</v>
      </c>
      <c r="C1253" s="395"/>
      <c r="D1253" s="396">
        <v>35472</v>
      </c>
      <c r="E1253" s="396">
        <v>87329</v>
      </c>
      <c r="F1253" s="395">
        <v>1.68</v>
      </c>
      <c r="G1253" s="396">
        <v>-51857</v>
      </c>
      <c r="H1253" s="396">
        <v>21496</v>
      </c>
      <c r="I1253" s="396">
        <v>2136608</v>
      </c>
      <c r="J1253" s="395">
        <v>144</v>
      </c>
      <c r="K1253" s="395">
        <v>91</v>
      </c>
      <c r="L1253" s="397">
        <v>0.63190000000000002</v>
      </c>
      <c r="M1253" s="395">
        <v>53</v>
      </c>
      <c r="N1253" s="395">
        <v>246</v>
      </c>
      <c r="O1253" s="395">
        <v>960</v>
      </c>
      <c r="P1253" s="395">
        <v>0.98</v>
      </c>
      <c r="Q1253" s="395">
        <v>-978</v>
      </c>
      <c r="R1253" s="396">
        <v>4043</v>
      </c>
      <c r="S1253" s="396">
        <v>-3828</v>
      </c>
      <c r="T1253" s="396">
        <v>142134</v>
      </c>
      <c r="U1253" s="396">
        <v>-111638</v>
      </c>
      <c r="V1253" s="395">
        <v>13381.75</v>
      </c>
      <c r="W1253" s="395">
        <v>7938.43</v>
      </c>
      <c r="X1253" s="395">
        <v>76950</v>
      </c>
      <c r="Y1253" s="395">
        <v>22727.83</v>
      </c>
      <c r="Z1253" s="396">
        <v>3121281</v>
      </c>
      <c r="AA1253" s="396">
        <v>35472</v>
      </c>
      <c r="AB1253" s="396">
        <v>-363903</v>
      </c>
      <c r="AC1253" s="396">
        <v>10207916</v>
      </c>
    </row>
    <row r="1254" spans="1:29">
      <c r="A1254">
        <v>5202</v>
      </c>
      <c r="B1254" s="395" t="s">
        <v>7760</v>
      </c>
      <c r="C1254" s="395"/>
      <c r="D1254" s="396">
        <v>35446</v>
      </c>
      <c r="E1254" s="396">
        <v>71473</v>
      </c>
      <c r="F1254" s="395">
        <v>1.98</v>
      </c>
      <c r="G1254" s="396">
        <v>-36027</v>
      </c>
      <c r="H1254" s="396">
        <v>8504</v>
      </c>
      <c r="I1254" s="396">
        <v>453121</v>
      </c>
      <c r="J1254" s="395">
        <v>103</v>
      </c>
      <c r="K1254" s="395">
        <v>71</v>
      </c>
      <c r="L1254" s="397">
        <v>0.68930000000000002</v>
      </c>
      <c r="M1254" s="395">
        <v>32</v>
      </c>
      <c r="N1254" s="395">
        <v>344</v>
      </c>
      <c r="O1254" s="396">
        <v>1007</v>
      </c>
      <c r="P1254" s="395">
        <v>0.89</v>
      </c>
      <c r="Q1254" s="396">
        <v>-1126</v>
      </c>
      <c r="R1254" s="396">
        <v>4323</v>
      </c>
      <c r="S1254" s="396">
        <v>-3142</v>
      </c>
      <c r="T1254" s="396">
        <v>95860</v>
      </c>
      <c r="U1254" s="396">
        <v>-52857</v>
      </c>
      <c r="V1254" s="395">
        <v>3604.72</v>
      </c>
      <c r="W1254" s="395">
        <v>2303.94</v>
      </c>
      <c r="X1254" s="395">
        <v>76410</v>
      </c>
      <c r="Y1254" s="395">
        <v>6490.81</v>
      </c>
      <c r="Z1254" s="396">
        <v>13232046</v>
      </c>
      <c r="AA1254" s="396">
        <v>35446</v>
      </c>
      <c r="AB1254" s="396">
        <v>-15170000</v>
      </c>
      <c r="AC1254" s="396">
        <v>10207916</v>
      </c>
    </row>
    <row r="1255" spans="1:29">
      <c r="A1255">
        <v>1471</v>
      </c>
      <c r="B1255" s="395" t="s">
        <v>6776</v>
      </c>
      <c r="C1255" s="395"/>
      <c r="D1255" s="396">
        <v>35322</v>
      </c>
      <c r="E1255" s="396">
        <v>76556</v>
      </c>
      <c r="F1255" s="395">
        <v>1.86</v>
      </c>
      <c r="G1255" s="396">
        <v>-41234</v>
      </c>
      <c r="H1255" s="396">
        <v>7268</v>
      </c>
      <c r="I1255" s="396">
        <v>272657</v>
      </c>
      <c r="J1255" s="395">
        <v>218</v>
      </c>
      <c r="K1255" s="395">
        <v>160</v>
      </c>
      <c r="L1255" s="397">
        <v>0.7339</v>
      </c>
      <c r="M1255" s="395">
        <v>58</v>
      </c>
      <c r="N1255" s="395">
        <v>162</v>
      </c>
      <c r="O1255" s="395">
        <v>478</v>
      </c>
      <c r="P1255" s="395">
        <v>0.67</v>
      </c>
      <c r="Q1255" s="395">
        <v>-711</v>
      </c>
      <c r="R1255" s="396">
        <v>2762</v>
      </c>
      <c r="S1255" s="396">
        <v>-4854</v>
      </c>
      <c r="T1255" s="396">
        <v>85209</v>
      </c>
      <c r="U1255" s="396">
        <v>-63142</v>
      </c>
      <c r="V1255" s="395">
        <v>2188.5700000000002</v>
      </c>
      <c r="W1255" s="395">
        <v>1388.4</v>
      </c>
      <c r="X1255" s="395">
        <v>77490</v>
      </c>
      <c r="Y1255" s="395">
        <v>4395.93</v>
      </c>
      <c r="Z1255" s="396">
        <v>-11959213</v>
      </c>
      <c r="AA1255" s="396">
        <v>35322</v>
      </c>
      <c r="AB1255" s="396">
        <v>8866667</v>
      </c>
      <c r="AC1255" s="396">
        <v>10207916</v>
      </c>
    </row>
    <row r="1256" spans="1:29">
      <c r="A1256">
        <v>1447</v>
      </c>
      <c r="B1256" s="395" t="s">
        <v>6758</v>
      </c>
      <c r="C1256" s="395"/>
      <c r="D1256" s="396">
        <v>34367</v>
      </c>
      <c r="E1256" s="396">
        <v>86454</v>
      </c>
      <c r="F1256" s="395">
        <v>1.66</v>
      </c>
      <c r="G1256" s="396">
        <v>-52087</v>
      </c>
      <c r="H1256" s="396">
        <v>11673</v>
      </c>
      <c r="I1256" s="396">
        <v>635344</v>
      </c>
      <c r="J1256" s="395">
        <v>270</v>
      </c>
      <c r="K1256" s="395">
        <v>201</v>
      </c>
      <c r="L1256" s="397">
        <v>0.74439999999999995</v>
      </c>
      <c r="M1256" s="395">
        <v>68</v>
      </c>
      <c r="N1256" s="395">
        <v>127</v>
      </c>
      <c r="O1256" s="395">
        <v>430</v>
      </c>
      <c r="P1256" s="395">
        <v>0.56000000000000005</v>
      </c>
      <c r="Q1256" s="395">
        <v>-766</v>
      </c>
      <c r="R1256" s="396">
        <v>1806</v>
      </c>
      <c r="S1256" s="396">
        <v>-2903</v>
      </c>
      <c r="T1256" s="396">
        <v>93726</v>
      </c>
      <c r="U1256" s="396">
        <v>-58572</v>
      </c>
      <c r="V1256" s="395">
        <v>3813.96</v>
      </c>
      <c r="W1256" s="395">
        <v>2529.4299999999998</v>
      </c>
      <c r="X1256" s="395">
        <v>77490</v>
      </c>
      <c r="Y1256" s="395">
        <v>7646.76</v>
      </c>
      <c r="Z1256" s="396">
        <v>-20745202</v>
      </c>
      <c r="AA1256" s="396">
        <v>34367</v>
      </c>
      <c r="AB1256" s="396">
        <v>631929</v>
      </c>
      <c r="AC1256" s="396">
        <v>10207916</v>
      </c>
    </row>
    <row r="1257" spans="1:29">
      <c r="A1257">
        <v>6530</v>
      </c>
      <c r="B1257" s="395" t="s">
        <v>8117</v>
      </c>
      <c r="C1257" s="395"/>
      <c r="D1257" s="396">
        <v>34308</v>
      </c>
      <c r="E1257" s="396">
        <v>94609</v>
      </c>
      <c r="F1257" s="395">
        <v>1.57</v>
      </c>
      <c r="G1257" s="396">
        <v>-60301</v>
      </c>
      <c r="H1257" s="396">
        <v>17366</v>
      </c>
      <c r="I1257" s="396">
        <v>796867</v>
      </c>
      <c r="J1257" s="395">
        <v>207</v>
      </c>
      <c r="K1257" s="395">
        <v>152</v>
      </c>
      <c r="L1257" s="397">
        <v>0.73429999999999995</v>
      </c>
      <c r="M1257" s="395">
        <v>55</v>
      </c>
      <c r="N1257" s="395">
        <v>166</v>
      </c>
      <c r="O1257" s="395">
        <v>622</v>
      </c>
      <c r="P1257" s="395">
        <v>0.56999999999999995</v>
      </c>
      <c r="Q1257" s="396">
        <v>-1096</v>
      </c>
      <c r="R1257" s="396">
        <v>3267</v>
      </c>
      <c r="S1257" s="396">
        <v>-4344</v>
      </c>
      <c r="T1257" s="396">
        <v>99962</v>
      </c>
      <c r="U1257" s="396">
        <v>-93822</v>
      </c>
      <c r="V1257" s="395">
        <v>3575.23</v>
      </c>
      <c r="W1257" s="395">
        <v>2679.36</v>
      </c>
      <c r="X1257" s="395">
        <v>76950</v>
      </c>
      <c r="Y1257" s="395">
        <v>6051.09</v>
      </c>
      <c r="Z1257" s="396">
        <v>-8807877</v>
      </c>
      <c r="AA1257" s="396">
        <v>34308</v>
      </c>
      <c r="AB1257" s="396">
        <v>4077801</v>
      </c>
      <c r="AC1257" s="396">
        <v>10207916</v>
      </c>
    </row>
    <row r="1258" spans="1:29">
      <c r="A1258">
        <v>6201</v>
      </c>
      <c r="B1258" s="395" t="s">
        <v>7988</v>
      </c>
      <c r="C1258" s="395"/>
      <c r="D1258" s="396">
        <v>34230</v>
      </c>
      <c r="E1258" s="396">
        <v>158067</v>
      </c>
      <c r="F1258" s="395">
        <v>1.28</v>
      </c>
      <c r="G1258" s="396">
        <v>-123837</v>
      </c>
      <c r="H1258" s="396">
        <v>32773</v>
      </c>
      <c r="I1258" s="396">
        <v>5639034</v>
      </c>
      <c r="J1258" s="395">
        <v>179</v>
      </c>
      <c r="K1258" s="395">
        <v>125</v>
      </c>
      <c r="L1258" s="397">
        <v>0.69830000000000003</v>
      </c>
      <c r="M1258" s="395">
        <v>54</v>
      </c>
      <c r="N1258" s="395">
        <v>191</v>
      </c>
      <c r="O1258" s="396">
        <v>1265</v>
      </c>
      <c r="P1258" s="395">
        <v>0.55000000000000004</v>
      </c>
      <c r="Q1258" s="396">
        <v>-2293</v>
      </c>
      <c r="R1258" s="396">
        <v>3793</v>
      </c>
      <c r="S1258" s="396">
        <v>-6277</v>
      </c>
      <c r="T1258" s="396">
        <v>349437</v>
      </c>
      <c r="U1258" s="396">
        <v>-288466</v>
      </c>
      <c r="V1258" s="395">
        <v>23217.200000000001</v>
      </c>
      <c r="W1258" s="395">
        <v>17217.89</v>
      </c>
      <c r="X1258" s="395">
        <v>77220</v>
      </c>
      <c r="Y1258" s="395">
        <v>37104.480000000003</v>
      </c>
      <c r="Z1258" s="396">
        <v>1369357</v>
      </c>
      <c r="AA1258" s="396">
        <v>34230</v>
      </c>
      <c r="AB1258" s="396">
        <v>11912698</v>
      </c>
      <c r="AC1258" s="396">
        <v>10207916</v>
      </c>
    </row>
    <row r="1259" spans="1:29">
      <c r="A1259">
        <v>2755</v>
      </c>
      <c r="B1259" s="395" t="s">
        <v>7191</v>
      </c>
      <c r="C1259" s="395"/>
      <c r="D1259" s="396">
        <v>33980</v>
      </c>
      <c r="E1259" s="396">
        <v>46976</v>
      </c>
      <c r="F1259" s="395">
        <v>3.61</v>
      </c>
      <c r="G1259" s="396">
        <v>-12996</v>
      </c>
      <c r="H1259" s="396">
        <v>6602</v>
      </c>
      <c r="I1259" s="396">
        <v>492968</v>
      </c>
      <c r="J1259" s="395">
        <v>29</v>
      </c>
      <c r="K1259" s="395">
        <v>20</v>
      </c>
      <c r="L1259" s="397">
        <v>0.68969999999999998</v>
      </c>
      <c r="M1259" s="395">
        <v>9</v>
      </c>
      <c r="N1259" s="396">
        <v>1172</v>
      </c>
      <c r="O1259" s="396">
        <v>2349</v>
      </c>
      <c r="P1259" s="395">
        <v>1.63</v>
      </c>
      <c r="Q1259" s="396">
        <v>-1444</v>
      </c>
      <c r="R1259" s="396">
        <v>7980</v>
      </c>
      <c r="S1259" s="396">
        <v>-2929</v>
      </c>
      <c r="T1259" s="396">
        <v>81028</v>
      </c>
      <c r="U1259" s="396">
        <v>-71449</v>
      </c>
      <c r="V1259" s="395">
        <v>6142.86</v>
      </c>
      <c r="W1259" s="395">
        <v>4274.6499999999996</v>
      </c>
      <c r="X1259" s="395">
        <v>76680</v>
      </c>
      <c r="Y1259" s="395">
        <v>10294.44</v>
      </c>
      <c r="Z1259" s="396">
        <v>-5888785</v>
      </c>
      <c r="AA1259" s="396">
        <v>33980</v>
      </c>
      <c r="AB1259" s="396">
        <v>-555151</v>
      </c>
      <c r="AC1259" s="396">
        <v>10207916</v>
      </c>
    </row>
    <row r="1260" spans="1:29">
      <c r="A1260">
        <v>8042</v>
      </c>
      <c r="B1260" s="395" t="s">
        <v>8237</v>
      </c>
      <c r="C1260" s="395"/>
      <c r="D1260" s="396">
        <v>33701</v>
      </c>
      <c r="E1260" s="396">
        <v>273027</v>
      </c>
      <c r="F1260" s="395">
        <v>1.1399999999999999</v>
      </c>
      <c r="G1260" s="396">
        <v>-239326</v>
      </c>
      <c r="H1260" s="396">
        <v>44191</v>
      </c>
      <c r="I1260" s="396">
        <v>1869583</v>
      </c>
      <c r="J1260" s="395">
        <v>232</v>
      </c>
      <c r="K1260" s="395">
        <v>159</v>
      </c>
      <c r="L1260" s="397">
        <v>0.68530000000000002</v>
      </c>
      <c r="M1260" s="395">
        <v>73</v>
      </c>
      <c r="N1260" s="395">
        <v>145</v>
      </c>
      <c r="O1260" s="396">
        <v>1717</v>
      </c>
      <c r="P1260" s="395">
        <v>0.52</v>
      </c>
      <c r="Q1260" s="396">
        <v>-3278</v>
      </c>
      <c r="R1260" s="396">
        <v>9726</v>
      </c>
      <c r="S1260" s="396">
        <v>-8412</v>
      </c>
      <c r="T1260" s="396">
        <v>259365</v>
      </c>
      <c r="U1260" s="396">
        <v>-198347</v>
      </c>
      <c r="V1260" s="395">
        <v>4412.57</v>
      </c>
      <c r="W1260" s="395">
        <v>2833.16</v>
      </c>
      <c r="X1260" s="395">
        <v>77490</v>
      </c>
      <c r="Y1260" s="395">
        <v>7852.64</v>
      </c>
      <c r="Z1260" s="396">
        <v>-15147807</v>
      </c>
      <c r="AA1260" s="396">
        <v>33701</v>
      </c>
      <c r="AB1260" s="396">
        <v>-2740711</v>
      </c>
      <c r="AC1260" s="396">
        <v>10207916</v>
      </c>
    </row>
    <row r="1261" spans="1:29">
      <c r="A1261">
        <v>8931</v>
      </c>
      <c r="B1261" s="395" t="s">
        <v>8380</v>
      </c>
      <c r="C1261" s="395"/>
      <c r="D1261" s="396">
        <v>32937</v>
      </c>
      <c r="E1261" s="396">
        <v>79076</v>
      </c>
      <c r="F1261" s="395">
        <v>1.71</v>
      </c>
      <c r="G1261" s="396">
        <v>-46139</v>
      </c>
      <c r="H1261" s="396">
        <v>24853</v>
      </c>
      <c r="I1261" s="396">
        <v>2320039</v>
      </c>
      <c r="J1261" s="395">
        <v>201</v>
      </c>
      <c r="K1261" s="395">
        <v>124</v>
      </c>
      <c r="L1261" s="397">
        <v>0.6169</v>
      </c>
      <c r="M1261" s="395">
        <v>77</v>
      </c>
      <c r="N1261" s="395">
        <v>164</v>
      </c>
      <c r="O1261" s="395">
        <v>638</v>
      </c>
      <c r="P1261" s="395">
        <v>1.07</v>
      </c>
      <c r="Q1261" s="395">
        <v>-599</v>
      </c>
      <c r="R1261" s="396">
        <v>2135</v>
      </c>
      <c r="S1261" s="396">
        <v>-2781</v>
      </c>
      <c r="T1261" s="396">
        <v>97453</v>
      </c>
      <c r="U1261" s="396">
        <v>-69186</v>
      </c>
      <c r="V1261" s="395">
        <v>9841.7199999999993</v>
      </c>
      <c r="W1261" s="395">
        <v>6656.98</v>
      </c>
      <c r="X1261" s="395">
        <v>77490</v>
      </c>
      <c r="Y1261" s="395">
        <v>14970.39</v>
      </c>
      <c r="Z1261" s="396">
        <v>300918</v>
      </c>
      <c r="AA1261" s="396">
        <v>32937</v>
      </c>
      <c r="AB1261" s="396">
        <v>3462914</v>
      </c>
      <c r="AC1261" s="396">
        <v>10207916</v>
      </c>
    </row>
    <row r="1262" spans="1:29">
      <c r="A1262">
        <v>5426</v>
      </c>
      <c r="B1262" s="395" t="s">
        <v>7829</v>
      </c>
      <c r="C1262" s="395"/>
      <c r="D1262" s="396">
        <v>32898</v>
      </c>
      <c r="E1262" s="396">
        <v>57373</v>
      </c>
      <c r="F1262" s="395">
        <v>2.34</v>
      </c>
      <c r="G1262" s="396">
        <v>-24475</v>
      </c>
      <c r="H1262" s="396">
        <v>8752</v>
      </c>
      <c r="I1262" s="396">
        <v>488486</v>
      </c>
      <c r="J1262" s="395">
        <v>194</v>
      </c>
      <c r="K1262" s="395">
        <v>147</v>
      </c>
      <c r="L1262" s="397">
        <v>0.75770000000000004</v>
      </c>
      <c r="M1262" s="395">
        <v>47</v>
      </c>
      <c r="N1262" s="395">
        <v>170</v>
      </c>
      <c r="O1262" s="395">
        <v>390</v>
      </c>
      <c r="P1262" s="395">
        <v>0.75</v>
      </c>
      <c r="Q1262" s="395">
        <v>-521</v>
      </c>
      <c r="R1262" s="396">
        <v>1609</v>
      </c>
      <c r="S1262" s="396">
        <v>-2250</v>
      </c>
      <c r="T1262" s="396">
        <v>65049</v>
      </c>
      <c r="U1262" s="396">
        <v>-31417</v>
      </c>
      <c r="V1262" s="395">
        <v>5031.7700000000004</v>
      </c>
      <c r="W1262" s="395">
        <v>3737.27</v>
      </c>
      <c r="X1262" s="395">
        <v>77490</v>
      </c>
      <c r="Y1262" s="395">
        <v>9080.5499999999993</v>
      </c>
      <c r="Z1262" s="396">
        <v>-8524503</v>
      </c>
      <c r="AA1262" s="396">
        <v>32898</v>
      </c>
      <c r="AB1262" s="396">
        <v>1159091</v>
      </c>
      <c r="AC1262" s="396">
        <v>10207916</v>
      </c>
    </row>
    <row r="1263" spans="1:29">
      <c r="A1263">
        <v>1735</v>
      </c>
      <c r="B1263" s="395" t="s">
        <v>6870</v>
      </c>
      <c r="C1263" s="395"/>
      <c r="D1263" s="396">
        <v>32493</v>
      </c>
      <c r="E1263" s="396">
        <v>45053</v>
      </c>
      <c r="F1263" s="395">
        <v>3.59</v>
      </c>
      <c r="G1263" s="396">
        <v>-12560</v>
      </c>
      <c r="H1263" s="396">
        <v>8620</v>
      </c>
      <c r="I1263" s="396">
        <v>550999</v>
      </c>
      <c r="J1263" s="395">
        <v>119</v>
      </c>
      <c r="K1263" s="395">
        <v>84</v>
      </c>
      <c r="L1263" s="397">
        <v>0.70589999999999997</v>
      </c>
      <c r="M1263" s="395">
        <v>35</v>
      </c>
      <c r="N1263" s="395">
        <v>273</v>
      </c>
      <c r="O1263" s="395">
        <v>536</v>
      </c>
      <c r="P1263" s="395">
        <v>1.49</v>
      </c>
      <c r="Q1263" s="395">
        <v>-359</v>
      </c>
      <c r="R1263" s="396">
        <v>1425</v>
      </c>
      <c r="S1263" s="396">
        <v>-1026</v>
      </c>
      <c r="T1263" s="396">
        <v>51901</v>
      </c>
      <c r="U1263" s="396">
        <v>-24027</v>
      </c>
      <c r="V1263" s="395">
        <v>7377.16</v>
      </c>
      <c r="W1263" s="395">
        <v>6983.23</v>
      </c>
      <c r="X1263" s="395">
        <v>74520</v>
      </c>
      <c r="Y1263" s="395">
        <v>8322.6</v>
      </c>
      <c r="Z1263" s="396">
        <v>5502786</v>
      </c>
      <c r="AA1263" s="396">
        <v>32493</v>
      </c>
      <c r="AB1263" s="396">
        <v>4890731</v>
      </c>
      <c r="AC1263" s="396">
        <v>10207916</v>
      </c>
    </row>
    <row r="1264" spans="1:29">
      <c r="A1264">
        <v>3057</v>
      </c>
      <c r="B1264" s="395" t="s">
        <v>7294</v>
      </c>
      <c r="C1264" s="395"/>
      <c r="D1264" s="396">
        <v>31925</v>
      </c>
      <c r="E1264" s="396">
        <v>80936</v>
      </c>
      <c r="F1264" s="395">
        <v>1.65</v>
      </c>
      <c r="G1264" s="396">
        <v>-49011</v>
      </c>
      <c r="H1264" s="396">
        <v>10475</v>
      </c>
      <c r="I1264" s="396">
        <v>309561</v>
      </c>
      <c r="J1264" s="395">
        <v>193</v>
      </c>
      <c r="K1264" s="395">
        <v>137</v>
      </c>
      <c r="L1264" s="397">
        <v>0.70979999999999999</v>
      </c>
      <c r="M1264" s="395">
        <v>56</v>
      </c>
      <c r="N1264" s="395">
        <v>165</v>
      </c>
      <c r="O1264" s="395">
        <v>591</v>
      </c>
      <c r="P1264" s="395">
        <v>0.68</v>
      </c>
      <c r="Q1264" s="395">
        <v>-875</v>
      </c>
      <c r="R1264" s="396">
        <v>1894</v>
      </c>
      <c r="S1264" s="396">
        <v>-4168</v>
      </c>
      <c r="T1264" s="396">
        <v>75040</v>
      </c>
      <c r="U1264" s="396">
        <v>-30271</v>
      </c>
      <c r="V1264" s="395">
        <v>3154.11</v>
      </c>
      <c r="W1264" s="395">
        <v>1923.77</v>
      </c>
      <c r="X1264" s="395">
        <v>77490</v>
      </c>
      <c r="Y1264" s="395">
        <v>6164.04</v>
      </c>
      <c r="Z1264" s="396">
        <v>-15057970</v>
      </c>
      <c r="AA1264" s="396">
        <v>31925</v>
      </c>
      <c r="AB1264" s="396">
        <v>4300429</v>
      </c>
      <c r="AC1264" s="396">
        <v>10207916</v>
      </c>
    </row>
    <row r="1265" spans="1:29">
      <c r="A1265">
        <v>2070</v>
      </c>
      <c r="B1265" s="395" t="s">
        <v>6941</v>
      </c>
      <c r="C1265" s="395"/>
      <c r="D1265" s="396">
        <v>31788</v>
      </c>
      <c r="E1265" s="396">
        <v>157784</v>
      </c>
      <c r="F1265" s="395">
        <v>1.25</v>
      </c>
      <c r="G1265" s="396">
        <v>-125997</v>
      </c>
      <c r="H1265" s="396">
        <v>19096</v>
      </c>
      <c r="I1265" s="396">
        <v>773614</v>
      </c>
      <c r="J1265" s="395">
        <v>146</v>
      </c>
      <c r="K1265" s="395">
        <v>108</v>
      </c>
      <c r="L1265" s="397">
        <v>0.73970000000000002</v>
      </c>
      <c r="M1265" s="395">
        <v>38</v>
      </c>
      <c r="N1265" s="395">
        <v>218</v>
      </c>
      <c r="O1265" s="396">
        <v>1461</v>
      </c>
      <c r="P1265" s="395">
        <v>0.44</v>
      </c>
      <c r="Q1265" s="396">
        <v>-3316</v>
      </c>
      <c r="R1265" s="396">
        <v>5052</v>
      </c>
      <c r="S1265" s="396">
        <v>-7096</v>
      </c>
      <c r="T1265" s="396">
        <v>169621</v>
      </c>
      <c r="U1265" s="396">
        <v>-111527</v>
      </c>
      <c r="V1265" s="395">
        <v>4305.41</v>
      </c>
      <c r="W1265" s="395">
        <v>3323.44</v>
      </c>
      <c r="X1265" s="395">
        <v>77490</v>
      </c>
      <c r="Y1265" s="395">
        <v>7096.26</v>
      </c>
      <c r="Z1265" s="396">
        <v>-918490</v>
      </c>
      <c r="AA1265" s="396">
        <v>31788</v>
      </c>
      <c r="AB1265" s="396">
        <v>13002481</v>
      </c>
      <c r="AC1265" s="396">
        <v>10207916</v>
      </c>
    </row>
    <row r="1266" spans="1:29">
      <c r="A1266">
        <v>2911</v>
      </c>
      <c r="B1266" s="395" t="s">
        <v>7231</v>
      </c>
      <c r="C1266" s="395"/>
      <c r="D1266" s="396">
        <v>31533</v>
      </c>
      <c r="E1266" s="396">
        <v>57297</v>
      </c>
      <c r="F1266" s="395">
        <v>2.2200000000000002</v>
      </c>
      <c r="G1266" s="396">
        <v>-25764</v>
      </c>
      <c r="H1266" s="396">
        <v>6967</v>
      </c>
      <c r="I1266" s="396">
        <v>286003</v>
      </c>
      <c r="J1266" s="395">
        <v>221</v>
      </c>
      <c r="K1266" s="395">
        <v>147</v>
      </c>
      <c r="L1266" s="397">
        <v>0.66520000000000001</v>
      </c>
      <c r="M1266" s="395">
        <v>74</v>
      </c>
      <c r="N1266" s="395">
        <v>143</v>
      </c>
      <c r="O1266" s="395">
        <v>390</v>
      </c>
      <c r="P1266" s="395">
        <v>1.1200000000000001</v>
      </c>
      <c r="Q1266" s="395">
        <v>-348</v>
      </c>
      <c r="R1266" s="396">
        <v>1429</v>
      </c>
      <c r="S1266" s="395">
        <v>-940</v>
      </c>
      <c r="T1266" s="396">
        <v>61185</v>
      </c>
      <c r="U1266" s="396">
        <v>-24826</v>
      </c>
      <c r="V1266" s="395">
        <v>4436.6099999999997</v>
      </c>
      <c r="W1266" s="395">
        <v>2441.67</v>
      </c>
      <c r="X1266" s="395">
        <v>77490</v>
      </c>
      <c r="Y1266" s="395">
        <v>8399.5400000000009</v>
      </c>
      <c r="Z1266" s="396">
        <v>-10065626</v>
      </c>
      <c r="AA1266" s="396">
        <v>31533</v>
      </c>
      <c r="AB1266" s="396">
        <v>-2247821</v>
      </c>
      <c r="AC1266" s="396">
        <v>10207916</v>
      </c>
    </row>
    <row r="1267" spans="1:29">
      <c r="A1267">
        <v>5521</v>
      </c>
      <c r="B1267" s="395" t="s">
        <v>7865</v>
      </c>
      <c r="C1267" s="395"/>
      <c r="D1267" s="396">
        <v>31236</v>
      </c>
      <c r="E1267" s="396">
        <v>65036</v>
      </c>
      <c r="F1267" s="395">
        <v>1.92</v>
      </c>
      <c r="G1267" s="396">
        <v>-33800</v>
      </c>
      <c r="H1267" s="396">
        <v>10180</v>
      </c>
      <c r="I1267" s="396">
        <v>865414</v>
      </c>
      <c r="J1267" s="395">
        <v>267</v>
      </c>
      <c r="K1267" s="395">
        <v>180</v>
      </c>
      <c r="L1267" s="397">
        <v>0.67420000000000002</v>
      </c>
      <c r="M1267" s="395">
        <v>87</v>
      </c>
      <c r="N1267" s="395">
        <v>117</v>
      </c>
      <c r="O1267" s="395">
        <v>361</v>
      </c>
      <c r="P1267" s="395">
        <v>0.93</v>
      </c>
      <c r="Q1267" s="395">
        <v>-389</v>
      </c>
      <c r="R1267" s="396">
        <v>1311</v>
      </c>
      <c r="S1267" s="396">
        <v>-1695</v>
      </c>
      <c r="T1267" s="396">
        <v>69897</v>
      </c>
      <c r="U1267" s="396">
        <v>-41336</v>
      </c>
      <c r="V1267" s="395">
        <v>8377.27</v>
      </c>
      <c r="W1267" s="395">
        <v>6768.37</v>
      </c>
      <c r="X1267" s="395">
        <v>77490</v>
      </c>
      <c r="Y1267" s="395">
        <v>11706.05</v>
      </c>
      <c r="Z1267" s="396">
        <v>-12360606</v>
      </c>
      <c r="AA1267" s="396">
        <v>31236</v>
      </c>
      <c r="AB1267" s="396">
        <v>-6813627</v>
      </c>
      <c r="AC1267" s="396">
        <v>10207916</v>
      </c>
    </row>
    <row r="1268" spans="1:29">
      <c r="A1268">
        <v>1465</v>
      </c>
      <c r="B1268" s="395" t="s">
        <v>6771</v>
      </c>
      <c r="C1268" s="395"/>
      <c r="D1268" s="396">
        <v>31058</v>
      </c>
      <c r="E1268" s="396">
        <v>40811</v>
      </c>
      <c r="F1268" s="395">
        <v>4.18</v>
      </c>
      <c r="G1268" s="396">
        <v>-9753</v>
      </c>
      <c r="H1268" s="396">
        <v>8638</v>
      </c>
      <c r="I1268" s="396">
        <v>494221</v>
      </c>
      <c r="J1268" s="395">
        <v>166</v>
      </c>
      <c r="K1268" s="395">
        <v>117</v>
      </c>
      <c r="L1268" s="397">
        <v>0.70479999999999998</v>
      </c>
      <c r="M1268" s="395">
        <v>44</v>
      </c>
      <c r="N1268" s="395">
        <v>187</v>
      </c>
      <c r="O1268" s="395">
        <v>349</v>
      </c>
      <c r="P1268" s="395">
        <v>1.57</v>
      </c>
      <c r="Q1268" s="395">
        <v>-222</v>
      </c>
      <c r="R1268" s="396">
        <v>1251</v>
      </c>
      <c r="S1268" s="395">
        <v>-753</v>
      </c>
      <c r="T1268" s="396">
        <v>50334</v>
      </c>
      <c r="U1268" s="396">
        <v>-12037</v>
      </c>
      <c r="V1268" s="395">
        <v>5880</v>
      </c>
      <c r="W1268" s="395">
        <v>5542.75</v>
      </c>
      <c r="X1268" s="395">
        <v>77490</v>
      </c>
      <c r="Y1268" s="395">
        <v>6977.02</v>
      </c>
      <c r="Z1268" s="396">
        <v>-7334177</v>
      </c>
      <c r="AA1268" s="396">
        <v>31058</v>
      </c>
      <c r="AB1268" s="396">
        <v>-3879541</v>
      </c>
      <c r="AC1268" s="396">
        <v>10207916</v>
      </c>
    </row>
    <row r="1269" spans="1:29">
      <c r="A1269">
        <v>8941</v>
      </c>
      <c r="B1269" s="395" t="s">
        <v>8388</v>
      </c>
      <c r="C1269" s="395"/>
      <c r="D1269" s="396">
        <v>31015</v>
      </c>
      <c r="E1269" s="396">
        <v>39578</v>
      </c>
      <c r="F1269" s="395">
        <v>4.62</v>
      </c>
      <c r="G1269" s="396">
        <v>-8564</v>
      </c>
      <c r="H1269" s="396">
        <v>8435</v>
      </c>
      <c r="I1269" s="396">
        <v>920483</v>
      </c>
      <c r="J1269" s="395">
        <v>54</v>
      </c>
      <c r="K1269" s="395">
        <v>44</v>
      </c>
      <c r="L1269" s="397">
        <v>0.81479999999999997</v>
      </c>
      <c r="M1269" s="395">
        <v>10</v>
      </c>
      <c r="N1269" s="395">
        <v>574</v>
      </c>
      <c r="O1269" s="395">
        <v>900</v>
      </c>
      <c r="P1269" s="395">
        <v>1.05</v>
      </c>
      <c r="Q1269" s="395">
        <v>-856</v>
      </c>
      <c r="R1269" s="396">
        <v>2424</v>
      </c>
      <c r="S1269" s="396">
        <v>-1835</v>
      </c>
      <c r="T1269" s="396">
        <v>56059</v>
      </c>
      <c r="U1269" s="396">
        <v>-44065</v>
      </c>
      <c r="V1269" s="395">
        <v>13932.19</v>
      </c>
      <c r="W1269" s="395">
        <v>13816.57</v>
      </c>
      <c r="X1269" s="395">
        <v>74790</v>
      </c>
      <c r="Y1269" s="395">
        <v>14440.9</v>
      </c>
      <c r="Z1269" s="396">
        <v>4973022</v>
      </c>
      <c r="AA1269" s="396">
        <v>31015</v>
      </c>
      <c r="AB1269" s="396">
        <v>1937168</v>
      </c>
      <c r="AC1269" s="396">
        <v>10207916</v>
      </c>
    </row>
    <row r="1270" spans="1:29">
      <c r="A1270">
        <v>2204</v>
      </c>
      <c r="B1270" s="395" t="s">
        <v>6954</v>
      </c>
      <c r="C1270" s="395"/>
      <c r="D1270" s="396">
        <v>30874</v>
      </c>
      <c r="E1270" s="396">
        <v>418342</v>
      </c>
      <c r="F1270" s="395">
        <v>1.08</v>
      </c>
      <c r="G1270" s="396">
        <v>-387468</v>
      </c>
      <c r="H1270" s="396">
        <v>72582</v>
      </c>
      <c r="I1270" s="396">
        <v>6859775</v>
      </c>
      <c r="J1270" s="395">
        <v>280</v>
      </c>
      <c r="K1270" s="395">
        <v>180</v>
      </c>
      <c r="L1270" s="397">
        <v>0.64290000000000003</v>
      </c>
      <c r="M1270" s="395">
        <v>100</v>
      </c>
      <c r="N1270" s="395">
        <v>110</v>
      </c>
      <c r="O1270" s="396">
        <v>2324</v>
      </c>
      <c r="P1270" s="395">
        <v>0.6</v>
      </c>
      <c r="Q1270" s="396">
        <v>-3875</v>
      </c>
      <c r="R1270" s="396">
        <v>8051</v>
      </c>
      <c r="S1270" s="396">
        <v>-11775</v>
      </c>
      <c r="T1270" s="396">
        <v>442418</v>
      </c>
      <c r="U1270" s="396">
        <v>-661668</v>
      </c>
      <c r="V1270" s="395">
        <v>8598.15</v>
      </c>
      <c r="W1270" s="395">
        <v>4064.85</v>
      </c>
      <c r="X1270" s="395">
        <v>77490</v>
      </c>
      <c r="Y1270" s="395">
        <v>16758.080000000002</v>
      </c>
      <c r="Z1270" s="396">
        <v>1914762</v>
      </c>
      <c r="AA1270" s="396">
        <v>30874</v>
      </c>
      <c r="AB1270" s="396">
        <v>18174203</v>
      </c>
      <c r="AC1270" s="396">
        <v>10207916</v>
      </c>
    </row>
    <row r="1271" spans="1:29">
      <c r="A1271">
        <v>1453</v>
      </c>
      <c r="B1271" s="395" t="s">
        <v>6762</v>
      </c>
      <c r="C1271" s="395"/>
      <c r="D1271" s="396">
        <v>30750</v>
      </c>
      <c r="E1271" s="396">
        <v>48857</v>
      </c>
      <c r="F1271" s="395">
        <v>2.7</v>
      </c>
      <c r="G1271" s="396">
        <v>-18107</v>
      </c>
      <c r="H1271" s="396">
        <v>7760</v>
      </c>
      <c r="I1271" s="396">
        <v>786886</v>
      </c>
      <c r="J1271" s="395">
        <v>217</v>
      </c>
      <c r="K1271" s="395">
        <v>169</v>
      </c>
      <c r="L1271" s="397">
        <v>0.77880000000000005</v>
      </c>
      <c r="M1271" s="395">
        <v>48</v>
      </c>
      <c r="N1271" s="395">
        <v>142</v>
      </c>
      <c r="O1271" s="395">
        <v>289</v>
      </c>
      <c r="P1271" s="395">
        <v>0.77</v>
      </c>
      <c r="Q1271" s="395">
        <v>-377</v>
      </c>
      <c r="R1271" s="395">
        <v>996</v>
      </c>
      <c r="S1271" s="396">
        <v>-1780</v>
      </c>
      <c r="T1271" s="396">
        <v>55007</v>
      </c>
      <c r="U1271" s="396">
        <v>-30198</v>
      </c>
      <c r="V1271" s="395">
        <v>8484.8799999999992</v>
      </c>
      <c r="W1271" s="395">
        <v>6369.72</v>
      </c>
      <c r="X1271" s="395">
        <v>77490</v>
      </c>
      <c r="Y1271" s="395">
        <v>15932.04</v>
      </c>
      <c r="Z1271" s="396">
        <v>5155411</v>
      </c>
      <c r="AA1271" s="396">
        <v>30750</v>
      </c>
      <c r="AB1271" s="396">
        <v>-3583333</v>
      </c>
      <c r="AC1271" s="396">
        <v>10207916</v>
      </c>
    </row>
    <row r="1272" spans="1:29">
      <c r="A1272">
        <v>4417</v>
      </c>
      <c r="B1272" s="395" t="s">
        <v>7612</v>
      </c>
      <c r="C1272" s="395"/>
      <c r="D1272" s="396">
        <v>30499</v>
      </c>
      <c r="E1272" s="396">
        <v>77837</v>
      </c>
      <c r="F1272" s="395">
        <v>1.64</v>
      </c>
      <c r="G1272" s="396">
        <v>-47338</v>
      </c>
      <c r="H1272" s="396">
        <v>29574</v>
      </c>
      <c r="I1272" s="396">
        <v>4498061</v>
      </c>
      <c r="J1272" s="395">
        <v>205</v>
      </c>
      <c r="K1272" s="395">
        <v>114</v>
      </c>
      <c r="L1272" s="397">
        <v>0.55610000000000004</v>
      </c>
      <c r="M1272" s="395">
        <v>91</v>
      </c>
      <c r="N1272" s="395">
        <v>149</v>
      </c>
      <c r="O1272" s="395">
        <v>683</v>
      </c>
      <c r="P1272" s="395">
        <v>1.31</v>
      </c>
      <c r="Q1272" s="395">
        <v>-520</v>
      </c>
      <c r="R1272" s="396">
        <v>2952</v>
      </c>
      <c r="S1272" s="396">
        <v>-2623</v>
      </c>
      <c r="T1272" s="396">
        <v>127514</v>
      </c>
      <c r="U1272" s="396">
        <v>-134738</v>
      </c>
      <c r="V1272" s="395">
        <v>18894.55</v>
      </c>
      <c r="W1272" s="395">
        <v>9973.11</v>
      </c>
      <c r="X1272" s="395">
        <v>77490</v>
      </c>
      <c r="Y1272" s="395">
        <v>30070.85</v>
      </c>
      <c r="Z1272" s="396">
        <v>2923565</v>
      </c>
      <c r="AA1272" s="396">
        <v>30499</v>
      </c>
      <c r="AB1272" s="396">
        <v>6922667</v>
      </c>
      <c r="AC1272" s="396">
        <v>10207916</v>
      </c>
    </row>
    <row r="1273" spans="1:29">
      <c r="A1273">
        <v>2061</v>
      </c>
      <c r="B1273" s="395" t="s">
        <v>6933</v>
      </c>
      <c r="C1273" s="395"/>
      <c r="D1273" s="396">
        <v>30114</v>
      </c>
      <c r="E1273" s="396">
        <v>92578</v>
      </c>
      <c r="F1273" s="395">
        <v>1.48</v>
      </c>
      <c r="G1273" s="396">
        <v>-62464</v>
      </c>
      <c r="H1273" s="396">
        <v>11586</v>
      </c>
      <c r="I1273" s="396">
        <v>269608</v>
      </c>
      <c r="J1273" s="395">
        <v>129</v>
      </c>
      <c r="K1273" s="395">
        <v>96</v>
      </c>
      <c r="L1273" s="397">
        <v>0.74419999999999997</v>
      </c>
      <c r="M1273" s="395">
        <v>33</v>
      </c>
      <c r="N1273" s="395">
        <v>233</v>
      </c>
      <c r="O1273" s="395">
        <v>964</v>
      </c>
      <c r="P1273" s="395">
        <v>0.51</v>
      </c>
      <c r="Q1273" s="396">
        <v>-1893</v>
      </c>
      <c r="R1273" s="396">
        <v>3708</v>
      </c>
      <c r="S1273" s="396">
        <v>-8316</v>
      </c>
      <c r="T1273" s="396">
        <v>74590</v>
      </c>
      <c r="U1273" s="396">
        <v>-44622</v>
      </c>
      <c r="V1273" s="395">
        <v>2565.3000000000002</v>
      </c>
      <c r="W1273" s="395">
        <v>1439.64</v>
      </c>
      <c r="X1273" s="395">
        <v>75600</v>
      </c>
      <c r="Y1273" s="395">
        <v>5839.97</v>
      </c>
      <c r="Z1273" s="396">
        <v>-20806590</v>
      </c>
      <c r="AA1273" s="396">
        <v>30114</v>
      </c>
      <c r="AB1273" s="396">
        <v>12737820</v>
      </c>
      <c r="AC1273" s="396">
        <v>10207916</v>
      </c>
    </row>
    <row r="1274" spans="1:29">
      <c r="A1274">
        <v>3031</v>
      </c>
      <c r="B1274" s="395" t="s">
        <v>7270</v>
      </c>
      <c r="C1274" s="395"/>
      <c r="D1274" s="396">
        <v>29732</v>
      </c>
      <c r="E1274" s="396">
        <v>162662</v>
      </c>
      <c r="F1274" s="395">
        <v>1.22</v>
      </c>
      <c r="G1274" s="396">
        <v>-132930</v>
      </c>
      <c r="H1274" s="396">
        <v>22403</v>
      </c>
      <c r="I1274" s="396">
        <v>787761</v>
      </c>
      <c r="J1274" s="395">
        <v>260</v>
      </c>
      <c r="K1274" s="395">
        <v>186</v>
      </c>
      <c r="L1274" s="397">
        <v>0.71540000000000004</v>
      </c>
      <c r="M1274" s="395">
        <v>74</v>
      </c>
      <c r="N1274" s="395">
        <v>114</v>
      </c>
      <c r="O1274" s="395">
        <v>875</v>
      </c>
      <c r="P1274" s="395">
        <v>0.49</v>
      </c>
      <c r="Q1274" s="396">
        <v>-1796</v>
      </c>
      <c r="R1274" s="396">
        <v>3161</v>
      </c>
      <c r="S1274" s="396">
        <v>-5645</v>
      </c>
      <c r="T1274" s="396">
        <v>142213</v>
      </c>
      <c r="U1274" s="396">
        <v>-120694</v>
      </c>
      <c r="V1274" s="395">
        <v>2619.0100000000002</v>
      </c>
      <c r="W1274" s="395">
        <v>1372.81</v>
      </c>
      <c r="X1274" s="395">
        <v>77490</v>
      </c>
      <c r="Y1274" s="395">
        <v>5751.35</v>
      </c>
      <c r="Z1274" s="396">
        <v>-9033578</v>
      </c>
      <c r="AA1274" s="396">
        <v>29732</v>
      </c>
      <c r="AB1274" s="396">
        <v>16884200</v>
      </c>
      <c r="AC1274" s="396">
        <v>10207916</v>
      </c>
    </row>
    <row r="1275" spans="1:29">
      <c r="A1275">
        <v>4526</v>
      </c>
      <c r="B1275" s="395" t="s">
        <v>7629</v>
      </c>
      <c r="C1275" s="395"/>
      <c r="D1275" s="396">
        <v>29698</v>
      </c>
      <c r="E1275" s="396">
        <v>100569</v>
      </c>
      <c r="F1275" s="395">
        <v>1.42</v>
      </c>
      <c r="G1275" s="396">
        <v>-70871</v>
      </c>
      <c r="H1275" s="396">
        <v>16852</v>
      </c>
      <c r="I1275" s="396">
        <v>971123</v>
      </c>
      <c r="J1275" s="395">
        <v>252</v>
      </c>
      <c r="K1275" s="395">
        <v>161</v>
      </c>
      <c r="L1275" s="397">
        <v>0.63890000000000002</v>
      </c>
      <c r="M1275" s="395">
        <v>91</v>
      </c>
      <c r="N1275" s="395">
        <v>118</v>
      </c>
      <c r="O1275" s="395">
        <v>625</v>
      </c>
      <c r="P1275" s="395">
        <v>0.8</v>
      </c>
      <c r="Q1275" s="395">
        <v>-779</v>
      </c>
      <c r="R1275" s="396">
        <v>2489</v>
      </c>
      <c r="S1275" s="396">
        <v>-2972</v>
      </c>
      <c r="T1275" s="396">
        <v>95040</v>
      </c>
      <c r="U1275" s="396">
        <v>-58775</v>
      </c>
      <c r="V1275" s="395">
        <v>5302.19</v>
      </c>
      <c r="W1275" s="395">
        <v>3065.1</v>
      </c>
      <c r="X1275" s="395">
        <v>77490</v>
      </c>
      <c r="Y1275" s="395">
        <v>9260.1200000000008</v>
      </c>
      <c r="Z1275" s="396">
        <v>-11597921</v>
      </c>
      <c r="AA1275" s="396">
        <v>29698</v>
      </c>
      <c r="AB1275" s="396">
        <v>-43750</v>
      </c>
      <c r="AC1275" s="396">
        <v>10207916</v>
      </c>
    </row>
    <row r="1276" spans="1:29">
      <c r="A1276">
        <v>3013</v>
      </c>
      <c r="B1276" s="395" t="s">
        <v>7253</v>
      </c>
      <c r="C1276" s="395"/>
      <c r="D1276" s="396">
        <v>29217</v>
      </c>
      <c r="E1276" s="396">
        <v>85388</v>
      </c>
      <c r="F1276" s="395">
        <v>1.52</v>
      </c>
      <c r="G1276" s="396">
        <v>-56171</v>
      </c>
      <c r="H1276" s="396">
        <v>13804</v>
      </c>
      <c r="I1276" s="396">
        <v>579827</v>
      </c>
      <c r="J1276" s="395">
        <v>248</v>
      </c>
      <c r="K1276" s="395">
        <v>186</v>
      </c>
      <c r="L1276" s="397">
        <v>0.75</v>
      </c>
      <c r="M1276" s="395">
        <v>62</v>
      </c>
      <c r="N1276" s="395">
        <v>118</v>
      </c>
      <c r="O1276" s="395">
        <v>459</v>
      </c>
      <c r="P1276" s="395">
        <v>0.51</v>
      </c>
      <c r="Q1276" s="395">
        <v>-906</v>
      </c>
      <c r="R1276" s="396">
        <v>1900</v>
      </c>
      <c r="S1276" s="396">
        <v>-3114</v>
      </c>
      <c r="T1276" s="396">
        <v>95763</v>
      </c>
      <c r="U1276" s="396">
        <v>-55633</v>
      </c>
      <c r="V1276" s="395">
        <v>3811.48</v>
      </c>
      <c r="W1276" s="395">
        <v>2729.49</v>
      </c>
      <c r="X1276" s="395">
        <v>77490</v>
      </c>
      <c r="Y1276" s="395">
        <v>7057.47</v>
      </c>
      <c r="Z1276" s="396">
        <v>-6942949</v>
      </c>
      <c r="AA1276" s="396">
        <v>29217</v>
      </c>
      <c r="AB1276" s="396">
        <v>-5866039</v>
      </c>
      <c r="AC1276" s="396">
        <v>10207916</v>
      </c>
    </row>
    <row r="1277" spans="1:29">
      <c r="A1277">
        <v>6144</v>
      </c>
      <c r="B1277" s="395" t="s">
        <v>7941</v>
      </c>
      <c r="C1277" s="395"/>
      <c r="D1277" s="396">
        <v>28922</v>
      </c>
      <c r="E1277" s="396">
        <v>51151</v>
      </c>
      <c r="F1277" s="395">
        <v>2.2999999999999998</v>
      </c>
      <c r="G1277" s="396">
        <v>-22229</v>
      </c>
      <c r="H1277" s="396">
        <v>3878</v>
      </c>
      <c r="I1277" s="396">
        <v>247366</v>
      </c>
      <c r="J1277" s="395">
        <v>58</v>
      </c>
      <c r="K1277" s="395">
        <v>43</v>
      </c>
      <c r="L1277" s="397">
        <v>0.74139999999999995</v>
      </c>
      <c r="M1277" s="395">
        <v>15</v>
      </c>
      <c r="N1277" s="395">
        <v>499</v>
      </c>
      <c r="O1277" s="396">
        <v>1190</v>
      </c>
      <c r="P1277" s="395">
        <v>0.8</v>
      </c>
      <c r="Q1277" s="396">
        <v>-1482</v>
      </c>
      <c r="R1277" s="396">
        <v>3585</v>
      </c>
      <c r="S1277" s="396">
        <v>-5581</v>
      </c>
      <c r="T1277" s="396">
        <v>61233</v>
      </c>
      <c r="U1277" s="396">
        <v>-32127</v>
      </c>
      <c r="V1277" s="395">
        <v>2693.95</v>
      </c>
      <c r="W1277" s="395">
        <v>2058.81</v>
      </c>
      <c r="X1277" s="395">
        <v>69390</v>
      </c>
      <c r="Y1277" s="395">
        <v>4514.67</v>
      </c>
      <c r="Z1277" s="396">
        <v>-7401388</v>
      </c>
      <c r="AA1277" s="396">
        <v>28922</v>
      </c>
      <c r="AB1277" s="396">
        <v>7399177</v>
      </c>
      <c r="AC1277" s="396">
        <v>10207916</v>
      </c>
    </row>
    <row r="1278" spans="1:29">
      <c r="A1278">
        <v>5302</v>
      </c>
      <c r="B1278" s="395" t="s">
        <v>7799</v>
      </c>
      <c r="C1278" s="395"/>
      <c r="D1278" s="396">
        <v>27976</v>
      </c>
      <c r="E1278" s="396">
        <v>91505</v>
      </c>
      <c r="F1278" s="395">
        <v>1.44</v>
      </c>
      <c r="G1278" s="396">
        <v>-63529</v>
      </c>
      <c r="H1278" s="396">
        <v>10994</v>
      </c>
      <c r="I1278" s="396">
        <v>326547</v>
      </c>
      <c r="J1278" s="395">
        <v>212</v>
      </c>
      <c r="K1278" s="395">
        <v>148</v>
      </c>
      <c r="L1278" s="397">
        <v>0.69810000000000005</v>
      </c>
      <c r="M1278" s="395">
        <v>64</v>
      </c>
      <c r="N1278" s="395">
        <v>132</v>
      </c>
      <c r="O1278" s="395">
        <v>618</v>
      </c>
      <c r="P1278" s="395">
        <v>0.62</v>
      </c>
      <c r="Q1278" s="395">
        <v>-993</v>
      </c>
      <c r="R1278" s="396">
        <v>1944</v>
      </c>
      <c r="S1278" s="396">
        <v>-2947</v>
      </c>
      <c r="T1278" s="396">
        <v>79218</v>
      </c>
      <c r="U1278" s="396">
        <v>-45889</v>
      </c>
      <c r="V1278" s="395">
        <v>2300.7399999999998</v>
      </c>
      <c r="W1278" s="395">
        <v>1225.58</v>
      </c>
      <c r="X1278" s="395">
        <v>77490</v>
      </c>
      <c r="Y1278" s="395">
        <v>4787.03</v>
      </c>
      <c r="Z1278" s="396">
        <v>-2022797</v>
      </c>
      <c r="AA1278" s="396">
        <v>27976</v>
      </c>
      <c r="AB1278" s="396">
        <v>14224030</v>
      </c>
      <c r="AC1278" s="396">
        <v>10207916</v>
      </c>
    </row>
    <row r="1279" spans="1:29">
      <c r="A1279">
        <v>4305</v>
      </c>
      <c r="B1279" s="395" t="s">
        <v>7604</v>
      </c>
      <c r="C1279" s="395"/>
      <c r="D1279" s="396">
        <v>27909</v>
      </c>
      <c r="E1279" s="396">
        <v>33358</v>
      </c>
      <c r="F1279" s="395">
        <v>6.12</v>
      </c>
      <c r="G1279" s="396">
        <v>-5449</v>
      </c>
      <c r="H1279" s="396">
        <v>4260</v>
      </c>
      <c r="I1279" s="396">
        <v>438874</v>
      </c>
      <c r="J1279" s="395">
        <v>32</v>
      </c>
      <c r="K1279" s="395">
        <v>24</v>
      </c>
      <c r="L1279" s="397">
        <v>0.75</v>
      </c>
      <c r="M1279" s="395">
        <v>8</v>
      </c>
      <c r="N1279" s="395">
        <v>872</v>
      </c>
      <c r="O1279" s="396">
        <v>1390</v>
      </c>
      <c r="P1279" s="395">
        <v>2.04</v>
      </c>
      <c r="Q1279" s="395">
        <v>-681</v>
      </c>
      <c r="R1279" s="396">
        <v>3034</v>
      </c>
      <c r="S1279" s="396">
        <v>-1437</v>
      </c>
      <c r="T1279" s="396">
        <v>29693</v>
      </c>
      <c r="U1279" s="396">
        <v>-11534</v>
      </c>
      <c r="V1279" s="395">
        <v>5452.75</v>
      </c>
      <c r="W1279" s="395">
        <v>5703.54</v>
      </c>
      <c r="X1279" s="395">
        <v>64260</v>
      </c>
      <c r="Y1279" s="395">
        <v>4700.38</v>
      </c>
      <c r="Z1279" s="396">
        <v>5885145</v>
      </c>
      <c r="AA1279" s="396">
        <v>27909</v>
      </c>
      <c r="AB1279" s="396">
        <v>1504658</v>
      </c>
      <c r="AC1279" s="396">
        <v>10207916</v>
      </c>
    </row>
    <row r="1280" spans="1:29">
      <c r="A1280">
        <v>5355</v>
      </c>
      <c r="B1280" s="395" t="s">
        <v>7816</v>
      </c>
      <c r="C1280" s="395"/>
      <c r="D1280" s="396">
        <v>27897</v>
      </c>
      <c r="E1280" s="396">
        <v>39828</v>
      </c>
      <c r="F1280" s="395">
        <v>3.34</v>
      </c>
      <c r="G1280" s="396">
        <v>-11931</v>
      </c>
      <c r="H1280" s="396">
        <v>4523</v>
      </c>
      <c r="I1280" s="396">
        <v>384269</v>
      </c>
      <c r="J1280" s="395">
        <v>153</v>
      </c>
      <c r="K1280" s="395">
        <v>121</v>
      </c>
      <c r="L1280" s="397">
        <v>0.79079999999999995</v>
      </c>
      <c r="M1280" s="395">
        <v>32</v>
      </c>
      <c r="N1280" s="395">
        <v>182</v>
      </c>
      <c r="O1280" s="395">
        <v>329</v>
      </c>
      <c r="P1280" s="395">
        <v>0.88</v>
      </c>
      <c r="Q1280" s="395">
        <v>-373</v>
      </c>
      <c r="R1280" s="396">
        <v>1113</v>
      </c>
      <c r="S1280" s="396">
        <v>-1472</v>
      </c>
      <c r="T1280" s="396">
        <v>47397</v>
      </c>
      <c r="U1280" s="396">
        <v>-33906</v>
      </c>
      <c r="V1280" s="395">
        <v>6760.35</v>
      </c>
      <c r="W1280" s="395">
        <v>5117.97</v>
      </c>
      <c r="X1280" s="395">
        <v>77490</v>
      </c>
      <c r="Y1280" s="395">
        <v>12970.63</v>
      </c>
      <c r="Z1280" s="396">
        <v>1976278</v>
      </c>
      <c r="AA1280" s="396">
        <v>27897</v>
      </c>
      <c r="AB1280" s="396">
        <v>-4707928</v>
      </c>
      <c r="AC1280" s="396">
        <v>10207916</v>
      </c>
    </row>
    <row r="1281" spans="1:29">
      <c r="A1281">
        <v>6264</v>
      </c>
      <c r="B1281" s="395" t="s">
        <v>8038</v>
      </c>
      <c r="C1281" s="395"/>
      <c r="D1281" s="396">
        <v>27178</v>
      </c>
      <c r="E1281" s="396">
        <v>35427</v>
      </c>
      <c r="F1281" s="395">
        <v>4.29</v>
      </c>
      <c r="G1281" s="396">
        <v>-8249</v>
      </c>
      <c r="H1281" s="396">
        <v>3922</v>
      </c>
      <c r="I1281" s="396">
        <v>327520</v>
      </c>
      <c r="J1281" s="395">
        <v>102</v>
      </c>
      <c r="K1281" s="395">
        <v>81</v>
      </c>
      <c r="L1281" s="397">
        <v>0.79410000000000003</v>
      </c>
      <c r="M1281" s="395">
        <v>21</v>
      </c>
      <c r="N1281" s="395">
        <v>266</v>
      </c>
      <c r="O1281" s="395">
        <v>437</v>
      </c>
      <c r="P1281" s="395">
        <v>1.1100000000000001</v>
      </c>
      <c r="Q1281" s="395">
        <v>-393</v>
      </c>
      <c r="R1281" s="396">
        <v>1659</v>
      </c>
      <c r="S1281" s="396">
        <v>-1423</v>
      </c>
      <c r="T1281" s="396">
        <v>41090</v>
      </c>
      <c r="U1281" s="396">
        <v>-30200</v>
      </c>
      <c r="V1281" s="395">
        <v>7944.92</v>
      </c>
      <c r="W1281" s="395">
        <v>5121.16</v>
      </c>
      <c r="X1281" s="395">
        <v>77490</v>
      </c>
      <c r="Y1281" s="395">
        <v>18836.57</v>
      </c>
      <c r="Z1281" s="396">
        <v>19303287</v>
      </c>
      <c r="AA1281" s="396">
        <v>27178</v>
      </c>
      <c r="AB1281" s="396">
        <v>12294854</v>
      </c>
      <c r="AC1281" s="396">
        <v>10207916</v>
      </c>
    </row>
    <row r="1282" spans="1:29">
      <c r="A1282">
        <v>2937</v>
      </c>
      <c r="B1282" s="395" t="s">
        <v>7241</v>
      </c>
      <c r="C1282" s="395"/>
      <c r="D1282" s="396">
        <v>27158</v>
      </c>
      <c r="E1282" s="396">
        <v>42920</v>
      </c>
      <c r="F1282" s="395">
        <v>2.72</v>
      </c>
      <c r="G1282" s="396">
        <v>-15762</v>
      </c>
      <c r="H1282" s="396">
        <v>8042</v>
      </c>
      <c r="I1282" s="396">
        <v>795718</v>
      </c>
      <c r="J1282" s="395">
        <v>53</v>
      </c>
      <c r="K1282" s="395">
        <v>33</v>
      </c>
      <c r="L1282" s="397">
        <v>0.62260000000000004</v>
      </c>
      <c r="M1282" s="395">
        <v>20</v>
      </c>
      <c r="N1282" s="395">
        <v>512</v>
      </c>
      <c r="O1282" s="396">
        <v>1301</v>
      </c>
      <c r="P1282" s="395">
        <v>1.65</v>
      </c>
      <c r="Q1282" s="395">
        <v>-788</v>
      </c>
      <c r="R1282" s="396">
        <v>5257</v>
      </c>
      <c r="S1282" s="396">
        <v>-3655</v>
      </c>
      <c r="T1282" s="396">
        <v>57949</v>
      </c>
      <c r="U1282" s="396">
        <v>-35688</v>
      </c>
      <c r="V1282" s="395">
        <v>10272.09</v>
      </c>
      <c r="W1282" s="395">
        <v>7223.61</v>
      </c>
      <c r="X1282" s="395">
        <v>74790</v>
      </c>
      <c r="Y1282" s="395">
        <v>15302.1</v>
      </c>
      <c r="Z1282" s="396">
        <v>8789819</v>
      </c>
      <c r="AA1282" s="396">
        <v>27158</v>
      </c>
      <c r="AB1282" s="396">
        <v>15586513</v>
      </c>
      <c r="AC1282" s="396">
        <v>10207916</v>
      </c>
    </row>
    <row r="1283" spans="1:29">
      <c r="A1283">
        <v>8472</v>
      </c>
      <c r="B1283" s="395" t="s">
        <v>8356</v>
      </c>
      <c r="C1283" s="395"/>
      <c r="D1283" s="396">
        <v>26811</v>
      </c>
      <c r="E1283" s="396">
        <v>28676</v>
      </c>
      <c r="F1283" s="395">
        <v>15.38</v>
      </c>
      <c r="G1283" s="396">
        <v>-1865</v>
      </c>
      <c r="H1283" s="396">
        <v>2489</v>
      </c>
      <c r="I1283" s="396">
        <v>251100</v>
      </c>
      <c r="J1283" s="395">
        <v>10</v>
      </c>
      <c r="K1283" s="395">
        <v>9</v>
      </c>
      <c r="L1283" s="397">
        <v>0.9</v>
      </c>
      <c r="M1283" s="395">
        <v>1</v>
      </c>
      <c r="N1283" s="396">
        <v>2681</v>
      </c>
      <c r="O1283" s="396">
        <v>3186</v>
      </c>
      <c r="P1283" s="395">
        <v>1.71</v>
      </c>
      <c r="Q1283" s="396">
        <v>-1865</v>
      </c>
      <c r="R1283" s="396">
        <v>5950</v>
      </c>
      <c r="S1283" s="396">
        <v>-1865</v>
      </c>
      <c r="T1283" s="396">
        <v>33645</v>
      </c>
      <c r="U1283" s="396">
        <v>-6834</v>
      </c>
      <c r="V1283" s="395">
        <v>939.2</v>
      </c>
      <c r="W1283" s="395">
        <v>895.89</v>
      </c>
      <c r="X1283" s="395">
        <v>71010</v>
      </c>
      <c r="Y1283" s="395">
        <v>1329</v>
      </c>
      <c r="Z1283" s="396">
        <v>9808278</v>
      </c>
      <c r="AA1283" s="396">
        <v>26811</v>
      </c>
      <c r="AB1283" s="396">
        <v>-13537205</v>
      </c>
      <c r="AC1283" s="396">
        <v>10207916</v>
      </c>
    </row>
    <row r="1284" spans="1:29">
      <c r="A1284">
        <v>3615</v>
      </c>
      <c r="B1284" s="395" t="s">
        <v>7501</v>
      </c>
      <c r="C1284" s="395"/>
      <c r="D1284" s="396">
        <v>26670</v>
      </c>
      <c r="E1284" s="396">
        <v>163095</v>
      </c>
      <c r="F1284" s="395">
        <v>1.2</v>
      </c>
      <c r="G1284" s="396">
        <v>-136425</v>
      </c>
      <c r="H1284" s="396">
        <v>24180</v>
      </c>
      <c r="I1284" s="396">
        <v>752816</v>
      </c>
      <c r="J1284" s="395">
        <v>258</v>
      </c>
      <c r="K1284" s="395">
        <v>184</v>
      </c>
      <c r="L1284" s="397">
        <v>0.71319999999999995</v>
      </c>
      <c r="M1284" s="395">
        <v>74</v>
      </c>
      <c r="N1284" s="395">
        <v>103</v>
      </c>
      <c r="O1284" s="395">
        <v>886</v>
      </c>
      <c r="P1284" s="395">
        <v>0.48</v>
      </c>
      <c r="Q1284" s="396">
        <v>-1844</v>
      </c>
      <c r="R1284" s="396">
        <v>4561</v>
      </c>
      <c r="S1284" s="396">
        <v>-9517</v>
      </c>
      <c r="T1284" s="396">
        <v>142549</v>
      </c>
      <c r="U1284" s="396">
        <v>-119692</v>
      </c>
      <c r="V1284" s="395">
        <v>2737.67</v>
      </c>
      <c r="W1284" s="395">
        <v>1611.22</v>
      </c>
      <c r="X1284" s="395">
        <v>77490</v>
      </c>
      <c r="Y1284" s="395">
        <v>5538.58</v>
      </c>
      <c r="Z1284" s="396">
        <v>-18550663</v>
      </c>
      <c r="AA1284" s="396">
        <v>26670</v>
      </c>
      <c r="AB1284" s="396">
        <v>-9226640</v>
      </c>
      <c r="AC1284" s="396">
        <v>10207916</v>
      </c>
    </row>
    <row r="1285" spans="1:29">
      <c r="A1285">
        <v>1218</v>
      </c>
      <c r="B1285" s="395" t="s">
        <v>6690</v>
      </c>
      <c r="C1285" s="395"/>
      <c r="D1285" s="396">
        <v>26611</v>
      </c>
      <c r="E1285" s="396">
        <v>84779</v>
      </c>
      <c r="F1285" s="395">
        <v>1.46</v>
      </c>
      <c r="G1285" s="396">
        <v>-58168</v>
      </c>
      <c r="H1285" s="396">
        <v>29253</v>
      </c>
      <c r="I1285" s="396">
        <v>4966839</v>
      </c>
      <c r="J1285" s="395">
        <v>256</v>
      </c>
      <c r="K1285" s="395">
        <v>148</v>
      </c>
      <c r="L1285" s="397">
        <v>0.57809999999999995</v>
      </c>
      <c r="M1285" s="395">
        <v>108</v>
      </c>
      <c r="N1285" s="395">
        <v>104</v>
      </c>
      <c r="O1285" s="395">
        <v>573</v>
      </c>
      <c r="P1285" s="395">
        <v>1.06</v>
      </c>
      <c r="Q1285" s="395">
        <v>-539</v>
      </c>
      <c r="R1285" s="396">
        <v>2926</v>
      </c>
      <c r="S1285" s="396">
        <v>-3052</v>
      </c>
      <c r="T1285" s="396">
        <v>273780</v>
      </c>
      <c r="U1285" s="396">
        <v>-212030</v>
      </c>
      <c r="V1285" s="395">
        <v>18797.57</v>
      </c>
      <c r="W1285" s="395">
        <v>10252.200000000001</v>
      </c>
      <c r="X1285" s="395">
        <v>77490</v>
      </c>
      <c r="Y1285" s="395">
        <v>30507.89</v>
      </c>
      <c r="Z1285" s="396">
        <v>-2471956</v>
      </c>
      <c r="AA1285" s="396">
        <v>26611</v>
      </c>
      <c r="AB1285" s="396">
        <v>1444540</v>
      </c>
      <c r="AC1285" s="396">
        <v>10207916</v>
      </c>
    </row>
    <row r="1286" spans="1:29">
      <c r="A1286">
        <v>6021</v>
      </c>
      <c r="B1286" s="395" t="s">
        <v>7904</v>
      </c>
      <c r="C1286" s="395"/>
      <c r="D1286" s="396">
        <v>26283</v>
      </c>
      <c r="E1286" s="396">
        <v>61851</v>
      </c>
      <c r="F1286" s="395">
        <v>1.74</v>
      </c>
      <c r="G1286" s="396">
        <v>-35568</v>
      </c>
      <c r="H1286" s="396">
        <v>11467</v>
      </c>
      <c r="I1286" s="396">
        <v>698742</v>
      </c>
      <c r="J1286" s="395">
        <v>133</v>
      </c>
      <c r="K1286" s="395">
        <v>84</v>
      </c>
      <c r="L1286" s="397">
        <v>0.63160000000000005</v>
      </c>
      <c r="M1286" s="395">
        <v>49</v>
      </c>
      <c r="N1286" s="395">
        <v>198</v>
      </c>
      <c r="O1286" s="395">
        <v>736</v>
      </c>
      <c r="P1286" s="395">
        <v>1.01</v>
      </c>
      <c r="Q1286" s="395">
        <v>-726</v>
      </c>
      <c r="R1286" s="396">
        <v>1968</v>
      </c>
      <c r="S1286" s="396">
        <v>-1990</v>
      </c>
      <c r="T1286" s="396">
        <v>65237</v>
      </c>
      <c r="U1286" s="396">
        <v>-33188</v>
      </c>
      <c r="V1286" s="395">
        <v>5433.91</v>
      </c>
      <c r="W1286" s="395">
        <v>2096.9299999999998</v>
      </c>
      <c r="X1286" s="395">
        <v>75870</v>
      </c>
      <c r="Y1286" s="395">
        <v>11154.45</v>
      </c>
      <c r="Z1286" s="396">
        <v>22979049</v>
      </c>
      <c r="AA1286" s="396">
        <v>26283</v>
      </c>
      <c r="AB1286" s="396">
        <v>2318182</v>
      </c>
      <c r="AC1286" s="396">
        <v>10207916</v>
      </c>
    </row>
    <row r="1287" spans="1:29">
      <c r="A1287">
        <v>4542</v>
      </c>
      <c r="B1287" s="395" t="s">
        <v>7642</v>
      </c>
      <c r="C1287" s="395"/>
      <c r="D1287" s="396">
        <v>25407</v>
      </c>
      <c r="E1287" s="396">
        <v>38419</v>
      </c>
      <c r="F1287" s="395">
        <v>2.95</v>
      </c>
      <c r="G1287" s="396">
        <v>-13012</v>
      </c>
      <c r="H1287" s="396">
        <v>3697</v>
      </c>
      <c r="I1287" s="396">
        <v>157072</v>
      </c>
      <c r="J1287" s="395">
        <v>33</v>
      </c>
      <c r="K1287" s="395">
        <v>23</v>
      </c>
      <c r="L1287" s="397">
        <v>0.69699999999999995</v>
      </c>
      <c r="M1287" s="395">
        <v>10</v>
      </c>
      <c r="N1287" s="395">
        <v>770</v>
      </c>
      <c r="O1287" s="396">
        <v>1670</v>
      </c>
      <c r="P1287" s="395">
        <v>1.28</v>
      </c>
      <c r="Q1287" s="396">
        <v>-1301</v>
      </c>
      <c r="R1287" s="396">
        <v>5159</v>
      </c>
      <c r="S1287" s="396">
        <v>-4571</v>
      </c>
      <c r="T1287" s="396">
        <v>39050</v>
      </c>
      <c r="U1287" s="396">
        <v>-15530</v>
      </c>
      <c r="V1287" s="395">
        <v>3447.79</v>
      </c>
      <c r="W1287" s="395">
        <v>2728.78</v>
      </c>
      <c r="X1287" s="395">
        <v>73710</v>
      </c>
      <c r="Y1287" s="395">
        <v>5101.5</v>
      </c>
      <c r="Z1287" s="396">
        <v>7972726</v>
      </c>
      <c r="AA1287" s="396">
        <v>25407</v>
      </c>
      <c r="AB1287" s="396">
        <v>11899643</v>
      </c>
      <c r="AC1287" s="396">
        <v>10207916</v>
      </c>
    </row>
    <row r="1288" spans="1:29">
      <c r="A1288">
        <v>3313</v>
      </c>
      <c r="B1288" s="395" t="s">
        <v>7388</v>
      </c>
      <c r="C1288" s="395"/>
      <c r="D1288" s="396">
        <v>25404</v>
      </c>
      <c r="E1288" s="396">
        <v>30442</v>
      </c>
      <c r="F1288" s="395">
        <v>6.04</v>
      </c>
      <c r="G1288" s="396">
        <v>-5038</v>
      </c>
      <c r="H1288" s="396">
        <v>4246</v>
      </c>
      <c r="I1288" s="396">
        <v>159112</v>
      </c>
      <c r="J1288" s="395">
        <v>89</v>
      </c>
      <c r="K1288" s="395">
        <v>79</v>
      </c>
      <c r="L1288" s="397">
        <v>0.88759999999999994</v>
      </c>
      <c r="M1288" s="395">
        <v>10</v>
      </c>
      <c r="N1288" s="395">
        <v>285</v>
      </c>
      <c r="O1288" s="395">
        <v>385</v>
      </c>
      <c r="P1288" s="395">
        <v>0.76</v>
      </c>
      <c r="Q1288" s="395">
        <v>-504</v>
      </c>
      <c r="R1288" s="396">
        <v>1253</v>
      </c>
      <c r="S1288" s="396">
        <v>-1248</v>
      </c>
      <c r="T1288" s="396">
        <v>27904</v>
      </c>
      <c r="U1288" s="396">
        <v>-7852</v>
      </c>
      <c r="V1288" s="395">
        <v>3526.09</v>
      </c>
      <c r="W1288" s="395">
        <v>3375.94</v>
      </c>
      <c r="X1288" s="395">
        <v>77490</v>
      </c>
      <c r="Y1288" s="395">
        <v>4712.3</v>
      </c>
      <c r="Z1288" s="396">
        <v>-4775891</v>
      </c>
      <c r="AA1288" s="396">
        <v>25404</v>
      </c>
      <c r="AB1288" s="396">
        <v>-3514523</v>
      </c>
      <c r="AC1288" s="396">
        <v>10207916</v>
      </c>
    </row>
    <row r="1289" spans="1:29">
      <c r="A1289">
        <v>3518</v>
      </c>
      <c r="B1289" s="395" t="s">
        <v>7451</v>
      </c>
      <c r="C1289" s="395"/>
      <c r="D1289" s="396">
        <v>25056</v>
      </c>
      <c r="E1289" s="396">
        <v>222279</v>
      </c>
      <c r="F1289" s="395">
        <v>1.1299999999999999</v>
      </c>
      <c r="G1289" s="396">
        <v>-197223</v>
      </c>
      <c r="H1289" s="396">
        <v>25694</v>
      </c>
      <c r="I1289" s="396">
        <v>2610732</v>
      </c>
      <c r="J1289" s="395">
        <v>246</v>
      </c>
      <c r="K1289" s="395">
        <v>158</v>
      </c>
      <c r="L1289" s="397">
        <v>0.64229999999999998</v>
      </c>
      <c r="M1289" s="395">
        <v>88</v>
      </c>
      <c r="N1289" s="395">
        <v>102</v>
      </c>
      <c r="O1289" s="396">
        <v>1407</v>
      </c>
      <c r="P1289" s="395">
        <v>0.63</v>
      </c>
      <c r="Q1289" s="396">
        <v>-2241</v>
      </c>
      <c r="R1289" s="396">
        <v>6310</v>
      </c>
      <c r="S1289" s="396">
        <v>-6318</v>
      </c>
      <c r="T1289" s="396">
        <v>708129</v>
      </c>
      <c r="U1289" s="396">
        <v>-638051</v>
      </c>
      <c r="V1289" s="395">
        <v>9008.83</v>
      </c>
      <c r="W1289" s="395">
        <v>5535.18</v>
      </c>
      <c r="X1289" s="395">
        <v>77490</v>
      </c>
      <c r="Y1289" s="395">
        <v>15245.6</v>
      </c>
      <c r="Z1289" s="396">
        <v>-19659825</v>
      </c>
      <c r="AA1289" s="396">
        <v>25056</v>
      </c>
      <c r="AB1289" s="396">
        <v>-20320233</v>
      </c>
      <c r="AC1289" s="396">
        <v>10207916</v>
      </c>
    </row>
    <row r="1290" spans="1:29">
      <c r="A1290">
        <v>1109</v>
      </c>
      <c r="B1290" s="395" t="s">
        <v>6681</v>
      </c>
      <c r="C1290" s="395"/>
      <c r="D1290" s="396">
        <v>24636</v>
      </c>
      <c r="E1290" s="396">
        <v>117677</v>
      </c>
      <c r="F1290" s="395">
        <v>1.26</v>
      </c>
      <c r="G1290" s="396">
        <v>-93041</v>
      </c>
      <c r="H1290" s="396">
        <v>23030</v>
      </c>
      <c r="I1290" s="396">
        <v>1907464</v>
      </c>
      <c r="J1290" s="395">
        <v>256</v>
      </c>
      <c r="K1290" s="395">
        <v>142</v>
      </c>
      <c r="L1290" s="397">
        <v>0.55469999999999997</v>
      </c>
      <c r="M1290" s="395">
        <v>114</v>
      </c>
      <c r="N1290" s="395">
        <v>96</v>
      </c>
      <c r="O1290" s="395">
        <v>829</v>
      </c>
      <c r="P1290" s="395">
        <v>1.02</v>
      </c>
      <c r="Q1290" s="395">
        <v>-816</v>
      </c>
      <c r="R1290" s="396">
        <v>2636</v>
      </c>
      <c r="S1290" s="396">
        <v>-4188</v>
      </c>
      <c r="T1290" s="396">
        <v>117196</v>
      </c>
      <c r="U1290" s="396">
        <v>-115462</v>
      </c>
      <c r="V1290" s="395">
        <v>7555.82</v>
      </c>
      <c r="W1290" s="395">
        <v>1955.82</v>
      </c>
      <c r="X1290" s="395">
        <v>77490</v>
      </c>
      <c r="Y1290" s="395">
        <v>14531.26</v>
      </c>
      <c r="Z1290" s="396">
        <v>-2988531</v>
      </c>
      <c r="AA1290" s="396">
        <v>24636</v>
      </c>
      <c r="AB1290" s="396">
        <v>2950395</v>
      </c>
      <c r="AC1290" s="396">
        <v>10207916</v>
      </c>
    </row>
    <row r="1291" spans="1:29">
      <c r="A1291">
        <v>1108</v>
      </c>
      <c r="B1291" s="395" t="s">
        <v>6680</v>
      </c>
      <c r="C1291" s="395"/>
      <c r="D1291" s="396">
        <v>24504</v>
      </c>
      <c r="E1291" s="396">
        <v>59304</v>
      </c>
      <c r="F1291" s="395">
        <v>1.7</v>
      </c>
      <c r="G1291" s="396">
        <v>-34799</v>
      </c>
      <c r="H1291" s="396">
        <v>12489</v>
      </c>
      <c r="I1291" s="396">
        <v>1515613</v>
      </c>
      <c r="J1291" s="395">
        <v>247</v>
      </c>
      <c r="K1291" s="395">
        <v>158</v>
      </c>
      <c r="L1291" s="397">
        <v>0.63970000000000005</v>
      </c>
      <c r="M1291" s="395">
        <v>89</v>
      </c>
      <c r="N1291" s="395">
        <v>99</v>
      </c>
      <c r="O1291" s="395">
        <v>375</v>
      </c>
      <c r="P1291" s="395">
        <v>0.96</v>
      </c>
      <c r="Q1291" s="395">
        <v>-391</v>
      </c>
      <c r="R1291" s="396">
        <v>1884</v>
      </c>
      <c r="S1291" s="396">
        <v>-2763</v>
      </c>
      <c r="T1291" s="396">
        <v>110014</v>
      </c>
      <c r="U1291" s="396">
        <v>-146756</v>
      </c>
      <c r="V1291" s="395">
        <v>12159.73</v>
      </c>
      <c r="W1291" s="395">
        <v>5864.05</v>
      </c>
      <c r="X1291" s="395">
        <v>77490</v>
      </c>
      <c r="Y1291" s="395">
        <v>23336.34</v>
      </c>
      <c r="Z1291" s="396">
        <v>-3363486</v>
      </c>
      <c r="AA1291" s="396">
        <v>24504</v>
      </c>
      <c r="AB1291" s="396">
        <v>-1652282</v>
      </c>
      <c r="AC1291" s="396">
        <v>10207916</v>
      </c>
    </row>
    <row r="1292" spans="1:29">
      <c r="A1292">
        <v>2484</v>
      </c>
      <c r="B1292" s="395" t="s">
        <v>7097</v>
      </c>
      <c r="C1292" s="395"/>
      <c r="D1292" s="396">
        <v>24400</v>
      </c>
      <c r="E1292" s="396">
        <v>223278</v>
      </c>
      <c r="F1292" s="395">
        <v>1.1200000000000001</v>
      </c>
      <c r="G1292" s="396">
        <v>-198878</v>
      </c>
      <c r="H1292" s="396">
        <v>34316</v>
      </c>
      <c r="I1292" s="396">
        <v>1716010</v>
      </c>
      <c r="J1292" s="395">
        <v>268</v>
      </c>
      <c r="K1292" s="395">
        <v>182</v>
      </c>
      <c r="L1292" s="397">
        <v>0.67910000000000004</v>
      </c>
      <c r="M1292" s="395">
        <v>85</v>
      </c>
      <c r="N1292" s="395">
        <v>91</v>
      </c>
      <c r="O1292" s="396">
        <v>1227</v>
      </c>
      <c r="P1292" s="395">
        <v>0.52</v>
      </c>
      <c r="Q1292" s="396">
        <v>-2340</v>
      </c>
      <c r="R1292" s="396">
        <v>5375</v>
      </c>
      <c r="S1292" s="396">
        <v>-8495</v>
      </c>
      <c r="T1292" s="396">
        <v>273139</v>
      </c>
      <c r="U1292" s="396">
        <v>-230540</v>
      </c>
      <c r="V1292" s="395">
        <v>3437.32</v>
      </c>
      <c r="W1292" s="395">
        <v>1679.29</v>
      </c>
      <c r="X1292" s="395">
        <v>77490</v>
      </c>
      <c r="Y1292" s="395">
        <v>7241.66</v>
      </c>
      <c r="Z1292" s="396">
        <v>810602</v>
      </c>
      <c r="AA1292" s="396">
        <v>24400</v>
      </c>
      <c r="AB1292" s="396">
        <v>18138823</v>
      </c>
      <c r="AC1292" s="396">
        <v>10207916</v>
      </c>
    </row>
    <row r="1293" spans="1:29">
      <c r="A1293">
        <v>3049</v>
      </c>
      <c r="B1293" s="395" t="s">
        <v>7287</v>
      </c>
      <c r="C1293" s="395"/>
      <c r="D1293" s="396">
        <v>24321</v>
      </c>
      <c r="E1293" s="396">
        <v>94313</v>
      </c>
      <c r="F1293" s="395">
        <v>1.35</v>
      </c>
      <c r="G1293" s="396">
        <v>-69992</v>
      </c>
      <c r="H1293" s="396">
        <v>13878</v>
      </c>
      <c r="I1293" s="396">
        <v>641830</v>
      </c>
      <c r="J1293" s="395">
        <v>272</v>
      </c>
      <c r="K1293" s="395">
        <v>197</v>
      </c>
      <c r="L1293" s="397">
        <v>0.72430000000000005</v>
      </c>
      <c r="M1293" s="395">
        <v>75</v>
      </c>
      <c r="N1293" s="395">
        <v>89</v>
      </c>
      <c r="O1293" s="395">
        <v>479</v>
      </c>
      <c r="P1293" s="395">
        <v>0.51</v>
      </c>
      <c r="Q1293" s="395">
        <v>-933</v>
      </c>
      <c r="R1293" s="396">
        <v>2204</v>
      </c>
      <c r="S1293" s="396">
        <v>-3864</v>
      </c>
      <c r="T1293" s="396">
        <v>86822</v>
      </c>
      <c r="U1293" s="396">
        <v>-70629</v>
      </c>
      <c r="V1293" s="395">
        <v>3808.64</v>
      </c>
      <c r="W1293" s="395">
        <v>2502.9499999999998</v>
      </c>
      <c r="X1293" s="395">
        <v>77490</v>
      </c>
      <c r="Y1293" s="395">
        <v>7238.25</v>
      </c>
      <c r="Z1293" s="396">
        <v>-10814970</v>
      </c>
      <c r="AA1293" s="396">
        <v>24321</v>
      </c>
      <c r="AB1293" s="396">
        <v>13316712</v>
      </c>
      <c r="AC1293" s="396">
        <v>10207916</v>
      </c>
    </row>
    <row r="1294" spans="1:29">
      <c r="A1294">
        <v>2025</v>
      </c>
      <c r="B1294" s="395" t="s">
        <v>6920</v>
      </c>
      <c r="C1294" s="395"/>
      <c r="D1294" s="396">
        <v>24133</v>
      </c>
      <c r="E1294" s="396">
        <v>30005</v>
      </c>
      <c r="F1294" s="395">
        <v>5.1100000000000003</v>
      </c>
      <c r="G1294" s="396">
        <v>-5872</v>
      </c>
      <c r="H1294" s="396">
        <v>2337</v>
      </c>
      <c r="I1294" s="396">
        <v>103322</v>
      </c>
      <c r="J1294" s="395">
        <v>110</v>
      </c>
      <c r="K1294" s="395">
        <v>90</v>
      </c>
      <c r="L1294" s="397">
        <v>0.81820000000000004</v>
      </c>
      <c r="M1294" s="395">
        <v>20</v>
      </c>
      <c r="N1294" s="395">
        <v>219</v>
      </c>
      <c r="O1294" s="395">
        <v>333</v>
      </c>
      <c r="P1294" s="395">
        <v>1.1299999999999999</v>
      </c>
      <c r="Q1294" s="395">
        <v>-294</v>
      </c>
      <c r="R1294" s="396">
        <v>1469</v>
      </c>
      <c r="S1294" s="396">
        <v>-1727</v>
      </c>
      <c r="T1294" s="396">
        <v>33766</v>
      </c>
      <c r="U1294" s="396">
        <v>-16241</v>
      </c>
      <c r="V1294" s="395">
        <v>2081.69</v>
      </c>
      <c r="W1294" s="395">
        <v>1941.79</v>
      </c>
      <c r="X1294" s="395">
        <v>77490</v>
      </c>
      <c r="Y1294" s="395">
        <v>2711.25</v>
      </c>
      <c r="Z1294" s="396">
        <v>1420287</v>
      </c>
      <c r="AA1294" s="396">
        <v>24133</v>
      </c>
      <c r="AB1294" s="396">
        <v>38768997</v>
      </c>
      <c r="AC1294" s="396">
        <v>10207916</v>
      </c>
    </row>
    <row r="1295" spans="1:29">
      <c r="A1295">
        <v>4909</v>
      </c>
      <c r="B1295" s="395" t="s">
        <v>7707</v>
      </c>
      <c r="C1295" s="395"/>
      <c r="D1295" s="396">
        <v>23626</v>
      </c>
      <c r="E1295" s="396">
        <v>198817</v>
      </c>
      <c r="F1295" s="395">
        <v>1.1299999999999999</v>
      </c>
      <c r="G1295" s="396">
        <v>-175191</v>
      </c>
      <c r="H1295" s="396">
        <v>22200</v>
      </c>
      <c r="I1295" s="396">
        <v>1273808</v>
      </c>
      <c r="J1295" s="395">
        <v>237</v>
      </c>
      <c r="K1295" s="395">
        <v>166</v>
      </c>
      <c r="L1295" s="397">
        <v>0.70040000000000002</v>
      </c>
      <c r="M1295" s="395">
        <v>71</v>
      </c>
      <c r="N1295" s="395">
        <v>100</v>
      </c>
      <c r="O1295" s="396">
        <v>1198</v>
      </c>
      <c r="P1295" s="395">
        <v>0.49</v>
      </c>
      <c r="Q1295" s="396">
        <v>-2467</v>
      </c>
      <c r="R1295" s="396">
        <v>5405</v>
      </c>
      <c r="S1295" s="396">
        <v>-8322</v>
      </c>
      <c r="T1295" s="396">
        <v>223741</v>
      </c>
      <c r="U1295" s="396">
        <v>-158490</v>
      </c>
      <c r="V1295" s="395">
        <v>4653.82</v>
      </c>
      <c r="W1295" s="395">
        <v>2781.16</v>
      </c>
      <c r="X1295" s="395">
        <v>77490</v>
      </c>
      <c r="Y1295" s="395">
        <v>9032.17</v>
      </c>
      <c r="Z1295" s="396">
        <v>-17598410</v>
      </c>
      <c r="AA1295" s="396">
        <v>23626</v>
      </c>
      <c r="AB1295" s="396">
        <v>-6757143</v>
      </c>
      <c r="AC1295" s="396">
        <v>10207916</v>
      </c>
    </row>
    <row r="1296" spans="1:29">
      <c r="A1296">
        <v>6615</v>
      </c>
      <c r="B1296" s="395" t="s">
        <v>8157</v>
      </c>
      <c r="C1296" s="395"/>
      <c r="D1296" s="396">
        <v>23601</v>
      </c>
      <c r="E1296" s="396">
        <v>36065</v>
      </c>
      <c r="F1296" s="395">
        <v>2.89</v>
      </c>
      <c r="G1296" s="396">
        <v>-12464</v>
      </c>
      <c r="H1296" s="396">
        <v>3249</v>
      </c>
      <c r="I1296" s="396">
        <v>357297</v>
      </c>
      <c r="J1296" s="395">
        <v>16</v>
      </c>
      <c r="K1296" s="395">
        <v>12</v>
      </c>
      <c r="L1296" s="397">
        <v>0.75</v>
      </c>
      <c r="M1296" s="395">
        <v>4</v>
      </c>
      <c r="N1296" s="396">
        <v>1475</v>
      </c>
      <c r="O1296" s="396">
        <v>3005</v>
      </c>
      <c r="P1296" s="395">
        <v>0.96</v>
      </c>
      <c r="Q1296" s="396">
        <v>-3116</v>
      </c>
      <c r="R1296" s="396">
        <v>7553</v>
      </c>
      <c r="S1296" s="396">
        <v>-6625</v>
      </c>
      <c r="T1296" s="396">
        <v>62183</v>
      </c>
      <c r="U1296" s="396">
        <v>-39735</v>
      </c>
      <c r="V1296" s="395">
        <v>7495.63</v>
      </c>
      <c r="W1296" s="395">
        <v>6979.25</v>
      </c>
      <c r="X1296" s="395">
        <v>74790</v>
      </c>
      <c r="Y1296" s="395">
        <v>9044.75</v>
      </c>
      <c r="Z1296" s="396">
        <v>-395509</v>
      </c>
      <c r="AA1296" s="396">
        <v>23601</v>
      </c>
      <c r="AB1296" s="396">
        <v>-4211295</v>
      </c>
      <c r="AC1296" s="396">
        <v>10207916</v>
      </c>
    </row>
    <row r="1297" spans="1:29">
      <c r="A1297">
        <v>8093</v>
      </c>
      <c r="B1297" s="395" t="s">
        <v>8269</v>
      </c>
      <c r="C1297" s="395"/>
      <c r="D1297" s="396">
        <v>23295</v>
      </c>
      <c r="E1297" s="396">
        <v>46387</v>
      </c>
      <c r="F1297" s="395">
        <v>2.0099999999999998</v>
      </c>
      <c r="G1297" s="396">
        <v>-23092</v>
      </c>
      <c r="H1297" s="396">
        <v>5345</v>
      </c>
      <c r="I1297" s="396">
        <v>167822</v>
      </c>
      <c r="J1297" s="395">
        <v>126</v>
      </c>
      <c r="K1297" s="395">
        <v>90</v>
      </c>
      <c r="L1297" s="397">
        <v>0.71430000000000005</v>
      </c>
      <c r="M1297" s="395">
        <v>36</v>
      </c>
      <c r="N1297" s="395">
        <v>185</v>
      </c>
      <c r="O1297" s="395">
        <v>515</v>
      </c>
      <c r="P1297" s="395">
        <v>0.8</v>
      </c>
      <c r="Q1297" s="395">
        <v>-641</v>
      </c>
      <c r="R1297" s="396">
        <v>1770</v>
      </c>
      <c r="S1297" s="396">
        <v>-2098</v>
      </c>
      <c r="T1297" s="396">
        <v>43415</v>
      </c>
      <c r="U1297" s="396">
        <v>-12540</v>
      </c>
      <c r="V1297" s="395">
        <v>3462.21</v>
      </c>
      <c r="W1297" s="395">
        <v>2145.56</v>
      </c>
      <c r="X1297" s="395">
        <v>77490</v>
      </c>
      <c r="Y1297" s="395">
        <v>6753.83</v>
      </c>
      <c r="Z1297" s="396">
        <v>-16993133</v>
      </c>
      <c r="AA1297" s="396">
        <v>23295</v>
      </c>
      <c r="AB1297" s="396">
        <v>-21105455</v>
      </c>
      <c r="AC1297" s="396">
        <v>10207916</v>
      </c>
    </row>
    <row r="1298" spans="1:29">
      <c r="A1298">
        <v>4402</v>
      </c>
      <c r="B1298" s="395" t="s">
        <v>7607</v>
      </c>
      <c r="C1298" s="395"/>
      <c r="D1298" s="396">
        <v>22741</v>
      </c>
      <c r="E1298" s="396">
        <v>42030</v>
      </c>
      <c r="F1298" s="395">
        <v>2.1800000000000002</v>
      </c>
      <c r="G1298" s="396">
        <v>-19289</v>
      </c>
      <c r="H1298" s="396">
        <v>3169</v>
      </c>
      <c r="I1298" s="396">
        <v>240927</v>
      </c>
      <c r="J1298" s="395">
        <v>110</v>
      </c>
      <c r="K1298" s="395">
        <v>84</v>
      </c>
      <c r="L1298" s="397">
        <v>0.76359999999999995</v>
      </c>
      <c r="M1298" s="395">
        <v>26</v>
      </c>
      <c r="N1298" s="395">
        <v>207</v>
      </c>
      <c r="O1298" s="395">
        <v>500</v>
      </c>
      <c r="P1298" s="395">
        <v>0.67</v>
      </c>
      <c r="Q1298" s="395">
        <v>-742</v>
      </c>
      <c r="R1298" s="396">
        <v>1601</v>
      </c>
      <c r="S1298" s="396">
        <v>-2938</v>
      </c>
      <c r="T1298" s="396">
        <v>48123</v>
      </c>
      <c r="U1298" s="396">
        <v>-36116</v>
      </c>
      <c r="V1298" s="395">
        <v>8449.8700000000008</v>
      </c>
      <c r="W1298" s="395">
        <v>6095.07</v>
      </c>
      <c r="X1298" s="395">
        <v>77490</v>
      </c>
      <c r="Y1298" s="395">
        <v>16057.69</v>
      </c>
      <c r="Z1298" s="396">
        <v>-10330526</v>
      </c>
      <c r="AA1298" s="396">
        <v>22741</v>
      </c>
      <c r="AB1298" s="396">
        <v>12638889</v>
      </c>
      <c r="AC1298" s="396">
        <v>10207916</v>
      </c>
    </row>
    <row r="1299" spans="1:29">
      <c r="A1299">
        <v>5820</v>
      </c>
      <c r="B1299" s="395" t="s">
        <v>7888</v>
      </c>
      <c r="C1299" s="395"/>
      <c r="D1299" s="396">
        <v>22488</v>
      </c>
      <c r="E1299" s="396">
        <v>23338</v>
      </c>
      <c r="F1299" s="395">
        <v>27.45</v>
      </c>
      <c r="G1299" s="395">
        <v>-850</v>
      </c>
      <c r="H1299" s="396">
        <v>10311</v>
      </c>
      <c r="I1299" s="396">
        <v>2089122</v>
      </c>
      <c r="J1299" s="395">
        <v>201</v>
      </c>
      <c r="K1299" s="395">
        <v>135</v>
      </c>
      <c r="L1299" s="397">
        <v>0.67159999999999997</v>
      </c>
      <c r="M1299" s="395">
        <v>17</v>
      </c>
      <c r="N1299" s="395">
        <v>112</v>
      </c>
      <c r="O1299" s="395">
        <v>173</v>
      </c>
      <c r="P1299" s="395">
        <v>3.46</v>
      </c>
      <c r="Q1299" s="395">
        <v>-50</v>
      </c>
      <c r="R1299" s="395">
        <v>700</v>
      </c>
      <c r="S1299" s="395">
        <v>-51</v>
      </c>
      <c r="T1299" s="396">
        <v>41278</v>
      </c>
      <c r="U1299" s="396">
        <v>-16473</v>
      </c>
      <c r="V1299" s="395">
        <v>29669.45</v>
      </c>
      <c r="W1299" s="395">
        <v>34392.129999999997</v>
      </c>
      <c r="X1299" s="395">
        <v>77490</v>
      </c>
      <c r="Y1299" s="395">
        <v>11734.41</v>
      </c>
      <c r="Z1299" s="396">
        <v>916849</v>
      </c>
      <c r="AA1299" s="396">
        <v>22488</v>
      </c>
      <c r="AB1299" s="396">
        <v>1394560</v>
      </c>
      <c r="AC1299" s="396">
        <v>10207916</v>
      </c>
    </row>
    <row r="1300" spans="1:29">
      <c r="A1300">
        <v>6224</v>
      </c>
      <c r="B1300" s="395" t="s">
        <v>8010</v>
      </c>
      <c r="C1300" s="395"/>
      <c r="D1300" s="396">
        <v>22436</v>
      </c>
      <c r="E1300" s="396">
        <v>972014</v>
      </c>
      <c r="F1300" s="395">
        <v>1.02</v>
      </c>
      <c r="G1300" s="396">
        <v>-949578</v>
      </c>
      <c r="H1300" s="396">
        <v>136078</v>
      </c>
      <c r="I1300" s="396">
        <v>5132122</v>
      </c>
      <c r="J1300" s="395">
        <v>272</v>
      </c>
      <c r="K1300" s="395">
        <v>182</v>
      </c>
      <c r="L1300" s="397">
        <v>0.66910000000000003</v>
      </c>
      <c r="M1300" s="395">
        <v>90</v>
      </c>
      <c r="N1300" s="395">
        <v>82</v>
      </c>
      <c r="O1300" s="396">
        <v>5341</v>
      </c>
      <c r="P1300" s="395">
        <v>0.51</v>
      </c>
      <c r="Q1300" s="396">
        <v>-10551</v>
      </c>
      <c r="R1300" s="396">
        <v>23456</v>
      </c>
      <c r="S1300" s="396">
        <v>-42492</v>
      </c>
      <c r="T1300" s="396">
        <v>740938</v>
      </c>
      <c r="U1300" s="396">
        <v>-834713</v>
      </c>
      <c r="V1300" s="395">
        <v>3384.03</v>
      </c>
      <c r="W1300" s="395">
        <v>1550.66</v>
      </c>
      <c r="X1300" s="395">
        <v>77490</v>
      </c>
      <c r="Y1300" s="395">
        <v>7091.51</v>
      </c>
      <c r="Z1300" s="396">
        <v>-23281117</v>
      </c>
      <c r="AA1300" s="396">
        <v>22436</v>
      </c>
      <c r="AB1300" s="396">
        <v>3758438</v>
      </c>
      <c r="AC1300" s="396">
        <v>10207916</v>
      </c>
    </row>
    <row r="1301" spans="1:29">
      <c r="A1301">
        <v>1340</v>
      </c>
      <c r="B1301" s="395" t="s">
        <v>6731</v>
      </c>
      <c r="C1301" s="395"/>
      <c r="D1301" s="396">
        <v>22122</v>
      </c>
      <c r="E1301" s="396">
        <v>80481</v>
      </c>
      <c r="F1301" s="395">
        <v>1.38</v>
      </c>
      <c r="G1301" s="396">
        <v>-58359</v>
      </c>
      <c r="H1301" s="396">
        <v>10948</v>
      </c>
      <c r="I1301" s="396">
        <v>784810</v>
      </c>
      <c r="J1301" s="395">
        <v>247</v>
      </c>
      <c r="K1301" s="395">
        <v>164</v>
      </c>
      <c r="L1301" s="397">
        <v>0.66400000000000003</v>
      </c>
      <c r="M1301" s="395">
        <v>83</v>
      </c>
      <c r="N1301" s="395">
        <v>90</v>
      </c>
      <c r="O1301" s="395">
        <v>491</v>
      </c>
      <c r="P1301" s="395">
        <v>0.7</v>
      </c>
      <c r="Q1301" s="395">
        <v>-703</v>
      </c>
      <c r="R1301" s="396">
        <v>1180</v>
      </c>
      <c r="S1301" s="396">
        <v>-1595</v>
      </c>
      <c r="T1301" s="396">
        <v>78340</v>
      </c>
      <c r="U1301" s="396">
        <v>-45442</v>
      </c>
      <c r="V1301" s="395">
        <v>5860.92</v>
      </c>
      <c r="W1301" s="395">
        <v>3712.77</v>
      </c>
      <c r="X1301" s="395">
        <v>77490</v>
      </c>
      <c r="Y1301" s="395">
        <v>10105.450000000001</v>
      </c>
      <c r="Z1301" s="396">
        <v>-15209954</v>
      </c>
      <c r="AA1301" s="396">
        <v>22122</v>
      </c>
      <c r="AB1301" s="396">
        <v>-9558594</v>
      </c>
      <c r="AC1301" s="396">
        <v>10207916</v>
      </c>
    </row>
    <row r="1302" spans="1:29">
      <c r="A1302">
        <v>3664</v>
      </c>
      <c r="B1302" s="395" t="s">
        <v>7519</v>
      </c>
      <c r="C1302" s="395"/>
      <c r="D1302" s="396">
        <v>21767</v>
      </c>
      <c r="E1302" s="396">
        <v>41039</v>
      </c>
      <c r="F1302" s="395">
        <v>2.13</v>
      </c>
      <c r="G1302" s="396">
        <v>-19272</v>
      </c>
      <c r="H1302" s="396">
        <v>3813</v>
      </c>
      <c r="I1302" s="396">
        <v>193945</v>
      </c>
      <c r="J1302" s="395">
        <v>82</v>
      </c>
      <c r="K1302" s="395">
        <v>57</v>
      </c>
      <c r="L1302" s="397">
        <v>0.69510000000000005</v>
      </c>
      <c r="M1302" s="395">
        <v>25</v>
      </c>
      <c r="N1302" s="395">
        <v>265</v>
      </c>
      <c r="O1302" s="395">
        <v>720</v>
      </c>
      <c r="P1302" s="395">
        <v>0.93</v>
      </c>
      <c r="Q1302" s="395">
        <v>-771</v>
      </c>
      <c r="R1302" s="396">
        <v>2433</v>
      </c>
      <c r="S1302" s="396">
        <v>-2046</v>
      </c>
      <c r="T1302" s="396">
        <v>49396</v>
      </c>
      <c r="U1302" s="396">
        <v>-41422</v>
      </c>
      <c r="V1302" s="395">
        <v>9081.43</v>
      </c>
      <c r="W1302" s="395">
        <v>6731.53</v>
      </c>
      <c r="X1302" s="395">
        <v>76410</v>
      </c>
      <c r="Y1302" s="395">
        <v>14439.2</v>
      </c>
      <c r="Z1302" s="396">
        <v>-20660762</v>
      </c>
      <c r="AA1302" s="396">
        <v>21767</v>
      </c>
      <c r="AB1302" s="396">
        <v>-21157143</v>
      </c>
      <c r="AC1302" s="396">
        <v>10207916</v>
      </c>
    </row>
    <row r="1303" spans="1:29">
      <c r="A1303">
        <v>6287</v>
      </c>
      <c r="B1303" s="395" t="s">
        <v>8055</v>
      </c>
      <c r="C1303" s="395"/>
      <c r="D1303" s="396">
        <v>21464</v>
      </c>
      <c r="E1303" s="396">
        <v>23926</v>
      </c>
      <c r="F1303" s="395">
        <v>9.7200000000000006</v>
      </c>
      <c r="G1303" s="396">
        <v>-2462</v>
      </c>
      <c r="H1303" s="396">
        <v>1806</v>
      </c>
      <c r="I1303" s="396">
        <v>140504</v>
      </c>
      <c r="J1303" s="395">
        <v>34</v>
      </c>
      <c r="K1303" s="395">
        <v>25</v>
      </c>
      <c r="L1303" s="397">
        <v>0.73529999999999995</v>
      </c>
      <c r="M1303" s="395">
        <v>9</v>
      </c>
      <c r="N1303" s="395">
        <v>631</v>
      </c>
      <c r="O1303" s="395">
        <v>957</v>
      </c>
      <c r="P1303" s="395">
        <v>3.49</v>
      </c>
      <c r="Q1303" s="395">
        <v>-274</v>
      </c>
      <c r="R1303" s="396">
        <v>3493</v>
      </c>
      <c r="S1303" s="396">
        <v>-1006</v>
      </c>
      <c r="T1303" s="396">
        <v>28340</v>
      </c>
      <c r="U1303" s="396">
        <v>-20308</v>
      </c>
      <c r="V1303" s="395">
        <v>4121.5600000000004</v>
      </c>
      <c r="W1303" s="395">
        <v>3590.16</v>
      </c>
      <c r="X1303" s="395">
        <v>77490</v>
      </c>
      <c r="Y1303" s="395">
        <v>5597.67</v>
      </c>
      <c r="Z1303" s="396">
        <v>-1335333</v>
      </c>
      <c r="AA1303" s="396">
        <v>21464</v>
      </c>
      <c r="AB1303" s="396">
        <v>550000</v>
      </c>
      <c r="AC1303" s="396">
        <v>10207916</v>
      </c>
    </row>
    <row r="1304" spans="1:29">
      <c r="A1304">
        <v>6624</v>
      </c>
      <c r="B1304" s="395" t="s">
        <v>8159</v>
      </c>
      <c r="C1304" s="395"/>
      <c r="D1304" s="396">
        <v>21046</v>
      </c>
      <c r="E1304" s="396">
        <v>24079</v>
      </c>
      <c r="F1304" s="395">
        <v>7.94</v>
      </c>
      <c r="G1304" s="396">
        <v>-3033</v>
      </c>
      <c r="H1304" s="396">
        <v>3154</v>
      </c>
      <c r="I1304" s="396">
        <v>184707</v>
      </c>
      <c r="J1304" s="395">
        <v>21</v>
      </c>
      <c r="K1304" s="395">
        <v>19</v>
      </c>
      <c r="L1304" s="397">
        <v>0.90480000000000005</v>
      </c>
      <c r="M1304" s="395">
        <v>2</v>
      </c>
      <c r="N1304" s="396">
        <v>1002</v>
      </c>
      <c r="O1304" s="396">
        <v>1267</v>
      </c>
      <c r="P1304" s="395">
        <v>0.84</v>
      </c>
      <c r="Q1304" s="396">
        <v>-1516</v>
      </c>
      <c r="R1304" s="396">
        <v>3016</v>
      </c>
      <c r="S1304" s="396">
        <v>-2168</v>
      </c>
      <c r="T1304" s="396">
        <v>22010</v>
      </c>
      <c r="U1304" s="396">
        <v>-9246</v>
      </c>
      <c r="V1304" s="395">
        <v>2885.48</v>
      </c>
      <c r="W1304" s="395">
        <v>2578.79</v>
      </c>
      <c r="X1304" s="395">
        <v>74520</v>
      </c>
      <c r="Y1304" s="395">
        <v>5799</v>
      </c>
      <c r="Z1304" s="396">
        <v>9824882</v>
      </c>
      <c r="AA1304" s="396">
        <v>21046</v>
      </c>
      <c r="AB1304" s="396">
        <v>12850769</v>
      </c>
      <c r="AC1304" s="396">
        <v>10207916</v>
      </c>
    </row>
    <row r="1305" spans="1:29">
      <c r="A1305">
        <v>8923</v>
      </c>
      <c r="B1305" s="395" t="s">
        <v>8373</v>
      </c>
      <c r="C1305" s="395"/>
      <c r="D1305" s="396">
        <v>21026</v>
      </c>
      <c r="E1305" s="396">
        <v>24214</v>
      </c>
      <c r="F1305" s="395">
        <v>7.6</v>
      </c>
      <c r="G1305" s="396">
        <v>-3188</v>
      </c>
      <c r="H1305" s="396">
        <v>2474</v>
      </c>
      <c r="I1305" s="396">
        <v>301612</v>
      </c>
      <c r="J1305" s="395">
        <v>35</v>
      </c>
      <c r="K1305" s="395">
        <v>31</v>
      </c>
      <c r="L1305" s="397">
        <v>0.88570000000000004</v>
      </c>
      <c r="M1305" s="395">
        <v>4</v>
      </c>
      <c r="N1305" s="395">
        <v>601</v>
      </c>
      <c r="O1305" s="395">
        <v>781</v>
      </c>
      <c r="P1305" s="395">
        <v>0.98</v>
      </c>
      <c r="Q1305" s="395">
        <v>-797</v>
      </c>
      <c r="R1305" s="396">
        <v>1392</v>
      </c>
      <c r="S1305" s="396">
        <v>-1326</v>
      </c>
      <c r="T1305" s="396">
        <v>23969</v>
      </c>
      <c r="U1305" s="396">
        <v>-10544</v>
      </c>
      <c r="V1305" s="395">
        <v>4201.2299999999996</v>
      </c>
      <c r="W1305" s="395">
        <v>4302.5200000000004</v>
      </c>
      <c r="X1305" s="395">
        <v>50220</v>
      </c>
      <c r="Y1305" s="395">
        <v>3416.25</v>
      </c>
      <c r="Z1305" s="396">
        <v>16602818</v>
      </c>
      <c r="AA1305" s="396">
        <v>21026</v>
      </c>
      <c r="AB1305" s="396">
        <v>13898205</v>
      </c>
      <c r="AC1305" s="396">
        <v>10207916</v>
      </c>
    </row>
    <row r="1306" spans="1:29">
      <c r="A1306">
        <v>2524</v>
      </c>
      <c r="B1306" s="395" t="s">
        <v>7119</v>
      </c>
      <c r="C1306" s="395"/>
      <c r="D1306" s="396">
        <v>20466</v>
      </c>
      <c r="E1306" s="396">
        <v>246762</v>
      </c>
      <c r="F1306" s="395">
        <v>1.0900000000000001</v>
      </c>
      <c r="G1306" s="396">
        <v>-226296</v>
      </c>
      <c r="H1306" s="396">
        <v>37584</v>
      </c>
      <c r="I1306" s="396">
        <v>2090575</v>
      </c>
      <c r="J1306" s="395">
        <v>253</v>
      </c>
      <c r="K1306" s="395">
        <v>169</v>
      </c>
      <c r="L1306" s="397">
        <v>0.66800000000000004</v>
      </c>
      <c r="M1306" s="395">
        <v>84</v>
      </c>
      <c r="N1306" s="395">
        <v>81</v>
      </c>
      <c r="O1306" s="396">
        <v>1460</v>
      </c>
      <c r="P1306" s="395">
        <v>0.54</v>
      </c>
      <c r="Q1306" s="396">
        <v>-2694</v>
      </c>
      <c r="R1306" s="396">
        <v>4996</v>
      </c>
      <c r="S1306" s="396">
        <v>-9114</v>
      </c>
      <c r="T1306" s="396">
        <v>259230</v>
      </c>
      <c r="U1306" s="396">
        <v>-292579</v>
      </c>
      <c r="V1306" s="395">
        <v>5132.9799999999996</v>
      </c>
      <c r="W1306" s="395">
        <v>2903.37</v>
      </c>
      <c r="X1306" s="395">
        <v>77490</v>
      </c>
      <c r="Y1306" s="395">
        <v>9618.75</v>
      </c>
      <c r="Z1306" s="396">
        <v>-4821419</v>
      </c>
      <c r="AA1306" s="396">
        <v>20466</v>
      </c>
      <c r="AB1306" s="396">
        <v>-3334615</v>
      </c>
      <c r="AC1306" s="396">
        <v>10207916</v>
      </c>
    </row>
    <row r="1307" spans="1:29">
      <c r="A1307">
        <v>8421</v>
      </c>
      <c r="B1307" s="395" t="s">
        <v>8330</v>
      </c>
      <c r="C1307" s="395"/>
      <c r="D1307" s="396">
        <v>20380</v>
      </c>
      <c r="E1307" s="396">
        <v>25299</v>
      </c>
      <c r="F1307" s="395">
        <v>5.14</v>
      </c>
      <c r="G1307" s="396">
        <v>-4919</v>
      </c>
      <c r="H1307" s="396">
        <v>3620</v>
      </c>
      <c r="I1307" s="396">
        <v>183616</v>
      </c>
      <c r="J1307" s="395">
        <v>77</v>
      </c>
      <c r="K1307" s="395">
        <v>62</v>
      </c>
      <c r="L1307" s="397">
        <v>0.80520000000000003</v>
      </c>
      <c r="M1307" s="395">
        <v>15</v>
      </c>
      <c r="N1307" s="395">
        <v>265</v>
      </c>
      <c r="O1307" s="395">
        <v>408</v>
      </c>
      <c r="P1307" s="395">
        <v>1.24</v>
      </c>
      <c r="Q1307" s="395">
        <v>-328</v>
      </c>
      <c r="R1307" s="396">
        <v>1211</v>
      </c>
      <c r="S1307" s="396">
        <v>-1107</v>
      </c>
      <c r="T1307" s="396">
        <v>27479</v>
      </c>
      <c r="U1307" s="396">
        <v>-12298</v>
      </c>
      <c r="V1307" s="395">
        <v>4560.91</v>
      </c>
      <c r="W1307" s="395">
        <v>3224.35</v>
      </c>
      <c r="X1307" s="395">
        <v>77490</v>
      </c>
      <c r="Y1307" s="395">
        <v>10085.33</v>
      </c>
      <c r="Z1307" s="396">
        <v>803311</v>
      </c>
      <c r="AA1307" s="396">
        <v>20380</v>
      </c>
      <c r="AB1307" s="396">
        <v>21295525</v>
      </c>
      <c r="AC1307" s="396">
        <v>10207916</v>
      </c>
    </row>
    <row r="1308" spans="1:29">
      <c r="A1308">
        <v>6168</v>
      </c>
      <c r="B1308" s="395" t="s">
        <v>7960</v>
      </c>
      <c r="C1308" s="395"/>
      <c r="D1308" s="396">
        <v>20327</v>
      </c>
      <c r="E1308" s="396">
        <v>178992</v>
      </c>
      <c r="F1308" s="395">
        <v>1.1299999999999999</v>
      </c>
      <c r="G1308" s="396">
        <v>-158665</v>
      </c>
      <c r="H1308" s="396">
        <v>26150</v>
      </c>
      <c r="I1308" s="396">
        <v>973080</v>
      </c>
      <c r="J1308" s="395">
        <v>274</v>
      </c>
      <c r="K1308" s="395">
        <v>193</v>
      </c>
      <c r="L1308" s="397">
        <v>0.70440000000000003</v>
      </c>
      <c r="M1308" s="395">
        <v>81</v>
      </c>
      <c r="N1308" s="395">
        <v>74</v>
      </c>
      <c r="O1308" s="395">
        <v>927</v>
      </c>
      <c r="P1308" s="395">
        <v>0.47</v>
      </c>
      <c r="Q1308" s="396">
        <v>-1959</v>
      </c>
      <c r="R1308" s="396">
        <v>3705</v>
      </c>
      <c r="S1308" s="396">
        <v>-5253</v>
      </c>
      <c r="T1308" s="396">
        <v>147736</v>
      </c>
      <c r="U1308" s="396">
        <v>-151066</v>
      </c>
      <c r="V1308" s="395">
        <v>2373.8200000000002</v>
      </c>
      <c r="W1308" s="395">
        <v>1068.0999999999999</v>
      </c>
      <c r="X1308" s="395">
        <v>77490</v>
      </c>
      <c r="Y1308" s="395">
        <v>5484.98</v>
      </c>
      <c r="Z1308" s="396">
        <v>-1571082</v>
      </c>
      <c r="AA1308" s="396">
        <v>20327</v>
      </c>
      <c r="AB1308" s="396">
        <v>12406236</v>
      </c>
      <c r="AC1308" s="396">
        <v>10207916</v>
      </c>
    </row>
    <row r="1309" spans="1:29">
      <c r="A1309">
        <v>3489</v>
      </c>
      <c r="B1309" s="395" t="s">
        <v>7437</v>
      </c>
      <c r="C1309" s="395"/>
      <c r="D1309" s="396">
        <v>20124</v>
      </c>
      <c r="E1309" s="396">
        <v>78688</v>
      </c>
      <c r="F1309" s="395">
        <v>1.34</v>
      </c>
      <c r="G1309" s="396">
        <v>-58564</v>
      </c>
      <c r="H1309" s="396">
        <v>9876</v>
      </c>
      <c r="I1309" s="396">
        <v>623194</v>
      </c>
      <c r="J1309" s="395">
        <v>208</v>
      </c>
      <c r="K1309" s="395">
        <v>152</v>
      </c>
      <c r="L1309" s="397">
        <v>0.73080000000000001</v>
      </c>
      <c r="M1309" s="395">
        <v>56</v>
      </c>
      <c r="N1309" s="395">
        <v>97</v>
      </c>
      <c r="O1309" s="395">
        <v>518</v>
      </c>
      <c r="P1309" s="395">
        <v>0.5</v>
      </c>
      <c r="Q1309" s="396">
        <v>-1046</v>
      </c>
      <c r="R1309" s="396">
        <v>1434</v>
      </c>
      <c r="S1309" s="396">
        <v>-4200</v>
      </c>
      <c r="T1309" s="396">
        <v>79676</v>
      </c>
      <c r="U1309" s="396">
        <v>-63319</v>
      </c>
      <c r="V1309" s="395">
        <v>5686.63</v>
      </c>
      <c r="W1309" s="395">
        <v>4779.79</v>
      </c>
      <c r="X1309" s="395">
        <v>77220</v>
      </c>
      <c r="Y1309" s="395">
        <v>8148.07</v>
      </c>
      <c r="Z1309" s="396">
        <v>2540701</v>
      </c>
      <c r="AA1309" s="396">
        <v>20124</v>
      </c>
      <c r="AB1309" s="396">
        <v>-875325</v>
      </c>
      <c r="AC1309" s="396">
        <v>10207916</v>
      </c>
    </row>
    <row r="1310" spans="1:29">
      <c r="A1310">
        <v>1259</v>
      </c>
      <c r="B1310" s="395" t="s">
        <v>6705</v>
      </c>
      <c r="C1310" s="395"/>
      <c r="D1310" s="396">
        <v>19954</v>
      </c>
      <c r="E1310" s="396">
        <v>57723</v>
      </c>
      <c r="F1310" s="395">
        <v>1.53</v>
      </c>
      <c r="G1310" s="396">
        <v>-37769</v>
      </c>
      <c r="H1310" s="396">
        <v>19434</v>
      </c>
      <c r="I1310" s="396">
        <v>2746413</v>
      </c>
      <c r="J1310" s="395">
        <v>70</v>
      </c>
      <c r="K1310" s="395">
        <v>39</v>
      </c>
      <c r="L1310" s="397">
        <v>0.55710000000000004</v>
      </c>
      <c r="M1310" s="395">
        <v>31</v>
      </c>
      <c r="N1310" s="395">
        <v>285</v>
      </c>
      <c r="O1310" s="396">
        <v>1480</v>
      </c>
      <c r="P1310" s="395">
        <v>1.22</v>
      </c>
      <c r="Q1310" s="396">
        <v>-1218</v>
      </c>
      <c r="R1310" s="396">
        <v>4528</v>
      </c>
      <c r="S1310" s="396">
        <v>-2679</v>
      </c>
      <c r="T1310" s="396">
        <v>166886</v>
      </c>
      <c r="U1310" s="396">
        <v>-113515</v>
      </c>
      <c r="V1310" s="395">
        <v>18731.36</v>
      </c>
      <c r="W1310" s="395">
        <v>17812.64</v>
      </c>
      <c r="X1310" s="395">
        <v>75600</v>
      </c>
      <c r="Y1310" s="395">
        <v>19887.16</v>
      </c>
      <c r="Z1310" s="396">
        <v>691624</v>
      </c>
      <c r="AA1310" s="396">
        <v>19954</v>
      </c>
      <c r="AB1310" s="396">
        <v>972413</v>
      </c>
      <c r="AC1310" s="396">
        <v>10207916</v>
      </c>
    </row>
    <row r="1311" spans="1:29">
      <c r="A1311">
        <v>3531</v>
      </c>
      <c r="B1311" s="395" t="s">
        <v>7461</v>
      </c>
      <c r="C1311" s="395"/>
      <c r="D1311" s="396">
        <v>19799</v>
      </c>
      <c r="E1311" s="396">
        <v>29167</v>
      </c>
      <c r="F1311" s="395">
        <v>3.11</v>
      </c>
      <c r="G1311" s="396">
        <v>-9368</v>
      </c>
      <c r="H1311" s="396">
        <v>5301</v>
      </c>
      <c r="I1311" s="396">
        <v>581417</v>
      </c>
      <c r="J1311" s="395">
        <v>57</v>
      </c>
      <c r="K1311" s="395">
        <v>47</v>
      </c>
      <c r="L1311" s="397">
        <v>0.8246</v>
      </c>
      <c r="M1311" s="395">
        <v>10</v>
      </c>
      <c r="N1311" s="395">
        <v>347</v>
      </c>
      <c r="O1311" s="395">
        <v>621</v>
      </c>
      <c r="P1311" s="395">
        <v>0.66</v>
      </c>
      <c r="Q1311" s="395">
        <v>-937</v>
      </c>
      <c r="R1311" s="396">
        <v>1556</v>
      </c>
      <c r="S1311" s="396">
        <v>-2853</v>
      </c>
      <c r="T1311" s="396">
        <v>36667</v>
      </c>
      <c r="U1311" s="396">
        <v>-28195</v>
      </c>
      <c r="V1311" s="395">
        <v>5499.46</v>
      </c>
      <c r="W1311" s="395">
        <v>4456.66</v>
      </c>
      <c r="X1311" s="395">
        <v>66690</v>
      </c>
      <c r="Y1311" s="395">
        <v>10400.6</v>
      </c>
      <c r="Z1311" s="396">
        <v>5576991</v>
      </c>
      <c r="AA1311" s="396">
        <v>19799</v>
      </c>
      <c r="AB1311" s="396">
        <v>2966436</v>
      </c>
      <c r="AC1311" s="396">
        <v>10207916</v>
      </c>
    </row>
    <row r="1312" spans="1:29">
      <c r="A1312">
        <v>1432</v>
      </c>
      <c r="B1312" s="395" t="s">
        <v>6744</v>
      </c>
      <c r="C1312" s="395"/>
      <c r="D1312" s="396">
        <v>19385</v>
      </c>
      <c r="E1312" s="396">
        <v>78733</v>
      </c>
      <c r="F1312" s="395">
        <v>1.33</v>
      </c>
      <c r="G1312" s="396">
        <v>-59348</v>
      </c>
      <c r="H1312" s="396">
        <v>10665</v>
      </c>
      <c r="I1312" s="396">
        <v>744841</v>
      </c>
      <c r="J1312" s="395">
        <v>194</v>
      </c>
      <c r="K1312" s="395">
        <v>127</v>
      </c>
      <c r="L1312" s="397">
        <v>0.65459999999999996</v>
      </c>
      <c r="M1312" s="395">
        <v>67</v>
      </c>
      <c r="N1312" s="395">
        <v>100</v>
      </c>
      <c r="O1312" s="395">
        <v>620</v>
      </c>
      <c r="P1312" s="395">
        <v>0.7</v>
      </c>
      <c r="Q1312" s="395">
        <v>-886</v>
      </c>
      <c r="R1312" s="396">
        <v>2597</v>
      </c>
      <c r="S1312" s="396">
        <v>-2465</v>
      </c>
      <c r="T1312" s="396">
        <v>96718</v>
      </c>
      <c r="U1312" s="396">
        <v>-81176</v>
      </c>
      <c r="V1312" s="395">
        <v>6156.72</v>
      </c>
      <c r="W1312" s="395">
        <v>3487.39</v>
      </c>
      <c r="X1312" s="395">
        <v>77490</v>
      </c>
      <c r="Y1312" s="395">
        <v>11216.48</v>
      </c>
      <c r="Z1312" s="396">
        <v>-14737027</v>
      </c>
      <c r="AA1312" s="396">
        <v>19385</v>
      </c>
      <c r="AB1312" s="396">
        <v>-10390845</v>
      </c>
      <c r="AC1312" s="396">
        <v>10207916</v>
      </c>
    </row>
    <row r="1313" spans="1:29">
      <c r="A1313">
        <v>4160</v>
      </c>
      <c r="B1313" s="395" t="s">
        <v>7584</v>
      </c>
      <c r="C1313" s="395"/>
      <c r="D1313" s="396">
        <v>18932</v>
      </c>
      <c r="E1313" s="396">
        <v>20487</v>
      </c>
      <c r="F1313" s="395">
        <v>13.17</v>
      </c>
      <c r="G1313" s="396">
        <v>-1555</v>
      </c>
      <c r="H1313" s="396">
        <v>2868</v>
      </c>
      <c r="I1313" s="396">
        <v>257520</v>
      </c>
      <c r="J1313" s="395">
        <v>29</v>
      </c>
      <c r="K1313" s="395">
        <v>26</v>
      </c>
      <c r="L1313" s="397">
        <v>0.89659999999999995</v>
      </c>
      <c r="M1313" s="395">
        <v>3</v>
      </c>
      <c r="N1313" s="395">
        <v>653</v>
      </c>
      <c r="O1313" s="395">
        <v>788</v>
      </c>
      <c r="P1313" s="395">
        <v>1.52</v>
      </c>
      <c r="Q1313" s="395">
        <v>-518</v>
      </c>
      <c r="R1313" s="396">
        <v>1904</v>
      </c>
      <c r="S1313" s="395">
        <v>-900</v>
      </c>
      <c r="T1313" s="396">
        <v>21925</v>
      </c>
      <c r="U1313" s="396">
        <v>-12500</v>
      </c>
      <c r="V1313" s="395">
        <v>11235.48</v>
      </c>
      <c r="W1313" s="395">
        <v>10893.42</v>
      </c>
      <c r="X1313" s="395">
        <v>76680</v>
      </c>
      <c r="Y1313" s="395">
        <v>14200</v>
      </c>
      <c r="Z1313" s="396">
        <v>-1271523</v>
      </c>
      <c r="AA1313" s="396">
        <v>18932</v>
      </c>
      <c r="AB1313" s="396">
        <v>-2165354</v>
      </c>
      <c r="AC1313" s="396">
        <v>10207916</v>
      </c>
    </row>
    <row r="1314" spans="1:29">
      <c r="A1314">
        <v>8092</v>
      </c>
      <c r="B1314" s="395" t="s">
        <v>8268</v>
      </c>
      <c r="C1314" s="395"/>
      <c r="D1314" s="396">
        <v>18824</v>
      </c>
      <c r="E1314" s="396">
        <v>34658</v>
      </c>
      <c r="F1314" s="395">
        <v>2.19</v>
      </c>
      <c r="G1314" s="396">
        <v>-15834</v>
      </c>
      <c r="H1314" s="396">
        <v>5016</v>
      </c>
      <c r="I1314" s="396">
        <v>177607</v>
      </c>
      <c r="J1314" s="395">
        <v>124</v>
      </c>
      <c r="K1314" s="395">
        <v>95</v>
      </c>
      <c r="L1314" s="397">
        <v>0.7661</v>
      </c>
      <c r="M1314" s="395">
        <v>29</v>
      </c>
      <c r="N1314" s="395">
        <v>152</v>
      </c>
      <c r="O1314" s="395">
        <v>365</v>
      </c>
      <c r="P1314" s="395">
        <v>0.67</v>
      </c>
      <c r="Q1314" s="395">
        <v>-546</v>
      </c>
      <c r="R1314" s="396">
        <v>1503</v>
      </c>
      <c r="S1314" s="396">
        <v>-2044</v>
      </c>
      <c r="T1314" s="396">
        <v>28704</v>
      </c>
      <c r="U1314" s="396">
        <v>-12088</v>
      </c>
      <c r="V1314" s="395">
        <v>3087.1</v>
      </c>
      <c r="W1314" s="395">
        <v>2631.15</v>
      </c>
      <c r="X1314" s="395">
        <v>77490</v>
      </c>
      <c r="Y1314" s="395">
        <v>4580.72</v>
      </c>
      <c r="Z1314" s="396">
        <v>8935102</v>
      </c>
      <c r="AA1314" s="396">
        <v>18824</v>
      </c>
      <c r="AB1314" s="396">
        <v>5317287</v>
      </c>
      <c r="AC1314" s="396">
        <v>10207916</v>
      </c>
    </row>
    <row r="1315" spans="1:29">
      <c r="A1315">
        <v>2543</v>
      </c>
      <c r="B1315" s="395" t="s">
        <v>7131</v>
      </c>
      <c r="C1315" s="395"/>
      <c r="D1315" s="396">
        <v>18465</v>
      </c>
      <c r="E1315" s="396">
        <v>28525</v>
      </c>
      <c r="F1315" s="395">
        <v>2.84</v>
      </c>
      <c r="G1315" s="396">
        <v>-10060</v>
      </c>
      <c r="H1315" s="396">
        <v>4135</v>
      </c>
      <c r="I1315" s="396">
        <v>305730</v>
      </c>
      <c r="J1315" s="395">
        <v>135</v>
      </c>
      <c r="K1315" s="395">
        <v>109</v>
      </c>
      <c r="L1315" s="397">
        <v>0.80740000000000001</v>
      </c>
      <c r="M1315" s="395">
        <v>26</v>
      </c>
      <c r="N1315" s="395">
        <v>137</v>
      </c>
      <c r="O1315" s="395">
        <v>262</v>
      </c>
      <c r="P1315" s="395">
        <v>0.68</v>
      </c>
      <c r="Q1315" s="395">
        <v>-387</v>
      </c>
      <c r="R1315" s="395">
        <v>990</v>
      </c>
      <c r="S1315" s="396">
        <v>-2838</v>
      </c>
      <c r="T1315" s="396">
        <v>42806</v>
      </c>
      <c r="U1315" s="396">
        <v>-27872</v>
      </c>
      <c r="V1315" s="395">
        <v>7029.72</v>
      </c>
      <c r="W1315" s="395">
        <v>6837.56</v>
      </c>
      <c r="X1315" s="395">
        <v>77490</v>
      </c>
      <c r="Y1315" s="395">
        <v>7835.31</v>
      </c>
      <c r="Z1315" s="396">
        <v>-15228530</v>
      </c>
      <c r="AA1315" s="396">
        <v>18465</v>
      </c>
      <c r="AB1315" s="396">
        <v>1294278</v>
      </c>
      <c r="AC1315" s="396">
        <v>10207916</v>
      </c>
    </row>
    <row r="1316" spans="1:29">
      <c r="A1316">
        <v>4767</v>
      </c>
      <c r="B1316" s="395" t="s">
        <v>7696</v>
      </c>
      <c r="C1316" s="395"/>
      <c r="D1316" s="396">
        <v>18425</v>
      </c>
      <c r="E1316" s="396">
        <v>20938</v>
      </c>
      <c r="F1316" s="395">
        <v>8.33</v>
      </c>
      <c r="G1316" s="396">
        <v>-2513</v>
      </c>
      <c r="H1316" s="396">
        <v>2825</v>
      </c>
      <c r="I1316" s="396">
        <v>143538</v>
      </c>
      <c r="J1316" s="395">
        <v>26</v>
      </c>
      <c r="K1316" s="395">
        <v>21</v>
      </c>
      <c r="L1316" s="397">
        <v>0.80769999999999997</v>
      </c>
      <c r="M1316" s="395">
        <v>5</v>
      </c>
      <c r="N1316" s="395">
        <v>709</v>
      </c>
      <c r="O1316" s="395">
        <v>997</v>
      </c>
      <c r="P1316" s="395">
        <v>1.98</v>
      </c>
      <c r="Q1316" s="395">
        <v>-503</v>
      </c>
      <c r="R1316" s="396">
        <v>2431</v>
      </c>
      <c r="S1316" s="396">
        <v>-1970</v>
      </c>
      <c r="T1316" s="396">
        <v>20834</v>
      </c>
      <c r="U1316" s="396">
        <v>-3879</v>
      </c>
      <c r="V1316" s="395">
        <v>2597.46</v>
      </c>
      <c r="W1316" s="395">
        <v>2394.4299999999998</v>
      </c>
      <c r="X1316" s="395">
        <v>75060</v>
      </c>
      <c r="Y1316" s="395">
        <v>3450.2</v>
      </c>
      <c r="Z1316" s="396">
        <v>13199765</v>
      </c>
      <c r="AA1316" s="396">
        <v>18425</v>
      </c>
      <c r="AB1316" s="396">
        <v>19176577</v>
      </c>
      <c r="AC1316" s="396">
        <v>10207916</v>
      </c>
    </row>
    <row r="1317" spans="1:29">
      <c r="A1317">
        <v>3276</v>
      </c>
      <c r="B1317" s="395" t="s">
        <v>7370</v>
      </c>
      <c r="C1317" s="395"/>
      <c r="D1317" s="396">
        <v>18168</v>
      </c>
      <c r="E1317" s="396">
        <v>92729</v>
      </c>
      <c r="F1317" s="395">
        <v>1.24</v>
      </c>
      <c r="G1317" s="396">
        <v>-74561</v>
      </c>
      <c r="H1317" s="396">
        <v>12382</v>
      </c>
      <c r="I1317" s="396">
        <v>600539</v>
      </c>
      <c r="J1317" s="395">
        <v>189</v>
      </c>
      <c r="K1317" s="395">
        <v>126</v>
      </c>
      <c r="L1317" s="397">
        <v>0.66669999999999996</v>
      </c>
      <c r="M1317" s="395">
        <v>63</v>
      </c>
      <c r="N1317" s="395">
        <v>96</v>
      </c>
      <c r="O1317" s="395">
        <v>736</v>
      </c>
      <c r="P1317" s="395">
        <v>0.62</v>
      </c>
      <c r="Q1317" s="396">
        <v>-1184</v>
      </c>
      <c r="R1317" s="396">
        <v>3397</v>
      </c>
      <c r="S1317" s="396">
        <v>-6924</v>
      </c>
      <c r="T1317" s="396">
        <v>119105</v>
      </c>
      <c r="U1317" s="396">
        <v>-66435</v>
      </c>
      <c r="V1317" s="395">
        <v>2729.57</v>
      </c>
      <c r="W1317" s="395">
        <v>1286.25</v>
      </c>
      <c r="X1317" s="395">
        <v>77490</v>
      </c>
      <c r="Y1317" s="395">
        <v>5616.22</v>
      </c>
      <c r="Z1317" s="396">
        <v>989313</v>
      </c>
      <c r="AA1317" s="396">
        <v>18168</v>
      </c>
      <c r="AB1317" s="396">
        <v>31079602</v>
      </c>
      <c r="AC1317" s="396">
        <v>10207916</v>
      </c>
    </row>
    <row r="1318" spans="1:29">
      <c r="A1318">
        <v>1441</v>
      </c>
      <c r="B1318" s="395" t="s">
        <v>6752</v>
      </c>
      <c r="C1318" s="395"/>
      <c r="D1318" s="396">
        <v>18160</v>
      </c>
      <c r="E1318" s="396">
        <v>52694</v>
      </c>
      <c r="F1318" s="395">
        <v>1.53</v>
      </c>
      <c r="G1318" s="396">
        <v>-34534</v>
      </c>
      <c r="H1318" s="396">
        <v>7050</v>
      </c>
      <c r="I1318" s="396">
        <v>360158</v>
      </c>
      <c r="J1318" s="395">
        <v>179</v>
      </c>
      <c r="K1318" s="395">
        <v>124</v>
      </c>
      <c r="L1318" s="397">
        <v>0.69269999999999998</v>
      </c>
      <c r="M1318" s="395">
        <v>55</v>
      </c>
      <c r="N1318" s="395">
        <v>101</v>
      </c>
      <c r="O1318" s="395">
        <v>425</v>
      </c>
      <c r="P1318" s="395">
        <v>0.68</v>
      </c>
      <c r="Q1318" s="395">
        <v>-628</v>
      </c>
      <c r="R1318" s="396">
        <v>1710</v>
      </c>
      <c r="S1318" s="396">
        <v>-2799</v>
      </c>
      <c r="T1318" s="396">
        <v>49699</v>
      </c>
      <c r="U1318" s="396">
        <v>-31346</v>
      </c>
      <c r="V1318" s="395">
        <v>3896.73</v>
      </c>
      <c r="W1318" s="395">
        <v>2291.77</v>
      </c>
      <c r="X1318" s="395">
        <v>77490</v>
      </c>
      <c r="Y1318" s="395">
        <v>7515.2</v>
      </c>
      <c r="Z1318" s="396">
        <v>-3353433</v>
      </c>
      <c r="AA1318" s="396">
        <v>18160</v>
      </c>
      <c r="AB1318" s="396">
        <v>-1076023</v>
      </c>
      <c r="AC1318" s="396">
        <v>10207916</v>
      </c>
    </row>
    <row r="1319" spans="1:29">
      <c r="A1319">
        <v>9912</v>
      </c>
      <c r="B1319" s="395" t="s">
        <v>8400</v>
      </c>
      <c r="C1319" s="395"/>
      <c r="D1319" s="396">
        <v>18137</v>
      </c>
      <c r="E1319" s="396">
        <v>37489</v>
      </c>
      <c r="F1319" s="395">
        <v>1.94</v>
      </c>
      <c r="G1319" s="396">
        <v>-19352</v>
      </c>
      <c r="H1319" s="396">
        <v>5003</v>
      </c>
      <c r="I1319" s="396">
        <v>226509</v>
      </c>
      <c r="J1319" s="395">
        <v>133</v>
      </c>
      <c r="K1319" s="395">
        <v>96</v>
      </c>
      <c r="L1319" s="397">
        <v>0.7218</v>
      </c>
      <c r="M1319" s="395">
        <v>36</v>
      </c>
      <c r="N1319" s="395">
        <v>136</v>
      </c>
      <c r="O1319" s="395">
        <v>391</v>
      </c>
      <c r="P1319" s="395">
        <v>0.73</v>
      </c>
      <c r="Q1319" s="395">
        <v>-538</v>
      </c>
      <c r="R1319" s="396">
        <v>1614</v>
      </c>
      <c r="S1319" s="396">
        <v>-1938</v>
      </c>
      <c r="T1319" s="396">
        <v>37521</v>
      </c>
      <c r="U1319" s="396">
        <v>-11775</v>
      </c>
      <c r="V1319" s="395">
        <v>4863.41</v>
      </c>
      <c r="W1319" s="395">
        <v>3946.36</v>
      </c>
      <c r="X1319" s="395">
        <v>77490</v>
      </c>
      <c r="Y1319" s="395">
        <v>7354.39</v>
      </c>
      <c r="Z1319" s="396">
        <v>-7993996</v>
      </c>
      <c r="AA1319" s="396">
        <v>18137</v>
      </c>
      <c r="AB1319" s="396">
        <v>5148987</v>
      </c>
      <c r="AC1319" s="396">
        <v>10207916</v>
      </c>
    </row>
    <row r="1320" spans="1:29">
      <c r="A1320">
        <v>5484</v>
      </c>
      <c r="B1320" s="395" t="s">
        <v>7850</v>
      </c>
      <c r="C1320" s="395"/>
      <c r="D1320" s="396">
        <v>17965</v>
      </c>
      <c r="E1320" s="396">
        <v>49517</v>
      </c>
      <c r="F1320" s="395">
        <v>1.57</v>
      </c>
      <c r="G1320" s="396">
        <v>-31552</v>
      </c>
      <c r="H1320" s="396">
        <v>8005</v>
      </c>
      <c r="I1320" s="396">
        <v>231877</v>
      </c>
      <c r="J1320" s="395">
        <v>127</v>
      </c>
      <c r="K1320" s="395">
        <v>100</v>
      </c>
      <c r="L1320" s="397">
        <v>0.78739999999999999</v>
      </c>
      <c r="M1320" s="395">
        <v>27</v>
      </c>
      <c r="N1320" s="395">
        <v>141</v>
      </c>
      <c r="O1320" s="395">
        <v>495</v>
      </c>
      <c r="P1320" s="395">
        <v>0.42</v>
      </c>
      <c r="Q1320" s="396">
        <v>-1169</v>
      </c>
      <c r="R1320" s="396">
        <v>2743</v>
      </c>
      <c r="S1320" s="396">
        <v>-5644</v>
      </c>
      <c r="T1320" s="396">
        <v>43137</v>
      </c>
      <c r="U1320" s="396">
        <v>-26145</v>
      </c>
      <c r="V1320" s="395">
        <v>2532.21</v>
      </c>
      <c r="W1320" s="395">
        <v>1740.98</v>
      </c>
      <c r="X1320" s="395">
        <v>75600</v>
      </c>
      <c r="Y1320" s="395">
        <v>5462.7</v>
      </c>
      <c r="Z1320" s="396">
        <v>-11002975</v>
      </c>
      <c r="AA1320" s="396">
        <v>17965</v>
      </c>
      <c r="AB1320" s="396">
        <v>-11765917</v>
      </c>
      <c r="AC1320" s="396">
        <v>10207916</v>
      </c>
    </row>
    <row r="1321" spans="1:29">
      <c r="A1321">
        <v>3191</v>
      </c>
      <c r="B1321" s="395" t="s">
        <v>7339</v>
      </c>
      <c r="C1321" s="395"/>
      <c r="D1321" s="396">
        <v>17597</v>
      </c>
      <c r="E1321" s="396">
        <v>22243</v>
      </c>
      <c r="F1321" s="395">
        <v>4.79</v>
      </c>
      <c r="G1321" s="396">
        <v>-4646</v>
      </c>
      <c r="H1321" s="396">
        <v>1433</v>
      </c>
      <c r="I1321" s="396">
        <v>88537</v>
      </c>
      <c r="J1321" s="395">
        <v>44</v>
      </c>
      <c r="K1321" s="395">
        <v>33</v>
      </c>
      <c r="L1321" s="397">
        <v>0.75</v>
      </c>
      <c r="M1321" s="395">
        <v>11</v>
      </c>
      <c r="N1321" s="395">
        <v>400</v>
      </c>
      <c r="O1321" s="395">
        <v>674</v>
      </c>
      <c r="P1321" s="395">
        <v>1.6</v>
      </c>
      <c r="Q1321" s="395">
        <v>-422</v>
      </c>
      <c r="R1321" s="396">
        <v>2214</v>
      </c>
      <c r="S1321" s="396">
        <v>-1383</v>
      </c>
      <c r="T1321" s="396">
        <v>24796</v>
      </c>
      <c r="U1321" s="396">
        <v>-13821</v>
      </c>
      <c r="V1321" s="395">
        <v>3195.3</v>
      </c>
      <c r="W1321" s="395">
        <v>2644.3</v>
      </c>
      <c r="X1321" s="395">
        <v>77490</v>
      </c>
      <c r="Y1321" s="395">
        <v>4848.2700000000004</v>
      </c>
      <c r="Z1321" s="396">
        <v>-3612642</v>
      </c>
      <c r="AA1321" s="396">
        <v>17597</v>
      </c>
      <c r="AB1321" s="396">
        <v>-1089286</v>
      </c>
      <c r="AC1321" s="396">
        <v>10207916</v>
      </c>
    </row>
    <row r="1322" spans="1:29">
      <c r="A1322">
        <v>3058</v>
      </c>
      <c r="B1322" s="395" t="s">
        <v>7295</v>
      </c>
      <c r="C1322" s="395"/>
      <c r="D1322" s="396">
        <v>17425</v>
      </c>
      <c r="E1322" s="396">
        <v>119665</v>
      </c>
      <c r="F1322" s="395">
        <v>1.17</v>
      </c>
      <c r="G1322" s="396">
        <v>-102240</v>
      </c>
      <c r="H1322" s="396">
        <v>15670</v>
      </c>
      <c r="I1322" s="396">
        <v>543927</v>
      </c>
      <c r="J1322" s="395">
        <v>248</v>
      </c>
      <c r="K1322" s="395">
        <v>165</v>
      </c>
      <c r="L1322" s="397">
        <v>0.6653</v>
      </c>
      <c r="M1322" s="395">
        <v>83</v>
      </c>
      <c r="N1322" s="395">
        <v>70</v>
      </c>
      <c r="O1322" s="395">
        <v>725</v>
      </c>
      <c r="P1322" s="395">
        <v>0.59</v>
      </c>
      <c r="Q1322" s="396">
        <v>-1232</v>
      </c>
      <c r="R1322" s="396">
        <v>4241</v>
      </c>
      <c r="S1322" s="396">
        <v>-7082</v>
      </c>
      <c r="T1322" s="396">
        <v>123922</v>
      </c>
      <c r="U1322" s="396">
        <v>-77447</v>
      </c>
      <c r="V1322" s="395">
        <v>2692.52</v>
      </c>
      <c r="W1322" s="395">
        <v>845.39</v>
      </c>
      <c r="X1322" s="395">
        <v>77490</v>
      </c>
      <c r="Y1322" s="395">
        <v>6364.53</v>
      </c>
      <c r="Z1322" s="396">
        <v>2402041</v>
      </c>
      <c r="AA1322" s="396">
        <v>17425</v>
      </c>
      <c r="AB1322" s="396">
        <v>18416806</v>
      </c>
      <c r="AC1322" s="396">
        <v>10207916</v>
      </c>
    </row>
    <row r="1323" spans="1:29">
      <c r="A1323">
        <v>3230</v>
      </c>
      <c r="B1323" s="395" t="s">
        <v>7356</v>
      </c>
      <c r="C1323" s="395"/>
      <c r="D1323" s="396">
        <v>17250</v>
      </c>
      <c r="E1323" s="396">
        <v>94506</v>
      </c>
      <c r="F1323" s="395">
        <v>1.22</v>
      </c>
      <c r="G1323" s="396">
        <v>-77256</v>
      </c>
      <c r="H1323" s="396">
        <v>14582</v>
      </c>
      <c r="I1323" s="396">
        <v>470248</v>
      </c>
      <c r="J1323" s="395">
        <v>201</v>
      </c>
      <c r="K1323" s="395">
        <v>144</v>
      </c>
      <c r="L1323" s="397">
        <v>0.71640000000000004</v>
      </c>
      <c r="M1323" s="395">
        <v>57</v>
      </c>
      <c r="N1323" s="395">
        <v>86</v>
      </c>
      <c r="O1323" s="395">
        <v>656</v>
      </c>
      <c r="P1323" s="395">
        <v>0.48</v>
      </c>
      <c r="Q1323" s="396">
        <v>-1355</v>
      </c>
      <c r="R1323" s="396">
        <v>2776</v>
      </c>
      <c r="S1323" s="396">
        <v>-4070</v>
      </c>
      <c r="T1323" s="396">
        <v>96069</v>
      </c>
      <c r="U1323" s="396">
        <v>-67252</v>
      </c>
      <c r="V1323" s="395">
        <v>2094.64</v>
      </c>
      <c r="W1323" s="395">
        <v>1197.6500000000001</v>
      </c>
      <c r="X1323" s="395">
        <v>76140</v>
      </c>
      <c r="Y1323" s="395">
        <v>4360.72</v>
      </c>
      <c r="Z1323" s="396">
        <v>13465669</v>
      </c>
      <c r="AA1323" s="396">
        <v>17250</v>
      </c>
      <c r="AB1323" s="396">
        <v>9702349</v>
      </c>
      <c r="AC1323" s="396">
        <v>10207916</v>
      </c>
    </row>
    <row r="1324" spans="1:29">
      <c r="A1324">
        <v>1616</v>
      </c>
      <c r="B1324" s="395" t="s">
        <v>6842</v>
      </c>
      <c r="C1324" s="395"/>
      <c r="D1324" s="396">
        <v>17185</v>
      </c>
      <c r="E1324" s="396">
        <v>70484</v>
      </c>
      <c r="F1324" s="395">
        <v>1.32</v>
      </c>
      <c r="G1324" s="396">
        <v>-53299</v>
      </c>
      <c r="H1324" s="396">
        <v>7415</v>
      </c>
      <c r="I1324" s="396">
        <v>631214</v>
      </c>
      <c r="J1324" s="395">
        <v>205</v>
      </c>
      <c r="K1324" s="395">
        <v>132</v>
      </c>
      <c r="L1324" s="397">
        <v>0.64390000000000003</v>
      </c>
      <c r="M1324" s="395">
        <v>73</v>
      </c>
      <c r="N1324" s="395">
        <v>84</v>
      </c>
      <c r="O1324" s="395">
        <v>534</v>
      </c>
      <c r="P1324" s="395">
        <v>0.73</v>
      </c>
      <c r="Q1324" s="395">
        <v>-730</v>
      </c>
      <c r="R1324" s="396">
        <v>1489</v>
      </c>
      <c r="S1324" s="396">
        <v>-4116</v>
      </c>
      <c r="T1324" s="396">
        <v>95389</v>
      </c>
      <c r="U1324" s="396">
        <v>-72245</v>
      </c>
      <c r="V1324" s="395">
        <v>6618.33</v>
      </c>
      <c r="W1324" s="395">
        <v>4594.49</v>
      </c>
      <c r="X1324" s="395">
        <v>77490</v>
      </c>
      <c r="Y1324" s="395">
        <v>10277.879999999999</v>
      </c>
      <c r="Z1324" s="396">
        <v>-20298626</v>
      </c>
      <c r="AA1324" s="396">
        <v>17185</v>
      </c>
      <c r="AB1324" s="396">
        <v>24082840</v>
      </c>
      <c r="AC1324" s="396">
        <v>10207916</v>
      </c>
    </row>
    <row r="1325" spans="1:29">
      <c r="A1325">
        <v>6512</v>
      </c>
      <c r="B1325" s="395" t="s">
        <v>8110</v>
      </c>
      <c r="C1325" s="395"/>
      <c r="D1325" s="396">
        <v>17121</v>
      </c>
      <c r="E1325" s="396">
        <v>19655</v>
      </c>
      <c r="F1325" s="395">
        <v>7.76</v>
      </c>
      <c r="G1325" s="396">
        <v>-2534</v>
      </c>
      <c r="H1325" s="396">
        <v>2129</v>
      </c>
      <c r="I1325" s="396">
        <v>82386</v>
      </c>
      <c r="J1325" s="395">
        <v>29</v>
      </c>
      <c r="K1325" s="395">
        <v>26</v>
      </c>
      <c r="L1325" s="397">
        <v>0.89659999999999995</v>
      </c>
      <c r="M1325" s="395">
        <v>3</v>
      </c>
      <c r="N1325" s="395">
        <v>590</v>
      </c>
      <c r="O1325" s="395">
        <v>756</v>
      </c>
      <c r="P1325" s="395">
        <v>0.89</v>
      </c>
      <c r="Q1325" s="395">
        <v>-845</v>
      </c>
      <c r="R1325" s="396">
        <v>2075</v>
      </c>
      <c r="S1325" s="396">
        <v>-1232</v>
      </c>
      <c r="T1325" s="396">
        <v>21208</v>
      </c>
      <c r="U1325" s="396">
        <v>-7451</v>
      </c>
      <c r="V1325" s="395">
        <v>2325</v>
      </c>
      <c r="W1325" s="395">
        <v>1469.96</v>
      </c>
      <c r="X1325" s="395">
        <v>76680</v>
      </c>
      <c r="Y1325" s="395">
        <v>9735.33</v>
      </c>
      <c r="Z1325" s="396">
        <v>19080574</v>
      </c>
      <c r="AA1325" s="396">
        <v>17121</v>
      </c>
      <c r="AB1325" s="396">
        <v>10408638</v>
      </c>
      <c r="AC1325" s="396">
        <v>10207916</v>
      </c>
    </row>
    <row r="1326" spans="1:29">
      <c r="A1326">
        <v>9906</v>
      </c>
      <c r="B1326" s="395" t="s">
        <v>8395</v>
      </c>
      <c r="C1326" s="395"/>
      <c r="D1326" s="396">
        <v>16805</v>
      </c>
      <c r="E1326" s="396">
        <v>241683</v>
      </c>
      <c r="F1326" s="395">
        <v>1.07</v>
      </c>
      <c r="G1326" s="396">
        <v>-224878</v>
      </c>
      <c r="H1326" s="396">
        <v>33445</v>
      </c>
      <c r="I1326" s="396">
        <v>2295571</v>
      </c>
      <c r="J1326" s="395">
        <v>157</v>
      </c>
      <c r="K1326" s="395">
        <v>111</v>
      </c>
      <c r="L1326" s="397">
        <v>0.70699999999999996</v>
      </c>
      <c r="M1326" s="395">
        <v>46</v>
      </c>
      <c r="N1326" s="395">
        <v>107</v>
      </c>
      <c r="O1326" s="396">
        <v>2177</v>
      </c>
      <c r="P1326" s="395">
        <v>0.45</v>
      </c>
      <c r="Q1326" s="396">
        <v>-4889</v>
      </c>
      <c r="R1326" s="396">
        <v>7822</v>
      </c>
      <c r="S1326" s="396">
        <v>-12440</v>
      </c>
      <c r="T1326" s="396">
        <v>212447</v>
      </c>
      <c r="U1326" s="396">
        <v>-327464</v>
      </c>
      <c r="V1326" s="395">
        <v>4570.72</v>
      </c>
      <c r="W1326" s="395">
        <v>2903.27</v>
      </c>
      <c r="X1326" s="395">
        <v>77490</v>
      </c>
      <c r="Y1326" s="395">
        <v>8594.35</v>
      </c>
      <c r="Z1326" s="396">
        <v>-4562412</v>
      </c>
      <c r="AA1326" s="396">
        <v>16805</v>
      </c>
      <c r="AB1326" s="396">
        <v>17265000</v>
      </c>
      <c r="AC1326" s="396">
        <v>10207916</v>
      </c>
    </row>
    <row r="1327" spans="1:29">
      <c r="A1327">
        <v>3332</v>
      </c>
      <c r="B1327" s="395" t="s">
        <v>7395</v>
      </c>
      <c r="C1327" s="395"/>
      <c r="D1327" s="396">
        <v>16446</v>
      </c>
      <c r="E1327" s="396">
        <v>30919</v>
      </c>
      <c r="F1327" s="395">
        <v>2.14</v>
      </c>
      <c r="G1327" s="396">
        <v>-14473</v>
      </c>
      <c r="H1327" s="396">
        <v>6804</v>
      </c>
      <c r="I1327" s="396">
        <v>377947</v>
      </c>
      <c r="J1327" s="395">
        <v>43</v>
      </c>
      <c r="K1327" s="395">
        <v>30</v>
      </c>
      <c r="L1327" s="397">
        <v>0.69769999999999999</v>
      </c>
      <c r="M1327" s="395">
        <v>13</v>
      </c>
      <c r="N1327" s="395">
        <v>382</v>
      </c>
      <c r="O1327" s="396">
        <v>1031</v>
      </c>
      <c r="P1327" s="395">
        <v>0.93</v>
      </c>
      <c r="Q1327" s="396">
        <v>-1113</v>
      </c>
      <c r="R1327" s="396">
        <v>2291</v>
      </c>
      <c r="S1327" s="396">
        <v>-2463</v>
      </c>
      <c r="T1327" s="396">
        <v>33129</v>
      </c>
      <c r="U1327" s="396">
        <v>-14625</v>
      </c>
      <c r="V1327" s="395">
        <v>3389.81</v>
      </c>
      <c r="W1327" s="395">
        <v>3185.1</v>
      </c>
      <c r="X1327" s="395">
        <v>63180</v>
      </c>
      <c r="Y1327" s="395">
        <v>3862.23</v>
      </c>
      <c r="Z1327" s="396">
        <v>6862769</v>
      </c>
      <c r="AA1327" s="396">
        <v>16446</v>
      </c>
      <c r="AB1327" s="396">
        <v>5654217</v>
      </c>
      <c r="AC1327" s="396">
        <v>10207916</v>
      </c>
    </row>
    <row r="1328" spans="1:29">
      <c r="A1328">
        <v>3642</v>
      </c>
      <c r="B1328" s="395" t="s">
        <v>7512</v>
      </c>
      <c r="C1328" s="395"/>
      <c r="D1328" s="396">
        <v>16138</v>
      </c>
      <c r="E1328" s="396">
        <v>35363</v>
      </c>
      <c r="F1328" s="395">
        <v>1.84</v>
      </c>
      <c r="G1328" s="396">
        <v>-19225</v>
      </c>
      <c r="H1328" s="396">
        <v>2572</v>
      </c>
      <c r="I1328" s="396">
        <v>248562</v>
      </c>
      <c r="J1328" s="395">
        <v>51</v>
      </c>
      <c r="K1328" s="395">
        <v>37</v>
      </c>
      <c r="L1328" s="397">
        <v>0.72550000000000003</v>
      </c>
      <c r="M1328" s="395">
        <v>14</v>
      </c>
      <c r="N1328" s="395">
        <v>316</v>
      </c>
      <c r="O1328" s="395">
        <v>956</v>
      </c>
      <c r="P1328" s="395">
        <v>0.7</v>
      </c>
      <c r="Q1328" s="396">
        <v>-1373</v>
      </c>
      <c r="R1328" s="396">
        <v>2390</v>
      </c>
      <c r="S1328" s="396">
        <v>-2688</v>
      </c>
      <c r="T1328" s="396">
        <v>53331</v>
      </c>
      <c r="U1328" s="396">
        <v>-43197</v>
      </c>
      <c r="V1328" s="395">
        <v>6251.39</v>
      </c>
      <c r="W1328" s="395">
        <v>2800.43</v>
      </c>
      <c r="X1328" s="395">
        <v>77220</v>
      </c>
      <c r="Y1328" s="395">
        <v>15371.79</v>
      </c>
      <c r="Z1328" s="396">
        <v>-12132848</v>
      </c>
      <c r="AA1328" s="396">
        <v>16138</v>
      </c>
      <c r="AB1328" s="396">
        <v>-24120635</v>
      </c>
      <c r="AC1328" s="396">
        <v>10207916</v>
      </c>
    </row>
    <row r="1329" spans="1:29">
      <c r="A1329">
        <v>3555</v>
      </c>
      <c r="B1329" s="395" t="s">
        <v>7476</v>
      </c>
      <c r="C1329" s="395"/>
      <c r="D1329" s="396">
        <v>15393</v>
      </c>
      <c r="E1329" s="396">
        <v>15838</v>
      </c>
      <c r="F1329" s="395">
        <v>35.590000000000003</v>
      </c>
      <c r="G1329" s="395">
        <v>-445</v>
      </c>
      <c r="H1329" s="396">
        <v>2007</v>
      </c>
      <c r="I1329" s="396">
        <v>61195</v>
      </c>
      <c r="J1329" s="395">
        <v>14</v>
      </c>
      <c r="K1329" s="395">
        <v>13</v>
      </c>
      <c r="L1329" s="397">
        <v>0.92859999999999998</v>
      </c>
      <c r="M1329" s="395">
        <v>1</v>
      </c>
      <c r="N1329" s="396">
        <v>1099</v>
      </c>
      <c r="O1329" s="396">
        <v>1218</v>
      </c>
      <c r="P1329" s="395">
        <v>2.74</v>
      </c>
      <c r="Q1329" s="395">
        <v>-445</v>
      </c>
      <c r="R1329" s="396">
        <v>2489</v>
      </c>
      <c r="S1329" s="395">
        <v>-445</v>
      </c>
      <c r="T1329" s="396">
        <v>15838</v>
      </c>
      <c r="U1329" s="396">
        <v>-2767</v>
      </c>
      <c r="V1329" s="395">
        <v>534.71</v>
      </c>
      <c r="W1329" s="395">
        <v>535</v>
      </c>
      <c r="X1329" s="395">
        <v>72090</v>
      </c>
      <c r="Y1329" s="395">
        <v>531</v>
      </c>
      <c r="Z1329" s="396">
        <v>23835171</v>
      </c>
      <c r="AA1329" s="396">
        <v>15393</v>
      </c>
      <c r="AB1329" s="396">
        <v>-12439356</v>
      </c>
      <c r="AC1329" s="396">
        <v>10207916</v>
      </c>
    </row>
    <row r="1330" spans="1:29">
      <c r="A1330">
        <v>8176</v>
      </c>
      <c r="B1330" s="395" t="s">
        <v>8290</v>
      </c>
      <c r="C1330" s="395"/>
      <c r="D1330" s="396">
        <v>14868</v>
      </c>
      <c r="E1330" s="396">
        <v>18817</v>
      </c>
      <c r="F1330" s="395">
        <v>4.7699999999999996</v>
      </c>
      <c r="G1330" s="396">
        <v>-3949</v>
      </c>
      <c r="H1330" s="396">
        <v>2262</v>
      </c>
      <c r="I1330" s="396">
        <v>186260</v>
      </c>
      <c r="J1330" s="395">
        <v>63</v>
      </c>
      <c r="K1330" s="395">
        <v>47</v>
      </c>
      <c r="L1330" s="397">
        <v>0.746</v>
      </c>
      <c r="M1330" s="395">
        <v>16</v>
      </c>
      <c r="N1330" s="395">
        <v>236</v>
      </c>
      <c r="O1330" s="395">
        <v>400</v>
      </c>
      <c r="P1330" s="395">
        <v>1.62</v>
      </c>
      <c r="Q1330" s="395">
        <v>-247</v>
      </c>
      <c r="R1330" s="396">
        <v>1066</v>
      </c>
      <c r="S1330" s="395">
        <v>-627</v>
      </c>
      <c r="T1330" s="396">
        <v>21259</v>
      </c>
      <c r="U1330" s="396">
        <v>-9582</v>
      </c>
      <c r="V1330" s="395">
        <v>6551.16</v>
      </c>
      <c r="W1330" s="395">
        <v>5031.32</v>
      </c>
      <c r="X1330" s="395">
        <v>77490</v>
      </c>
      <c r="Y1330" s="395">
        <v>11015.69</v>
      </c>
      <c r="Z1330" s="396">
        <v>-165803</v>
      </c>
      <c r="AA1330" s="396">
        <v>14868</v>
      </c>
      <c r="AB1330" s="396">
        <v>-8868545</v>
      </c>
      <c r="AC1330" s="396">
        <v>10207916</v>
      </c>
    </row>
    <row r="1331" spans="1:29">
      <c r="A1331">
        <v>6133</v>
      </c>
      <c r="B1331" s="395" t="s">
        <v>7932</v>
      </c>
      <c r="C1331" s="395"/>
      <c r="D1331" s="396">
        <v>14528</v>
      </c>
      <c r="E1331" s="396">
        <v>55977</v>
      </c>
      <c r="F1331" s="395">
        <v>1.35</v>
      </c>
      <c r="G1331" s="396">
        <v>-41449</v>
      </c>
      <c r="H1331" s="396">
        <v>8202</v>
      </c>
      <c r="I1331" s="396">
        <v>729609</v>
      </c>
      <c r="J1331" s="395">
        <v>217</v>
      </c>
      <c r="K1331" s="395">
        <v>156</v>
      </c>
      <c r="L1331" s="397">
        <v>0.71889999999999998</v>
      </c>
      <c r="M1331" s="395">
        <v>60</v>
      </c>
      <c r="N1331" s="395">
        <v>67</v>
      </c>
      <c r="O1331" s="395">
        <v>359</v>
      </c>
      <c r="P1331" s="395">
        <v>0.52</v>
      </c>
      <c r="Q1331" s="395">
        <v>-691</v>
      </c>
      <c r="R1331" s="395">
        <v>976</v>
      </c>
      <c r="S1331" s="396">
        <v>-2992</v>
      </c>
      <c r="T1331" s="396">
        <v>71882</v>
      </c>
      <c r="U1331" s="396">
        <v>-46948</v>
      </c>
      <c r="V1331" s="395">
        <v>8548.9500000000007</v>
      </c>
      <c r="W1331" s="395">
        <v>7507.88</v>
      </c>
      <c r="X1331" s="395">
        <v>77490</v>
      </c>
      <c r="Y1331" s="395">
        <v>11389.47</v>
      </c>
      <c r="Z1331" s="396">
        <v>-9954173</v>
      </c>
      <c r="AA1331" s="396">
        <v>14528</v>
      </c>
      <c r="AB1331" s="396">
        <v>-2810256</v>
      </c>
      <c r="AC1331" s="396">
        <v>10207916</v>
      </c>
    </row>
    <row r="1332" spans="1:29">
      <c r="A1332">
        <v>3221</v>
      </c>
      <c r="B1332" s="395" t="s">
        <v>7350</v>
      </c>
      <c r="C1332" s="395"/>
      <c r="D1332" s="396">
        <v>14122</v>
      </c>
      <c r="E1332" s="396">
        <v>208426</v>
      </c>
      <c r="F1332" s="395">
        <v>1.07</v>
      </c>
      <c r="G1332" s="396">
        <v>-194304</v>
      </c>
      <c r="H1332" s="396">
        <v>31778</v>
      </c>
      <c r="I1332" s="396">
        <v>1547276</v>
      </c>
      <c r="J1332" s="395">
        <v>267</v>
      </c>
      <c r="K1332" s="395">
        <v>193</v>
      </c>
      <c r="L1332" s="397">
        <v>0.7228</v>
      </c>
      <c r="M1332" s="395">
        <v>74</v>
      </c>
      <c r="N1332" s="395">
        <v>53</v>
      </c>
      <c r="O1332" s="396">
        <v>1080</v>
      </c>
      <c r="P1332" s="395">
        <v>0.41</v>
      </c>
      <c r="Q1332" s="396">
        <v>-2626</v>
      </c>
      <c r="R1332" s="396">
        <v>4567</v>
      </c>
      <c r="S1332" s="396">
        <v>-12803</v>
      </c>
      <c r="T1332" s="396">
        <v>220254</v>
      </c>
      <c r="U1332" s="396">
        <v>-199155</v>
      </c>
      <c r="V1332" s="395">
        <v>2544.35</v>
      </c>
      <c r="W1332" s="395">
        <v>1157.82</v>
      </c>
      <c r="X1332" s="395">
        <v>77490</v>
      </c>
      <c r="Y1332" s="395">
        <v>6160.57</v>
      </c>
      <c r="Z1332" s="396">
        <v>11843058</v>
      </c>
      <c r="AA1332" s="396">
        <v>14122</v>
      </c>
      <c r="AB1332" s="396">
        <v>21904757</v>
      </c>
      <c r="AC1332" s="396">
        <v>10207916</v>
      </c>
    </row>
    <row r="1333" spans="1:29">
      <c r="A1333">
        <v>4188</v>
      </c>
      <c r="B1333" s="395" t="s">
        <v>7596</v>
      </c>
      <c r="C1333" s="395"/>
      <c r="D1333" s="396">
        <v>13844</v>
      </c>
      <c r="E1333" s="396">
        <v>25790</v>
      </c>
      <c r="F1333" s="395">
        <v>2.16</v>
      </c>
      <c r="G1333" s="396">
        <v>-11946</v>
      </c>
      <c r="H1333" s="396">
        <v>4106</v>
      </c>
      <c r="I1333" s="396">
        <v>220501</v>
      </c>
      <c r="J1333" s="395">
        <v>55</v>
      </c>
      <c r="K1333" s="395">
        <v>37</v>
      </c>
      <c r="L1333" s="397">
        <v>0.67269999999999996</v>
      </c>
      <c r="M1333" s="395">
        <v>18</v>
      </c>
      <c r="N1333" s="395">
        <v>252</v>
      </c>
      <c r="O1333" s="395">
        <v>697</v>
      </c>
      <c r="P1333" s="395">
        <v>1.05</v>
      </c>
      <c r="Q1333" s="395">
        <v>-664</v>
      </c>
      <c r="R1333" s="396">
        <v>1521</v>
      </c>
      <c r="S1333" s="396">
        <v>-1976</v>
      </c>
      <c r="T1333" s="396">
        <v>24118</v>
      </c>
      <c r="U1333" s="396">
        <v>-10554</v>
      </c>
      <c r="V1333" s="395">
        <v>4210.1499999999996</v>
      </c>
      <c r="W1333" s="395">
        <v>2862.73</v>
      </c>
      <c r="X1333" s="395">
        <v>77490</v>
      </c>
      <c r="Y1333" s="395">
        <v>6979.83</v>
      </c>
      <c r="Z1333" s="396">
        <v>7838076</v>
      </c>
      <c r="AA1333" s="396">
        <v>13844</v>
      </c>
      <c r="AB1333" s="396">
        <v>-4017857</v>
      </c>
      <c r="AC1333" s="396">
        <v>10207916</v>
      </c>
    </row>
    <row r="1334" spans="1:29">
      <c r="A1334">
        <v>3026</v>
      </c>
      <c r="B1334" s="395" t="s">
        <v>7265</v>
      </c>
      <c r="C1334" s="395"/>
      <c r="D1334" s="396">
        <v>12975</v>
      </c>
      <c r="E1334" s="396">
        <v>518881</v>
      </c>
      <c r="F1334" s="395">
        <v>1.03</v>
      </c>
      <c r="G1334" s="396">
        <v>-505906</v>
      </c>
      <c r="H1334" s="396">
        <v>127989</v>
      </c>
      <c r="I1334" s="396">
        <v>17150519</v>
      </c>
      <c r="J1334" s="395">
        <v>258</v>
      </c>
      <c r="K1334" s="395">
        <v>157</v>
      </c>
      <c r="L1334" s="397">
        <v>0.60850000000000004</v>
      </c>
      <c r="M1334" s="395">
        <v>101</v>
      </c>
      <c r="N1334" s="395">
        <v>50</v>
      </c>
      <c r="O1334" s="396">
        <v>3305</v>
      </c>
      <c r="P1334" s="395">
        <v>0.66</v>
      </c>
      <c r="Q1334" s="396">
        <v>-5009</v>
      </c>
      <c r="R1334" s="396">
        <v>11550</v>
      </c>
      <c r="S1334" s="396">
        <v>-24341</v>
      </c>
      <c r="T1334" s="396">
        <v>887552</v>
      </c>
      <c r="U1334" s="396">
        <v>-1053239</v>
      </c>
      <c r="V1334" s="395">
        <v>13229</v>
      </c>
      <c r="W1334" s="395">
        <v>7379.63</v>
      </c>
      <c r="X1334" s="395">
        <v>77490</v>
      </c>
      <c r="Y1334" s="395">
        <v>22321.58</v>
      </c>
      <c r="Z1334" s="396">
        <v>7783018</v>
      </c>
      <c r="AA1334" s="396">
        <v>12975</v>
      </c>
      <c r="AB1334" s="396">
        <v>3744689</v>
      </c>
      <c r="AC1334" s="396">
        <v>10207916</v>
      </c>
    </row>
    <row r="1335" spans="1:29">
      <c r="A1335">
        <v>6697</v>
      </c>
      <c r="B1335" s="395" t="s">
        <v>8188</v>
      </c>
      <c r="C1335" s="395"/>
      <c r="D1335" s="396">
        <v>12521</v>
      </c>
      <c r="E1335" s="396">
        <v>13776</v>
      </c>
      <c r="F1335" s="395">
        <v>10.98</v>
      </c>
      <c r="G1335" s="396">
        <v>-1255</v>
      </c>
      <c r="H1335" s="396">
        <v>1929</v>
      </c>
      <c r="I1335" s="396">
        <v>279472</v>
      </c>
      <c r="J1335" s="395">
        <v>12</v>
      </c>
      <c r="K1335" s="395">
        <v>9</v>
      </c>
      <c r="L1335" s="397">
        <v>0.75</v>
      </c>
      <c r="M1335" s="395">
        <v>3</v>
      </c>
      <c r="N1335" s="396">
        <v>1043</v>
      </c>
      <c r="O1335" s="396">
        <v>1531</v>
      </c>
      <c r="P1335" s="395">
        <v>3.66</v>
      </c>
      <c r="Q1335" s="395">
        <v>-418</v>
      </c>
      <c r="R1335" s="396">
        <v>4441</v>
      </c>
      <c r="S1335" s="395">
        <v>-669</v>
      </c>
      <c r="T1335" s="396">
        <v>20963</v>
      </c>
      <c r="U1335" s="396">
        <v>-15117</v>
      </c>
      <c r="V1335" s="395">
        <v>4956.92</v>
      </c>
      <c r="W1335" s="395">
        <v>2932.44</v>
      </c>
      <c r="X1335" s="395">
        <v>73980</v>
      </c>
      <c r="Y1335" s="395">
        <v>11030.33</v>
      </c>
      <c r="Z1335" s="396">
        <v>6764094</v>
      </c>
      <c r="AA1335" s="396">
        <v>12521</v>
      </c>
      <c r="AB1335" s="396">
        <v>2149307</v>
      </c>
      <c r="AC1335" s="396">
        <v>10207916</v>
      </c>
    </row>
    <row r="1336" spans="1:29">
      <c r="A1336">
        <v>2756</v>
      </c>
      <c r="B1336" s="395" t="s">
        <v>7192</v>
      </c>
      <c r="C1336" s="395"/>
      <c r="D1336" s="396">
        <v>12432</v>
      </c>
      <c r="E1336" s="396">
        <v>34874</v>
      </c>
      <c r="F1336" s="395">
        <v>1.55</v>
      </c>
      <c r="G1336" s="396">
        <v>-22442</v>
      </c>
      <c r="H1336" s="396">
        <v>4568</v>
      </c>
      <c r="I1336" s="396">
        <v>429426</v>
      </c>
      <c r="J1336" s="395">
        <v>10</v>
      </c>
      <c r="K1336" s="395">
        <v>7</v>
      </c>
      <c r="L1336" s="397">
        <v>0.7</v>
      </c>
      <c r="M1336" s="395">
        <v>3</v>
      </c>
      <c r="N1336" s="396">
        <v>1243</v>
      </c>
      <c r="O1336" s="396">
        <v>4982</v>
      </c>
      <c r="P1336" s="395">
        <v>0.67</v>
      </c>
      <c r="Q1336" s="396">
        <v>-7481</v>
      </c>
      <c r="R1336" s="396">
        <v>9576</v>
      </c>
      <c r="S1336" s="396">
        <v>-14476</v>
      </c>
      <c r="T1336" s="396">
        <v>43485</v>
      </c>
      <c r="U1336" s="396">
        <v>-28161</v>
      </c>
      <c r="V1336" s="395">
        <v>866</v>
      </c>
      <c r="W1336" s="395">
        <v>645.71</v>
      </c>
      <c r="X1336" s="395">
        <v>9180</v>
      </c>
      <c r="Y1336" s="395">
        <v>1380</v>
      </c>
      <c r="Z1336" s="396">
        <v>-3433648</v>
      </c>
      <c r="AA1336" s="396">
        <v>12432</v>
      </c>
      <c r="AB1336" s="396">
        <v>-7379856</v>
      </c>
      <c r="AC1336" s="396">
        <v>10207916</v>
      </c>
    </row>
    <row r="1337" spans="1:29">
      <c r="A1337">
        <v>4529</v>
      </c>
      <c r="B1337" s="395" t="s">
        <v>7632</v>
      </c>
      <c r="C1337" s="395"/>
      <c r="D1337" s="396">
        <v>11895</v>
      </c>
      <c r="E1337" s="396">
        <v>67444</v>
      </c>
      <c r="F1337" s="395">
        <v>1.21</v>
      </c>
      <c r="G1337" s="396">
        <v>-55549</v>
      </c>
      <c r="H1337" s="396">
        <v>7285</v>
      </c>
      <c r="I1337" s="396">
        <v>180070</v>
      </c>
      <c r="J1337" s="395">
        <v>159</v>
      </c>
      <c r="K1337" s="395">
        <v>120</v>
      </c>
      <c r="L1337" s="397">
        <v>0.75470000000000004</v>
      </c>
      <c r="M1337" s="395">
        <v>39</v>
      </c>
      <c r="N1337" s="395">
        <v>75</v>
      </c>
      <c r="O1337" s="395">
        <v>562</v>
      </c>
      <c r="P1337" s="395">
        <v>0.39</v>
      </c>
      <c r="Q1337" s="396">
        <v>-1424</v>
      </c>
      <c r="R1337" s="396">
        <v>1511</v>
      </c>
      <c r="S1337" s="396">
        <v>-4407</v>
      </c>
      <c r="T1337" s="396">
        <v>52262</v>
      </c>
      <c r="U1337" s="396">
        <v>-32735</v>
      </c>
      <c r="V1337" s="395">
        <v>2611.91</v>
      </c>
      <c r="W1337" s="395">
        <v>1883.83</v>
      </c>
      <c r="X1337" s="395">
        <v>77490</v>
      </c>
      <c r="Y1337" s="395">
        <v>4852.1499999999996</v>
      </c>
      <c r="Z1337" s="396">
        <v>-16297571</v>
      </c>
      <c r="AA1337" s="396">
        <v>11895</v>
      </c>
      <c r="AB1337" s="396">
        <v>3346667</v>
      </c>
      <c r="AC1337" s="396">
        <v>10207916</v>
      </c>
    </row>
    <row r="1338" spans="1:29">
      <c r="A1338">
        <v>9950</v>
      </c>
      <c r="B1338" s="395" t="s">
        <v>8427</v>
      </c>
      <c r="C1338" s="395"/>
      <c r="D1338" s="396">
        <v>11568</v>
      </c>
      <c r="E1338" s="396">
        <v>13514</v>
      </c>
      <c r="F1338" s="395">
        <v>6.94</v>
      </c>
      <c r="G1338" s="396">
        <v>-1946</v>
      </c>
      <c r="H1338" s="396">
        <v>1692</v>
      </c>
      <c r="I1338" s="396">
        <v>79900</v>
      </c>
      <c r="J1338" s="395">
        <v>35</v>
      </c>
      <c r="K1338" s="395">
        <v>31</v>
      </c>
      <c r="L1338" s="397">
        <v>0.88570000000000004</v>
      </c>
      <c r="M1338" s="395">
        <v>4</v>
      </c>
      <c r="N1338" s="395">
        <v>331</v>
      </c>
      <c r="O1338" s="395">
        <v>436</v>
      </c>
      <c r="P1338" s="395">
        <v>0.9</v>
      </c>
      <c r="Q1338" s="395">
        <v>-487</v>
      </c>
      <c r="R1338" s="396">
        <v>1906</v>
      </c>
      <c r="S1338" s="395">
        <v>-900</v>
      </c>
      <c r="T1338" s="396">
        <v>15493</v>
      </c>
      <c r="U1338" s="396">
        <v>-13624</v>
      </c>
      <c r="V1338" s="395">
        <v>3743.37</v>
      </c>
      <c r="W1338" s="395">
        <v>1754.42</v>
      </c>
      <c r="X1338" s="395">
        <v>73980</v>
      </c>
      <c r="Y1338" s="395">
        <v>19157.75</v>
      </c>
      <c r="Z1338" s="396">
        <v>10592461</v>
      </c>
      <c r="AA1338" s="396">
        <v>11568</v>
      </c>
      <c r="AB1338" s="396">
        <v>9188119</v>
      </c>
      <c r="AC1338" s="396">
        <v>10207916</v>
      </c>
    </row>
    <row r="1339" spans="1:29">
      <c r="A1339">
        <v>5301</v>
      </c>
      <c r="B1339" s="395" t="s">
        <v>7798</v>
      </c>
      <c r="C1339" s="395"/>
      <c r="D1339" s="396">
        <v>11496</v>
      </c>
      <c r="E1339" s="396">
        <v>20286</v>
      </c>
      <c r="F1339" s="395">
        <v>2.31</v>
      </c>
      <c r="G1339" s="396">
        <v>-8790</v>
      </c>
      <c r="H1339" s="396">
        <v>2024</v>
      </c>
      <c r="I1339" s="396">
        <v>151385</v>
      </c>
      <c r="J1339" s="395">
        <v>49</v>
      </c>
      <c r="K1339" s="395">
        <v>37</v>
      </c>
      <c r="L1339" s="397">
        <v>0.75509999999999999</v>
      </c>
      <c r="M1339" s="395">
        <v>12</v>
      </c>
      <c r="N1339" s="395">
        <v>235</v>
      </c>
      <c r="O1339" s="395">
        <v>548</v>
      </c>
      <c r="P1339" s="395">
        <v>0.75</v>
      </c>
      <c r="Q1339" s="395">
        <v>-732</v>
      </c>
      <c r="R1339" s="396">
        <v>1792</v>
      </c>
      <c r="S1339" s="396">
        <v>-1812</v>
      </c>
      <c r="T1339" s="396">
        <v>30167</v>
      </c>
      <c r="U1339" s="396">
        <v>-19778</v>
      </c>
      <c r="V1339" s="395">
        <v>10316.51</v>
      </c>
      <c r="W1339" s="395">
        <v>5090.16</v>
      </c>
      <c r="X1339" s="395">
        <v>77490</v>
      </c>
      <c r="Y1339" s="395">
        <v>26431.08</v>
      </c>
      <c r="Z1339" s="396">
        <v>901188</v>
      </c>
      <c r="AA1339" s="396">
        <v>11496</v>
      </c>
      <c r="AB1339" s="396">
        <v>20731707</v>
      </c>
      <c r="AC1339" s="396">
        <v>10207916</v>
      </c>
    </row>
    <row r="1340" spans="1:29">
      <c r="A1340">
        <v>5209</v>
      </c>
      <c r="B1340" s="395" t="s">
        <v>7764</v>
      </c>
      <c r="C1340" s="395"/>
      <c r="D1340" s="396">
        <v>11489</v>
      </c>
      <c r="E1340" s="396">
        <v>22781</v>
      </c>
      <c r="F1340" s="395">
        <v>2.02</v>
      </c>
      <c r="G1340" s="396">
        <v>-11292</v>
      </c>
      <c r="H1340" s="396">
        <v>5711</v>
      </c>
      <c r="I1340" s="396">
        <v>608765</v>
      </c>
      <c r="J1340" s="395">
        <v>20</v>
      </c>
      <c r="K1340" s="395">
        <v>16</v>
      </c>
      <c r="L1340" s="397">
        <v>0.8</v>
      </c>
      <c r="M1340" s="395">
        <v>4</v>
      </c>
      <c r="N1340" s="395">
        <v>574</v>
      </c>
      <c r="O1340" s="396">
        <v>1424</v>
      </c>
      <c r="P1340" s="395">
        <v>0.5</v>
      </c>
      <c r="Q1340" s="396">
        <v>-2823</v>
      </c>
      <c r="R1340" s="396">
        <v>1925</v>
      </c>
      <c r="S1340" s="396">
        <v>-4727</v>
      </c>
      <c r="T1340" s="396">
        <v>23842</v>
      </c>
      <c r="U1340" s="396">
        <v>-11292</v>
      </c>
      <c r="V1340" s="395">
        <v>6902.85</v>
      </c>
      <c r="W1340" s="395">
        <v>8460.25</v>
      </c>
      <c r="X1340" s="395">
        <v>77220</v>
      </c>
      <c r="Y1340" s="395">
        <v>673.25</v>
      </c>
      <c r="Z1340" s="396">
        <v>4269698</v>
      </c>
      <c r="AA1340" s="396">
        <v>11489</v>
      </c>
      <c r="AB1340" s="396">
        <v>14221127</v>
      </c>
      <c r="AC1340" s="396">
        <v>10207916</v>
      </c>
    </row>
    <row r="1341" spans="1:29">
      <c r="A1341">
        <v>4754</v>
      </c>
      <c r="B1341" s="395" t="s">
        <v>7690</v>
      </c>
      <c r="C1341" s="395"/>
      <c r="D1341" s="396">
        <v>11121</v>
      </c>
      <c r="E1341" s="396">
        <v>11121</v>
      </c>
      <c r="F1341" s="395">
        <v>0</v>
      </c>
      <c r="G1341" s="395">
        <v>0</v>
      </c>
      <c r="H1341" s="396">
        <v>1879</v>
      </c>
      <c r="I1341" s="396">
        <v>120162</v>
      </c>
      <c r="J1341" s="395">
        <v>12</v>
      </c>
      <c r="K1341" s="395">
        <v>12</v>
      </c>
      <c r="L1341" s="397">
        <v>1</v>
      </c>
      <c r="M1341" s="395">
        <v>0</v>
      </c>
      <c r="N1341" s="395">
        <v>927</v>
      </c>
      <c r="O1341" s="395">
        <v>927</v>
      </c>
      <c r="P1341" s="395">
        <v>0</v>
      </c>
      <c r="Q1341" s="395">
        <v>0</v>
      </c>
      <c r="R1341" s="396">
        <v>1391</v>
      </c>
      <c r="S1341" s="395">
        <v>0</v>
      </c>
      <c r="T1341" s="396">
        <v>11801</v>
      </c>
      <c r="U1341" s="396">
        <v>-1521</v>
      </c>
      <c r="V1341" s="395">
        <v>1867.83</v>
      </c>
      <c r="W1341" s="395">
        <v>1867.83</v>
      </c>
      <c r="X1341" s="395">
        <v>76680</v>
      </c>
      <c r="Y1341" s="395">
        <v>0</v>
      </c>
      <c r="Z1341" s="396">
        <v>6735683</v>
      </c>
      <c r="AA1341" s="396">
        <v>11121</v>
      </c>
      <c r="AB1341" s="396">
        <v>4148731</v>
      </c>
      <c r="AC1341" s="396">
        <v>10207916</v>
      </c>
    </row>
    <row r="1342" spans="1:29">
      <c r="A1342">
        <v>5878</v>
      </c>
      <c r="B1342" s="395" t="s">
        <v>7892</v>
      </c>
      <c r="C1342" s="395"/>
      <c r="D1342" s="396">
        <v>10594</v>
      </c>
      <c r="E1342" s="396">
        <v>10594</v>
      </c>
      <c r="F1342" s="395">
        <v>0</v>
      </c>
      <c r="G1342" s="395">
        <v>0</v>
      </c>
      <c r="H1342" s="396">
        <v>3633</v>
      </c>
      <c r="I1342" s="396">
        <v>854386</v>
      </c>
      <c r="J1342" s="395">
        <v>19</v>
      </c>
      <c r="K1342" s="395">
        <v>19</v>
      </c>
      <c r="L1342" s="397">
        <v>1</v>
      </c>
      <c r="M1342" s="395">
        <v>0</v>
      </c>
      <c r="N1342" s="395">
        <v>558</v>
      </c>
      <c r="O1342" s="395">
        <v>558</v>
      </c>
      <c r="P1342" s="395">
        <v>0</v>
      </c>
      <c r="Q1342" s="395">
        <v>0</v>
      </c>
      <c r="R1342" s="396">
        <v>2026</v>
      </c>
      <c r="S1342" s="395">
        <v>0</v>
      </c>
      <c r="T1342" s="396">
        <v>19323</v>
      </c>
      <c r="U1342" s="396">
        <v>-21943</v>
      </c>
      <c r="V1342" s="395">
        <v>25027.63</v>
      </c>
      <c r="W1342" s="395">
        <v>25027.63</v>
      </c>
      <c r="X1342" s="395">
        <v>73170</v>
      </c>
      <c r="Y1342" s="395">
        <v>0</v>
      </c>
      <c r="Z1342" s="396">
        <v>3698794</v>
      </c>
      <c r="AA1342" s="396">
        <v>10594</v>
      </c>
      <c r="AB1342" s="396">
        <v>5866377</v>
      </c>
      <c r="AC1342" s="396">
        <v>10207916</v>
      </c>
    </row>
    <row r="1343" spans="1:29">
      <c r="A1343">
        <v>6109</v>
      </c>
      <c r="B1343" s="395" t="s">
        <v>7912</v>
      </c>
      <c r="C1343" s="395"/>
      <c r="D1343" s="396">
        <v>10582</v>
      </c>
      <c r="E1343" s="396">
        <v>59523</v>
      </c>
      <c r="F1343" s="395">
        <v>1.22</v>
      </c>
      <c r="G1343" s="396">
        <v>-48941</v>
      </c>
      <c r="H1343" s="396">
        <v>6518</v>
      </c>
      <c r="I1343" s="396">
        <v>323633</v>
      </c>
      <c r="J1343" s="395">
        <v>133</v>
      </c>
      <c r="K1343" s="395">
        <v>101</v>
      </c>
      <c r="L1343" s="397">
        <v>0.75939999999999996</v>
      </c>
      <c r="M1343" s="395">
        <v>32</v>
      </c>
      <c r="N1343" s="395">
        <v>80</v>
      </c>
      <c r="O1343" s="395">
        <v>589</v>
      </c>
      <c r="P1343" s="395">
        <v>0.39</v>
      </c>
      <c r="Q1343" s="396">
        <v>-1529</v>
      </c>
      <c r="R1343" s="396">
        <v>2154</v>
      </c>
      <c r="S1343" s="396">
        <v>-3413</v>
      </c>
      <c r="T1343" s="396">
        <v>51518</v>
      </c>
      <c r="U1343" s="396">
        <v>-33370</v>
      </c>
      <c r="V1343" s="395">
        <v>5356.29</v>
      </c>
      <c r="W1343" s="395">
        <v>4021.64</v>
      </c>
      <c r="X1343" s="395">
        <v>77490</v>
      </c>
      <c r="Y1343" s="395">
        <v>9568.7800000000007</v>
      </c>
      <c r="Z1343" s="396">
        <v>-21871119</v>
      </c>
      <c r="AA1343" s="396">
        <v>10582</v>
      </c>
      <c r="AB1343" s="396">
        <v>-15691120</v>
      </c>
      <c r="AC1343" s="396">
        <v>10207916</v>
      </c>
    </row>
    <row r="1344" spans="1:29">
      <c r="A1344">
        <v>2718</v>
      </c>
      <c r="B1344" s="395" t="s">
        <v>7170</v>
      </c>
      <c r="C1344" s="395"/>
      <c r="D1344" s="396">
        <v>10187</v>
      </c>
      <c r="E1344" s="396">
        <v>11257</v>
      </c>
      <c r="F1344" s="395">
        <v>10.52</v>
      </c>
      <c r="G1344" s="396">
        <v>-1070</v>
      </c>
      <c r="H1344" s="396">
        <v>1213</v>
      </c>
      <c r="I1344" s="396">
        <v>84008</v>
      </c>
      <c r="J1344" s="395">
        <v>11</v>
      </c>
      <c r="K1344" s="395">
        <v>9</v>
      </c>
      <c r="L1344" s="397">
        <v>0.81820000000000004</v>
      </c>
      <c r="M1344" s="395">
        <v>2</v>
      </c>
      <c r="N1344" s="395">
        <v>926</v>
      </c>
      <c r="O1344" s="396">
        <v>1251</v>
      </c>
      <c r="P1344" s="395">
        <v>2.34</v>
      </c>
      <c r="Q1344" s="395">
        <v>-535</v>
      </c>
      <c r="R1344" s="396">
        <v>3584</v>
      </c>
      <c r="S1344" s="395">
        <v>-925</v>
      </c>
      <c r="T1344" s="396">
        <v>16219</v>
      </c>
      <c r="U1344" s="396">
        <v>-11324</v>
      </c>
      <c r="V1344" s="395">
        <v>7123.82</v>
      </c>
      <c r="W1344" s="395">
        <v>4976.67</v>
      </c>
      <c r="X1344" s="395">
        <v>65340</v>
      </c>
      <c r="Y1344" s="395">
        <v>16786</v>
      </c>
      <c r="Z1344" s="396">
        <v>7474983</v>
      </c>
      <c r="AA1344" s="396">
        <v>10187</v>
      </c>
      <c r="AB1344" s="396">
        <v>28459459</v>
      </c>
      <c r="AC1344" s="396">
        <v>10207916</v>
      </c>
    </row>
    <row r="1345" spans="1:29">
      <c r="A1345">
        <v>1799</v>
      </c>
      <c r="B1345" s="395" t="s">
        <v>6889</v>
      </c>
      <c r="C1345" s="395"/>
      <c r="D1345" s="396">
        <v>9813</v>
      </c>
      <c r="E1345" s="396">
        <v>43596</v>
      </c>
      <c r="F1345" s="395">
        <v>1.29</v>
      </c>
      <c r="G1345" s="396">
        <v>-33783</v>
      </c>
      <c r="H1345" s="396">
        <v>7887</v>
      </c>
      <c r="I1345" s="396">
        <v>851580</v>
      </c>
      <c r="J1345" s="395">
        <v>121</v>
      </c>
      <c r="K1345" s="395">
        <v>88</v>
      </c>
      <c r="L1345" s="397">
        <v>0.72729999999999995</v>
      </c>
      <c r="M1345" s="395">
        <v>33</v>
      </c>
      <c r="N1345" s="395">
        <v>81</v>
      </c>
      <c r="O1345" s="395">
        <v>495</v>
      </c>
      <c r="P1345" s="395">
        <v>0.48</v>
      </c>
      <c r="Q1345" s="396">
        <v>-1024</v>
      </c>
      <c r="R1345" s="396">
        <v>1187</v>
      </c>
      <c r="S1345" s="396">
        <v>-3573</v>
      </c>
      <c r="T1345" s="396">
        <v>72007</v>
      </c>
      <c r="U1345" s="396">
        <v>-60730</v>
      </c>
      <c r="V1345" s="395">
        <v>10427.08</v>
      </c>
      <c r="W1345" s="395">
        <v>7486.55</v>
      </c>
      <c r="X1345" s="395">
        <v>77490</v>
      </c>
      <c r="Y1345" s="395">
        <v>18268.52</v>
      </c>
      <c r="Z1345" s="396">
        <v>-12156219</v>
      </c>
      <c r="AA1345" s="396">
        <v>9813</v>
      </c>
      <c r="AB1345" s="396">
        <v>-8881159</v>
      </c>
      <c r="AC1345" s="396">
        <v>10207916</v>
      </c>
    </row>
    <row r="1346" spans="1:29">
      <c r="A1346">
        <v>5340</v>
      </c>
      <c r="B1346" s="395" t="s">
        <v>7809</v>
      </c>
      <c r="C1346" s="395"/>
      <c r="D1346" s="396">
        <v>9783</v>
      </c>
      <c r="E1346" s="396">
        <v>272504</v>
      </c>
      <c r="F1346" s="395">
        <v>1.04</v>
      </c>
      <c r="G1346" s="396">
        <v>-262721</v>
      </c>
      <c r="H1346" s="396">
        <v>32367</v>
      </c>
      <c r="I1346" s="396">
        <v>1353613</v>
      </c>
      <c r="J1346" s="395">
        <v>212</v>
      </c>
      <c r="K1346" s="395">
        <v>133</v>
      </c>
      <c r="L1346" s="397">
        <v>0.62739999999999996</v>
      </c>
      <c r="M1346" s="395">
        <v>79</v>
      </c>
      <c r="N1346" s="395">
        <v>46</v>
      </c>
      <c r="O1346" s="396">
        <v>2049</v>
      </c>
      <c r="P1346" s="395">
        <v>0.62</v>
      </c>
      <c r="Q1346" s="396">
        <v>-3326</v>
      </c>
      <c r="R1346" s="396">
        <v>8992</v>
      </c>
      <c r="S1346" s="396">
        <v>-10312</v>
      </c>
      <c r="T1346" s="396">
        <v>289960</v>
      </c>
      <c r="U1346" s="396">
        <v>-190380</v>
      </c>
      <c r="V1346" s="395">
        <v>4366.24</v>
      </c>
      <c r="W1346" s="395">
        <v>2120.56</v>
      </c>
      <c r="X1346" s="395">
        <v>77490</v>
      </c>
      <c r="Y1346" s="395">
        <v>8146.94</v>
      </c>
      <c r="Z1346" s="396">
        <v>-21424467</v>
      </c>
      <c r="AA1346" s="396">
        <v>9783</v>
      </c>
      <c r="AB1346" s="396">
        <v>-6014905</v>
      </c>
      <c r="AC1346" s="396">
        <v>10207916</v>
      </c>
    </row>
    <row r="1347" spans="1:29">
      <c r="A1347">
        <v>7402</v>
      </c>
      <c r="B1347" s="395" t="s">
        <v>8223</v>
      </c>
      <c r="C1347" s="395"/>
      <c r="D1347" s="396">
        <v>9108</v>
      </c>
      <c r="E1347" s="396">
        <v>20131</v>
      </c>
      <c r="F1347" s="395">
        <v>1.83</v>
      </c>
      <c r="G1347" s="396">
        <v>-11023</v>
      </c>
      <c r="H1347" s="396">
        <v>4742</v>
      </c>
      <c r="I1347" s="396">
        <v>572951</v>
      </c>
      <c r="J1347" s="395">
        <v>27</v>
      </c>
      <c r="K1347" s="395">
        <v>17</v>
      </c>
      <c r="L1347" s="397">
        <v>0.62960000000000005</v>
      </c>
      <c r="M1347" s="395">
        <v>10</v>
      </c>
      <c r="N1347" s="395">
        <v>337</v>
      </c>
      <c r="O1347" s="396">
        <v>1184</v>
      </c>
      <c r="P1347" s="395">
        <v>1.07</v>
      </c>
      <c r="Q1347" s="396">
        <v>-1102</v>
      </c>
      <c r="R1347" s="396">
        <v>4369</v>
      </c>
      <c r="S1347" s="396">
        <v>-2198</v>
      </c>
      <c r="T1347" s="396">
        <v>44310</v>
      </c>
      <c r="U1347" s="396">
        <v>-35750</v>
      </c>
      <c r="V1347" s="395">
        <v>5772.11</v>
      </c>
      <c r="W1347" s="395">
        <v>2072.4699999999998</v>
      </c>
      <c r="X1347" s="395">
        <v>73440</v>
      </c>
      <c r="Y1347" s="395">
        <v>12061.5</v>
      </c>
      <c r="Z1347" s="396">
        <v>6223732</v>
      </c>
      <c r="AA1347" s="396">
        <v>9108</v>
      </c>
      <c r="AB1347" s="396">
        <v>36427424</v>
      </c>
      <c r="AC1347" s="396">
        <v>10207916</v>
      </c>
    </row>
    <row r="1348" spans="1:29">
      <c r="A1348">
        <v>4911</v>
      </c>
      <c r="B1348" s="395" t="s">
        <v>7708</v>
      </c>
      <c r="C1348" s="395"/>
      <c r="D1348" s="396">
        <v>8536</v>
      </c>
      <c r="E1348" s="396">
        <v>19473</v>
      </c>
      <c r="F1348" s="395">
        <v>1.78</v>
      </c>
      <c r="G1348" s="396">
        <v>-10937</v>
      </c>
      <c r="H1348" s="396">
        <v>2814</v>
      </c>
      <c r="I1348" s="396">
        <v>195319</v>
      </c>
      <c r="J1348" s="395">
        <v>26</v>
      </c>
      <c r="K1348" s="395">
        <v>17</v>
      </c>
      <c r="L1348" s="397">
        <v>0.65380000000000005</v>
      </c>
      <c r="M1348" s="395">
        <v>9</v>
      </c>
      <c r="N1348" s="395">
        <v>328</v>
      </c>
      <c r="O1348" s="396">
        <v>1145</v>
      </c>
      <c r="P1348" s="395">
        <v>0.94</v>
      </c>
      <c r="Q1348" s="396">
        <v>-1215</v>
      </c>
      <c r="R1348" s="396">
        <v>2303</v>
      </c>
      <c r="S1348" s="396">
        <v>-2520</v>
      </c>
      <c r="T1348" s="396">
        <v>22169</v>
      </c>
      <c r="U1348" s="396">
        <v>-9100</v>
      </c>
      <c r="V1348" s="395">
        <v>5628.92</v>
      </c>
      <c r="W1348" s="395">
        <v>2982.24</v>
      </c>
      <c r="X1348" s="395">
        <v>77490</v>
      </c>
      <c r="Y1348" s="395">
        <v>10628.22</v>
      </c>
      <c r="Z1348" s="396">
        <v>-4501359</v>
      </c>
      <c r="AA1348" s="396">
        <v>8536</v>
      </c>
      <c r="AB1348" s="396">
        <v>-10820700</v>
      </c>
      <c r="AC1348" s="396">
        <v>10207916</v>
      </c>
    </row>
    <row r="1349" spans="1:29">
      <c r="A1349">
        <v>5364</v>
      </c>
      <c r="B1349" s="395" t="s">
        <v>7818</v>
      </c>
      <c r="C1349" s="395"/>
      <c r="D1349" s="396">
        <v>8451</v>
      </c>
      <c r="E1349" s="396">
        <v>12915</v>
      </c>
      <c r="F1349" s="395">
        <v>2.89</v>
      </c>
      <c r="G1349" s="396">
        <v>-4464</v>
      </c>
      <c r="H1349" s="395">
        <v>849</v>
      </c>
      <c r="I1349" s="396">
        <v>112149</v>
      </c>
      <c r="J1349" s="395">
        <v>11</v>
      </c>
      <c r="K1349" s="395">
        <v>9</v>
      </c>
      <c r="L1349" s="397">
        <v>0.81820000000000004</v>
      </c>
      <c r="M1349" s="395">
        <v>2</v>
      </c>
      <c r="N1349" s="395">
        <v>768</v>
      </c>
      <c r="O1349" s="396">
        <v>1435</v>
      </c>
      <c r="P1349" s="395">
        <v>0.64</v>
      </c>
      <c r="Q1349" s="396">
        <v>-2232</v>
      </c>
      <c r="R1349" s="396">
        <v>3623</v>
      </c>
      <c r="S1349" s="396">
        <v>-3335</v>
      </c>
      <c r="T1349" s="396">
        <v>16856</v>
      </c>
      <c r="U1349" s="396">
        <v>-8672</v>
      </c>
      <c r="V1349" s="395">
        <v>6236.09</v>
      </c>
      <c r="W1349" s="395">
        <v>3645</v>
      </c>
      <c r="X1349" s="395">
        <v>68310</v>
      </c>
      <c r="Y1349" s="395">
        <v>17896</v>
      </c>
      <c r="Z1349" s="396">
        <v>-3367224</v>
      </c>
      <c r="AA1349" s="396">
        <v>8451</v>
      </c>
      <c r="AB1349" s="396">
        <v>4805158</v>
      </c>
      <c r="AC1349" s="396">
        <v>10207916</v>
      </c>
    </row>
    <row r="1350" spans="1:29">
      <c r="A1350">
        <v>2516</v>
      </c>
      <c r="B1350" s="395" t="s">
        <v>7117</v>
      </c>
      <c r="C1350" s="395"/>
      <c r="D1350" s="396">
        <v>7975</v>
      </c>
      <c r="E1350" s="396">
        <v>25812</v>
      </c>
      <c r="F1350" s="395">
        <v>1.45</v>
      </c>
      <c r="G1350" s="396">
        <v>-17837</v>
      </c>
      <c r="H1350" s="396">
        <v>4115</v>
      </c>
      <c r="I1350" s="396">
        <v>279722</v>
      </c>
      <c r="J1350" s="395">
        <v>175</v>
      </c>
      <c r="K1350" s="395">
        <v>120</v>
      </c>
      <c r="L1350" s="397">
        <v>0.68569999999999998</v>
      </c>
      <c r="M1350" s="395">
        <v>55</v>
      </c>
      <c r="N1350" s="395">
        <v>46</v>
      </c>
      <c r="O1350" s="395">
        <v>215</v>
      </c>
      <c r="P1350" s="395">
        <v>0.66</v>
      </c>
      <c r="Q1350" s="395">
        <v>-324</v>
      </c>
      <c r="R1350" s="395">
        <v>908</v>
      </c>
      <c r="S1350" s="396">
        <v>-1146</v>
      </c>
      <c r="T1350" s="396">
        <v>26406</v>
      </c>
      <c r="U1350" s="396">
        <v>-14095</v>
      </c>
      <c r="V1350" s="395">
        <v>7160.15</v>
      </c>
      <c r="W1350" s="395">
        <v>5199.72</v>
      </c>
      <c r="X1350" s="395">
        <v>77490</v>
      </c>
      <c r="Y1350" s="395">
        <v>11437.45</v>
      </c>
      <c r="Z1350" s="396">
        <v>-7465083</v>
      </c>
      <c r="AA1350" s="396">
        <v>7975</v>
      </c>
      <c r="AB1350" s="396">
        <v>4877358</v>
      </c>
      <c r="AC1350" s="396">
        <v>10207916</v>
      </c>
    </row>
    <row r="1351" spans="1:29">
      <c r="A1351">
        <v>6164</v>
      </c>
      <c r="B1351" s="395" t="s">
        <v>7956</v>
      </c>
      <c r="C1351" s="395"/>
      <c r="D1351" s="396">
        <v>7724</v>
      </c>
      <c r="E1351" s="396">
        <v>116836</v>
      </c>
      <c r="F1351" s="395">
        <v>1.07</v>
      </c>
      <c r="G1351" s="396">
        <v>-109112</v>
      </c>
      <c r="H1351" s="396">
        <v>14556</v>
      </c>
      <c r="I1351" s="396">
        <v>527705</v>
      </c>
      <c r="J1351" s="395">
        <v>267</v>
      </c>
      <c r="K1351" s="395">
        <v>191</v>
      </c>
      <c r="L1351" s="397">
        <v>0.71540000000000004</v>
      </c>
      <c r="M1351" s="395">
        <v>76</v>
      </c>
      <c r="N1351" s="395">
        <v>29</v>
      </c>
      <c r="O1351" s="395">
        <v>612</v>
      </c>
      <c r="P1351" s="395">
        <v>0.43</v>
      </c>
      <c r="Q1351" s="396">
        <v>-1436</v>
      </c>
      <c r="R1351" s="396">
        <v>2487</v>
      </c>
      <c r="S1351" s="396">
        <v>-4110</v>
      </c>
      <c r="T1351" s="396">
        <v>92736</v>
      </c>
      <c r="U1351" s="396">
        <v>-85010</v>
      </c>
      <c r="V1351" s="395">
        <v>2560.19</v>
      </c>
      <c r="W1351" s="395">
        <v>1335.85</v>
      </c>
      <c r="X1351" s="395">
        <v>77490</v>
      </c>
      <c r="Y1351" s="395">
        <v>5637.14</v>
      </c>
      <c r="Z1351" s="396">
        <v>-20368811</v>
      </c>
      <c r="AA1351" s="396">
        <v>7724</v>
      </c>
      <c r="AB1351" s="396">
        <v>3138075</v>
      </c>
      <c r="AC1351" s="396">
        <v>10207916</v>
      </c>
    </row>
    <row r="1352" spans="1:29">
      <c r="A1352">
        <v>6226</v>
      </c>
      <c r="B1352" s="395" t="s">
        <v>8012</v>
      </c>
      <c r="C1352" s="395"/>
      <c r="D1352" s="396">
        <v>7634</v>
      </c>
      <c r="E1352" s="396">
        <v>96768</v>
      </c>
      <c r="F1352" s="395">
        <v>1.0900000000000001</v>
      </c>
      <c r="G1352" s="396">
        <v>-89134</v>
      </c>
      <c r="H1352" s="396">
        <v>13716</v>
      </c>
      <c r="I1352" s="396">
        <v>496217</v>
      </c>
      <c r="J1352" s="395">
        <v>270</v>
      </c>
      <c r="K1352" s="395">
        <v>190</v>
      </c>
      <c r="L1352" s="397">
        <v>0.70369999999999999</v>
      </c>
      <c r="M1352" s="395">
        <v>79</v>
      </c>
      <c r="N1352" s="395">
        <v>28</v>
      </c>
      <c r="O1352" s="395">
        <v>509</v>
      </c>
      <c r="P1352" s="395">
        <v>0.45</v>
      </c>
      <c r="Q1352" s="396">
        <v>-1128</v>
      </c>
      <c r="R1352" s="396">
        <v>2055</v>
      </c>
      <c r="S1352" s="396">
        <v>-4209</v>
      </c>
      <c r="T1352" s="396">
        <v>99045</v>
      </c>
      <c r="U1352" s="396">
        <v>-83345</v>
      </c>
      <c r="V1352" s="395">
        <v>2655.42</v>
      </c>
      <c r="W1352" s="395">
        <v>1448.72</v>
      </c>
      <c r="X1352" s="395">
        <v>77490</v>
      </c>
      <c r="Y1352" s="395">
        <v>5481.92</v>
      </c>
      <c r="Z1352" s="396">
        <v>-2734862</v>
      </c>
      <c r="AA1352" s="396">
        <v>7634</v>
      </c>
      <c r="AB1352" s="396">
        <v>7286364</v>
      </c>
      <c r="AC1352" s="396">
        <v>10207916</v>
      </c>
    </row>
    <row r="1353" spans="1:29">
      <c r="A1353">
        <v>4413</v>
      </c>
      <c r="B1353" s="395" t="s">
        <v>7609</v>
      </c>
      <c r="C1353" s="395"/>
      <c r="D1353" s="396">
        <v>6904</v>
      </c>
      <c r="E1353" s="396">
        <v>9825</v>
      </c>
      <c r="F1353" s="395">
        <v>3.36</v>
      </c>
      <c r="G1353" s="396">
        <v>-2921</v>
      </c>
      <c r="H1353" s="395">
        <v>996</v>
      </c>
      <c r="I1353" s="396">
        <v>68610</v>
      </c>
      <c r="J1353" s="395">
        <v>19</v>
      </c>
      <c r="K1353" s="395">
        <v>16</v>
      </c>
      <c r="L1353" s="397">
        <v>0.84209999999999996</v>
      </c>
      <c r="M1353" s="395">
        <v>3</v>
      </c>
      <c r="N1353" s="395">
        <v>363</v>
      </c>
      <c r="O1353" s="395">
        <v>614</v>
      </c>
      <c r="P1353" s="395">
        <v>0.63</v>
      </c>
      <c r="Q1353" s="395">
        <v>-974</v>
      </c>
      <c r="R1353" s="396">
        <v>1245</v>
      </c>
      <c r="S1353" s="396">
        <v>-2262</v>
      </c>
      <c r="T1353" s="396">
        <v>9676</v>
      </c>
      <c r="U1353" s="396">
        <v>-3912</v>
      </c>
      <c r="V1353" s="395">
        <v>1879.79</v>
      </c>
      <c r="W1353" s="395">
        <v>1194.19</v>
      </c>
      <c r="X1353" s="395">
        <v>77490</v>
      </c>
      <c r="Y1353" s="395">
        <v>5536.33</v>
      </c>
      <c r="Z1353" s="396">
        <v>-4493348</v>
      </c>
      <c r="AA1353" s="396">
        <v>6904</v>
      </c>
      <c r="AB1353" s="396">
        <v>-11626263</v>
      </c>
      <c r="AC1353" s="396">
        <v>10207916</v>
      </c>
    </row>
    <row r="1354" spans="1:29">
      <c r="A1354">
        <v>3383</v>
      </c>
      <c r="B1354" s="395" t="s">
        <v>7412</v>
      </c>
      <c r="C1354" s="395"/>
      <c r="D1354" s="396">
        <v>6804</v>
      </c>
      <c r="E1354" s="396">
        <v>7074</v>
      </c>
      <c r="F1354" s="395">
        <v>26.2</v>
      </c>
      <c r="G1354" s="395">
        <v>-270</v>
      </c>
      <c r="H1354" s="395">
        <v>336</v>
      </c>
      <c r="I1354" s="396">
        <v>45794</v>
      </c>
      <c r="J1354" s="395">
        <v>12</v>
      </c>
      <c r="K1354" s="395">
        <v>10</v>
      </c>
      <c r="L1354" s="397">
        <v>0.83330000000000004</v>
      </c>
      <c r="M1354" s="395">
        <v>2</v>
      </c>
      <c r="N1354" s="395">
        <v>567</v>
      </c>
      <c r="O1354" s="395">
        <v>707</v>
      </c>
      <c r="P1354" s="395">
        <v>5.24</v>
      </c>
      <c r="Q1354" s="395">
        <v>-135</v>
      </c>
      <c r="R1354" s="396">
        <v>1528</v>
      </c>
      <c r="S1354" s="395">
        <v>-236</v>
      </c>
      <c r="T1354" s="396">
        <v>13381</v>
      </c>
      <c r="U1354" s="396">
        <v>-7733</v>
      </c>
      <c r="V1354" s="395">
        <v>2413.75</v>
      </c>
      <c r="W1354" s="395">
        <v>2038.3</v>
      </c>
      <c r="X1354" s="395">
        <v>76680</v>
      </c>
      <c r="Y1354" s="395">
        <v>4291</v>
      </c>
      <c r="Z1354" s="396">
        <v>7568750</v>
      </c>
      <c r="AA1354" s="396">
        <v>6804</v>
      </c>
      <c r="AB1354" s="396">
        <v>36069588</v>
      </c>
      <c r="AC1354" s="396">
        <v>10207916</v>
      </c>
    </row>
    <row r="1355" spans="1:29">
      <c r="A1355">
        <v>3128</v>
      </c>
      <c r="B1355" s="395" t="s">
        <v>7321</v>
      </c>
      <c r="C1355" s="395"/>
      <c r="D1355" s="396">
        <v>6701</v>
      </c>
      <c r="E1355" s="396">
        <v>146059</v>
      </c>
      <c r="F1355" s="395">
        <v>1.05</v>
      </c>
      <c r="G1355" s="396">
        <v>-139359</v>
      </c>
      <c r="H1355" s="396">
        <v>19983</v>
      </c>
      <c r="I1355" s="396">
        <v>725274</v>
      </c>
      <c r="J1355" s="395">
        <v>248</v>
      </c>
      <c r="K1355" s="395">
        <v>191</v>
      </c>
      <c r="L1355" s="397">
        <v>0.7702</v>
      </c>
      <c r="M1355" s="395">
        <v>57</v>
      </c>
      <c r="N1355" s="395">
        <v>27</v>
      </c>
      <c r="O1355" s="395">
        <v>765</v>
      </c>
      <c r="P1355" s="395">
        <v>0.31</v>
      </c>
      <c r="Q1355" s="396">
        <v>-2445</v>
      </c>
      <c r="R1355" s="396">
        <v>3682</v>
      </c>
      <c r="S1355" s="396">
        <v>-9394</v>
      </c>
      <c r="T1355" s="396">
        <v>142309</v>
      </c>
      <c r="U1355" s="396">
        <v>-152785</v>
      </c>
      <c r="V1355" s="395">
        <v>2490.8200000000002</v>
      </c>
      <c r="W1355" s="395">
        <v>1275.29</v>
      </c>
      <c r="X1355" s="395">
        <v>77490</v>
      </c>
      <c r="Y1355" s="395">
        <v>6563.91</v>
      </c>
      <c r="Z1355" s="396">
        <v>3231923</v>
      </c>
      <c r="AA1355" s="396">
        <v>6701</v>
      </c>
      <c r="AB1355" s="396">
        <v>9580721</v>
      </c>
      <c r="AC1355" s="396">
        <v>10207916</v>
      </c>
    </row>
    <row r="1356" spans="1:29">
      <c r="A1356">
        <v>3564</v>
      </c>
      <c r="B1356" s="395" t="s">
        <v>7481</v>
      </c>
      <c r="C1356" s="395"/>
      <c r="D1356" s="396">
        <v>6576</v>
      </c>
      <c r="E1356" s="396">
        <v>71567</v>
      </c>
      <c r="F1356" s="395">
        <v>1.1000000000000001</v>
      </c>
      <c r="G1356" s="396">
        <v>-64991</v>
      </c>
      <c r="H1356" s="396">
        <v>10424</v>
      </c>
      <c r="I1356" s="396">
        <v>520421</v>
      </c>
      <c r="J1356" s="395">
        <v>93</v>
      </c>
      <c r="K1356" s="395">
        <v>62</v>
      </c>
      <c r="L1356" s="397">
        <v>0.66669999999999996</v>
      </c>
      <c r="M1356" s="395">
        <v>31</v>
      </c>
      <c r="N1356" s="395">
        <v>71</v>
      </c>
      <c r="O1356" s="396">
        <v>1154</v>
      </c>
      <c r="P1356" s="395">
        <v>0.55000000000000004</v>
      </c>
      <c r="Q1356" s="396">
        <v>-2096</v>
      </c>
      <c r="R1356" s="396">
        <v>3213</v>
      </c>
      <c r="S1356" s="396">
        <v>-6814</v>
      </c>
      <c r="T1356" s="396">
        <v>65943</v>
      </c>
      <c r="U1356" s="396">
        <v>-64353</v>
      </c>
      <c r="V1356" s="395">
        <v>3464.6</v>
      </c>
      <c r="W1356" s="395">
        <v>2240.11</v>
      </c>
      <c r="X1356" s="395">
        <v>76410</v>
      </c>
      <c r="Y1356" s="395">
        <v>5913.58</v>
      </c>
      <c r="Z1356" s="396">
        <v>-9310364</v>
      </c>
      <c r="AA1356" s="396">
        <v>6576</v>
      </c>
      <c r="AB1356" s="396">
        <v>2555371</v>
      </c>
      <c r="AC1356" s="396">
        <v>10207916</v>
      </c>
    </row>
    <row r="1357" spans="1:29">
      <c r="A1357">
        <v>3073</v>
      </c>
      <c r="B1357" s="395" t="s">
        <v>7303</v>
      </c>
      <c r="C1357" s="395"/>
      <c r="D1357" s="396">
        <v>6403</v>
      </c>
      <c r="E1357" s="396">
        <v>6806</v>
      </c>
      <c r="F1357" s="395">
        <v>16.89</v>
      </c>
      <c r="G1357" s="395">
        <v>-403</v>
      </c>
      <c r="H1357" s="395">
        <v>947</v>
      </c>
      <c r="I1357" s="396">
        <v>154558</v>
      </c>
      <c r="J1357" s="395">
        <v>9</v>
      </c>
      <c r="K1357" s="395">
        <v>8</v>
      </c>
      <c r="L1357" s="397">
        <v>0.88890000000000002</v>
      </c>
      <c r="M1357" s="395">
        <v>1</v>
      </c>
      <c r="N1357" s="395">
        <v>711</v>
      </c>
      <c r="O1357" s="395">
        <v>851</v>
      </c>
      <c r="P1357" s="395">
        <v>2.11</v>
      </c>
      <c r="Q1357" s="395">
        <v>-403</v>
      </c>
      <c r="R1357" s="396">
        <v>3098</v>
      </c>
      <c r="S1357" s="395">
        <v>-403</v>
      </c>
      <c r="T1357" s="396">
        <v>14428</v>
      </c>
      <c r="U1357" s="396">
        <v>-10661</v>
      </c>
      <c r="V1357" s="395">
        <v>5859.56</v>
      </c>
      <c r="W1357" s="395">
        <v>6327.37</v>
      </c>
      <c r="X1357" s="395">
        <v>61560</v>
      </c>
      <c r="Y1357" s="395">
        <v>2117</v>
      </c>
      <c r="Z1357" s="396">
        <v>4239535</v>
      </c>
      <c r="AA1357" s="396">
        <v>6403</v>
      </c>
      <c r="AB1357" s="396">
        <v>18892019</v>
      </c>
      <c r="AC1357" s="396">
        <v>10207916</v>
      </c>
    </row>
    <row r="1358" spans="1:29">
      <c r="A1358">
        <v>5324</v>
      </c>
      <c r="B1358" s="395" t="s">
        <v>7807</v>
      </c>
      <c r="C1358" s="395"/>
      <c r="D1358" s="396">
        <v>6327</v>
      </c>
      <c r="E1358" s="396">
        <v>16421</v>
      </c>
      <c r="F1358" s="395">
        <v>1.63</v>
      </c>
      <c r="G1358" s="396">
        <v>-10094</v>
      </c>
      <c r="H1358" s="396">
        <v>2283</v>
      </c>
      <c r="I1358" s="396">
        <v>336193</v>
      </c>
      <c r="J1358" s="395">
        <v>57</v>
      </c>
      <c r="K1358" s="395">
        <v>31</v>
      </c>
      <c r="L1358" s="397">
        <v>0.54390000000000005</v>
      </c>
      <c r="M1358" s="395">
        <v>26</v>
      </c>
      <c r="N1358" s="395">
        <v>111</v>
      </c>
      <c r="O1358" s="395">
        <v>530</v>
      </c>
      <c r="P1358" s="395">
        <v>1.37</v>
      </c>
      <c r="Q1358" s="395">
        <v>-388</v>
      </c>
      <c r="R1358" s="396">
        <v>1261</v>
      </c>
      <c r="S1358" s="396">
        <v>-1194</v>
      </c>
      <c r="T1358" s="396">
        <v>35459</v>
      </c>
      <c r="U1358" s="396">
        <v>-25278</v>
      </c>
      <c r="V1358" s="395">
        <v>15724.95</v>
      </c>
      <c r="W1358" s="395">
        <v>13628.97</v>
      </c>
      <c r="X1358" s="395">
        <v>77490</v>
      </c>
      <c r="Y1358" s="395">
        <v>18224</v>
      </c>
      <c r="Z1358" s="396">
        <v>-5850036</v>
      </c>
      <c r="AA1358" s="396">
        <v>6327</v>
      </c>
      <c r="AB1358" s="396">
        <v>-9171806</v>
      </c>
      <c r="AC1358" s="396">
        <v>10207916</v>
      </c>
    </row>
    <row r="1359" spans="1:29">
      <c r="A1359">
        <v>6152</v>
      </c>
      <c r="B1359" s="395" t="s">
        <v>7947</v>
      </c>
      <c r="C1359" s="395"/>
      <c r="D1359" s="396">
        <v>6148</v>
      </c>
      <c r="E1359" s="396">
        <v>89736</v>
      </c>
      <c r="F1359" s="395">
        <v>1.07</v>
      </c>
      <c r="G1359" s="396">
        <v>-83588</v>
      </c>
      <c r="H1359" s="396">
        <v>8072</v>
      </c>
      <c r="I1359" s="396">
        <v>832969</v>
      </c>
      <c r="J1359" s="395">
        <v>192</v>
      </c>
      <c r="K1359" s="395">
        <v>111</v>
      </c>
      <c r="L1359" s="397">
        <v>0.57809999999999995</v>
      </c>
      <c r="M1359" s="395">
        <v>81</v>
      </c>
      <c r="N1359" s="395">
        <v>32</v>
      </c>
      <c r="O1359" s="395">
        <v>808</v>
      </c>
      <c r="P1359" s="395">
        <v>0.78</v>
      </c>
      <c r="Q1359" s="396">
        <v>-1032</v>
      </c>
      <c r="R1359" s="396">
        <v>2094</v>
      </c>
      <c r="S1359" s="396">
        <v>-3485</v>
      </c>
      <c r="T1359" s="396">
        <v>165476</v>
      </c>
      <c r="U1359" s="396">
        <v>-139823</v>
      </c>
      <c r="V1359" s="395">
        <v>11075.77</v>
      </c>
      <c r="W1359" s="395">
        <v>5490.68</v>
      </c>
      <c r="X1359" s="395">
        <v>77490</v>
      </c>
      <c r="Y1359" s="395">
        <v>18729.41</v>
      </c>
      <c r="Z1359" s="396">
        <v>-16809521</v>
      </c>
      <c r="AA1359" s="396">
        <v>6148</v>
      </c>
      <c r="AB1359" s="396">
        <v>-15952727</v>
      </c>
      <c r="AC1359" s="396">
        <v>10207916</v>
      </c>
    </row>
    <row r="1360" spans="1:29">
      <c r="A1360">
        <v>3494</v>
      </c>
      <c r="B1360" s="395" t="s">
        <v>7441</v>
      </c>
      <c r="C1360" s="395"/>
      <c r="D1360" s="396">
        <v>6140</v>
      </c>
      <c r="E1360" s="396">
        <v>12766</v>
      </c>
      <c r="F1360" s="395">
        <v>1.93</v>
      </c>
      <c r="G1360" s="396">
        <v>-6626</v>
      </c>
      <c r="H1360" s="396">
        <v>1390</v>
      </c>
      <c r="I1360" s="396">
        <v>79100</v>
      </c>
      <c r="J1360" s="395">
        <v>81</v>
      </c>
      <c r="K1360" s="395">
        <v>62</v>
      </c>
      <c r="L1360" s="397">
        <v>0.76539999999999997</v>
      </c>
      <c r="M1360" s="395">
        <v>18</v>
      </c>
      <c r="N1360" s="395">
        <v>76</v>
      </c>
      <c r="O1360" s="395">
        <v>206</v>
      </c>
      <c r="P1360" s="395">
        <v>0.56000000000000005</v>
      </c>
      <c r="Q1360" s="395">
        <v>-368</v>
      </c>
      <c r="R1360" s="395">
        <v>437</v>
      </c>
      <c r="S1360" s="396">
        <v>-1487</v>
      </c>
      <c r="T1360" s="396">
        <v>13482</v>
      </c>
      <c r="U1360" s="396">
        <v>-7298</v>
      </c>
      <c r="V1360" s="395">
        <v>3298.65</v>
      </c>
      <c r="W1360" s="395">
        <v>2573.71</v>
      </c>
      <c r="X1360" s="395">
        <v>75600</v>
      </c>
      <c r="Y1360" s="395">
        <v>5951.5</v>
      </c>
      <c r="Z1360" s="396">
        <v>-20496901</v>
      </c>
      <c r="AA1360" s="396">
        <v>6140</v>
      </c>
      <c r="AB1360" s="396">
        <v>-20237053</v>
      </c>
      <c r="AC1360" s="396">
        <v>10207916</v>
      </c>
    </row>
    <row r="1361" spans="1:29">
      <c r="A1361">
        <v>2939</v>
      </c>
      <c r="B1361" s="395" t="s">
        <v>7242</v>
      </c>
      <c r="C1361" s="395"/>
      <c r="D1361" s="396">
        <v>5977</v>
      </c>
      <c r="E1361" s="396">
        <v>211350</v>
      </c>
      <c r="F1361" s="395">
        <v>1.03</v>
      </c>
      <c r="G1361" s="396">
        <v>-205373</v>
      </c>
      <c r="H1361" s="396">
        <v>20913</v>
      </c>
      <c r="I1361" s="396">
        <v>679558</v>
      </c>
      <c r="J1361" s="395">
        <v>156</v>
      </c>
      <c r="K1361" s="395">
        <v>102</v>
      </c>
      <c r="L1361" s="397">
        <v>0.65380000000000005</v>
      </c>
      <c r="M1361" s="395">
        <v>54</v>
      </c>
      <c r="N1361" s="395">
        <v>38</v>
      </c>
      <c r="O1361" s="396">
        <v>2072</v>
      </c>
      <c r="P1361" s="395">
        <v>0.54</v>
      </c>
      <c r="Q1361" s="396">
        <v>-3803</v>
      </c>
      <c r="R1361" s="396">
        <v>5670</v>
      </c>
      <c r="S1361" s="396">
        <v>-13925</v>
      </c>
      <c r="T1361" s="396">
        <v>175135</v>
      </c>
      <c r="U1361" s="396">
        <v>-158368</v>
      </c>
      <c r="V1361" s="395">
        <v>3295.82</v>
      </c>
      <c r="W1361" s="395">
        <v>1958.3</v>
      </c>
      <c r="X1361" s="395">
        <v>77220</v>
      </c>
      <c r="Y1361" s="395">
        <v>5822.24</v>
      </c>
      <c r="Z1361" s="396">
        <v>-12872253</v>
      </c>
      <c r="AA1361" s="396">
        <v>5977</v>
      </c>
      <c r="AB1361" s="396">
        <v>-14765535</v>
      </c>
      <c r="AC1361" s="396">
        <v>10207916</v>
      </c>
    </row>
    <row r="1362" spans="1:29">
      <c r="A1362">
        <v>6693</v>
      </c>
      <c r="B1362" s="395" t="s">
        <v>8187</v>
      </c>
      <c r="C1362" s="395"/>
      <c r="D1362" s="396">
        <v>5850</v>
      </c>
      <c r="E1362" s="396">
        <v>24956</v>
      </c>
      <c r="F1362" s="395">
        <v>1.31</v>
      </c>
      <c r="G1362" s="396">
        <v>-19106</v>
      </c>
      <c r="H1362" s="396">
        <v>3350</v>
      </c>
      <c r="I1362" s="396">
        <v>630800</v>
      </c>
      <c r="J1362" s="395">
        <v>8</v>
      </c>
      <c r="K1362" s="395">
        <v>3</v>
      </c>
      <c r="L1362" s="397">
        <v>0.375</v>
      </c>
      <c r="M1362" s="395">
        <v>5</v>
      </c>
      <c r="N1362" s="395">
        <v>731</v>
      </c>
      <c r="O1362" s="396">
        <v>8319</v>
      </c>
      <c r="P1362" s="395">
        <v>2.1800000000000002</v>
      </c>
      <c r="Q1362" s="396">
        <v>-3821</v>
      </c>
      <c r="R1362" s="396">
        <v>11592</v>
      </c>
      <c r="S1362" s="396">
        <v>-8949</v>
      </c>
      <c r="T1362" s="396">
        <v>63094</v>
      </c>
      <c r="U1362" s="396">
        <v>-48452</v>
      </c>
      <c r="V1362" s="395">
        <v>605.12</v>
      </c>
      <c r="W1362" s="395">
        <v>629.33000000000004</v>
      </c>
      <c r="X1362" s="395">
        <v>2700</v>
      </c>
      <c r="Y1362" s="395">
        <v>590.6</v>
      </c>
      <c r="Z1362" s="396">
        <v>-6157112</v>
      </c>
      <c r="AA1362" s="396">
        <v>5850</v>
      </c>
      <c r="AB1362" s="396">
        <v>-10587347</v>
      </c>
      <c r="AC1362" s="396">
        <v>10207916</v>
      </c>
    </row>
    <row r="1363" spans="1:29">
      <c r="A1363">
        <v>1701</v>
      </c>
      <c r="B1363" s="395" t="s">
        <v>6846</v>
      </c>
      <c r="C1363" s="395"/>
      <c r="D1363" s="396">
        <v>5505</v>
      </c>
      <c r="E1363" s="396">
        <v>81833</v>
      </c>
      <c r="F1363" s="395">
        <v>1.07</v>
      </c>
      <c r="G1363" s="396">
        <v>-76328</v>
      </c>
      <c r="H1363" s="396">
        <v>23141</v>
      </c>
      <c r="I1363" s="396">
        <v>2284644</v>
      </c>
      <c r="J1363" s="395">
        <v>250</v>
      </c>
      <c r="K1363" s="395">
        <v>142</v>
      </c>
      <c r="L1363" s="397">
        <v>0.56799999999999995</v>
      </c>
      <c r="M1363" s="395">
        <v>107</v>
      </c>
      <c r="N1363" s="395">
        <v>22</v>
      </c>
      <c r="O1363" s="395">
        <v>576</v>
      </c>
      <c r="P1363" s="395">
        <v>0.81</v>
      </c>
      <c r="Q1363" s="395">
        <v>-713</v>
      </c>
      <c r="R1363" s="396">
        <v>1757</v>
      </c>
      <c r="S1363" s="396">
        <v>-1741</v>
      </c>
      <c r="T1363" s="396">
        <v>116342</v>
      </c>
      <c r="U1363" s="396">
        <v>-106156</v>
      </c>
      <c r="V1363" s="395">
        <v>9710.9500000000007</v>
      </c>
      <c r="W1363" s="395">
        <v>3643.14</v>
      </c>
      <c r="X1363" s="395">
        <v>77490</v>
      </c>
      <c r="Y1363" s="395">
        <v>17836.59</v>
      </c>
      <c r="Z1363" s="396">
        <v>-3717474</v>
      </c>
      <c r="AA1363" s="396">
        <v>5505</v>
      </c>
      <c r="AB1363" s="396">
        <v>-2080523</v>
      </c>
      <c r="AC1363" s="396">
        <v>10207916</v>
      </c>
    </row>
    <row r="1364" spans="1:29">
      <c r="A1364">
        <v>8077</v>
      </c>
      <c r="B1364" s="395" t="s">
        <v>8257</v>
      </c>
      <c r="C1364" s="395"/>
      <c r="D1364" s="396">
        <v>4993</v>
      </c>
      <c r="E1364" s="396">
        <v>7948</v>
      </c>
      <c r="F1364" s="395">
        <v>2.69</v>
      </c>
      <c r="G1364" s="396">
        <v>-2955</v>
      </c>
      <c r="H1364" s="396">
        <v>1357</v>
      </c>
      <c r="I1364" s="396">
        <v>44549</v>
      </c>
      <c r="J1364" s="395">
        <v>28</v>
      </c>
      <c r="K1364" s="395">
        <v>22</v>
      </c>
      <c r="L1364" s="397">
        <v>0.78569999999999995</v>
      </c>
      <c r="M1364" s="395">
        <v>6</v>
      </c>
      <c r="N1364" s="395">
        <v>178</v>
      </c>
      <c r="O1364" s="395">
        <v>361</v>
      </c>
      <c r="P1364" s="395">
        <v>0.73</v>
      </c>
      <c r="Q1364" s="395">
        <v>-493</v>
      </c>
      <c r="R1364" s="396">
        <v>1054</v>
      </c>
      <c r="S1364" s="396">
        <v>-1152</v>
      </c>
      <c r="T1364" s="396">
        <v>11692</v>
      </c>
      <c r="U1364" s="396">
        <v>-6073</v>
      </c>
      <c r="V1364" s="395">
        <v>2390.5700000000002</v>
      </c>
      <c r="W1364" s="395">
        <v>2217.36</v>
      </c>
      <c r="X1364" s="395">
        <v>74790</v>
      </c>
      <c r="Y1364" s="395">
        <v>3025.67</v>
      </c>
      <c r="Z1364" s="396">
        <v>8267417</v>
      </c>
      <c r="AA1364" s="396">
        <v>4993</v>
      </c>
      <c r="AB1364" s="396">
        <v>18831096</v>
      </c>
      <c r="AC1364" s="396">
        <v>10207916</v>
      </c>
    </row>
    <row r="1365" spans="1:29">
      <c r="A1365">
        <v>6662</v>
      </c>
      <c r="B1365" s="395" t="s">
        <v>8171</v>
      </c>
      <c r="C1365" s="395"/>
      <c r="D1365" s="396">
        <v>4290</v>
      </c>
      <c r="E1365" s="396">
        <v>15341</v>
      </c>
      <c r="F1365" s="395">
        <v>1.39</v>
      </c>
      <c r="G1365" s="396">
        <v>-11051</v>
      </c>
      <c r="H1365" s="396">
        <v>3910</v>
      </c>
      <c r="I1365" s="396">
        <v>443148</v>
      </c>
      <c r="J1365" s="395">
        <v>31</v>
      </c>
      <c r="K1365" s="395">
        <v>13</v>
      </c>
      <c r="L1365" s="397">
        <v>0.4194</v>
      </c>
      <c r="M1365" s="395">
        <v>18</v>
      </c>
      <c r="N1365" s="395">
        <v>138</v>
      </c>
      <c r="O1365" s="396">
        <v>1180</v>
      </c>
      <c r="P1365" s="395">
        <v>1.92</v>
      </c>
      <c r="Q1365" s="395">
        <v>-614</v>
      </c>
      <c r="R1365" s="396">
        <v>2862</v>
      </c>
      <c r="S1365" s="396">
        <v>-1773</v>
      </c>
      <c r="T1365" s="396">
        <v>17638</v>
      </c>
      <c r="U1365" s="396">
        <v>-21862</v>
      </c>
      <c r="V1365" s="395">
        <v>7853.26</v>
      </c>
      <c r="W1365" s="395">
        <v>5082.62</v>
      </c>
      <c r="X1365" s="395">
        <v>74520</v>
      </c>
      <c r="Y1365" s="395">
        <v>9854.2800000000007</v>
      </c>
      <c r="Z1365" s="396">
        <v>843117</v>
      </c>
      <c r="AA1365" s="396">
        <v>4290</v>
      </c>
      <c r="AB1365" s="396">
        <v>-4654221</v>
      </c>
      <c r="AC1365" s="396">
        <v>10207916</v>
      </c>
    </row>
    <row r="1366" spans="1:29">
      <c r="A1366">
        <v>2444</v>
      </c>
      <c r="B1366" s="395" t="s">
        <v>7069</v>
      </c>
      <c r="C1366" s="395"/>
      <c r="D1366" s="396">
        <v>4221</v>
      </c>
      <c r="E1366" s="396">
        <v>119101</v>
      </c>
      <c r="F1366" s="395">
        <v>1.04</v>
      </c>
      <c r="G1366" s="396">
        <v>-114880</v>
      </c>
      <c r="H1366" s="396">
        <v>10479</v>
      </c>
      <c r="I1366" s="396">
        <v>911666</v>
      </c>
      <c r="J1366" s="395">
        <v>196</v>
      </c>
      <c r="K1366" s="395">
        <v>133</v>
      </c>
      <c r="L1366" s="397">
        <v>0.67859999999999998</v>
      </c>
      <c r="M1366" s="395">
        <v>63</v>
      </c>
      <c r="N1366" s="395">
        <v>22</v>
      </c>
      <c r="O1366" s="395">
        <v>895</v>
      </c>
      <c r="P1366" s="395">
        <v>0.49</v>
      </c>
      <c r="Q1366" s="396">
        <v>-1823</v>
      </c>
      <c r="R1366" s="396">
        <v>2355</v>
      </c>
      <c r="S1366" s="396">
        <v>-4710</v>
      </c>
      <c r="T1366" s="396">
        <v>188834</v>
      </c>
      <c r="U1366" s="396">
        <v>-134507</v>
      </c>
      <c r="V1366" s="395">
        <v>10071.49</v>
      </c>
      <c r="W1366" s="395">
        <v>9075.17</v>
      </c>
      <c r="X1366" s="395">
        <v>77490</v>
      </c>
      <c r="Y1366" s="395">
        <v>12174.84</v>
      </c>
      <c r="Z1366" s="396">
        <v>-25232877</v>
      </c>
      <c r="AA1366" s="396">
        <v>4221</v>
      </c>
      <c r="AB1366" s="396">
        <v>-10892857</v>
      </c>
      <c r="AC1366" s="396">
        <v>10207916</v>
      </c>
    </row>
    <row r="1367" spans="1:29">
      <c r="A1367">
        <v>8101</v>
      </c>
      <c r="B1367" s="395" t="s">
        <v>8273</v>
      </c>
      <c r="C1367" s="395"/>
      <c r="D1367" s="396">
        <v>3898</v>
      </c>
      <c r="E1367" s="396">
        <v>4873</v>
      </c>
      <c r="F1367" s="395">
        <v>5</v>
      </c>
      <c r="G1367" s="395">
        <v>-975</v>
      </c>
      <c r="H1367" s="395">
        <v>502</v>
      </c>
      <c r="I1367" s="396">
        <v>25582</v>
      </c>
      <c r="J1367" s="395">
        <v>46</v>
      </c>
      <c r="K1367" s="395">
        <v>36</v>
      </c>
      <c r="L1367" s="397">
        <v>0.78259999999999996</v>
      </c>
      <c r="M1367" s="395">
        <v>9</v>
      </c>
      <c r="N1367" s="395">
        <v>85</v>
      </c>
      <c r="O1367" s="395">
        <v>135</v>
      </c>
      <c r="P1367" s="395">
        <v>1.25</v>
      </c>
      <c r="Q1367" s="395">
        <v>-108</v>
      </c>
      <c r="R1367" s="395">
        <v>299</v>
      </c>
      <c r="S1367" s="395">
        <v>-393</v>
      </c>
      <c r="T1367" s="396">
        <v>6920</v>
      </c>
      <c r="U1367" s="396">
        <v>-2741</v>
      </c>
      <c r="V1367" s="395">
        <v>3814.85</v>
      </c>
      <c r="W1367" s="395">
        <v>3360.25</v>
      </c>
      <c r="X1367" s="395">
        <v>77490</v>
      </c>
      <c r="Y1367" s="395">
        <v>5190.33</v>
      </c>
      <c r="Z1367" s="396">
        <v>9942385</v>
      </c>
      <c r="AA1367" s="396">
        <v>3898</v>
      </c>
      <c r="AB1367" s="396">
        <v>-14335840</v>
      </c>
      <c r="AC1367" s="396">
        <v>10207916</v>
      </c>
    </row>
    <row r="1368" spans="1:29">
      <c r="A1368">
        <v>3089</v>
      </c>
      <c r="B1368" s="395" t="s">
        <v>7310</v>
      </c>
      <c r="C1368" s="395"/>
      <c r="D1368" s="396">
        <v>3884</v>
      </c>
      <c r="E1368" s="396">
        <v>17414</v>
      </c>
      <c r="F1368" s="395">
        <v>1.29</v>
      </c>
      <c r="G1368" s="396">
        <v>-13530</v>
      </c>
      <c r="H1368" s="396">
        <v>2916</v>
      </c>
      <c r="I1368" s="396">
        <v>157766</v>
      </c>
      <c r="J1368" s="395">
        <v>21</v>
      </c>
      <c r="K1368" s="395">
        <v>16</v>
      </c>
      <c r="L1368" s="397">
        <v>0.76190000000000002</v>
      </c>
      <c r="M1368" s="395">
        <v>5</v>
      </c>
      <c r="N1368" s="395">
        <v>185</v>
      </c>
      <c r="O1368" s="396">
        <v>1088</v>
      </c>
      <c r="P1368" s="395">
        <v>0.4</v>
      </c>
      <c r="Q1368" s="396">
        <v>-2706</v>
      </c>
      <c r="R1368" s="396">
        <v>3123</v>
      </c>
      <c r="S1368" s="396">
        <v>-9925</v>
      </c>
      <c r="T1368" s="396">
        <v>18093</v>
      </c>
      <c r="U1368" s="396">
        <v>-11985</v>
      </c>
      <c r="V1368" s="395">
        <v>911.19</v>
      </c>
      <c r="W1368" s="395">
        <v>438.06</v>
      </c>
      <c r="X1368" s="395">
        <v>45630</v>
      </c>
      <c r="Y1368" s="395">
        <v>2425.1999999999998</v>
      </c>
      <c r="Z1368" s="396">
        <v>17024</v>
      </c>
      <c r="AA1368" s="396">
        <v>3884</v>
      </c>
      <c r="AB1368" s="396">
        <v>44819071</v>
      </c>
      <c r="AC1368" s="396">
        <v>10207916</v>
      </c>
    </row>
    <row r="1369" spans="1:29">
      <c r="A1369">
        <v>3067</v>
      </c>
      <c r="B1369" s="395" t="s">
        <v>7301</v>
      </c>
      <c r="C1369" s="395"/>
      <c r="D1369" s="396">
        <v>3797</v>
      </c>
      <c r="E1369" s="396">
        <v>3797</v>
      </c>
      <c r="F1369" s="395">
        <v>0</v>
      </c>
      <c r="G1369" s="395">
        <v>0</v>
      </c>
      <c r="H1369" s="395">
        <v>403</v>
      </c>
      <c r="I1369" s="396">
        <v>37940</v>
      </c>
      <c r="J1369" s="395">
        <v>3</v>
      </c>
      <c r="K1369" s="395">
        <v>3</v>
      </c>
      <c r="L1369" s="397">
        <v>1</v>
      </c>
      <c r="M1369" s="395">
        <v>0</v>
      </c>
      <c r="N1369" s="396">
        <v>1266</v>
      </c>
      <c r="O1369" s="396">
        <v>1266</v>
      </c>
      <c r="P1369" s="395">
        <v>0</v>
      </c>
      <c r="Q1369" s="395">
        <v>0</v>
      </c>
      <c r="R1369" s="396">
        <v>2137</v>
      </c>
      <c r="S1369" s="395">
        <v>0</v>
      </c>
      <c r="T1369" s="396">
        <v>6778</v>
      </c>
      <c r="U1369" s="396">
        <v>-3657</v>
      </c>
      <c r="V1369" s="395">
        <v>2894.33</v>
      </c>
      <c r="W1369" s="395">
        <v>2894.33</v>
      </c>
      <c r="X1369" s="395">
        <v>65340</v>
      </c>
      <c r="Y1369" s="395">
        <v>0</v>
      </c>
      <c r="Z1369" s="396">
        <v>5718146</v>
      </c>
      <c r="AA1369" s="396">
        <v>3797</v>
      </c>
      <c r="AB1369" s="396">
        <v>-2471619</v>
      </c>
      <c r="AC1369" s="396">
        <v>10207916</v>
      </c>
    </row>
    <row r="1370" spans="1:29">
      <c r="A1370">
        <v>3043</v>
      </c>
      <c r="B1370" s="395" t="s">
        <v>7281</v>
      </c>
      <c r="C1370" s="395"/>
      <c r="D1370" s="396">
        <v>3715</v>
      </c>
      <c r="E1370" s="396">
        <v>8158</v>
      </c>
      <c r="F1370" s="395">
        <v>1.84</v>
      </c>
      <c r="G1370" s="396">
        <v>-4443</v>
      </c>
      <c r="H1370" s="395">
        <v>745</v>
      </c>
      <c r="I1370" s="396">
        <v>71962</v>
      </c>
      <c r="J1370" s="395">
        <v>42</v>
      </c>
      <c r="K1370" s="395">
        <v>35</v>
      </c>
      <c r="L1370" s="397">
        <v>0.83330000000000004</v>
      </c>
      <c r="M1370" s="395">
        <v>7</v>
      </c>
      <c r="N1370" s="395">
        <v>88</v>
      </c>
      <c r="O1370" s="395">
        <v>233</v>
      </c>
      <c r="P1370" s="395">
        <v>0.37</v>
      </c>
      <c r="Q1370" s="395">
        <v>-635</v>
      </c>
      <c r="R1370" s="395">
        <v>574</v>
      </c>
      <c r="S1370" s="396">
        <v>-1110</v>
      </c>
      <c r="T1370" s="396">
        <v>7836</v>
      </c>
      <c r="U1370" s="396">
        <v>-5780</v>
      </c>
      <c r="V1370" s="395">
        <v>3779.38</v>
      </c>
      <c r="W1370" s="395">
        <v>2827.69</v>
      </c>
      <c r="X1370" s="395">
        <v>77490</v>
      </c>
      <c r="Y1370" s="395">
        <v>8537.86</v>
      </c>
      <c r="Z1370" s="396">
        <v>-8491773</v>
      </c>
      <c r="AA1370" s="396">
        <v>3715</v>
      </c>
      <c r="AB1370" s="396">
        <v>-4580838</v>
      </c>
      <c r="AC1370" s="396">
        <v>10207916</v>
      </c>
    </row>
    <row r="1371" spans="1:29">
      <c r="A1371">
        <v>8455</v>
      </c>
      <c r="B1371" s="395" t="s">
        <v>8350</v>
      </c>
      <c r="C1371" s="395"/>
      <c r="D1371" s="396">
        <v>3495</v>
      </c>
      <c r="E1371" s="396">
        <v>3718</v>
      </c>
      <c r="F1371" s="395">
        <v>16.670000000000002</v>
      </c>
      <c r="G1371" s="395">
        <v>-223</v>
      </c>
      <c r="H1371" s="395">
        <v>655</v>
      </c>
      <c r="I1371" s="396">
        <v>36850</v>
      </c>
      <c r="J1371" s="395">
        <v>7</v>
      </c>
      <c r="K1371" s="395">
        <v>6</v>
      </c>
      <c r="L1371" s="397">
        <v>0.85709999999999997</v>
      </c>
      <c r="M1371" s="395">
        <v>1</v>
      </c>
      <c r="N1371" s="395">
        <v>499</v>
      </c>
      <c r="O1371" s="395">
        <v>620</v>
      </c>
      <c r="P1371" s="395">
        <v>2.78</v>
      </c>
      <c r="Q1371" s="395">
        <v>-223</v>
      </c>
      <c r="R1371" s="395">
        <v>749</v>
      </c>
      <c r="S1371" s="395">
        <v>-223</v>
      </c>
      <c r="T1371" s="396">
        <v>4032</v>
      </c>
      <c r="U1371" s="395">
        <v>-700</v>
      </c>
      <c r="V1371" s="395">
        <v>251.29</v>
      </c>
      <c r="W1371" s="395">
        <v>288.17</v>
      </c>
      <c r="X1371" s="395">
        <v>64800</v>
      </c>
      <c r="Y1371" s="395">
        <v>30</v>
      </c>
      <c r="Z1371" s="396">
        <v>7772213</v>
      </c>
      <c r="AA1371" s="396">
        <v>3495</v>
      </c>
      <c r="AB1371" s="396">
        <v>20422803</v>
      </c>
      <c r="AC1371" s="396">
        <v>10207916</v>
      </c>
    </row>
    <row r="1372" spans="1:29">
      <c r="A1372">
        <v>5383</v>
      </c>
      <c r="B1372" s="395" t="s">
        <v>7821</v>
      </c>
      <c r="C1372" s="395"/>
      <c r="D1372" s="396">
        <v>3039</v>
      </c>
      <c r="E1372" s="396">
        <v>127796</v>
      </c>
      <c r="F1372" s="395">
        <v>1.02</v>
      </c>
      <c r="G1372" s="396">
        <v>-124757</v>
      </c>
      <c r="H1372" s="396">
        <v>20661</v>
      </c>
      <c r="I1372" s="396">
        <v>1275331</v>
      </c>
      <c r="J1372" s="395">
        <v>164</v>
      </c>
      <c r="K1372" s="395">
        <v>117</v>
      </c>
      <c r="L1372" s="397">
        <v>0.71340000000000003</v>
      </c>
      <c r="M1372" s="395">
        <v>47</v>
      </c>
      <c r="N1372" s="395">
        <v>19</v>
      </c>
      <c r="O1372" s="396">
        <v>1092</v>
      </c>
      <c r="P1372" s="395">
        <v>0.41</v>
      </c>
      <c r="Q1372" s="396">
        <v>-2654</v>
      </c>
      <c r="R1372" s="396">
        <v>3960</v>
      </c>
      <c r="S1372" s="396">
        <v>-10527</v>
      </c>
      <c r="T1372" s="396">
        <v>154018</v>
      </c>
      <c r="U1372" s="396">
        <v>-145624</v>
      </c>
      <c r="V1372" s="395">
        <v>3545.54</v>
      </c>
      <c r="W1372" s="395">
        <v>2178.86</v>
      </c>
      <c r="X1372" s="395">
        <v>77490</v>
      </c>
      <c r="Y1372" s="395">
        <v>6947.7</v>
      </c>
      <c r="Z1372" s="396">
        <v>-3074995</v>
      </c>
      <c r="AA1372" s="396">
        <v>3039</v>
      </c>
      <c r="AB1372" s="396">
        <v>49189258</v>
      </c>
      <c r="AC1372" s="396">
        <v>10207916</v>
      </c>
    </row>
    <row r="1373" spans="1:29">
      <c r="A1373">
        <v>2924</v>
      </c>
      <c r="B1373" s="395" t="s">
        <v>7237</v>
      </c>
      <c r="C1373" s="395"/>
      <c r="D1373" s="396">
        <v>2935</v>
      </c>
      <c r="E1373" s="396">
        <v>2935</v>
      </c>
      <c r="F1373" s="395">
        <v>0</v>
      </c>
      <c r="G1373" s="395">
        <v>0</v>
      </c>
      <c r="H1373" s="395">
        <v>165</v>
      </c>
      <c r="I1373" s="396">
        <v>20874</v>
      </c>
      <c r="J1373" s="395">
        <v>2</v>
      </c>
      <c r="K1373" s="395">
        <v>2</v>
      </c>
      <c r="L1373" s="397">
        <v>1</v>
      </c>
      <c r="M1373" s="395">
        <v>0</v>
      </c>
      <c r="N1373" s="396">
        <v>1467</v>
      </c>
      <c r="O1373" s="396">
        <v>1467</v>
      </c>
      <c r="P1373" s="395">
        <v>0</v>
      </c>
      <c r="Q1373" s="395">
        <v>0</v>
      </c>
      <c r="R1373" s="396">
        <v>2109</v>
      </c>
      <c r="S1373" s="395">
        <v>0</v>
      </c>
      <c r="T1373" s="396">
        <v>2935</v>
      </c>
      <c r="U1373" s="395">
        <v>0</v>
      </c>
      <c r="V1373" s="395">
        <v>228</v>
      </c>
      <c r="W1373" s="395">
        <v>228</v>
      </c>
      <c r="X1373" s="395">
        <v>54810</v>
      </c>
      <c r="Y1373" s="395">
        <v>0</v>
      </c>
      <c r="Z1373" s="396">
        <v>7366605</v>
      </c>
      <c r="AA1373" s="396">
        <v>2935</v>
      </c>
      <c r="AB1373" s="396">
        <v>23346320</v>
      </c>
      <c r="AC1373" s="396">
        <v>10207916</v>
      </c>
    </row>
    <row r="1374" spans="1:29">
      <c r="A1374">
        <v>6222</v>
      </c>
      <c r="B1374" s="395" t="s">
        <v>8008</v>
      </c>
      <c r="C1374" s="395"/>
      <c r="D1374" s="396">
        <v>2646</v>
      </c>
      <c r="E1374" s="396">
        <v>6763</v>
      </c>
      <c r="F1374" s="395">
        <v>1.64</v>
      </c>
      <c r="G1374" s="396">
        <v>-4117</v>
      </c>
      <c r="H1374" s="396">
        <v>1304</v>
      </c>
      <c r="I1374" s="396">
        <v>145254</v>
      </c>
      <c r="J1374" s="395">
        <v>22</v>
      </c>
      <c r="K1374" s="395">
        <v>16</v>
      </c>
      <c r="L1374" s="397">
        <v>0.72729999999999995</v>
      </c>
      <c r="M1374" s="395">
        <v>6</v>
      </c>
      <c r="N1374" s="395">
        <v>120</v>
      </c>
      <c r="O1374" s="395">
        <v>423</v>
      </c>
      <c r="P1374" s="395">
        <v>0.62</v>
      </c>
      <c r="Q1374" s="395">
        <v>-686</v>
      </c>
      <c r="R1374" s="396">
        <v>1994</v>
      </c>
      <c r="S1374" s="396">
        <v>-1212</v>
      </c>
      <c r="T1374" s="396">
        <v>11774</v>
      </c>
      <c r="U1374" s="396">
        <v>-12632</v>
      </c>
      <c r="V1374" s="395">
        <v>12846.41</v>
      </c>
      <c r="W1374" s="395">
        <v>5126.4399999999996</v>
      </c>
      <c r="X1374" s="395">
        <v>76950</v>
      </c>
      <c r="Y1374" s="395">
        <v>33433</v>
      </c>
      <c r="Z1374" s="396">
        <v>2161351</v>
      </c>
      <c r="AA1374" s="396">
        <v>2646</v>
      </c>
      <c r="AB1374" s="396">
        <v>309524</v>
      </c>
      <c r="AC1374" s="396">
        <v>10207916</v>
      </c>
    </row>
    <row r="1375" spans="1:29">
      <c r="A1375">
        <v>8067</v>
      </c>
      <c r="B1375" s="395" t="s">
        <v>8249</v>
      </c>
      <c r="C1375" s="395"/>
      <c r="D1375" s="396">
        <v>2569</v>
      </c>
      <c r="E1375" s="396">
        <v>6081</v>
      </c>
      <c r="F1375" s="395">
        <v>1.73</v>
      </c>
      <c r="G1375" s="396">
        <v>-3512</v>
      </c>
      <c r="H1375" s="396">
        <v>1121</v>
      </c>
      <c r="I1375" s="396">
        <v>44828</v>
      </c>
      <c r="J1375" s="395">
        <v>27</v>
      </c>
      <c r="K1375" s="395">
        <v>19</v>
      </c>
      <c r="L1375" s="397">
        <v>0.70369999999999999</v>
      </c>
      <c r="M1375" s="395">
        <v>8</v>
      </c>
      <c r="N1375" s="395">
        <v>95</v>
      </c>
      <c r="O1375" s="395">
        <v>320</v>
      </c>
      <c r="P1375" s="395">
        <v>0.73</v>
      </c>
      <c r="Q1375" s="395">
        <v>-439</v>
      </c>
      <c r="R1375" s="395">
        <v>956</v>
      </c>
      <c r="S1375" s="395">
        <v>-719</v>
      </c>
      <c r="T1375" s="396">
        <v>8322</v>
      </c>
      <c r="U1375" s="396">
        <v>-5269</v>
      </c>
      <c r="V1375" s="395">
        <v>2701</v>
      </c>
      <c r="W1375" s="395">
        <v>1810.21</v>
      </c>
      <c r="X1375" s="395">
        <v>72090</v>
      </c>
      <c r="Y1375" s="395">
        <v>4816.63</v>
      </c>
      <c r="Z1375" s="396">
        <v>5022200</v>
      </c>
      <c r="AA1375" s="396">
        <v>2569</v>
      </c>
      <c r="AB1375" s="396">
        <v>1650327</v>
      </c>
      <c r="AC1375" s="396">
        <v>10207916</v>
      </c>
    </row>
    <row r="1376" spans="1:29">
      <c r="A1376">
        <v>5455</v>
      </c>
      <c r="B1376" s="395" t="s">
        <v>7837</v>
      </c>
      <c r="C1376" s="395"/>
      <c r="D1376" s="396">
        <v>2301</v>
      </c>
      <c r="E1376" s="396">
        <v>2301</v>
      </c>
      <c r="F1376" s="395">
        <v>0</v>
      </c>
      <c r="G1376" s="395">
        <v>0</v>
      </c>
      <c r="H1376" s="395">
        <v>299</v>
      </c>
      <c r="I1376" s="396">
        <v>34650</v>
      </c>
      <c r="J1376" s="395">
        <v>4</v>
      </c>
      <c r="K1376" s="395">
        <v>4</v>
      </c>
      <c r="L1376" s="397">
        <v>1</v>
      </c>
      <c r="M1376" s="395">
        <v>0</v>
      </c>
      <c r="N1376" s="395">
        <v>575</v>
      </c>
      <c r="O1376" s="395">
        <v>575</v>
      </c>
      <c r="P1376" s="395">
        <v>0</v>
      </c>
      <c r="Q1376" s="395">
        <v>0</v>
      </c>
      <c r="R1376" s="396">
        <v>1161</v>
      </c>
      <c r="S1376" s="395">
        <v>0</v>
      </c>
      <c r="T1376" s="396">
        <v>2457</v>
      </c>
      <c r="U1376" s="396">
        <v>-1000</v>
      </c>
      <c r="V1376" s="395">
        <v>1381.75</v>
      </c>
      <c r="W1376" s="395">
        <v>1381.75</v>
      </c>
      <c r="X1376" s="395">
        <v>50760</v>
      </c>
      <c r="Y1376" s="395">
        <v>0</v>
      </c>
      <c r="Z1376" s="396">
        <v>4687664</v>
      </c>
      <c r="AA1376" s="396">
        <v>2301</v>
      </c>
      <c r="AB1376" s="396">
        <v>50894198</v>
      </c>
      <c r="AC1376" s="396">
        <v>10207916</v>
      </c>
    </row>
    <row r="1377" spans="1:29">
      <c r="A1377">
        <v>5348</v>
      </c>
      <c r="B1377" s="395" t="s">
        <v>7813</v>
      </c>
      <c r="C1377" s="395"/>
      <c r="D1377" s="396">
        <v>2244</v>
      </c>
      <c r="E1377" s="396">
        <v>4520</v>
      </c>
      <c r="F1377" s="395">
        <v>1.99</v>
      </c>
      <c r="G1377" s="396">
        <v>-2276</v>
      </c>
      <c r="H1377" s="395">
        <v>276</v>
      </c>
      <c r="I1377" s="396">
        <v>44170</v>
      </c>
      <c r="J1377" s="395">
        <v>7</v>
      </c>
      <c r="K1377" s="395">
        <v>4</v>
      </c>
      <c r="L1377" s="397">
        <v>0.57140000000000002</v>
      </c>
      <c r="M1377" s="395">
        <v>3</v>
      </c>
      <c r="N1377" s="395">
        <v>321</v>
      </c>
      <c r="O1377" s="396">
        <v>1130</v>
      </c>
      <c r="P1377" s="395">
        <v>1.49</v>
      </c>
      <c r="Q1377" s="395">
        <v>-759</v>
      </c>
      <c r="R1377" s="396">
        <v>1976</v>
      </c>
      <c r="S1377" s="396">
        <v>-2222</v>
      </c>
      <c r="T1377" s="396">
        <v>10455</v>
      </c>
      <c r="U1377" s="396">
        <v>-9171</v>
      </c>
      <c r="V1377" s="395">
        <v>32846.14</v>
      </c>
      <c r="W1377" s="395">
        <v>33636</v>
      </c>
      <c r="X1377" s="395">
        <v>76410</v>
      </c>
      <c r="Y1377" s="395">
        <v>31793</v>
      </c>
      <c r="Z1377" s="396">
        <v>-5056009</v>
      </c>
      <c r="AA1377" s="396">
        <v>2244</v>
      </c>
      <c r="AB1377" s="396">
        <v>3497151</v>
      </c>
      <c r="AC1377" s="396">
        <v>10207916</v>
      </c>
    </row>
    <row r="1378" spans="1:29">
      <c r="A1378">
        <v>1418</v>
      </c>
      <c r="B1378" s="395" t="s">
        <v>6741</v>
      </c>
      <c r="C1378" s="395"/>
      <c r="D1378" s="396">
        <v>1980</v>
      </c>
      <c r="E1378" s="396">
        <v>1980</v>
      </c>
      <c r="F1378" s="395">
        <v>0</v>
      </c>
      <c r="G1378" s="395">
        <v>0</v>
      </c>
      <c r="H1378" s="395">
        <v>170</v>
      </c>
      <c r="I1378" s="396">
        <v>21029</v>
      </c>
      <c r="J1378" s="395">
        <v>4</v>
      </c>
      <c r="K1378" s="395">
        <v>4</v>
      </c>
      <c r="L1378" s="397">
        <v>1</v>
      </c>
      <c r="M1378" s="395">
        <v>0</v>
      </c>
      <c r="N1378" s="395">
        <v>495</v>
      </c>
      <c r="O1378" s="395">
        <v>495</v>
      </c>
      <c r="P1378" s="395">
        <v>0</v>
      </c>
      <c r="Q1378" s="395">
        <v>0</v>
      </c>
      <c r="R1378" s="395">
        <v>952</v>
      </c>
      <c r="S1378" s="395">
        <v>0</v>
      </c>
      <c r="T1378" s="396">
        <v>2205</v>
      </c>
      <c r="U1378" s="395">
        <v>-545</v>
      </c>
      <c r="V1378" s="395">
        <v>926.75</v>
      </c>
      <c r="W1378" s="395">
        <v>926.75</v>
      </c>
      <c r="X1378" s="395">
        <v>62370</v>
      </c>
      <c r="Y1378" s="395">
        <v>0</v>
      </c>
      <c r="Z1378" s="396">
        <v>7898940</v>
      </c>
      <c r="AA1378" s="396">
        <v>1980</v>
      </c>
      <c r="AB1378" s="396">
        <v>60984743</v>
      </c>
      <c r="AC1378" s="396">
        <v>10207916</v>
      </c>
    </row>
    <row r="1379" spans="1:29">
      <c r="A1379">
        <v>1472</v>
      </c>
      <c r="B1379" s="395" t="s">
        <v>6777</v>
      </c>
      <c r="C1379" s="395"/>
      <c r="D1379" s="396">
        <v>1527</v>
      </c>
      <c r="E1379" s="396">
        <v>1527</v>
      </c>
      <c r="F1379" s="395">
        <v>0</v>
      </c>
      <c r="G1379" s="395">
        <v>0</v>
      </c>
      <c r="H1379" s="395">
        <v>173</v>
      </c>
      <c r="I1379" s="396">
        <v>32041</v>
      </c>
      <c r="J1379" s="395">
        <v>2</v>
      </c>
      <c r="K1379" s="395">
        <v>2</v>
      </c>
      <c r="L1379" s="397">
        <v>1</v>
      </c>
      <c r="M1379" s="395">
        <v>0</v>
      </c>
      <c r="N1379" s="395">
        <v>764</v>
      </c>
      <c r="O1379" s="395">
        <v>764</v>
      </c>
      <c r="P1379" s="395">
        <v>0</v>
      </c>
      <c r="Q1379" s="395">
        <v>0</v>
      </c>
      <c r="R1379" s="396">
        <v>1218</v>
      </c>
      <c r="S1379" s="395">
        <v>0</v>
      </c>
      <c r="T1379" s="396">
        <v>1527</v>
      </c>
      <c r="U1379" s="395">
        <v>0</v>
      </c>
      <c r="V1379" s="395">
        <v>49</v>
      </c>
      <c r="W1379" s="395">
        <v>49</v>
      </c>
      <c r="X1379" s="395">
        <v>68310</v>
      </c>
      <c r="Y1379" s="395">
        <v>0</v>
      </c>
      <c r="Z1379" s="396">
        <v>3462013</v>
      </c>
      <c r="AA1379" s="396">
        <v>1527</v>
      </c>
      <c r="AB1379" s="396">
        <v>-19025183</v>
      </c>
      <c r="AC1379" s="396">
        <v>10207916</v>
      </c>
    </row>
    <row r="1380" spans="1:29">
      <c r="A1380">
        <v>2364</v>
      </c>
      <c r="B1380" s="395" t="s">
        <v>7012</v>
      </c>
      <c r="C1380" s="395"/>
      <c r="D1380" s="396">
        <v>1361</v>
      </c>
      <c r="E1380" s="396">
        <v>1375</v>
      </c>
      <c r="F1380" s="395">
        <v>98.21</v>
      </c>
      <c r="G1380" s="395">
        <v>-14</v>
      </c>
      <c r="H1380" s="395">
        <v>129</v>
      </c>
      <c r="I1380" s="396">
        <v>18062</v>
      </c>
      <c r="J1380" s="395">
        <v>5</v>
      </c>
      <c r="K1380" s="395">
        <v>4</v>
      </c>
      <c r="L1380" s="397">
        <v>0.8</v>
      </c>
      <c r="M1380" s="395">
        <v>1</v>
      </c>
      <c r="N1380" s="395">
        <v>272</v>
      </c>
      <c r="O1380" s="395">
        <v>344</v>
      </c>
      <c r="P1380" s="395">
        <v>24.57</v>
      </c>
      <c r="Q1380" s="395">
        <v>-14</v>
      </c>
      <c r="R1380" s="395">
        <v>473</v>
      </c>
      <c r="S1380" s="395">
        <v>-14</v>
      </c>
      <c r="T1380" s="396">
        <v>3511</v>
      </c>
      <c r="U1380" s="396">
        <v>-3250</v>
      </c>
      <c r="V1380" s="395">
        <v>1145.4000000000001</v>
      </c>
      <c r="W1380" s="395">
        <v>1431.5</v>
      </c>
      <c r="X1380" s="395">
        <v>74790</v>
      </c>
      <c r="Y1380" s="395">
        <v>1</v>
      </c>
      <c r="Z1380" s="396">
        <v>14996384</v>
      </c>
      <c r="AA1380" s="396">
        <v>1361</v>
      </c>
      <c r="AB1380" s="396">
        <v>-13257143</v>
      </c>
      <c r="AC1380" s="396">
        <v>10207916</v>
      </c>
    </row>
    <row r="1381" spans="1:29">
      <c r="A1381">
        <v>8423</v>
      </c>
      <c r="B1381" s="395" t="s">
        <v>8332</v>
      </c>
      <c r="C1381" s="395"/>
      <c r="D1381" s="396">
        <v>1326</v>
      </c>
      <c r="E1381" s="396">
        <v>1326</v>
      </c>
      <c r="F1381" s="395">
        <v>0</v>
      </c>
      <c r="G1381" s="395">
        <v>0</v>
      </c>
      <c r="H1381" s="395">
        <v>224</v>
      </c>
      <c r="I1381" s="396">
        <v>18200</v>
      </c>
      <c r="J1381" s="395">
        <v>3</v>
      </c>
      <c r="K1381" s="395">
        <v>3</v>
      </c>
      <c r="L1381" s="397">
        <v>1</v>
      </c>
      <c r="M1381" s="395">
        <v>0</v>
      </c>
      <c r="N1381" s="395">
        <v>442</v>
      </c>
      <c r="O1381" s="395">
        <v>442</v>
      </c>
      <c r="P1381" s="395">
        <v>0</v>
      </c>
      <c r="Q1381" s="395">
        <v>0</v>
      </c>
      <c r="R1381" s="395">
        <v>476</v>
      </c>
      <c r="S1381" s="395">
        <v>0</v>
      </c>
      <c r="T1381" s="396">
        <v>1762</v>
      </c>
      <c r="U1381" s="395">
        <v>-500</v>
      </c>
      <c r="V1381" s="395">
        <v>1592</v>
      </c>
      <c r="W1381" s="395">
        <v>1592</v>
      </c>
      <c r="X1381" s="395">
        <v>68310</v>
      </c>
      <c r="Y1381" s="395">
        <v>0</v>
      </c>
      <c r="Z1381" s="396">
        <v>3683418</v>
      </c>
      <c r="AA1381" s="396">
        <v>1326</v>
      </c>
      <c r="AB1381" s="396">
        <v>6817227</v>
      </c>
      <c r="AC1381" s="396">
        <v>10207916</v>
      </c>
    </row>
    <row r="1382" spans="1:29">
      <c r="A1382">
        <v>5276</v>
      </c>
      <c r="B1382" s="395" t="s">
        <v>7787</v>
      </c>
      <c r="C1382" s="395"/>
      <c r="D1382" s="396">
        <v>1145</v>
      </c>
      <c r="E1382" s="396">
        <v>6168</v>
      </c>
      <c r="F1382" s="395">
        <v>1.23</v>
      </c>
      <c r="G1382" s="396">
        <v>-5023</v>
      </c>
      <c r="H1382" s="396">
        <v>1055</v>
      </c>
      <c r="I1382" s="396">
        <v>98182</v>
      </c>
      <c r="J1382" s="395">
        <v>16</v>
      </c>
      <c r="K1382" s="395">
        <v>12</v>
      </c>
      <c r="L1382" s="397">
        <v>0.75</v>
      </c>
      <c r="M1382" s="395">
        <v>4</v>
      </c>
      <c r="N1382" s="395">
        <v>72</v>
      </c>
      <c r="O1382" s="395">
        <v>514</v>
      </c>
      <c r="P1382" s="395">
        <v>0.41</v>
      </c>
      <c r="Q1382" s="396">
        <v>-1256</v>
      </c>
      <c r="R1382" s="396">
        <v>1487</v>
      </c>
      <c r="S1382" s="396">
        <v>-3277</v>
      </c>
      <c r="T1382" s="396">
        <v>10619</v>
      </c>
      <c r="U1382" s="396">
        <v>-10380</v>
      </c>
      <c r="V1382" s="395">
        <v>6310.88</v>
      </c>
      <c r="W1382" s="395">
        <v>2475.83</v>
      </c>
      <c r="X1382" s="395">
        <v>63720</v>
      </c>
      <c r="Y1382" s="395">
        <v>17816</v>
      </c>
      <c r="Z1382" s="396">
        <v>-787194</v>
      </c>
      <c r="AA1382" s="396">
        <v>1145</v>
      </c>
      <c r="AB1382" s="396">
        <v>-8129139</v>
      </c>
      <c r="AC1382" s="396">
        <v>10207916</v>
      </c>
    </row>
    <row r="1383" spans="1:29">
      <c r="A1383">
        <v>6289</v>
      </c>
      <c r="B1383" s="395" t="s">
        <v>8057</v>
      </c>
      <c r="C1383" s="395"/>
      <c r="D1383" s="396">
        <v>1139</v>
      </c>
      <c r="E1383" s="396">
        <v>1139</v>
      </c>
      <c r="F1383" s="395">
        <v>0</v>
      </c>
      <c r="G1383" s="395">
        <v>0</v>
      </c>
      <c r="H1383" s="395">
        <v>51</v>
      </c>
      <c r="I1383" s="396">
        <v>6213</v>
      </c>
      <c r="J1383" s="395">
        <v>4</v>
      </c>
      <c r="K1383" s="395">
        <v>4</v>
      </c>
      <c r="L1383" s="397">
        <v>1</v>
      </c>
      <c r="M1383" s="395">
        <v>0</v>
      </c>
      <c r="N1383" s="395">
        <v>285</v>
      </c>
      <c r="O1383" s="395">
        <v>285</v>
      </c>
      <c r="P1383" s="395">
        <v>0</v>
      </c>
      <c r="Q1383" s="395">
        <v>0</v>
      </c>
      <c r="R1383" s="395">
        <v>519</v>
      </c>
      <c r="S1383" s="395">
        <v>0</v>
      </c>
      <c r="T1383" s="396">
        <v>2566</v>
      </c>
      <c r="U1383" s="396">
        <v>-2087</v>
      </c>
      <c r="V1383" s="395">
        <v>15421</v>
      </c>
      <c r="W1383" s="395">
        <v>15421</v>
      </c>
      <c r="X1383" s="395">
        <v>77220</v>
      </c>
      <c r="Y1383" s="395">
        <v>0</v>
      </c>
      <c r="Z1383" s="396">
        <v>8401312</v>
      </c>
      <c r="AA1383" s="396">
        <v>1139</v>
      </c>
      <c r="AB1383" s="396">
        <v>-3709677</v>
      </c>
      <c r="AC1383" s="396">
        <v>10207916</v>
      </c>
    </row>
    <row r="1384" spans="1:29">
      <c r="A1384">
        <v>2017</v>
      </c>
      <c r="B1384" s="395" t="s">
        <v>6915</v>
      </c>
      <c r="C1384" s="395"/>
      <c r="D1384" s="396">
        <v>1131</v>
      </c>
      <c r="E1384" s="396">
        <v>144676</v>
      </c>
      <c r="F1384" s="395">
        <v>1.01</v>
      </c>
      <c r="G1384" s="396">
        <v>-143545</v>
      </c>
      <c r="H1384" s="396">
        <v>21897</v>
      </c>
      <c r="I1384" s="396">
        <v>2325959</v>
      </c>
      <c r="J1384" s="395">
        <v>267</v>
      </c>
      <c r="K1384" s="395">
        <v>157</v>
      </c>
      <c r="L1384" s="397">
        <v>0.58799999999999997</v>
      </c>
      <c r="M1384" s="395">
        <v>110</v>
      </c>
      <c r="N1384" s="395">
        <v>4</v>
      </c>
      <c r="O1384" s="395">
        <v>922</v>
      </c>
      <c r="P1384" s="395">
        <v>0.71</v>
      </c>
      <c r="Q1384" s="396">
        <v>-1305</v>
      </c>
      <c r="R1384" s="396">
        <v>3497</v>
      </c>
      <c r="S1384" s="396">
        <v>-7066</v>
      </c>
      <c r="T1384" s="396">
        <v>296263</v>
      </c>
      <c r="U1384" s="396">
        <v>-346387</v>
      </c>
      <c r="V1384" s="395">
        <v>8325.43</v>
      </c>
      <c r="W1384" s="395">
        <v>2282.92</v>
      </c>
      <c r="X1384" s="395">
        <v>77490</v>
      </c>
      <c r="Y1384" s="395">
        <v>16949.740000000002</v>
      </c>
      <c r="Z1384" s="396">
        <v>-9650206</v>
      </c>
      <c r="AA1384" s="396">
        <v>1131</v>
      </c>
      <c r="AB1384" s="396">
        <v>28592859</v>
      </c>
      <c r="AC1384" s="396">
        <v>10207916</v>
      </c>
    </row>
    <row r="1385" spans="1:29">
      <c r="A1385">
        <v>3094</v>
      </c>
      <c r="B1385" s="395" t="s">
        <v>7314</v>
      </c>
      <c r="C1385" s="395"/>
      <c r="D1385" s="396">
        <v>1064</v>
      </c>
      <c r="E1385" s="396">
        <v>236527</v>
      </c>
      <c r="F1385" s="395">
        <v>1</v>
      </c>
      <c r="G1385" s="396">
        <v>-235463</v>
      </c>
      <c r="H1385" s="396">
        <v>36617</v>
      </c>
      <c r="I1385" s="396">
        <v>1379047</v>
      </c>
      <c r="J1385" s="395">
        <v>269</v>
      </c>
      <c r="K1385" s="395">
        <v>186</v>
      </c>
      <c r="L1385" s="397">
        <v>0.69140000000000001</v>
      </c>
      <c r="M1385" s="395">
        <v>83</v>
      </c>
      <c r="N1385" s="395">
        <v>4</v>
      </c>
      <c r="O1385" s="396">
        <v>1272</v>
      </c>
      <c r="P1385" s="395">
        <v>0.45</v>
      </c>
      <c r="Q1385" s="396">
        <v>-2837</v>
      </c>
      <c r="R1385" s="396">
        <v>6680</v>
      </c>
      <c r="S1385" s="396">
        <v>-12757</v>
      </c>
      <c r="T1385" s="396">
        <v>187536</v>
      </c>
      <c r="U1385" s="396">
        <v>-200220</v>
      </c>
      <c r="V1385" s="395">
        <v>2242.39</v>
      </c>
      <c r="W1385" s="395">
        <v>977.08</v>
      </c>
      <c r="X1385" s="395">
        <v>77490</v>
      </c>
      <c r="Y1385" s="395">
        <v>5077.8999999999996</v>
      </c>
      <c r="Z1385" s="396">
        <v>-3715910</v>
      </c>
      <c r="AA1385" s="396">
        <v>1064</v>
      </c>
      <c r="AB1385" s="396">
        <v>22996133</v>
      </c>
      <c r="AC1385" s="396">
        <v>10207916</v>
      </c>
    </row>
    <row r="1386" spans="1:29">
      <c r="A1386">
        <v>1213</v>
      </c>
      <c r="B1386" s="395" t="s">
        <v>6686</v>
      </c>
      <c r="C1386" s="395"/>
      <c r="D1386" s="396">
        <v>1058</v>
      </c>
      <c r="E1386" s="396">
        <v>1058</v>
      </c>
      <c r="F1386" s="395">
        <v>0</v>
      </c>
      <c r="G1386" s="395">
        <v>0</v>
      </c>
      <c r="H1386" s="395">
        <v>132</v>
      </c>
      <c r="I1386" s="396">
        <v>16372</v>
      </c>
      <c r="J1386" s="395">
        <v>4</v>
      </c>
      <c r="K1386" s="395">
        <v>4</v>
      </c>
      <c r="L1386" s="397">
        <v>1</v>
      </c>
      <c r="M1386" s="395">
        <v>0</v>
      </c>
      <c r="N1386" s="395">
        <v>264</v>
      </c>
      <c r="O1386" s="395">
        <v>264</v>
      </c>
      <c r="P1386" s="395">
        <v>0</v>
      </c>
      <c r="Q1386" s="395">
        <v>0</v>
      </c>
      <c r="R1386" s="395">
        <v>465</v>
      </c>
      <c r="S1386" s="395">
        <v>0</v>
      </c>
      <c r="T1386" s="396">
        <v>2558</v>
      </c>
      <c r="U1386" s="396">
        <v>-1500</v>
      </c>
      <c r="V1386" s="395">
        <v>4596.5</v>
      </c>
      <c r="W1386" s="395">
        <v>4596.5</v>
      </c>
      <c r="X1386" s="395">
        <v>65340</v>
      </c>
      <c r="Y1386" s="395">
        <v>0</v>
      </c>
      <c r="Z1386" s="396">
        <v>1979893</v>
      </c>
      <c r="AA1386" s="396">
        <v>1058</v>
      </c>
      <c r="AB1386" s="396">
        <v>-1423027</v>
      </c>
      <c r="AC1386" s="396">
        <v>10207916</v>
      </c>
    </row>
    <row r="1387" spans="1:29">
      <c r="A1387">
        <v>1538</v>
      </c>
      <c r="B1387" s="395" t="s">
        <v>6809</v>
      </c>
      <c r="C1387" s="395"/>
      <c r="D1387" s="395">
        <v>971</v>
      </c>
      <c r="E1387" s="396">
        <v>4225</v>
      </c>
      <c r="F1387" s="395">
        <v>1.3</v>
      </c>
      <c r="G1387" s="396">
        <v>-3254</v>
      </c>
      <c r="H1387" s="395">
        <v>449</v>
      </c>
      <c r="I1387" s="396">
        <v>34880</v>
      </c>
      <c r="J1387" s="395">
        <v>12</v>
      </c>
      <c r="K1387" s="395">
        <v>7</v>
      </c>
      <c r="L1387" s="397">
        <v>0.58330000000000004</v>
      </c>
      <c r="M1387" s="395">
        <v>5</v>
      </c>
      <c r="N1387" s="395">
        <v>81</v>
      </c>
      <c r="O1387" s="395">
        <v>604</v>
      </c>
      <c r="P1387" s="395">
        <v>0.93</v>
      </c>
      <c r="Q1387" s="395">
        <v>-651</v>
      </c>
      <c r="R1387" s="396">
        <v>1198</v>
      </c>
      <c r="S1387" s="396">
        <v>-1038</v>
      </c>
      <c r="T1387" s="396">
        <v>5603</v>
      </c>
      <c r="U1387" s="396">
        <v>-3107</v>
      </c>
      <c r="V1387" s="395">
        <v>2961.83</v>
      </c>
      <c r="W1387" s="395">
        <v>1915.57</v>
      </c>
      <c r="X1387" s="395">
        <v>70200</v>
      </c>
      <c r="Y1387" s="395">
        <v>4426.6000000000004</v>
      </c>
      <c r="Z1387" s="396">
        <v>-2071752</v>
      </c>
      <c r="AA1387" s="395">
        <v>971</v>
      </c>
      <c r="AB1387" s="396">
        <v>-855263</v>
      </c>
      <c r="AC1387" s="396">
        <v>10207916</v>
      </c>
    </row>
    <row r="1388" spans="1:29">
      <c r="A1388">
        <v>3426</v>
      </c>
      <c r="B1388" s="395" t="s">
        <v>7420</v>
      </c>
      <c r="C1388" s="395"/>
      <c r="D1388" s="395">
        <v>965</v>
      </c>
      <c r="E1388" s="396">
        <v>5023</v>
      </c>
      <c r="F1388" s="395">
        <v>1.24</v>
      </c>
      <c r="G1388" s="396">
        <v>-4058</v>
      </c>
      <c r="H1388" s="396">
        <v>2188</v>
      </c>
      <c r="I1388" s="396">
        <v>386530</v>
      </c>
      <c r="J1388" s="395">
        <v>14</v>
      </c>
      <c r="K1388" s="395">
        <v>6</v>
      </c>
      <c r="L1388" s="397">
        <v>0.42859999999999998</v>
      </c>
      <c r="M1388" s="395">
        <v>8</v>
      </c>
      <c r="N1388" s="395">
        <v>69</v>
      </c>
      <c r="O1388" s="395">
        <v>837</v>
      </c>
      <c r="P1388" s="395">
        <v>1.65</v>
      </c>
      <c r="Q1388" s="395">
        <v>-507</v>
      </c>
      <c r="R1388" s="396">
        <v>1343</v>
      </c>
      <c r="S1388" s="396">
        <v>-1004</v>
      </c>
      <c r="T1388" s="396">
        <v>19905</v>
      </c>
      <c r="U1388" s="396">
        <v>-12400</v>
      </c>
      <c r="V1388" s="395">
        <v>22650.639999999999</v>
      </c>
      <c r="W1388" s="395">
        <v>13475.83</v>
      </c>
      <c r="X1388" s="395">
        <v>64260</v>
      </c>
      <c r="Y1388" s="395">
        <v>29531.75</v>
      </c>
      <c r="Z1388" s="396">
        <v>652224</v>
      </c>
      <c r="AA1388" s="395">
        <v>965</v>
      </c>
      <c r="AB1388" s="396">
        <v>1891182</v>
      </c>
      <c r="AC1388" s="396">
        <v>10207916</v>
      </c>
    </row>
    <row r="1389" spans="1:29">
      <c r="A1389">
        <v>4419</v>
      </c>
      <c r="B1389" s="395" t="s">
        <v>7613</v>
      </c>
      <c r="C1389" s="395"/>
      <c r="D1389" s="395">
        <v>958</v>
      </c>
      <c r="E1389" s="395">
        <v>958</v>
      </c>
      <c r="F1389" s="395">
        <v>0</v>
      </c>
      <c r="G1389" s="395">
        <v>0</v>
      </c>
      <c r="H1389" s="395">
        <v>42</v>
      </c>
      <c r="I1389" s="396">
        <v>10000</v>
      </c>
      <c r="J1389" s="395">
        <v>1</v>
      </c>
      <c r="K1389" s="395">
        <v>1</v>
      </c>
      <c r="L1389" s="397">
        <v>1</v>
      </c>
      <c r="M1389" s="395">
        <v>0</v>
      </c>
      <c r="N1389" s="395">
        <v>958</v>
      </c>
      <c r="O1389" s="395">
        <v>958</v>
      </c>
      <c r="P1389" s="395">
        <v>0</v>
      </c>
      <c r="Q1389" s="395">
        <v>0</v>
      </c>
      <c r="R1389" s="395">
        <v>958</v>
      </c>
      <c r="S1389" s="395">
        <v>0</v>
      </c>
      <c r="T1389" s="395">
        <v>978</v>
      </c>
      <c r="U1389" s="395">
        <v>-20</v>
      </c>
      <c r="V1389" s="395">
        <v>554</v>
      </c>
      <c r="W1389" s="395">
        <v>554</v>
      </c>
      <c r="X1389" s="395">
        <v>33210</v>
      </c>
      <c r="Y1389" s="395">
        <v>0</v>
      </c>
      <c r="Z1389" s="396">
        <v>4780220</v>
      </c>
      <c r="AA1389" s="395">
        <v>958</v>
      </c>
      <c r="AB1389" s="396">
        <v>-654545</v>
      </c>
      <c r="AC1389" s="396">
        <v>10207916</v>
      </c>
    </row>
    <row r="1390" spans="1:29">
      <c r="A1390">
        <v>6225</v>
      </c>
      <c r="B1390" s="395" t="s">
        <v>8011</v>
      </c>
      <c r="C1390" s="395"/>
      <c r="D1390" s="395">
        <v>706</v>
      </c>
      <c r="E1390" s="395">
        <v>896</v>
      </c>
      <c r="F1390" s="395">
        <v>4.72</v>
      </c>
      <c r="G1390" s="395">
        <v>-190</v>
      </c>
      <c r="H1390" s="395">
        <v>64</v>
      </c>
      <c r="I1390" s="396">
        <v>9010</v>
      </c>
      <c r="J1390" s="395">
        <v>3</v>
      </c>
      <c r="K1390" s="395">
        <v>2</v>
      </c>
      <c r="L1390" s="397">
        <v>0.66669999999999996</v>
      </c>
      <c r="M1390" s="395">
        <v>1</v>
      </c>
      <c r="N1390" s="395">
        <v>235</v>
      </c>
      <c r="O1390" s="395">
        <v>448</v>
      </c>
      <c r="P1390" s="395">
        <v>2.36</v>
      </c>
      <c r="Q1390" s="395">
        <v>-190</v>
      </c>
      <c r="R1390" s="395">
        <v>742</v>
      </c>
      <c r="S1390" s="395">
        <v>-190</v>
      </c>
      <c r="T1390" s="396">
        <v>1206</v>
      </c>
      <c r="U1390" s="395">
        <v>-500</v>
      </c>
      <c r="V1390" s="395">
        <v>191</v>
      </c>
      <c r="W1390" s="395">
        <v>106</v>
      </c>
      <c r="X1390" s="395">
        <v>70200</v>
      </c>
      <c r="Y1390" s="395">
        <v>361</v>
      </c>
      <c r="Z1390" s="396">
        <v>1585460</v>
      </c>
      <c r="AA1390" s="395">
        <v>706</v>
      </c>
      <c r="AB1390" s="396">
        <v>2865437</v>
      </c>
      <c r="AC1390" s="396">
        <v>10207916</v>
      </c>
    </row>
    <row r="1391" spans="1:29">
      <c r="A1391">
        <v>3229</v>
      </c>
      <c r="B1391" s="395" t="s">
        <v>7355</v>
      </c>
      <c r="C1391" s="395"/>
      <c r="D1391" s="395">
        <v>690</v>
      </c>
      <c r="E1391" s="396">
        <v>5536</v>
      </c>
      <c r="F1391" s="395">
        <v>1.1399999999999999</v>
      </c>
      <c r="G1391" s="396">
        <v>-4846</v>
      </c>
      <c r="H1391" s="395">
        <v>482</v>
      </c>
      <c r="I1391" s="396">
        <v>45250</v>
      </c>
      <c r="J1391" s="395">
        <v>16</v>
      </c>
      <c r="K1391" s="395">
        <v>11</v>
      </c>
      <c r="L1391" s="397">
        <v>0.6875</v>
      </c>
      <c r="M1391" s="395">
        <v>5</v>
      </c>
      <c r="N1391" s="395">
        <v>43</v>
      </c>
      <c r="O1391" s="395">
        <v>503</v>
      </c>
      <c r="P1391" s="395">
        <v>0.52</v>
      </c>
      <c r="Q1391" s="395">
        <v>-969</v>
      </c>
      <c r="R1391" s="396">
        <v>1316</v>
      </c>
      <c r="S1391" s="396">
        <v>-2366</v>
      </c>
      <c r="T1391" s="396">
        <v>9208</v>
      </c>
      <c r="U1391" s="396">
        <v>-7139</v>
      </c>
      <c r="V1391" s="395">
        <v>3801.38</v>
      </c>
      <c r="W1391" s="395">
        <v>714.64</v>
      </c>
      <c r="X1391" s="395">
        <v>75330</v>
      </c>
      <c r="Y1391" s="395">
        <v>10592.2</v>
      </c>
      <c r="Z1391" s="396">
        <v>-10980340</v>
      </c>
      <c r="AA1391" s="395">
        <v>690</v>
      </c>
      <c r="AB1391" s="396">
        <v>944937</v>
      </c>
      <c r="AC1391" s="396">
        <v>10207916</v>
      </c>
    </row>
    <row r="1392" spans="1:29">
      <c r="A1392">
        <v>6265</v>
      </c>
      <c r="B1392" s="395" t="s">
        <v>8039</v>
      </c>
      <c r="C1392" s="395"/>
      <c r="D1392" s="395">
        <v>633</v>
      </c>
      <c r="E1392" s="396">
        <v>69073</v>
      </c>
      <c r="F1392" s="395">
        <v>1.01</v>
      </c>
      <c r="G1392" s="396">
        <v>-68440</v>
      </c>
      <c r="H1392" s="396">
        <v>11597</v>
      </c>
      <c r="I1392" s="396">
        <v>474323</v>
      </c>
      <c r="J1392" s="395">
        <v>260</v>
      </c>
      <c r="K1392" s="395">
        <v>196</v>
      </c>
      <c r="L1392" s="397">
        <v>0.75380000000000003</v>
      </c>
      <c r="M1392" s="395">
        <v>64</v>
      </c>
      <c r="N1392" s="395">
        <v>2</v>
      </c>
      <c r="O1392" s="395">
        <v>352</v>
      </c>
      <c r="P1392" s="395">
        <v>0.33</v>
      </c>
      <c r="Q1392" s="396">
        <v>-1069</v>
      </c>
      <c r="R1392" s="396">
        <v>1485</v>
      </c>
      <c r="S1392" s="396">
        <v>-4062</v>
      </c>
      <c r="T1392" s="396">
        <v>73115</v>
      </c>
      <c r="U1392" s="396">
        <v>-74978</v>
      </c>
      <c r="V1392" s="395">
        <v>2010.55</v>
      </c>
      <c r="W1392" s="395">
        <v>1175.48</v>
      </c>
      <c r="X1392" s="395">
        <v>77490</v>
      </c>
      <c r="Y1392" s="395">
        <v>4567.9399999999996</v>
      </c>
      <c r="Z1392" s="396">
        <v>-5980338</v>
      </c>
      <c r="AA1392" s="395">
        <v>633</v>
      </c>
      <c r="AB1392" s="396">
        <v>31024540</v>
      </c>
      <c r="AC1392" s="396">
        <v>10207916</v>
      </c>
    </row>
    <row r="1393" spans="1:29">
      <c r="A1393">
        <v>8249</v>
      </c>
      <c r="B1393" s="395" t="s">
        <v>8300</v>
      </c>
      <c r="C1393" s="395"/>
      <c r="D1393" s="395">
        <v>570</v>
      </c>
      <c r="E1393" s="396">
        <v>144134</v>
      </c>
      <c r="F1393" s="395">
        <v>1</v>
      </c>
      <c r="G1393" s="396">
        <v>-143564</v>
      </c>
      <c r="H1393" s="396">
        <v>24992</v>
      </c>
      <c r="I1393" s="396">
        <v>1423604</v>
      </c>
      <c r="J1393" s="395">
        <v>251</v>
      </c>
      <c r="K1393" s="395">
        <v>169</v>
      </c>
      <c r="L1393" s="397">
        <v>0.67330000000000001</v>
      </c>
      <c r="M1393" s="395">
        <v>82</v>
      </c>
      <c r="N1393" s="395">
        <v>2</v>
      </c>
      <c r="O1393" s="395">
        <v>853</v>
      </c>
      <c r="P1393" s="395">
        <v>0.49</v>
      </c>
      <c r="Q1393" s="396">
        <v>-1751</v>
      </c>
      <c r="R1393" s="396">
        <v>3014</v>
      </c>
      <c r="S1393" s="396">
        <v>-5100</v>
      </c>
      <c r="T1393" s="396">
        <v>134927</v>
      </c>
      <c r="U1393" s="396">
        <v>-126983</v>
      </c>
      <c r="V1393" s="395">
        <v>4551.99</v>
      </c>
      <c r="W1393" s="395">
        <v>2163.2199999999998</v>
      </c>
      <c r="X1393" s="395">
        <v>77490</v>
      </c>
      <c r="Y1393" s="395">
        <v>9475.17</v>
      </c>
      <c r="Z1393" s="396">
        <v>-4219100</v>
      </c>
      <c r="AA1393" s="395">
        <v>570</v>
      </c>
      <c r="AB1393" s="396">
        <v>9786423</v>
      </c>
      <c r="AC1393" s="396">
        <v>10207916</v>
      </c>
    </row>
    <row r="1394" spans="1:29">
      <c r="A1394">
        <v>6404</v>
      </c>
      <c r="B1394" s="395" t="s">
        <v>8062</v>
      </c>
      <c r="C1394" s="395"/>
      <c r="D1394" s="395">
        <v>484</v>
      </c>
      <c r="E1394" s="395">
        <v>484</v>
      </c>
      <c r="F1394" s="395">
        <v>0</v>
      </c>
      <c r="G1394" s="395">
        <v>0</v>
      </c>
      <c r="H1394" s="395">
        <v>56</v>
      </c>
      <c r="I1394" s="396">
        <v>13570</v>
      </c>
      <c r="J1394" s="395">
        <v>2</v>
      </c>
      <c r="K1394" s="395">
        <v>2</v>
      </c>
      <c r="L1394" s="397">
        <v>1</v>
      </c>
      <c r="M1394" s="395">
        <v>0</v>
      </c>
      <c r="N1394" s="395">
        <v>242</v>
      </c>
      <c r="O1394" s="395">
        <v>242</v>
      </c>
      <c r="P1394" s="395">
        <v>0</v>
      </c>
      <c r="Q1394" s="395">
        <v>0</v>
      </c>
      <c r="R1394" s="395">
        <v>392</v>
      </c>
      <c r="S1394" s="395">
        <v>0</v>
      </c>
      <c r="T1394" s="395">
        <v>484</v>
      </c>
      <c r="U1394" s="395">
        <v>0</v>
      </c>
      <c r="V1394" s="395">
        <v>496</v>
      </c>
      <c r="W1394" s="395">
        <v>496</v>
      </c>
      <c r="X1394" s="395">
        <v>64800</v>
      </c>
      <c r="Y1394" s="395">
        <v>0</v>
      </c>
      <c r="Z1394" s="396">
        <v>1838378</v>
      </c>
      <c r="AA1394" s="395">
        <v>484</v>
      </c>
      <c r="AB1394" s="396">
        <v>19445853</v>
      </c>
      <c r="AC1394" s="396">
        <v>10207916</v>
      </c>
    </row>
    <row r="1395" spans="1:29">
      <c r="A1395">
        <v>4198</v>
      </c>
      <c r="B1395" s="395" t="s">
        <v>7599</v>
      </c>
      <c r="C1395" s="395"/>
      <c r="D1395" s="395">
        <v>463</v>
      </c>
      <c r="E1395" s="395">
        <v>463</v>
      </c>
      <c r="F1395" s="395">
        <v>0</v>
      </c>
      <c r="G1395" s="395">
        <v>0</v>
      </c>
      <c r="H1395" s="395">
        <v>27</v>
      </c>
      <c r="I1395" s="396">
        <v>6530</v>
      </c>
      <c r="J1395" s="395">
        <v>1</v>
      </c>
      <c r="K1395" s="395">
        <v>1</v>
      </c>
      <c r="L1395" s="397">
        <v>1</v>
      </c>
      <c r="M1395" s="395">
        <v>0</v>
      </c>
      <c r="N1395" s="395">
        <v>463</v>
      </c>
      <c r="O1395" s="395">
        <v>463</v>
      </c>
      <c r="P1395" s="395">
        <v>0</v>
      </c>
      <c r="Q1395" s="395">
        <v>0</v>
      </c>
      <c r="R1395" s="395">
        <v>463</v>
      </c>
      <c r="S1395" s="395">
        <v>0</v>
      </c>
      <c r="T1395" s="395">
        <v>506</v>
      </c>
      <c r="U1395" s="395">
        <v>-43</v>
      </c>
      <c r="V1395" s="395">
        <v>271</v>
      </c>
      <c r="W1395" s="395">
        <v>271</v>
      </c>
      <c r="X1395" s="395">
        <v>76410</v>
      </c>
      <c r="Y1395" s="395">
        <v>0</v>
      </c>
      <c r="Z1395" s="396">
        <v>3537919</v>
      </c>
      <c r="AA1395" s="395">
        <v>463</v>
      </c>
      <c r="AB1395" s="396">
        <v>-15732190</v>
      </c>
      <c r="AC1395" s="396">
        <v>10207916</v>
      </c>
    </row>
    <row r="1396" spans="1:29">
      <c r="A1396">
        <v>3632</v>
      </c>
      <c r="B1396" s="395" t="s">
        <v>7511</v>
      </c>
      <c r="C1396" s="395"/>
      <c r="D1396" s="395">
        <v>460</v>
      </c>
      <c r="E1396" s="395">
        <v>460</v>
      </c>
      <c r="F1396" s="395">
        <v>0</v>
      </c>
      <c r="G1396" s="395">
        <v>0</v>
      </c>
      <c r="H1396" s="395">
        <v>80</v>
      </c>
      <c r="I1396" s="396">
        <v>19760</v>
      </c>
      <c r="J1396" s="395">
        <v>2</v>
      </c>
      <c r="K1396" s="395">
        <v>2</v>
      </c>
      <c r="L1396" s="397">
        <v>1</v>
      </c>
      <c r="M1396" s="395">
        <v>0</v>
      </c>
      <c r="N1396" s="395">
        <v>230</v>
      </c>
      <c r="O1396" s="395">
        <v>230</v>
      </c>
      <c r="P1396" s="395">
        <v>0</v>
      </c>
      <c r="Q1396" s="395">
        <v>0</v>
      </c>
      <c r="R1396" s="395">
        <v>350</v>
      </c>
      <c r="S1396" s="395">
        <v>0</v>
      </c>
      <c r="T1396" s="396">
        <v>1060</v>
      </c>
      <c r="U1396" s="395">
        <v>-600</v>
      </c>
      <c r="V1396" s="395">
        <v>3105</v>
      </c>
      <c r="W1396" s="395">
        <v>3105</v>
      </c>
      <c r="X1396" s="395">
        <v>76140</v>
      </c>
      <c r="Y1396" s="395">
        <v>0</v>
      </c>
      <c r="Z1396" s="396">
        <v>950749</v>
      </c>
      <c r="AA1396" s="395">
        <v>460</v>
      </c>
      <c r="AB1396" s="396">
        <v>-4514563</v>
      </c>
      <c r="AC1396" s="396">
        <v>10207916</v>
      </c>
    </row>
    <row r="1397" spans="1:29">
      <c r="A1397">
        <v>3064</v>
      </c>
      <c r="B1397" s="395" t="s">
        <v>7299</v>
      </c>
      <c r="C1397" s="395"/>
      <c r="D1397" s="395">
        <v>390</v>
      </c>
      <c r="E1397" s="395">
        <v>390</v>
      </c>
      <c r="F1397" s="395">
        <v>0</v>
      </c>
      <c r="G1397" s="395">
        <v>0</v>
      </c>
      <c r="H1397" s="395">
        <v>60</v>
      </c>
      <c r="I1397" s="396">
        <v>14850</v>
      </c>
      <c r="J1397" s="395">
        <v>1</v>
      </c>
      <c r="K1397" s="395">
        <v>1</v>
      </c>
      <c r="L1397" s="397">
        <v>1</v>
      </c>
      <c r="M1397" s="395">
        <v>0</v>
      </c>
      <c r="N1397" s="395">
        <v>390</v>
      </c>
      <c r="O1397" s="395">
        <v>390</v>
      </c>
      <c r="P1397" s="395">
        <v>0</v>
      </c>
      <c r="Q1397" s="395">
        <v>0</v>
      </c>
      <c r="R1397" s="395">
        <v>390</v>
      </c>
      <c r="S1397" s="395">
        <v>0</v>
      </c>
      <c r="T1397" s="395">
        <v>390</v>
      </c>
      <c r="U1397" s="395">
        <v>0</v>
      </c>
      <c r="V1397" s="395">
        <v>2</v>
      </c>
      <c r="W1397" s="395">
        <v>2</v>
      </c>
      <c r="X1397" s="395">
        <v>61290</v>
      </c>
      <c r="Y1397" s="395">
        <v>0</v>
      </c>
      <c r="Z1397" s="396">
        <v>1313131</v>
      </c>
      <c r="AA1397" s="395">
        <v>390</v>
      </c>
      <c r="AB1397" s="396">
        <v>-28691935</v>
      </c>
      <c r="AC1397" s="396">
        <v>10207916</v>
      </c>
    </row>
    <row r="1398" spans="1:29">
      <c r="A1398">
        <v>4131</v>
      </c>
      <c r="B1398" s="395" t="s">
        <v>7571</v>
      </c>
      <c r="C1398" s="395"/>
      <c r="D1398" s="395">
        <v>355</v>
      </c>
      <c r="E1398" s="395">
        <v>870</v>
      </c>
      <c r="F1398" s="395">
        <v>1.69</v>
      </c>
      <c r="G1398" s="395">
        <v>-515</v>
      </c>
      <c r="H1398" s="395">
        <v>195</v>
      </c>
      <c r="I1398" s="396">
        <v>31816</v>
      </c>
      <c r="J1398" s="395">
        <v>3</v>
      </c>
      <c r="K1398" s="395">
        <v>2</v>
      </c>
      <c r="L1398" s="397">
        <v>0.66669999999999996</v>
      </c>
      <c r="M1398" s="395">
        <v>1</v>
      </c>
      <c r="N1398" s="395">
        <v>118</v>
      </c>
      <c r="O1398" s="395">
        <v>435</v>
      </c>
      <c r="P1398" s="395">
        <v>0.84</v>
      </c>
      <c r="Q1398" s="395">
        <v>-515</v>
      </c>
      <c r="R1398" s="395">
        <v>784</v>
      </c>
      <c r="S1398" s="395">
        <v>-515</v>
      </c>
      <c r="T1398" s="396">
        <v>1700</v>
      </c>
      <c r="U1398" s="396">
        <v>-2100</v>
      </c>
      <c r="V1398" s="395">
        <v>2260.33</v>
      </c>
      <c r="W1398" s="395">
        <v>1920.5</v>
      </c>
      <c r="X1398" s="395">
        <v>72360</v>
      </c>
      <c r="Y1398" s="395">
        <v>2940</v>
      </c>
      <c r="Z1398" s="396">
        <v>1855715</v>
      </c>
      <c r="AA1398" s="395">
        <v>355</v>
      </c>
      <c r="AB1398" s="396">
        <v>48351</v>
      </c>
      <c r="AC1398" s="396">
        <v>10207916</v>
      </c>
    </row>
    <row r="1399" spans="1:29">
      <c r="A1399">
        <v>3629</v>
      </c>
      <c r="B1399" s="395" t="s">
        <v>7508</v>
      </c>
      <c r="C1399" s="395"/>
      <c r="D1399" s="395">
        <v>334</v>
      </c>
      <c r="E1399" s="396">
        <v>1174</v>
      </c>
      <c r="F1399" s="395">
        <v>1.4</v>
      </c>
      <c r="G1399" s="395">
        <v>-840</v>
      </c>
      <c r="H1399" s="395">
        <v>466</v>
      </c>
      <c r="I1399" s="396">
        <v>116100</v>
      </c>
      <c r="J1399" s="395">
        <v>2</v>
      </c>
      <c r="K1399" s="395">
        <v>1</v>
      </c>
      <c r="L1399" s="397">
        <v>0.5</v>
      </c>
      <c r="M1399" s="395">
        <v>1</v>
      </c>
      <c r="N1399" s="395">
        <v>167</v>
      </c>
      <c r="O1399" s="396">
        <v>1174</v>
      </c>
      <c r="P1399" s="395">
        <v>1.4</v>
      </c>
      <c r="Q1399" s="395">
        <v>-840</v>
      </c>
      <c r="R1399" s="396">
        <v>1174</v>
      </c>
      <c r="S1399" s="395">
        <v>-840</v>
      </c>
      <c r="T1399" s="396">
        <v>7081</v>
      </c>
      <c r="U1399" s="396">
        <v>-4133</v>
      </c>
      <c r="V1399" s="395">
        <v>952</v>
      </c>
      <c r="W1399" s="395">
        <v>950</v>
      </c>
      <c r="X1399" s="395">
        <v>49410</v>
      </c>
      <c r="Y1399" s="395">
        <v>954</v>
      </c>
      <c r="Z1399" s="396">
        <v>-1399069</v>
      </c>
      <c r="AA1399" s="395">
        <v>334</v>
      </c>
      <c r="AB1399" s="396">
        <v>-1700752</v>
      </c>
      <c r="AC1399" s="396">
        <v>10207916</v>
      </c>
    </row>
    <row r="1400" spans="1:29">
      <c r="A1400">
        <v>5314</v>
      </c>
      <c r="B1400" s="395" t="s">
        <v>7804</v>
      </c>
      <c r="C1400" s="395"/>
      <c r="D1400" s="395">
        <v>325</v>
      </c>
      <c r="E1400" s="395">
        <v>325</v>
      </c>
      <c r="F1400" s="395">
        <v>0</v>
      </c>
      <c r="G1400" s="395">
        <v>0</v>
      </c>
      <c r="H1400" s="395">
        <v>25</v>
      </c>
      <c r="I1400" s="396">
        <v>6050</v>
      </c>
      <c r="J1400" s="395">
        <v>1</v>
      </c>
      <c r="K1400" s="395">
        <v>1</v>
      </c>
      <c r="L1400" s="397">
        <v>1</v>
      </c>
      <c r="M1400" s="395">
        <v>0</v>
      </c>
      <c r="N1400" s="395">
        <v>325</v>
      </c>
      <c r="O1400" s="395">
        <v>325</v>
      </c>
      <c r="P1400" s="395">
        <v>0</v>
      </c>
      <c r="Q1400" s="395">
        <v>0</v>
      </c>
      <c r="R1400" s="395">
        <v>325</v>
      </c>
      <c r="S1400" s="395">
        <v>0</v>
      </c>
      <c r="T1400" s="395">
        <v>325</v>
      </c>
      <c r="U1400" s="395">
        <v>0</v>
      </c>
      <c r="V1400" s="395">
        <v>121</v>
      </c>
      <c r="W1400" s="395">
        <v>121</v>
      </c>
      <c r="X1400" s="395">
        <v>71280</v>
      </c>
      <c r="Y1400" s="395">
        <v>0</v>
      </c>
      <c r="Z1400" s="396">
        <v>2685950</v>
      </c>
      <c r="AA1400" s="395">
        <v>325</v>
      </c>
      <c r="AB1400" s="396">
        <v>-8443018</v>
      </c>
      <c r="AC1400" s="396">
        <v>10207916</v>
      </c>
    </row>
    <row r="1401" spans="1:29">
      <c r="A1401">
        <v>4712</v>
      </c>
      <c r="B1401" s="395" t="s">
        <v>7671</v>
      </c>
      <c r="C1401" s="395"/>
      <c r="D1401" s="395">
        <v>313</v>
      </c>
      <c r="E1401" s="395">
        <v>313</v>
      </c>
      <c r="F1401" s="395">
        <v>0</v>
      </c>
      <c r="G1401" s="395">
        <v>0</v>
      </c>
      <c r="H1401" s="395">
        <v>27</v>
      </c>
      <c r="I1401" s="396">
        <v>6620</v>
      </c>
      <c r="J1401" s="395">
        <v>1</v>
      </c>
      <c r="K1401" s="395">
        <v>1</v>
      </c>
      <c r="L1401" s="397">
        <v>1</v>
      </c>
      <c r="M1401" s="395">
        <v>0</v>
      </c>
      <c r="N1401" s="395">
        <v>313</v>
      </c>
      <c r="O1401" s="395">
        <v>313</v>
      </c>
      <c r="P1401" s="395">
        <v>0</v>
      </c>
      <c r="Q1401" s="395">
        <v>0</v>
      </c>
      <c r="R1401" s="395">
        <v>313</v>
      </c>
      <c r="S1401" s="395">
        <v>0</v>
      </c>
      <c r="T1401" s="395">
        <v>826</v>
      </c>
      <c r="U1401" s="395">
        <v>-580</v>
      </c>
      <c r="V1401" s="395">
        <v>2401</v>
      </c>
      <c r="W1401" s="395">
        <v>2401</v>
      </c>
      <c r="X1401" s="395">
        <v>45090</v>
      </c>
      <c r="Y1401" s="395">
        <v>0</v>
      </c>
      <c r="Z1401" s="396">
        <v>2364429</v>
      </c>
      <c r="AA1401" s="395">
        <v>313</v>
      </c>
      <c r="AB1401" s="396">
        <v>-3798611</v>
      </c>
      <c r="AC1401" s="396">
        <v>10207916</v>
      </c>
    </row>
    <row r="1402" spans="1:29">
      <c r="A1402">
        <v>1443</v>
      </c>
      <c r="B1402" s="395" t="s">
        <v>6754</v>
      </c>
      <c r="C1402" s="395"/>
      <c r="D1402" s="395">
        <v>288</v>
      </c>
      <c r="E1402" s="396">
        <v>35785</v>
      </c>
      <c r="F1402" s="395">
        <v>1.01</v>
      </c>
      <c r="G1402" s="396">
        <v>-35497</v>
      </c>
      <c r="H1402" s="396">
        <v>6912</v>
      </c>
      <c r="I1402" s="396">
        <v>518962</v>
      </c>
      <c r="J1402" s="395">
        <v>118</v>
      </c>
      <c r="K1402" s="395">
        <v>72</v>
      </c>
      <c r="L1402" s="397">
        <v>0.61019999999999996</v>
      </c>
      <c r="M1402" s="395">
        <v>46</v>
      </c>
      <c r="N1402" s="395">
        <v>2</v>
      </c>
      <c r="O1402" s="395">
        <v>497</v>
      </c>
      <c r="P1402" s="395">
        <v>0.64</v>
      </c>
      <c r="Q1402" s="395">
        <v>-772</v>
      </c>
      <c r="R1402" s="396">
        <v>3101</v>
      </c>
      <c r="S1402" s="396">
        <v>-1767</v>
      </c>
      <c r="T1402" s="396">
        <v>35715</v>
      </c>
      <c r="U1402" s="396">
        <v>-44589</v>
      </c>
      <c r="V1402" s="395">
        <v>6327.62</v>
      </c>
      <c r="W1402" s="395">
        <v>2805.81</v>
      </c>
      <c r="X1402" s="395">
        <v>76950</v>
      </c>
      <c r="Y1402" s="395">
        <v>11840.02</v>
      </c>
      <c r="Z1402" s="396">
        <v>6350495</v>
      </c>
      <c r="AA1402" s="395">
        <v>288</v>
      </c>
      <c r="AB1402" s="396">
        <v>16711864</v>
      </c>
      <c r="AC1402" s="396">
        <v>10207916</v>
      </c>
    </row>
    <row r="1403" spans="1:29">
      <c r="A1403">
        <v>4304</v>
      </c>
      <c r="B1403" s="395" t="s">
        <v>7603</v>
      </c>
      <c r="C1403" s="395"/>
      <c r="D1403" s="395">
        <v>272</v>
      </c>
      <c r="E1403" s="395">
        <v>272</v>
      </c>
      <c r="F1403" s="395">
        <v>0</v>
      </c>
      <c r="G1403" s="395">
        <v>0</v>
      </c>
      <c r="H1403" s="395">
        <v>28</v>
      </c>
      <c r="I1403" s="396">
        <v>6780</v>
      </c>
      <c r="J1403" s="395">
        <v>1</v>
      </c>
      <c r="K1403" s="395">
        <v>1</v>
      </c>
      <c r="L1403" s="397">
        <v>1</v>
      </c>
      <c r="M1403" s="395">
        <v>0</v>
      </c>
      <c r="N1403" s="395">
        <v>272</v>
      </c>
      <c r="O1403" s="395">
        <v>272</v>
      </c>
      <c r="P1403" s="395">
        <v>0</v>
      </c>
      <c r="Q1403" s="395">
        <v>0</v>
      </c>
      <c r="R1403" s="395">
        <v>272</v>
      </c>
      <c r="S1403" s="395">
        <v>0</v>
      </c>
      <c r="T1403" s="395">
        <v>286</v>
      </c>
      <c r="U1403" s="395">
        <v>-14</v>
      </c>
      <c r="V1403" s="395">
        <v>361</v>
      </c>
      <c r="W1403" s="395">
        <v>361</v>
      </c>
      <c r="X1403" s="395">
        <v>62370</v>
      </c>
      <c r="Y1403" s="395">
        <v>0</v>
      </c>
      <c r="Z1403" s="396">
        <v>2001545</v>
      </c>
      <c r="AA1403" s="395">
        <v>272</v>
      </c>
      <c r="AB1403" s="396">
        <v>79508349</v>
      </c>
      <c r="AC1403" s="396">
        <v>10207916</v>
      </c>
    </row>
    <row r="1404" spans="1:29">
      <c r="A1404">
        <v>5381</v>
      </c>
      <c r="B1404" s="395" t="s">
        <v>7820</v>
      </c>
      <c r="C1404" s="395"/>
      <c r="D1404" s="395">
        <v>228</v>
      </c>
      <c r="E1404" s="395">
        <v>228</v>
      </c>
      <c r="F1404" s="395">
        <v>0</v>
      </c>
      <c r="G1404" s="395">
        <v>0</v>
      </c>
      <c r="H1404" s="395">
        <v>22</v>
      </c>
      <c r="I1404" s="396">
        <v>5400</v>
      </c>
      <c r="J1404" s="395">
        <v>1</v>
      </c>
      <c r="K1404" s="395">
        <v>1</v>
      </c>
      <c r="L1404" s="397">
        <v>1</v>
      </c>
      <c r="M1404" s="395">
        <v>0</v>
      </c>
      <c r="N1404" s="395">
        <v>228</v>
      </c>
      <c r="O1404" s="395">
        <v>228</v>
      </c>
      <c r="P1404" s="395">
        <v>0</v>
      </c>
      <c r="Q1404" s="395">
        <v>0</v>
      </c>
      <c r="R1404" s="395">
        <v>228</v>
      </c>
      <c r="S1404" s="395">
        <v>0</v>
      </c>
      <c r="T1404" s="395">
        <v>579</v>
      </c>
      <c r="U1404" s="395">
        <v>-351</v>
      </c>
      <c r="V1404" s="395">
        <v>2890</v>
      </c>
      <c r="W1404" s="395">
        <v>2890</v>
      </c>
      <c r="X1404" s="395">
        <v>77220</v>
      </c>
      <c r="Y1404" s="395">
        <v>0</v>
      </c>
      <c r="Z1404" s="396">
        <v>2101828</v>
      </c>
      <c r="AA1404" s="395">
        <v>228</v>
      </c>
      <c r="AB1404" s="396">
        <v>-1510673</v>
      </c>
      <c r="AC1404" s="396">
        <v>10207916</v>
      </c>
    </row>
    <row r="1405" spans="1:29">
      <c r="A1405">
        <v>4806</v>
      </c>
      <c r="B1405" s="395" t="s">
        <v>7699</v>
      </c>
      <c r="C1405" s="395"/>
      <c r="D1405" s="395">
        <v>209</v>
      </c>
      <c r="E1405" s="395">
        <v>209</v>
      </c>
      <c r="F1405" s="395">
        <v>0</v>
      </c>
      <c r="G1405" s="395">
        <v>0</v>
      </c>
      <c r="H1405" s="395">
        <v>41</v>
      </c>
      <c r="I1405" s="396">
        <v>10050</v>
      </c>
      <c r="J1405" s="395">
        <v>1</v>
      </c>
      <c r="K1405" s="395">
        <v>1</v>
      </c>
      <c r="L1405" s="397">
        <v>1</v>
      </c>
      <c r="M1405" s="395">
        <v>0</v>
      </c>
      <c r="N1405" s="395">
        <v>209</v>
      </c>
      <c r="O1405" s="395">
        <v>209</v>
      </c>
      <c r="P1405" s="395">
        <v>0</v>
      </c>
      <c r="Q1405" s="395">
        <v>0</v>
      </c>
      <c r="R1405" s="395">
        <v>209</v>
      </c>
      <c r="S1405" s="395">
        <v>0</v>
      </c>
      <c r="T1405" s="395">
        <v>209</v>
      </c>
      <c r="U1405" s="395">
        <v>0</v>
      </c>
      <c r="V1405" s="395">
        <v>1</v>
      </c>
      <c r="W1405" s="395">
        <v>1</v>
      </c>
      <c r="X1405" s="395">
        <v>74790</v>
      </c>
      <c r="Y1405" s="395">
        <v>0</v>
      </c>
      <c r="Z1405" s="396">
        <v>1039801</v>
      </c>
      <c r="AA1405" s="395">
        <v>209</v>
      </c>
      <c r="AB1405" s="396">
        <v>-10179167</v>
      </c>
      <c r="AC1405" s="396">
        <v>10207916</v>
      </c>
    </row>
    <row r="1406" spans="1:29">
      <c r="A1406">
        <v>1512</v>
      </c>
      <c r="B1406" s="395" t="s">
        <v>6787</v>
      </c>
      <c r="C1406" s="395"/>
      <c r="D1406" s="395">
        <v>182</v>
      </c>
      <c r="E1406" s="396">
        <v>1134</v>
      </c>
      <c r="F1406" s="395">
        <v>1.19</v>
      </c>
      <c r="G1406" s="395">
        <v>-952</v>
      </c>
      <c r="H1406" s="395">
        <v>118</v>
      </c>
      <c r="I1406" s="396">
        <v>10435</v>
      </c>
      <c r="J1406" s="395">
        <v>6</v>
      </c>
      <c r="K1406" s="395">
        <v>4</v>
      </c>
      <c r="L1406" s="397">
        <v>0.66669999999999996</v>
      </c>
      <c r="M1406" s="395">
        <v>2</v>
      </c>
      <c r="N1406" s="395">
        <v>30</v>
      </c>
      <c r="O1406" s="395">
        <v>283</v>
      </c>
      <c r="P1406" s="395">
        <v>0.59</v>
      </c>
      <c r="Q1406" s="395">
        <v>-476</v>
      </c>
      <c r="R1406" s="395">
        <v>729</v>
      </c>
      <c r="S1406" s="395">
        <v>-679</v>
      </c>
      <c r="T1406" s="396">
        <v>1518</v>
      </c>
      <c r="U1406" s="395">
        <v>-922</v>
      </c>
      <c r="V1406" s="395">
        <v>3560.83</v>
      </c>
      <c r="W1406" s="395">
        <v>3593.5</v>
      </c>
      <c r="X1406" s="395">
        <v>77220</v>
      </c>
      <c r="Y1406" s="395">
        <v>3495.5</v>
      </c>
      <c r="Z1406" s="396">
        <v>-4548858</v>
      </c>
      <c r="AA1406" s="395">
        <v>182</v>
      </c>
      <c r="AB1406" s="396">
        <v>-6703407</v>
      </c>
      <c r="AC1406" s="396">
        <v>10207916</v>
      </c>
    </row>
    <row r="1407" spans="1:29">
      <c r="A1407">
        <v>3095</v>
      </c>
      <c r="B1407" s="395" t="s">
        <v>7315</v>
      </c>
      <c r="C1407" s="395"/>
      <c r="D1407" s="395">
        <v>146</v>
      </c>
      <c r="E1407" s="395">
        <v>146</v>
      </c>
      <c r="F1407" s="395">
        <v>0</v>
      </c>
      <c r="G1407" s="395">
        <v>0</v>
      </c>
      <c r="H1407" s="395">
        <v>24</v>
      </c>
      <c r="I1407" s="396">
        <v>3032</v>
      </c>
      <c r="J1407" s="395">
        <v>2</v>
      </c>
      <c r="K1407" s="395">
        <v>2</v>
      </c>
      <c r="L1407" s="397">
        <v>1</v>
      </c>
      <c r="M1407" s="395">
        <v>0</v>
      </c>
      <c r="N1407" s="395">
        <v>73</v>
      </c>
      <c r="O1407" s="395">
        <v>73</v>
      </c>
      <c r="P1407" s="395">
        <v>0</v>
      </c>
      <c r="Q1407" s="395">
        <v>0</v>
      </c>
      <c r="R1407" s="395">
        <v>78</v>
      </c>
      <c r="S1407" s="395">
        <v>0</v>
      </c>
      <c r="T1407" s="395">
        <v>662</v>
      </c>
      <c r="U1407" s="395">
        <v>-520</v>
      </c>
      <c r="V1407" s="395">
        <v>8715.5</v>
      </c>
      <c r="W1407" s="395">
        <v>8715.5</v>
      </c>
      <c r="X1407" s="395">
        <v>76950</v>
      </c>
      <c r="Y1407" s="395">
        <v>0</v>
      </c>
      <c r="Z1407" s="396">
        <v>2464015</v>
      </c>
      <c r="AA1407" s="395">
        <v>146</v>
      </c>
      <c r="AB1407" s="396">
        <v>8107639</v>
      </c>
      <c r="AC1407" s="396">
        <v>10207916</v>
      </c>
    </row>
    <row r="1408" spans="1:29">
      <c r="A1408">
        <v>3536</v>
      </c>
      <c r="B1408" s="395" t="s">
        <v>7465</v>
      </c>
      <c r="C1408" s="395"/>
      <c r="D1408" s="395">
        <v>123</v>
      </c>
      <c r="E1408" s="395">
        <v>862</v>
      </c>
      <c r="F1408" s="395">
        <v>1.17</v>
      </c>
      <c r="G1408" s="395">
        <v>-739</v>
      </c>
      <c r="H1408" s="395">
        <v>177</v>
      </c>
      <c r="I1408" s="396">
        <v>15870</v>
      </c>
      <c r="J1408" s="395">
        <v>6</v>
      </c>
      <c r="K1408" s="395">
        <v>4</v>
      </c>
      <c r="L1408" s="397">
        <v>0.66669999999999996</v>
      </c>
      <c r="M1408" s="395">
        <v>2</v>
      </c>
      <c r="N1408" s="395">
        <v>20</v>
      </c>
      <c r="O1408" s="395">
        <v>215</v>
      </c>
      <c r="P1408" s="395">
        <v>0.57999999999999996</v>
      </c>
      <c r="Q1408" s="395">
        <v>-369</v>
      </c>
      <c r="R1408" s="395">
        <v>278</v>
      </c>
      <c r="S1408" s="395">
        <v>-515</v>
      </c>
      <c r="T1408" s="396">
        <v>1240</v>
      </c>
      <c r="U1408" s="396">
        <v>-1655</v>
      </c>
      <c r="V1408" s="395">
        <v>3640.67</v>
      </c>
      <c r="W1408" s="395">
        <v>271</v>
      </c>
      <c r="X1408" s="395">
        <v>76680</v>
      </c>
      <c r="Y1408" s="395">
        <v>10380</v>
      </c>
      <c r="Z1408" s="396">
        <v>-1395348</v>
      </c>
      <c r="AA1408" s="395">
        <v>123</v>
      </c>
      <c r="AB1408" s="396">
        <v>18646081</v>
      </c>
      <c r="AC1408" s="396">
        <v>10207916</v>
      </c>
    </row>
    <row r="1409" spans="1:29">
      <c r="A1409">
        <v>2719</v>
      </c>
      <c r="B1409" s="395" t="s">
        <v>7171</v>
      </c>
      <c r="C1409" s="395"/>
      <c r="D1409" s="395">
        <v>0</v>
      </c>
      <c r="E1409" s="395">
        <v>0</v>
      </c>
      <c r="F1409" s="395" t="s">
        <v>7172</v>
      </c>
      <c r="G1409" s="395">
        <v>0</v>
      </c>
      <c r="H1409" s="395">
        <v>0</v>
      </c>
      <c r="I1409" s="395">
        <v>0</v>
      </c>
      <c r="J1409" s="395">
        <v>0</v>
      </c>
      <c r="K1409" s="395">
        <v>0</v>
      </c>
      <c r="L1409" s="397">
        <v>0</v>
      </c>
      <c r="M1409" s="395">
        <v>0</v>
      </c>
      <c r="N1409" s="395">
        <v>0</v>
      </c>
      <c r="O1409" s="395">
        <v>0</v>
      </c>
      <c r="P1409" s="395">
        <v>0</v>
      </c>
      <c r="Q1409" s="395">
        <v>0</v>
      </c>
      <c r="R1409" s="395">
        <v>0</v>
      </c>
      <c r="S1409" s="395">
        <v>0</v>
      </c>
      <c r="T1409" s="395">
        <v>0</v>
      </c>
      <c r="U1409" s="395">
        <v>0</v>
      </c>
      <c r="V1409" s="395">
        <v>0</v>
      </c>
      <c r="W1409" s="395">
        <v>0</v>
      </c>
      <c r="X1409" s="395">
        <v>60480</v>
      </c>
      <c r="Y1409" s="395">
        <v>0</v>
      </c>
      <c r="Z1409" s="395">
        <v>0</v>
      </c>
      <c r="AA1409" s="395">
        <v>0</v>
      </c>
      <c r="AB1409" s="396">
        <v>33811659</v>
      </c>
      <c r="AC1409" s="396">
        <v>10207916</v>
      </c>
    </row>
    <row r="1410" spans="1:29">
      <c r="A1410">
        <v>2724</v>
      </c>
      <c r="B1410" s="395" t="s">
        <v>7175</v>
      </c>
      <c r="C1410" s="395"/>
      <c r="D1410" s="395">
        <v>0</v>
      </c>
      <c r="E1410" s="395">
        <v>0</v>
      </c>
      <c r="F1410" s="395" t="s">
        <v>7172</v>
      </c>
      <c r="G1410" s="395">
        <v>0</v>
      </c>
      <c r="H1410" s="395">
        <v>0</v>
      </c>
      <c r="I1410" s="395">
        <v>0</v>
      </c>
      <c r="J1410" s="395">
        <v>0</v>
      </c>
      <c r="K1410" s="395">
        <v>0</v>
      </c>
      <c r="L1410" s="397">
        <v>0</v>
      </c>
      <c r="M1410" s="395">
        <v>0</v>
      </c>
      <c r="N1410" s="395">
        <v>0</v>
      </c>
      <c r="O1410" s="395">
        <v>0</v>
      </c>
      <c r="P1410" s="395">
        <v>0</v>
      </c>
      <c r="Q1410" s="395">
        <v>0</v>
      </c>
      <c r="R1410" s="395">
        <v>0</v>
      </c>
      <c r="S1410" s="395">
        <v>0</v>
      </c>
      <c r="T1410" s="395">
        <v>0</v>
      </c>
      <c r="U1410" s="395">
        <v>0</v>
      </c>
      <c r="V1410" s="395">
        <v>0</v>
      </c>
      <c r="W1410" s="395">
        <v>0</v>
      </c>
      <c r="X1410" s="395">
        <v>62370</v>
      </c>
      <c r="Y1410" s="395">
        <v>0</v>
      </c>
      <c r="Z1410" s="395">
        <v>0</v>
      </c>
      <c r="AA1410" s="395">
        <v>0</v>
      </c>
      <c r="AB1410" s="396">
        <v>58867647</v>
      </c>
      <c r="AC1410" s="396">
        <v>10207916</v>
      </c>
    </row>
    <row r="1411" spans="1:29">
      <c r="A1411">
        <v>2740</v>
      </c>
      <c r="B1411" s="395" t="s">
        <v>7184</v>
      </c>
      <c r="C1411" s="395"/>
      <c r="D1411" s="395">
        <v>0</v>
      </c>
      <c r="E1411" s="395">
        <v>0</v>
      </c>
      <c r="F1411" s="395" t="s">
        <v>7172</v>
      </c>
      <c r="G1411" s="395">
        <v>0</v>
      </c>
      <c r="H1411" s="395">
        <v>0</v>
      </c>
      <c r="I1411" s="395">
        <v>0</v>
      </c>
      <c r="J1411" s="395">
        <v>0</v>
      </c>
      <c r="K1411" s="395">
        <v>0</v>
      </c>
      <c r="L1411" s="397">
        <v>0</v>
      </c>
      <c r="M1411" s="395">
        <v>0</v>
      </c>
      <c r="N1411" s="395">
        <v>0</v>
      </c>
      <c r="O1411" s="395">
        <v>0</v>
      </c>
      <c r="P1411" s="395">
        <v>0</v>
      </c>
      <c r="Q1411" s="395">
        <v>0</v>
      </c>
      <c r="R1411" s="395">
        <v>0</v>
      </c>
      <c r="S1411" s="395">
        <v>0</v>
      </c>
      <c r="T1411" s="395">
        <v>0</v>
      </c>
      <c r="U1411" s="395">
        <v>0</v>
      </c>
      <c r="V1411" s="395">
        <v>0</v>
      </c>
      <c r="W1411" s="395">
        <v>0</v>
      </c>
      <c r="X1411" s="395">
        <v>62640</v>
      </c>
      <c r="Y1411" s="395">
        <v>0</v>
      </c>
      <c r="Z1411" s="395">
        <v>0</v>
      </c>
      <c r="AA1411" s="395">
        <v>0</v>
      </c>
      <c r="AB1411" s="396">
        <v>9882353</v>
      </c>
      <c r="AC1411" s="396">
        <v>10207916</v>
      </c>
    </row>
    <row r="1412" spans="1:29">
      <c r="A1412">
        <v>3085</v>
      </c>
      <c r="B1412" s="395" t="s">
        <v>7307</v>
      </c>
      <c r="C1412" s="395"/>
      <c r="D1412" s="395">
        <v>0</v>
      </c>
      <c r="E1412" s="395">
        <v>0</v>
      </c>
      <c r="F1412" s="395" t="s">
        <v>7172</v>
      </c>
      <c r="G1412" s="395">
        <v>0</v>
      </c>
      <c r="H1412" s="395">
        <v>0</v>
      </c>
      <c r="I1412" s="395">
        <v>0</v>
      </c>
      <c r="J1412" s="395">
        <v>0</v>
      </c>
      <c r="K1412" s="395">
        <v>0</v>
      </c>
      <c r="L1412" s="397">
        <v>0</v>
      </c>
      <c r="M1412" s="395">
        <v>0</v>
      </c>
      <c r="N1412" s="395">
        <v>0</v>
      </c>
      <c r="O1412" s="395">
        <v>0</v>
      </c>
      <c r="P1412" s="395">
        <v>0</v>
      </c>
      <c r="Q1412" s="395">
        <v>0</v>
      </c>
      <c r="R1412" s="395">
        <v>0</v>
      </c>
      <c r="S1412" s="395">
        <v>0</v>
      </c>
      <c r="T1412" s="395">
        <v>0</v>
      </c>
      <c r="U1412" s="395">
        <v>0</v>
      </c>
      <c r="V1412" s="395">
        <v>0</v>
      </c>
      <c r="W1412" s="395">
        <v>0</v>
      </c>
      <c r="X1412" s="395">
        <v>72360</v>
      </c>
      <c r="Y1412" s="395">
        <v>0</v>
      </c>
      <c r="Z1412" s="395">
        <v>0</v>
      </c>
      <c r="AA1412" s="395">
        <v>0</v>
      </c>
      <c r="AB1412" s="396">
        <v>-4509091</v>
      </c>
      <c r="AC1412" s="396">
        <v>10207916</v>
      </c>
    </row>
    <row r="1413" spans="1:29">
      <c r="A1413">
        <v>3349</v>
      </c>
      <c r="B1413" s="395" t="s">
        <v>7399</v>
      </c>
      <c r="C1413" s="395"/>
      <c r="D1413" s="395">
        <v>0</v>
      </c>
      <c r="E1413" s="395">
        <v>0</v>
      </c>
      <c r="F1413" s="395" t="s">
        <v>7172</v>
      </c>
      <c r="G1413" s="395">
        <v>0</v>
      </c>
      <c r="H1413" s="395">
        <v>0</v>
      </c>
      <c r="I1413" s="395">
        <v>0</v>
      </c>
      <c r="J1413" s="395">
        <v>0</v>
      </c>
      <c r="K1413" s="395">
        <v>0</v>
      </c>
      <c r="L1413" s="397">
        <v>0</v>
      </c>
      <c r="M1413" s="395">
        <v>0</v>
      </c>
      <c r="N1413" s="395">
        <v>0</v>
      </c>
      <c r="O1413" s="395">
        <v>0</v>
      </c>
      <c r="P1413" s="395">
        <v>0</v>
      </c>
      <c r="Q1413" s="395">
        <v>0</v>
      </c>
      <c r="R1413" s="395">
        <v>0</v>
      </c>
      <c r="S1413" s="395">
        <v>0</v>
      </c>
      <c r="T1413" s="395">
        <v>0</v>
      </c>
      <c r="U1413" s="395">
        <v>0</v>
      </c>
      <c r="V1413" s="395">
        <v>0</v>
      </c>
      <c r="W1413" s="395">
        <v>0</v>
      </c>
      <c r="X1413" s="395">
        <v>0</v>
      </c>
      <c r="Y1413" s="395">
        <v>0</v>
      </c>
      <c r="Z1413" s="395">
        <v>0</v>
      </c>
      <c r="AA1413" s="395">
        <v>0</v>
      </c>
      <c r="AB1413" s="395">
        <v>0</v>
      </c>
      <c r="AC1413" s="396">
        <v>10207916</v>
      </c>
    </row>
    <row r="1414" spans="1:29">
      <c r="A1414">
        <v>4558</v>
      </c>
      <c r="B1414" s="395" t="s">
        <v>7653</v>
      </c>
      <c r="C1414" s="395"/>
      <c r="D1414" s="395">
        <v>0</v>
      </c>
      <c r="E1414" s="395">
        <v>0</v>
      </c>
      <c r="F1414" s="395" t="s">
        <v>7172</v>
      </c>
      <c r="G1414" s="395">
        <v>0</v>
      </c>
      <c r="H1414" s="395">
        <v>0</v>
      </c>
      <c r="I1414" s="395">
        <v>0</v>
      </c>
      <c r="J1414" s="395">
        <v>0</v>
      </c>
      <c r="K1414" s="395">
        <v>0</v>
      </c>
      <c r="L1414" s="397">
        <v>0</v>
      </c>
      <c r="M1414" s="395">
        <v>0</v>
      </c>
      <c r="N1414" s="395">
        <v>0</v>
      </c>
      <c r="O1414" s="395">
        <v>0</v>
      </c>
      <c r="P1414" s="395">
        <v>0</v>
      </c>
      <c r="Q1414" s="395">
        <v>0</v>
      </c>
      <c r="R1414" s="395">
        <v>0</v>
      </c>
      <c r="S1414" s="395">
        <v>0</v>
      </c>
      <c r="T1414" s="395">
        <v>0</v>
      </c>
      <c r="U1414" s="395">
        <v>0</v>
      </c>
      <c r="V1414" s="395">
        <v>0</v>
      </c>
      <c r="W1414" s="395">
        <v>0</v>
      </c>
      <c r="X1414" s="395">
        <v>0</v>
      </c>
      <c r="Y1414" s="395">
        <v>0</v>
      </c>
      <c r="Z1414" s="395">
        <v>0</v>
      </c>
      <c r="AA1414" s="395">
        <v>0</v>
      </c>
      <c r="AB1414" s="395">
        <v>0</v>
      </c>
      <c r="AC1414" s="396">
        <v>10207916</v>
      </c>
    </row>
    <row r="1415" spans="1:29">
      <c r="A1415">
        <v>4609</v>
      </c>
      <c r="B1415" s="395" t="s">
        <v>7666</v>
      </c>
      <c r="C1415" s="395"/>
      <c r="D1415" s="395">
        <v>0</v>
      </c>
      <c r="E1415" s="395">
        <v>0</v>
      </c>
      <c r="F1415" s="395" t="s">
        <v>7172</v>
      </c>
      <c r="G1415" s="395">
        <v>0</v>
      </c>
      <c r="H1415" s="395">
        <v>0</v>
      </c>
      <c r="I1415" s="395">
        <v>0</v>
      </c>
      <c r="J1415" s="395">
        <v>0</v>
      </c>
      <c r="K1415" s="395">
        <v>0</v>
      </c>
      <c r="L1415" s="397">
        <v>0</v>
      </c>
      <c r="M1415" s="395">
        <v>0</v>
      </c>
      <c r="N1415" s="395">
        <v>0</v>
      </c>
      <c r="O1415" s="395">
        <v>0</v>
      </c>
      <c r="P1415" s="395">
        <v>0</v>
      </c>
      <c r="Q1415" s="395">
        <v>0</v>
      </c>
      <c r="R1415" s="395">
        <v>0</v>
      </c>
      <c r="S1415" s="395">
        <v>0</v>
      </c>
      <c r="T1415" s="395">
        <v>0</v>
      </c>
      <c r="U1415" s="395">
        <v>0</v>
      </c>
      <c r="V1415" s="395">
        <v>0</v>
      </c>
      <c r="W1415" s="395">
        <v>0</v>
      </c>
      <c r="X1415" s="395">
        <v>64800</v>
      </c>
      <c r="Y1415" s="395">
        <v>0</v>
      </c>
      <c r="Z1415" s="395">
        <v>0</v>
      </c>
      <c r="AA1415" s="395">
        <v>0</v>
      </c>
      <c r="AB1415" s="396">
        <v>5961039</v>
      </c>
      <c r="AC1415" s="396">
        <v>10207916</v>
      </c>
    </row>
    <row r="1416" spans="1:29">
      <c r="A1416">
        <v>4923</v>
      </c>
      <c r="B1416" s="395" t="s">
        <v>7713</v>
      </c>
      <c r="C1416" s="395"/>
      <c r="D1416" s="395">
        <v>0</v>
      </c>
      <c r="E1416" s="395">
        <v>0</v>
      </c>
      <c r="F1416" s="395" t="s">
        <v>7172</v>
      </c>
      <c r="G1416" s="395">
        <v>0</v>
      </c>
      <c r="H1416" s="395">
        <v>0</v>
      </c>
      <c r="I1416" s="395">
        <v>0</v>
      </c>
      <c r="J1416" s="395">
        <v>0</v>
      </c>
      <c r="K1416" s="395">
        <v>0</v>
      </c>
      <c r="L1416" s="397">
        <v>0</v>
      </c>
      <c r="M1416" s="395">
        <v>0</v>
      </c>
      <c r="N1416" s="395">
        <v>0</v>
      </c>
      <c r="O1416" s="395">
        <v>0</v>
      </c>
      <c r="P1416" s="395">
        <v>0</v>
      </c>
      <c r="Q1416" s="395">
        <v>0</v>
      </c>
      <c r="R1416" s="395">
        <v>0</v>
      </c>
      <c r="S1416" s="395">
        <v>0</v>
      </c>
      <c r="T1416" s="395">
        <v>0</v>
      </c>
      <c r="U1416" s="395">
        <v>0</v>
      </c>
      <c r="V1416" s="395">
        <v>0</v>
      </c>
      <c r="W1416" s="395">
        <v>0</v>
      </c>
      <c r="X1416" s="395">
        <v>270</v>
      </c>
      <c r="Y1416" s="395">
        <v>0</v>
      </c>
      <c r="Z1416" s="395">
        <v>0</v>
      </c>
      <c r="AA1416" s="395">
        <v>0</v>
      </c>
      <c r="AB1416" s="396">
        <v>-721569</v>
      </c>
      <c r="AC1416" s="396">
        <v>10207916</v>
      </c>
    </row>
    <row r="1417" spans="1:29">
      <c r="A1417">
        <v>5205</v>
      </c>
      <c r="B1417" s="395" t="s">
        <v>7762</v>
      </c>
      <c r="C1417" s="395"/>
      <c r="D1417" s="395">
        <v>0</v>
      </c>
      <c r="E1417" s="395">
        <v>0</v>
      </c>
      <c r="F1417" s="395" t="s">
        <v>7172</v>
      </c>
      <c r="G1417" s="395">
        <v>0</v>
      </c>
      <c r="H1417" s="395">
        <v>0</v>
      </c>
      <c r="I1417" s="395">
        <v>0</v>
      </c>
      <c r="J1417" s="395">
        <v>0</v>
      </c>
      <c r="K1417" s="395">
        <v>0</v>
      </c>
      <c r="L1417" s="397">
        <v>0</v>
      </c>
      <c r="M1417" s="395">
        <v>0</v>
      </c>
      <c r="N1417" s="395">
        <v>0</v>
      </c>
      <c r="O1417" s="395">
        <v>0</v>
      </c>
      <c r="P1417" s="395">
        <v>0</v>
      </c>
      <c r="Q1417" s="395">
        <v>0</v>
      </c>
      <c r="R1417" s="395">
        <v>0</v>
      </c>
      <c r="S1417" s="395">
        <v>0</v>
      </c>
      <c r="T1417" s="395">
        <v>0</v>
      </c>
      <c r="U1417" s="395">
        <v>0</v>
      </c>
      <c r="V1417" s="395">
        <v>0</v>
      </c>
      <c r="W1417" s="395">
        <v>0</v>
      </c>
      <c r="X1417" s="395">
        <v>24570</v>
      </c>
      <c r="Y1417" s="395">
        <v>0</v>
      </c>
      <c r="Z1417" s="395">
        <v>0</v>
      </c>
      <c r="AA1417" s="395">
        <v>0</v>
      </c>
      <c r="AB1417" s="396">
        <v>-21533519</v>
      </c>
      <c r="AC1417" s="396">
        <v>10207916</v>
      </c>
    </row>
    <row r="1418" spans="1:29">
      <c r="A1418">
        <v>5310</v>
      </c>
      <c r="B1418" s="395" t="s">
        <v>7802</v>
      </c>
      <c r="C1418" s="395"/>
      <c r="D1418" s="395">
        <v>0</v>
      </c>
      <c r="E1418" s="395">
        <v>0</v>
      </c>
      <c r="F1418" s="395" t="s">
        <v>7172</v>
      </c>
      <c r="G1418" s="395">
        <v>0</v>
      </c>
      <c r="H1418" s="395">
        <v>0</v>
      </c>
      <c r="I1418" s="395">
        <v>0</v>
      </c>
      <c r="J1418" s="395">
        <v>0</v>
      </c>
      <c r="K1418" s="395">
        <v>0</v>
      </c>
      <c r="L1418" s="397">
        <v>0</v>
      </c>
      <c r="M1418" s="395">
        <v>0</v>
      </c>
      <c r="N1418" s="395">
        <v>0</v>
      </c>
      <c r="O1418" s="395">
        <v>0</v>
      </c>
      <c r="P1418" s="395">
        <v>0</v>
      </c>
      <c r="Q1418" s="395">
        <v>0</v>
      </c>
      <c r="R1418" s="395">
        <v>0</v>
      </c>
      <c r="S1418" s="395">
        <v>0</v>
      </c>
      <c r="T1418" s="395">
        <v>0</v>
      </c>
      <c r="U1418" s="395">
        <v>0</v>
      </c>
      <c r="V1418" s="395">
        <v>0</v>
      </c>
      <c r="W1418" s="395">
        <v>0</v>
      </c>
      <c r="X1418" s="395">
        <v>75060</v>
      </c>
      <c r="Y1418" s="395">
        <v>0</v>
      </c>
      <c r="Z1418" s="395">
        <v>0</v>
      </c>
      <c r="AA1418" s="395">
        <v>0</v>
      </c>
      <c r="AB1418" s="396">
        <v>-8412018</v>
      </c>
      <c r="AC1418" s="396">
        <v>10207916</v>
      </c>
    </row>
    <row r="1419" spans="1:29">
      <c r="A1419">
        <v>6103</v>
      </c>
      <c r="B1419" s="395" t="s">
        <v>7909</v>
      </c>
      <c r="C1419" s="395"/>
      <c r="D1419" s="395">
        <v>0</v>
      </c>
      <c r="E1419" s="395">
        <v>0</v>
      </c>
      <c r="F1419" s="395" t="s">
        <v>7172</v>
      </c>
      <c r="G1419" s="395">
        <v>0</v>
      </c>
      <c r="H1419" s="395">
        <v>0</v>
      </c>
      <c r="I1419" s="395">
        <v>0</v>
      </c>
      <c r="J1419" s="395">
        <v>0</v>
      </c>
      <c r="K1419" s="395">
        <v>0</v>
      </c>
      <c r="L1419" s="397">
        <v>0</v>
      </c>
      <c r="M1419" s="395">
        <v>0</v>
      </c>
      <c r="N1419" s="395">
        <v>0</v>
      </c>
      <c r="O1419" s="395">
        <v>0</v>
      </c>
      <c r="P1419" s="395">
        <v>0</v>
      </c>
      <c r="Q1419" s="395">
        <v>0</v>
      </c>
      <c r="R1419" s="395">
        <v>0</v>
      </c>
      <c r="S1419" s="395">
        <v>0</v>
      </c>
      <c r="T1419" s="395">
        <v>0</v>
      </c>
      <c r="U1419" s="395">
        <v>0</v>
      </c>
      <c r="V1419" s="395">
        <v>0</v>
      </c>
      <c r="W1419" s="395">
        <v>0</v>
      </c>
      <c r="X1419" s="395">
        <v>55080</v>
      </c>
      <c r="Y1419" s="395">
        <v>0</v>
      </c>
      <c r="Z1419" s="395">
        <v>0</v>
      </c>
      <c r="AA1419" s="395">
        <v>0</v>
      </c>
      <c r="AB1419" s="396">
        <v>-5304598</v>
      </c>
      <c r="AC1419" s="396">
        <v>10207916</v>
      </c>
    </row>
    <row r="1420" spans="1:29">
      <c r="A1420">
        <v>6236</v>
      </c>
      <c r="B1420" s="395" t="s">
        <v>8021</v>
      </c>
      <c r="C1420" s="395"/>
      <c r="D1420" s="395">
        <v>0</v>
      </c>
      <c r="E1420" s="395">
        <v>0</v>
      </c>
      <c r="F1420" s="395" t="s">
        <v>7172</v>
      </c>
      <c r="G1420" s="395">
        <v>0</v>
      </c>
      <c r="H1420" s="395">
        <v>0</v>
      </c>
      <c r="I1420" s="395">
        <v>0</v>
      </c>
      <c r="J1420" s="395">
        <v>0</v>
      </c>
      <c r="K1420" s="395">
        <v>0</v>
      </c>
      <c r="L1420" s="397">
        <v>0</v>
      </c>
      <c r="M1420" s="395">
        <v>0</v>
      </c>
      <c r="N1420" s="395">
        <v>0</v>
      </c>
      <c r="O1420" s="395">
        <v>0</v>
      </c>
      <c r="P1420" s="395">
        <v>0</v>
      </c>
      <c r="Q1420" s="395">
        <v>0</v>
      </c>
      <c r="R1420" s="395">
        <v>0</v>
      </c>
      <c r="S1420" s="395">
        <v>0</v>
      </c>
      <c r="T1420" s="395">
        <v>0</v>
      </c>
      <c r="U1420" s="395">
        <v>0</v>
      </c>
      <c r="V1420" s="395">
        <v>0</v>
      </c>
      <c r="W1420" s="395">
        <v>0</v>
      </c>
      <c r="X1420" s="395">
        <v>39150</v>
      </c>
      <c r="Y1420" s="395">
        <v>0</v>
      </c>
      <c r="Z1420" s="395">
        <v>0</v>
      </c>
      <c r="AA1420" s="395">
        <v>0</v>
      </c>
      <c r="AB1420" s="396">
        <v>8469484</v>
      </c>
      <c r="AC1420" s="396">
        <v>10207916</v>
      </c>
    </row>
    <row r="1421" spans="1:29">
      <c r="A1421">
        <v>6574</v>
      </c>
      <c r="B1421" s="395" t="s">
        <v>8136</v>
      </c>
      <c r="C1421" s="395"/>
      <c r="D1421" s="395">
        <v>0</v>
      </c>
      <c r="E1421" s="395">
        <v>0</v>
      </c>
      <c r="F1421" s="395" t="s">
        <v>7172</v>
      </c>
      <c r="G1421" s="395">
        <v>0</v>
      </c>
      <c r="H1421" s="395">
        <v>0</v>
      </c>
      <c r="I1421" s="395">
        <v>0</v>
      </c>
      <c r="J1421" s="395">
        <v>0</v>
      </c>
      <c r="K1421" s="395">
        <v>0</v>
      </c>
      <c r="L1421" s="397">
        <v>0</v>
      </c>
      <c r="M1421" s="395">
        <v>0</v>
      </c>
      <c r="N1421" s="395">
        <v>0</v>
      </c>
      <c r="O1421" s="395">
        <v>0</v>
      </c>
      <c r="P1421" s="395">
        <v>0</v>
      </c>
      <c r="Q1421" s="395">
        <v>0</v>
      </c>
      <c r="R1421" s="395">
        <v>0</v>
      </c>
      <c r="S1421" s="395">
        <v>0</v>
      </c>
      <c r="T1421" s="395">
        <v>0</v>
      </c>
      <c r="U1421" s="395">
        <v>0</v>
      </c>
      <c r="V1421" s="395">
        <v>0</v>
      </c>
      <c r="W1421" s="395">
        <v>0</v>
      </c>
      <c r="X1421" s="395">
        <v>55080</v>
      </c>
      <c r="Y1421" s="395">
        <v>0</v>
      </c>
      <c r="Z1421" s="395">
        <v>0</v>
      </c>
      <c r="AA1421" s="395">
        <v>0</v>
      </c>
      <c r="AB1421" s="396">
        <v>-5636074</v>
      </c>
      <c r="AC1421" s="396">
        <v>10207916</v>
      </c>
    </row>
    <row r="1422" spans="1:29">
      <c r="A1422">
        <v>6763</v>
      </c>
      <c r="B1422" s="395" t="s">
        <v>8209</v>
      </c>
      <c r="C1422" s="395"/>
      <c r="D1422" s="395">
        <v>0</v>
      </c>
      <c r="E1422" s="395">
        <v>0</v>
      </c>
      <c r="F1422" s="395" t="s">
        <v>7172</v>
      </c>
      <c r="G1422" s="395">
        <v>0</v>
      </c>
      <c r="H1422" s="395">
        <v>0</v>
      </c>
      <c r="I1422" s="395">
        <v>0</v>
      </c>
      <c r="J1422" s="395">
        <v>0</v>
      </c>
      <c r="K1422" s="395">
        <v>0</v>
      </c>
      <c r="L1422" s="397">
        <v>0</v>
      </c>
      <c r="M1422" s="395">
        <v>0</v>
      </c>
      <c r="N1422" s="395">
        <v>0</v>
      </c>
      <c r="O1422" s="395">
        <v>0</v>
      </c>
      <c r="P1422" s="395">
        <v>0</v>
      </c>
      <c r="Q1422" s="395">
        <v>0</v>
      </c>
      <c r="R1422" s="395">
        <v>0</v>
      </c>
      <c r="S1422" s="395">
        <v>0</v>
      </c>
      <c r="T1422" s="395">
        <v>0</v>
      </c>
      <c r="U1422" s="395">
        <v>0</v>
      </c>
      <c r="V1422" s="395">
        <v>0</v>
      </c>
      <c r="W1422" s="395">
        <v>0</v>
      </c>
      <c r="X1422" s="395">
        <v>0</v>
      </c>
      <c r="Y1422" s="395">
        <v>0</v>
      </c>
      <c r="Z1422" s="395">
        <v>0</v>
      </c>
      <c r="AA1422" s="395">
        <v>0</v>
      </c>
      <c r="AB1422" s="395">
        <v>0</v>
      </c>
      <c r="AC1422" s="396">
        <v>10207916</v>
      </c>
    </row>
    <row r="1423" spans="1:29">
      <c r="A1423">
        <v>6829</v>
      </c>
      <c r="B1423" s="395" t="s">
        <v>8220</v>
      </c>
      <c r="C1423" s="395"/>
      <c r="D1423" s="395">
        <v>0</v>
      </c>
      <c r="E1423" s="395">
        <v>0</v>
      </c>
      <c r="F1423" s="395" t="s">
        <v>7172</v>
      </c>
      <c r="G1423" s="395">
        <v>0</v>
      </c>
      <c r="H1423" s="395">
        <v>0</v>
      </c>
      <c r="I1423" s="395">
        <v>0</v>
      </c>
      <c r="J1423" s="395">
        <v>0</v>
      </c>
      <c r="K1423" s="395">
        <v>0</v>
      </c>
      <c r="L1423" s="397">
        <v>0</v>
      </c>
      <c r="M1423" s="395">
        <v>0</v>
      </c>
      <c r="N1423" s="395">
        <v>0</v>
      </c>
      <c r="O1423" s="395">
        <v>0</v>
      </c>
      <c r="P1423" s="395">
        <v>0</v>
      </c>
      <c r="Q1423" s="395">
        <v>0</v>
      </c>
      <c r="R1423" s="395">
        <v>0</v>
      </c>
      <c r="S1423" s="395">
        <v>0</v>
      </c>
      <c r="T1423" s="395">
        <v>0</v>
      </c>
      <c r="U1423" s="395">
        <v>0</v>
      </c>
      <c r="V1423" s="395">
        <v>0</v>
      </c>
      <c r="W1423" s="395">
        <v>0</v>
      </c>
      <c r="X1423" s="395">
        <v>540</v>
      </c>
      <c r="Y1423" s="395">
        <v>0</v>
      </c>
      <c r="Z1423" s="395">
        <v>0</v>
      </c>
      <c r="AA1423" s="395">
        <v>0</v>
      </c>
      <c r="AB1423" s="396">
        <v>-399070</v>
      </c>
      <c r="AC1423" s="396">
        <v>10207916</v>
      </c>
    </row>
    <row r="1424" spans="1:29">
      <c r="A1424">
        <v>6874</v>
      </c>
      <c r="B1424" s="395" t="s">
        <v>8221</v>
      </c>
      <c r="C1424" s="395"/>
      <c r="D1424" s="395">
        <v>0</v>
      </c>
      <c r="E1424" s="395">
        <v>0</v>
      </c>
      <c r="F1424" s="395" t="s">
        <v>7172</v>
      </c>
      <c r="G1424" s="395">
        <v>0</v>
      </c>
      <c r="H1424" s="395">
        <v>0</v>
      </c>
      <c r="I1424" s="395">
        <v>0</v>
      </c>
      <c r="J1424" s="395">
        <v>0</v>
      </c>
      <c r="K1424" s="395">
        <v>0</v>
      </c>
      <c r="L1424" s="397">
        <v>0</v>
      </c>
      <c r="M1424" s="395">
        <v>0</v>
      </c>
      <c r="N1424" s="395">
        <v>0</v>
      </c>
      <c r="O1424" s="395">
        <v>0</v>
      </c>
      <c r="P1424" s="395">
        <v>0</v>
      </c>
      <c r="Q1424" s="395">
        <v>0</v>
      </c>
      <c r="R1424" s="395">
        <v>0</v>
      </c>
      <c r="S1424" s="395">
        <v>0</v>
      </c>
      <c r="T1424" s="395">
        <v>0</v>
      </c>
      <c r="U1424" s="395">
        <v>0</v>
      </c>
      <c r="V1424" s="395">
        <v>0</v>
      </c>
      <c r="W1424" s="395">
        <v>0</v>
      </c>
      <c r="X1424" s="395">
        <v>9450</v>
      </c>
      <c r="Y1424" s="395">
        <v>0</v>
      </c>
      <c r="Z1424" s="395">
        <v>0</v>
      </c>
      <c r="AA1424" s="395">
        <v>0</v>
      </c>
      <c r="AB1424" s="396">
        <v>26706863</v>
      </c>
      <c r="AC1424" s="396">
        <v>10207916</v>
      </c>
    </row>
    <row r="1425" spans="1:29">
      <c r="A1425">
        <v>6879</v>
      </c>
      <c r="B1425" s="395" t="s">
        <v>8222</v>
      </c>
      <c r="C1425" s="395"/>
      <c r="D1425" s="395">
        <v>0</v>
      </c>
      <c r="E1425" s="395">
        <v>0</v>
      </c>
      <c r="F1425" s="395" t="s">
        <v>7172</v>
      </c>
      <c r="G1425" s="395">
        <v>0</v>
      </c>
      <c r="H1425" s="395">
        <v>0</v>
      </c>
      <c r="I1425" s="395">
        <v>0</v>
      </c>
      <c r="J1425" s="395">
        <v>0</v>
      </c>
      <c r="K1425" s="395">
        <v>0</v>
      </c>
      <c r="L1425" s="397">
        <v>0</v>
      </c>
      <c r="M1425" s="395">
        <v>0</v>
      </c>
      <c r="N1425" s="395">
        <v>0</v>
      </c>
      <c r="O1425" s="395">
        <v>0</v>
      </c>
      <c r="P1425" s="395">
        <v>0</v>
      </c>
      <c r="Q1425" s="395">
        <v>0</v>
      </c>
      <c r="R1425" s="395">
        <v>0</v>
      </c>
      <c r="S1425" s="395">
        <v>0</v>
      </c>
      <c r="T1425" s="395">
        <v>0</v>
      </c>
      <c r="U1425" s="395">
        <v>0</v>
      </c>
      <c r="V1425" s="395">
        <v>0</v>
      </c>
      <c r="W1425" s="395">
        <v>0</v>
      </c>
      <c r="X1425" s="395">
        <v>5940</v>
      </c>
      <c r="Y1425" s="395">
        <v>0</v>
      </c>
      <c r="Z1425" s="395">
        <v>0</v>
      </c>
      <c r="AA1425" s="395">
        <v>0</v>
      </c>
      <c r="AB1425" s="396">
        <v>31676789</v>
      </c>
      <c r="AC1425" s="396">
        <v>10207916</v>
      </c>
    </row>
    <row r="1426" spans="1:29">
      <c r="A1426">
        <v>8080</v>
      </c>
      <c r="B1426" s="395" t="s">
        <v>8258</v>
      </c>
      <c r="C1426" s="395"/>
      <c r="D1426" s="395">
        <v>0</v>
      </c>
      <c r="E1426" s="395">
        <v>0</v>
      </c>
      <c r="F1426" s="395" t="s">
        <v>7172</v>
      </c>
      <c r="G1426" s="395">
        <v>0</v>
      </c>
      <c r="H1426" s="395">
        <v>0</v>
      </c>
      <c r="I1426" s="395">
        <v>0</v>
      </c>
      <c r="J1426" s="395">
        <v>0</v>
      </c>
      <c r="K1426" s="395">
        <v>0</v>
      </c>
      <c r="L1426" s="397">
        <v>0</v>
      </c>
      <c r="M1426" s="395">
        <v>0</v>
      </c>
      <c r="N1426" s="395">
        <v>0</v>
      </c>
      <c r="O1426" s="395">
        <v>0</v>
      </c>
      <c r="P1426" s="395">
        <v>0</v>
      </c>
      <c r="Q1426" s="395">
        <v>0</v>
      </c>
      <c r="R1426" s="395">
        <v>0</v>
      </c>
      <c r="S1426" s="395">
        <v>0</v>
      </c>
      <c r="T1426" s="395">
        <v>0</v>
      </c>
      <c r="U1426" s="395">
        <v>0</v>
      </c>
      <c r="V1426" s="395">
        <v>0</v>
      </c>
      <c r="W1426" s="395">
        <v>0</v>
      </c>
      <c r="X1426" s="395">
        <v>39420</v>
      </c>
      <c r="Y1426" s="395">
        <v>0</v>
      </c>
      <c r="Z1426" s="395">
        <v>0</v>
      </c>
      <c r="AA1426" s="395">
        <v>0</v>
      </c>
      <c r="AB1426" s="396">
        <v>-10669713</v>
      </c>
      <c r="AC1426" s="396">
        <v>10207916</v>
      </c>
    </row>
    <row r="1427" spans="1:29">
      <c r="A1427">
        <v>8291</v>
      </c>
      <c r="B1427" s="395" t="s">
        <v>8308</v>
      </c>
      <c r="C1427" s="395"/>
      <c r="D1427" s="395">
        <v>0</v>
      </c>
      <c r="E1427" s="395">
        <v>0</v>
      </c>
      <c r="F1427" s="395" t="s">
        <v>7172</v>
      </c>
      <c r="G1427" s="395">
        <v>0</v>
      </c>
      <c r="H1427" s="395">
        <v>0</v>
      </c>
      <c r="I1427" s="395">
        <v>0</v>
      </c>
      <c r="J1427" s="395">
        <v>0</v>
      </c>
      <c r="K1427" s="395">
        <v>0</v>
      </c>
      <c r="L1427" s="397">
        <v>0</v>
      </c>
      <c r="M1427" s="395">
        <v>0</v>
      </c>
      <c r="N1427" s="395">
        <v>0</v>
      </c>
      <c r="O1427" s="395">
        <v>0</v>
      </c>
      <c r="P1427" s="395">
        <v>0</v>
      </c>
      <c r="Q1427" s="395">
        <v>0</v>
      </c>
      <c r="R1427" s="395">
        <v>0</v>
      </c>
      <c r="S1427" s="395">
        <v>0</v>
      </c>
      <c r="T1427" s="395">
        <v>0</v>
      </c>
      <c r="U1427" s="395">
        <v>0</v>
      </c>
      <c r="V1427" s="395">
        <v>0</v>
      </c>
      <c r="W1427" s="395">
        <v>0</v>
      </c>
      <c r="X1427" s="395">
        <v>46170</v>
      </c>
      <c r="Y1427" s="395">
        <v>0</v>
      </c>
      <c r="Z1427" s="395">
        <v>0</v>
      </c>
      <c r="AA1427" s="395">
        <v>0</v>
      </c>
      <c r="AB1427" s="396">
        <v>-8149883</v>
      </c>
      <c r="AC1427" s="396">
        <v>10207916</v>
      </c>
    </row>
    <row r="1428" spans="1:29">
      <c r="A1428">
        <v>5345</v>
      </c>
      <c r="B1428" s="395" t="s">
        <v>7811</v>
      </c>
      <c r="C1428" s="395"/>
      <c r="D1428" s="395">
        <v>-163</v>
      </c>
      <c r="E1428" s="395">
        <v>441</v>
      </c>
      <c r="F1428" s="395">
        <v>-0.73</v>
      </c>
      <c r="G1428" s="395">
        <v>-604</v>
      </c>
      <c r="H1428" s="395">
        <v>53</v>
      </c>
      <c r="I1428" s="396">
        <v>6800</v>
      </c>
      <c r="J1428" s="395">
        <v>2</v>
      </c>
      <c r="K1428" s="395">
        <v>1</v>
      </c>
      <c r="L1428" s="397">
        <v>0.5</v>
      </c>
      <c r="M1428" s="395">
        <v>1</v>
      </c>
      <c r="N1428" s="395">
        <v>-82</v>
      </c>
      <c r="O1428" s="395">
        <v>441</v>
      </c>
      <c r="P1428" s="395">
        <v>0.73</v>
      </c>
      <c r="Q1428" s="395">
        <v>-604</v>
      </c>
      <c r="R1428" s="395">
        <v>441</v>
      </c>
      <c r="S1428" s="395">
        <v>-604</v>
      </c>
      <c r="T1428" s="396">
        <v>1882</v>
      </c>
      <c r="U1428" s="396">
        <v>-1460</v>
      </c>
      <c r="V1428" s="395">
        <v>7695.5</v>
      </c>
      <c r="W1428" s="395">
        <v>10021</v>
      </c>
      <c r="X1428" s="395">
        <v>69930</v>
      </c>
      <c r="Y1428" s="395">
        <v>5370</v>
      </c>
      <c r="Z1428" s="396">
        <v>-1831130</v>
      </c>
      <c r="AA1428" s="395">
        <v>-163</v>
      </c>
      <c r="AB1428" s="396">
        <v>-15164634</v>
      </c>
      <c r="AC1428" s="396">
        <v>10207916</v>
      </c>
    </row>
    <row r="1429" spans="1:29">
      <c r="A1429">
        <v>8438</v>
      </c>
      <c r="B1429" s="395" t="s">
        <v>8342</v>
      </c>
      <c r="C1429" s="395"/>
      <c r="D1429" s="395">
        <v>-763</v>
      </c>
      <c r="E1429" s="395">
        <v>0</v>
      </c>
      <c r="F1429" s="395">
        <v>0</v>
      </c>
      <c r="G1429" s="395">
        <v>-763</v>
      </c>
      <c r="H1429" s="395">
        <v>163</v>
      </c>
      <c r="I1429" s="396">
        <v>41050</v>
      </c>
      <c r="J1429" s="395">
        <v>1</v>
      </c>
      <c r="K1429" s="395">
        <v>0</v>
      </c>
      <c r="L1429" s="397">
        <v>0</v>
      </c>
      <c r="M1429" s="395">
        <v>1</v>
      </c>
      <c r="N1429" s="395">
        <v>-763</v>
      </c>
      <c r="O1429" s="395">
        <v>0</v>
      </c>
      <c r="P1429" s="395">
        <v>0</v>
      </c>
      <c r="Q1429" s="395">
        <v>-763</v>
      </c>
      <c r="R1429" s="395">
        <v>0</v>
      </c>
      <c r="S1429" s="395">
        <v>-763</v>
      </c>
      <c r="T1429" s="395">
        <v>0</v>
      </c>
      <c r="U1429" s="395">
        <v>-763</v>
      </c>
      <c r="V1429" s="395">
        <v>265</v>
      </c>
      <c r="W1429" s="395">
        <v>0</v>
      </c>
      <c r="X1429" s="395">
        <v>540</v>
      </c>
      <c r="Y1429" s="395">
        <v>265</v>
      </c>
      <c r="Z1429" s="396">
        <v>-929354</v>
      </c>
      <c r="AA1429" s="395">
        <v>-763</v>
      </c>
      <c r="AB1429" s="396">
        <v>-929354</v>
      </c>
      <c r="AC1429" s="396">
        <v>10207916</v>
      </c>
    </row>
    <row r="1430" spans="1:29">
      <c r="A1430">
        <v>3682</v>
      </c>
      <c r="B1430" s="395" t="s">
        <v>7528</v>
      </c>
      <c r="C1430" s="395"/>
      <c r="D1430" s="395">
        <v>-824</v>
      </c>
      <c r="E1430" s="396">
        <v>47688</v>
      </c>
      <c r="F1430" s="395">
        <v>-0.98</v>
      </c>
      <c r="G1430" s="396">
        <v>-48512</v>
      </c>
      <c r="H1430" s="396">
        <v>7714</v>
      </c>
      <c r="I1430" s="396">
        <v>240693</v>
      </c>
      <c r="J1430" s="395">
        <v>221</v>
      </c>
      <c r="K1430" s="395">
        <v>169</v>
      </c>
      <c r="L1430" s="397">
        <v>0.76470000000000005</v>
      </c>
      <c r="M1430" s="395">
        <v>52</v>
      </c>
      <c r="N1430" s="395">
        <v>-4</v>
      </c>
      <c r="O1430" s="395">
        <v>282</v>
      </c>
      <c r="P1430" s="395">
        <v>0.3</v>
      </c>
      <c r="Q1430" s="395">
        <v>-933</v>
      </c>
      <c r="R1430" s="396">
        <v>1216</v>
      </c>
      <c r="S1430" s="396">
        <v>-2080</v>
      </c>
      <c r="T1430" s="396">
        <v>46661</v>
      </c>
      <c r="U1430" s="396">
        <v>-43597</v>
      </c>
      <c r="V1430" s="395">
        <v>3918.43</v>
      </c>
      <c r="W1430" s="395">
        <v>3267.41</v>
      </c>
      <c r="X1430" s="395">
        <v>77490</v>
      </c>
      <c r="Y1430" s="395">
        <v>6034.27</v>
      </c>
      <c r="Z1430" s="396">
        <v>-15053228</v>
      </c>
      <c r="AA1430" s="395">
        <v>-824</v>
      </c>
      <c r="AB1430" s="396">
        <v>-18034653</v>
      </c>
      <c r="AC1430" s="396">
        <v>10207916</v>
      </c>
    </row>
    <row r="1431" spans="1:29">
      <c r="A1431">
        <v>5703</v>
      </c>
      <c r="B1431" s="395" t="s">
        <v>7885</v>
      </c>
      <c r="C1431" s="395"/>
      <c r="D1431" s="396">
        <v>-1161</v>
      </c>
      <c r="E1431" s="395">
        <v>890</v>
      </c>
      <c r="F1431" s="395">
        <v>-0.43</v>
      </c>
      <c r="G1431" s="396">
        <v>-2051</v>
      </c>
      <c r="H1431" s="395">
        <v>211</v>
      </c>
      <c r="I1431" s="396">
        <v>26750</v>
      </c>
      <c r="J1431" s="395">
        <v>2</v>
      </c>
      <c r="K1431" s="395">
        <v>1</v>
      </c>
      <c r="L1431" s="397">
        <v>0.5</v>
      </c>
      <c r="M1431" s="395">
        <v>1</v>
      </c>
      <c r="N1431" s="395">
        <v>-581</v>
      </c>
      <c r="O1431" s="395">
        <v>890</v>
      </c>
      <c r="P1431" s="395">
        <v>0.43</v>
      </c>
      <c r="Q1431" s="396">
        <v>-2051</v>
      </c>
      <c r="R1431" s="395">
        <v>890</v>
      </c>
      <c r="S1431" s="396">
        <v>-2051</v>
      </c>
      <c r="T1431" s="396">
        <v>2142</v>
      </c>
      <c r="U1431" s="396">
        <v>-2500</v>
      </c>
      <c r="V1431" s="395">
        <v>2176</v>
      </c>
      <c r="W1431" s="395">
        <v>1451</v>
      </c>
      <c r="X1431" s="395">
        <v>51570</v>
      </c>
      <c r="Y1431" s="395">
        <v>2901</v>
      </c>
      <c r="Z1431" s="396">
        <v>-2369369</v>
      </c>
      <c r="AA1431" s="396">
        <v>-1161</v>
      </c>
      <c r="AB1431" s="396">
        <v>7521429</v>
      </c>
      <c r="AC1431" s="396">
        <v>10207916</v>
      </c>
    </row>
    <row r="1432" spans="1:29">
      <c r="A1432">
        <v>3115</v>
      </c>
      <c r="B1432" s="395" t="s">
        <v>7318</v>
      </c>
      <c r="C1432" s="395"/>
      <c r="D1432" s="396">
        <v>-1289</v>
      </c>
      <c r="E1432" s="396">
        <v>4231</v>
      </c>
      <c r="F1432" s="395">
        <v>-0.77</v>
      </c>
      <c r="G1432" s="396">
        <v>-5520</v>
      </c>
      <c r="H1432" s="395">
        <v>539</v>
      </c>
      <c r="I1432" s="396">
        <v>45367</v>
      </c>
      <c r="J1432" s="395">
        <v>9</v>
      </c>
      <c r="K1432" s="395">
        <v>6</v>
      </c>
      <c r="L1432" s="397">
        <v>0.66669999999999996</v>
      </c>
      <c r="M1432" s="395">
        <v>3</v>
      </c>
      <c r="N1432" s="395">
        <v>-143</v>
      </c>
      <c r="O1432" s="395">
        <v>705</v>
      </c>
      <c r="P1432" s="395">
        <v>0.38</v>
      </c>
      <c r="Q1432" s="396">
        <v>-1840</v>
      </c>
      <c r="R1432" s="396">
        <v>1340</v>
      </c>
      <c r="S1432" s="396">
        <v>-3906</v>
      </c>
      <c r="T1432" s="396">
        <v>8996</v>
      </c>
      <c r="U1432" s="396">
        <v>-6413</v>
      </c>
      <c r="V1432" s="395">
        <v>8241</v>
      </c>
      <c r="W1432" s="395">
        <v>3546.5</v>
      </c>
      <c r="X1432" s="395">
        <v>68580</v>
      </c>
      <c r="Y1432" s="395">
        <v>17630</v>
      </c>
      <c r="Z1432" s="396">
        <v>-9300561</v>
      </c>
      <c r="AA1432" s="396">
        <v>-1289</v>
      </c>
      <c r="AB1432" s="396">
        <v>-15740000</v>
      </c>
      <c r="AC1432" s="396">
        <v>10207916</v>
      </c>
    </row>
    <row r="1433" spans="1:29">
      <c r="A1433">
        <v>5488</v>
      </c>
      <c r="B1433" s="395" t="s">
        <v>7852</v>
      </c>
      <c r="C1433" s="395"/>
      <c r="D1433" s="396">
        <v>-1423</v>
      </c>
      <c r="E1433" s="396">
        <v>34396</v>
      </c>
      <c r="F1433" s="395">
        <v>-0.96</v>
      </c>
      <c r="G1433" s="396">
        <v>-35819</v>
      </c>
      <c r="H1433" s="396">
        <v>4253</v>
      </c>
      <c r="I1433" s="396">
        <v>266192</v>
      </c>
      <c r="J1433" s="395">
        <v>124</v>
      </c>
      <c r="K1433" s="395">
        <v>80</v>
      </c>
      <c r="L1433" s="397">
        <v>0.6452</v>
      </c>
      <c r="M1433" s="395">
        <v>44</v>
      </c>
      <c r="N1433" s="395">
        <v>-11</v>
      </c>
      <c r="O1433" s="395">
        <v>430</v>
      </c>
      <c r="P1433" s="395">
        <v>0.53</v>
      </c>
      <c r="Q1433" s="395">
        <v>-814</v>
      </c>
      <c r="R1433" s="396">
        <v>1819</v>
      </c>
      <c r="S1433" s="396">
        <v>-2838</v>
      </c>
      <c r="T1433" s="396">
        <v>53608</v>
      </c>
      <c r="U1433" s="396">
        <v>-36840</v>
      </c>
      <c r="V1433" s="395">
        <v>5396.6</v>
      </c>
      <c r="W1433" s="395">
        <v>3486.94</v>
      </c>
      <c r="X1433" s="395">
        <v>77490</v>
      </c>
      <c r="Y1433" s="395">
        <v>8868.73</v>
      </c>
      <c r="Z1433" s="396">
        <v>-12509071</v>
      </c>
      <c r="AA1433" s="396">
        <v>-1423</v>
      </c>
      <c r="AB1433" s="396">
        <v>5609589</v>
      </c>
      <c r="AC1433" s="396">
        <v>10207916</v>
      </c>
    </row>
    <row r="1434" spans="1:29">
      <c r="A1434">
        <v>4183</v>
      </c>
      <c r="B1434" s="395" t="s">
        <v>7595</v>
      </c>
      <c r="C1434" s="395"/>
      <c r="D1434" s="396">
        <v>-1709</v>
      </c>
      <c r="E1434" s="395">
        <v>565</v>
      </c>
      <c r="F1434" s="395">
        <v>-0.25</v>
      </c>
      <c r="G1434" s="396">
        <v>-2274</v>
      </c>
      <c r="H1434" s="395">
        <v>241</v>
      </c>
      <c r="I1434" s="396">
        <v>39385</v>
      </c>
      <c r="J1434" s="395">
        <v>3</v>
      </c>
      <c r="K1434" s="395">
        <v>1</v>
      </c>
      <c r="L1434" s="397">
        <v>0.33329999999999999</v>
      </c>
      <c r="M1434" s="395">
        <v>2</v>
      </c>
      <c r="N1434" s="395">
        <v>-570</v>
      </c>
      <c r="O1434" s="395">
        <v>565</v>
      </c>
      <c r="P1434" s="395">
        <v>0.5</v>
      </c>
      <c r="Q1434" s="396">
        <v>-1137</v>
      </c>
      <c r="R1434" s="395">
        <v>565</v>
      </c>
      <c r="S1434" s="396">
        <v>-1376</v>
      </c>
      <c r="T1434" s="396">
        <v>2474</v>
      </c>
      <c r="U1434" s="396">
        <v>-4431</v>
      </c>
      <c r="V1434" s="395">
        <v>21489.33</v>
      </c>
      <c r="W1434" s="395">
        <v>1568</v>
      </c>
      <c r="X1434" s="395">
        <v>66150</v>
      </c>
      <c r="Y1434" s="395">
        <v>31450</v>
      </c>
      <c r="Z1434" s="396">
        <v>-1211635</v>
      </c>
      <c r="AA1434" s="396">
        <v>-1709</v>
      </c>
      <c r="AB1434" s="396">
        <v>-4134436</v>
      </c>
      <c r="AC1434" s="396">
        <v>10207916</v>
      </c>
    </row>
    <row r="1435" spans="1:29">
      <c r="A1435">
        <v>2443</v>
      </c>
      <c r="B1435" s="395" t="s">
        <v>7068</v>
      </c>
      <c r="C1435" s="395"/>
      <c r="D1435" s="396">
        <v>-2019</v>
      </c>
      <c r="E1435" s="396">
        <v>2928</v>
      </c>
      <c r="F1435" s="395">
        <v>-0.59</v>
      </c>
      <c r="G1435" s="396">
        <v>-4947</v>
      </c>
      <c r="H1435" s="395">
        <v>529</v>
      </c>
      <c r="I1435" s="396">
        <v>44451</v>
      </c>
      <c r="J1435" s="395">
        <v>42</v>
      </c>
      <c r="K1435" s="395">
        <v>26</v>
      </c>
      <c r="L1435" s="397">
        <v>0.61899999999999999</v>
      </c>
      <c r="M1435" s="395">
        <v>16</v>
      </c>
      <c r="N1435" s="395">
        <v>-48</v>
      </c>
      <c r="O1435" s="395">
        <v>113</v>
      </c>
      <c r="P1435" s="395">
        <v>0.37</v>
      </c>
      <c r="Q1435" s="395">
        <v>-309</v>
      </c>
      <c r="R1435" s="395">
        <v>268</v>
      </c>
      <c r="S1435" s="396">
        <v>-1216</v>
      </c>
      <c r="T1435" s="396">
        <v>3834</v>
      </c>
      <c r="U1435" s="396">
        <v>-4058</v>
      </c>
      <c r="V1435" s="395">
        <v>5662.79</v>
      </c>
      <c r="W1435" s="395">
        <v>4419.1499999999996</v>
      </c>
      <c r="X1435" s="395">
        <v>77490</v>
      </c>
      <c r="Y1435" s="395">
        <v>7683.69</v>
      </c>
      <c r="Z1435" s="396">
        <v>-10585995</v>
      </c>
      <c r="AA1435" s="396">
        <v>-2019</v>
      </c>
      <c r="AB1435" s="396">
        <v>5524590</v>
      </c>
      <c r="AC1435" s="396">
        <v>10207916</v>
      </c>
    </row>
    <row r="1436" spans="1:29">
      <c r="A1436">
        <v>2910</v>
      </c>
      <c r="B1436" s="395" t="s">
        <v>7230</v>
      </c>
      <c r="C1436" s="395"/>
      <c r="D1436" s="396">
        <v>-2301</v>
      </c>
      <c r="E1436" s="396">
        <v>144544</v>
      </c>
      <c r="F1436" s="395">
        <v>-0.98</v>
      </c>
      <c r="G1436" s="396">
        <v>-146845</v>
      </c>
      <c r="H1436" s="396">
        <v>21963</v>
      </c>
      <c r="I1436" s="396">
        <v>1279425</v>
      </c>
      <c r="J1436" s="395">
        <v>161</v>
      </c>
      <c r="K1436" s="395">
        <v>105</v>
      </c>
      <c r="L1436" s="397">
        <v>0.6522</v>
      </c>
      <c r="M1436" s="395">
        <v>56</v>
      </c>
      <c r="N1436" s="395">
        <v>-14</v>
      </c>
      <c r="O1436" s="396">
        <v>1377</v>
      </c>
      <c r="P1436" s="395">
        <v>0.53</v>
      </c>
      <c r="Q1436" s="396">
        <v>-2622</v>
      </c>
      <c r="R1436" s="396">
        <v>3602</v>
      </c>
      <c r="S1436" s="396">
        <v>-13942</v>
      </c>
      <c r="T1436" s="396">
        <v>182217</v>
      </c>
      <c r="U1436" s="396">
        <v>-105456</v>
      </c>
      <c r="V1436" s="395">
        <v>5393.11</v>
      </c>
      <c r="W1436" s="395">
        <v>4492.1000000000004</v>
      </c>
      <c r="X1436" s="395">
        <v>75870</v>
      </c>
      <c r="Y1436" s="395">
        <v>7082.5</v>
      </c>
      <c r="Z1436" s="396">
        <v>-23358921</v>
      </c>
      <c r="AA1436" s="396">
        <v>-2301</v>
      </c>
      <c r="AB1436" s="396">
        <v>-20477988</v>
      </c>
      <c r="AC1436" s="396">
        <v>10207916</v>
      </c>
    </row>
    <row r="1437" spans="1:29">
      <c r="A1437">
        <v>9935</v>
      </c>
      <c r="B1437" s="395" t="s">
        <v>8415</v>
      </c>
      <c r="C1437" s="395"/>
      <c r="D1437" s="396">
        <v>-2647</v>
      </c>
      <c r="E1437" s="396">
        <v>140483</v>
      </c>
      <c r="F1437" s="395">
        <v>-0.98</v>
      </c>
      <c r="G1437" s="396">
        <v>-143130</v>
      </c>
      <c r="H1437" s="396">
        <v>21460</v>
      </c>
      <c r="I1437" s="396">
        <v>1172504</v>
      </c>
      <c r="J1437" s="395">
        <v>237</v>
      </c>
      <c r="K1437" s="395">
        <v>149</v>
      </c>
      <c r="L1437" s="397">
        <v>0.62870000000000004</v>
      </c>
      <c r="M1437" s="395">
        <v>88</v>
      </c>
      <c r="N1437" s="395">
        <v>-11</v>
      </c>
      <c r="O1437" s="395">
        <v>943</v>
      </c>
      <c r="P1437" s="395">
        <v>0.57999999999999996</v>
      </c>
      <c r="Q1437" s="396">
        <v>-1626</v>
      </c>
      <c r="R1437" s="396">
        <v>2863</v>
      </c>
      <c r="S1437" s="396">
        <v>-5705</v>
      </c>
      <c r="T1437" s="396">
        <v>163237</v>
      </c>
      <c r="U1437" s="396">
        <v>-124519</v>
      </c>
      <c r="V1437" s="395">
        <v>5556.88</v>
      </c>
      <c r="W1437" s="395">
        <v>2551.7199999999998</v>
      </c>
      <c r="X1437" s="395">
        <v>77490</v>
      </c>
      <c r="Y1437" s="395">
        <v>10645.16</v>
      </c>
      <c r="Z1437" s="396">
        <v>-19438596</v>
      </c>
      <c r="AA1437" s="396">
        <v>-2647</v>
      </c>
      <c r="AB1437" s="396">
        <v>-17400425</v>
      </c>
      <c r="AC1437" s="396">
        <v>10207916</v>
      </c>
    </row>
    <row r="1438" spans="1:29">
      <c r="A1438">
        <v>5701</v>
      </c>
      <c r="B1438" s="395" t="s">
        <v>7884</v>
      </c>
      <c r="C1438" s="395"/>
      <c r="D1438" s="396">
        <v>-2680</v>
      </c>
      <c r="E1438" s="396">
        <v>1466</v>
      </c>
      <c r="F1438" s="395">
        <v>-0.35</v>
      </c>
      <c r="G1438" s="396">
        <v>-4146</v>
      </c>
      <c r="H1438" s="395">
        <v>190</v>
      </c>
      <c r="I1438" s="396">
        <v>18360</v>
      </c>
      <c r="J1438" s="395">
        <v>14</v>
      </c>
      <c r="K1438" s="395">
        <v>8</v>
      </c>
      <c r="L1438" s="397">
        <v>0.57140000000000002</v>
      </c>
      <c r="M1438" s="395">
        <v>6</v>
      </c>
      <c r="N1438" s="395">
        <v>-191</v>
      </c>
      <c r="O1438" s="395">
        <v>183</v>
      </c>
      <c r="P1438" s="395">
        <v>0.26</v>
      </c>
      <c r="Q1438" s="395">
        <v>-691</v>
      </c>
      <c r="R1438" s="395">
        <v>553</v>
      </c>
      <c r="S1438" s="396">
        <v>-1485</v>
      </c>
      <c r="T1438" s="396">
        <v>3500</v>
      </c>
      <c r="U1438" s="396">
        <v>-5100</v>
      </c>
      <c r="V1438" s="395">
        <v>15292</v>
      </c>
      <c r="W1438" s="395">
        <v>1050.8800000000001</v>
      </c>
      <c r="X1438" s="395">
        <v>77490</v>
      </c>
      <c r="Y1438" s="395">
        <v>34280.17</v>
      </c>
      <c r="Z1438" s="396">
        <v>-9803900</v>
      </c>
      <c r="AA1438" s="396">
        <v>-2680</v>
      </c>
      <c r="AB1438" s="396">
        <v>5052632</v>
      </c>
      <c r="AC1438" s="396">
        <v>10207916</v>
      </c>
    </row>
    <row r="1439" spans="1:29">
      <c r="A1439">
        <v>1339</v>
      </c>
      <c r="B1439" s="395" t="s">
        <v>6730</v>
      </c>
      <c r="C1439" s="395"/>
      <c r="D1439" s="396">
        <v>-2806</v>
      </c>
      <c r="E1439" s="396">
        <v>125669</v>
      </c>
      <c r="F1439" s="395">
        <v>-0.98</v>
      </c>
      <c r="G1439" s="396">
        <v>-128475</v>
      </c>
      <c r="H1439" s="396">
        <v>33211</v>
      </c>
      <c r="I1439" s="396">
        <v>4486549</v>
      </c>
      <c r="J1439" s="395">
        <v>221</v>
      </c>
      <c r="K1439" s="395">
        <v>110</v>
      </c>
      <c r="L1439" s="397">
        <v>0.49769999999999998</v>
      </c>
      <c r="M1439" s="395">
        <v>111</v>
      </c>
      <c r="N1439" s="395">
        <v>-13</v>
      </c>
      <c r="O1439" s="396">
        <v>1142</v>
      </c>
      <c r="P1439" s="395">
        <v>0.99</v>
      </c>
      <c r="Q1439" s="396">
        <v>-1157</v>
      </c>
      <c r="R1439" s="396">
        <v>2736</v>
      </c>
      <c r="S1439" s="396">
        <v>-3839</v>
      </c>
      <c r="T1439" s="396">
        <v>151793</v>
      </c>
      <c r="U1439" s="396">
        <v>-175675</v>
      </c>
      <c r="V1439" s="395">
        <v>17077.97</v>
      </c>
      <c r="W1439" s="395">
        <v>8984.73</v>
      </c>
      <c r="X1439" s="395">
        <v>77490</v>
      </c>
      <c r="Y1439" s="395">
        <v>25098.31</v>
      </c>
      <c r="Z1439" s="396">
        <v>-11429778</v>
      </c>
      <c r="AA1439" s="396">
        <v>-2806</v>
      </c>
      <c r="AB1439" s="396">
        <v>-7721722</v>
      </c>
      <c r="AC1439" s="396">
        <v>10207916</v>
      </c>
    </row>
    <row r="1440" spans="1:29">
      <c r="A1440">
        <v>8921</v>
      </c>
      <c r="B1440" s="395" t="s">
        <v>8372</v>
      </c>
      <c r="C1440" s="395"/>
      <c r="D1440" s="396">
        <v>-3224</v>
      </c>
      <c r="E1440" s="396">
        <v>1195</v>
      </c>
      <c r="F1440" s="395">
        <v>-0.27</v>
      </c>
      <c r="G1440" s="396">
        <v>-4419</v>
      </c>
      <c r="H1440" s="395">
        <v>334</v>
      </c>
      <c r="I1440" s="396">
        <v>33005</v>
      </c>
      <c r="J1440" s="395">
        <v>5</v>
      </c>
      <c r="K1440" s="395">
        <v>3</v>
      </c>
      <c r="L1440" s="397">
        <v>0.6</v>
      </c>
      <c r="M1440" s="395">
        <v>2</v>
      </c>
      <c r="N1440" s="395">
        <v>-645</v>
      </c>
      <c r="O1440" s="395">
        <v>398</v>
      </c>
      <c r="P1440" s="395">
        <v>0.18</v>
      </c>
      <c r="Q1440" s="396">
        <v>-2209</v>
      </c>
      <c r="R1440" s="395">
        <v>432</v>
      </c>
      <c r="S1440" s="396">
        <v>-2510</v>
      </c>
      <c r="T1440" s="396">
        <v>4000</v>
      </c>
      <c r="U1440" s="396">
        <v>-5384</v>
      </c>
      <c r="V1440" s="395">
        <v>19635.599999999999</v>
      </c>
      <c r="W1440" s="395">
        <v>145.66999999999999</v>
      </c>
      <c r="X1440" s="395">
        <v>58860</v>
      </c>
      <c r="Y1440" s="395">
        <v>48870.5</v>
      </c>
      <c r="Z1440" s="396">
        <v>-3379699</v>
      </c>
      <c r="AA1440" s="396">
        <v>-3224</v>
      </c>
      <c r="AB1440" s="396">
        <v>5589609</v>
      </c>
      <c r="AC1440" s="396">
        <v>10207916</v>
      </c>
    </row>
    <row r="1441" spans="1:29">
      <c r="A1441">
        <v>1539</v>
      </c>
      <c r="B1441" s="395" t="s">
        <v>6810</v>
      </c>
      <c r="C1441" s="395"/>
      <c r="D1441" s="396">
        <v>-3368</v>
      </c>
      <c r="E1441" s="396">
        <v>112037</v>
      </c>
      <c r="F1441" s="395">
        <v>-0.97</v>
      </c>
      <c r="G1441" s="396">
        <v>-115405</v>
      </c>
      <c r="H1441" s="396">
        <v>16918</v>
      </c>
      <c r="I1441" s="396">
        <v>1579778</v>
      </c>
      <c r="J1441" s="395">
        <v>222</v>
      </c>
      <c r="K1441" s="395">
        <v>155</v>
      </c>
      <c r="L1441" s="397">
        <v>0.69820000000000004</v>
      </c>
      <c r="M1441" s="395">
        <v>67</v>
      </c>
      <c r="N1441" s="395">
        <v>-15</v>
      </c>
      <c r="O1441" s="395">
        <v>723</v>
      </c>
      <c r="P1441" s="395">
        <v>0.42</v>
      </c>
      <c r="Q1441" s="396">
        <v>-1722</v>
      </c>
      <c r="R1441" s="396">
        <v>2481</v>
      </c>
      <c r="S1441" s="396">
        <v>-4884</v>
      </c>
      <c r="T1441" s="396">
        <v>167588</v>
      </c>
      <c r="U1441" s="396">
        <v>-114787</v>
      </c>
      <c r="V1441" s="395">
        <v>9040.81</v>
      </c>
      <c r="W1441" s="395">
        <v>7134.82</v>
      </c>
      <c r="X1441" s="395">
        <v>77490</v>
      </c>
      <c r="Y1441" s="395">
        <v>13450.19</v>
      </c>
      <c r="Z1441" s="396">
        <v>-8199630</v>
      </c>
      <c r="AA1441" s="396">
        <v>-3368</v>
      </c>
      <c r="AB1441" s="396">
        <v>-3238579</v>
      </c>
      <c r="AC1441" s="396">
        <v>10207916</v>
      </c>
    </row>
    <row r="1442" spans="1:29">
      <c r="A1442">
        <v>3259</v>
      </c>
      <c r="B1442" s="395" t="s">
        <v>7363</v>
      </c>
      <c r="C1442" s="395"/>
      <c r="D1442" s="396">
        <v>-3526</v>
      </c>
      <c r="E1442" s="396">
        <v>159640</v>
      </c>
      <c r="F1442" s="395">
        <v>-0.98</v>
      </c>
      <c r="G1442" s="396">
        <v>-163166</v>
      </c>
      <c r="H1442" s="396">
        <v>12176</v>
      </c>
      <c r="I1442" s="396">
        <v>752550</v>
      </c>
      <c r="J1442" s="395">
        <v>83</v>
      </c>
      <c r="K1442" s="395">
        <v>43</v>
      </c>
      <c r="L1442" s="397">
        <v>0.5181</v>
      </c>
      <c r="M1442" s="395">
        <v>40</v>
      </c>
      <c r="N1442" s="395">
        <v>-42</v>
      </c>
      <c r="O1442" s="396">
        <v>3713</v>
      </c>
      <c r="P1442" s="395">
        <v>0.91</v>
      </c>
      <c r="Q1442" s="396">
        <v>-4079</v>
      </c>
      <c r="R1442" s="396">
        <v>10297</v>
      </c>
      <c r="S1442" s="396">
        <v>-13909</v>
      </c>
      <c r="T1442" s="396">
        <v>197172</v>
      </c>
      <c r="U1442" s="396">
        <v>-144649</v>
      </c>
      <c r="V1442" s="395">
        <v>6903.07</v>
      </c>
      <c r="W1442" s="395">
        <v>3050.58</v>
      </c>
      <c r="X1442" s="395">
        <v>77490</v>
      </c>
      <c r="Y1442" s="395">
        <v>11044.5</v>
      </c>
      <c r="Z1442" s="396">
        <v>-29487055</v>
      </c>
      <c r="AA1442" s="396">
        <v>-3526</v>
      </c>
      <c r="AB1442" s="396">
        <v>-24989293</v>
      </c>
      <c r="AC1442" s="396">
        <v>10207916</v>
      </c>
    </row>
    <row r="1443" spans="1:29">
      <c r="A1443">
        <v>6174</v>
      </c>
      <c r="B1443" s="395" t="s">
        <v>7965</v>
      </c>
      <c r="C1443" s="395"/>
      <c r="D1443" s="396">
        <v>-3739</v>
      </c>
      <c r="E1443" s="396">
        <v>127267</v>
      </c>
      <c r="F1443" s="395">
        <v>-0.97</v>
      </c>
      <c r="G1443" s="396">
        <v>-131006</v>
      </c>
      <c r="H1443" s="396">
        <v>21789</v>
      </c>
      <c r="I1443" s="396">
        <v>1441062</v>
      </c>
      <c r="J1443" s="395">
        <v>232</v>
      </c>
      <c r="K1443" s="395">
        <v>171</v>
      </c>
      <c r="L1443" s="397">
        <v>0.73709999999999998</v>
      </c>
      <c r="M1443" s="395">
        <v>61</v>
      </c>
      <c r="N1443" s="395">
        <v>-16</v>
      </c>
      <c r="O1443" s="395">
        <v>744</v>
      </c>
      <c r="P1443" s="395">
        <v>0.35</v>
      </c>
      <c r="Q1443" s="396">
        <v>-2148</v>
      </c>
      <c r="R1443" s="396">
        <v>3243</v>
      </c>
      <c r="S1443" s="396">
        <v>-9482</v>
      </c>
      <c r="T1443" s="396">
        <v>127670</v>
      </c>
      <c r="U1443" s="396">
        <v>-225947</v>
      </c>
      <c r="V1443" s="395">
        <v>2414.27</v>
      </c>
      <c r="W1443" s="395">
        <v>831.31</v>
      </c>
      <c r="X1443" s="395">
        <v>77490</v>
      </c>
      <c r="Y1443" s="395">
        <v>6851.75</v>
      </c>
      <c r="Z1443" s="396">
        <v>20738877</v>
      </c>
      <c r="AA1443" s="396">
        <v>-3739</v>
      </c>
      <c r="AB1443" s="396">
        <v>63782258</v>
      </c>
      <c r="AC1443" s="396">
        <v>10207916</v>
      </c>
    </row>
    <row r="1444" spans="1:29">
      <c r="A1444">
        <v>3694</v>
      </c>
      <c r="B1444" s="395" t="s">
        <v>7536</v>
      </c>
      <c r="C1444" s="395"/>
      <c r="D1444" s="396">
        <v>-4107</v>
      </c>
      <c r="E1444" s="396">
        <v>203491</v>
      </c>
      <c r="F1444" s="395">
        <v>-0.98</v>
      </c>
      <c r="G1444" s="396">
        <v>-207598</v>
      </c>
      <c r="H1444" s="396">
        <v>26907</v>
      </c>
      <c r="I1444" s="396">
        <v>1643604</v>
      </c>
      <c r="J1444" s="395">
        <v>272</v>
      </c>
      <c r="K1444" s="395">
        <v>193</v>
      </c>
      <c r="L1444" s="397">
        <v>0.70960000000000001</v>
      </c>
      <c r="M1444" s="395">
        <v>79</v>
      </c>
      <c r="N1444" s="395">
        <v>-15</v>
      </c>
      <c r="O1444" s="396">
        <v>1054</v>
      </c>
      <c r="P1444" s="395">
        <v>0.4</v>
      </c>
      <c r="Q1444" s="396">
        <v>-2628</v>
      </c>
      <c r="R1444" s="396">
        <v>6113</v>
      </c>
      <c r="S1444" s="396">
        <v>-7314</v>
      </c>
      <c r="T1444" s="396">
        <v>218542</v>
      </c>
      <c r="U1444" s="396">
        <v>-153288</v>
      </c>
      <c r="V1444" s="395">
        <v>4383.46</v>
      </c>
      <c r="W1444" s="395">
        <v>3317.35</v>
      </c>
      <c r="X1444" s="395">
        <v>77490</v>
      </c>
      <c r="Y1444" s="395">
        <v>6988.03</v>
      </c>
      <c r="Z1444" s="396">
        <v>-23485438</v>
      </c>
      <c r="AA1444" s="396">
        <v>-4107</v>
      </c>
      <c r="AB1444" s="396">
        <v>-13205674</v>
      </c>
      <c r="AC1444" s="396">
        <v>10207916</v>
      </c>
    </row>
    <row r="1445" spans="1:29">
      <c r="A1445">
        <v>6247</v>
      </c>
      <c r="B1445" s="395" t="s">
        <v>8031</v>
      </c>
      <c r="C1445" s="395"/>
      <c r="D1445" s="396">
        <v>-4571</v>
      </c>
      <c r="E1445" s="396">
        <v>8311</v>
      </c>
      <c r="F1445" s="395">
        <v>-0.65</v>
      </c>
      <c r="G1445" s="396">
        <v>-12882</v>
      </c>
      <c r="H1445" s="396">
        <v>1441</v>
      </c>
      <c r="I1445" s="396">
        <v>118486</v>
      </c>
      <c r="J1445" s="395">
        <v>32</v>
      </c>
      <c r="K1445" s="395">
        <v>20</v>
      </c>
      <c r="L1445" s="397">
        <v>0.625</v>
      </c>
      <c r="M1445" s="395">
        <v>12</v>
      </c>
      <c r="N1445" s="395">
        <v>-143</v>
      </c>
      <c r="O1445" s="395">
        <v>416</v>
      </c>
      <c r="P1445" s="395">
        <v>0.39</v>
      </c>
      <c r="Q1445" s="396">
        <v>-1074</v>
      </c>
      <c r="R1445" s="396">
        <v>1002</v>
      </c>
      <c r="S1445" s="396">
        <v>-2797</v>
      </c>
      <c r="T1445" s="396">
        <v>10101</v>
      </c>
      <c r="U1445" s="396">
        <v>-12335</v>
      </c>
      <c r="V1445" s="395">
        <v>4193.09</v>
      </c>
      <c r="W1445" s="395">
        <v>2119.5</v>
      </c>
      <c r="X1445" s="395">
        <v>71010</v>
      </c>
      <c r="Y1445" s="395">
        <v>7649.08</v>
      </c>
      <c r="Z1445" s="396">
        <v>-4372330</v>
      </c>
      <c r="AA1445" s="396">
        <v>-4571</v>
      </c>
      <c r="AB1445" s="396">
        <v>4070981</v>
      </c>
      <c r="AC1445" s="396">
        <v>10207916</v>
      </c>
    </row>
    <row r="1446" spans="1:29">
      <c r="A1446">
        <v>2849</v>
      </c>
      <c r="B1446" s="395" t="s">
        <v>7204</v>
      </c>
      <c r="C1446" s="395"/>
      <c r="D1446" s="396">
        <v>-4981</v>
      </c>
      <c r="E1446" s="396">
        <v>82744</v>
      </c>
      <c r="F1446" s="395">
        <v>-0.94</v>
      </c>
      <c r="G1446" s="396">
        <v>-87725</v>
      </c>
      <c r="H1446" s="396">
        <v>14987</v>
      </c>
      <c r="I1446" s="396">
        <v>1059712</v>
      </c>
      <c r="J1446" s="395">
        <v>238</v>
      </c>
      <c r="K1446" s="395">
        <v>153</v>
      </c>
      <c r="L1446" s="397">
        <v>0.64290000000000003</v>
      </c>
      <c r="M1446" s="395">
        <v>85</v>
      </c>
      <c r="N1446" s="395">
        <v>-21</v>
      </c>
      <c r="O1446" s="395">
        <v>541</v>
      </c>
      <c r="P1446" s="395">
        <v>0.52</v>
      </c>
      <c r="Q1446" s="396">
        <v>-1032</v>
      </c>
      <c r="R1446" s="396">
        <v>1542</v>
      </c>
      <c r="S1446" s="396">
        <v>-1915</v>
      </c>
      <c r="T1446" s="396">
        <v>100847</v>
      </c>
      <c r="U1446" s="396">
        <v>-91576</v>
      </c>
      <c r="V1446" s="395">
        <v>7649.64</v>
      </c>
      <c r="W1446" s="395">
        <v>4424.62</v>
      </c>
      <c r="X1446" s="395">
        <v>77220</v>
      </c>
      <c r="Y1446" s="395">
        <v>13454.68</v>
      </c>
      <c r="Z1446" s="396">
        <v>-6282787</v>
      </c>
      <c r="AA1446" s="396">
        <v>-4981</v>
      </c>
      <c r="AB1446" s="396">
        <v>643322</v>
      </c>
      <c r="AC1446" s="396">
        <v>10207916</v>
      </c>
    </row>
    <row r="1447" spans="1:29">
      <c r="A1447">
        <v>9927</v>
      </c>
      <c r="B1447" s="395" t="s">
        <v>8409</v>
      </c>
      <c r="C1447" s="395"/>
      <c r="D1447" s="396">
        <v>-5166</v>
      </c>
      <c r="E1447" s="396">
        <v>163818</v>
      </c>
      <c r="F1447" s="395">
        <v>-0.97</v>
      </c>
      <c r="G1447" s="396">
        <v>-168984</v>
      </c>
      <c r="H1447" s="396">
        <v>31561</v>
      </c>
      <c r="I1447" s="396">
        <v>2457356</v>
      </c>
      <c r="J1447" s="395">
        <v>230</v>
      </c>
      <c r="K1447" s="395">
        <v>168</v>
      </c>
      <c r="L1447" s="397">
        <v>0.73040000000000005</v>
      </c>
      <c r="M1447" s="395">
        <v>62</v>
      </c>
      <c r="N1447" s="395">
        <v>-22</v>
      </c>
      <c r="O1447" s="395">
        <v>975</v>
      </c>
      <c r="P1447" s="395">
        <v>0.36</v>
      </c>
      <c r="Q1447" s="396">
        <v>-2726</v>
      </c>
      <c r="R1447" s="396">
        <v>3004</v>
      </c>
      <c r="S1447" s="396">
        <v>-11341</v>
      </c>
      <c r="T1447" s="396">
        <v>204858</v>
      </c>
      <c r="U1447" s="396">
        <v>-249340</v>
      </c>
      <c r="V1447" s="395">
        <v>6155.65</v>
      </c>
      <c r="W1447" s="395">
        <v>4073.21</v>
      </c>
      <c r="X1447" s="395">
        <v>75600</v>
      </c>
      <c r="Y1447" s="395">
        <v>11798.39</v>
      </c>
      <c r="Z1447" s="396">
        <v>-7520931</v>
      </c>
      <c r="AA1447" s="396">
        <v>-5166</v>
      </c>
      <c r="AB1447" s="396">
        <v>8324084</v>
      </c>
      <c r="AC1447" s="396">
        <v>10207916</v>
      </c>
    </row>
    <row r="1448" spans="1:29">
      <c r="A1448">
        <v>3354</v>
      </c>
      <c r="B1448" s="395" t="s">
        <v>7400</v>
      </c>
      <c r="C1448" s="395"/>
      <c r="D1448" s="396">
        <v>-5364</v>
      </c>
      <c r="E1448" s="396">
        <v>108819</v>
      </c>
      <c r="F1448" s="395">
        <v>-0.95</v>
      </c>
      <c r="G1448" s="396">
        <v>-114183</v>
      </c>
      <c r="H1448" s="396">
        <v>16064</v>
      </c>
      <c r="I1448" s="396">
        <v>609208</v>
      </c>
      <c r="J1448" s="395">
        <v>250</v>
      </c>
      <c r="K1448" s="395">
        <v>181</v>
      </c>
      <c r="L1448" s="397">
        <v>0.72399999999999998</v>
      </c>
      <c r="M1448" s="395">
        <v>69</v>
      </c>
      <c r="N1448" s="395">
        <v>-21</v>
      </c>
      <c r="O1448" s="395">
        <v>601</v>
      </c>
      <c r="P1448" s="395">
        <v>0.36</v>
      </c>
      <c r="Q1448" s="396">
        <v>-1655</v>
      </c>
      <c r="R1448" s="396">
        <v>2599</v>
      </c>
      <c r="S1448" s="396">
        <v>-4471</v>
      </c>
      <c r="T1448" s="396">
        <v>99232</v>
      </c>
      <c r="U1448" s="396">
        <v>-102603</v>
      </c>
      <c r="V1448" s="395">
        <v>2167.25</v>
      </c>
      <c r="W1448" s="395">
        <v>845.25</v>
      </c>
      <c r="X1448" s="395">
        <v>77490</v>
      </c>
      <c r="Y1448" s="395">
        <v>5635.09</v>
      </c>
      <c r="Z1448" s="396">
        <v>9525524</v>
      </c>
      <c r="AA1448" s="396">
        <v>-5364</v>
      </c>
      <c r="AB1448" s="396">
        <v>6162144</v>
      </c>
      <c r="AC1448" s="396">
        <v>10207916</v>
      </c>
    </row>
    <row r="1449" spans="1:29">
      <c r="A1449">
        <v>6661</v>
      </c>
      <c r="B1449" s="395" t="s">
        <v>8170</v>
      </c>
      <c r="C1449" s="395"/>
      <c r="D1449" s="396">
        <v>-7031</v>
      </c>
      <c r="E1449" s="396">
        <v>11962</v>
      </c>
      <c r="F1449" s="395">
        <v>-0.63</v>
      </c>
      <c r="G1449" s="396">
        <v>-18993</v>
      </c>
      <c r="H1449" s="396">
        <v>2631</v>
      </c>
      <c r="I1449" s="396">
        <v>298032</v>
      </c>
      <c r="J1449" s="395">
        <v>25</v>
      </c>
      <c r="K1449" s="395">
        <v>15</v>
      </c>
      <c r="L1449" s="397">
        <v>0.6</v>
      </c>
      <c r="M1449" s="395">
        <v>10</v>
      </c>
      <c r="N1449" s="395">
        <v>-281</v>
      </c>
      <c r="O1449" s="395">
        <v>797</v>
      </c>
      <c r="P1449" s="395">
        <v>0.42</v>
      </c>
      <c r="Q1449" s="396">
        <v>-1899</v>
      </c>
      <c r="R1449" s="396">
        <v>2092</v>
      </c>
      <c r="S1449" s="396">
        <v>-5896</v>
      </c>
      <c r="T1449" s="396">
        <v>19196</v>
      </c>
      <c r="U1449" s="396">
        <v>-20314</v>
      </c>
      <c r="V1449" s="395">
        <v>7724.88</v>
      </c>
      <c r="W1449" s="395">
        <v>3466.67</v>
      </c>
      <c r="X1449" s="395">
        <v>72900</v>
      </c>
      <c r="Y1449" s="395">
        <v>14112.2</v>
      </c>
      <c r="Z1449" s="396">
        <v>-10190627</v>
      </c>
      <c r="AA1449" s="396">
        <v>-7031</v>
      </c>
      <c r="AB1449" s="396">
        <v>-14332885</v>
      </c>
      <c r="AC1449" s="396">
        <v>10207916</v>
      </c>
    </row>
    <row r="1450" spans="1:29">
      <c r="A1450">
        <v>4406</v>
      </c>
      <c r="B1450" s="395" t="s">
        <v>7608</v>
      </c>
      <c r="C1450" s="395"/>
      <c r="D1450" s="396">
        <v>-7463</v>
      </c>
      <c r="E1450" s="396">
        <v>52139</v>
      </c>
      <c r="F1450" s="395">
        <v>-0.87</v>
      </c>
      <c r="G1450" s="396">
        <v>-59602</v>
      </c>
      <c r="H1450" s="396">
        <v>8513</v>
      </c>
      <c r="I1450" s="396">
        <v>442972</v>
      </c>
      <c r="J1450" s="395">
        <v>200</v>
      </c>
      <c r="K1450" s="395">
        <v>127</v>
      </c>
      <c r="L1450" s="397">
        <v>0.63500000000000001</v>
      </c>
      <c r="M1450" s="395">
        <v>71</v>
      </c>
      <c r="N1450" s="395">
        <v>-37</v>
      </c>
      <c r="O1450" s="395">
        <v>411</v>
      </c>
      <c r="P1450" s="395">
        <v>0.49</v>
      </c>
      <c r="Q1450" s="395">
        <v>-839</v>
      </c>
      <c r="R1450" s="396">
        <v>2004</v>
      </c>
      <c r="S1450" s="396">
        <v>-2605</v>
      </c>
      <c r="T1450" s="396">
        <v>49489</v>
      </c>
      <c r="U1450" s="396">
        <v>-49441</v>
      </c>
      <c r="V1450" s="395">
        <v>3107.58</v>
      </c>
      <c r="W1450" s="395">
        <v>1052.18</v>
      </c>
      <c r="X1450" s="395">
        <v>77220</v>
      </c>
      <c r="Y1450" s="395">
        <v>6816.37</v>
      </c>
      <c r="Z1450" s="396">
        <v>-9350270</v>
      </c>
      <c r="AA1450" s="396">
        <v>-7463</v>
      </c>
      <c r="AB1450" s="396">
        <v>11977472</v>
      </c>
      <c r="AC1450" s="396">
        <v>10207916</v>
      </c>
    </row>
    <row r="1451" spans="1:29">
      <c r="A1451">
        <v>1268</v>
      </c>
      <c r="B1451" s="395" t="s">
        <v>6707</v>
      </c>
      <c r="C1451" s="395"/>
      <c r="D1451" s="396">
        <v>-8033</v>
      </c>
      <c r="E1451" s="396">
        <v>318838</v>
      </c>
      <c r="F1451" s="395">
        <v>-0.98</v>
      </c>
      <c r="G1451" s="396">
        <v>-326871</v>
      </c>
      <c r="H1451" s="396">
        <v>60117</v>
      </c>
      <c r="I1451" s="396">
        <v>7568896</v>
      </c>
      <c r="J1451" s="395">
        <v>120</v>
      </c>
      <c r="K1451" s="395">
        <v>62</v>
      </c>
      <c r="L1451" s="397">
        <v>0.51670000000000005</v>
      </c>
      <c r="M1451" s="395">
        <v>58</v>
      </c>
      <c r="N1451" s="395">
        <v>-67</v>
      </c>
      <c r="O1451" s="396">
        <v>5143</v>
      </c>
      <c r="P1451" s="395">
        <v>0.91</v>
      </c>
      <c r="Q1451" s="396">
        <v>-5636</v>
      </c>
      <c r="R1451" s="396">
        <v>19991</v>
      </c>
      <c r="S1451" s="396">
        <v>-15550</v>
      </c>
      <c r="T1451" s="396">
        <v>677026</v>
      </c>
      <c r="U1451" s="396">
        <v>-909027</v>
      </c>
      <c r="V1451" s="395">
        <v>15628.74</v>
      </c>
      <c r="W1451" s="395">
        <v>7000.85</v>
      </c>
      <c r="X1451" s="395">
        <v>76680</v>
      </c>
      <c r="Y1451" s="395">
        <v>24851.66</v>
      </c>
      <c r="Z1451" s="396">
        <v>-3616272</v>
      </c>
      <c r="AA1451" s="396">
        <v>-8033</v>
      </c>
      <c r="AB1451" s="396">
        <v>-3283077</v>
      </c>
      <c r="AC1451" s="396">
        <v>10207916</v>
      </c>
    </row>
    <row r="1452" spans="1:29">
      <c r="A1452">
        <v>2331</v>
      </c>
      <c r="B1452" s="395" t="s">
        <v>6989</v>
      </c>
      <c r="C1452" s="395"/>
      <c r="D1452" s="396">
        <v>-8061</v>
      </c>
      <c r="E1452" s="396">
        <v>195871</v>
      </c>
      <c r="F1452" s="395">
        <v>-0.96</v>
      </c>
      <c r="G1452" s="396">
        <v>-203932</v>
      </c>
      <c r="H1452" s="396">
        <v>25755</v>
      </c>
      <c r="I1452" s="396">
        <v>1771120</v>
      </c>
      <c r="J1452" s="395">
        <v>263</v>
      </c>
      <c r="K1452" s="395">
        <v>165</v>
      </c>
      <c r="L1452" s="397">
        <v>0.62739999999999996</v>
      </c>
      <c r="M1452" s="395">
        <v>98</v>
      </c>
      <c r="N1452" s="395">
        <v>-31</v>
      </c>
      <c r="O1452" s="396">
        <v>1187</v>
      </c>
      <c r="P1452" s="395">
        <v>0.56999999999999995</v>
      </c>
      <c r="Q1452" s="396">
        <v>-2081</v>
      </c>
      <c r="R1452" s="396">
        <v>4514</v>
      </c>
      <c r="S1452" s="396">
        <v>-6208</v>
      </c>
      <c r="T1452" s="396">
        <v>365653</v>
      </c>
      <c r="U1452" s="396">
        <v>-279722</v>
      </c>
      <c r="V1452" s="395">
        <v>6324.71</v>
      </c>
      <c r="W1452" s="395">
        <v>3470.35</v>
      </c>
      <c r="X1452" s="395">
        <v>77490</v>
      </c>
      <c r="Y1452" s="395">
        <v>11130.52</v>
      </c>
      <c r="Z1452" s="396">
        <v>-9532739</v>
      </c>
      <c r="AA1452" s="396">
        <v>-8061</v>
      </c>
      <c r="AB1452" s="396">
        <v>-12667585</v>
      </c>
      <c r="AC1452" s="396">
        <v>10207916</v>
      </c>
    </row>
    <row r="1453" spans="1:29">
      <c r="A1453">
        <v>2321</v>
      </c>
      <c r="B1453" s="395" t="s">
        <v>6982</v>
      </c>
      <c r="C1453" s="395"/>
      <c r="D1453" s="396">
        <v>-8188</v>
      </c>
      <c r="E1453" s="395">
        <v>191</v>
      </c>
      <c r="F1453" s="395">
        <v>-0.02</v>
      </c>
      <c r="G1453" s="396">
        <v>-8379</v>
      </c>
      <c r="H1453" s="395">
        <v>148</v>
      </c>
      <c r="I1453" s="396">
        <v>33669</v>
      </c>
      <c r="J1453" s="395">
        <v>5</v>
      </c>
      <c r="K1453" s="395">
        <v>1</v>
      </c>
      <c r="L1453" s="397">
        <v>0.2</v>
      </c>
      <c r="M1453" s="395">
        <v>4</v>
      </c>
      <c r="N1453" s="396">
        <v>-1638</v>
      </c>
      <c r="O1453" s="395">
        <v>191</v>
      </c>
      <c r="P1453" s="395">
        <v>0.09</v>
      </c>
      <c r="Q1453" s="396">
        <v>-2095</v>
      </c>
      <c r="R1453" s="395">
        <v>191</v>
      </c>
      <c r="S1453" s="396">
        <v>-4234</v>
      </c>
      <c r="T1453" s="396">
        <v>4960</v>
      </c>
      <c r="U1453" s="396">
        <v>-8379</v>
      </c>
      <c r="V1453" s="395">
        <v>25104.2</v>
      </c>
      <c r="W1453" s="395">
        <v>301</v>
      </c>
      <c r="X1453" s="395">
        <v>73170</v>
      </c>
      <c r="Y1453" s="395">
        <v>31305</v>
      </c>
      <c r="Z1453" s="396">
        <v>-17752562</v>
      </c>
      <c r="AA1453" s="396">
        <v>-8188</v>
      </c>
      <c r="AB1453" s="396">
        <v>-10280549</v>
      </c>
      <c r="AC1453" s="396">
        <v>10207916</v>
      </c>
    </row>
    <row r="1454" spans="1:29">
      <c r="A1454">
        <v>8085</v>
      </c>
      <c r="B1454" s="395" t="s">
        <v>8262</v>
      </c>
      <c r="C1454" s="395"/>
      <c r="D1454" s="396">
        <v>-8284</v>
      </c>
      <c r="E1454" s="396">
        <v>83274</v>
      </c>
      <c r="F1454" s="395">
        <v>-0.91</v>
      </c>
      <c r="G1454" s="396">
        <v>-91558</v>
      </c>
      <c r="H1454" s="396">
        <v>11053</v>
      </c>
      <c r="I1454" s="396">
        <v>377860</v>
      </c>
      <c r="J1454" s="395">
        <v>189</v>
      </c>
      <c r="K1454" s="395">
        <v>128</v>
      </c>
      <c r="L1454" s="397">
        <v>0.67720000000000002</v>
      </c>
      <c r="M1454" s="395">
        <v>61</v>
      </c>
      <c r="N1454" s="395">
        <v>-44</v>
      </c>
      <c r="O1454" s="395">
        <v>651</v>
      </c>
      <c r="P1454" s="395">
        <v>0.43</v>
      </c>
      <c r="Q1454" s="396">
        <v>-1501</v>
      </c>
      <c r="R1454" s="396">
        <v>3649</v>
      </c>
      <c r="S1454" s="396">
        <v>-5669</v>
      </c>
      <c r="T1454" s="396">
        <v>105238</v>
      </c>
      <c r="U1454" s="396">
        <v>-77347</v>
      </c>
      <c r="V1454" s="395">
        <v>2672.44</v>
      </c>
      <c r="W1454" s="395">
        <v>1100.6600000000001</v>
      </c>
      <c r="X1454" s="395">
        <v>75600</v>
      </c>
      <c r="Y1454" s="395">
        <v>5970.61</v>
      </c>
      <c r="Z1454" s="396">
        <v>-11814213</v>
      </c>
      <c r="AA1454" s="396">
        <v>-8284</v>
      </c>
      <c r="AB1454" s="396">
        <v>34964261</v>
      </c>
      <c r="AC1454" s="396">
        <v>10207916</v>
      </c>
    </row>
    <row r="1455" spans="1:29">
      <c r="A1455">
        <v>1528</v>
      </c>
      <c r="B1455" s="395" t="s">
        <v>6800</v>
      </c>
      <c r="C1455" s="395"/>
      <c r="D1455" s="396">
        <v>-10342</v>
      </c>
      <c r="E1455" s="396">
        <v>75032</v>
      </c>
      <c r="F1455" s="395">
        <v>-0.88</v>
      </c>
      <c r="G1455" s="396">
        <v>-85374</v>
      </c>
      <c r="H1455" s="396">
        <v>11307</v>
      </c>
      <c r="I1455" s="396">
        <v>617366</v>
      </c>
      <c r="J1455" s="395">
        <v>261</v>
      </c>
      <c r="K1455" s="395">
        <v>181</v>
      </c>
      <c r="L1455" s="397">
        <v>0.69350000000000001</v>
      </c>
      <c r="M1455" s="395">
        <v>77</v>
      </c>
      <c r="N1455" s="395">
        <v>-40</v>
      </c>
      <c r="O1455" s="395">
        <v>415</v>
      </c>
      <c r="P1455" s="395">
        <v>0.37</v>
      </c>
      <c r="Q1455" s="396">
        <v>-1109</v>
      </c>
      <c r="R1455" s="396">
        <v>1692</v>
      </c>
      <c r="S1455" s="396">
        <v>-2473</v>
      </c>
      <c r="T1455" s="396">
        <v>72292</v>
      </c>
      <c r="U1455" s="396">
        <v>-69452</v>
      </c>
      <c r="V1455" s="395">
        <v>4377.8</v>
      </c>
      <c r="W1455" s="395">
        <v>2969.53</v>
      </c>
      <c r="X1455" s="395">
        <v>77490</v>
      </c>
      <c r="Y1455" s="395">
        <v>7752.81</v>
      </c>
      <c r="Z1455" s="396">
        <v>-8371804</v>
      </c>
      <c r="AA1455" s="396">
        <v>-10342</v>
      </c>
      <c r="AB1455" s="396">
        <v>-1347357</v>
      </c>
      <c r="AC1455" s="396">
        <v>10207916</v>
      </c>
    </row>
    <row r="1456" spans="1:29">
      <c r="A1456">
        <v>8466</v>
      </c>
      <c r="B1456" s="395" t="s">
        <v>8354</v>
      </c>
      <c r="C1456" s="395"/>
      <c r="D1456" s="396">
        <v>-11357</v>
      </c>
      <c r="E1456" s="396">
        <v>149834</v>
      </c>
      <c r="F1456" s="395">
        <v>-0.93</v>
      </c>
      <c r="G1456" s="396">
        <v>-161191</v>
      </c>
      <c r="H1456" s="396">
        <v>42423</v>
      </c>
      <c r="I1456" s="396">
        <v>2956410</v>
      </c>
      <c r="J1456" s="395">
        <v>187</v>
      </c>
      <c r="K1456" s="395">
        <v>93</v>
      </c>
      <c r="L1456" s="397">
        <v>0.49730000000000002</v>
      </c>
      <c r="M1456" s="395">
        <v>93</v>
      </c>
      <c r="N1456" s="395">
        <v>-61</v>
      </c>
      <c r="O1456" s="396">
        <v>1611</v>
      </c>
      <c r="P1456" s="395">
        <v>0.93</v>
      </c>
      <c r="Q1456" s="396">
        <v>-1733</v>
      </c>
      <c r="R1456" s="396">
        <v>6580</v>
      </c>
      <c r="S1456" s="396">
        <v>-6246</v>
      </c>
      <c r="T1456" s="396">
        <v>218963</v>
      </c>
      <c r="U1456" s="396">
        <v>-207011</v>
      </c>
      <c r="V1456" s="395">
        <v>8406.98</v>
      </c>
      <c r="W1456" s="395">
        <v>6536.82</v>
      </c>
      <c r="X1456" s="395">
        <v>76950</v>
      </c>
      <c r="Y1456" s="395">
        <v>10353.17</v>
      </c>
      <c r="Z1456" s="396">
        <v>-10548177</v>
      </c>
      <c r="AA1456" s="396">
        <v>-11357</v>
      </c>
      <c r="AB1456" s="396">
        <v>-9281061</v>
      </c>
      <c r="AC1456" s="396">
        <v>10207916</v>
      </c>
    </row>
    <row r="1457" spans="1:29">
      <c r="A1457">
        <v>6596</v>
      </c>
      <c r="B1457" s="395" t="s">
        <v>8150</v>
      </c>
      <c r="C1457" s="395"/>
      <c r="D1457" s="396">
        <v>-11963</v>
      </c>
      <c r="E1457" s="396">
        <v>143310</v>
      </c>
      <c r="F1457" s="395">
        <v>-0.92</v>
      </c>
      <c r="G1457" s="396">
        <v>-155273</v>
      </c>
      <c r="H1457" s="396">
        <v>33966</v>
      </c>
      <c r="I1457" s="396">
        <v>6377560</v>
      </c>
      <c r="J1457" s="395">
        <v>165</v>
      </c>
      <c r="K1457" s="395">
        <v>85</v>
      </c>
      <c r="L1457" s="397">
        <v>0.51519999999999999</v>
      </c>
      <c r="M1457" s="395">
        <v>80</v>
      </c>
      <c r="N1457" s="395">
        <v>-73</v>
      </c>
      <c r="O1457" s="396">
        <v>1686</v>
      </c>
      <c r="P1457" s="395">
        <v>0.87</v>
      </c>
      <c r="Q1457" s="396">
        <v>-1941</v>
      </c>
      <c r="R1457" s="396">
        <v>7479</v>
      </c>
      <c r="S1457" s="396">
        <v>-6198</v>
      </c>
      <c r="T1457" s="396">
        <v>485221</v>
      </c>
      <c r="U1457" s="396">
        <v>-411032</v>
      </c>
      <c r="V1457" s="395">
        <v>25765.7</v>
      </c>
      <c r="W1457" s="395">
        <v>19511.509999999998</v>
      </c>
      <c r="X1457" s="395">
        <v>77220</v>
      </c>
      <c r="Y1457" s="395">
        <v>32410.79</v>
      </c>
      <c r="Z1457" s="396">
        <v>1288480</v>
      </c>
      <c r="AA1457" s="396">
        <v>-11963</v>
      </c>
      <c r="AB1457" s="396">
        <v>3327366</v>
      </c>
      <c r="AC1457" s="396">
        <v>10207916</v>
      </c>
    </row>
    <row r="1458" spans="1:29">
      <c r="A1458">
        <v>3363</v>
      </c>
      <c r="B1458" s="395" t="s">
        <v>7405</v>
      </c>
      <c r="C1458" s="395"/>
      <c r="D1458" s="396">
        <v>-12398</v>
      </c>
      <c r="E1458" s="396">
        <v>182237</v>
      </c>
      <c r="F1458" s="395">
        <v>-0.94</v>
      </c>
      <c r="G1458" s="396">
        <v>-194635</v>
      </c>
      <c r="H1458" s="396">
        <v>28748</v>
      </c>
      <c r="I1458" s="396">
        <v>1470036</v>
      </c>
      <c r="J1458" s="395">
        <v>251</v>
      </c>
      <c r="K1458" s="395">
        <v>170</v>
      </c>
      <c r="L1458" s="397">
        <v>0.67730000000000001</v>
      </c>
      <c r="M1458" s="395">
        <v>81</v>
      </c>
      <c r="N1458" s="395">
        <v>-49</v>
      </c>
      <c r="O1458" s="396">
        <v>1072</v>
      </c>
      <c r="P1458" s="395">
        <v>0.45</v>
      </c>
      <c r="Q1458" s="396">
        <v>-2403</v>
      </c>
      <c r="R1458" s="396">
        <v>3952</v>
      </c>
      <c r="S1458" s="396">
        <v>-11786</v>
      </c>
      <c r="T1458" s="396">
        <v>179562</v>
      </c>
      <c r="U1458" s="396">
        <v>-203327</v>
      </c>
      <c r="V1458" s="395">
        <v>2951.27</v>
      </c>
      <c r="W1458" s="395">
        <v>1302.3499999999999</v>
      </c>
      <c r="X1458" s="395">
        <v>77490</v>
      </c>
      <c r="Y1458" s="395">
        <v>6411.98</v>
      </c>
      <c r="Z1458" s="396">
        <v>-19152867</v>
      </c>
      <c r="AA1458" s="396">
        <v>-12398</v>
      </c>
      <c r="AB1458" s="396">
        <v>1205204</v>
      </c>
      <c r="AC1458" s="396">
        <v>10207916</v>
      </c>
    </row>
    <row r="1459" spans="1:29">
      <c r="A1459">
        <v>2414</v>
      </c>
      <c r="B1459" s="395" t="s">
        <v>7045</v>
      </c>
      <c r="C1459" s="395"/>
      <c r="D1459" s="396">
        <v>-12951</v>
      </c>
      <c r="E1459" s="396">
        <v>157784</v>
      </c>
      <c r="F1459" s="395">
        <v>-0.92</v>
      </c>
      <c r="G1459" s="396">
        <v>-170735</v>
      </c>
      <c r="H1459" s="396">
        <v>33001</v>
      </c>
      <c r="I1459" s="396">
        <v>2265571</v>
      </c>
      <c r="J1459" s="395">
        <v>257</v>
      </c>
      <c r="K1459" s="395">
        <v>187</v>
      </c>
      <c r="L1459" s="397">
        <v>0.72760000000000002</v>
      </c>
      <c r="M1459" s="395">
        <v>70</v>
      </c>
      <c r="N1459" s="395">
        <v>-50</v>
      </c>
      <c r="O1459" s="395">
        <v>844</v>
      </c>
      <c r="P1459" s="395">
        <v>0.35</v>
      </c>
      <c r="Q1459" s="396">
        <v>-2439</v>
      </c>
      <c r="R1459" s="396">
        <v>2188</v>
      </c>
      <c r="S1459" s="396">
        <v>-6953</v>
      </c>
      <c r="T1459" s="396">
        <v>161929</v>
      </c>
      <c r="U1459" s="396">
        <v>-189779</v>
      </c>
      <c r="V1459" s="395">
        <v>4688.6099999999997</v>
      </c>
      <c r="W1459" s="395">
        <v>2420.3200000000002</v>
      </c>
      <c r="X1459" s="395">
        <v>77490</v>
      </c>
      <c r="Y1459" s="395">
        <v>10748.17</v>
      </c>
      <c r="Z1459" s="396">
        <v>1544449</v>
      </c>
      <c r="AA1459" s="396">
        <v>-12951</v>
      </c>
      <c r="AB1459" s="396">
        <v>21161600</v>
      </c>
      <c r="AC1459" s="396">
        <v>10207916</v>
      </c>
    </row>
    <row r="1460" spans="1:29">
      <c r="A1460">
        <v>5514</v>
      </c>
      <c r="B1460" s="395" t="s">
        <v>7860</v>
      </c>
      <c r="C1460" s="395"/>
      <c r="D1460" s="396">
        <v>-13549</v>
      </c>
      <c r="E1460" s="396">
        <v>22579</v>
      </c>
      <c r="F1460" s="395">
        <v>-0.62</v>
      </c>
      <c r="G1460" s="396">
        <v>-36128</v>
      </c>
      <c r="H1460" s="396">
        <v>6890</v>
      </c>
      <c r="I1460" s="396">
        <v>665922</v>
      </c>
      <c r="J1460" s="395">
        <v>81</v>
      </c>
      <c r="K1460" s="395">
        <v>41</v>
      </c>
      <c r="L1460" s="397">
        <v>0.50619999999999998</v>
      </c>
      <c r="M1460" s="395">
        <v>40</v>
      </c>
      <c r="N1460" s="395">
        <v>-167</v>
      </c>
      <c r="O1460" s="395">
        <v>551</v>
      </c>
      <c r="P1460" s="395">
        <v>0.61</v>
      </c>
      <c r="Q1460" s="395">
        <v>-903</v>
      </c>
      <c r="R1460" s="396">
        <v>1916</v>
      </c>
      <c r="S1460" s="396">
        <v>-2244</v>
      </c>
      <c r="T1460" s="396">
        <v>48507</v>
      </c>
      <c r="U1460" s="396">
        <v>-46348</v>
      </c>
      <c r="V1460" s="395">
        <v>11762.02</v>
      </c>
      <c r="W1460" s="395">
        <v>5595.32</v>
      </c>
      <c r="X1460" s="395">
        <v>75870</v>
      </c>
      <c r="Y1460" s="395">
        <v>18082.900000000001</v>
      </c>
      <c r="Z1460" s="396">
        <v>368311</v>
      </c>
      <c r="AA1460" s="396">
        <v>-13549</v>
      </c>
      <c r="AB1460" s="396">
        <v>4966071</v>
      </c>
      <c r="AC1460" s="396">
        <v>10207916</v>
      </c>
    </row>
    <row r="1461" spans="1:29">
      <c r="A1461">
        <v>6806</v>
      </c>
      <c r="B1461" s="395" t="s">
        <v>8219</v>
      </c>
      <c r="C1461" s="395"/>
      <c r="D1461" s="396">
        <v>-14408</v>
      </c>
      <c r="E1461" s="396">
        <v>88512</v>
      </c>
      <c r="F1461" s="395">
        <v>-0.86</v>
      </c>
      <c r="G1461" s="396">
        <v>-102920</v>
      </c>
      <c r="H1461" s="396">
        <v>17708</v>
      </c>
      <c r="I1461" s="396">
        <v>1539326</v>
      </c>
      <c r="J1461" s="395">
        <v>43</v>
      </c>
      <c r="K1461" s="395">
        <v>22</v>
      </c>
      <c r="L1461" s="397">
        <v>0.51160000000000005</v>
      </c>
      <c r="M1461" s="395">
        <v>21</v>
      </c>
      <c r="N1461" s="395">
        <v>-335</v>
      </c>
      <c r="O1461" s="396">
        <v>4023</v>
      </c>
      <c r="P1461" s="395">
        <v>0.82</v>
      </c>
      <c r="Q1461" s="396">
        <v>-4901</v>
      </c>
      <c r="R1461" s="396">
        <v>11117</v>
      </c>
      <c r="S1461" s="396">
        <v>-12206</v>
      </c>
      <c r="T1461" s="396">
        <v>177884</v>
      </c>
      <c r="U1461" s="396">
        <v>-150202</v>
      </c>
      <c r="V1461" s="395">
        <v>2554.81</v>
      </c>
      <c r="W1461" s="395">
        <v>1042.18</v>
      </c>
      <c r="X1461" s="395">
        <v>20790</v>
      </c>
      <c r="Y1461" s="395">
        <v>4139.4799999999996</v>
      </c>
      <c r="Z1461" s="396">
        <v>-8475089</v>
      </c>
      <c r="AA1461" s="396">
        <v>-14408</v>
      </c>
      <c r="AB1461" s="396">
        <v>-8932328</v>
      </c>
      <c r="AC1461" s="396">
        <v>10207916</v>
      </c>
    </row>
    <row r="1462" spans="1:29">
      <c r="A1462">
        <v>1104</v>
      </c>
      <c r="B1462" s="395" t="s">
        <v>6679</v>
      </c>
      <c r="C1462" s="395"/>
      <c r="D1462" s="396">
        <v>-14418</v>
      </c>
      <c r="E1462" s="396">
        <v>68756</v>
      </c>
      <c r="F1462" s="395">
        <v>-0.83</v>
      </c>
      <c r="G1462" s="396">
        <v>-83174</v>
      </c>
      <c r="H1462" s="396">
        <v>23302</v>
      </c>
      <c r="I1462" s="396">
        <v>3359031</v>
      </c>
      <c r="J1462" s="395">
        <v>263</v>
      </c>
      <c r="K1462" s="395">
        <v>127</v>
      </c>
      <c r="L1462" s="397">
        <v>0.4829</v>
      </c>
      <c r="M1462" s="395">
        <v>136</v>
      </c>
      <c r="N1462" s="395">
        <v>-55</v>
      </c>
      <c r="O1462" s="395">
        <v>541</v>
      </c>
      <c r="P1462" s="395">
        <v>0.88</v>
      </c>
      <c r="Q1462" s="395">
        <v>-612</v>
      </c>
      <c r="R1462" s="396">
        <v>2112</v>
      </c>
      <c r="S1462" s="396">
        <v>-1845</v>
      </c>
      <c r="T1462" s="396">
        <v>134889</v>
      </c>
      <c r="U1462" s="396">
        <v>-164586</v>
      </c>
      <c r="V1462" s="395">
        <v>15252.95</v>
      </c>
      <c r="W1462" s="395">
        <v>9498.0300000000007</v>
      </c>
      <c r="X1462" s="395">
        <v>77490</v>
      </c>
      <c r="Y1462" s="395">
        <v>20627.03</v>
      </c>
      <c r="Z1462" s="396">
        <v>-1921652</v>
      </c>
      <c r="AA1462" s="396">
        <v>-14418</v>
      </c>
      <c r="AB1462" s="396">
        <v>-2511901</v>
      </c>
      <c r="AC1462" s="396">
        <v>10207916</v>
      </c>
    </row>
    <row r="1463" spans="1:29">
      <c r="A1463">
        <v>6198</v>
      </c>
      <c r="B1463" s="395" t="s">
        <v>7986</v>
      </c>
      <c r="C1463" s="395"/>
      <c r="D1463" s="396">
        <v>-16402</v>
      </c>
      <c r="E1463" s="396">
        <v>31654</v>
      </c>
      <c r="F1463" s="395">
        <v>-0.66</v>
      </c>
      <c r="G1463" s="396">
        <v>-48056</v>
      </c>
      <c r="H1463" s="396">
        <v>3852</v>
      </c>
      <c r="I1463" s="396">
        <v>440026</v>
      </c>
      <c r="J1463" s="395">
        <v>25</v>
      </c>
      <c r="K1463" s="395">
        <v>10</v>
      </c>
      <c r="L1463" s="397">
        <v>0.4</v>
      </c>
      <c r="M1463" s="395">
        <v>15</v>
      </c>
      <c r="N1463" s="395">
        <v>-656</v>
      </c>
      <c r="O1463" s="396">
        <v>3165</v>
      </c>
      <c r="P1463" s="395">
        <v>0.99</v>
      </c>
      <c r="Q1463" s="396">
        <v>-3204</v>
      </c>
      <c r="R1463" s="396">
        <v>8010</v>
      </c>
      <c r="S1463" s="396">
        <v>-7707</v>
      </c>
      <c r="T1463" s="396">
        <v>67500</v>
      </c>
      <c r="U1463" s="396">
        <v>-72435</v>
      </c>
      <c r="V1463" s="395">
        <v>22691.56</v>
      </c>
      <c r="W1463" s="395">
        <v>2609.6999999999998</v>
      </c>
      <c r="X1463" s="395">
        <v>66960</v>
      </c>
      <c r="Y1463" s="395">
        <v>36079.47</v>
      </c>
      <c r="Z1463" s="396">
        <v>-10456781</v>
      </c>
      <c r="AA1463" s="396">
        <v>-16402</v>
      </c>
      <c r="AB1463" s="396">
        <v>1322674</v>
      </c>
      <c r="AC1463" s="396">
        <v>10207916</v>
      </c>
    </row>
    <row r="1464" spans="1:29">
      <c r="A1464">
        <v>3171</v>
      </c>
      <c r="B1464" s="395" t="s">
        <v>7334</v>
      </c>
      <c r="C1464" s="395"/>
      <c r="D1464" s="396">
        <v>-17600</v>
      </c>
      <c r="E1464" s="396">
        <v>55231</v>
      </c>
      <c r="F1464" s="395">
        <v>-0.76</v>
      </c>
      <c r="G1464" s="396">
        <v>-72831</v>
      </c>
      <c r="H1464" s="396">
        <v>15526</v>
      </c>
      <c r="I1464" s="396">
        <v>1522859</v>
      </c>
      <c r="J1464" s="395">
        <v>166</v>
      </c>
      <c r="K1464" s="395">
        <v>92</v>
      </c>
      <c r="L1464" s="397">
        <v>0.55420000000000003</v>
      </c>
      <c r="M1464" s="395">
        <v>74</v>
      </c>
      <c r="N1464" s="395">
        <v>-106</v>
      </c>
      <c r="O1464" s="395">
        <v>600</v>
      </c>
      <c r="P1464" s="395">
        <v>0.61</v>
      </c>
      <c r="Q1464" s="395">
        <v>-984</v>
      </c>
      <c r="R1464" s="396">
        <v>2057</v>
      </c>
      <c r="S1464" s="396">
        <v>-4135</v>
      </c>
      <c r="T1464" s="396">
        <v>52414</v>
      </c>
      <c r="U1464" s="396">
        <v>-98538</v>
      </c>
      <c r="V1464" s="395">
        <v>11946.69</v>
      </c>
      <c r="W1464" s="395">
        <v>2474.0300000000002</v>
      </c>
      <c r="X1464" s="395">
        <v>77220</v>
      </c>
      <c r="Y1464" s="395">
        <v>23723.5</v>
      </c>
      <c r="Z1464" s="396">
        <v>-1031822</v>
      </c>
      <c r="AA1464" s="396">
        <v>-17600</v>
      </c>
      <c r="AB1464" s="396">
        <v>394774</v>
      </c>
      <c r="AC1464" s="396">
        <v>10207916</v>
      </c>
    </row>
    <row r="1465" spans="1:29">
      <c r="A1465">
        <v>2596</v>
      </c>
      <c r="B1465" s="395" t="s">
        <v>7136</v>
      </c>
      <c r="C1465" s="395"/>
      <c r="D1465" s="396">
        <v>-19318</v>
      </c>
      <c r="E1465" s="396">
        <v>95664</v>
      </c>
      <c r="F1465" s="395">
        <v>-0.83</v>
      </c>
      <c r="G1465" s="396">
        <v>-114982</v>
      </c>
      <c r="H1465" s="396">
        <v>20722</v>
      </c>
      <c r="I1465" s="396">
        <v>1680627</v>
      </c>
      <c r="J1465" s="395">
        <v>229</v>
      </c>
      <c r="K1465" s="395">
        <v>151</v>
      </c>
      <c r="L1465" s="397">
        <v>0.65939999999999999</v>
      </c>
      <c r="M1465" s="395">
        <v>78</v>
      </c>
      <c r="N1465" s="395">
        <v>-84</v>
      </c>
      <c r="O1465" s="395">
        <v>634</v>
      </c>
      <c r="P1465" s="395">
        <v>0.43</v>
      </c>
      <c r="Q1465" s="396">
        <v>-1474</v>
      </c>
      <c r="R1465" s="396">
        <v>2225</v>
      </c>
      <c r="S1465" s="396">
        <v>-4046</v>
      </c>
      <c r="T1465" s="396">
        <v>102368</v>
      </c>
      <c r="U1465" s="396">
        <v>-154837</v>
      </c>
      <c r="V1465" s="395">
        <v>6863.19</v>
      </c>
      <c r="W1465" s="395">
        <v>2862.4</v>
      </c>
      <c r="X1465" s="395">
        <v>77490</v>
      </c>
      <c r="Y1465" s="395">
        <v>14608.31</v>
      </c>
      <c r="Z1465" s="396">
        <v>4199350</v>
      </c>
      <c r="AA1465" s="396">
        <v>-19318</v>
      </c>
      <c r="AB1465" s="396">
        <v>4721836</v>
      </c>
      <c r="AC1465" s="396">
        <v>10207916</v>
      </c>
    </row>
    <row r="1466" spans="1:29">
      <c r="A1466">
        <v>3591</v>
      </c>
      <c r="B1466" s="395" t="s">
        <v>7491</v>
      </c>
      <c r="C1466" s="395"/>
      <c r="D1466" s="396">
        <v>-19995</v>
      </c>
      <c r="E1466" s="396">
        <v>181158</v>
      </c>
      <c r="F1466" s="395">
        <v>-0.9</v>
      </c>
      <c r="G1466" s="396">
        <v>-201153</v>
      </c>
      <c r="H1466" s="396">
        <v>23589</v>
      </c>
      <c r="I1466" s="396">
        <v>1112954</v>
      </c>
      <c r="J1466" s="395">
        <v>274</v>
      </c>
      <c r="K1466" s="395">
        <v>174</v>
      </c>
      <c r="L1466" s="397">
        <v>0.63500000000000001</v>
      </c>
      <c r="M1466" s="395">
        <v>100</v>
      </c>
      <c r="N1466" s="395">
        <v>-73</v>
      </c>
      <c r="O1466" s="396">
        <v>1041</v>
      </c>
      <c r="P1466" s="395">
        <v>0.52</v>
      </c>
      <c r="Q1466" s="396">
        <v>-2012</v>
      </c>
      <c r="R1466" s="396">
        <v>4726</v>
      </c>
      <c r="S1466" s="396">
        <v>-7994</v>
      </c>
      <c r="T1466" s="396">
        <v>211172</v>
      </c>
      <c r="U1466" s="396">
        <v>-151951</v>
      </c>
      <c r="V1466" s="395">
        <v>4310.03</v>
      </c>
      <c r="W1466" s="395">
        <v>2105.91</v>
      </c>
      <c r="X1466" s="395">
        <v>77490</v>
      </c>
      <c r="Y1466" s="395">
        <v>8145.19</v>
      </c>
      <c r="Z1466" s="396">
        <v>-19562419</v>
      </c>
      <c r="AA1466" s="396">
        <v>-19995</v>
      </c>
      <c r="AB1466" s="396">
        <v>-344283</v>
      </c>
      <c r="AC1466" s="396">
        <v>10207916</v>
      </c>
    </row>
    <row r="1467" spans="1:29">
      <c r="A1467">
        <v>1455</v>
      </c>
      <c r="B1467" s="395" t="s">
        <v>6764</v>
      </c>
      <c r="C1467" s="395"/>
      <c r="D1467" s="396">
        <v>-20101</v>
      </c>
      <c r="E1467" s="396">
        <v>112546</v>
      </c>
      <c r="F1467" s="395">
        <v>-0.85</v>
      </c>
      <c r="G1467" s="396">
        <v>-132647</v>
      </c>
      <c r="H1467" s="396">
        <v>18923</v>
      </c>
      <c r="I1467" s="396">
        <v>1589215</v>
      </c>
      <c r="J1467" s="395">
        <v>274</v>
      </c>
      <c r="K1467" s="395">
        <v>157</v>
      </c>
      <c r="L1467" s="397">
        <v>0.57299999999999995</v>
      </c>
      <c r="M1467" s="395">
        <v>117</v>
      </c>
      <c r="N1467" s="395">
        <v>-73</v>
      </c>
      <c r="O1467" s="395">
        <v>717</v>
      </c>
      <c r="P1467" s="395">
        <v>0.63</v>
      </c>
      <c r="Q1467" s="396">
        <v>-1134</v>
      </c>
      <c r="R1467" s="396">
        <v>3417</v>
      </c>
      <c r="S1467" s="396">
        <v>-5924</v>
      </c>
      <c r="T1467" s="396">
        <v>101921</v>
      </c>
      <c r="U1467" s="396">
        <v>-149134</v>
      </c>
      <c r="V1467" s="395">
        <v>6349.81</v>
      </c>
      <c r="W1467" s="395">
        <v>1465.89</v>
      </c>
      <c r="X1467" s="395">
        <v>77490</v>
      </c>
      <c r="Y1467" s="395">
        <v>12903.44</v>
      </c>
      <c r="Z1467" s="396">
        <v>-10946343</v>
      </c>
      <c r="AA1467" s="396">
        <v>-20101</v>
      </c>
      <c r="AB1467" s="396">
        <v>19821179</v>
      </c>
      <c r="AC1467" s="396">
        <v>10207916</v>
      </c>
    </row>
    <row r="1468" spans="1:29">
      <c r="A1468">
        <v>2489</v>
      </c>
      <c r="B1468" s="395" t="s">
        <v>7101</v>
      </c>
      <c r="C1468" s="395"/>
      <c r="D1468" s="396">
        <v>-20457</v>
      </c>
      <c r="E1468" s="396">
        <v>107565</v>
      </c>
      <c r="F1468" s="395">
        <v>-0.84</v>
      </c>
      <c r="G1468" s="396">
        <v>-128023</v>
      </c>
      <c r="H1468" s="396">
        <v>17195</v>
      </c>
      <c r="I1468" s="396">
        <v>961972</v>
      </c>
      <c r="J1468" s="395">
        <v>258</v>
      </c>
      <c r="K1468" s="395">
        <v>175</v>
      </c>
      <c r="L1468" s="397">
        <v>0.67830000000000001</v>
      </c>
      <c r="M1468" s="395">
        <v>83</v>
      </c>
      <c r="N1468" s="395">
        <v>-79</v>
      </c>
      <c r="O1468" s="395">
        <v>615</v>
      </c>
      <c r="P1468" s="395">
        <v>0.4</v>
      </c>
      <c r="Q1468" s="396">
        <v>-1542</v>
      </c>
      <c r="R1468" s="396">
        <v>3684</v>
      </c>
      <c r="S1468" s="396">
        <v>-4671</v>
      </c>
      <c r="T1468" s="396">
        <v>107844</v>
      </c>
      <c r="U1468" s="396">
        <v>-133433</v>
      </c>
      <c r="V1468" s="395">
        <v>3953.85</v>
      </c>
      <c r="W1468" s="395">
        <v>1725.82</v>
      </c>
      <c r="X1468" s="395">
        <v>75870</v>
      </c>
      <c r="Y1468" s="395">
        <v>8651.49</v>
      </c>
      <c r="Z1468" s="396">
        <v>-9382438</v>
      </c>
      <c r="AA1468" s="396">
        <v>-20457</v>
      </c>
      <c r="AB1468" s="396">
        <v>10581983</v>
      </c>
      <c r="AC1468" s="396">
        <v>10207916</v>
      </c>
    </row>
    <row r="1469" spans="1:29">
      <c r="A1469">
        <v>1310</v>
      </c>
      <c r="B1469" s="395" t="s">
        <v>6715</v>
      </c>
      <c r="C1469" s="395"/>
      <c r="D1469" s="396">
        <v>-20623</v>
      </c>
      <c r="E1469" s="396">
        <v>82402</v>
      </c>
      <c r="F1469" s="395">
        <v>-0.8</v>
      </c>
      <c r="G1469" s="396">
        <v>-103025</v>
      </c>
      <c r="H1469" s="396">
        <v>18790</v>
      </c>
      <c r="I1469" s="396">
        <v>1822789</v>
      </c>
      <c r="J1469" s="395">
        <v>246</v>
      </c>
      <c r="K1469" s="395">
        <v>144</v>
      </c>
      <c r="L1469" s="397">
        <v>0.58540000000000003</v>
      </c>
      <c r="M1469" s="395">
        <v>102</v>
      </c>
      <c r="N1469" s="395">
        <v>-84</v>
      </c>
      <c r="O1469" s="395">
        <v>572</v>
      </c>
      <c r="P1469" s="395">
        <v>0.56999999999999995</v>
      </c>
      <c r="Q1469" s="396">
        <v>-1010</v>
      </c>
      <c r="R1469" s="396">
        <v>2215</v>
      </c>
      <c r="S1469" s="396">
        <v>-5080</v>
      </c>
      <c r="T1469" s="396">
        <v>103420</v>
      </c>
      <c r="U1469" s="396">
        <v>-146892</v>
      </c>
      <c r="V1469" s="395">
        <v>8651.52</v>
      </c>
      <c r="W1469" s="395">
        <v>2720.13</v>
      </c>
      <c r="X1469" s="395">
        <v>77490</v>
      </c>
      <c r="Y1469" s="395">
        <v>17025.25</v>
      </c>
      <c r="Z1469" s="396">
        <v>2472334</v>
      </c>
      <c r="AA1469" s="396">
        <v>-20623</v>
      </c>
      <c r="AB1469" s="396">
        <v>-2983720</v>
      </c>
      <c r="AC1469" s="396">
        <v>10207916</v>
      </c>
    </row>
    <row r="1470" spans="1:29">
      <c r="A1470">
        <v>6509</v>
      </c>
      <c r="B1470" s="395" t="s">
        <v>8108</v>
      </c>
      <c r="C1470" s="395"/>
      <c r="D1470" s="396">
        <v>-21260</v>
      </c>
      <c r="E1470" s="396">
        <v>305204</v>
      </c>
      <c r="F1470" s="395">
        <v>-0.93</v>
      </c>
      <c r="G1470" s="396">
        <v>-326464</v>
      </c>
      <c r="H1470" s="396">
        <v>50530</v>
      </c>
      <c r="I1470" s="396">
        <v>2566482</v>
      </c>
      <c r="J1470" s="395">
        <v>265</v>
      </c>
      <c r="K1470" s="395">
        <v>187</v>
      </c>
      <c r="L1470" s="397">
        <v>0.70569999999999999</v>
      </c>
      <c r="M1470" s="395">
        <v>78</v>
      </c>
      <c r="N1470" s="395">
        <v>-80</v>
      </c>
      <c r="O1470" s="396">
        <v>1632</v>
      </c>
      <c r="P1470" s="395">
        <v>0.39</v>
      </c>
      <c r="Q1470" s="396">
        <v>-4185</v>
      </c>
      <c r="R1470" s="396">
        <v>8107</v>
      </c>
      <c r="S1470" s="396">
        <v>-14857</v>
      </c>
      <c r="T1470" s="396">
        <v>294745</v>
      </c>
      <c r="U1470" s="396">
        <v>-315088</v>
      </c>
      <c r="V1470" s="395">
        <v>2486.79</v>
      </c>
      <c r="W1470" s="395">
        <v>1273.53</v>
      </c>
      <c r="X1470" s="395">
        <v>77490</v>
      </c>
      <c r="Y1470" s="395">
        <v>5395.5</v>
      </c>
      <c r="Z1470" s="396">
        <v>-1976225</v>
      </c>
      <c r="AA1470" s="396">
        <v>-21260</v>
      </c>
      <c r="AB1470" s="396">
        <v>52293734</v>
      </c>
      <c r="AC1470" s="396">
        <v>10207916</v>
      </c>
    </row>
    <row r="1471" spans="1:29">
      <c r="A1471">
        <v>4905</v>
      </c>
      <c r="B1471" s="395" t="s">
        <v>7703</v>
      </c>
      <c r="C1471" s="395"/>
      <c r="D1471" s="396">
        <v>-22834</v>
      </c>
      <c r="E1471" s="396">
        <v>31878</v>
      </c>
      <c r="F1471" s="395">
        <v>-0.57999999999999996</v>
      </c>
      <c r="G1471" s="396">
        <v>-54712</v>
      </c>
      <c r="H1471" s="396">
        <v>11145</v>
      </c>
      <c r="I1471" s="396">
        <v>1553894</v>
      </c>
      <c r="J1471" s="395">
        <v>53</v>
      </c>
      <c r="K1471" s="395">
        <v>25</v>
      </c>
      <c r="L1471" s="397">
        <v>0.47170000000000001</v>
      </c>
      <c r="M1471" s="395">
        <v>28</v>
      </c>
      <c r="N1471" s="395">
        <v>-431</v>
      </c>
      <c r="O1471" s="396">
        <v>1275</v>
      </c>
      <c r="P1471" s="395">
        <v>0.65</v>
      </c>
      <c r="Q1471" s="396">
        <v>-1954</v>
      </c>
      <c r="R1471" s="396">
        <v>3684</v>
      </c>
      <c r="S1471" s="396">
        <v>-3260</v>
      </c>
      <c r="T1471" s="396">
        <v>41371</v>
      </c>
      <c r="U1471" s="396">
        <v>-83092</v>
      </c>
      <c r="V1471" s="395">
        <v>13198.51</v>
      </c>
      <c r="W1471" s="395">
        <v>3500.36</v>
      </c>
      <c r="X1471" s="395">
        <v>69930</v>
      </c>
      <c r="Y1471" s="395">
        <v>21857.57</v>
      </c>
      <c r="Z1471" s="396">
        <v>7574818</v>
      </c>
      <c r="AA1471" s="396">
        <v>-22834</v>
      </c>
      <c r="AB1471" s="396">
        <v>-262964</v>
      </c>
      <c r="AC1471" s="396">
        <v>10207916</v>
      </c>
    </row>
    <row r="1472" spans="1:29">
      <c r="A1472">
        <v>1459</v>
      </c>
      <c r="B1472" s="395" t="s">
        <v>6767</v>
      </c>
      <c r="C1472" s="395"/>
      <c r="D1472" s="396">
        <v>-22880</v>
      </c>
      <c r="E1472" s="396">
        <v>60024</v>
      </c>
      <c r="F1472" s="395">
        <v>-0.72</v>
      </c>
      <c r="G1472" s="396">
        <v>-82904</v>
      </c>
      <c r="H1472" s="396">
        <v>10400</v>
      </c>
      <c r="I1472" s="396">
        <v>747487</v>
      </c>
      <c r="J1472" s="395">
        <v>213</v>
      </c>
      <c r="K1472" s="395">
        <v>129</v>
      </c>
      <c r="L1472" s="397">
        <v>0.60560000000000003</v>
      </c>
      <c r="M1472" s="395">
        <v>84</v>
      </c>
      <c r="N1472" s="395">
        <v>-107</v>
      </c>
      <c r="O1472" s="395">
        <v>465</v>
      </c>
      <c r="P1472" s="395">
        <v>0.47</v>
      </c>
      <c r="Q1472" s="395">
        <v>-987</v>
      </c>
      <c r="R1472" s="396">
        <v>1251</v>
      </c>
      <c r="S1472" s="396">
        <v>-2651</v>
      </c>
      <c r="T1472" s="396">
        <v>49116</v>
      </c>
      <c r="U1472" s="396">
        <v>-94619</v>
      </c>
      <c r="V1472" s="395">
        <v>4499.8599999999997</v>
      </c>
      <c r="W1472" s="395">
        <v>1533.62</v>
      </c>
      <c r="X1472" s="395">
        <v>77490</v>
      </c>
      <c r="Y1472" s="395">
        <v>9055.15</v>
      </c>
      <c r="Z1472" s="396">
        <v>-9406076</v>
      </c>
      <c r="AA1472" s="396">
        <v>-22880</v>
      </c>
      <c r="AB1472" s="396">
        <v>13726467</v>
      </c>
      <c r="AC1472" s="396">
        <v>10207916</v>
      </c>
    </row>
    <row r="1473" spans="1:29">
      <c r="A1473">
        <v>6680</v>
      </c>
      <c r="B1473" s="395" t="s">
        <v>8182</v>
      </c>
      <c r="C1473" s="395"/>
      <c r="D1473" s="396">
        <v>-23171</v>
      </c>
      <c r="E1473" s="396">
        <v>1722</v>
      </c>
      <c r="F1473" s="395">
        <v>-7.0000000000000007E-2</v>
      </c>
      <c r="G1473" s="396">
        <v>-24893</v>
      </c>
      <c r="H1473" s="395">
        <v>529</v>
      </c>
      <c r="I1473" s="396">
        <v>73278</v>
      </c>
      <c r="J1473" s="395">
        <v>2</v>
      </c>
      <c r="K1473" s="395">
        <v>1</v>
      </c>
      <c r="L1473" s="397">
        <v>0.5</v>
      </c>
      <c r="M1473" s="395">
        <v>1</v>
      </c>
      <c r="N1473" s="396">
        <v>-11585</v>
      </c>
      <c r="O1473" s="396">
        <v>1722</v>
      </c>
      <c r="P1473" s="395">
        <v>7.0000000000000007E-2</v>
      </c>
      <c r="Q1473" s="396">
        <v>-24893</v>
      </c>
      <c r="R1473" s="396">
        <v>1722</v>
      </c>
      <c r="S1473" s="396">
        <v>-24893</v>
      </c>
      <c r="T1473" s="396">
        <v>7000</v>
      </c>
      <c r="U1473" s="396">
        <v>-27390</v>
      </c>
      <c r="V1473" s="395">
        <v>22554.5</v>
      </c>
      <c r="W1473" s="395">
        <v>19</v>
      </c>
      <c r="X1473" s="395">
        <v>52380</v>
      </c>
      <c r="Y1473" s="395">
        <v>45090</v>
      </c>
      <c r="Z1473" s="396">
        <v>-15701634</v>
      </c>
      <c r="AA1473" s="396">
        <v>-23171</v>
      </c>
      <c r="AB1473" s="396">
        <v>-5624569</v>
      </c>
      <c r="AC1473" s="396">
        <v>10207916</v>
      </c>
    </row>
    <row r="1474" spans="1:29">
      <c r="A1474">
        <v>3709</v>
      </c>
      <c r="B1474" s="395" t="s">
        <v>7545</v>
      </c>
      <c r="C1474" s="395"/>
      <c r="D1474" s="396">
        <v>-24596</v>
      </c>
      <c r="E1474" s="396">
        <v>131520</v>
      </c>
      <c r="F1474" s="395">
        <v>-0.84</v>
      </c>
      <c r="G1474" s="396">
        <v>-156116</v>
      </c>
      <c r="H1474" s="396">
        <v>24190</v>
      </c>
      <c r="I1474" s="396">
        <v>1532523</v>
      </c>
      <c r="J1474" s="395">
        <v>203</v>
      </c>
      <c r="K1474" s="395">
        <v>137</v>
      </c>
      <c r="L1474" s="397">
        <v>0.67490000000000006</v>
      </c>
      <c r="M1474" s="395">
        <v>66</v>
      </c>
      <c r="N1474" s="395">
        <v>-121</v>
      </c>
      <c r="O1474" s="395">
        <v>960</v>
      </c>
      <c r="P1474" s="395">
        <v>0.41</v>
      </c>
      <c r="Q1474" s="396">
        <v>-2365</v>
      </c>
      <c r="R1474" s="396">
        <v>2708</v>
      </c>
      <c r="S1474" s="396">
        <v>-8401</v>
      </c>
      <c r="T1474" s="396">
        <v>130968</v>
      </c>
      <c r="U1474" s="396">
        <v>-175527</v>
      </c>
      <c r="V1474" s="395">
        <v>5232.6899999999996</v>
      </c>
      <c r="W1474" s="395">
        <v>2913.97</v>
      </c>
      <c r="X1474" s="395">
        <v>77490</v>
      </c>
      <c r="Y1474" s="395">
        <v>10045.790000000001</v>
      </c>
      <c r="Z1474" s="396">
        <v>4246893</v>
      </c>
      <c r="AA1474" s="396">
        <v>-24596</v>
      </c>
      <c r="AB1474" s="396">
        <v>28718082</v>
      </c>
      <c r="AC1474" s="396">
        <v>10207916</v>
      </c>
    </row>
    <row r="1475" spans="1:29">
      <c r="A1475">
        <v>1718</v>
      </c>
      <c r="B1475" s="395" t="s">
        <v>6857</v>
      </c>
      <c r="C1475" s="395"/>
      <c r="D1475" s="396">
        <v>-25673</v>
      </c>
      <c r="E1475" s="396">
        <v>64281</v>
      </c>
      <c r="F1475" s="395">
        <v>-0.71</v>
      </c>
      <c r="G1475" s="396">
        <v>-89954</v>
      </c>
      <c r="H1475" s="396">
        <v>10914</v>
      </c>
      <c r="I1475" s="396">
        <v>833133</v>
      </c>
      <c r="J1475" s="395">
        <v>266</v>
      </c>
      <c r="K1475" s="395">
        <v>148</v>
      </c>
      <c r="L1475" s="397">
        <v>0.55640000000000001</v>
      </c>
      <c r="M1475" s="395">
        <v>118</v>
      </c>
      <c r="N1475" s="395">
        <v>-97</v>
      </c>
      <c r="O1475" s="395">
        <v>434</v>
      </c>
      <c r="P1475" s="395">
        <v>0.56999999999999995</v>
      </c>
      <c r="Q1475" s="395">
        <v>-762</v>
      </c>
      <c r="R1475" s="396">
        <v>1970</v>
      </c>
      <c r="S1475" s="396">
        <v>-3200</v>
      </c>
      <c r="T1475" s="396">
        <v>70391</v>
      </c>
      <c r="U1475" s="396">
        <v>-76481</v>
      </c>
      <c r="V1475" s="395">
        <v>5897.32</v>
      </c>
      <c r="W1475" s="395">
        <v>1729.13</v>
      </c>
      <c r="X1475" s="395">
        <v>77490</v>
      </c>
      <c r="Y1475" s="395">
        <v>11125.21</v>
      </c>
      <c r="Z1475" s="396">
        <v>-18222922</v>
      </c>
      <c r="AA1475" s="396">
        <v>-25673</v>
      </c>
      <c r="AB1475" s="396">
        <v>-6885079</v>
      </c>
      <c r="AC1475" s="396">
        <v>10207916</v>
      </c>
    </row>
    <row r="1476" spans="1:29">
      <c r="A1476">
        <v>4161</v>
      </c>
      <c r="B1476" s="395" t="s">
        <v>7585</v>
      </c>
      <c r="C1476" s="395"/>
      <c r="D1476" s="396">
        <v>-25731</v>
      </c>
      <c r="E1476" s="396">
        <v>95415</v>
      </c>
      <c r="F1476" s="395">
        <v>-0.79</v>
      </c>
      <c r="G1476" s="396">
        <v>-121146</v>
      </c>
      <c r="H1476" s="396">
        <v>18969</v>
      </c>
      <c r="I1476" s="396">
        <v>1085938</v>
      </c>
      <c r="J1476" s="395">
        <v>175</v>
      </c>
      <c r="K1476" s="395">
        <v>122</v>
      </c>
      <c r="L1476" s="397">
        <v>0.69710000000000005</v>
      </c>
      <c r="M1476" s="395">
        <v>53</v>
      </c>
      <c r="N1476" s="395">
        <v>-147</v>
      </c>
      <c r="O1476" s="395">
        <v>782</v>
      </c>
      <c r="P1476" s="395">
        <v>0.34</v>
      </c>
      <c r="Q1476" s="396">
        <v>-2286</v>
      </c>
      <c r="R1476" s="396">
        <v>3089</v>
      </c>
      <c r="S1476" s="396">
        <v>-6615</v>
      </c>
      <c r="T1476" s="396">
        <v>107880</v>
      </c>
      <c r="U1476" s="396">
        <v>-115445</v>
      </c>
      <c r="V1476" s="395">
        <v>4655.7</v>
      </c>
      <c r="W1476" s="395">
        <v>2590.16</v>
      </c>
      <c r="X1476" s="395">
        <v>77490</v>
      </c>
      <c r="Y1476" s="395">
        <v>9410.32</v>
      </c>
      <c r="Z1476" s="396">
        <v>-3704954</v>
      </c>
      <c r="AA1476" s="396">
        <v>-25731</v>
      </c>
      <c r="AB1476" s="396">
        <v>-1826600</v>
      </c>
      <c r="AC1476" s="396">
        <v>10207916</v>
      </c>
    </row>
    <row r="1477" spans="1:29">
      <c r="A1477">
        <v>2476</v>
      </c>
      <c r="B1477" s="395" t="s">
        <v>7090</v>
      </c>
      <c r="C1477" s="395"/>
      <c r="D1477" s="396">
        <v>-25897</v>
      </c>
      <c r="E1477" s="396">
        <v>333047</v>
      </c>
      <c r="F1477" s="395">
        <v>-0.93</v>
      </c>
      <c r="G1477" s="396">
        <v>-358944</v>
      </c>
      <c r="H1477" s="396">
        <v>53694</v>
      </c>
      <c r="I1477" s="396">
        <v>2415103</v>
      </c>
      <c r="J1477" s="395">
        <v>277</v>
      </c>
      <c r="K1477" s="395">
        <v>206</v>
      </c>
      <c r="L1477" s="397">
        <v>0.74370000000000003</v>
      </c>
      <c r="M1477" s="395">
        <v>71</v>
      </c>
      <c r="N1477" s="395">
        <v>-93</v>
      </c>
      <c r="O1477" s="396">
        <v>1617</v>
      </c>
      <c r="P1477" s="395">
        <v>0.32</v>
      </c>
      <c r="Q1477" s="396">
        <v>-5056</v>
      </c>
      <c r="R1477" s="396">
        <v>8990</v>
      </c>
      <c r="S1477" s="396">
        <v>-24672</v>
      </c>
      <c r="T1477" s="396">
        <v>286933</v>
      </c>
      <c r="U1477" s="396">
        <v>-376932</v>
      </c>
      <c r="V1477" s="395">
        <v>1858.29</v>
      </c>
      <c r="W1477" s="395">
        <v>766.69</v>
      </c>
      <c r="X1477" s="395">
        <v>77490</v>
      </c>
      <c r="Y1477" s="395">
        <v>5025.4399999999996</v>
      </c>
      <c r="Z1477" s="396">
        <v>18791647</v>
      </c>
      <c r="AA1477" s="396">
        <v>-25897</v>
      </c>
      <c r="AB1477" s="396">
        <v>87291263</v>
      </c>
      <c r="AC1477" s="396">
        <v>10207916</v>
      </c>
    </row>
    <row r="1478" spans="1:29">
      <c r="A1478">
        <v>5460</v>
      </c>
      <c r="B1478" s="395" t="s">
        <v>7839</v>
      </c>
      <c r="C1478" s="395"/>
      <c r="D1478" s="396">
        <v>-27307</v>
      </c>
      <c r="E1478" s="396">
        <v>22660</v>
      </c>
      <c r="F1478" s="395">
        <v>-0.45</v>
      </c>
      <c r="G1478" s="396">
        <v>-49966</v>
      </c>
      <c r="H1478" s="396">
        <v>7327</v>
      </c>
      <c r="I1478" s="396">
        <v>747297</v>
      </c>
      <c r="J1478" s="395">
        <v>152</v>
      </c>
      <c r="K1478" s="395">
        <v>88</v>
      </c>
      <c r="L1478" s="397">
        <v>0.57889999999999997</v>
      </c>
      <c r="M1478" s="395">
        <v>64</v>
      </c>
      <c r="N1478" s="395">
        <v>-180</v>
      </c>
      <c r="O1478" s="395">
        <v>257</v>
      </c>
      <c r="P1478" s="395">
        <v>0.33</v>
      </c>
      <c r="Q1478" s="395">
        <v>-781</v>
      </c>
      <c r="R1478" s="395">
        <v>703</v>
      </c>
      <c r="S1478" s="396">
        <v>-1751</v>
      </c>
      <c r="T1478" s="396">
        <v>43186</v>
      </c>
      <c r="U1478" s="396">
        <v>-41412</v>
      </c>
      <c r="V1478" s="395">
        <v>9545.91</v>
      </c>
      <c r="W1478" s="395">
        <v>5558.58</v>
      </c>
      <c r="X1478" s="395">
        <v>75330</v>
      </c>
      <c r="Y1478" s="395">
        <v>15028.48</v>
      </c>
      <c r="Z1478" s="396">
        <v>-4041425</v>
      </c>
      <c r="AA1478" s="396">
        <v>-27307</v>
      </c>
      <c r="AB1478" s="396">
        <v>2200579</v>
      </c>
      <c r="AC1478" s="396">
        <v>10207916</v>
      </c>
    </row>
    <row r="1479" spans="1:29">
      <c r="A1479">
        <v>2617</v>
      </c>
      <c r="B1479" s="395" t="s">
        <v>7152</v>
      </c>
      <c r="C1479" s="395"/>
      <c r="D1479" s="396">
        <v>-29657</v>
      </c>
      <c r="E1479" s="396">
        <v>356182</v>
      </c>
      <c r="F1479" s="395">
        <v>-0.92</v>
      </c>
      <c r="G1479" s="396">
        <v>-385838</v>
      </c>
      <c r="H1479" s="396">
        <v>40998</v>
      </c>
      <c r="I1479" s="396">
        <v>4463506</v>
      </c>
      <c r="J1479" s="395">
        <v>273</v>
      </c>
      <c r="K1479" s="395">
        <v>179</v>
      </c>
      <c r="L1479" s="397">
        <v>0.65569999999999995</v>
      </c>
      <c r="M1479" s="395">
        <v>94</v>
      </c>
      <c r="N1479" s="395">
        <v>-109</v>
      </c>
      <c r="O1479" s="396">
        <v>1990</v>
      </c>
      <c r="P1479" s="395">
        <v>0.48</v>
      </c>
      <c r="Q1479" s="396">
        <v>-4105</v>
      </c>
      <c r="R1479" s="396">
        <v>8708</v>
      </c>
      <c r="S1479" s="396">
        <v>-17683</v>
      </c>
      <c r="T1479" s="396">
        <v>693446</v>
      </c>
      <c r="U1479" s="396">
        <v>-815327</v>
      </c>
      <c r="V1479" s="395">
        <v>8825.27</v>
      </c>
      <c r="W1479" s="395">
        <v>4603.0600000000004</v>
      </c>
      <c r="X1479" s="395">
        <v>77490</v>
      </c>
      <c r="Y1479" s="395">
        <v>16865.439999999999</v>
      </c>
      <c r="Z1479" s="396">
        <v>-36628</v>
      </c>
      <c r="AA1479" s="396">
        <v>-29657</v>
      </c>
      <c r="AB1479" s="396">
        <v>36047756</v>
      </c>
      <c r="AC1479" s="396">
        <v>10207916</v>
      </c>
    </row>
    <row r="1480" spans="1:29">
      <c r="A1480">
        <v>6527</v>
      </c>
      <c r="B1480" s="395" t="s">
        <v>8116</v>
      </c>
      <c r="C1480" s="395"/>
      <c r="D1480" s="396">
        <v>-29973</v>
      </c>
      <c r="E1480" s="396">
        <v>19797</v>
      </c>
      <c r="F1480" s="395">
        <v>-0.4</v>
      </c>
      <c r="G1480" s="396">
        <v>-49770</v>
      </c>
      <c r="H1480" s="396">
        <v>6412</v>
      </c>
      <c r="I1480" s="396">
        <v>978953</v>
      </c>
      <c r="J1480" s="395">
        <v>31</v>
      </c>
      <c r="K1480" s="395">
        <v>11</v>
      </c>
      <c r="L1480" s="397">
        <v>0.3548</v>
      </c>
      <c r="M1480" s="395">
        <v>20</v>
      </c>
      <c r="N1480" s="395">
        <v>-967</v>
      </c>
      <c r="O1480" s="396">
        <v>1800</v>
      </c>
      <c r="P1480" s="395">
        <v>0.72</v>
      </c>
      <c r="Q1480" s="396">
        <v>-2488</v>
      </c>
      <c r="R1480" s="396">
        <v>3946</v>
      </c>
      <c r="S1480" s="396">
        <v>-9865</v>
      </c>
      <c r="T1480" s="396">
        <v>41430</v>
      </c>
      <c r="U1480" s="396">
        <v>-58105</v>
      </c>
      <c r="V1480" s="395">
        <v>30524.23</v>
      </c>
      <c r="W1480" s="395">
        <v>1625.45</v>
      </c>
      <c r="X1480" s="395">
        <v>77490</v>
      </c>
      <c r="Y1480" s="395">
        <v>46418.55</v>
      </c>
      <c r="Z1480" s="396">
        <v>-4578213</v>
      </c>
      <c r="AA1480" s="396">
        <v>-29973</v>
      </c>
      <c r="AB1480" s="396">
        <v>-1964282</v>
      </c>
      <c r="AC1480" s="396">
        <v>10207916</v>
      </c>
    </row>
    <row r="1481" spans="1:29">
      <c r="A1481">
        <v>5206</v>
      </c>
      <c r="B1481" s="395" t="s">
        <v>7763</v>
      </c>
      <c r="C1481" s="395"/>
      <c r="D1481" s="396">
        <v>-31049</v>
      </c>
      <c r="E1481" s="396">
        <v>27504</v>
      </c>
      <c r="F1481" s="395">
        <v>-0.47</v>
      </c>
      <c r="G1481" s="396">
        <v>-58552</v>
      </c>
      <c r="H1481" s="396">
        <v>9315</v>
      </c>
      <c r="I1481" s="396">
        <v>1293476</v>
      </c>
      <c r="J1481" s="395">
        <v>133</v>
      </c>
      <c r="K1481" s="395">
        <v>71</v>
      </c>
      <c r="L1481" s="397">
        <v>0.53380000000000005</v>
      </c>
      <c r="M1481" s="395">
        <v>62</v>
      </c>
      <c r="N1481" s="395">
        <v>-233</v>
      </c>
      <c r="O1481" s="395">
        <v>387</v>
      </c>
      <c r="P1481" s="395">
        <v>0.41</v>
      </c>
      <c r="Q1481" s="395">
        <v>-944</v>
      </c>
      <c r="R1481" s="395">
        <v>880</v>
      </c>
      <c r="S1481" s="396">
        <v>-4004</v>
      </c>
      <c r="T1481" s="396">
        <v>51400</v>
      </c>
      <c r="U1481" s="396">
        <v>-93846</v>
      </c>
      <c r="V1481" s="395">
        <v>18566.599999999999</v>
      </c>
      <c r="W1481" s="395">
        <v>4979.2</v>
      </c>
      <c r="X1481" s="395">
        <v>77490</v>
      </c>
      <c r="Y1481" s="395">
        <v>34126.370000000003</v>
      </c>
      <c r="Z1481" s="396">
        <v>-6254513</v>
      </c>
      <c r="AA1481" s="396">
        <v>-31049</v>
      </c>
      <c r="AB1481" s="396">
        <v>-1842199</v>
      </c>
      <c r="AC1481" s="396">
        <v>10207916</v>
      </c>
    </row>
    <row r="1482" spans="1:29">
      <c r="A1482">
        <v>6199</v>
      </c>
      <c r="B1482" s="395" t="s">
        <v>7987</v>
      </c>
      <c r="C1482" s="395"/>
      <c r="D1482" s="396">
        <v>-32061</v>
      </c>
      <c r="E1482" s="396">
        <v>5572</v>
      </c>
      <c r="F1482" s="395">
        <v>-0.15</v>
      </c>
      <c r="G1482" s="396">
        <v>-37633</v>
      </c>
      <c r="H1482" s="396">
        <v>1811</v>
      </c>
      <c r="I1482" s="396">
        <v>363663</v>
      </c>
      <c r="J1482" s="395">
        <v>25</v>
      </c>
      <c r="K1482" s="395">
        <v>5</v>
      </c>
      <c r="L1482" s="397">
        <v>0.2</v>
      </c>
      <c r="M1482" s="395">
        <v>20</v>
      </c>
      <c r="N1482" s="396">
        <v>-1282</v>
      </c>
      <c r="O1482" s="396">
        <v>1114</v>
      </c>
      <c r="P1482" s="395">
        <v>0.59</v>
      </c>
      <c r="Q1482" s="396">
        <v>-1882</v>
      </c>
      <c r="R1482" s="396">
        <v>1954</v>
      </c>
      <c r="S1482" s="396">
        <v>-8433</v>
      </c>
      <c r="T1482" s="396">
        <v>43634</v>
      </c>
      <c r="U1482" s="396">
        <v>-66073</v>
      </c>
      <c r="V1482" s="395">
        <v>29592.28</v>
      </c>
      <c r="W1482" s="395">
        <v>7180</v>
      </c>
      <c r="X1482" s="395">
        <v>72090</v>
      </c>
      <c r="Y1482" s="395">
        <v>35195.35</v>
      </c>
      <c r="Z1482" s="396">
        <v>-11615318</v>
      </c>
      <c r="AA1482" s="396">
        <v>-32061</v>
      </c>
      <c r="AB1482" s="396">
        <v>20309322</v>
      </c>
      <c r="AC1482" s="396">
        <v>10207916</v>
      </c>
    </row>
    <row r="1483" spans="1:29">
      <c r="A1483">
        <v>8289</v>
      </c>
      <c r="B1483" s="395" t="s">
        <v>8307</v>
      </c>
      <c r="C1483" s="395"/>
      <c r="D1483" s="396">
        <v>-33827</v>
      </c>
      <c r="E1483" s="396">
        <v>147301</v>
      </c>
      <c r="F1483" s="395">
        <v>-0.81</v>
      </c>
      <c r="G1483" s="396">
        <v>-181128</v>
      </c>
      <c r="H1483" s="396">
        <v>26259</v>
      </c>
      <c r="I1483" s="396">
        <v>1271172</v>
      </c>
      <c r="J1483" s="395">
        <v>249</v>
      </c>
      <c r="K1483" s="395">
        <v>189</v>
      </c>
      <c r="L1483" s="397">
        <v>0.75900000000000001</v>
      </c>
      <c r="M1483" s="395">
        <v>59</v>
      </c>
      <c r="N1483" s="395">
        <v>-136</v>
      </c>
      <c r="O1483" s="395">
        <v>779</v>
      </c>
      <c r="P1483" s="395">
        <v>0.25</v>
      </c>
      <c r="Q1483" s="396">
        <v>-3070</v>
      </c>
      <c r="R1483" s="396">
        <v>3286</v>
      </c>
      <c r="S1483" s="396">
        <v>-10150</v>
      </c>
      <c r="T1483" s="396">
        <v>143522</v>
      </c>
      <c r="U1483" s="396">
        <v>-196280</v>
      </c>
      <c r="V1483" s="395">
        <v>1625.24</v>
      </c>
      <c r="W1483" s="395">
        <v>598.22</v>
      </c>
      <c r="X1483" s="395">
        <v>77490</v>
      </c>
      <c r="Y1483" s="395">
        <v>4942.66</v>
      </c>
      <c r="Z1483" s="396">
        <v>21416025</v>
      </c>
      <c r="AA1483" s="396">
        <v>-33827</v>
      </c>
      <c r="AB1483" s="396">
        <v>82988491</v>
      </c>
      <c r="AC1483" s="396">
        <v>10207916</v>
      </c>
    </row>
    <row r="1484" spans="1:29">
      <c r="A1484">
        <v>4550</v>
      </c>
      <c r="B1484" s="395" t="s">
        <v>7646</v>
      </c>
      <c r="C1484" s="395"/>
      <c r="D1484" s="396">
        <v>-34038</v>
      </c>
      <c r="E1484" s="396">
        <v>35043</v>
      </c>
      <c r="F1484" s="395">
        <v>-0.51</v>
      </c>
      <c r="G1484" s="396">
        <v>-69081</v>
      </c>
      <c r="H1484" s="396">
        <v>11908</v>
      </c>
      <c r="I1484" s="396">
        <v>2370985</v>
      </c>
      <c r="J1484" s="395">
        <v>125</v>
      </c>
      <c r="K1484" s="395">
        <v>43</v>
      </c>
      <c r="L1484" s="397">
        <v>0.34399999999999997</v>
      </c>
      <c r="M1484" s="395">
        <v>82</v>
      </c>
      <c r="N1484" s="395">
        <v>-272</v>
      </c>
      <c r="O1484" s="395">
        <v>815</v>
      </c>
      <c r="P1484" s="395">
        <v>0.97</v>
      </c>
      <c r="Q1484" s="395">
        <v>-842</v>
      </c>
      <c r="R1484" s="396">
        <v>2554</v>
      </c>
      <c r="S1484" s="396">
        <v>-2557</v>
      </c>
      <c r="T1484" s="396">
        <v>115040</v>
      </c>
      <c r="U1484" s="396">
        <v>-99157</v>
      </c>
      <c r="V1484" s="395">
        <v>27384.880000000001</v>
      </c>
      <c r="W1484" s="395">
        <v>23830.47</v>
      </c>
      <c r="X1484" s="395">
        <v>77490</v>
      </c>
      <c r="Y1484" s="395">
        <v>29248.78</v>
      </c>
      <c r="Z1484" s="396">
        <v>-3357363</v>
      </c>
      <c r="AA1484" s="396">
        <v>-34038</v>
      </c>
      <c r="AB1484" s="396">
        <v>1816785</v>
      </c>
      <c r="AC1484" s="396">
        <v>10207916</v>
      </c>
    </row>
    <row r="1485" spans="1:29">
      <c r="A1485">
        <v>2434</v>
      </c>
      <c r="B1485" s="395" t="s">
        <v>7061</v>
      </c>
      <c r="C1485" s="395"/>
      <c r="D1485" s="396">
        <v>-34098</v>
      </c>
      <c r="E1485" s="396">
        <v>94450</v>
      </c>
      <c r="F1485" s="395">
        <v>-0.73</v>
      </c>
      <c r="G1485" s="396">
        <v>-128548</v>
      </c>
      <c r="H1485" s="396">
        <v>21198</v>
      </c>
      <c r="I1485" s="396">
        <v>1806670</v>
      </c>
      <c r="J1485" s="395">
        <v>136</v>
      </c>
      <c r="K1485" s="395">
        <v>74</v>
      </c>
      <c r="L1485" s="397">
        <v>0.54410000000000003</v>
      </c>
      <c r="M1485" s="395">
        <v>62</v>
      </c>
      <c r="N1485" s="395">
        <v>-251</v>
      </c>
      <c r="O1485" s="396">
        <v>1276</v>
      </c>
      <c r="P1485" s="395">
        <v>0.62</v>
      </c>
      <c r="Q1485" s="396">
        <v>-2073</v>
      </c>
      <c r="R1485" s="396">
        <v>3646</v>
      </c>
      <c r="S1485" s="396">
        <v>-10691</v>
      </c>
      <c r="T1485" s="396">
        <v>186251</v>
      </c>
      <c r="U1485" s="396">
        <v>-180642</v>
      </c>
      <c r="V1485" s="395">
        <v>6440.88</v>
      </c>
      <c r="W1485" s="395">
        <v>4560.68</v>
      </c>
      <c r="X1485" s="395">
        <v>74790</v>
      </c>
      <c r="Y1485" s="395">
        <v>8685</v>
      </c>
      <c r="Z1485" s="396">
        <v>-11928810</v>
      </c>
      <c r="AA1485" s="396">
        <v>-34098</v>
      </c>
      <c r="AB1485" s="396">
        <v>16649254</v>
      </c>
      <c r="AC1485" s="396">
        <v>10207916</v>
      </c>
    </row>
    <row r="1486" spans="1:29">
      <c r="A1486">
        <v>3118</v>
      </c>
      <c r="B1486" s="395" t="s">
        <v>7319</v>
      </c>
      <c r="C1486" s="395"/>
      <c r="D1486" s="396">
        <v>-34130</v>
      </c>
      <c r="E1486" s="396">
        <v>52857</v>
      </c>
      <c r="F1486" s="395">
        <v>-0.61</v>
      </c>
      <c r="G1486" s="396">
        <v>-86987</v>
      </c>
      <c r="H1486" s="396">
        <v>17874</v>
      </c>
      <c r="I1486" s="396">
        <v>2523995</v>
      </c>
      <c r="J1486" s="395">
        <v>147</v>
      </c>
      <c r="K1486" s="395">
        <v>53</v>
      </c>
      <c r="L1486" s="397">
        <v>0.36049999999999999</v>
      </c>
      <c r="M1486" s="395">
        <v>94</v>
      </c>
      <c r="N1486" s="395">
        <v>-232</v>
      </c>
      <c r="O1486" s="395">
        <v>997</v>
      </c>
      <c r="P1486" s="395">
        <v>1.08</v>
      </c>
      <c r="Q1486" s="395">
        <v>-925</v>
      </c>
      <c r="R1486" s="396">
        <v>2628</v>
      </c>
      <c r="S1486" s="396">
        <v>-3485</v>
      </c>
      <c r="T1486" s="396">
        <v>77438</v>
      </c>
      <c r="U1486" s="396">
        <v>-109667</v>
      </c>
      <c r="V1486" s="395">
        <v>18732.5</v>
      </c>
      <c r="W1486" s="395">
        <v>1907.06</v>
      </c>
      <c r="X1486" s="395">
        <v>76950</v>
      </c>
      <c r="Y1486" s="395">
        <v>28219.19</v>
      </c>
      <c r="Z1486" s="396">
        <v>-5190463</v>
      </c>
      <c r="AA1486" s="396">
        <v>-34130</v>
      </c>
      <c r="AB1486" s="396">
        <v>1127770</v>
      </c>
      <c r="AC1486" s="396">
        <v>10207916</v>
      </c>
    </row>
    <row r="1487" spans="1:29">
      <c r="A1487">
        <v>8418</v>
      </c>
      <c r="B1487" s="395" t="s">
        <v>8328</v>
      </c>
      <c r="C1487" s="395"/>
      <c r="D1487" s="396">
        <v>-34180</v>
      </c>
      <c r="E1487" s="396">
        <v>6981</v>
      </c>
      <c r="F1487" s="395">
        <v>-0.17</v>
      </c>
      <c r="G1487" s="396">
        <v>-41161</v>
      </c>
      <c r="H1487" s="396">
        <v>3380</v>
      </c>
      <c r="I1487" s="396">
        <v>454519</v>
      </c>
      <c r="J1487" s="395">
        <v>79</v>
      </c>
      <c r="K1487" s="395">
        <v>28</v>
      </c>
      <c r="L1487" s="397">
        <v>0.35439999999999999</v>
      </c>
      <c r="M1487" s="395">
        <v>51</v>
      </c>
      <c r="N1487" s="395">
        <v>-433</v>
      </c>
      <c r="O1487" s="395">
        <v>249</v>
      </c>
      <c r="P1487" s="395">
        <v>0.31</v>
      </c>
      <c r="Q1487" s="395">
        <v>-807</v>
      </c>
      <c r="R1487" s="395">
        <v>856</v>
      </c>
      <c r="S1487" s="396">
        <v>-2395</v>
      </c>
      <c r="T1487" s="396">
        <v>17612</v>
      </c>
      <c r="U1487" s="396">
        <v>-43825</v>
      </c>
      <c r="V1487" s="395">
        <v>15693.54</v>
      </c>
      <c r="W1487" s="395">
        <v>2565.04</v>
      </c>
      <c r="X1487" s="395">
        <v>73170</v>
      </c>
      <c r="Y1487" s="395">
        <v>22901.35</v>
      </c>
      <c r="Z1487" s="396">
        <v>-6436920</v>
      </c>
      <c r="AA1487" s="396">
        <v>-34180</v>
      </c>
      <c r="AB1487" s="396">
        <v>-6679654</v>
      </c>
      <c r="AC1487" s="396">
        <v>10207916</v>
      </c>
    </row>
    <row r="1488" spans="1:29">
      <c r="A1488">
        <v>8409</v>
      </c>
      <c r="B1488" s="395" t="s">
        <v>8323</v>
      </c>
      <c r="C1488" s="395"/>
      <c r="D1488" s="396">
        <v>-35124</v>
      </c>
      <c r="E1488" s="396">
        <v>23239</v>
      </c>
      <c r="F1488" s="395">
        <v>-0.4</v>
      </c>
      <c r="G1488" s="396">
        <v>-58363</v>
      </c>
      <c r="H1488" s="396">
        <v>4474</v>
      </c>
      <c r="I1488" s="396">
        <v>570761</v>
      </c>
      <c r="J1488" s="395">
        <v>62</v>
      </c>
      <c r="K1488" s="395">
        <v>32</v>
      </c>
      <c r="L1488" s="397">
        <v>0.5161</v>
      </c>
      <c r="M1488" s="395">
        <v>30</v>
      </c>
      <c r="N1488" s="395">
        <v>-567</v>
      </c>
      <c r="O1488" s="395">
        <v>726</v>
      </c>
      <c r="P1488" s="395">
        <v>0.37</v>
      </c>
      <c r="Q1488" s="396">
        <v>-1945</v>
      </c>
      <c r="R1488" s="396">
        <v>1830</v>
      </c>
      <c r="S1488" s="396">
        <v>-6879</v>
      </c>
      <c r="T1488" s="396">
        <v>58763</v>
      </c>
      <c r="U1488" s="396">
        <v>-59728</v>
      </c>
      <c r="V1488" s="395">
        <v>16646.419999999998</v>
      </c>
      <c r="W1488" s="395">
        <v>7135.13</v>
      </c>
      <c r="X1488" s="395">
        <v>76950</v>
      </c>
      <c r="Y1488" s="395">
        <v>26791.8</v>
      </c>
      <c r="Z1488" s="396">
        <v>-13559085</v>
      </c>
      <c r="AA1488" s="396">
        <v>-35124</v>
      </c>
      <c r="AB1488" s="396">
        <v>-7066138</v>
      </c>
      <c r="AC1488" s="396">
        <v>10207916</v>
      </c>
    </row>
    <row r="1489" spans="1:29">
      <c r="A1489">
        <v>5210</v>
      </c>
      <c r="B1489" s="395" t="s">
        <v>7765</v>
      </c>
      <c r="C1489" s="395"/>
      <c r="D1489" s="396">
        <v>-36181</v>
      </c>
      <c r="E1489" s="396">
        <v>64138</v>
      </c>
      <c r="F1489" s="395">
        <v>-0.64</v>
      </c>
      <c r="G1489" s="396">
        <v>-100319</v>
      </c>
      <c r="H1489" s="396">
        <v>10191</v>
      </c>
      <c r="I1489" s="396">
        <v>789684</v>
      </c>
      <c r="J1489" s="395">
        <v>165</v>
      </c>
      <c r="K1489" s="395">
        <v>117</v>
      </c>
      <c r="L1489" s="397">
        <v>0.70909999999999995</v>
      </c>
      <c r="M1489" s="395">
        <v>48</v>
      </c>
      <c r="N1489" s="395">
        <v>-219</v>
      </c>
      <c r="O1489" s="395">
        <v>548</v>
      </c>
      <c r="P1489" s="395">
        <v>0.26</v>
      </c>
      <c r="Q1489" s="396">
        <v>-2090</v>
      </c>
      <c r="R1489" s="396">
        <v>2703</v>
      </c>
      <c r="S1489" s="396">
        <v>-7631</v>
      </c>
      <c r="T1489" s="396">
        <v>90409</v>
      </c>
      <c r="U1489" s="396">
        <v>-140483</v>
      </c>
      <c r="V1489" s="395">
        <v>4202.25</v>
      </c>
      <c r="W1489" s="395">
        <v>1237.55</v>
      </c>
      <c r="X1489" s="395">
        <v>77490</v>
      </c>
      <c r="Y1489" s="395">
        <v>11428.73</v>
      </c>
      <c r="Z1489" s="396">
        <v>-5125300</v>
      </c>
      <c r="AA1489" s="396">
        <v>-36181</v>
      </c>
      <c r="AB1489" s="396">
        <v>44361335</v>
      </c>
      <c r="AC1489" s="396">
        <v>10207916</v>
      </c>
    </row>
    <row r="1490" spans="1:29">
      <c r="A1490">
        <v>8403</v>
      </c>
      <c r="B1490" s="395" t="s">
        <v>8320</v>
      </c>
      <c r="C1490" s="395"/>
      <c r="D1490" s="396">
        <v>-38253</v>
      </c>
      <c r="E1490" s="396">
        <v>96121</v>
      </c>
      <c r="F1490" s="395">
        <v>-0.72</v>
      </c>
      <c r="G1490" s="396">
        <v>-134374</v>
      </c>
      <c r="H1490" s="396">
        <v>28878</v>
      </c>
      <c r="I1490" s="396">
        <v>4136546</v>
      </c>
      <c r="J1490" s="395">
        <v>242</v>
      </c>
      <c r="K1490" s="395">
        <v>115</v>
      </c>
      <c r="L1490" s="397">
        <v>0.47520000000000001</v>
      </c>
      <c r="M1490" s="395">
        <v>127</v>
      </c>
      <c r="N1490" s="395">
        <v>-158</v>
      </c>
      <c r="O1490" s="395">
        <v>836</v>
      </c>
      <c r="P1490" s="395">
        <v>0.79</v>
      </c>
      <c r="Q1490" s="396">
        <v>-1058</v>
      </c>
      <c r="R1490" s="396">
        <v>2569</v>
      </c>
      <c r="S1490" s="396">
        <v>-4030</v>
      </c>
      <c r="T1490" s="396">
        <v>293893</v>
      </c>
      <c r="U1490" s="396">
        <v>-234786</v>
      </c>
      <c r="V1490" s="395">
        <v>17696.78</v>
      </c>
      <c r="W1490" s="395">
        <v>11245.35</v>
      </c>
      <c r="X1490" s="395">
        <v>77490</v>
      </c>
      <c r="Y1490" s="395">
        <v>23538.63</v>
      </c>
      <c r="Z1490" s="396">
        <v>-11768473</v>
      </c>
      <c r="AA1490" s="396">
        <v>-38253</v>
      </c>
      <c r="AB1490" s="396">
        <v>-9296157</v>
      </c>
      <c r="AC1490" s="396">
        <v>10207916</v>
      </c>
    </row>
    <row r="1491" spans="1:29">
      <c r="A1491">
        <v>2501</v>
      </c>
      <c r="B1491" s="395" t="s">
        <v>7109</v>
      </c>
      <c r="C1491" s="395"/>
      <c r="D1491" s="396">
        <v>-38570</v>
      </c>
      <c r="E1491" s="396">
        <v>53419</v>
      </c>
      <c r="F1491" s="395">
        <v>-0.57999999999999996</v>
      </c>
      <c r="G1491" s="396">
        <v>-91989</v>
      </c>
      <c r="H1491" s="396">
        <v>20852</v>
      </c>
      <c r="I1491" s="396">
        <v>2750501</v>
      </c>
      <c r="J1491" s="395">
        <v>265</v>
      </c>
      <c r="K1491" s="395">
        <v>106</v>
      </c>
      <c r="L1491" s="397">
        <v>0.4</v>
      </c>
      <c r="M1491" s="395">
        <v>159</v>
      </c>
      <c r="N1491" s="395">
        <v>-146</v>
      </c>
      <c r="O1491" s="395">
        <v>504</v>
      </c>
      <c r="P1491" s="395">
        <v>0.87</v>
      </c>
      <c r="Q1491" s="395">
        <v>-579</v>
      </c>
      <c r="R1491" s="396">
        <v>1371</v>
      </c>
      <c r="S1491" s="396">
        <v>-1585</v>
      </c>
      <c r="T1491" s="396">
        <v>96026</v>
      </c>
      <c r="U1491" s="396">
        <v>-126235</v>
      </c>
      <c r="V1491" s="395">
        <v>14272.15</v>
      </c>
      <c r="W1491" s="395">
        <v>5022.22</v>
      </c>
      <c r="X1491" s="395">
        <v>77490</v>
      </c>
      <c r="Y1491" s="395">
        <v>20438.78</v>
      </c>
      <c r="Z1491" s="396">
        <v>-4127936</v>
      </c>
      <c r="AA1491" s="396">
        <v>-38570</v>
      </c>
      <c r="AB1491" s="396">
        <v>-478709</v>
      </c>
      <c r="AC1491" s="396">
        <v>10207916</v>
      </c>
    </row>
    <row r="1492" spans="1:29">
      <c r="A1492">
        <v>5244</v>
      </c>
      <c r="B1492" s="395" t="s">
        <v>7779</v>
      </c>
      <c r="C1492" s="395"/>
      <c r="D1492" s="396">
        <v>-38847</v>
      </c>
      <c r="E1492" s="396">
        <v>6141</v>
      </c>
      <c r="F1492" s="395">
        <v>-0.14000000000000001</v>
      </c>
      <c r="G1492" s="396">
        <v>-44988</v>
      </c>
      <c r="H1492" s="396">
        <v>4097</v>
      </c>
      <c r="I1492" s="396">
        <v>986456</v>
      </c>
      <c r="J1492" s="395">
        <v>23</v>
      </c>
      <c r="K1492" s="395">
        <v>8</v>
      </c>
      <c r="L1492" s="397">
        <v>0.3478</v>
      </c>
      <c r="M1492" s="395">
        <v>15</v>
      </c>
      <c r="N1492" s="396">
        <v>-1689</v>
      </c>
      <c r="O1492" s="395">
        <v>768</v>
      </c>
      <c r="P1492" s="395">
        <v>0.26</v>
      </c>
      <c r="Q1492" s="396">
        <v>-2999</v>
      </c>
      <c r="R1492" s="396">
        <v>1179</v>
      </c>
      <c r="S1492" s="396">
        <v>-9843</v>
      </c>
      <c r="T1492" s="396">
        <v>81116</v>
      </c>
      <c r="U1492" s="396">
        <v>-76317</v>
      </c>
      <c r="V1492" s="395">
        <v>4212.74</v>
      </c>
      <c r="W1492" s="395">
        <v>2157.5</v>
      </c>
      <c r="X1492" s="395">
        <v>8370</v>
      </c>
      <c r="Y1492" s="395">
        <v>5308.87</v>
      </c>
      <c r="Z1492" s="396">
        <v>-8474858</v>
      </c>
      <c r="AA1492" s="396">
        <v>-38847</v>
      </c>
      <c r="AB1492" s="396">
        <v>-6937000</v>
      </c>
      <c r="AC1492" s="396">
        <v>10207916</v>
      </c>
    </row>
    <row r="1493" spans="1:29">
      <c r="A1493">
        <v>3523</v>
      </c>
      <c r="B1493" s="395" t="s">
        <v>7455</v>
      </c>
      <c r="C1493" s="395"/>
      <c r="D1493" s="396">
        <v>-38923</v>
      </c>
      <c r="E1493" s="396">
        <v>6742</v>
      </c>
      <c r="F1493" s="395">
        <v>-0.15</v>
      </c>
      <c r="G1493" s="396">
        <v>-45665</v>
      </c>
      <c r="H1493" s="396">
        <v>1613</v>
      </c>
      <c r="I1493" s="396">
        <v>207631</v>
      </c>
      <c r="J1493" s="395">
        <v>39</v>
      </c>
      <c r="K1493" s="395">
        <v>16</v>
      </c>
      <c r="L1493" s="397">
        <v>0.4103</v>
      </c>
      <c r="M1493" s="395">
        <v>23</v>
      </c>
      <c r="N1493" s="395">
        <v>-998</v>
      </c>
      <c r="O1493" s="395">
        <v>421</v>
      </c>
      <c r="P1493" s="395">
        <v>0.21</v>
      </c>
      <c r="Q1493" s="396">
        <v>-1985</v>
      </c>
      <c r="R1493" s="396">
        <v>1002</v>
      </c>
      <c r="S1493" s="396">
        <v>-4913</v>
      </c>
      <c r="T1493" s="396">
        <v>47670</v>
      </c>
      <c r="U1493" s="396">
        <v>-80036</v>
      </c>
      <c r="V1493" s="395">
        <v>17540</v>
      </c>
      <c r="W1493" s="395">
        <v>1009.13</v>
      </c>
      <c r="X1493" s="395">
        <v>73170</v>
      </c>
      <c r="Y1493" s="395">
        <v>29039.74</v>
      </c>
      <c r="Z1493" s="396">
        <v>-13252820</v>
      </c>
      <c r="AA1493" s="396">
        <v>-38923</v>
      </c>
      <c r="AB1493" s="396">
        <v>-24369786</v>
      </c>
      <c r="AC1493" s="396">
        <v>10207916</v>
      </c>
    </row>
    <row r="1494" spans="1:29">
      <c r="A1494">
        <v>2528</v>
      </c>
      <c r="B1494" s="395" t="s">
        <v>7121</v>
      </c>
      <c r="C1494" s="395"/>
      <c r="D1494" s="396">
        <v>-42976</v>
      </c>
      <c r="E1494" s="396">
        <v>22571</v>
      </c>
      <c r="F1494" s="395">
        <v>-0.34</v>
      </c>
      <c r="G1494" s="396">
        <v>-65547</v>
      </c>
      <c r="H1494" s="396">
        <v>17526</v>
      </c>
      <c r="I1494" s="396">
        <v>3092213</v>
      </c>
      <c r="J1494" s="395">
        <v>197</v>
      </c>
      <c r="K1494" s="395">
        <v>75</v>
      </c>
      <c r="L1494" s="397">
        <v>0.38069999999999998</v>
      </c>
      <c r="M1494" s="395">
        <v>122</v>
      </c>
      <c r="N1494" s="395">
        <v>-218</v>
      </c>
      <c r="O1494" s="395">
        <v>301</v>
      </c>
      <c r="P1494" s="395">
        <v>0.56000000000000005</v>
      </c>
      <c r="Q1494" s="395">
        <v>-537</v>
      </c>
      <c r="R1494" s="396">
        <v>1157</v>
      </c>
      <c r="S1494" s="396">
        <v>-2695</v>
      </c>
      <c r="T1494" s="396">
        <v>83751</v>
      </c>
      <c r="U1494" s="396">
        <v>-122829</v>
      </c>
      <c r="V1494" s="395">
        <v>19592.29</v>
      </c>
      <c r="W1494" s="395">
        <v>12617.27</v>
      </c>
      <c r="X1494" s="395">
        <v>77220</v>
      </c>
      <c r="Y1494" s="395">
        <v>23880.21</v>
      </c>
      <c r="Z1494" s="396">
        <v>-4431727</v>
      </c>
      <c r="AA1494" s="396">
        <v>-42976</v>
      </c>
      <c r="AB1494" s="396">
        <v>-4279570</v>
      </c>
      <c r="AC1494" s="396">
        <v>10207916</v>
      </c>
    </row>
    <row r="1495" spans="1:29">
      <c r="A1495">
        <v>3272</v>
      </c>
      <c r="B1495" s="395" t="s">
        <v>7369</v>
      </c>
      <c r="C1495" s="395"/>
      <c r="D1495" s="396">
        <v>-46046</v>
      </c>
      <c r="E1495" s="396">
        <v>405080</v>
      </c>
      <c r="F1495" s="395">
        <v>-0.9</v>
      </c>
      <c r="G1495" s="396">
        <v>-451126</v>
      </c>
      <c r="H1495" s="396">
        <v>42668</v>
      </c>
      <c r="I1495" s="396">
        <v>3046258</v>
      </c>
      <c r="J1495" s="395">
        <v>244</v>
      </c>
      <c r="K1495" s="395">
        <v>168</v>
      </c>
      <c r="L1495" s="397">
        <v>0.6885</v>
      </c>
      <c r="M1495" s="395">
        <v>76</v>
      </c>
      <c r="N1495" s="395">
        <v>-189</v>
      </c>
      <c r="O1495" s="396">
        <v>2411</v>
      </c>
      <c r="P1495" s="395">
        <v>0.41</v>
      </c>
      <c r="Q1495" s="396">
        <v>-5936</v>
      </c>
      <c r="R1495" s="396">
        <v>9133</v>
      </c>
      <c r="S1495" s="396">
        <v>-13011</v>
      </c>
      <c r="T1495" s="396">
        <v>562431</v>
      </c>
      <c r="U1495" s="396">
        <v>-403133</v>
      </c>
      <c r="V1495" s="395">
        <v>4923.03</v>
      </c>
      <c r="W1495" s="395">
        <v>2943.27</v>
      </c>
      <c r="X1495" s="395">
        <v>77490</v>
      </c>
      <c r="Y1495" s="395">
        <v>9299.34</v>
      </c>
      <c r="Z1495" s="396">
        <v>-20503121</v>
      </c>
      <c r="AA1495" s="396">
        <v>-46046</v>
      </c>
      <c r="AB1495" s="396">
        <v>-17975897</v>
      </c>
      <c r="AC1495" s="396">
        <v>10207916</v>
      </c>
    </row>
    <row r="1496" spans="1:29">
      <c r="A1496">
        <v>2243</v>
      </c>
      <c r="B1496" s="395" t="s">
        <v>6969</v>
      </c>
      <c r="C1496" s="395"/>
      <c r="D1496" s="396">
        <v>-46885</v>
      </c>
      <c r="E1496" s="396">
        <v>98938</v>
      </c>
      <c r="F1496" s="395">
        <v>-0.68</v>
      </c>
      <c r="G1496" s="396">
        <v>-145823</v>
      </c>
      <c r="H1496" s="396">
        <v>12095</v>
      </c>
      <c r="I1496" s="396">
        <v>565181</v>
      </c>
      <c r="J1496" s="395">
        <v>217</v>
      </c>
      <c r="K1496" s="395">
        <v>149</v>
      </c>
      <c r="L1496" s="397">
        <v>0.68659999999999999</v>
      </c>
      <c r="M1496" s="395">
        <v>68</v>
      </c>
      <c r="N1496" s="395">
        <v>-216</v>
      </c>
      <c r="O1496" s="395">
        <v>664</v>
      </c>
      <c r="P1496" s="395">
        <v>0.31</v>
      </c>
      <c r="Q1496" s="396">
        <v>-2144</v>
      </c>
      <c r="R1496" s="396">
        <v>2874</v>
      </c>
      <c r="S1496" s="396">
        <v>-6817</v>
      </c>
      <c r="T1496" s="396">
        <v>88646</v>
      </c>
      <c r="U1496" s="396">
        <v>-131804</v>
      </c>
      <c r="V1496" s="395">
        <v>2728.52</v>
      </c>
      <c r="W1496" s="395">
        <v>1429.56</v>
      </c>
      <c r="X1496" s="395">
        <v>77220</v>
      </c>
      <c r="Y1496" s="395">
        <v>5574.76</v>
      </c>
      <c r="Z1496" s="396">
        <v>-3582333</v>
      </c>
      <c r="AA1496" s="396">
        <v>-46885</v>
      </c>
      <c r="AB1496" s="396">
        <v>2561265</v>
      </c>
      <c r="AC1496" s="396">
        <v>10207916</v>
      </c>
    </row>
    <row r="1497" spans="1:29">
      <c r="A1497">
        <v>9946</v>
      </c>
      <c r="B1497" s="395" t="s">
        <v>8425</v>
      </c>
      <c r="C1497" s="395"/>
      <c r="D1497" s="396">
        <v>-47463</v>
      </c>
      <c r="E1497" s="396">
        <v>75992</v>
      </c>
      <c r="F1497" s="395">
        <v>-0.62</v>
      </c>
      <c r="G1497" s="396">
        <v>-123455</v>
      </c>
      <c r="H1497" s="396">
        <v>15532</v>
      </c>
      <c r="I1497" s="396">
        <v>1535714</v>
      </c>
      <c r="J1497" s="395">
        <v>253</v>
      </c>
      <c r="K1497" s="395">
        <v>130</v>
      </c>
      <c r="L1497" s="397">
        <v>0.51380000000000003</v>
      </c>
      <c r="M1497" s="395">
        <v>123</v>
      </c>
      <c r="N1497" s="395">
        <v>-188</v>
      </c>
      <c r="O1497" s="395">
        <v>585</v>
      </c>
      <c r="P1497" s="395">
        <v>0.57999999999999996</v>
      </c>
      <c r="Q1497" s="396">
        <v>-1004</v>
      </c>
      <c r="R1497" s="396">
        <v>1942</v>
      </c>
      <c r="S1497" s="396">
        <v>-2571</v>
      </c>
      <c r="T1497" s="396">
        <v>91467</v>
      </c>
      <c r="U1497" s="396">
        <v>-153237</v>
      </c>
      <c r="V1497" s="395">
        <v>10412.43</v>
      </c>
      <c r="W1497" s="395">
        <v>3818.18</v>
      </c>
      <c r="X1497" s="395">
        <v>77490</v>
      </c>
      <c r="Y1497" s="395">
        <v>17381.96</v>
      </c>
      <c r="Z1497" s="396">
        <v>-7468471</v>
      </c>
      <c r="AA1497" s="396">
        <v>-47463</v>
      </c>
      <c r="AB1497" s="396">
        <v>-3460586</v>
      </c>
      <c r="AC1497" s="396">
        <v>10207916</v>
      </c>
    </row>
    <row r="1498" spans="1:29">
      <c r="A1498">
        <v>6560</v>
      </c>
      <c r="B1498" s="395" t="s">
        <v>8130</v>
      </c>
      <c r="C1498" s="395"/>
      <c r="D1498" s="396">
        <v>-48095</v>
      </c>
      <c r="E1498" s="396">
        <v>486985</v>
      </c>
      <c r="F1498" s="395">
        <v>-0.91</v>
      </c>
      <c r="G1498" s="396">
        <v>-535080</v>
      </c>
      <c r="H1498" s="396">
        <v>62778</v>
      </c>
      <c r="I1498" s="396">
        <v>6298659</v>
      </c>
      <c r="J1498" s="395">
        <v>168</v>
      </c>
      <c r="K1498" s="395">
        <v>104</v>
      </c>
      <c r="L1498" s="397">
        <v>0.61899999999999999</v>
      </c>
      <c r="M1498" s="395">
        <v>64</v>
      </c>
      <c r="N1498" s="395">
        <v>-286</v>
      </c>
      <c r="O1498" s="396">
        <v>4683</v>
      </c>
      <c r="P1498" s="395">
        <v>0.56000000000000005</v>
      </c>
      <c r="Q1498" s="396">
        <v>-8361</v>
      </c>
      <c r="R1498" s="396">
        <v>13205</v>
      </c>
      <c r="S1498" s="396">
        <v>-19416</v>
      </c>
      <c r="T1498" s="396">
        <v>1187645</v>
      </c>
      <c r="U1498" s="396">
        <v>-1345175</v>
      </c>
      <c r="V1498" s="395">
        <v>10183.99</v>
      </c>
      <c r="W1498" s="395">
        <v>3897.81</v>
      </c>
      <c r="X1498" s="395">
        <v>77490</v>
      </c>
      <c r="Y1498" s="395">
        <v>20399.05</v>
      </c>
      <c r="Z1498" s="396">
        <v>-15574469</v>
      </c>
      <c r="AA1498" s="396">
        <v>-48095</v>
      </c>
      <c r="AB1498" s="396">
        <v>1252689</v>
      </c>
      <c r="AC1498" s="396">
        <v>10207916</v>
      </c>
    </row>
    <row r="1499" spans="1:29">
      <c r="A1499">
        <v>1233</v>
      </c>
      <c r="B1499" s="395" t="s">
        <v>6698</v>
      </c>
      <c r="C1499" s="395"/>
      <c r="D1499" s="396">
        <v>-48216</v>
      </c>
      <c r="E1499" s="396">
        <v>26857</v>
      </c>
      <c r="F1499" s="395">
        <v>-0.36</v>
      </c>
      <c r="G1499" s="396">
        <v>-75073</v>
      </c>
      <c r="H1499" s="396">
        <v>16677</v>
      </c>
      <c r="I1499" s="396">
        <v>3110464</v>
      </c>
      <c r="J1499" s="395">
        <v>121</v>
      </c>
      <c r="K1499" s="395">
        <v>35</v>
      </c>
      <c r="L1499" s="397">
        <v>0.2893</v>
      </c>
      <c r="M1499" s="395">
        <v>86</v>
      </c>
      <c r="N1499" s="395">
        <v>-398</v>
      </c>
      <c r="O1499" s="395">
        <v>767</v>
      </c>
      <c r="P1499" s="395">
        <v>0.88</v>
      </c>
      <c r="Q1499" s="395">
        <v>-873</v>
      </c>
      <c r="R1499" s="396">
        <v>1510</v>
      </c>
      <c r="S1499" s="396">
        <v>-3259</v>
      </c>
      <c r="T1499" s="396">
        <v>197960</v>
      </c>
      <c r="U1499" s="396">
        <v>-161598</v>
      </c>
      <c r="V1499" s="395">
        <v>26786.58</v>
      </c>
      <c r="W1499" s="395">
        <v>11661.71</v>
      </c>
      <c r="X1499" s="395">
        <v>77220</v>
      </c>
      <c r="Y1499" s="395">
        <v>32942.050000000003</v>
      </c>
      <c r="Z1499" s="396">
        <v>-3445190</v>
      </c>
      <c r="AA1499" s="396">
        <v>-48216</v>
      </c>
      <c r="AB1499" s="396">
        <v>-2585546</v>
      </c>
      <c r="AC1499" s="396">
        <v>10207916</v>
      </c>
    </row>
    <row r="1500" spans="1:29">
      <c r="A1500">
        <v>4903</v>
      </c>
      <c r="B1500" s="395" t="s">
        <v>7701</v>
      </c>
      <c r="C1500" s="395"/>
      <c r="D1500" s="396">
        <v>-48849</v>
      </c>
      <c r="E1500" s="396">
        <v>14120</v>
      </c>
      <c r="F1500" s="395">
        <v>-0.22</v>
      </c>
      <c r="G1500" s="396">
        <v>-62969</v>
      </c>
      <c r="H1500" s="396">
        <v>2919</v>
      </c>
      <c r="I1500" s="396">
        <v>328395</v>
      </c>
      <c r="J1500" s="395">
        <v>58</v>
      </c>
      <c r="K1500" s="395">
        <v>26</v>
      </c>
      <c r="L1500" s="397">
        <v>0.44829999999999998</v>
      </c>
      <c r="M1500" s="395">
        <v>32</v>
      </c>
      <c r="N1500" s="395">
        <v>-842</v>
      </c>
      <c r="O1500" s="395">
        <v>543</v>
      </c>
      <c r="P1500" s="395">
        <v>0.28000000000000003</v>
      </c>
      <c r="Q1500" s="396">
        <v>-1968</v>
      </c>
      <c r="R1500" s="396">
        <v>1876</v>
      </c>
      <c r="S1500" s="396">
        <v>-4553</v>
      </c>
      <c r="T1500" s="396">
        <v>16053</v>
      </c>
      <c r="U1500" s="396">
        <v>-68310</v>
      </c>
      <c r="V1500" s="395">
        <v>4228.5200000000004</v>
      </c>
      <c r="W1500" s="395">
        <v>533.46</v>
      </c>
      <c r="X1500" s="395">
        <v>77490</v>
      </c>
      <c r="Y1500" s="395">
        <v>7230.75</v>
      </c>
      <c r="Z1500" s="396">
        <v>-1609899</v>
      </c>
      <c r="AA1500" s="396">
        <v>-48849</v>
      </c>
      <c r="AB1500" s="396">
        <v>7350746</v>
      </c>
      <c r="AC1500" s="396">
        <v>10207916</v>
      </c>
    </row>
    <row r="1501" spans="1:29">
      <c r="A1501">
        <v>1618</v>
      </c>
      <c r="B1501" s="395" t="s">
        <v>6844</v>
      </c>
      <c r="C1501" s="395"/>
      <c r="D1501" s="396">
        <v>-49797</v>
      </c>
      <c r="E1501" s="396">
        <v>100083</v>
      </c>
      <c r="F1501" s="395">
        <v>-0.67</v>
      </c>
      <c r="G1501" s="396">
        <v>-149879</v>
      </c>
      <c r="H1501" s="396">
        <v>15431</v>
      </c>
      <c r="I1501" s="396">
        <v>1074852</v>
      </c>
      <c r="J1501" s="395">
        <v>260</v>
      </c>
      <c r="K1501" s="395">
        <v>133</v>
      </c>
      <c r="L1501" s="397">
        <v>0.51149999999999995</v>
      </c>
      <c r="M1501" s="395">
        <v>127</v>
      </c>
      <c r="N1501" s="395">
        <v>-192</v>
      </c>
      <c r="O1501" s="395">
        <v>753</v>
      </c>
      <c r="P1501" s="395">
        <v>0.64</v>
      </c>
      <c r="Q1501" s="396">
        <v>-1180</v>
      </c>
      <c r="R1501" s="396">
        <v>3737</v>
      </c>
      <c r="S1501" s="396">
        <v>-5281</v>
      </c>
      <c r="T1501" s="396">
        <v>116382</v>
      </c>
      <c r="U1501" s="396">
        <v>-132361</v>
      </c>
      <c r="V1501" s="395">
        <v>7145.89</v>
      </c>
      <c r="W1501" s="395">
        <v>3062.65</v>
      </c>
      <c r="X1501" s="395">
        <v>75870</v>
      </c>
      <c r="Y1501" s="395">
        <v>11422.04</v>
      </c>
      <c r="Z1501" s="396">
        <v>-18058913</v>
      </c>
      <c r="AA1501" s="396">
        <v>-49797</v>
      </c>
      <c r="AB1501" s="396">
        <v>-2485796</v>
      </c>
      <c r="AC1501" s="396">
        <v>10207916</v>
      </c>
    </row>
    <row r="1502" spans="1:29">
      <c r="A1502">
        <v>1540</v>
      </c>
      <c r="B1502" s="395" t="s">
        <v>6811</v>
      </c>
      <c r="C1502" s="395"/>
      <c r="D1502" s="396">
        <v>-50780</v>
      </c>
      <c r="E1502" s="396">
        <v>38832</v>
      </c>
      <c r="F1502" s="395">
        <v>-0.43</v>
      </c>
      <c r="G1502" s="396">
        <v>-89612</v>
      </c>
      <c r="H1502" s="396">
        <v>12765</v>
      </c>
      <c r="I1502" s="396">
        <v>1754721</v>
      </c>
      <c r="J1502" s="395">
        <v>206</v>
      </c>
      <c r="K1502" s="395">
        <v>75</v>
      </c>
      <c r="L1502" s="397">
        <v>0.36409999999999998</v>
      </c>
      <c r="M1502" s="395">
        <v>131</v>
      </c>
      <c r="N1502" s="395">
        <v>-247</v>
      </c>
      <c r="O1502" s="395">
        <v>518</v>
      </c>
      <c r="P1502" s="395">
        <v>0.76</v>
      </c>
      <c r="Q1502" s="395">
        <v>-684</v>
      </c>
      <c r="R1502" s="396">
        <v>1786</v>
      </c>
      <c r="S1502" s="396">
        <v>-2062</v>
      </c>
      <c r="T1502" s="396">
        <v>76960</v>
      </c>
      <c r="U1502" s="396">
        <v>-95967</v>
      </c>
      <c r="V1502" s="395">
        <v>16055.56</v>
      </c>
      <c r="W1502" s="395">
        <v>4085.88</v>
      </c>
      <c r="X1502" s="395">
        <v>77490</v>
      </c>
      <c r="Y1502" s="395">
        <v>22908.44</v>
      </c>
      <c r="Z1502" s="396">
        <v>-5356829</v>
      </c>
      <c r="AA1502" s="396">
        <v>-50780</v>
      </c>
      <c r="AB1502" s="396">
        <v>-1647691</v>
      </c>
      <c r="AC1502" s="396">
        <v>10207916</v>
      </c>
    </row>
    <row r="1503" spans="1:29">
      <c r="A1503">
        <v>4109</v>
      </c>
      <c r="B1503" s="395" t="s">
        <v>7557</v>
      </c>
      <c r="C1503" s="395"/>
      <c r="D1503" s="396">
        <v>-50794</v>
      </c>
      <c r="E1503" s="396">
        <v>29739</v>
      </c>
      <c r="F1503" s="395">
        <v>-0.37</v>
      </c>
      <c r="G1503" s="396">
        <v>-80533</v>
      </c>
      <c r="H1503" s="396">
        <v>9344</v>
      </c>
      <c r="I1503" s="396">
        <v>1628377</v>
      </c>
      <c r="J1503" s="395">
        <v>164</v>
      </c>
      <c r="K1503" s="395">
        <v>75</v>
      </c>
      <c r="L1503" s="397">
        <v>0.45729999999999998</v>
      </c>
      <c r="M1503" s="395">
        <v>89</v>
      </c>
      <c r="N1503" s="395">
        <v>-310</v>
      </c>
      <c r="O1503" s="395">
        <v>397</v>
      </c>
      <c r="P1503" s="395">
        <v>0.44</v>
      </c>
      <c r="Q1503" s="395">
        <v>-905</v>
      </c>
      <c r="R1503" s="396">
        <v>1487</v>
      </c>
      <c r="S1503" s="396">
        <v>-3910</v>
      </c>
      <c r="T1503" s="396">
        <v>108573</v>
      </c>
      <c r="U1503" s="396">
        <v>-154639</v>
      </c>
      <c r="V1503" s="395">
        <v>22834.83</v>
      </c>
      <c r="W1503" s="395">
        <v>8601.17</v>
      </c>
      <c r="X1503" s="395">
        <v>77490</v>
      </c>
      <c r="Y1503" s="395">
        <v>34829.480000000003</v>
      </c>
      <c r="Z1503" s="396">
        <v>-10378534</v>
      </c>
      <c r="AA1503" s="396">
        <v>-50794</v>
      </c>
      <c r="AB1503" s="396">
        <v>-13095506</v>
      </c>
      <c r="AC1503" s="396">
        <v>10207916</v>
      </c>
    </row>
    <row r="1504" spans="1:29">
      <c r="A1504">
        <v>3419</v>
      </c>
      <c r="B1504" s="395" t="s">
        <v>7419</v>
      </c>
      <c r="C1504" s="395"/>
      <c r="D1504" s="396">
        <v>-50983</v>
      </c>
      <c r="E1504" s="396">
        <v>158598</v>
      </c>
      <c r="F1504" s="395">
        <v>-0.76</v>
      </c>
      <c r="G1504" s="396">
        <v>-209581</v>
      </c>
      <c r="H1504" s="396">
        <v>21220</v>
      </c>
      <c r="I1504" s="396">
        <v>1176421</v>
      </c>
      <c r="J1504" s="395">
        <v>258</v>
      </c>
      <c r="K1504" s="395">
        <v>172</v>
      </c>
      <c r="L1504" s="397">
        <v>0.66669999999999996</v>
      </c>
      <c r="M1504" s="395">
        <v>86</v>
      </c>
      <c r="N1504" s="395">
        <v>-198</v>
      </c>
      <c r="O1504" s="395">
        <v>922</v>
      </c>
      <c r="P1504" s="395">
        <v>0.38</v>
      </c>
      <c r="Q1504" s="396">
        <v>-2437</v>
      </c>
      <c r="R1504" s="396">
        <v>4329</v>
      </c>
      <c r="S1504" s="396">
        <v>-8549</v>
      </c>
      <c r="T1504" s="396">
        <v>155671</v>
      </c>
      <c r="U1504" s="396">
        <v>-170243</v>
      </c>
      <c r="V1504" s="395">
        <v>5321.61</v>
      </c>
      <c r="W1504" s="395">
        <v>3704.72</v>
      </c>
      <c r="X1504" s="395">
        <v>77490</v>
      </c>
      <c r="Y1504" s="395">
        <v>8555.41</v>
      </c>
      <c r="Z1504" s="396">
        <v>-21738930</v>
      </c>
      <c r="AA1504" s="396">
        <v>-50983</v>
      </c>
      <c r="AB1504" s="396">
        <v>726497</v>
      </c>
      <c r="AC1504" s="396">
        <v>10207916</v>
      </c>
    </row>
    <row r="1505" spans="1:29">
      <c r="A1505">
        <v>1305</v>
      </c>
      <c r="B1505" s="395" t="s">
        <v>6711</v>
      </c>
      <c r="C1505" s="395"/>
      <c r="D1505" s="396">
        <v>-51468</v>
      </c>
      <c r="E1505" s="396">
        <v>211723</v>
      </c>
      <c r="F1505" s="395">
        <v>-0.8</v>
      </c>
      <c r="G1505" s="396">
        <v>-263191</v>
      </c>
      <c r="H1505" s="396">
        <v>37714</v>
      </c>
      <c r="I1505" s="396">
        <v>3180305</v>
      </c>
      <c r="J1505" s="395">
        <v>267</v>
      </c>
      <c r="K1505" s="395">
        <v>165</v>
      </c>
      <c r="L1505" s="397">
        <v>0.61799999999999999</v>
      </c>
      <c r="M1505" s="395">
        <v>102</v>
      </c>
      <c r="N1505" s="395">
        <v>-193</v>
      </c>
      <c r="O1505" s="396">
        <v>1283</v>
      </c>
      <c r="P1505" s="395">
        <v>0.5</v>
      </c>
      <c r="Q1505" s="396">
        <v>-2580</v>
      </c>
      <c r="R1505" s="396">
        <v>6271</v>
      </c>
      <c r="S1505" s="396">
        <v>-13513</v>
      </c>
      <c r="T1505" s="396">
        <v>242783</v>
      </c>
      <c r="U1505" s="396">
        <v>-271921</v>
      </c>
      <c r="V1505" s="395">
        <v>6146.43</v>
      </c>
      <c r="W1505" s="395">
        <v>1949.58</v>
      </c>
      <c r="X1505" s="395">
        <v>77490</v>
      </c>
      <c r="Y1505" s="395">
        <v>12935.47</v>
      </c>
      <c r="Z1505" s="396">
        <v>-8160738</v>
      </c>
      <c r="AA1505" s="396">
        <v>-51468</v>
      </c>
      <c r="AB1505" s="396">
        <v>22450828</v>
      </c>
      <c r="AC1505" s="396">
        <v>10207916</v>
      </c>
    </row>
    <row r="1506" spans="1:29">
      <c r="A1506">
        <v>2107</v>
      </c>
      <c r="B1506" s="395" t="s">
        <v>6948</v>
      </c>
      <c r="C1506" s="395"/>
      <c r="D1506" s="396">
        <v>-52365</v>
      </c>
      <c r="E1506" s="396">
        <v>76034</v>
      </c>
      <c r="F1506" s="395">
        <v>-0.59</v>
      </c>
      <c r="G1506" s="396">
        <v>-128399</v>
      </c>
      <c r="H1506" s="396">
        <v>22929</v>
      </c>
      <c r="I1506" s="396">
        <v>3135073</v>
      </c>
      <c r="J1506" s="395">
        <v>242</v>
      </c>
      <c r="K1506" s="395">
        <v>88</v>
      </c>
      <c r="L1506" s="397">
        <v>0.36359999999999998</v>
      </c>
      <c r="M1506" s="395">
        <v>154</v>
      </c>
      <c r="N1506" s="395">
        <v>-216</v>
      </c>
      <c r="O1506" s="395">
        <v>864</v>
      </c>
      <c r="P1506" s="395">
        <v>1.04</v>
      </c>
      <c r="Q1506" s="395">
        <v>-834</v>
      </c>
      <c r="R1506" s="396">
        <v>3706</v>
      </c>
      <c r="S1506" s="396">
        <v>-3008</v>
      </c>
      <c r="T1506" s="396">
        <v>147239</v>
      </c>
      <c r="U1506" s="396">
        <v>-236453</v>
      </c>
      <c r="V1506" s="395">
        <v>15699.44</v>
      </c>
      <c r="W1506" s="395">
        <v>4430.91</v>
      </c>
      <c r="X1506" s="395">
        <v>77490</v>
      </c>
      <c r="Y1506" s="395">
        <v>22138.6</v>
      </c>
      <c r="Z1506" s="396">
        <v>-8480636</v>
      </c>
      <c r="AA1506" s="396">
        <v>-52365</v>
      </c>
      <c r="AB1506" s="396">
        <v>-3186616</v>
      </c>
      <c r="AC1506" s="396">
        <v>10207916</v>
      </c>
    </row>
    <row r="1507" spans="1:29">
      <c r="A1507">
        <v>6419</v>
      </c>
      <c r="B1507" s="395" t="s">
        <v>8072</v>
      </c>
      <c r="C1507" s="395"/>
      <c r="D1507" s="396">
        <v>-53301</v>
      </c>
      <c r="E1507" s="396">
        <v>122932</v>
      </c>
      <c r="F1507" s="395">
        <v>-0.7</v>
      </c>
      <c r="G1507" s="396">
        <v>-176233</v>
      </c>
      <c r="H1507" s="396">
        <v>15351</v>
      </c>
      <c r="I1507" s="396">
        <v>823646</v>
      </c>
      <c r="J1507" s="395">
        <v>121</v>
      </c>
      <c r="K1507" s="395">
        <v>85</v>
      </c>
      <c r="L1507" s="397">
        <v>0.70250000000000001</v>
      </c>
      <c r="M1507" s="395">
        <v>36</v>
      </c>
      <c r="N1507" s="395">
        <v>-441</v>
      </c>
      <c r="O1507" s="396">
        <v>1446</v>
      </c>
      <c r="P1507" s="395">
        <v>0.3</v>
      </c>
      <c r="Q1507" s="396">
        <v>-4895</v>
      </c>
      <c r="R1507" s="396">
        <v>3904</v>
      </c>
      <c r="S1507" s="396">
        <v>-11948</v>
      </c>
      <c r="T1507" s="396">
        <v>104961</v>
      </c>
      <c r="U1507" s="396">
        <v>-159792</v>
      </c>
      <c r="V1507" s="395">
        <v>2739.59</v>
      </c>
      <c r="W1507" s="395">
        <v>1000.89</v>
      </c>
      <c r="X1507" s="395">
        <v>77490</v>
      </c>
      <c r="Y1507" s="395">
        <v>6844.83</v>
      </c>
      <c r="Z1507" s="396">
        <v>9925877</v>
      </c>
      <c r="AA1507" s="396">
        <v>-53301</v>
      </c>
      <c r="AB1507" s="396">
        <v>47645570</v>
      </c>
      <c r="AC1507" s="396">
        <v>10207916</v>
      </c>
    </row>
    <row r="1508" spans="1:29">
      <c r="A1508">
        <v>4747</v>
      </c>
      <c r="B1508" s="395" t="s">
        <v>7689</v>
      </c>
      <c r="C1508" s="395"/>
      <c r="D1508" s="396">
        <v>-55740</v>
      </c>
      <c r="E1508" s="396">
        <v>17462</v>
      </c>
      <c r="F1508" s="395">
        <v>-0.24</v>
      </c>
      <c r="G1508" s="396">
        <v>-73202</v>
      </c>
      <c r="H1508" s="396">
        <v>8707</v>
      </c>
      <c r="I1508" s="396">
        <v>1205343</v>
      </c>
      <c r="J1508" s="395">
        <v>60</v>
      </c>
      <c r="K1508" s="395">
        <v>24</v>
      </c>
      <c r="L1508" s="397">
        <v>0.4</v>
      </c>
      <c r="M1508" s="395">
        <v>36</v>
      </c>
      <c r="N1508" s="395">
        <v>-929</v>
      </c>
      <c r="O1508" s="395">
        <v>728</v>
      </c>
      <c r="P1508" s="395">
        <v>0.36</v>
      </c>
      <c r="Q1508" s="396">
        <v>-2033</v>
      </c>
      <c r="R1508" s="396">
        <v>2001</v>
      </c>
      <c r="S1508" s="396">
        <v>-3693</v>
      </c>
      <c r="T1508" s="396">
        <v>52462</v>
      </c>
      <c r="U1508" s="396">
        <v>-81498</v>
      </c>
      <c r="V1508" s="395">
        <v>15993.7</v>
      </c>
      <c r="W1508" s="395">
        <v>5440.46</v>
      </c>
      <c r="X1508" s="395">
        <v>71010</v>
      </c>
      <c r="Y1508" s="395">
        <v>23029.19</v>
      </c>
      <c r="Z1508" s="396">
        <v>-2026889</v>
      </c>
      <c r="AA1508" s="396">
        <v>-55740</v>
      </c>
      <c r="AB1508" s="396">
        <v>-2560163</v>
      </c>
      <c r="AC1508" s="396">
        <v>10207916</v>
      </c>
    </row>
    <row r="1509" spans="1:29">
      <c r="A1509">
        <v>6142</v>
      </c>
      <c r="B1509" s="395" t="s">
        <v>7939</v>
      </c>
      <c r="C1509" s="395"/>
      <c r="D1509" s="396">
        <v>-57922</v>
      </c>
      <c r="E1509" s="396">
        <v>77528</v>
      </c>
      <c r="F1509" s="395">
        <v>-0.56999999999999995</v>
      </c>
      <c r="G1509" s="396">
        <v>-135450</v>
      </c>
      <c r="H1509" s="396">
        <v>8851</v>
      </c>
      <c r="I1509" s="396">
        <v>524267</v>
      </c>
      <c r="J1509" s="395">
        <v>193</v>
      </c>
      <c r="K1509" s="395">
        <v>116</v>
      </c>
      <c r="L1509" s="397">
        <v>0.60099999999999998</v>
      </c>
      <c r="M1509" s="395">
        <v>76</v>
      </c>
      <c r="N1509" s="395">
        <v>-300</v>
      </c>
      <c r="O1509" s="395">
        <v>668</v>
      </c>
      <c r="P1509" s="395">
        <v>0.37</v>
      </c>
      <c r="Q1509" s="396">
        <v>-1782</v>
      </c>
      <c r="R1509" s="396">
        <v>3153</v>
      </c>
      <c r="S1509" s="396">
        <v>-6266</v>
      </c>
      <c r="T1509" s="396">
        <v>77749</v>
      </c>
      <c r="U1509" s="396">
        <v>-113200</v>
      </c>
      <c r="V1509" s="395">
        <v>6293.52</v>
      </c>
      <c r="W1509" s="395">
        <v>3204.45</v>
      </c>
      <c r="X1509" s="395">
        <v>76140</v>
      </c>
      <c r="Y1509" s="395">
        <v>11091.17</v>
      </c>
      <c r="Z1509" s="396">
        <v>-25529917</v>
      </c>
      <c r="AA1509" s="396">
        <v>-57922</v>
      </c>
      <c r="AB1509" s="396">
        <v>-9605281</v>
      </c>
      <c r="AC1509" s="396">
        <v>10207916</v>
      </c>
    </row>
    <row r="1510" spans="1:29">
      <c r="A1510">
        <v>4154</v>
      </c>
      <c r="B1510" s="395" t="s">
        <v>7581</v>
      </c>
      <c r="C1510" s="395"/>
      <c r="D1510" s="396">
        <v>-60483</v>
      </c>
      <c r="E1510" s="396">
        <v>45535</v>
      </c>
      <c r="F1510" s="395">
        <v>-0.43</v>
      </c>
      <c r="G1510" s="396">
        <v>-106018</v>
      </c>
      <c r="H1510" s="396">
        <v>9133</v>
      </c>
      <c r="I1510" s="396">
        <v>580203</v>
      </c>
      <c r="J1510" s="395">
        <v>54</v>
      </c>
      <c r="K1510" s="395">
        <v>39</v>
      </c>
      <c r="L1510" s="397">
        <v>0.72219999999999995</v>
      </c>
      <c r="M1510" s="395">
        <v>15</v>
      </c>
      <c r="N1510" s="396">
        <v>-1120</v>
      </c>
      <c r="O1510" s="396">
        <v>1168</v>
      </c>
      <c r="P1510" s="395">
        <v>0.17</v>
      </c>
      <c r="Q1510" s="396">
        <v>-7068</v>
      </c>
      <c r="R1510" s="396">
        <v>3074</v>
      </c>
      <c r="S1510" s="396">
        <v>-18711</v>
      </c>
      <c r="T1510" s="396">
        <v>55550</v>
      </c>
      <c r="U1510" s="396">
        <v>-139957</v>
      </c>
      <c r="V1510" s="395">
        <v>4182.13</v>
      </c>
      <c r="W1510" s="395">
        <v>1980.95</v>
      </c>
      <c r="X1510" s="395">
        <v>73170</v>
      </c>
      <c r="Y1510" s="395">
        <v>9905.2000000000007</v>
      </c>
      <c r="Z1510" s="396">
        <v>-186246</v>
      </c>
      <c r="AA1510" s="396">
        <v>-60483</v>
      </c>
      <c r="AB1510" s="396">
        <v>31503759</v>
      </c>
      <c r="AC1510" s="396">
        <v>10207916</v>
      </c>
    </row>
    <row r="1511" spans="1:29">
      <c r="A1511">
        <v>2424</v>
      </c>
      <c r="B1511" s="395" t="s">
        <v>7052</v>
      </c>
      <c r="C1511" s="395"/>
      <c r="D1511" s="396">
        <v>-63317</v>
      </c>
      <c r="E1511" s="396">
        <v>21116</v>
      </c>
      <c r="F1511" s="395">
        <v>-0.25</v>
      </c>
      <c r="G1511" s="396">
        <v>-84433</v>
      </c>
      <c r="H1511" s="396">
        <v>4517</v>
      </c>
      <c r="I1511" s="396">
        <v>473201</v>
      </c>
      <c r="J1511" s="395">
        <v>48</v>
      </c>
      <c r="K1511" s="395">
        <v>24</v>
      </c>
      <c r="L1511" s="397">
        <v>0.5</v>
      </c>
      <c r="M1511" s="395">
        <v>24</v>
      </c>
      <c r="N1511" s="396">
        <v>-1319</v>
      </c>
      <c r="O1511" s="395">
        <v>880</v>
      </c>
      <c r="P1511" s="395">
        <v>0.25</v>
      </c>
      <c r="Q1511" s="396">
        <v>-3518</v>
      </c>
      <c r="R1511" s="396">
        <v>2235</v>
      </c>
      <c r="S1511" s="396">
        <v>-9641</v>
      </c>
      <c r="T1511" s="396">
        <v>78100</v>
      </c>
      <c r="U1511" s="396">
        <v>-98847</v>
      </c>
      <c r="V1511" s="395">
        <v>6651.44</v>
      </c>
      <c r="W1511" s="395">
        <v>705</v>
      </c>
      <c r="X1511" s="395">
        <v>59130</v>
      </c>
      <c r="Y1511" s="395">
        <v>12597.88</v>
      </c>
      <c r="Z1511" s="396">
        <v>4505933</v>
      </c>
      <c r="AA1511" s="396">
        <v>-63317</v>
      </c>
      <c r="AB1511" s="396">
        <v>-14584493</v>
      </c>
      <c r="AC1511" s="396">
        <v>10207916</v>
      </c>
    </row>
    <row r="1512" spans="1:29">
      <c r="A1512">
        <v>4306</v>
      </c>
      <c r="B1512" s="395" t="s">
        <v>7605</v>
      </c>
      <c r="C1512" s="395"/>
      <c r="D1512" s="396">
        <v>-63568</v>
      </c>
      <c r="E1512" s="396">
        <v>56604</v>
      </c>
      <c r="F1512" s="395">
        <v>-0.47</v>
      </c>
      <c r="G1512" s="396">
        <v>-120172</v>
      </c>
      <c r="H1512" s="396">
        <v>16463</v>
      </c>
      <c r="I1512" s="396">
        <v>2132278</v>
      </c>
      <c r="J1512" s="395">
        <v>253</v>
      </c>
      <c r="K1512" s="395">
        <v>95</v>
      </c>
      <c r="L1512" s="397">
        <v>0.3755</v>
      </c>
      <c r="M1512" s="395">
        <v>158</v>
      </c>
      <c r="N1512" s="395">
        <v>-251</v>
      </c>
      <c r="O1512" s="395">
        <v>596</v>
      </c>
      <c r="P1512" s="395">
        <v>0.78</v>
      </c>
      <c r="Q1512" s="395">
        <v>-761</v>
      </c>
      <c r="R1512" s="396">
        <v>2030</v>
      </c>
      <c r="S1512" s="396">
        <v>-3662</v>
      </c>
      <c r="T1512" s="396">
        <v>68059</v>
      </c>
      <c r="U1512" s="396">
        <v>-157077</v>
      </c>
      <c r="V1512" s="395">
        <v>12736.29</v>
      </c>
      <c r="W1512" s="395">
        <v>1698.73</v>
      </c>
      <c r="X1512" s="395">
        <v>77490</v>
      </c>
      <c r="Y1512" s="395">
        <v>19372.8</v>
      </c>
      <c r="Z1512" s="396">
        <v>-13224032</v>
      </c>
      <c r="AA1512" s="396">
        <v>-63568</v>
      </c>
      <c r="AB1512" s="396">
        <v>-924911</v>
      </c>
      <c r="AC1512" s="396">
        <v>10207916</v>
      </c>
    </row>
    <row r="1513" spans="1:29">
      <c r="A1513">
        <v>5704</v>
      </c>
      <c r="B1513" s="395" t="s">
        <v>7886</v>
      </c>
      <c r="C1513" s="395"/>
      <c r="D1513" s="396">
        <v>-64433</v>
      </c>
      <c r="E1513" s="396">
        <v>71643</v>
      </c>
      <c r="F1513" s="395">
        <v>-0.53</v>
      </c>
      <c r="G1513" s="396">
        <v>-136076</v>
      </c>
      <c r="H1513" s="396">
        <v>18308</v>
      </c>
      <c r="I1513" s="396">
        <v>2380234</v>
      </c>
      <c r="J1513" s="395">
        <v>143</v>
      </c>
      <c r="K1513" s="395">
        <v>57</v>
      </c>
      <c r="L1513" s="397">
        <v>0.39860000000000001</v>
      </c>
      <c r="M1513" s="395">
        <v>86</v>
      </c>
      <c r="N1513" s="395">
        <v>-451</v>
      </c>
      <c r="O1513" s="396">
        <v>1257</v>
      </c>
      <c r="P1513" s="395">
        <v>0.79</v>
      </c>
      <c r="Q1513" s="396">
        <v>-1582</v>
      </c>
      <c r="R1513" s="396">
        <v>3776</v>
      </c>
      <c r="S1513" s="396">
        <v>-4796</v>
      </c>
      <c r="T1513" s="396">
        <v>146636</v>
      </c>
      <c r="U1513" s="396">
        <v>-172832</v>
      </c>
      <c r="V1513" s="395">
        <v>13664.06</v>
      </c>
      <c r="W1513" s="395">
        <v>2520.58</v>
      </c>
      <c r="X1513" s="395">
        <v>76680</v>
      </c>
      <c r="Y1513" s="395">
        <v>21049.86</v>
      </c>
      <c r="Z1513" s="396">
        <v>364326</v>
      </c>
      <c r="AA1513" s="396">
        <v>-64433</v>
      </c>
      <c r="AB1513" s="396">
        <v>-2854553</v>
      </c>
      <c r="AC1513" s="396">
        <v>10207916</v>
      </c>
    </row>
    <row r="1514" spans="1:29">
      <c r="A1514">
        <v>6556</v>
      </c>
      <c r="B1514" s="395" t="s">
        <v>8128</v>
      </c>
      <c r="C1514" s="395"/>
      <c r="D1514" s="396">
        <v>-64635</v>
      </c>
      <c r="E1514" s="396">
        <v>18819</v>
      </c>
      <c r="F1514" s="395">
        <v>-0.23</v>
      </c>
      <c r="G1514" s="396">
        <v>-83454</v>
      </c>
      <c r="H1514" s="396">
        <v>3533</v>
      </c>
      <c r="I1514" s="396">
        <v>475822</v>
      </c>
      <c r="J1514" s="395">
        <v>14</v>
      </c>
      <c r="K1514" s="395">
        <v>5</v>
      </c>
      <c r="L1514" s="397">
        <v>0.35709999999999997</v>
      </c>
      <c r="M1514" s="395">
        <v>9</v>
      </c>
      <c r="N1514" s="396">
        <v>-4617</v>
      </c>
      <c r="O1514" s="396">
        <v>3764</v>
      </c>
      <c r="P1514" s="395">
        <v>0.41</v>
      </c>
      <c r="Q1514" s="396">
        <v>-9273</v>
      </c>
      <c r="R1514" s="396">
        <v>6417</v>
      </c>
      <c r="S1514" s="396">
        <v>-20977</v>
      </c>
      <c r="T1514" s="396">
        <v>31000</v>
      </c>
      <c r="U1514" s="396">
        <v>-89787</v>
      </c>
      <c r="V1514" s="395">
        <v>6241.29</v>
      </c>
      <c r="W1514" s="395">
        <v>5090.8</v>
      </c>
      <c r="X1514" s="395">
        <v>76950</v>
      </c>
      <c r="Y1514" s="395">
        <v>6880.44</v>
      </c>
      <c r="Z1514" s="396">
        <v>-4148890</v>
      </c>
      <c r="AA1514" s="396">
        <v>-64635</v>
      </c>
      <c r="AB1514" s="396">
        <v>22218125</v>
      </c>
      <c r="AC1514" s="396">
        <v>10207916</v>
      </c>
    </row>
    <row r="1515" spans="1:29">
      <c r="A1515">
        <v>1570</v>
      </c>
      <c r="B1515" s="395" t="s">
        <v>6818</v>
      </c>
      <c r="C1515" s="395"/>
      <c r="D1515" s="396">
        <v>-64834</v>
      </c>
      <c r="E1515" s="396">
        <v>88597</v>
      </c>
      <c r="F1515" s="395">
        <v>-0.57999999999999996</v>
      </c>
      <c r="G1515" s="396">
        <v>-153431</v>
      </c>
      <c r="H1515" s="396">
        <v>16739</v>
      </c>
      <c r="I1515" s="396">
        <v>1072807</v>
      </c>
      <c r="J1515" s="395">
        <v>232</v>
      </c>
      <c r="K1515" s="395">
        <v>167</v>
      </c>
      <c r="L1515" s="397">
        <v>0.7198</v>
      </c>
      <c r="M1515" s="395">
        <v>65</v>
      </c>
      <c r="N1515" s="395">
        <v>-279</v>
      </c>
      <c r="O1515" s="395">
        <v>531</v>
      </c>
      <c r="P1515" s="395">
        <v>0.23</v>
      </c>
      <c r="Q1515" s="396">
        <v>-2360</v>
      </c>
      <c r="R1515" s="396">
        <v>2133</v>
      </c>
      <c r="S1515" s="396">
        <v>-7140</v>
      </c>
      <c r="T1515" s="396">
        <v>81523</v>
      </c>
      <c r="U1515" s="396">
        <v>-171263</v>
      </c>
      <c r="V1515" s="395">
        <v>2823.81</v>
      </c>
      <c r="W1515" s="395">
        <v>1114.5</v>
      </c>
      <c r="X1515" s="395">
        <v>77490</v>
      </c>
      <c r="Y1515" s="395">
        <v>7215.42</v>
      </c>
      <c r="Z1515" s="396">
        <v>32723807</v>
      </c>
      <c r="AA1515" s="396">
        <v>-64834</v>
      </c>
      <c r="AB1515" s="396">
        <v>25444080</v>
      </c>
      <c r="AC1515" s="396">
        <v>10207916</v>
      </c>
    </row>
    <row r="1516" spans="1:29">
      <c r="A1516">
        <v>4414</v>
      </c>
      <c r="B1516" s="395" t="s">
        <v>7610</v>
      </c>
      <c r="C1516" s="395"/>
      <c r="D1516" s="396">
        <v>-64964</v>
      </c>
      <c r="E1516" s="396">
        <v>60041</v>
      </c>
      <c r="F1516" s="395">
        <v>-0.48</v>
      </c>
      <c r="G1516" s="396">
        <v>-125005</v>
      </c>
      <c r="H1516" s="396">
        <v>9214</v>
      </c>
      <c r="I1516" s="396">
        <v>766102</v>
      </c>
      <c r="J1516" s="395">
        <v>269</v>
      </c>
      <c r="K1516" s="395">
        <v>132</v>
      </c>
      <c r="L1516" s="397">
        <v>0.49070000000000003</v>
      </c>
      <c r="M1516" s="395">
        <v>137</v>
      </c>
      <c r="N1516" s="395">
        <v>-242</v>
      </c>
      <c r="O1516" s="395">
        <v>455</v>
      </c>
      <c r="P1516" s="395">
        <v>0.5</v>
      </c>
      <c r="Q1516" s="395">
        <v>-912</v>
      </c>
      <c r="R1516" s="396">
        <v>1478</v>
      </c>
      <c r="S1516" s="396">
        <v>-2880</v>
      </c>
      <c r="T1516" s="396">
        <v>105441</v>
      </c>
      <c r="U1516" s="396">
        <v>-102673</v>
      </c>
      <c r="V1516" s="395">
        <v>8959.77</v>
      </c>
      <c r="W1516" s="395">
        <v>3267.08</v>
      </c>
      <c r="X1516" s="395">
        <v>77490</v>
      </c>
      <c r="Y1516" s="395">
        <v>14444.71</v>
      </c>
      <c r="Z1516" s="396">
        <v>-20408466</v>
      </c>
      <c r="AA1516" s="396">
        <v>-64964</v>
      </c>
      <c r="AB1516" s="396">
        <v>-23112108</v>
      </c>
      <c r="AC1516" s="396">
        <v>10207916</v>
      </c>
    </row>
    <row r="1517" spans="1:29">
      <c r="A1517">
        <v>5344</v>
      </c>
      <c r="B1517" s="395" t="s">
        <v>7810</v>
      </c>
      <c r="C1517" s="395"/>
      <c r="D1517" s="396">
        <v>-65026</v>
      </c>
      <c r="E1517" s="396">
        <v>141196</v>
      </c>
      <c r="F1517" s="395">
        <v>-0.68</v>
      </c>
      <c r="G1517" s="396">
        <v>-206222</v>
      </c>
      <c r="H1517" s="396">
        <v>15476</v>
      </c>
      <c r="I1517" s="396">
        <v>833830</v>
      </c>
      <c r="J1517" s="395">
        <v>189</v>
      </c>
      <c r="K1517" s="395">
        <v>118</v>
      </c>
      <c r="L1517" s="397">
        <v>0.62429999999999997</v>
      </c>
      <c r="M1517" s="395">
        <v>71</v>
      </c>
      <c r="N1517" s="395">
        <v>-344</v>
      </c>
      <c r="O1517" s="396">
        <v>1197</v>
      </c>
      <c r="P1517" s="395">
        <v>0.41</v>
      </c>
      <c r="Q1517" s="396">
        <v>-2905</v>
      </c>
      <c r="R1517" s="396">
        <v>4303</v>
      </c>
      <c r="S1517" s="396">
        <v>-15224</v>
      </c>
      <c r="T1517" s="396">
        <v>129733</v>
      </c>
      <c r="U1517" s="396">
        <v>-153196</v>
      </c>
      <c r="V1517" s="395">
        <v>3049.93</v>
      </c>
      <c r="W1517" s="395">
        <v>1465.08</v>
      </c>
      <c r="X1517" s="395">
        <v>77490</v>
      </c>
      <c r="Y1517" s="395">
        <v>5683.92</v>
      </c>
      <c r="Z1517" s="396">
        <v>-29521305</v>
      </c>
      <c r="AA1517" s="396">
        <v>-65026</v>
      </c>
      <c r="AB1517" s="396">
        <v>29604096</v>
      </c>
      <c r="AC1517" s="396">
        <v>10207916</v>
      </c>
    </row>
    <row r="1518" spans="1:29">
      <c r="A1518">
        <v>3450</v>
      </c>
      <c r="B1518" s="395" t="s">
        <v>7428</v>
      </c>
      <c r="C1518" s="395"/>
      <c r="D1518" s="396">
        <v>-65684</v>
      </c>
      <c r="E1518" s="396">
        <v>395038</v>
      </c>
      <c r="F1518" s="395">
        <v>-0.86</v>
      </c>
      <c r="G1518" s="396">
        <v>-460722</v>
      </c>
      <c r="H1518" s="396">
        <v>62246</v>
      </c>
      <c r="I1518" s="396">
        <v>3244283</v>
      </c>
      <c r="J1518" s="395">
        <v>267</v>
      </c>
      <c r="K1518" s="395">
        <v>169</v>
      </c>
      <c r="L1518" s="397">
        <v>0.63300000000000001</v>
      </c>
      <c r="M1518" s="395">
        <v>98</v>
      </c>
      <c r="N1518" s="395">
        <v>-246</v>
      </c>
      <c r="O1518" s="396">
        <v>2338</v>
      </c>
      <c r="P1518" s="395">
        <v>0.5</v>
      </c>
      <c r="Q1518" s="396">
        <v>-4701</v>
      </c>
      <c r="R1518" s="396">
        <v>10482</v>
      </c>
      <c r="S1518" s="396">
        <v>-10066</v>
      </c>
      <c r="T1518" s="396">
        <v>443830</v>
      </c>
      <c r="U1518" s="396">
        <v>-382812</v>
      </c>
      <c r="V1518" s="395">
        <v>7085.6</v>
      </c>
      <c r="W1518" s="395">
        <v>4781.91</v>
      </c>
      <c r="X1518" s="395">
        <v>77490</v>
      </c>
      <c r="Y1518" s="395">
        <v>11058.29</v>
      </c>
      <c r="Z1518" s="396">
        <v>-18042033</v>
      </c>
      <c r="AA1518" s="396">
        <v>-65684</v>
      </c>
      <c r="AB1518" s="396">
        <v>-14115613</v>
      </c>
      <c r="AC1518" s="396">
        <v>10207916</v>
      </c>
    </row>
    <row r="1519" spans="1:29">
      <c r="A1519">
        <v>3652</v>
      </c>
      <c r="B1519" s="395" t="s">
        <v>7515</v>
      </c>
      <c r="C1519" s="395"/>
      <c r="D1519" s="396">
        <v>-66226</v>
      </c>
      <c r="E1519" s="396">
        <v>113256</v>
      </c>
      <c r="F1519" s="395">
        <v>-0.63</v>
      </c>
      <c r="G1519" s="396">
        <v>-179482</v>
      </c>
      <c r="H1519" s="396">
        <v>18176</v>
      </c>
      <c r="I1519" s="396">
        <v>1502170</v>
      </c>
      <c r="J1519" s="395">
        <v>202</v>
      </c>
      <c r="K1519" s="395">
        <v>120</v>
      </c>
      <c r="L1519" s="397">
        <v>0.59409999999999996</v>
      </c>
      <c r="M1519" s="395">
        <v>82</v>
      </c>
      <c r="N1519" s="395">
        <v>-328</v>
      </c>
      <c r="O1519" s="395">
        <v>944</v>
      </c>
      <c r="P1519" s="395">
        <v>0.43</v>
      </c>
      <c r="Q1519" s="396">
        <v>-2189</v>
      </c>
      <c r="R1519" s="396">
        <v>2868</v>
      </c>
      <c r="S1519" s="396">
        <v>-6946</v>
      </c>
      <c r="T1519" s="396">
        <v>115558</v>
      </c>
      <c r="U1519" s="396">
        <v>-173074</v>
      </c>
      <c r="V1519" s="395">
        <v>6672.36</v>
      </c>
      <c r="W1519" s="395">
        <v>2507.2399999999998</v>
      </c>
      <c r="X1519" s="395">
        <v>77490</v>
      </c>
      <c r="Y1519" s="395">
        <v>12767.66</v>
      </c>
      <c r="Z1519" s="396">
        <v>-18561687</v>
      </c>
      <c r="AA1519" s="396">
        <v>-66226</v>
      </c>
      <c r="AB1519" s="396">
        <v>1202805</v>
      </c>
      <c r="AC1519" s="396">
        <v>10207916</v>
      </c>
    </row>
    <row r="1520" spans="1:29">
      <c r="A1520">
        <v>3390</v>
      </c>
      <c r="B1520" s="395" t="s">
        <v>7414</v>
      </c>
      <c r="C1520" s="395"/>
      <c r="D1520" s="396">
        <v>-66610</v>
      </c>
      <c r="E1520" s="396">
        <v>118611</v>
      </c>
      <c r="F1520" s="395">
        <v>-0.64</v>
      </c>
      <c r="G1520" s="396">
        <v>-185221</v>
      </c>
      <c r="H1520" s="396">
        <v>17810</v>
      </c>
      <c r="I1520" s="396">
        <v>896761</v>
      </c>
      <c r="J1520" s="395">
        <v>236</v>
      </c>
      <c r="K1520" s="395">
        <v>165</v>
      </c>
      <c r="L1520" s="397">
        <v>0.69920000000000004</v>
      </c>
      <c r="M1520" s="395">
        <v>71</v>
      </c>
      <c r="N1520" s="395">
        <v>-282</v>
      </c>
      <c r="O1520" s="395">
        <v>719</v>
      </c>
      <c r="P1520" s="395">
        <v>0.28000000000000003</v>
      </c>
      <c r="Q1520" s="396">
        <v>-2609</v>
      </c>
      <c r="R1520" s="396">
        <v>2988</v>
      </c>
      <c r="S1520" s="396">
        <v>-10246</v>
      </c>
      <c r="T1520" s="396">
        <v>129997</v>
      </c>
      <c r="U1520" s="396">
        <v>-183475</v>
      </c>
      <c r="V1520" s="395">
        <v>3079.53</v>
      </c>
      <c r="W1520" s="395">
        <v>1621.42</v>
      </c>
      <c r="X1520" s="395">
        <v>77490</v>
      </c>
      <c r="Y1520" s="395">
        <v>6468.08</v>
      </c>
      <c r="Z1520" s="396">
        <v>-6805316</v>
      </c>
      <c r="AA1520" s="396">
        <v>-66610</v>
      </c>
      <c r="AB1520" s="396">
        <v>11949590</v>
      </c>
      <c r="AC1520" s="396">
        <v>10207916</v>
      </c>
    </row>
    <row r="1521" spans="1:29">
      <c r="A1521">
        <v>2903</v>
      </c>
      <c r="B1521" s="395" t="s">
        <v>7225</v>
      </c>
      <c r="C1521" s="395"/>
      <c r="D1521" s="396">
        <v>-68242</v>
      </c>
      <c r="E1521" s="396">
        <v>76913</v>
      </c>
      <c r="F1521" s="395">
        <v>-0.53</v>
      </c>
      <c r="G1521" s="396">
        <v>-145155</v>
      </c>
      <c r="H1521" s="396">
        <v>23429</v>
      </c>
      <c r="I1521" s="396">
        <v>3315071</v>
      </c>
      <c r="J1521" s="395">
        <v>263</v>
      </c>
      <c r="K1521" s="395">
        <v>101</v>
      </c>
      <c r="L1521" s="397">
        <v>0.38400000000000001</v>
      </c>
      <c r="M1521" s="395">
        <v>162</v>
      </c>
      <c r="N1521" s="395">
        <v>-259</v>
      </c>
      <c r="O1521" s="395">
        <v>762</v>
      </c>
      <c r="P1521" s="395">
        <v>0.85</v>
      </c>
      <c r="Q1521" s="395">
        <v>-896</v>
      </c>
      <c r="R1521" s="396">
        <v>2711</v>
      </c>
      <c r="S1521" s="396">
        <v>-2038</v>
      </c>
      <c r="T1521" s="396">
        <v>118968</v>
      </c>
      <c r="U1521" s="396">
        <v>-199005</v>
      </c>
      <c r="V1521" s="395">
        <v>15519.21</v>
      </c>
      <c r="W1521" s="395">
        <v>4941.67</v>
      </c>
      <c r="X1521" s="395">
        <v>77490</v>
      </c>
      <c r="Y1521" s="395">
        <v>22113.85</v>
      </c>
      <c r="Z1521" s="396">
        <v>-6786729</v>
      </c>
      <c r="AA1521" s="396">
        <v>-68242</v>
      </c>
      <c r="AB1521" s="396">
        <v>-3884765</v>
      </c>
      <c r="AC1521" s="396">
        <v>10207916</v>
      </c>
    </row>
    <row r="1522" spans="1:29">
      <c r="A1522">
        <v>4532</v>
      </c>
      <c r="B1522" s="395" t="s">
        <v>7634</v>
      </c>
      <c r="C1522" s="395"/>
      <c r="D1522" s="396">
        <v>-69753</v>
      </c>
      <c r="E1522" s="396">
        <v>67761</v>
      </c>
      <c r="F1522" s="395">
        <v>-0.49</v>
      </c>
      <c r="G1522" s="396">
        <v>-137514</v>
      </c>
      <c r="H1522" s="396">
        <v>20758</v>
      </c>
      <c r="I1522" s="396">
        <v>2884072</v>
      </c>
      <c r="J1522" s="395">
        <v>259</v>
      </c>
      <c r="K1522" s="395">
        <v>101</v>
      </c>
      <c r="L1522" s="397">
        <v>0.39</v>
      </c>
      <c r="M1522" s="395">
        <v>158</v>
      </c>
      <c r="N1522" s="395">
        <v>-269</v>
      </c>
      <c r="O1522" s="395">
        <v>671</v>
      </c>
      <c r="P1522" s="395">
        <v>0.77</v>
      </c>
      <c r="Q1522" s="395">
        <v>-870</v>
      </c>
      <c r="R1522" s="396">
        <v>2269</v>
      </c>
      <c r="S1522" s="396">
        <v>-4244</v>
      </c>
      <c r="T1522" s="396">
        <v>127262</v>
      </c>
      <c r="U1522" s="396">
        <v>-188540</v>
      </c>
      <c r="V1522" s="395">
        <v>15381.69</v>
      </c>
      <c r="W1522" s="395">
        <v>3574.3</v>
      </c>
      <c r="X1522" s="395">
        <v>77490</v>
      </c>
      <c r="Y1522" s="395">
        <v>22929.45</v>
      </c>
      <c r="Z1522" s="396">
        <v>-10425118</v>
      </c>
      <c r="AA1522" s="396">
        <v>-69753</v>
      </c>
      <c r="AB1522" s="396">
        <v>-5102791</v>
      </c>
      <c r="AC1522" s="396">
        <v>10207916</v>
      </c>
    </row>
    <row r="1523" spans="1:29">
      <c r="A1523">
        <v>3046</v>
      </c>
      <c r="B1523" s="395" t="s">
        <v>7284</v>
      </c>
      <c r="C1523" s="395"/>
      <c r="D1523" s="396">
        <v>-70941</v>
      </c>
      <c r="E1523" s="396">
        <v>137492</v>
      </c>
      <c r="F1523" s="395">
        <v>-0.66</v>
      </c>
      <c r="G1523" s="396">
        <v>-208433</v>
      </c>
      <c r="H1523" s="396">
        <v>18891</v>
      </c>
      <c r="I1523" s="396">
        <v>1192847</v>
      </c>
      <c r="J1523" s="395">
        <v>175</v>
      </c>
      <c r="K1523" s="395">
        <v>118</v>
      </c>
      <c r="L1523" s="397">
        <v>0.67430000000000001</v>
      </c>
      <c r="M1523" s="395">
        <v>56</v>
      </c>
      <c r="N1523" s="395">
        <v>-405</v>
      </c>
      <c r="O1523" s="396">
        <v>1165</v>
      </c>
      <c r="P1523" s="395">
        <v>0.31</v>
      </c>
      <c r="Q1523" s="396">
        <v>-3722</v>
      </c>
      <c r="R1523" s="396">
        <v>4169</v>
      </c>
      <c r="S1523" s="396">
        <v>-16659</v>
      </c>
      <c r="T1523" s="396">
        <v>133183</v>
      </c>
      <c r="U1523" s="396">
        <v>-240575</v>
      </c>
      <c r="V1523" s="395">
        <v>2833.66</v>
      </c>
      <c r="W1523" s="395">
        <v>1400.91</v>
      </c>
      <c r="X1523" s="395">
        <v>77490</v>
      </c>
      <c r="Y1523" s="395">
        <v>5879.09</v>
      </c>
      <c r="Z1523" s="396">
        <v>-780043</v>
      </c>
      <c r="AA1523" s="396">
        <v>-70941</v>
      </c>
      <c r="AB1523" s="396">
        <v>50019231</v>
      </c>
      <c r="AC1523" s="396">
        <v>10207916</v>
      </c>
    </row>
    <row r="1524" spans="1:29">
      <c r="A1524">
        <v>2506</v>
      </c>
      <c r="B1524" s="395" t="s">
        <v>7112</v>
      </c>
      <c r="C1524" s="395"/>
      <c r="D1524" s="396">
        <v>-75117</v>
      </c>
      <c r="E1524" s="396">
        <v>28543</v>
      </c>
      <c r="F1524" s="395">
        <v>-0.28000000000000003</v>
      </c>
      <c r="G1524" s="396">
        <v>-103660</v>
      </c>
      <c r="H1524" s="396">
        <v>9947</v>
      </c>
      <c r="I1524" s="396">
        <v>1475191</v>
      </c>
      <c r="J1524" s="395">
        <v>256</v>
      </c>
      <c r="K1524" s="395">
        <v>85</v>
      </c>
      <c r="L1524" s="397">
        <v>0.33200000000000002</v>
      </c>
      <c r="M1524" s="395">
        <v>171</v>
      </c>
      <c r="N1524" s="395">
        <v>-293</v>
      </c>
      <c r="O1524" s="395">
        <v>336</v>
      </c>
      <c r="P1524" s="395">
        <v>0.55000000000000004</v>
      </c>
      <c r="Q1524" s="395">
        <v>-606</v>
      </c>
      <c r="R1524" s="396">
        <v>1289</v>
      </c>
      <c r="S1524" s="396">
        <v>-1469</v>
      </c>
      <c r="T1524" s="396">
        <v>42931</v>
      </c>
      <c r="U1524" s="396">
        <v>-108818</v>
      </c>
      <c r="V1524" s="395">
        <v>15740.75</v>
      </c>
      <c r="W1524" s="395">
        <v>2840.11</v>
      </c>
      <c r="X1524" s="395">
        <v>77490</v>
      </c>
      <c r="Y1524" s="395">
        <v>22153.35</v>
      </c>
      <c r="Z1524" s="396">
        <v>-9521161</v>
      </c>
      <c r="AA1524" s="396">
        <v>-75117</v>
      </c>
      <c r="AB1524" s="396">
        <v>-2989815</v>
      </c>
      <c r="AC1524" s="396">
        <v>10207916</v>
      </c>
    </row>
    <row r="1525" spans="1:29">
      <c r="A1525">
        <v>2889</v>
      </c>
      <c r="B1525" s="395" t="s">
        <v>7219</v>
      </c>
      <c r="C1525" s="395"/>
      <c r="D1525" s="396">
        <v>-75701</v>
      </c>
      <c r="E1525" s="396">
        <v>51011</v>
      </c>
      <c r="F1525" s="395">
        <v>-0.4</v>
      </c>
      <c r="G1525" s="396">
        <v>-126712</v>
      </c>
      <c r="H1525" s="396">
        <v>17440</v>
      </c>
      <c r="I1525" s="396">
        <v>2368253</v>
      </c>
      <c r="J1525" s="395">
        <v>277</v>
      </c>
      <c r="K1525" s="395">
        <v>114</v>
      </c>
      <c r="L1525" s="397">
        <v>0.41160000000000002</v>
      </c>
      <c r="M1525" s="395">
        <v>163</v>
      </c>
      <c r="N1525" s="395">
        <v>-273</v>
      </c>
      <c r="O1525" s="395">
        <v>447</v>
      </c>
      <c r="P1525" s="395">
        <v>0.57999999999999996</v>
      </c>
      <c r="Q1525" s="395">
        <v>-777</v>
      </c>
      <c r="R1525" s="396">
        <v>1284</v>
      </c>
      <c r="S1525" s="396">
        <v>-1425</v>
      </c>
      <c r="T1525" s="396">
        <v>116385</v>
      </c>
      <c r="U1525" s="396">
        <v>-221993</v>
      </c>
      <c r="V1525" s="395">
        <v>12351.62</v>
      </c>
      <c r="W1525" s="395">
        <v>1637.18</v>
      </c>
      <c r="X1525" s="395">
        <v>77220</v>
      </c>
      <c r="Y1525" s="395">
        <v>19845.16</v>
      </c>
      <c r="Z1525" s="396">
        <v>2613416</v>
      </c>
      <c r="AA1525" s="396">
        <v>-75701</v>
      </c>
      <c r="AB1525" s="396">
        <v>12536459</v>
      </c>
      <c r="AC1525" s="396">
        <v>10207916</v>
      </c>
    </row>
    <row r="1526" spans="1:29">
      <c r="A1526">
        <v>1460</v>
      </c>
      <c r="B1526" s="395" t="s">
        <v>6768</v>
      </c>
      <c r="C1526" s="395"/>
      <c r="D1526" s="396">
        <v>-75831</v>
      </c>
      <c r="E1526" s="396">
        <v>45174</v>
      </c>
      <c r="F1526" s="395">
        <v>-0.37</v>
      </c>
      <c r="G1526" s="396">
        <v>-121004</v>
      </c>
      <c r="H1526" s="396">
        <v>6610</v>
      </c>
      <c r="I1526" s="396">
        <v>566553</v>
      </c>
      <c r="J1526" s="395">
        <v>170</v>
      </c>
      <c r="K1526" s="395">
        <v>80</v>
      </c>
      <c r="L1526" s="397">
        <v>0.47060000000000002</v>
      </c>
      <c r="M1526" s="395">
        <v>90</v>
      </c>
      <c r="N1526" s="395">
        <v>-446</v>
      </c>
      <c r="O1526" s="395">
        <v>565</v>
      </c>
      <c r="P1526" s="395">
        <v>0.42</v>
      </c>
      <c r="Q1526" s="396">
        <v>-1344</v>
      </c>
      <c r="R1526" s="396">
        <v>1505</v>
      </c>
      <c r="S1526" s="396">
        <v>-3860</v>
      </c>
      <c r="T1526" s="396">
        <v>43602</v>
      </c>
      <c r="U1526" s="396">
        <v>-101444</v>
      </c>
      <c r="V1526" s="395">
        <v>9124.49</v>
      </c>
      <c r="W1526" s="395">
        <v>2794.97</v>
      </c>
      <c r="X1526" s="395">
        <v>76140</v>
      </c>
      <c r="Y1526" s="395">
        <v>14750.73</v>
      </c>
      <c r="Z1526" s="396">
        <v>-30094826</v>
      </c>
      <c r="AA1526" s="396">
        <v>-75831</v>
      </c>
      <c r="AB1526" s="396">
        <v>-18482682</v>
      </c>
      <c r="AC1526" s="396">
        <v>10207916</v>
      </c>
    </row>
    <row r="1527" spans="1:29">
      <c r="A1527">
        <v>3264</v>
      </c>
      <c r="B1527" s="395" t="s">
        <v>7365</v>
      </c>
      <c r="C1527" s="395"/>
      <c r="D1527" s="396">
        <v>-76421</v>
      </c>
      <c r="E1527" s="396">
        <v>311467</v>
      </c>
      <c r="F1527" s="395">
        <v>-0.8</v>
      </c>
      <c r="G1527" s="396">
        <v>-387888</v>
      </c>
      <c r="H1527" s="396">
        <v>56914</v>
      </c>
      <c r="I1527" s="396">
        <v>4075787</v>
      </c>
      <c r="J1527" s="395">
        <v>277</v>
      </c>
      <c r="K1527" s="395">
        <v>169</v>
      </c>
      <c r="L1527" s="397">
        <v>0.61009999999999998</v>
      </c>
      <c r="M1527" s="395">
        <v>107</v>
      </c>
      <c r="N1527" s="395">
        <v>-276</v>
      </c>
      <c r="O1527" s="396">
        <v>1843</v>
      </c>
      <c r="P1527" s="395">
        <v>0.51</v>
      </c>
      <c r="Q1527" s="396">
        <v>-3625</v>
      </c>
      <c r="R1527" s="396">
        <v>7570</v>
      </c>
      <c r="S1527" s="396">
        <v>-9118</v>
      </c>
      <c r="T1527" s="396">
        <v>301435</v>
      </c>
      <c r="U1527" s="396">
        <v>-470347</v>
      </c>
      <c r="V1527" s="395">
        <v>4701.97</v>
      </c>
      <c r="W1527" s="395">
        <v>1517.25</v>
      </c>
      <c r="X1527" s="395">
        <v>77490</v>
      </c>
      <c r="Y1527" s="395">
        <v>9768.43</v>
      </c>
      <c r="Z1527" s="396">
        <v>-2726849</v>
      </c>
      <c r="AA1527" s="396">
        <v>-76421</v>
      </c>
      <c r="AB1527" s="396">
        <v>16106987</v>
      </c>
      <c r="AC1527" s="396">
        <v>10207916</v>
      </c>
    </row>
    <row r="1528" spans="1:29">
      <c r="A1528">
        <v>3052</v>
      </c>
      <c r="B1528" s="395" t="s">
        <v>7290</v>
      </c>
      <c r="C1528" s="395"/>
      <c r="D1528" s="396">
        <v>-79971</v>
      </c>
      <c r="E1528" s="396">
        <v>31851</v>
      </c>
      <c r="F1528" s="395">
        <v>-0.28000000000000003</v>
      </c>
      <c r="G1528" s="396">
        <v>-111822</v>
      </c>
      <c r="H1528" s="396">
        <v>11067</v>
      </c>
      <c r="I1528" s="396">
        <v>1646064</v>
      </c>
      <c r="J1528" s="395">
        <v>238</v>
      </c>
      <c r="K1528" s="395">
        <v>71</v>
      </c>
      <c r="L1528" s="397">
        <v>0.29830000000000001</v>
      </c>
      <c r="M1528" s="395">
        <v>167</v>
      </c>
      <c r="N1528" s="395">
        <v>-336</v>
      </c>
      <c r="O1528" s="395">
        <v>449</v>
      </c>
      <c r="P1528" s="395">
        <v>0.67</v>
      </c>
      <c r="Q1528" s="395">
        <v>-670</v>
      </c>
      <c r="R1528" s="396">
        <v>1503</v>
      </c>
      <c r="S1528" s="396">
        <v>-1963</v>
      </c>
      <c r="T1528" s="396">
        <v>49588</v>
      </c>
      <c r="U1528" s="396">
        <v>-105548</v>
      </c>
      <c r="V1528" s="395">
        <v>17104.95</v>
      </c>
      <c r="W1528" s="395">
        <v>1667.42</v>
      </c>
      <c r="X1528" s="395">
        <v>77490</v>
      </c>
      <c r="Y1528" s="395">
        <v>23668.21</v>
      </c>
      <c r="Z1528" s="396">
        <v>-11171485</v>
      </c>
      <c r="AA1528" s="396">
        <v>-79971</v>
      </c>
      <c r="AB1528" s="396">
        <v>-9074680</v>
      </c>
      <c r="AC1528" s="396">
        <v>10207916</v>
      </c>
    </row>
    <row r="1529" spans="1:29">
      <c r="A1529">
        <v>4924</v>
      </c>
      <c r="B1529" s="395" t="s">
        <v>7714</v>
      </c>
      <c r="C1529" s="395"/>
      <c r="D1529" s="396">
        <v>-80385</v>
      </c>
      <c r="E1529" s="396">
        <v>16110</v>
      </c>
      <c r="F1529" s="395">
        <v>-0.17</v>
      </c>
      <c r="G1529" s="396">
        <v>-96495</v>
      </c>
      <c r="H1529" s="396">
        <v>3985</v>
      </c>
      <c r="I1529" s="396">
        <v>453992</v>
      </c>
      <c r="J1529" s="395">
        <v>57</v>
      </c>
      <c r="K1529" s="395">
        <v>31</v>
      </c>
      <c r="L1529" s="397">
        <v>0.54390000000000005</v>
      </c>
      <c r="M1529" s="395">
        <v>26</v>
      </c>
      <c r="N1529" s="396">
        <v>-1410</v>
      </c>
      <c r="O1529" s="395">
        <v>520</v>
      </c>
      <c r="P1529" s="395">
        <v>0.14000000000000001</v>
      </c>
      <c r="Q1529" s="396">
        <v>-3711</v>
      </c>
      <c r="R1529" s="396">
        <v>1831</v>
      </c>
      <c r="S1529" s="396">
        <v>-11228</v>
      </c>
      <c r="T1529" s="396">
        <v>60755</v>
      </c>
      <c r="U1529" s="396">
        <v>-94143</v>
      </c>
      <c r="V1529" s="395">
        <v>16262.4</v>
      </c>
      <c r="W1529" s="395">
        <v>4244.1899999999996</v>
      </c>
      <c r="X1529" s="395">
        <v>75870</v>
      </c>
      <c r="Y1529" s="395">
        <v>30591.81</v>
      </c>
      <c r="Z1529" s="396">
        <v>-15160794</v>
      </c>
      <c r="AA1529" s="396">
        <v>-80385</v>
      </c>
      <c r="AB1529" s="396">
        <v>2048872</v>
      </c>
      <c r="AC1529" s="396">
        <v>10207916</v>
      </c>
    </row>
    <row r="1530" spans="1:29">
      <c r="A1530">
        <v>1341</v>
      </c>
      <c r="B1530" s="395" t="s">
        <v>6732</v>
      </c>
      <c r="C1530" s="395"/>
      <c r="D1530" s="396">
        <v>-80629</v>
      </c>
      <c r="E1530" s="396">
        <v>139394</v>
      </c>
      <c r="F1530" s="395">
        <v>-0.63</v>
      </c>
      <c r="G1530" s="396">
        <v>-220023</v>
      </c>
      <c r="H1530" s="396">
        <v>33629</v>
      </c>
      <c r="I1530" s="396">
        <v>4604711</v>
      </c>
      <c r="J1530" s="395">
        <v>118</v>
      </c>
      <c r="K1530" s="395">
        <v>65</v>
      </c>
      <c r="L1530" s="397">
        <v>0.55079999999999996</v>
      </c>
      <c r="M1530" s="395">
        <v>53</v>
      </c>
      <c r="N1530" s="395">
        <v>-683</v>
      </c>
      <c r="O1530" s="396">
        <v>2145</v>
      </c>
      <c r="P1530" s="395">
        <v>0.52</v>
      </c>
      <c r="Q1530" s="396">
        <v>-4151</v>
      </c>
      <c r="R1530" s="396">
        <v>7484</v>
      </c>
      <c r="S1530" s="396">
        <v>-13197</v>
      </c>
      <c r="T1530" s="396">
        <v>269315</v>
      </c>
      <c r="U1530" s="396">
        <v>-346695</v>
      </c>
      <c r="V1530" s="395">
        <v>18453.189999999999</v>
      </c>
      <c r="W1530" s="395">
        <v>9586.06</v>
      </c>
      <c r="X1530" s="395">
        <v>77220</v>
      </c>
      <c r="Y1530" s="395">
        <v>29327.98</v>
      </c>
      <c r="Z1530" s="396">
        <v>1426286</v>
      </c>
      <c r="AA1530" s="396">
        <v>-80629</v>
      </c>
      <c r="AB1530" s="396">
        <v>11842421</v>
      </c>
      <c r="AC1530" s="396">
        <v>10207916</v>
      </c>
    </row>
    <row r="1531" spans="1:29">
      <c r="A1531">
        <v>8429</v>
      </c>
      <c r="B1531" s="395" t="s">
        <v>8335</v>
      </c>
      <c r="C1531" s="395"/>
      <c r="D1531" s="396">
        <v>-80867</v>
      </c>
      <c r="E1531" s="396">
        <v>74933</v>
      </c>
      <c r="F1531" s="395">
        <v>-0.48</v>
      </c>
      <c r="G1531" s="396">
        <v>-155800</v>
      </c>
      <c r="H1531" s="396">
        <v>12587</v>
      </c>
      <c r="I1531" s="396">
        <v>861862</v>
      </c>
      <c r="J1531" s="395">
        <v>269</v>
      </c>
      <c r="K1531" s="395">
        <v>164</v>
      </c>
      <c r="L1531" s="397">
        <v>0.60970000000000002</v>
      </c>
      <c r="M1531" s="395">
        <v>105</v>
      </c>
      <c r="N1531" s="395">
        <v>-301</v>
      </c>
      <c r="O1531" s="395">
        <v>457</v>
      </c>
      <c r="P1531" s="395">
        <v>0.31</v>
      </c>
      <c r="Q1531" s="396">
        <v>-1484</v>
      </c>
      <c r="R1531" s="396">
        <v>1691</v>
      </c>
      <c r="S1531" s="396">
        <v>-4451</v>
      </c>
      <c r="T1531" s="396">
        <v>76752</v>
      </c>
      <c r="U1531" s="396">
        <v>-144525</v>
      </c>
      <c r="V1531" s="395">
        <v>4261.91</v>
      </c>
      <c r="W1531" s="395">
        <v>1286.92</v>
      </c>
      <c r="X1531" s="395">
        <v>77490</v>
      </c>
      <c r="Y1531" s="395">
        <v>8908.5499999999993</v>
      </c>
      <c r="Z1531" s="396">
        <v>-7903914</v>
      </c>
      <c r="AA1531" s="396">
        <v>-80867</v>
      </c>
      <c r="AB1531" s="396">
        <v>5873016</v>
      </c>
      <c r="AC1531" s="396">
        <v>10207916</v>
      </c>
    </row>
    <row r="1532" spans="1:29">
      <c r="A1532">
        <v>8354</v>
      </c>
      <c r="B1532" s="395" t="s">
        <v>8313</v>
      </c>
      <c r="C1532" s="395"/>
      <c r="D1532" s="396">
        <v>-81971</v>
      </c>
      <c r="E1532" s="396">
        <v>5508</v>
      </c>
      <c r="F1532" s="395">
        <v>-0.06</v>
      </c>
      <c r="G1532" s="396">
        <v>-87479</v>
      </c>
      <c r="H1532" s="396">
        <v>6761</v>
      </c>
      <c r="I1532" s="396">
        <v>1515351</v>
      </c>
      <c r="J1532" s="395">
        <v>112</v>
      </c>
      <c r="K1532" s="395">
        <v>13</v>
      </c>
      <c r="L1532" s="397">
        <v>0.11609999999999999</v>
      </c>
      <c r="M1532" s="395">
        <v>99</v>
      </c>
      <c r="N1532" s="395">
        <v>-732</v>
      </c>
      <c r="O1532" s="395">
        <v>424</v>
      </c>
      <c r="P1532" s="395">
        <v>0.48</v>
      </c>
      <c r="Q1532" s="395">
        <v>-884</v>
      </c>
      <c r="R1532" s="396">
        <v>1136</v>
      </c>
      <c r="S1532" s="396">
        <v>-2317</v>
      </c>
      <c r="T1532" s="396">
        <v>77278</v>
      </c>
      <c r="U1532" s="396">
        <v>-105961</v>
      </c>
      <c r="V1532" s="395">
        <v>33331.93</v>
      </c>
      <c r="W1532" s="395">
        <v>11260.15</v>
      </c>
      <c r="X1532" s="395">
        <v>75600</v>
      </c>
      <c r="Y1532" s="395">
        <v>36230.239999999998</v>
      </c>
      <c r="Z1532" s="396">
        <v>-6183073</v>
      </c>
      <c r="AA1532" s="396">
        <v>-81971</v>
      </c>
      <c r="AB1532" s="396">
        <v>-7109187</v>
      </c>
      <c r="AC1532" s="396">
        <v>10207916</v>
      </c>
    </row>
    <row r="1533" spans="1:29">
      <c r="A1533">
        <v>5483</v>
      </c>
      <c r="B1533" s="395" t="s">
        <v>7849</v>
      </c>
      <c r="C1533" s="395"/>
      <c r="D1533" s="396">
        <v>-85824</v>
      </c>
      <c r="E1533" s="396">
        <v>1308045</v>
      </c>
      <c r="F1533" s="395">
        <v>-0.94</v>
      </c>
      <c r="G1533" s="396">
        <v>-1393869</v>
      </c>
      <c r="H1533" s="396">
        <v>205708</v>
      </c>
      <c r="I1533" s="396">
        <v>6991725</v>
      </c>
      <c r="J1533" s="395">
        <v>274</v>
      </c>
      <c r="K1533" s="395">
        <v>200</v>
      </c>
      <c r="L1533" s="397">
        <v>0.72989999999999999</v>
      </c>
      <c r="M1533" s="395">
        <v>74</v>
      </c>
      <c r="N1533" s="395">
        <v>-313</v>
      </c>
      <c r="O1533" s="396">
        <v>6540</v>
      </c>
      <c r="P1533" s="395">
        <v>0.35</v>
      </c>
      <c r="Q1533" s="396">
        <v>-18836</v>
      </c>
      <c r="R1533" s="396">
        <v>20278</v>
      </c>
      <c r="S1533" s="396">
        <v>-69177</v>
      </c>
      <c r="T1533" s="396">
        <v>1215731</v>
      </c>
      <c r="U1533" s="396">
        <v>-1320718</v>
      </c>
      <c r="V1533" s="395">
        <v>2407.38</v>
      </c>
      <c r="W1533" s="395">
        <v>1342.8</v>
      </c>
      <c r="X1533" s="395">
        <v>77490</v>
      </c>
      <c r="Y1533" s="395">
        <v>5284.64</v>
      </c>
      <c r="Z1533" s="396">
        <v>-13076692</v>
      </c>
      <c r="AA1533" s="396">
        <v>-85824</v>
      </c>
      <c r="AB1533" s="396">
        <v>1364633</v>
      </c>
      <c r="AC1533" s="396">
        <v>10207916</v>
      </c>
    </row>
    <row r="1534" spans="1:29">
      <c r="A1534">
        <v>4554</v>
      </c>
      <c r="B1534" s="395" t="s">
        <v>7649</v>
      </c>
      <c r="C1534" s="395"/>
      <c r="D1534" s="396">
        <v>-85829</v>
      </c>
      <c r="E1534" s="396">
        <v>85462</v>
      </c>
      <c r="F1534" s="395">
        <v>-0.5</v>
      </c>
      <c r="G1534" s="396">
        <v>-171291</v>
      </c>
      <c r="H1534" s="396">
        <v>13452</v>
      </c>
      <c r="I1534" s="396">
        <v>1091305</v>
      </c>
      <c r="J1534" s="395">
        <v>109</v>
      </c>
      <c r="K1534" s="395">
        <v>62</v>
      </c>
      <c r="L1534" s="397">
        <v>0.56879999999999997</v>
      </c>
      <c r="M1534" s="395">
        <v>47</v>
      </c>
      <c r="N1534" s="395">
        <v>-787</v>
      </c>
      <c r="O1534" s="396">
        <v>1378</v>
      </c>
      <c r="P1534" s="395">
        <v>0.38</v>
      </c>
      <c r="Q1534" s="396">
        <v>-3644</v>
      </c>
      <c r="R1534" s="396">
        <v>3752</v>
      </c>
      <c r="S1534" s="396">
        <v>-13245</v>
      </c>
      <c r="T1534" s="396">
        <v>84738</v>
      </c>
      <c r="U1534" s="396">
        <v>-154899</v>
      </c>
      <c r="V1534" s="395">
        <v>4731.08</v>
      </c>
      <c r="W1534" s="395">
        <v>2524.61</v>
      </c>
      <c r="X1534" s="395">
        <v>77220</v>
      </c>
      <c r="Y1534" s="395">
        <v>7641.74</v>
      </c>
      <c r="Z1534" s="396">
        <v>-7928030</v>
      </c>
      <c r="AA1534" s="396">
        <v>-85829</v>
      </c>
      <c r="AB1534" s="396">
        <v>7889555</v>
      </c>
      <c r="AC1534" s="396">
        <v>10207916</v>
      </c>
    </row>
    <row r="1535" spans="1:29">
      <c r="A1535">
        <v>2429</v>
      </c>
      <c r="B1535" s="395" t="s">
        <v>7057</v>
      </c>
      <c r="C1535" s="395"/>
      <c r="D1535" s="396">
        <v>-87250</v>
      </c>
      <c r="E1535" s="396">
        <v>57317</v>
      </c>
      <c r="F1535" s="395">
        <v>-0.4</v>
      </c>
      <c r="G1535" s="396">
        <v>-144567</v>
      </c>
      <c r="H1535" s="396">
        <v>8200</v>
      </c>
      <c r="I1535" s="396">
        <v>637282</v>
      </c>
      <c r="J1535" s="395">
        <v>114</v>
      </c>
      <c r="K1535" s="395">
        <v>68</v>
      </c>
      <c r="L1535" s="397">
        <v>0.59650000000000003</v>
      </c>
      <c r="M1535" s="395">
        <v>46</v>
      </c>
      <c r="N1535" s="395">
        <v>-765</v>
      </c>
      <c r="O1535" s="395">
        <v>843</v>
      </c>
      <c r="P1535" s="395">
        <v>0.27</v>
      </c>
      <c r="Q1535" s="396">
        <v>-3143</v>
      </c>
      <c r="R1535" s="396">
        <v>2088</v>
      </c>
      <c r="S1535" s="396">
        <v>-10336</v>
      </c>
      <c r="T1535" s="396">
        <v>66376</v>
      </c>
      <c r="U1535" s="396">
        <v>-138864</v>
      </c>
      <c r="V1535" s="395">
        <v>8269.07</v>
      </c>
      <c r="W1535" s="395">
        <v>4251.96</v>
      </c>
      <c r="X1535" s="395">
        <v>76410</v>
      </c>
      <c r="Y1535" s="395">
        <v>14207.41</v>
      </c>
      <c r="Z1535" s="396">
        <v>-18021319</v>
      </c>
      <c r="AA1535" s="396">
        <v>-87250</v>
      </c>
      <c r="AB1535" s="396">
        <v>-10832930</v>
      </c>
      <c r="AC1535" s="396">
        <v>10207916</v>
      </c>
    </row>
    <row r="1536" spans="1:29">
      <c r="A1536">
        <v>6514</v>
      </c>
      <c r="B1536" s="395" t="s">
        <v>8111</v>
      </c>
      <c r="C1536" s="395"/>
      <c r="D1536" s="396">
        <v>-92070</v>
      </c>
      <c r="E1536" s="396">
        <v>339540</v>
      </c>
      <c r="F1536" s="395">
        <v>-0.79</v>
      </c>
      <c r="G1536" s="396">
        <v>-431610</v>
      </c>
      <c r="H1536" s="396">
        <v>40536</v>
      </c>
      <c r="I1536" s="396">
        <v>2886001</v>
      </c>
      <c r="J1536" s="395">
        <v>187</v>
      </c>
      <c r="K1536" s="395">
        <v>126</v>
      </c>
      <c r="L1536" s="397">
        <v>0.67379999999999995</v>
      </c>
      <c r="M1536" s="395">
        <v>61</v>
      </c>
      <c r="N1536" s="395">
        <v>-492</v>
      </c>
      <c r="O1536" s="396">
        <v>2695</v>
      </c>
      <c r="P1536" s="395">
        <v>0.38</v>
      </c>
      <c r="Q1536" s="396">
        <v>-7076</v>
      </c>
      <c r="R1536" s="396">
        <v>7423</v>
      </c>
      <c r="S1536" s="396">
        <v>-30098</v>
      </c>
      <c r="T1536" s="396">
        <v>403595</v>
      </c>
      <c r="U1536" s="396">
        <v>-585010</v>
      </c>
      <c r="V1536" s="395">
        <v>5866.17</v>
      </c>
      <c r="W1536" s="395">
        <v>5017.37</v>
      </c>
      <c r="X1536" s="395">
        <v>77490</v>
      </c>
      <c r="Y1536" s="395">
        <v>7619.43</v>
      </c>
      <c r="Z1536" s="396">
        <v>3695306</v>
      </c>
      <c r="AA1536" s="396">
        <v>-92070</v>
      </c>
      <c r="AB1536" s="396">
        <v>22306285</v>
      </c>
      <c r="AC1536" s="396">
        <v>10207916</v>
      </c>
    </row>
    <row r="1537" spans="1:29">
      <c r="A1537">
        <v>2841</v>
      </c>
      <c r="B1537" s="395" t="s">
        <v>7202</v>
      </c>
      <c r="C1537" s="395"/>
      <c r="D1537" s="396">
        <v>-93400</v>
      </c>
      <c r="E1537" s="396">
        <v>24038</v>
      </c>
      <c r="F1537" s="395">
        <v>-0.2</v>
      </c>
      <c r="G1537" s="396">
        <v>-117438</v>
      </c>
      <c r="H1537" s="396">
        <v>3540</v>
      </c>
      <c r="I1537" s="396">
        <v>384840</v>
      </c>
      <c r="J1537" s="395">
        <v>159</v>
      </c>
      <c r="K1537" s="395">
        <v>91</v>
      </c>
      <c r="L1537" s="397">
        <v>0.57230000000000003</v>
      </c>
      <c r="M1537" s="395">
        <v>68</v>
      </c>
      <c r="N1537" s="395">
        <v>-587</v>
      </c>
      <c r="O1537" s="395">
        <v>264</v>
      </c>
      <c r="P1537" s="395">
        <v>0.15</v>
      </c>
      <c r="Q1537" s="396">
        <v>-1727</v>
      </c>
      <c r="R1537" s="395">
        <v>976</v>
      </c>
      <c r="S1537" s="396">
        <v>-3642</v>
      </c>
      <c r="T1537" s="396">
        <v>101900</v>
      </c>
      <c r="U1537" s="396">
        <v>-167850</v>
      </c>
      <c r="V1537" s="395">
        <v>15960.89</v>
      </c>
      <c r="W1537" s="395">
        <v>5671.85</v>
      </c>
      <c r="X1537" s="395">
        <v>77490</v>
      </c>
      <c r="Y1537" s="395">
        <v>29730.06</v>
      </c>
      <c r="Z1537" s="396">
        <v>-26470865</v>
      </c>
      <c r="AA1537" s="396">
        <v>-93400</v>
      </c>
      <c r="AB1537" s="396">
        <v>-26002639</v>
      </c>
      <c r="AC1537" s="396">
        <v>10207916</v>
      </c>
    </row>
    <row r="1538" spans="1:29">
      <c r="A1538">
        <v>5457</v>
      </c>
      <c r="B1538" s="395" t="s">
        <v>7838</v>
      </c>
      <c r="C1538" s="395"/>
      <c r="D1538" s="396">
        <v>-93878</v>
      </c>
      <c r="E1538" s="396">
        <v>842160</v>
      </c>
      <c r="F1538" s="395">
        <v>-0.9</v>
      </c>
      <c r="G1538" s="396">
        <v>-936039</v>
      </c>
      <c r="H1538" s="396">
        <v>86019</v>
      </c>
      <c r="I1538" s="396">
        <v>3816018</v>
      </c>
      <c r="J1538" s="395">
        <v>267</v>
      </c>
      <c r="K1538" s="395">
        <v>174</v>
      </c>
      <c r="L1538" s="397">
        <v>0.65169999999999995</v>
      </c>
      <c r="M1538" s="395">
        <v>93</v>
      </c>
      <c r="N1538" s="395">
        <v>-352</v>
      </c>
      <c r="O1538" s="396">
        <v>4840</v>
      </c>
      <c r="P1538" s="395">
        <v>0.48</v>
      </c>
      <c r="Q1538" s="396">
        <v>-10065</v>
      </c>
      <c r="R1538" s="396">
        <v>22043</v>
      </c>
      <c r="S1538" s="396">
        <v>-27888</v>
      </c>
      <c r="T1538" s="396">
        <v>1111334</v>
      </c>
      <c r="U1538" s="396">
        <v>-726449</v>
      </c>
      <c r="V1538" s="395">
        <v>3971.51</v>
      </c>
      <c r="W1538" s="395">
        <v>2340.59</v>
      </c>
      <c r="X1538" s="395">
        <v>77490</v>
      </c>
      <c r="Y1538" s="395">
        <v>7022.91</v>
      </c>
      <c r="Z1538" s="396">
        <v>-30744883</v>
      </c>
      <c r="AA1538" s="396">
        <v>-93878</v>
      </c>
      <c r="AB1538" s="396">
        <v>-18394614</v>
      </c>
      <c r="AC1538" s="396">
        <v>10207916</v>
      </c>
    </row>
    <row r="1539" spans="1:29">
      <c r="A1539">
        <v>2905</v>
      </c>
      <c r="B1539" s="395" t="s">
        <v>7227</v>
      </c>
      <c r="C1539" s="395"/>
      <c r="D1539" s="396">
        <v>-94430</v>
      </c>
      <c r="E1539" s="396">
        <v>106938</v>
      </c>
      <c r="F1539" s="395">
        <v>-0.53</v>
      </c>
      <c r="G1539" s="396">
        <v>-201368</v>
      </c>
      <c r="H1539" s="396">
        <v>23962</v>
      </c>
      <c r="I1539" s="396">
        <v>2190647</v>
      </c>
      <c r="J1539" s="395">
        <v>269</v>
      </c>
      <c r="K1539" s="395">
        <v>158</v>
      </c>
      <c r="L1539" s="397">
        <v>0.58740000000000003</v>
      </c>
      <c r="M1539" s="395">
        <v>111</v>
      </c>
      <c r="N1539" s="395">
        <v>-351</v>
      </c>
      <c r="O1539" s="395">
        <v>677</v>
      </c>
      <c r="P1539" s="395">
        <v>0.37</v>
      </c>
      <c r="Q1539" s="396">
        <v>-1814</v>
      </c>
      <c r="R1539" s="396">
        <v>2714</v>
      </c>
      <c r="S1539" s="396">
        <v>-4894</v>
      </c>
      <c r="T1539" s="396">
        <v>109318</v>
      </c>
      <c r="U1539" s="396">
        <v>-229194</v>
      </c>
      <c r="V1539" s="395">
        <v>7438.58</v>
      </c>
      <c r="W1539" s="395">
        <v>2369.9699999999998</v>
      </c>
      <c r="X1539" s="395">
        <v>77490</v>
      </c>
      <c r="Y1539" s="395">
        <v>14653.35</v>
      </c>
      <c r="Z1539" s="396">
        <v>-4701784</v>
      </c>
      <c r="AA1539" s="396">
        <v>-94430</v>
      </c>
      <c r="AB1539" s="396">
        <v>2930430</v>
      </c>
      <c r="AC1539" s="396">
        <v>10207916</v>
      </c>
    </row>
    <row r="1540" spans="1:29">
      <c r="A1540">
        <v>8114</v>
      </c>
      <c r="B1540" s="395" t="s">
        <v>8282</v>
      </c>
      <c r="C1540" s="395"/>
      <c r="D1540" s="396">
        <v>-97933</v>
      </c>
      <c r="E1540" s="396">
        <v>579123</v>
      </c>
      <c r="F1540" s="395">
        <v>-0.86</v>
      </c>
      <c r="G1540" s="396">
        <v>-677056</v>
      </c>
      <c r="H1540" s="396">
        <v>87993</v>
      </c>
      <c r="I1540" s="396">
        <v>4444153</v>
      </c>
      <c r="J1540" s="395">
        <v>248</v>
      </c>
      <c r="K1540" s="395">
        <v>180</v>
      </c>
      <c r="L1540" s="397">
        <v>0.7258</v>
      </c>
      <c r="M1540" s="395">
        <v>68</v>
      </c>
      <c r="N1540" s="395">
        <v>-395</v>
      </c>
      <c r="O1540" s="396">
        <v>3217</v>
      </c>
      <c r="P1540" s="395">
        <v>0.32</v>
      </c>
      <c r="Q1540" s="396">
        <v>-9957</v>
      </c>
      <c r="R1540" s="396">
        <v>9109</v>
      </c>
      <c r="S1540" s="396">
        <v>-32650</v>
      </c>
      <c r="T1540" s="396">
        <v>763657</v>
      </c>
      <c r="U1540" s="396">
        <v>-609726</v>
      </c>
      <c r="V1540" s="395">
        <v>4887.17</v>
      </c>
      <c r="W1540" s="395">
        <v>3035.19</v>
      </c>
      <c r="X1540" s="395">
        <v>77220</v>
      </c>
      <c r="Y1540" s="395">
        <v>9789.44</v>
      </c>
      <c r="Z1540" s="396">
        <v>-5338619</v>
      </c>
      <c r="AA1540" s="396">
        <v>-97933</v>
      </c>
      <c r="AB1540" s="396">
        <v>11323666</v>
      </c>
      <c r="AC1540" s="396">
        <v>10207916</v>
      </c>
    </row>
    <row r="1541" spans="1:29">
      <c r="A1541">
        <v>2208</v>
      </c>
      <c r="B1541" s="395" t="s">
        <v>6957</v>
      </c>
      <c r="C1541" s="395"/>
      <c r="D1541" s="396">
        <v>-99386</v>
      </c>
      <c r="E1541" s="396">
        <v>100897</v>
      </c>
      <c r="F1541" s="395">
        <v>-0.5</v>
      </c>
      <c r="G1541" s="396">
        <v>-200283</v>
      </c>
      <c r="H1541" s="396">
        <v>24486</v>
      </c>
      <c r="I1541" s="396">
        <v>3304626</v>
      </c>
      <c r="J1541" s="395">
        <v>264</v>
      </c>
      <c r="K1541" s="395">
        <v>133</v>
      </c>
      <c r="L1541" s="397">
        <v>0.50380000000000003</v>
      </c>
      <c r="M1541" s="395">
        <v>131</v>
      </c>
      <c r="N1541" s="395">
        <v>-376</v>
      </c>
      <c r="O1541" s="395">
        <v>759</v>
      </c>
      <c r="P1541" s="395">
        <v>0.5</v>
      </c>
      <c r="Q1541" s="396">
        <v>-1529</v>
      </c>
      <c r="R1541" s="396">
        <v>2437</v>
      </c>
      <c r="S1541" s="396">
        <v>-6098</v>
      </c>
      <c r="T1541" s="396">
        <v>280209</v>
      </c>
      <c r="U1541" s="396">
        <v>-368929</v>
      </c>
      <c r="V1541" s="395">
        <v>13524.88</v>
      </c>
      <c r="W1541" s="395">
        <v>3931.82</v>
      </c>
      <c r="X1541" s="395">
        <v>77490</v>
      </c>
      <c r="Y1541" s="395">
        <v>23264.400000000001</v>
      </c>
      <c r="Z1541" s="396">
        <v>-7226336</v>
      </c>
      <c r="AA1541" s="396">
        <v>-99386</v>
      </c>
      <c r="AB1541" s="396">
        <v>-12610435</v>
      </c>
      <c r="AC1541" s="396">
        <v>10207916</v>
      </c>
    </row>
    <row r="1542" spans="1:29">
      <c r="A1542">
        <v>4163</v>
      </c>
      <c r="B1542" s="395" t="s">
        <v>7587</v>
      </c>
      <c r="C1542" s="395"/>
      <c r="D1542" s="396">
        <v>-99437</v>
      </c>
      <c r="E1542" s="396">
        <v>169022</v>
      </c>
      <c r="F1542" s="395">
        <v>-0.63</v>
      </c>
      <c r="G1542" s="396">
        <v>-268459</v>
      </c>
      <c r="H1542" s="396">
        <v>61542</v>
      </c>
      <c r="I1542" s="396">
        <v>8314600</v>
      </c>
      <c r="J1542" s="395">
        <v>175</v>
      </c>
      <c r="K1542" s="395">
        <v>73</v>
      </c>
      <c r="L1542" s="397">
        <v>0.41710000000000003</v>
      </c>
      <c r="M1542" s="395">
        <v>102</v>
      </c>
      <c r="N1542" s="395">
        <v>-568</v>
      </c>
      <c r="O1542" s="396">
        <v>2315</v>
      </c>
      <c r="P1542" s="395">
        <v>0.88</v>
      </c>
      <c r="Q1542" s="396">
        <v>-2632</v>
      </c>
      <c r="R1542" s="396">
        <v>7155</v>
      </c>
      <c r="S1542" s="396">
        <v>-6783</v>
      </c>
      <c r="T1542" s="396">
        <v>716408</v>
      </c>
      <c r="U1542" s="396">
        <v>-681700</v>
      </c>
      <c r="V1542" s="395">
        <v>14627.11</v>
      </c>
      <c r="W1542" s="395">
        <v>10605.32</v>
      </c>
      <c r="X1542" s="395">
        <v>77490</v>
      </c>
      <c r="Y1542" s="395">
        <v>17505.46</v>
      </c>
      <c r="Z1542" s="396">
        <v>-7850933</v>
      </c>
      <c r="AA1542" s="396">
        <v>-99437</v>
      </c>
      <c r="AB1542" s="396">
        <v>-6789494</v>
      </c>
      <c r="AC1542" s="396">
        <v>10207916</v>
      </c>
    </row>
    <row r="1543" spans="1:29">
      <c r="A1543">
        <v>1903</v>
      </c>
      <c r="B1543" s="395" t="s">
        <v>6899</v>
      </c>
      <c r="C1543" s="395"/>
      <c r="D1543" s="396">
        <v>-100861</v>
      </c>
      <c r="E1543" s="396">
        <v>358699</v>
      </c>
      <c r="F1543" s="395">
        <v>-0.78</v>
      </c>
      <c r="G1543" s="396">
        <v>-459560</v>
      </c>
      <c r="H1543" s="396">
        <v>62661</v>
      </c>
      <c r="I1543" s="396">
        <v>4603505</v>
      </c>
      <c r="J1543" s="395">
        <v>253</v>
      </c>
      <c r="K1543" s="395">
        <v>150</v>
      </c>
      <c r="L1543" s="397">
        <v>0.59289999999999998</v>
      </c>
      <c r="M1543" s="395">
        <v>103</v>
      </c>
      <c r="N1543" s="395">
        <v>-399</v>
      </c>
      <c r="O1543" s="396">
        <v>2391</v>
      </c>
      <c r="P1543" s="395">
        <v>0.54</v>
      </c>
      <c r="Q1543" s="396">
        <v>-4462</v>
      </c>
      <c r="R1543" s="396">
        <v>6608</v>
      </c>
      <c r="S1543" s="396">
        <v>-15475</v>
      </c>
      <c r="T1543" s="396">
        <v>366013</v>
      </c>
      <c r="U1543" s="396">
        <v>-455202</v>
      </c>
      <c r="V1543" s="395">
        <v>4924.92</v>
      </c>
      <c r="W1543" s="395">
        <v>1723.11</v>
      </c>
      <c r="X1543" s="395">
        <v>77490</v>
      </c>
      <c r="Y1543" s="395">
        <v>9587.75</v>
      </c>
      <c r="Z1543" s="396">
        <v>-6570312</v>
      </c>
      <c r="AA1543" s="396">
        <v>-100861</v>
      </c>
      <c r="AB1543" s="396">
        <v>715000</v>
      </c>
      <c r="AC1543" s="396">
        <v>10207916</v>
      </c>
    </row>
    <row r="1544" spans="1:29">
      <c r="A1544">
        <v>4770</v>
      </c>
      <c r="B1544" s="395" t="s">
        <v>7697</v>
      </c>
      <c r="C1544" s="395"/>
      <c r="D1544" s="396">
        <v>-104771</v>
      </c>
      <c r="E1544" s="396">
        <v>222533</v>
      </c>
      <c r="F1544" s="395">
        <v>-0.68</v>
      </c>
      <c r="G1544" s="396">
        <v>-327304</v>
      </c>
      <c r="H1544" s="396">
        <v>45271</v>
      </c>
      <c r="I1544" s="396">
        <v>3607659</v>
      </c>
      <c r="J1544" s="395">
        <v>43</v>
      </c>
      <c r="K1544" s="395">
        <v>24</v>
      </c>
      <c r="L1544" s="397">
        <v>0.55810000000000004</v>
      </c>
      <c r="M1544" s="395">
        <v>19</v>
      </c>
      <c r="N1544" s="396">
        <v>-2437</v>
      </c>
      <c r="O1544" s="396">
        <v>9272</v>
      </c>
      <c r="P1544" s="395">
        <v>0.54</v>
      </c>
      <c r="Q1544" s="396">
        <v>-17227</v>
      </c>
      <c r="R1544" s="396">
        <v>23934</v>
      </c>
      <c r="S1544" s="396">
        <v>-30998</v>
      </c>
      <c r="T1544" s="396">
        <v>237037</v>
      </c>
      <c r="U1544" s="396">
        <v>-324488</v>
      </c>
      <c r="V1544" s="395">
        <v>1666.35</v>
      </c>
      <c r="W1544" s="395">
        <v>707.88</v>
      </c>
      <c r="X1544" s="395">
        <v>13500</v>
      </c>
      <c r="Y1544" s="395">
        <v>2877.05</v>
      </c>
      <c r="Z1544" s="396">
        <v>-6389465</v>
      </c>
      <c r="AA1544" s="396">
        <v>-104771</v>
      </c>
      <c r="AB1544" s="396">
        <v>-5943208</v>
      </c>
      <c r="AC1544" s="396">
        <v>10207916</v>
      </c>
    </row>
    <row r="1545" spans="1:29">
      <c r="A1545">
        <v>6616</v>
      </c>
      <c r="B1545" s="395" t="s">
        <v>8158</v>
      </c>
      <c r="C1545" s="395"/>
      <c r="D1545" s="396">
        <v>-104823</v>
      </c>
      <c r="E1545" s="396">
        <v>12689</v>
      </c>
      <c r="F1545" s="395">
        <v>-0.11</v>
      </c>
      <c r="G1545" s="396">
        <v>-117512</v>
      </c>
      <c r="H1545" s="396">
        <v>5143</v>
      </c>
      <c r="I1545" s="396">
        <v>1039967</v>
      </c>
      <c r="J1545" s="395">
        <v>58</v>
      </c>
      <c r="K1545" s="395">
        <v>20</v>
      </c>
      <c r="L1545" s="397">
        <v>0.3448</v>
      </c>
      <c r="M1545" s="395">
        <v>38</v>
      </c>
      <c r="N1545" s="396">
        <v>-1807</v>
      </c>
      <c r="O1545" s="395">
        <v>634</v>
      </c>
      <c r="P1545" s="395">
        <v>0.21</v>
      </c>
      <c r="Q1545" s="396">
        <v>-3092</v>
      </c>
      <c r="R1545" s="396">
        <v>1283</v>
      </c>
      <c r="S1545" s="396">
        <v>-9120</v>
      </c>
      <c r="T1545" s="396">
        <v>81845</v>
      </c>
      <c r="U1545" s="396">
        <v>-165804</v>
      </c>
      <c r="V1545" s="395">
        <v>21376.71</v>
      </c>
      <c r="W1545" s="395">
        <v>4287.8500000000004</v>
      </c>
      <c r="X1545" s="395">
        <v>72090</v>
      </c>
      <c r="Y1545" s="395">
        <v>30370.84</v>
      </c>
      <c r="Z1545" s="396">
        <v>-11236165</v>
      </c>
      <c r="AA1545" s="396">
        <v>-104823</v>
      </c>
      <c r="AB1545" s="396">
        <v>-15288136</v>
      </c>
      <c r="AC1545" s="396">
        <v>10207916</v>
      </c>
    </row>
    <row r="1546" spans="1:29">
      <c r="A1546">
        <v>1909</v>
      </c>
      <c r="B1546" s="395" t="s">
        <v>6904</v>
      </c>
      <c r="C1546" s="395"/>
      <c r="D1546" s="396">
        <v>-107062</v>
      </c>
      <c r="E1546" s="396">
        <v>182783</v>
      </c>
      <c r="F1546" s="395">
        <v>-0.63</v>
      </c>
      <c r="G1546" s="396">
        <v>-289845</v>
      </c>
      <c r="H1546" s="396">
        <v>28162</v>
      </c>
      <c r="I1546" s="396">
        <v>1830216</v>
      </c>
      <c r="J1546" s="395">
        <v>281</v>
      </c>
      <c r="K1546" s="395">
        <v>162</v>
      </c>
      <c r="L1546" s="397">
        <v>0.57650000000000001</v>
      </c>
      <c r="M1546" s="395">
        <v>119</v>
      </c>
      <c r="N1546" s="395">
        <v>-381</v>
      </c>
      <c r="O1546" s="396">
        <v>1128</v>
      </c>
      <c r="P1546" s="395">
        <v>0.46</v>
      </c>
      <c r="Q1546" s="396">
        <v>-2436</v>
      </c>
      <c r="R1546" s="396">
        <v>3365</v>
      </c>
      <c r="S1546" s="396">
        <v>-5044</v>
      </c>
      <c r="T1546" s="396">
        <v>157710</v>
      </c>
      <c r="U1546" s="396">
        <v>-361648</v>
      </c>
      <c r="V1546" s="395">
        <v>5016.8500000000004</v>
      </c>
      <c r="W1546" s="395">
        <v>1562.75</v>
      </c>
      <c r="X1546" s="395">
        <v>77490</v>
      </c>
      <c r="Y1546" s="395">
        <v>9719.08</v>
      </c>
      <c r="Z1546" s="396">
        <v>-18235011</v>
      </c>
      <c r="AA1546" s="396">
        <v>-107062</v>
      </c>
      <c r="AB1546" s="396">
        <v>-4799686</v>
      </c>
      <c r="AC1546" s="396">
        <v>10207916</v>
      </c>
    </row>
    <row r="1547" spans="1:29">
      <c r="A1547">
        <v>4944</v>
      </c>
      <c r="B1547" s="395" t="s">
        <v>7725</v>
      </c>
      <c r="C1547" s="395"/>
      <c r="D1547" s="396">
        <v>-108148</v>
      </c>
      <c r="E1547" s="396">
        <v>4338</v>
      </c>
      <c r="F1547" s="395">
        <v>-0.04</v>
      </c>
      <c r="G1547" s="396">
        <v>-112486</v>
      </c>
      <c r="H1547" s="396">
        <v>1798</v>
      </c>
      <c r="I1547" s="396">
        <v>470222</v>
      </c>
      <c r="J1547" s="395">
        <v>16</v>
      </c>
      <c r="K1547" s="395">
        <v>2</v>
      </c>
      <c r="L1547" s="397">
        <v>0.125</v>
      </c>
      <c r="M1547" s="395">
        <v>14</v>
      </c>
      <c r="N1547" s="396">
        <v>-6759</v>
      </c>
      <c r="O1547" s="396">
        <v>2169</v>
      </c>
      <c r="P1547" s="395">
        <v>0.27</v>
      </c>
      <c r="Q1547" s="396">
        <v>-8035</v>
      </c>
      <c r="R1547" s="396">
        <v>3660</v>
      </c>
      <c r="S1547" s="396">
        <v>-17482</v>
      </c>
      <c r="T1547" s="396">
        <v>75459</v>
      </c>
      <c r="U1547" s="396">
        <v>-128508</v>
      </c>
      <c r="V1547" s="395">
        <v>26412</v>
      </c>
      <c r="W1547" s="395">
        <v>10124.5</v>
      </c>
      <c r="X1547" s="395">
        <v>76410</v>
      </c>
      <c r="Y1547" s="395">
        <v>28738.79</v>
      </c>
      <c r="Z1547" s="396">
        <v>-19731444</v>
      </c>
      <c r="AA1547" s="396">
        <v>-108148</v>
      </c>
      <c r="AB1547" s="396">
        <v>-14300296</v>
      </c>
      <c r="AC1547" s="396">
        <v>10207916</v>
      </c>
    </row>
    <row r="1548" spans="1:29">
      <c r="A1548">
        <v>9904</v>
      </c>
      <c r="B1548" s="395" t="s">
        <v>8393</v>
      </c>
      <c r="C1548" s="395"/>
      <c r="D1548" s="396">
        <v>-109692</v>
      </c>
      <c r="E1548" s="396">
        <v>202397</v>
      </c>
      <c r="F1548" s="395">
        <v>-0.65</v>
      </c>
      <c r="G1548" s="396">
        <v>-312089</v>
      </c>
      <c r="H1548" s="396">
        <v>37592</v>
      </c>
      <c r="I1548" s="396">
        <v>2756186</v>
      </c>
      <c r="J1548" s="395">
        <v>282</v>
      </c>
      <c r="K1548" s="395">
        <v>156</v>
      </c>
      <c r="L1548" s="397">
        <v>0.55320000000000003</v>
      </c>
      <c r="M1548" s="395">
        <v>126</v>
      </c>
      <c r="N1548" s="395">
        <v>-389</v>
      </c>
      <c r="O1548" s="396">
        <v>1297</v>
      </c>
      <c r="P1548" s="395">
        <v>0.52</v>
      </c>
      <c r="Q1548" s="396">
        <v>-2477</v>
      </c>
      <c r="R1548" s="396">
        <v>3621</v>
      </c>
      <c r="S1548" s="396">
        <v>-5130</v>
      </c>
      <c r="T1548" s="396">
        <v>227230</v>
      </c>
      <c r="U1548" s="396">
        <v>-288968</v>
      </c>
      <c r="V1548" s="395">
        <v>7606.97</v>
      </c>
      <c r="W1548" s="395">
        <v>3567.57</v>
      </c>
      <c r="X1548" s="395">
        <v>77490</v>
      </c>
      <c r="Y1548" s="395">
        <v>12608.13</v>
      </c>
      <c r="Z1548" s="396">
        <v>-5575954</v>
      </c>
      <c r="AA1548" s="396">
        <v>-109692</v>
      </c>
      <c r="AB1548" s="396">
        <v>-1392245</v>
      </c>
      <c r="AC1548" s="396">
        <v>10207916</v>
      </c>
    </row>
    <row r="1549" spans="1:29">
      <c r="A1549">
        <v>5907</v>
      </c>
      <c r="B1549" s="395" t="s">
        <v>7899</v>
      </c>
      <c r="C1549" s="395"/>
      <c r="D1549" s="396">
        <v>-112256</v>
      </c>
      <c r="E1549" s="396">
        <v>82371</v>
      </c>
      <c r="F1549" s="395">
        <v>-0.42</v>
      </c>
      <c r="G1549" s="396">
        <v>-194627</v>
      </c>
      <c r="H1549" s="396">
        <v>18827</v>
      </c>
      <c r="I1549" s="396">
        <v>2352220</v>
      </c>
      <c r="J1549" s="395">
        <v>239</v>
      </c>
      <c r="K1549" s="395">
        <v>101</v>
      </c>
      <c r="L1549" s="397">
        <v>0.42259999999999998</v>
      </c>
      <c r="M1549" s="395">
        <v>137</v>
      </c>
      <c r="N1549" s="395">
        <v>-470</v>
      </c>
      <c r="O1549" s="395">
        <v>816</v>
      </c>
      <c r="P1549" s="395">
        <v>0.56999999999999995</v>
      </c>
      <c r="Q1549" s="396">
        <v>-1421</v>
      </c>
      <c r="R1549" s="396">
        <v>2772</v>
      </c>
      <c r="S1549" s="396">
        <v>-7262</v>
      </c>
      <c r="T1549" s="396">
        <v>94548</v>
      </c>
      <c r="U1549" s="396">
        <v>-232932</v>
      </c>
      <c r="V1549" s="395">
        <v>13772.52</v>
      </c>
      <c r="W1549" s="395">
        <v>2572.2800000000002</v>
      </c>
      <c r="X1549" s="395">
        <v>77490</v>
      </c>
      <c r="Y1549" s="395">
        <v>22117.89</v>
      </c>
      <c r="Z1549" s="396">
        <v>-15945506</v>
      </c>
      <c r="AA1549" s="396">
        <v>-112256</v>
      </c>
      <c r="AB1549" s="396">
        <v>-6404926</v>
      </c>
      <c r="AC1549" s="396">
        <v>10207916</v>
      </c>
    </row>
    <row r="1550" spans="1:29">
      <c r="A1550">
        <v>6243</v>
      </c>
      <c r="B1550" s="395" t="s">
        <v>8027</v>
      </c>
      <c r="C1550" s="395"/>
      <c r="D1550" s="396">
        <v>-114295</v>
      </c>
      <c r="E1550" s="396">
        <v>199809</v>
      </c>
      <c r="F1550" s="395">
        <v>-0.64</v>
      </c>
      <c r="G1550" s="396">
        <v>-314104</v>
      </c>
      <c r="H1550" s="396">
        <v>26695</v>
      </c>
      <c r="I1550" s="396">
        <v>1680012</v>
      </c>
      <c r="J1550" s="395">
        <v>228</v>
      </c>
      <c r="K1550" s="395">
        <v>156</v>
      </c>
      <c r="L1550" s="397">
        <v>0.68420000000000003</v>
      </c>
      <c r="M1550" s="395">
        <v>72</v>
      </c>
      <c r="N1550" s="395">
        <v>-501</v>
      </c>
      <c r="O1550" s="396">
        <v>1281</v>
      </c>
      <c r="P1550" s="395">
        <v>0.28999999999999998</v>
      </c>
      <c r="Q1550" s="396">
        <v>-4363</v>
      </c>
      <c r="R1550" s="396">
        <v>5970</v>
      </c>
      <c r="S1550" s="396">
        <v>-20210</v>
      </c>
      <c r="T1550" s="396">
        <v>180021</v>
      </c>
      <c r="U1550" s="396">
        <v>-292142</v>
      </c>
      <c r="V1550" s="395">
        <v>2406.92</v>
      </c>
      <c r="W1550" s="395">
        <v>1062.76</v>
      </c>
      <c r="X1550" s="395">
        <v>76140</v>
      </c>
      <c r="Y1550" s="395">
        <v>5319.25</v>
      </c>
      <c r="Z1550" s="396">
        <v>-5674412</v>
      </c>
      <c r="AA1550" s="396">
        <v>-114295</v>
      </c>
      <c r="AB1550" s="396">
        <v>23302560</v>
      </c>
      <c r="AC1550" s="396">
        <v>10207916</v>
      </c>
    </row>
    <row r="1551" spans="1:29">
      <c r="A1551">
        <v>1304</v>
      </c>
      <c r="B1551" s="395" t="s">
        <v>6710</v>
      </c>
      <c r="C1551" s="395"/>
      <c r="D1551" s="396">
        <v>-117270</v>
      </c>
      <c r="E1551" s="396">
        <v>191939</v>
      </c>
      <c r="F1551" s="395">
        <v>-0.62</v>
      </c>
      <c r="G1551" s="396">
        <v>-309208</v>
      </c>
      <c r="H1551" s="396">
        <v>33539</v>
      </c>
      <c r="I1551" s="396">
        <v>2760313</v>
      </c>
      <c r="J1551" s="395">
        <v>270</v>
      </c>
      <c r="K1551" s="395">
        <v>158</v>
      </c>
      <c r="L1551" s="397">
        <v>0.58520000000000005</v>
      </c>
      <c r="M1551" s="395">
        <v>112</v>
      </c>
      <c r="N1551" s="395">
        <v>-434</v>
      </c>
      <c r="O1551" s="396">
        <v>1215</v>
      </c>
      <c r="P1551" s="395">
        <v>0.44</v>
      </c>
      <c r="Q1551" s="396">
        <v>-2761</v>
      </c>
      <c r="R1551" s="396">
        <v>4371</v>
      </c>
      <c r="S1551" s="396">
        <v>-9425</v>
      </c>
      <c r="T1551" s="396">
        <v>328547</v>
      </c>
      <c r="U1551" s="396">
        <v>-362669</v>
      </c>
      <c r="V1551" s="395">
        <v>6023.4</v>
      </c>
      <c r="W1551" s="395">
        <v>1970.25</v>
      </c>
      <c r="X1551" s="395">
        <v>77490</v>
      </c>
      <c r="Y1551" s="395">
        <v>11741.23</v>
      </c>
      <c r="Z1551" s="396">
        <v>-2082236</v>
      </c>
      <c r="AA1551" s="396">
        <v>-117270</v>
      </c>
      <c r="AB1551" s="396">
        <v>14375368</v>
      </c>
      <c r="AC1551" s="396">
        <v>10207916</v>
      </c>
    </row>
    <row r="1552" spans="1:29">
      <c r="A1552">
        <v>1525</v>
      </c>
      <c r="B1552" s="395" t="s">
        <v>6797</v>
      </c>
      <c r="C1552" s="395"/>
      <c r="D1552" s="396">
        <v>-118653</v>
      </c>
      <c r="E1552" s="396">
        <v>361271</v>
      </c>
      <c r="F1552" s="395">
        <v>-0.75</v>
      </c>
      <c r="G1552" s="396">
        <v>-479924</v>
      </c>
      <c r="H1552" s="396">
        <v>56415</v>
      </c>
      <c r="I1552" s="396">
        <v>5799599</v>
      </c>
      <c r="J1552" s="395">
        <v>209</v>
      </c>
      <c r="K1552" s="395">
        <v>96</v>
      </c>
      <c r="L1552" s="397">
        <v>0.45929999999999999</v>
      </c>
      <c r="M1552" s="395">
        <v>113</v>
      </c>
      <c r="N1552" s="395">
        <v>-568</v>
      </c>
      <c r="O1552" s="396">
        <v>3763</v>
      </c>
      <c r="P1552" s="395">
        <v>0.89</v>
      </c>
      <c r="Q1552" s="396">
        <v>-4247</v>
      </c>
      <c r="R1552" s="396">
        <v>15936</v>
      </c>
      <c r="S1552" s="396">
        <v>-13699</v>
      </c>
      <c r="T1552" s="396">
        <v>616112</v>
      </c>
      <c r="U1552" s="396">
        <v>-486466</v>
      </c>
      <c r="V1552" s="395">
        <v>13737.03</v>
      </c>
      <c r="W1552" s="395">
        <v>3519.57</v>
      </c>
      <c r="X1552" s="395">
        <v>77490</v>
      </c>
      <c r="Y1552" s="395">
        <v>22417.35</v>
      </c>
      <c r="Z1552" s="396">
        <v>-15101649</v>
      </c>
      <c r="AA1552" s="396">
        <v>-118653</v>
      </c>
      <c r="AB1552" s="396">
        <v>-5698349</v>
      </c>
      <c r="AC1552" s="396">
        <v>10207916</v>
      </c>
    </row>
    <row r="1553" spans="1:29">
      <c r="A1553">
        <v>2855</v>
      </c>
      <c r="B1553" s="395" t="s">
        <v>7208</v>
      </c>
      <c r="C1553" s="395"/>
      <c r="D1553" s="396">
        <v>-119516</v>
      </c>
      <c r="E1553" s="396">
        <v>82967</v>
      </c>
      <c r="F1553" s="395">
        <v>-0.41</v>
      </c>
      <c r="G1553" s="396">
        <v>-202483</v>
      </c>
      <c r="H1553" s="396">
        <v>24989</v>
      </c>
      <c r="I1553" s="396">
        <v>3493781</v>
      </c>
      <c r="J1553" s="395">
        <v>263</v>
      </c>
      <c r="K1553" s="395">
        <v>116</v>
      </c>
      <c r="L1553" s="397">
        <v>0.44109999999999999</v>
      </c>
      <c r="M1553" s="395">
        <v>147</v>
      </c>
      <c r="N1553" s="395">
        <v>-454</v>
      </c>
      <c r="O1553" s="395">
        <v>715</v>
      </c>
      <c r="P1553" s="395">
        <v>0.52</v>
      </c>
      <c r="Q1553" s="396">
        <v>-1377</v>
      </c>
      <c r="R1553" s="396">
        <v>3197</v>
      </c>
      <c r="S1553" s="396">
        <v>-3760</v>
      </c>
      <c r="T1553" s="396">
        <v>323307</v>
      </c>
      <c r="U1553" s="396">
        <v>-507595</v>
      </c>
      <c r="V1553" s="395">
        <v>13769.7</v>
      </c>
      <c r="W1553" s="395">
        <v>2342.09</v>
      </c>
      <c r="X1553" s="395">
        <v>77490</v>
      </c>
      <c r="Y1553" s="395">
        <v>22787.4</v>
      </c>
      <c r="Z1553" s="396">
        <v>2392858</v>
      </c>
      <c r="AA1553" s="396">
        <v>-119516</v>
      </c>
      <c r="AB1553" s="396">
        <v>15264537</v>
      </c>
      <c r="AC1553" s="396">
        <v>10207916</v>
      </c>
    </row>
    <row r="1554" spans="1:29">
      <c r="A1554">
        <v>6573</v>
      </c>
      <c r="B1554" s="395" t="s">
        <v>8135</v>
      </c>
      <c r="C1554" s="395"/>
      <c r="D1554" s="396">
        <v>-119595</v>
      </c>
      <c r="E1554" s="396">
        <v>148040</v>
      </c>
      <c r="F1554" s="395">
        <v>-0.55000000000000004</v>
      </c>
      <c r="G1554" s="396">
        <v>-267635</v>
      </c>
      <c r="H1554" s="396">
        <v>20795</v>
      </c>
      <c r="I1554" s="396">
        <v>1185857</v>
      </c>
      <c r="J1554" s="395">
        <v>250</v>
      </c>
      <c r="K1554" s="395">
        <v>161</v>
      </c>
      <c r="L1554" s="397">
        <v>0.64400000000000002</v>
      </c>
      <c r="M1554" s="395">
        <v>89</v>
      </c>
      <c r="N1554" s="395">
        <v>-478</v>
      </c>
      <c r="O1554" s="395">
        <v>920</v>
      </c>
      <c r="P1554" s="395">
        <v>0.31</v>
      </c>
      <c r="Q1554" s="396">
        <v>-3007</v>
      </c>
      <c r="R1554" s="396">
        <v>4235</v>
      </c>
      <c r="S1554" s="396">
        <v>-8986</v>
      </c>
      <c r="T1554" s="396">
        <v>132252</v>
      </c>
      <c r="U1554" s="396">
        <v>-237654</v>
      </c>
      <c r="V1554" s="395">
        <v>3395.71</v>
      </c>
      <c r="W1554" s="395">
        <v>735.24</v>
      </c>
      <c r="X1554" s="395">
        <v>77490</v>
      </c>
      <c r="Y1554" s="395">
        <v>8208.4599999999991</v>
      </c>
      <c r="Z1554" s="396">
        <v>681048</v>
      </c>
      <c r="AA1554" s="396">
        <v>-119595</v>
      </c>
      <c r="AB1554" s="396">
        <v>5710526</v>
      </c>
      <c r="AC1554" s="396">
        <v>10207916</v>
      </c>
    </row>
    <row r="1555" spans="1:29">
      <c r="A1555">
        <v>2007</v>
      </c>
      <c r="B1555" s="395" t="s">
        <v>6907</v>
      </c>
      <c r="C1555" s="395"/>
      <c r="D1555" s="396">
        <v>-123002</v>
      </c>
      <c r="E1555" s="396">
        <v>129276</v>
      </c>
      <c r="F1555" s="395">
        <v>-0.51</v>
      </c>
      <c r="G1555" s="396">
        <v>-252278</v>
      </c>
      <c r="H1555" s="396">
        <v>19992</v>
      </c>
      <c r="I1555" s="396">
        <v>2473751</v>
      </c>
      <c r="J1555" s="395">
        <v>258</v>
      </c>
      <c r="K1555" s="395">
        <v>158</v>
      </c>
      <c r="L1555" s="397">
        <v>0.61240000000000006</v>
      </c>
      <c r="M1555" s="395">
        <v>100</v>
      </c>
      <c r="N1555" s="395">
        <v>-477</v>
      </c>
      <c r="O1555" s="395">
        <v>818</v>
      </c>
      <c r="P1555" s="395">
        <v>0.32</v>
      </c>
      <c r="Q1555" s="396">
        <v>-2523</v>
      </c>
      <c r="R1555" s="396">
        <v>3075</v>
      </c>
      <c r="S1555" s="396">
        <v>-10252</v>
      </c>
      <c r="T1555" s="396">
        <v>344933</v>
      </c>
      <c r="U1555" s="396">
        <v>-505337</v>
      </c>
      <c r="V1555" s="395">
        <v>7561.17</v>
      </c>
      <c r="W1555" s="395">
        <v>1721.46</v>
      </c>
      <c r="X1555" s="395">
        <v>77490</v>
      </c>
      <c r="Y1555" s="395">
        <v>16787.919999999998</v>
      </c>
      <c r="Z1555" s="396">
        <v>20868159</v>
      </c>
      <c r="AA1555" s="396">
        <v>-123002</v>
      </c>
      <c r="AB1555" s="396">
        <v>52469697</v>
      </c>
      <c r="AC1555" s="396">
        <v>10207916</v>
      </c>
    </row>
    <row r="1556" spans="1:29">
      <c r="A1556">
        <v>2809</v>
      </c>
      <c r="B1556" s="395" t="s">
        <v>7194</v>
      </c>
      <c r="C1556" s="395"/>
      <c r="D1556" s="396">
        <v>-123025</v>
      </c>
      <c r="E1556" s="396">
        <v>149220</v>
      </c>
      <c r="F1556" s="395">
        <v>-0.55000000000000004</v>
      </c>
      <c r="G1556" s="396">
        <v>-272245</v>
      </c>
      <c r="H1556" s="396">
        <v>45651</v>
      </c>
      <c r="I1556" s="396">
        <v>5002965</v>
      </c>
      <c r="J1556" s="395">
        <v>282</v>
      </c>
      <c r="K1556" s="395">
        <v>151</v>
      </c>
      <c r="L1556" s="397">
        <v>0.53549999999999998</v>
      </c>
      <c r="M1556" s="395">
        <v>131</v>
      </c>
      <c r="N1556" s="395">
        <v>-436</v>
      </c>
      <c r="O1556" s="395">
        <v>988</v>
      </c>
      <c r="P1556" s="395">
        <v>0.48</v>
      </c>
      <c r="Q1556" s="396">
        <v>-2078</v>
      </c>
      <c r="R1556" s="396">
        <v>2641</v>
      </c>
      <c r="S1556" s="396">
        <v>-5567</v>
      </c>
      <c r="T1556" s="396">
        <v>182742</v>
      </c>
      <c r="U1556" s="396">
        <v>-281029</v>
      </c>
      <c r="V1556" s="395">
        <v>10039.790000000001</v>
      </c>
      <c r="W1556" s="395">
        <v>3922.93</v>
      </c>
      <c r="X1556" s="395">
        <v>77490</v>
      </c>
      <c r="Y1556" s="395">
        <v>17090.52</v>
      </c>
      <c r="Z1556" s="396">
        <v>-1697911</v>
      </c>
      <c r="AA1556" s="396">
        <v>-123025</v>
      </c>
      <c r="AB1556" s="396">
        <v>2321333</v>
      </c>
      <c r="AC1556" s="396">
        <v>10207916</v>
      </c>
    </row>
    <row r="1557" spans="1:29">
      <c r="A1557">
        <v>6754</v>
      </c>
      <c r="B1557" s="395" t="s">
        <v>8205</v>
      </c>
      <c r="C1557" s="395"/>
      <c r="D1557" s="396">
        <v>-125358</v>
      </c>
      <c r="E1557" s="396">
        <v>131673</v>
      </c>
      <c r="F1557" s="395">
        <v>-0.51</v>
      </c>
      <c r="G1557" s="396">
        <v>-257031</v>
      </c>
      <c r="H1557" s="396">
        <v>31682</v>
      </c>
      <c r="I1557" s="396">
        <v>4128832</v>
      </c>
      <c r="J1557" s="395">
        <v>182</v>
      </c>
      <c r="K1557" s="395">
        <v>83</v>
      </c>
      <c r="L1557" s="397">
        <v>0.45600000000000002</v>
      </c>
      <c r="M1557" s="395">
        <v>99</v>
      </c>
      <c r="N1557" s="395">
        <v>-689</v>
      </c>
      <c r="O1557" s="396">
        <v>1586</v>
      </c>
      <c r="P1557" s="395">
        <v>0.61</v>
      </c>
      <c r="Q1557" s="396">
        <v>-2596</v>
      </c>
      <c r="R1557" s="396">
        <v>5782</v>
      </c>
      <c r="S1557" s="396">
        <v>-7525</v>
      </c>
      <c r="T1557" s="396">
        <v>149450</v>
      </c>
      <c r="U1557" s="396">
        <v>-319332</v>
      </c>
      <c r="V1557" s="395">
        <v>14323.44</v>
      </c>
      <c r="W1557" s="395">
        <v>2301.14</v>
      </c>
      <c r="X1557" s="395">
        <v>77490</v>
      </c>
      <c r="Y1557" s="395">
        <v>24402.74</v>
      </c>
      <c r="Z1557" s="396">
        <v>-1814411</v>
      </c>
      <c r="AA1557" s="396">
        <v>-125358</v>
      </c>
      <c r="AB1557" s="396">
        <v>1639710</v>
      </c>
      <c r="AC1557" s="396">
        <v>10207916</v>
      </c>
    </row>
    <row r="1558" spans="1:29">
      <c r="A1558">
        <v>3040</v>
      </c>
      <c r="B1558" s="395" t="s">
        <v>7278</v>
      </c>
      <c r="C1558" s="395"/>
      <c r="D1558" s="396">
        <v>-126989</v>
      </c>
      <c r="E1558" s="396">
        <v>125044</v>
      </c>
      <c r="F1558" s="395">
        <v>-0.5</v>
      </c>
      <c r="G1558" s="396">
        <v>-252033</v>
      </c>
      <c r="H1558" s="396">
        <v>36506</v>
      </c>
      <c r="I1558" s="396">
        <v>3762023</v>
      </c>
      <c r="J1558" s="395">
        <v>210</v>
      </c>
      <c r="K1558" s="395">
        <v>111</v>
      </c>
      <c r="L1558" s="397">
        <v>0.52859999999999996</v>
      </c>
      <c r="M1558" s="395">
        <v>99</v>
      </c>
      <c r="N1558" s="395">
        <v>-605</v>
      </c>
      <c r="O1558" s="396">
        <v>1127</v>
      </c>
      <c r="P1558" s="395">
        <v>0.44</v>
      </c>
      <c r="Q1558" s="396">
        <v>-2546</v>
      </c>
      <c r="R1558" s="396">
        <v>5508</v>
      </c>
      <c r="S1558" s="396">
        <v>-10859</v>
      </c>
      <c r="T1558" s="396">
        <v>242957</v>
      </c>
      <c r="U1558" s="396">
        <v>-312514</v>
      </c>
      <c r="V1558" s="395">
        <v>15166.08</v>
      </c>
      <c r="W1558" s="395">
        <v>7429.54</v>
      </c>
      <c r="X1558" s="395">
        <v>77490</v>
      </c>
      <c r="Y1558" s="395">
        <v>23840.37</v>
      </c>
      <c r="Z1558" s="396">
        <v>-6487136</v>
      </c>
      <c r="AA1558" s="396">
        <v>-126989</v>
      </c>
      <c r="AB1558" s="396">
        <v>3974993</v>
      </c>
      <c r="AC1558" s="396">
        <v>10207916</v>
      </c>
    </row>
    <row r="1559" spans="1:29">
      <c r="A1559">
        <v>6649</v>
      </c>
      <c r="B1559" s="395" t="s">
        <v>8166</v>
      </c>
      <c r="C1559" s="395"/>
      <c r="D1559" s="396">
        <v>-128045</v>
      </c>
      <c r="E1559" s="396">
        <v>4076</v>
      </c>
      <c r="F1559" s="395">
        <v>-0.03</v>
      </c>
      <c r="G1559" s="396">
        <v>-132121</v>
      </c>
      <c r="H1559" s="396">
        <v>3045</v>
      </c>
      <c r="I1559" s="396">
        <v>665623</v>
      </c>
      <c r="J1559" s="395">
        <v>29</v>
      </c>
      <c r="K1559" s="395">
        <v>5</v>
      </c>
      <c r="L1559" s="397">
        <v>0.1724</v>
      </c>
      <c r="M1559" s="395">
        <v>24</v>
      </c>
      <c r="N1559" s="396">
        <v>-4415</v>
      </c>
      <c r="O1559" s="395">
        <v>815</v>
      </c>
      <c r="P1559" s="395">
        <v>0.15</v>
      </c>
      <c r="Q1559" s="396">
        <v>-5505</v>
      </c>
      <c r="R1559" s="396">
        <v>1120</v>
      </c>
      <c r="S1559" s="396">
        <v>-13016</v>
      </c>
      <c r="T1559" s="396">
        <v>75058</v>
      </c>
      <c r="U1559" s="396">
        <v>-133441</v>
      </c>
      <c r="V1559" s="395">
        <v>29570.97</v>
      </c>
      <c r="W1559" s="395">
        <v>546.6</v>
      </c>
      <c r="X1559" s="395">
        <v>75870</v>
      </c>
      <c r="Y1559" s="395">
        <v>35617.71</v>
      </c>
      <c r="Z1559" s="396">
        <v>-14213818</v>
      </c>
      <c r="AA1559" s="396">
        <v>-128045</v>
      </c>
      <c r="AB1559" s="396">
        <v>-11517182</v>
      </c>
      <c r="AC1559" s="396">
        <v>10207916</v>
      </c>
    </row>
    <row r="1560" spans="1:29">
      <c r="A1560">
        <v>6751</v>
      </c>
      <c r="B1560" s="395" t="s">
        <v>8203</v>
      </c>
      <c r="C1560" s="395"/>
      <c r="D1560" s="396">
        <v>-128694</v>
      </c>
      <c r="E1560" s="396">
        <v>36367</v>
      </c>
      <c r="F1560" s="395">
        <v>-0.22</v>
      </c>
      <c r="G1560" s="396">
        <v>-165061</v>
      </c>
      <c r="H1560" s="396">
        <v>10344</v>
      </c>
      <c r="I1560" s="396">
        <v>1442610</v>
      </c>
      <c r="J1560" s="395">
        <v>45</v>
      </c>
      <c r="K1560" s="395">
        <v>15</v>
      </c>
      <c r="L1560" s="397">
        <v>0.33329999999999999</v>
      </c>
      <c r="M1560" s="395">
        <v>30</v>
      </c>
      <c r="N1560" s="396">
        <v>-2860</v>
      </c>
      <c r="O1560" s="396">
        <v>2424</v>
      </c>
      <c r="P1560" s="395">
        <v>0.44</v>
      </c>
      <c r="Q1560" s="396">
        <v>-5502</v>
      </c>
      <c r="R1560" s="396">
        <v>5187</v>
      </c>
      <c r="S1560" s="396">
        <v>-19721</v>
      </c>
      <c r="T1560" s="396">
        <v>62561</v>
      </c>
      <c r="U1560" s="396">
        <v>-188356</v>
      </c>
      <c r="V1560" s="395">
        <v>8208.6200000000008</v>
      </c>
      <c r="W1560" s="395">
        <v>1315.8</v>
      </c>
      <c r="X1560" s="395">
        <v>76140</v>
      </c>
      <c r="Y1560" s="395">
        <v>11655.03</v>
      </c>
      <c r="Z1560" s="396">
        <v>-10619589</v>
      </c>
      <c r="AA1560" s="396">
        <v>-128694</v>
      </c>
      <c r="AB1560" s="396">
        <v>-20010444</v>
      </c>
      <c r="AC1560" s="396">
        <v>10207916</v>
      </c>
    </row>
    <row r="1561" spans="1:29">
      <c r="A1561">
        <v>5234</v>
      </c>
      <c r="B1561" s="395" t="s">
        <v>7776</v>
      </c>
      <c r="C1561" s="395"/>
      <c r="D1561" s="396">
        <v>-128925</v>
      </c>
      <c r="E1561" s="396">
        <v>631531</v>
      </c>
      <c r="F1561" s="395">
        <v>-0.83</v>
      </c>
      <c r="G1561" s="396">
        <v>-760456</v>
      </c>
      <c r="H1561" s="396">
        <v>103461</v>
      </c>
      <c r="I1561" s="396">
        <v>4489976</v>
      </c>
      <c r="J1561" s="395">
        <v>256</v>
      </c>
      <c r="K1561" s="395">
        <v>205</v>
      </c>
      <c r="L1561" s="397">
        <v>0.80079999999999996</v>
      </c>
      <c r="M1561" s="395">
        <v>51</v>
      </c>
      <c r="N1561" s="395">
        <v>-504</v>
      </c>
      <c r="O1561" s="396">
        <v>3081</v>
      </c>
      <c r="P1561" s="395">
        <v>0.21</v>
      </c>
      <c r="Q1561" s="396">
        <v>-14911</v>
      </c>
      <c r="R1561" s="396">
        <v>8057</v>
      </c>
      <c r="S1561" s="396">
        <v>-47031</v>
      </c>
      <c r="T1561" s="396">
        <v>634158</v>
      </c>
      <c r="U1561" s="396">
        <v>-735453</v>
      </c>
      <c r="V1561" s="395">
        <v>3759.5</v>
      </c>
      <c r="W1561" s="395">
        <v>3138.29</v>
      </c>
      <c r="X1561" s="395">
        <v>77490</v>
      </c>
      <c r="Y1561" s="395">
        <v>6256.49</v>
      </c>
      <c r="Z1561" s="396">
        <v>-903060</v>
      </c>
      <c r="AA1561" s="396">
        <v>-128925</v>
      </c>
      <c r="AB1561" s="396">
        <v>17372006</v>
      </c>
      <c r="AC1561" s="396">
        <v>10207916</v>
      </c>
    </row>
    <row r="1562" spans="1:29">
      <c r="A1562">
        <v>6242</v>
      </c>
      <c r="B1562" s="395" t="s">
        <v>8026</v>
      </c>
      <c r="C1562" s="395"/>
      <c r="D1562" s="396">
        <v>-136018</v>
      </c>
      <c r="E1562" s="396">
        <v>24022</v>
      </c>
      <c r="F1562" s="395">
        <v>-0.15</v>
      </c>
      <c r="G1562" s="396">
        <v>-160041</v>
      </c>
      <c r="H1562" s="396">
        <v>8042</v>
      </c>
      <c r="I1562" s="396">
        <v>1363413</v>
      </c>
      <c r="J1562" s="395">
        <v>43</v>
      </c>
      <c r="K1562" s="395">
        <v>16</v>
      </c>
      <c r="L1562" s="397">
        <v>0.37209999999999999</v>
      </c>
      <c r="M1562" s="395">
        <v>27</v>
      </c>
      <c r="N1562" s="396">
        <v>-3163</v>
      </c>
      <c r="O1562" s="396">
        <v>1501</v>
      </c>
      <c r="P1562" s="395">
        <v>0.25</v>
      </c>
      <c r="Q1562" s="396">
        <v>-5927</v>
      </c>
      <c r="R1562" s="396">
        <v>4790</v>
      </c>
      <c r="S1562" s="396">
        <v>-15087</v>
      </c>
      <c r="T1562" s="396">
        <v>97259</v>
      </c>
      <c r="U1562" s="396">
        <v>-192673</v>
      </c>
      <c r="V1562" s="395">
        <v>27864.37</v>
      </c>
      <c r="W1562" s="395">
        <v>9209.44</v>
      </c>
      <c r="X1562" s="395">
        <v>74790</v>
      </c>
      <c r="Y1562" s="395">
        <v>38919.15</v>
      </c>
      <c r="Z1562" s="396">
        <v>-6313726</v>
      </c>
      <c r="AA1562" s="396">
        <v>-136018</v>
      </c>
      <c r="AB1562" s="396">
        <v>5715483</v>
      </c>
      <c r="AC1562" s="396">
        <v>10207916</v>
      </c>
    </row>
    <row r="1563" spans="1:29">
      <c r="A1563">
        <v>1789</v>
      </c>
      <c r="B1563" s="395" t="s">
        <v>6886</v>
      </c>
      <c r="C1563" s="395"/>
      <c r="D1563" s="396">
        <v>-136238</v>
      </c>
      <c r="E1563" s="396">
        <v>81876</v>
      </c>
      <c r="F1563" s="395">
        <v>-0.38</v>
      </c>
      <c r="G1563" s="396">
        <v>-218114</v>
      </c>
      <c r="H1563" s="396">
        <v>25711</v>
      </c>
      <c r="I1563" s="396">
        <v>3482962</v>
      </c>
      <c r="J1563" s="395">
        <v>256</v>
      </c>
      <c r="K1563" s="395">
        <v>97</v>
      </c>
      <c r="L1563" s="397">
        <v>0.37890000000000001</v>
      </c>
      <c r="M1563" s="395">
        <v>159</v>
      </c>
      <c r="N1563" s="395">
        <v>-532</v>
      </c>
      <c r="O1563" s="395">
        <v>844</v>
      </c>
      <c r="P1563" s="395">
        <v>0.62</v>
      </c>
      <c r="Q1563" s="396">
        <v>-1372</v>
      </c>
      <c r="R1563" s="396">
        <v>2148</v>
      </c>
      <c r="S1563" s="396">
        <v>-2720</v>
      </c>
      <c r="T1563" s="396">
        <v>135965</v>
      </c>
      <c r="U1563" s="396">
        <v>-240760</v>
      </c>
      <c r="V1563" s="395">
        <v>13293.99</v>
      </c>
      <c r="W1563" s="395">
        <v>1946.71</v>
      </c>
      <c r="X1563" s="395">
        <v>77490</v>
      </c>
      <c r="Y1563" s="395">
        <v>20216.54</v>
      </c>
      <c r="Z1563" s="396">
        <v>-11896763</v>
      </c>
      <c r="AA1563" s="396">
        <v>-136238</v>
      </c>
      <c r="AB1563" s="396">
        <v>-9316719</v>
      </c>
      <c r="AC1563" s="396">
        <v>10207916</v>
      </c>
    </row>
    <row r="1564" spans="1:29">
      <c r="A1564">
        <v>3444</v>
      </c>
      <c r="B1564" s="395" t="s">
        <v>7427</v>
      </c>
      <c r="C1564" s="395"/>
      <c r="D1564" s="396">
        <v>-137617</v>
      </c>
      <c r="E1564" s="396">
        <v>359881</v>
      </c>
      <c r="F1564" s="395">
        <v>-0.72</v>
      </c>
      <c r="G1564" s="396">
        <v>-497498</v>
      </c>
      <c r="H1564" s="396">
        <v>42332</v>
      </c>
      <c r="I1564" s="396">
        <v>2760339</v>
      </c>
      <c r="J1564" s="395">
        <v>239</v>
      </c>
      <c r="K1564" s="395">
        <v>161</v>
      </c>
      <c r="L1564" s="397">
        <v>0.67359999999999998</v>
      </c>
      <c r="M1564" s="395">
        <v>78</v>
      </c>
      <c r="N1564" s="395">
        <v>-576</v>
      </c>
      <c r="O1564" s="396">
        <v>2235</v>
      </c>
      <c r="P1564" s="395">
        <v>0.35</v>
      </c>
      <c r="Q1564" s="396">
        <v>-6378</v>
      </c>
      <c r="R1564" s="396">
        <v>9623</v>
      </c>
      <c r="S1564" s="396">
        <v>-25549</v>
      </c>
      <c r="T1564" s="396">
        <v>476686</v>
      </c>
      <c r="U1564" s="396">
        <v>-575599</v>
      </c>
      <c r="V1564" s="395">
        <v>5475.59</v>
      </c>
      <c r="W1564" s="395">
        <v>3261.87</v>
      </c>
      <c r="X1564" s="395">
        <v>77490</v>
      </c>
      <c r="Y1564" s="395">
        <v>10044.92</v>
      </c>
      <c r="Z1564" s="396">
        <v>-12743570</v>
      </c>
      <c r="AA1564" s="396">
        <v>-137617</v>
      </c>
      <c r="AB1564" s="396">
        <v>20081073</v>
      </c>
      <c r="AC1564" s="396">
        <v>10207916</v>
      </c>
    </row>
    <row r="1565" spans="1:29">
      <c r="A1565">
        <v>1307</v>
      </c>
      <c r="B1565" s="395" t="s">
        <v>6712</v>
      </c>
      <c r="C1565" s="395"/>
      <c r="D1565" s="396">
        <v>-138601</v>
      </c>
      <c r="E1565" s="396">
        <v>63306</v>
      </c>
      <c r="F1565" s="395">
        <v>-0.31</v>
      </c>
      <c r="G1565" s="396">
        <v>-201907</v>
      </c>
      <c r="H1565" s="396">
        <v>21166</v>
      </c>
      <c r="I1565" s="396">
        <v>3127985</v>
      </c>
      <c r="J1565" s="395">
        <v>246</v>
      </c>
      <c r="K1565" s="395">
        <v>86</v>
      </c>
      <c r="L1565" s="397">
        <v>0.34960000000000002</v>
      </c>
      <c r="M1565" s="395">
        <v>160</v>
      </c>
      <c r="N1565" s="395">
        <v>-563</v>
      </c>
      <c r="O1565" s="395">
        <v>736</v>
      </c>
      <c r="P1565" s="395">
        <v>0.57999999999999996</v>
      </c>
      <c r="Q1565" s="396">
        <v>-1262</v>
      </c>
      <c r="R1565" s="396">
        <v>2766</v>
      </c>
      <c r="S1565" s="396">
        <v>-7119</v>
      </c>
      <c r="T1565" s="396">
        <v>117022</v>
      </c>
      <c r="U1565" s="396">
        <v>-226600</v>
      </c>
      <c r="V1565" s="395">
        <v>15192.54</v>
      </c>
      <c r="W1565" s="395">
        <v>2483.5</v>
      </c>
      <c r="X1565" s="395">
        <v>77490</v>
      </c>
      <c r="Y1565" s="395">
        <v>22023.64</v>
      </c>
      <c r="Z1565" s="396">
        <v>-15140934</v>
      </c>
      <c r="AA1565" s="396">
        <v>-138601</v>
      </c>
      <c r="AB1565" s="396">
        <v>-4423406</v>
      </c>
      <c r="AC1565" s="396">
        <v>10207916</v>
      </c>
    </row>
    <row r="1566" spans="1:29">
      <c r="A1566">
        <v>2303</v>
      </c>
      <c r="B1566" s="395" t="s">
        <v>6974</v>
      </c>
      <c r="C1566" s="395"/>
      <c r="D1566" s="396">
        <v>-140329</v>
      </c>
      <c r="E1566" s="396">
        <v>427466</v>
      </c>
      <c r="F1566" s="395">
        <v>-0.75</v>
      </c>
      <c r="G1566" s="396">
        <v>-567795</v>
      </c>
      <c r="H1566" s="396">
        <v>62290</v>
      </c>
      <c r="I1566" s="396">
        <v>3224559</v>
      </c>
      <c r="J1566" s="395">
        <v>275</v>
      </c>
      <c r="K1566" s="395">
        <v>177</v>
      </c>
      <c r="L1566" s="397">
        <v>0.64359999999999995</v>
      </c>
      <c r="M1566" s="395">
        <v>98</v>
      </c>
      <c r="N1566" s="395">
        <v>-510</v>
      </c>
      <c r="O1566" s="396">
        <v>2415</v>
      </c>
      <c r="P1566" s="395">
        <v>0.42</v>
      </c>
      <c r="Q1566" s="396">
        <v>-5794</v>
      </c>
      <c r="R1566" s="396">
        <v>8906</v>
      </c>
      <c r="S1566" s="396">
        <v>-15941</v>
      </c>
      <c r="T1566" s="396">
        <v>355464</v>
      </c>
      <c r="U1566" s="396">
        <v>-602626</v>
      </c>
      <c r="V1566" s="395">
        <v>3796.17</v>
      </c>
      <c r="W1566" s="395">
        <v>1632.76</v>
      </c>
      <c r="X1566" s="395">
        <v>77490</v>
      </c>
      <c r="Y1566" s="395">
        <v>7703.55</v>
      </c>
      <c r="Z1566" s="396">
        <v>-15610275</v>
      </c>
      <c r="AA1566" s="396">
        <v>-140329</v>
      </c>
      <c r="AB1566" s="396">
        <v>8512803</v>
      </c>
      <c r="AC1566" s="396">
        <v>10207916</v>
      </c>
    </row>
    <row r="1567" spans="1:29">
      <c r="A1567">
        <v>6170</v>
      </c>
      <c r="B1567" s="395" t="s">
        <v>7962</v>
      </c>
      <c r="C1567" s="395"/>
      <c r="D1567" s="396">
        <v>-140679</v>
      </c>
      <c r="E1567" s="396">
        <v>229388</v>
      </c>
      <c r="F1567" s="395">
        <v>-0.62</v>
      </c>
      <c r="G1567" s="396">
        <v>-370067</v>
      </c>
      <c r="H1567" s="396">
        <v>35277</v>
      </c>
      <c r="I1567" s="396">
        <v>1640373</v>
      </c>
      <c r="J1567" s="395">
        <v>259</v>
      </c>
      <c r="K1567" s="395">
        <v>178</v>
      </c>
      <c r="L1567" s="397">
        <v>0.68730000000000002</v>
      </c>
      <c r="M1567" s="395">
        <v>81</v>
      </c>
      <c r="N1567" s="395">
        <v>-543</v>
      </c>
      <c r="O1567" s="396">
        <v>1289</v>
      </c>
      <c r="P1567" s="395">
        <v>0.28000000000000003</v>
      </c>
      <c r="Q1567" s="396">
        <v>-4569</v>
      </c>
      <c r="R1567" s="396">
        <v>6355</v>
      </c>
      <c r="S1567" s="396">
        <v>-15058</v>
      </c>
      <c r="T1567" s="396">
        <v>203591</v>
      </c>
      <c r="U1567" s="396">
        <v>-380189</v>
      </c>
      <c r="V1567" s="395">
        <v>3156.33</v>
      </c>
      <c r="W1567" s="395">
        <v>1761.21</v>
      </c>
      <c r="X1567" s="395">
        <v>77490</v>
      </c>
      <c r="Y1567" s="395">
        <v>6222.15</v>
      </c>
      <c r="Z1567" s="396">
        <v>-7827718</v>
      </c>
      <c r="AA1567" s="396">
        <v>-140679</v>
      </c>
      <c r="AB1567" s="396">
        <v>35387807</v>
      </c>
      <c r="AC1567" s="396">
        <v>10207916</v>
      </c>
    </row>
    <row r="1568" spans="1:29">
      <c r="A1568">
        <v>2388</v>
      </c>
      <c r="B1568" s="395" t="s">
        <v>7029</v>
      </c>
      <c r="C1568" s="395"/>
      <c r="D1568" s="396">
        <v>-141022</v>
      </c>
      <c r="E1568" s="396">
        <v>514210</v>
      </c>
      <c r="F1568" s="395">
        <v>-0.78</v>
      </c>
      <c r="G1568" s="396">
        <v>-655233</v>
      </c>
      <c r="H1568" s="396">
        <v>62521</v>
      </c>
      <c r="I1568" s="396">
        <v>2953152</v>
      </c>
      <c r="J1568" s="395">
        <v>260</v>
      </c>
      <c r="K1568" s="395">
        <v>178</v>
      </c>
      <c r="L1568" s="397">
        <v>0.68459999999999999</v>
      </c>
      <c r="M1568" s="395">
        <v>82</v>
      </c>
      <c r="N1568" s="395">
        <v>-542</v>
      </c>
      <c r="O1568" s="396">
        <v>2889</v>
      </c>
      <c r="P1568" s="395">
        <v>0.36</v>
      </c>
      <c r="Q1568" s="396">
        <v>-7991</v>
      </c>
      <c r="R1568" s="396">
        <v>11121</v>
      </c>
      <c r="S1568" s="396">
        <v>-28703</v>
      </c>
      <c r="T1568" s="396">
        <v>778432</v>
      </c>
      <c r="U1568" s="396">
        <v>-689929</v>
      </c>
      <c r="V1568" s="395">
        <v>4125.07</v>
      </c>
      <c r="W1568" s="395">
        <v>2167.81</v>
      </c>
      <c r="X1568" s="395">
        <v>77490</v>
      </c>
      <c r="Y1568" s="395">
        <v>8373.76</v>
      </c>
      <c r="Z1568" s="396">
        <v>-8096070</v>
      </c>
      <c r="AA1568" s="396">
        <v>-141022</v>
      </c>
      <c r="AB1568" s="396">
        <v>3600889</v>
      </c>
      <c r="AC1568" s="396">
        <v>10207916</v>
      </c>
    </row>
    <row r="1569" spans="1:29">
      <c r="A1569">
        <v>3685</v>
      </c>
      <c r="B1569" s="395" t="s">
        <v>7530</v>
      </c>
      <c r="C1569" s="395"/>
      <c r="D1569" s="396">
        <v>-141770</v>
      </c>
      <c r="E1569" s="396">
        <v>223794</v>
      </c>
      <c r="F1569" s="395">
        <v>-0.61</v>
      </c>
      <c r="G1569" s="396">
        <v>-365564</v>
      </c>
      <c r="H1569" s="396">
        <v>25116</v>
      </c>
      <c r="I1569" s="396">
        <v>1520437</v>
      </c>
      <c r="J1569" s="395">
        <v>204</v>
      </c>
      <c r="K1569" s="395">
        <v>113</v>
      </c>
      <c r="L1569" s="397">
        <v>0.55389999999999995</v>
      </c>
      <c r="M1569" s="395">
        <v>91</v>
      </c>
      <c r="N1569" s="395">
        <v>-695</v>
      </c>
      <c r="O1569" s="396">
        <v>1980</v>
      </c>
      <c r="P1569" s="395">
        <v>0.49</v>
      </c>
      <c r="Q1569" s="396">
        <v>-4017</v>
      </c>
      <c r="R1569" s="396">
        <v>5942</v>
      </c>
      <c r="S1569" s="396">
        <v>-16699</v>
      </c>
      <c r="T1569" s="396">
        <v>261088</v>
      </c>
      <c r="U1569" s="396">
        <v>-291876</v>
      </c>
      <c r="V1569" s="395">
        <v>6137.42</v>
      </c>
      <c r="W1569" s="395">
        <v>2948.04</v>
      </c>
      <c r="X1569" s="395">
        <v>76950</v>
      </c>
      <c r="Y1569" s="395">
        <v>10097.870000000001</v>
      </c>
      <c r="Z1569" s="396">
        <v>-16920737</v>
      </c>
      <c r="AA1569" s="396">
        <v>-141770</v>
      </c>
      <c r="AB1569" s="396">
        <v>24743916</v>
      </c>
      <c r="AC1569" s="396">
        <v>10207916</v>
      </c>
    </row>
    <row r="1570" spans="1:29">
      <c r="A1570">
        <v>8937</v>
      </c>
      <c r="B1570" s="395" t="s">
        <v>8385</v>
      </c>
      <c r="C1570" s="395"/>
      <c r="D1570" s="396">
        <v>-142635</v>
      </c>
      <c r="E1570" s="396">
        <v>6914</v>
      </c>
      <c r="F1570" s="395">
        <v>-0.05</v>
      </c>
      <c r="G1570" s="396">
        <v>-149549</v>
      </c>
      <c r="H1570" s="396">
        <v>4735</v>
      </c>
      <c r="I1570" s="396">
        <v>1260300</v>
      </c>
      <c r="J1570" s="395">
        <v>92</v>
      </c>
      <c r="K1570" s="395">
        <v>30</v>
      </c>
      <c r="L1570" s="397">
        <v>0.3261</v>
      </c>
      <c r="M1570" s="395">
        <v>62</v>
      </c>
      <c r="N1570" s="396">
        <v>-1550</v>
      </c>
      <c r="O1570" s="395">
        <v>230</v>
      </c>
      <c r="P1570" s="395">
        <v>0.1</v>
      </c>
      <c r="Q1570" s="396">
        <v>-2412</v>
      </c>
      <c r="R1570" s="395">
        <v>653</v>
      </c>
      <c r="S1570" s="396">
        <v>-4407</v>
      </c>
      <c r="T1570" s="396">
        <v>217877</v>
      </c>
      <c r="U1570" s="396">
        <v>-206363</v>
      </c>
      <c r="V1570" s="395">
        <v>53244.04</v>
      </c>
      <c r="W1570" s="395">
        <v>39983.17</v>
      </c>
      <c r="X1570" s="395">
        <v>76410</v>
      </c>
      <c r="Y1570" s="395">
        <v>59660.6</v>
      </c>
      <c r="Z1570" s="396">
        <v>-12162489</v>
      </c>
      <c r="AA1570" s="396">
        <v>-142635</v>
      </c>
      <c r="AB1570" s="396">
        <v>-12168224</v>
      </c>
      <c r="AC1570" s="396">
        <v>10207916</v>
      </c>
    </row>
    <row r="1571" spans="1:29">
      <c r="A1571">
        <v>3003</v>
      </c>
      <c r="B1571" s="395" t="s">
        <v>7246</v>
      </c>
      <c r="C1571" s="395"/>
      <c r="D1571" s="396">
        <v>-146741</v>
      </c>
      <c r="E1571" s="396">
        <v>488428</v>
      </c>
      <c r="F1571" s="395">
        <v>-0.77</v>
      </c>
      <c r="G1571" s="396">
        <v>-635169</v>
      </c>
      <c r="H1571" s="396">
        <v>86691</v>
      </c>
      <c r="I1571" s="396">
        <v>5849820</v>
      </c>
      <c r="J1571" s="395">
        <v>271</v>
      </c>
      <c r="K1571" s="395">
        <v>167</v>
      </c>
      <c r="L1571" s="397">
        <v>0.61619999999999997</v>
      </c>
      <c r="M1571" s="395">
        <v>104</v>
      </c>
      <c r="N1571" s="395">
        <v>-541</v>
      </c>
      <c r="O1571" s="396">
        <v>2925</v>
      </c>
      <c r="P1571" s="395">
        <v>0.48</v>
      </c>
      <c r="Q1571" s="396">
        <v>-6107</v>
      </c>
      <c r="R1571" s="396">
        <v>13243</v>
      </c>
      <c r="S1571" s="396">
        <v>-20372</v>
      </c>
      <c r="T1571" s="396">
        <v>483733</v>
      </c>
      <c r="U1571" s="396">
        <v>-635390</v>
      </c>
      <c r="V1571" s="395">
        <v>3956.48</v>
      </c>
      <c r="W1571" s="395">
        <v>1141.25</v>
      </c>
      <c r="X1571" s="395">
        <v>77490</v>
      </c>
      <c r="Y1571" s="395">
        <v>8477.1</v>
      </c>
      <c r="Z1571" s="396">
        <v>12133024</v>
      </c>
      <c r="AA1571" s="396">
        <v>-146741</v>
      </c>
      <c r="AB1571" s="396">
        <v>35698973</v>
      </c>
      <c r="AC1571" s="396">
        <v>10207916</v>
      </c>
    </row>
    <row r="1572" spans="1:29">
      <c r="A1572">
        <v>4205</v>
      </c>
      <c r="B1572" s="395" t="s">
        <v>7600</v>
      </c>
      <c r="C1572" s="395"/>
      <c r="D1572" s="396">
        <v>-150100</v>
      </c>
      <c r="E1572" s="396">
        <v>326248</v>
      </c>
      <c r="F1572" s="395">
        <v>-0.68</v>
      </c>
      <c r="G1572" s="396">
        <v>-476348</v>
      </c>
      <c r="H1572" s="396">
        <v>61800</v>
      </c>
      <c r="I1572" s="396">
        <v>5210870</v>
      </c>
      <c r="J1572" s="395">
        <v>125</v>
      </c>
      <c r="K1572" s="395">
        <v>79</v>
      </c>
      <c r="L1572" s="397">
        <v>0.63200000000000001</v>
      </c>
      <c r="M1572" s="395">
        <v>46</v>
      </c>
      <c r="N1572" s="396">
        <v>-1201</v>
      </c>
      <c r="O1572" s="396">
        <v>4130</v>
      </c>
      <c r="P1572" s="395">
        <v>0.4</v>
      </c>
      <c r="Q1572" s="396">
        <v>-10355</v>
      </c>
      <c r="R1572" s="396">
        <v>11462</v>
      </c>
      <c r="S1572" s="396">
        <v>-23530</v>
      </c>
      <c r="T1572" s="396">
        <v>340657</v>
      </c>
      <c r="U1572" s="396">
        <v>-484887</v>
      </c>
      <c r="V1572" s="395">
        <v>7495.84</v>
      </c>
      <c r="W1572" s="395">
        <v>2015.16</v>
      </c>
      <c r="X1572" s="395">
        <v>77490</v>
      </c>
      <c r="Y1572" s="395">
        <v>16908.3</v>
      </c>
      <c r="Z1572" s="396">
        <v>15340455</v>
      </c>
      <c r="AA1572" s="396">
        <v>-150100</v>
      </c>
      <c r="AB1572" s="396">
        <v>17960094</v>
      </c>
      <c r="AC1572" s="396">
        <v>10207916</v>
      </c>
    </row>
    <row r="1573" spans="1:29">
      <c r="A1573">
        <v>5475</v>
      </c>
      <c r="B1573" s="395" t="s">
        <v>7846</v>
      </c>
      <c r="C1573" s="395"/>
      <c r="D1573" s="396">
        <v>-150900</v>
      </c>
      <c r="E1573" s="396">
        <v>213925</v>
      </c>
      <c r="F1573" s="395">
        <v>-0.59</v>
      </c>
      <c r="G1573" s="396">
        <v>-364825</v>
      </c>
      <c r="H1573" s="396">
        <v>21050</v>
      </c>
      <c r="I1573" s="396">
        <v>2416650</v>
      </c>
      <c r="J1573" s="395">
        <v>180</v>
      </c>
      <c r="K1573" s="395">
        <v>119</v>
      </c>
      <c r="L1573" s="397">
        <v>0.66110000000000002</v>
      </c>
      <c r="M1573" s="395">
        <v>61</v>
      </c>
      <c r="N1573" s="395">
        <v>-838</v>
      </c>
      <c r="O1573" s="396">
        <v>1798</v>
      </c>
      <c r="P1573" s="395">
        <v>0.3</v>
      </c>
      <c r="Q1573" s="396">
        <v>-5981</v>
      </c>
      <c r="R1573" s="396">
        <v>4731</v>
      </c>
      <c r="S1573" s="396">
        <v>-19818</v>
      </c>
      <c r="T1573" s="396">
        <v>350291</v>
      </c>
      <c r="U1573" s="396">
        <v>-292243</v>
      </c>
      <c r="V1573" s="395">
        <v>7220.82</v>
      </c>
      <c r="W1573" s="395">
        <v>5813.08</v>
      </c>
      <c r="X1573" s="395">
        <v>75600</v>
      </c>
      <c r="Y1573" s="395">
        <v>9967.07</v>
      </c>
      <c r="Z1573" s="396">
        <v>-4645900</v>
      </c>
      <c r="AA1573" s="396">
        <v>-150900</v>
      </c>
      <c r="AB1573" s="396">
        <v>139034621</v>
      </c>
      <c r="AC1573" s="396">
        <v>10207916</v>
      </c>
    </row>
    <row r="1574" spans="1:29">
      <c r="A1574">
        <v>6762</v>
      </c>
      <c r="B1574" s="395" t="s">
        <v>8208</v>
      </c>
      <c r="C1574" s="395"/>
      <c r="D1574" s="396">
        <v>-153461</v>
      </c>
      <c r="E1574" s="396">
        <v>635244</v>
      </c>
      <c r="F1574" s="395">
        <v>-0.81</v>
      </c>
      <c r="G1574" s="396">
        <v>-788705</v>
      </c>
      <c r="H1574" s="396">
        <v>109888</v>
      </c>
      <c r="I1574" s="396">
        <v>11984949</v>
      </c>
      <c r="J1574" s="395">
        <v>96</v>
      </c>
      <c r="K1574" s="395">
        <v>46</v>
      </c>
      <c r="L1574" s="397">
        <v>0.47920000000000001</v>
      </c>
      <c r="M1574" s="395">
        <v>50</v>
      </c>
      <c r="N1574" s="396">
        <v>-1599</v>
      </c>
      <c r="O1574" s="396">
        <v>13810</v>
      </c>
      <c r="P1574" s="395">
        <v>0.88</v>
      </c>
      <c r="Q1574" s="396">
        <v>-15774</v>
      </c>
      <c r="R1574" s="396">
        <v>54281</v>
      </c>
      <c r="S1574" s="396">
        <v>-63193</v>
      </c>
      <c r="T1574" s="396">
        <v>1029486</v>
      </c>
      <c r="U1574" s="396">
        <v>-970091</v>
      </c>
      <c r="V1574" s="395">
        <v>11571.92</v>
      </c>
      <c r="W1574" s="395">
        <v>2971</v>
      </c>
      <c r="X1574" s="395">
        <v>69660</v>
      </c>
      <c r="Y1574" s="395">
        <v>19484.759999999998</v>
      </c>
      <c r="Z1574" s="396">
        <v>-9439474</v>
      </c>
      <c r="AA1574" s="396">
        <v>-153461</v>
      </c>
      <c r="AB1574" s="396">
        <v>1096809</v>
      </c>
      <c r="AC1574" s="396">
        <v>10207916</v>
      </c>
    </row>
    <row r="1575" spans="1:29">
      <c r="A1575">
        <v>4139</v>
      </c>
      <c r="B1575" s="395" t="s">
        <v>7575</v>
      </c>
      <c r="C1575" s="395"/>
      <c r="D1575" s="396">
        <v>-157899</v>
      </c>
      <c r="E1575" s="396">
        <v>77862</v>
      </c>
      <c r="F1575" s="395">
        <v>-0.33</v>
      </c>
      <c r="G1575" s="396">
        <v>-235761</v>
      </c>
      <c r="H1575" s="396">
        <v>18898</v>
      </c>
      <c r="I1575" s="396">
        <v>2546580</v>
      </c>
      <c r="J1575" s="395">
        <v>90</v>
      </c>
      <c r="K1575" s="395">
        <v>40</v>
      </c>
      <c r="L1575" s="397">
        <v>0.44440000000000002</v>
      </c>
      <c r="M1575" s="395">
        <v>50</v>
      </c>
      <c r="N1575" s="396">
        <v>-1754</v>
      </c>
      <c r="O1575" s="396">
        <v>1947</v>
      </c>
      <c r="P1575" s="395">
        <v>0.41</v>
      </c>
      <c r="Q1575" s="396">
        <v>-4715</v>
      </c>
      <c r="R1575" s="396">
        <v>4525</v>
      </c>
      <c r="S1575" s="396">
        <v>-10447</v>
      </c>
      <c r="T1575" s="396">
        <v>257133</v>
      </c>
      <c r="U1575" s="396">
        <v>-447905</v>
      </c>
      <c r="V1575" s="395">
        <v>23154</v>
      </c>
      <c r="W1575" s="395">
        <v>4173.25</v>
      </c>
      <c r="X1575" s="395">
        <v>77490</v>
      </c>
      <c r="Y1575" s="395">
        <v>38338.6</v>
      </c>
      <c r="Z1575" s="396">
        <v>-11001008</v>
      </c>
      <c r="AA1575" s="396">
        <v>-157899</v>
      </c>
      <c r="AB1575" s="396">
        <v>-9855531</v>
      </c>
      <c r="AC1575" s="396">
        <v>10207916</v>
      </c>
    </row>
    <row r="1576" spans="1:29">
      <c r="A1576">
        <v>2231</v>
      </c>
      <c r="B1576" s="395" t="s">
        <v>6963</v>
      </c>
      <c r="C1576" s="395"/>
      <c r="D1576" s="396">
        <v>-160157</v>
      </c>
      <c r="E1576" s="396">
        <v>2029787</v>
      </c>
      <c r="F1576" s="395">
        <v>-0.93</v>
      </c>
      <c r="G1576" s="396">
        <v>-2189944</v>
      </c>
      <c r="H1576" s="396">
        <v>205961</v>
      </c>
      <c r="I1576" s="396">
        <v>13024732</v>
      </c>
      <c r="J1576" s="395">
        <v>276</v>
      </c>
      <c r="K1576" s="395">
        <v>173</v>
      </c>
      <c r="L1576" s="397">
        <v>0.62680000000000002</v>
      </c>
      <c r="M1576" s="395">
        <v>103</v>
      </c>
      <c r="N1576" s="395">
        <v>-580</v>
      </c>
      <c r="O1576" s="396">
        <v>11733</v>
      </c>
      <c r="P1576" s="395">
        <v>0.55000000000000004</v>
      </c>
      <c r="Q1576" s="396">
        <v>-21262</v>
      </c>
      <c r="R1576" s="396">
        <v>38230</v>
      </c>
      <c r="S1576" s="396">
        <v>-49103</v>
      </c>
      <c r="T1576" s="396">
        <v>2590017</v>
      </c>
      <c r="U1576" s="396">
        <v>-2093670</v>
      </c>
      <c r="V1576" s="395">
        <v>5765.34</v>
      </c>
      <c r="W1576" s="395">
        <v>2950.73</v>
      </c>
      <c r="X1576" s="395">
        <v>77490</v>
      </c>
      <c r="Y1576" s="395">
        <v>10492.79</v>
      </c>
      <c r="Z1576" s="396">
        <v>-23634429</v>
      </c>
      <c r="AA1576" s="396">
        <v>-160157</v>
      </c>
      <c r="AB1576" s="396">
        <v>-14297159</v>
      </c>
      <c r="AC1576" s="396">
        <v>10207916</v>
      </c>
    </row>
    <row r="1577" spans="1:29">
      <c r="A1577">
        <v>3051</v>
      </c>
      <c r="B1577" s="395" t="s">
        <v>7289</v>
      </c>
      <c r="C1577" s="395"/>
      <c r="D1577" s="396">
        <v>-160172</v>
      </c>
      <c r="E1577" s="396">
        <v>49485</v>
      </c>
      <c r="F1577" s="395">
        <v>-0.24</v>
      </c>
      <c r="G1577" s="396">
        <v>-209657</v>
      </c>
      <c r="H1577" s="396">
        <v>9432</v>
      </c>
      <c r="I1577" s="396">
        <v>1001821</v>
      </c>
      <c r="J1577" s="395">
        <v>188</v>
      </c>
      <c r="K1577" s="395">
        <v>140</v>
      </c>
      <c r="L1577" s="397">
        <v>0.74470000000000003</v>
      </c>
      <c r="M1577" s="395">
        <v>48</v>
      </c>
      <c r="N1577" s="395">
        <v>-852</v>
      </c>
      <c r="O1577" s="395">
        <v>353</v>
      </c>
      <c r="P1577" s="395">
        <v>0.08</v>
      </c>
      <c r="Q1577" s="396">
        <v>-4368</v>
      </c>
      <c r="R1577" s="396">
        <v>1926</v>
      </c>
      <c r="S1577" s="396">
        <v>-18779</v>
      </c>
      <c r="T1577" s="396">
        <v>59328</v>
      </c>
      <c r="U1577" s="396">
        <v>-218003</v>
      </c>
      <c r="V1577" s="395">
        <v>2027.32</v>
      </c>
      <c r="W1577" s="395">
        <v>761.11</v>
      </c>
      <c r="X1577" s="395">
        <v>75600</v>
      </c>
      <c r="Y1577" s="395">
        <v>5720.44</v>
      </c>
      <c r="Z1577" s="396">
        <v>38397303</v>
      </c>
      <c r="AA1577" s="396">
        <v>-160172</v>
      </c>
      <c r="AB1577" s="396">
        <v>44437103</v>
      </c>
      <c r="AC1577" s="396">
        <v>10207916</v>
      </c>
    </row>
    <row r="1578" spans="1:29">
      <c r="A1578">
        <v>1336</v>
      </c>
      <c r="B1578" s="395" t="s">
        <v>6727</v>
      </c>
      <c r="C1578" s="395"/>
      <c r="D1578" s="396">
        <v>-161985</v>
      </c>
      <c r="E1578" s="396">
        <v>70287</v>
      </c>
      <c r="F1578" s="395">
        <v>-0.3</v>
      </c>
      <c r="G1578" s="396">
        <v>-232272</v>
      </c>
      <c r="H1578" s="396">
        <v>19835</v>
      </c>
      <c r="I1578" s="396">
        <v>2537502</v>
      </c>
      <c r="J1578" s="395">
        <v>220</v>
      </c>
      <c r="K1578" s="395">
        <v>87</v>
      </c>
      <c r="L1578" s="397">
        <v>0.39550000000000002</v>
      </c>
      <c r="M1578" s="395">
        <v>133</v>
      </c>
      <c r="N1578" s="395">
        <v>-736</v>
      </c>
      <c r="O1578" s="395">
        <v>808</v>
      </c>
      <c r="P1578" s="395">
        <v>0.46</v>
      </c>
      <c r="Q1578" s="396">
        <v>-1746</v>
      </c>
      <c r="R1578" s="396">
        <v>3914</v>
      </c>
      <c r="S1578" s="396">
        <v>-3810</v>
      </c>
      <c r="T1578" s="396">
        <v>158749</v>
      </c>
      <c r="U1578" s="396">
        <v>-333645</v>
      </c>
      <c r="V1578" s="395">
        <v>14803.58</v>
      </c>
      <c r="W1578" s="395">
        <v>2278.23</v>
      </c>
      <c r="X1578" s="395">
        <v>77490</v>
      </c>
      <c r="Y1578" s="395">
        <v>22996.86</v>
      </c>
      <c r="Z1578" s="396">
        <v>-18624997</v>
      </c>
      <c r="AA1578" s="396">
        <v>-161985</v>
      </c>
      <c r="AB1578" s="396">
        <v>-7059513</v>
      </c>
      <c r="AC1578" s="396">
        <v>10207916</v>
      </c>
    </row>
    <row r="1579" spans="1:29">
      <c r="A1579">
        <v>2227</v>
      </c>
      <c r="B1579" s="395" t="s">
        <v>6960</v>
      </c>
      <c r="C1579" s="395"/>
      <c r="D1579" s="396">
        <v>-163592</v>
      </c>
      <c r="E1579" s="396">
        <v>539758</v>
      </c>
      <c r="F1579" s="395">
        <v>-0.77</v>
      </c>
      <c r="G1579" s="396">
        <v>-703350</v>
      </c>
      <c r="H1579" s="396">
        <v>242324</v>
      </c>
      <c r="I1579" s="396">
        <v>31967936</v>
      </c>
      <c r="J1579" s="395">
        <v>234</v>
      </c>
      <c r="K1579" s="395">
        <v>109</v>
      </c>
      <c r="L1579" s="397">
        <v>0.46579999999999999</v>
      </c>
      <c r="M1579" s="395">
        <v>125</v>
      </c>
      <c r="N1579" s="395">
        <v>-699</v>
      </c>
      <c r="O1579" s="396">
        <v>4952</v>
      </c>
      <c r="P1579" s="395">
        <v>0.88</v>
      </c>
      <c r="Q1579" s="396">
        <v>-5627</v>
      </c>
      <c r="R1579" s="396">
        <v>14940</v>
      </c>
      <c r="S1579" s="396">
        <v>-13772</v>
      </c>
      <c r="T1579" s="396">
        <v>908284</v>
      </c>
      <c r="U1579" s="396">
        <v>-1145073</v>
      </c>
      <c r="V1579" s="395">
        <v>14022.05</v>
      </c>
      <c r="W1579" s="395">
        <v>6154.53</v>
      </c>
      <c r="X1579" s="395">
        <v>77490</v>
      </c>
      <c r="Y1579" s="395">
        <v>20882.52</v>
      </c>
      <c r="Z1579" s="396">
        <v>-2359045</v>
      </c>
      <c r="AA1579" s="396">
        <v>-163592</v>
      </c>
      <c r="AB1579" s="396">
        <v>1408876</v>
      </c>
      <c r="AC1579" s="396">
        <v>10207916</v>
      </c>
    </row>
    <row r="1580" spans="1:29">
      <c r="A1580">
        <v>6629</v>
      </c>
      <c r="B1580" s="395" t="s">
        <v>8161</v>
      </c>
      <c r="C1580" s="395"/>
      <c r="D1580" s="396">
        <v>-166985</v>
      </c>
      <c r="E1580" s="396">
        <v>60586</v>
      </c>
      <c r="F1580" s="395">
        <v>-0.27</v>
      </c>
      <c r="G1580" s="396">
        <v>-227571</v>
      </c>
      <c r="H1580" s="396">
        <v>17476</v>
      </c>
      <c r="I1580" s="396">
        <v>3611584</v>
      </c>
      <c r="J1580" s="395">
        <v>69</v>
      </c>
      <c r="K1580" s="395">
        <v>25</v>
      </c>
      <c r="L1580" s="397">
        <v>0.36230000000000001</v>
      </c>
      <c r="M1580" s="395">
        <v>44</v>
      </c>
      <c r="N1580" s="396">
        <v>-2420</v>
      </c>
      <c r="O1580" s="396">
        <v>2423</v>
      </c>
      <c r="P1580" s="395">
        <v>0.47</v>
      </c>
      <c r="Q1580" s="396">
        <v>-5172</v>
      </c>
      <c r="R1580" s="396">
        <v>6135</v>
      </c>
      <c r="S1580" s="396">
        <v>-10699</v>
      </c>
      <c r="T1580" s="396">
        <v>489644</v>
      </c>
      <c r="U1580" s="396">
        <v>-473106</v>
      </c>
      <c r="V1580" s="395">
        <v>30713.360000000001</v>
      </c>
      <c r="W1580" s="395">
        <v>10797.88</v>
      </c>
      <c r="X1580" s="395">
        <v>73440</v>
      </c>
      <c r="Y1580" s="395">
        <v>42028.98</v>
      </c>
      <c r="Z1580" s="396">
        <v>-315814</v>
      </c>
      <c r="AA1580" s="396">
        <v>-166985</v>
      </c>
      <c r="AB1580" s="396">
        <v>-555150</v>
      </c>
      <c r="AC1580" s="396">
        <v>10207916</v>
      </c>
    </row>
    <row r="1581" spans="1:29">
      <c r="A1581">
        <v>3508</v>
      </c>
      <c r="B1581" s="395" t="s">
        <v>7446</v>
      </c>
      <c r="C1581" s="395"/>
      <c r="D1581" s="396">
        <v>-169400</v>
      </c>
      <c r="E1581" s="396">
        <v>310416</v>
      </c>
      <c r="F1581" s="395">
        <v>-0.65</v>
      </c>
      <c r="G1581" s="396">
        <v>-479816</v>
      </c>
      <c r="H1581" s="396">
        <v>34550</v>
      </c>
      <c r="I1581" s="396">
        <v>2617204</v>
      </c>
      <c r="J1581" s="395">
        <v>266</v>
      </c>
      <c r="K1581" s="395">
        <v>185</v>
      </c>
      <c r="L1581" s="397">
        <v>0.69550000000000001</v>
      </c>
      <c r="M1581" s="395">
        <v>81</v>
      </c>
      <c r="N1581" s="395">
        <v>-637</v>
      </c>
      <c r="O1581" s="396">
        <v>1678</v>
      </c>
      <c r="P1581" s="395">
        <v>0.28000000000000003</v>
      </c>
      <c r="Q1581" s="396">
        <v>-5924</v>
      </c>
      <c r="R1581" s="396">
        <v>6796</v>
      </c>
      <c r="S1581" s="396">
        <v>-28274</v>
      </c>
      <c r="T1581" s="396">
        <v>512918</v>
      </c>
      <c r="U1581" s="396">
        <v>-365452</v>
      </c>
      <c r="V1581" s="395">
        <v>9265.69</v>
      </c>
      <c r="W1581" s="395">
        <v>7600.44</v>
      </c>
      <c r="X1581" s="395">
        <v>77490</v>
      </c>
      <c r="Y1581" s="395">
        <v>13069.02</v>
      </c>
      <c r="Z1581" s="396">
        <v>-15304582</v>
      </c>
      <c r="AA1581" s="396">
        <v>-169400</v>
      </c>
      <c r="AB1581" s="396">
        <v>32440711</v>
      </c>
      <c r="AC1581" s="396">
        <v>10207916</v>
      </c>
    </row>
    <row r="1582" spans="1:29">
      <c r="A1582">
        <v>4556</v>
      </c>
      <c r="B1582" s="395" t="s">
        <v>7651</v>
      </c>
      <c r="C1582" s="395"/>
      <c r="D1582" s="396">
        <v>-172690</v>
      </c>
      <c r="E1582" s="396">
        <v>30017</v>
      </c>
      <c r="F1582" s="395">
        <v>-0.15</v>
      </c>
      <c r="G1582" s="396">
        <v>-202708</v>
      </c>
      <c r="H1582" s="396">
        <v>14392</v>
      </c>
      <c r="I1582" s="396">
        <v>2972888</v>
      </c>
      <c r="J1582" s="395">
        <v>112</v>
      </c>
      <c r="K1582" s="395">
        <v>23</v>
      </c>
      <c r="L1582" s="397">
        <v>0.2054</v>
      </c>
      <c r="M1582" s="395">
        <v>89</v>
      </c>
      <c r="N1582" s="396">
        <v>-1542</v>
      </c>
      <c r="O1582" s="396">
        <v>1305</v>
      </c>
      <c r="P1582" s="395">
        <v>0.56999999999999995</v>
      </c>
      <c r="Q1582" s="396">
        <v>-2278</v>
      </c>
      <c r="R1582" s="396">
        <v>2304</v>
      </c>
      <c r="S1582" s="396">
        <v>-7405</v>
      </c>
      <c r="T1582" s="396">
        <v>153927</v>
      </c>
      <c r="U1582" s="396">
        <v>-211771</v>
      </c>
      <c r="V1582" s="395">
        <v>22255.91</v>
      </c>
      <c r="W1582" s="395">
        <v>5999.35</v>
      </c>
      <c r="X1582" s="395">
        <v>59670</v>
      </c>
      <c r="Y1582" s="395">
        <v>26457.040000000001</v>
      </c>
      <c r="Z1582" s="396">
        <v>-8469081</v>
      </c>
      <c r="AA1582" s="396">
        <v>-172690</v>
      </c>
      <c r="AB1582" s="396">
        <v>-2026377</v>
      </c>
      <c r="AC1582" s="396">
        <v>10207916</v>
      </c>
    </row>
    <row r="1583" spans="1:29">
      <c r="A1583">
        <v>6239</v>
      </c>
      <c r="B1583" s="395" t="s">
        <v>8023</v>
      </c>
      <c r="C1583" s="395"/>
      <c r="D1583" s="396">
        <v>-173341</v>
      </c>
      <c r="E1583" s="396">
        <v>429343</v>
      </c>
      <c r="F1583" s="395">
        <v>-0.71</v>
      </c>
      <c r="G1583" s="396">
        <v>-602684</v>
      </c>
      <c r="H1583" s="396">
        <v>116723</v>
      </c>
      <c r="I1583" s="396">
        <v>14491489</v>
      </c>
      <c r="J1583" s="395">
        <v>284</v>
      </c>
      <c r="K1583" s="395">
        <v>180</v>
      </c>
      <c r="L1583" s="397">
        <v>0.63380000000000003</v>
      </c>
      <c r="M1583" s="395">
        <v>104</v>
      </c>
      <c r="N1583" s="395">
        <v>-610</v>
      </c>
      <c r="O1583" s="396">
        <v>2385</v>
      </c>
      <c r="P1583" s="395">
        <v>0.41</v>
      </c>
      <c r="Q1583" s="396">
        <v>-5795</v>
      </c>
      <c r="R1583" s="396">
        <v>10696</v>
      </c>
      <c r="S1583" s="396">
        <v>-17626</v>
      </c>
      <c r="T1583" s="396">
        <v>688088</v>
      </c>
      <c r="U1583" s="396">
        <v>-1239271</v>
      </c>
      <c r="V1583" s="395">
        <v>11124.23</v>
      </c>
      <c r="W1583" s="395">
        <v>4549.7700000000004</v>
      </c>
      <c r="X1583" s="395">
        <v>77490</v>
      </c>
      <c r="Y1583" s="395">
        <v>22503.11</v>
      </c>
      <c r="Z1583" s="396">
        <v>-1974603</v>
      </c>
      <c r="AA1583" s="396">
        <v>-173341</v>
      </c>
      <c r="AB1583" s="396">
        <v>3662516</v>
      </c>
      <c r="AC1583" s="396">
        <v>10207916</v>
      </c>
    </row>
    <row r="1584" spans="1:29">
      <c r="A1584">
        <v>3543</v>
      </c>
      <c r="B1584" s="395" t="s">
        <v>7469</v>
      </c>
      <c r="C1584" s="395"/>
      <c r="D1584" s="396">
        <v>-173448</v>
      </c>
      <c r="E1584" s="396">
        <v>106067</v>
      </c>
      <c r="F1584" s="395">
        <v>-0.38</v>
      </c>
      <c r="G1584" s="396">
        <v>-279515</v>
      </c>
      <c r="H1584" s="396">
        <v>22428</v>
      </c>
      <c r="I1584" s="396">
        <v>2540391</v>
      </c>
      <c r="J1584" s="395">
        <v>203</v>
      </c>
      <c r="K1584" s="395">
        <v>89</v>
      </c>
      <c r="L1584" s="397">
        <v>0.43840000000000001</v>
      </c>
      <c r="M1584" s="395">
        <v>114</v>
      </c>
      <c r="N1584" s="395">
        <v>-854</v>
      </c>
      <c r="O1584" s="396">
        <v>1192</v>
      </c>
      <c r="P1584" s="395">
        <v>0.49</v>
      </c>
      <c r="Q1584" s="396">
        <v>-2452</v>
      </c>
      <c r="R1584" s="396">
        <v>5093</v>
      </c>
      <c r="S1584" s="396">
        <v>-4355</v>
      </c>
      <c r="T1584" s="396">
        <v>180453</v>
      </c>
      <c r="U1584" s="396">
        <v>-442305</v>
      </c>
      <c r="V1584" s="395">
        <v>12913.13</v>
      </c>
      <c r="W1584" s="395">
        <v>3056.8</v>
      </c>
      <c r="X1584" s="395">
        <v>77490</v>
      </c>
      <c r="Y1584" s="395">
        <v>20607.98</v>
      </c>
      <c r="Z1584" s="396">
        <v>-13945002</v>
      </c>
      <c r="AA1584" s="396">
        <v>-173448</v>
      </c>
      <c r="AB1584" s="396">
        <v>-5647266</v>
      </c>
      <c r="AC1584" s="396">
        <v>10207916</v>
      </c>
    </row>
    <row r="1585" spans="1:29">
      <c r="A1585">
        <v>1434</v>
      </c>
      <c r="B1585" s="395" t="s">
        <v>6745</v>
      </c>
      <c r="C1585" s="395"/>
      <c r="D1585" s="396">
        <v>-173788</v>
      </c>
      <c r="E1585" s="396">
        <v>98208</v>
      </c>
      <c r="F1585" s="395">
        <v>-0.36</v>
      </c>
      <c r="G1585" s="396">
        <v>-271996</v>
      </c>
      <c r="H1585" s="396">
        <v>34348</v>
      </c>
      <c r="I1585" s="396">
        <v>4481046</v>
      </c>
      <c r="J1585" s="395">
        <v>285</v>
      </c>
      <c r="K1585" s="395">
        <v>125</v>
      </c>
      <c r="L1585" s="397">
        <v>0.43859999999999999</v>
      </c>
      <c r="M1585" s="395">
        <v>160</v>
      </c>
      <c r="N1585" s="395">
        <v>-610</v>
      </c>
      <c r="O1585" s="395">
        <v>786</v>
      </c>
      <c r="P1585" s="395">
        <v>0.46</v>
      </c>
      <c r="Q1585" s="396">
        <v>-1700</v>
      </c>
      <c r="R1585" s="396">
        <v>1979</v>
      </c>
      <c r="S1585" s="396">
        <v>-4432</v>
      </c>
      <c r="T1585" s="396">
        <v>148390</v>
      </c>
      <c r="U1585" s="396">
        <v>-281701</v>
      </c>
      <c r="V1585" s="395">
        <v>12592.07</v>
      </c>
      <c r="W1585" s="395">
        <v>2723.31</v>
      </c>
      <c r="X1585" s="395">
        <v>77490</v>
      </c>
      <c r="Y1585" s="395">
        <v>20302.03</v>
      </c>
      <c r="Z1585" s="396">
        <v>-5504833</v>
      </c>
      <c r="AA1585" s="396">
        <v>-173788</v>
      </c>
      <c r="AB1585" s="396">
        <v>-3585649</v>
      </c>
      <c r="AC1585" s="396">
        <v>10207916</v>
      </c>
    </row>
    <row r="1586" spans="1:29">
      <c r="A1586">
        <v>9929</v>
      </c>
      <c r="B1586" s="395" t="s">
        <v>8410</v>
      </c>
      <c r="C1586" s="395"/>
      <c r="D1586" s="396">
        <v>-174412</v>
      </c>
      <c r="E1586" s="396">
        <v>23644</v>
      </c>
      <c r="F1586" s="395">
        <v>-0.12</v>
      </c>
      <c r="G1586" s="396">
        <v>-198056</v>
      </c>
      <c r="H1586" s="396">
        <v>7689</v>
      </c>
      <c r="I1586" s="396">
        <v>1390560</v>
      </c>
      <c r="J1586" s="395">
        <v>176</v>
      </c>
      <c r="K1586" s="395">
        <v>43</v>
      </c>
      <c r="L1586" s="397">
        <v>0.24429999999999999</v>
      </c>
      <c r="M1586" s="395">
        <v>133</v>
      </c>
      <c r="N1586" s="395">
        <v>-991</v>
      </c>
      <c r="O1586" s="395">
        <v>550</v>
      </c>
      <c r="P1586" s="395">
        <v>0.37</v>
      </c>
      <c r="Q1586" s="396">
        <v>-1489</v>
      </c>
      <c r="R1586" s="396">
        <v>1646</v>
      </c>
      <c r="S1586" s="396">
        <v>-3829</v>
      </c>
      <c r="T1586" s="396">
        <v>46646</v>
      </c>
      <c r="U1586" s="396">
        <v>-200906</v>
      </c>
      <c r="V1586" s="395">
        <v>27669.74</v>
      </c>
      <c r="W1586" s="395">
        <v>3473.91</v>
      </c>
      <c r="X1586" s="395">
        <v>76950</v>
      </c>
      <c r="Y1586" s="395">
        <v>35492.449999999997</v>
      </c>
      <c r="Z1586" s="396">
        <v>-14123081</v>
      </c>
      <c r="AA1586" s="396">
        <v>-174412</v>
      </c>
      <c r="AB1586" s="396">
        <v>-17012240</v>
      </c>
      <c r="AC1586" s="396">
        <v>10207916</v>
      </c>
    </row>
    <row r="1587" spans="1:29">
      <c r="A1587">
        <v>4155</v>
      </c>
      <c r="B1587" s="395" t="s">
        <v>7582</v>
      </c>
      <c r="C1587" s="395"/>
      <c r="D1587" s="396">
        <v>-174774</v>
      </c>
      <c r="E1587" s="396">
        <v>50419</v>
      </c>
      <c r="F1587" s="395">
        <v>-0.22</v>
      </c>
      <c r="G1587" s="396">
        <v>-225193</v>
      </c>
      <c r="H1587" s="396">
        <v>22209</v>
      </c>
      <c r="I1587" s="396">
        <v>4579980</v>
      </c>
      <c r="J1587" s="395">
        <v>231</v>
      </c>
      <c r="K1587" s="395">
        <v>51</v>
      </c>
      <c r="L1587" s="397">
        <v>0.2208</v>
      </c>
      <c r="M1587" s="395">
        <v>180</v>
      </c>
      <c r="N1587" s="395">
        <v>-757</v>
      </c>
      <c r="O1587" s="395">
        <v>989</v>
      </c>
      <c r="P1587" s="395">
        <v>0.79</v>
      </c>
      <c r="Q1587" s="396">
        <v>-1251</v>
      </c>
      <c r="R1587" s="396">
        <v>2395</v>
      </c>
      <c r="S1587" s="396">
        <v>-3469</v>
      </c>
      <c r="T1587" s="396">
        <v>231257</v>
      </c>
      <c r="U1587" s="396">
        <v>-267945</v>
      </c>
      <c r="V1587" s="395">
        <v>28492.82</v>
      </c>
      <c r="W1587" s="395">
        <v>13426.92</v>
      </c>
      <c r="X1587" s="395">
        <v>77490</v>
      </c>
      <c r="Y1587" s="395">
        <v>32761.49</v>
      </c>
      <c r="Z1587" s="396">
        <v>-5658851</v>
      </c>
      <c r="AA1587" s="396">
        <v>-174774</v>
      </c>
      <c r="AB1587" s="396">
        <v>-6146119</v>
      </c>
      <c r="AC1587" s="396">
        <v>10207916</v>
      </c>
    </row>
    <row r="1588" spans="1:29">
      <c r="A1588">
        <v>5534</v>
      </c>
      <c r="B1588" s="395" t="s">
        <v>7873</v>
      </c>
      <c r="C1588" s="395"/>
      <c r="D1588" s="396">
        <v>-175956</v>
      </c>
      <c r="E1588" s="396">
        <v>130092</v>
      </c>
      <c r="F1588" s="395">
        <v>-0.43</v>
      </c>
      <c r="G1588" s="396">
        <v>-306048</v>
      </c>
      <c r="H1588" s="396">
        <v>84949</v>
      </c>
      <c r="I1588" s="396">
        <v>18209926</v>
      </c>
      <c r="J1588" s="395">
        <v>273</v>
      </c>
      <c r="K1588" s="395">
        <v>108</v>
      </c>
      <c r="L1588" s="397">
        <v>0.39560000000000001</v>
      </c>
      <c r="M1588" s="395">
        <v>165</v>
      </c>
      <c r="N1588" s="395">
        <v>-645</v>
      </c>
      <c r="O1588" s="396">
        <v>1205</v>
      </c>
      <c r="P1588" s="395">
        <v>0.65</v>
      </c>
      <c r="Q1588" s="396">
        <v>-1855</v>
      </c>
      <c r="R1588" s="396">
        <v>3565</v>
      </c>
      <c r="S1588" s="396">
        <v>-7056</v>
      </c>
      <c r="T1588" s="396">
        <v>1379627</v>
      </c>
      <c r="U1588" s="396">
        <v>-884637</v>
      </c>
      <c r="V1588" s="395">
        <v>29018.51</v>
      </c>
      <c r="W1588" s="395">
        <v>16819.97</v>
      </c>
      <c r="X1588" s="395">
        <v>77490</v>
      </c>
      <c r="Y1588" s="395">
        <v>37003.01</v>
      </c>
      <c r="Z1588" s="396">
        <v>-2183176</v>
      </c>
      <c r="AA1588" s="396">
        <v>-175956</v>
      </c>
      <c r="AB1588" s="396">
        <v>-964368</v>
      </c>
      <c r="AC1588" s="396">
        <v>10207916</v>
      </c>
    </row>
    <row r="1589" spans="1:29">
      <c r="A1589">
        <v>1216</v>
      </c>
      <c r="B1589" s="395" t="s">
        <v>6688</v>
      </c>
      <c r="C1589" s="395"/>
      <c r="D1589" s="396">
        <v>-178766</v>
      </c>
      <c r="E1589" s="396">
        <v>230076</v>
      </c>
      <c r="F1589" s="395">
        <v>-0.56000000000000005</v>
      </c>
      <c r="G1589" s="396">
        <v>-408842</v>
      </c>
      <c r="H1589" s="396">
        <v>79294</v>
      </c>
      <c r="I1589" s="396">
        <v>9702106</v>
      </c>
      <c r="J1589" s="395">
        <v>284</v>
      </c>
      <c r="K1589" s="395">
        <v>138</v>
      </c>
      <c r="L1589" s="397">
        <v>0.4859</v>
      </c>
      <c r="M1589" s="395">
        <v>146</v>
      </c>
      <c r="N1589" s="395">
        <v>-629</v>
      </c>
      <c r="O1589" s="396">
        <v>1667</v>
      </c>
      <c r="P1589" s="395">
        <v>0.6</v>
      </c>
      <c r="Q1589" s="396">
        <v>-2800</v>
      </c>
      <c r="R1589" s="396">
        <v>4402</v>
      </c>
      <c r="S1589" s="396">
        <v>-7694</v>
      </c>
      <c r="T1589" s="396">
        <v>428211</v>
      </c>
      <c r="U1589" s="396">
        <v>-610050</v>
      </c>
      <c r="V1589" s="395">
        <v>12072.35</v>
      </c>
      <c r="W1589" s="395">
        <v>3951.2</v>
      </c>
      <c r="X1589" s="395">
        <v>77490</v>
      </c>
      <c r="Y1589" s="395">
        <v>19748.5</v>
      </c>
      <c r="Z1589" s="396">
        <v>2178762</v>
      </c>
      <c r="AA1589" s="396">
        <v>-178766</v>
      </c>
      <c r="AB1589" s="396">
        <v>614260</v>
      </c>
      <c r="AC1589" s="396">
        <v>10207916</v>
      </c>
    </row>
    <row r="1590" spans="1:29">
      <c r="A1590">
        <v>2466</v>
      </c>
      <c r="B1590" s="395" t="s">
        <v>7084</v>
      </c>
      <c r="C1590" s="395"/>
      <c r="D1590" s="396">
        <v>-179670</v>
      </c>
      <c r="E1590" s="396">
        <v>135977</v>
      </c>
      <c r="F1590" s="395">
        <v>-0.43</v>
      </c>
      <c r="G1590" s="396">
        <v>-315647</v>
      </c>
      <c r="H1590" s="396">
        <v>33524</v>
      </c>
      <c r="I1590" s="396">
        <v>3205225</v>
      </c>
      <c r="J1590" s="395">
        <v>230</v>
      </c>
      <c r="K1590" s="395">
        <v>127</v>
      </c>
      <c r="L1590" s="397">
        <v>0.55220000000000002</v>
      </c>
      <c r="M1590" s="395">
        <v>103</v>
      </c>
      <c r="N1590" s="395">
        <v>-781</v>
      </c>
      <c r="O1590" s="396">
        <v>1071</v>
      </c>
      <c r="P1590" s="395">
        <v>0.35</v>
      </c>
      <c r="Q1590" s="396">
        <v>-3065</v>
      </c>
      <c r="R1590" s="396">
        <v>3218</v>
      </c>
      <c r="S1590" s="396">
        <v>-11337</v>
      </c>
      <c r="T1590" s="396">
        <v>208804</v>
      </c>
      <c r="U1590" s="396">
        <v>-312787</v>
      </c>
      <c r="V1590" s="395">
        <v>10536.96</v>
      </c>
      <c r="W1590" s="395">
        <v>4332.72</v>
      </c>
      <c r="X1590" s="395">
        <v>77490</v>
      </c>
      <c r="Y1590" s="395">
        <v>18186.830000000002</v>
      </c>
      <c r="Z1590" s="396">
        <v>-4590324</v>
      </c>
      <c r="AA1590" s="396">
        <v>-179670</v>
      </c>
      <c r="AB1590" s="396">
        <v>3677433</v>
      </c>
      <c r="AC1590" s="396">
        <v>10207916</v>
      </c>
    </row>
    <row r="1591" spans="1:29">
      <c r="A1591">
        <v>3372</v>
      </c>
      <c r="B1591" s="395" t="s">
        <v>7406</v>
      </c>
      <c r="C1591" s="395"/>
      <c r="D1591" s="396">
        <v>-181918</v>
      </c>
      <c r="E1591" s="396">
        <v>138385</v>
      </c>
      <c r="F1591" s="395">
        <v>-0.43</v>
      </c>
      <c r="G1591" s="396">
        <v>-320303</v>
      </c>
      <c r="H1591" s="396">
        <v>20368</v>
      </c>
      <c r="I1591" s="396">
        <v>1487144</v>
      </c>
      <c r="J1591" s="395">
        <v>235</v>
      </c>
      <c r="K1591" s="395">
        <v>133</v>
      </c>
      <c r="L1591" s="397">
        <v>0.56599999999999995</v>
      </c>
      <c r="M1591" s="395">
        <v>102</v>
      </c>
      <c r="N1591" s="395">
        <v>-774</v>
      </c>
      <c r="O1591" s="396">
        <v>1040</v>
      </c>
      <c r="P1591" s="395">
        <v>0.33</v>
      </c>
      <c r="Q1591" s="396">
        <v>-3140</v>
      </c>
      <c r="R1591" s="396">
        <v>3810</v>
      </c>
      <c r="S1591" s="396">
        <v>-9745</v>
      </c>
      <c r="T1591" s="396">
        <v>138346</v>
      </c>
      <c r="U1591" s="396">
        <v>-301575</v>
      </c>
      <c r="V1591" s="395">
        <v>4843.21</v>
      </c>
      <c r="W1591" s="395">
        <v>1433.59</v>
      </c>
      <c r="X1591" s="395">
        <v>77490</v>
      </c>
      <c r="Y1591" s="395">
        <v>9289.09</v>
      </c>
      <c r="Z1591" s="396">
        <v>-14554857</v>
      </c>
      <c r="AA1591" s="396">
        <v>-181918</v>
      </c>
      <c r="AB1591" s="396">
        <v>22000000</v>
      </c>
      <c r="AC1591" s="396">
        <v>10207916</v>
      </c>
    </row>
    <row r="1592" spans="1:29">
      <c r="A1592">
        <v>3294</v>
      </c>
      <c r="B1592" s="395" t="s">
        <v>7378</v>
      </c>
      <c r="C1592" s="395"/>
      <c r="D1592" s="396">
        <v>-187512</v>
      </c>
      <c r="E1592" s="396">
        <v>183460</v>
      </c>
      <c r="F1592" s="395">
        <v>-0.49</v>
      </c>
      <c r="G1592" s="396">
        <v>-370973</v>
      </c>
      <c r="H1592" s="396">
        <v>22701</v>
      </c>
      <c r="I1592" s="396">
        <v>1271353</v>
      </c>
      <c r="J1592" s="395">
        <v>253</v>
      </c>
      <c r="K1592" s="395">
        <v>162</v>
      </c>
      <c r="L1592" s="397">
        <v>0.64029999999999998</v>
      </c>
      <c r="M1592" s="395">
        <v>91</v>
      </c>
      <c r="N1592" s="395">
        <v>-741</v>
      </c>
      <c r="O1592" s="396">
        <v>1132</v>
      </c>
      <c r="P1592" s="395">
        <v>0.28000000000000003</v>
      </c>
      <c r="Q1592" s="396">
        <v>-4077</v>
      </c>
      <c r="R1592" s="396">
        <v>3180</v>
      </c>
      <c r="S1592" s="396">
        <v>-18422</v>
      </c>
      <c r="T1592" s="396">
        <v>210347</v>
      </c>
      <c r="U1592" s="396">
        <v>-337496</v>
      </c>
      <c r="V1592" s="395">
        <v>4748.96</v>
      </c>
      <c r="W1592" s="395">
        <v>2434.4699999999998</v>
      </c>
      <c r="X1592" s="395">
        <v>77490</v>
      </c>
      <c r="Y1592" s="395">
        <v>8869.26</v>
      </c>
      <c r="Z1592" s="396">
        <v>-19483633</v>
      </c>
      <c r="AA1592" s="396">
        <v>-187512</v>
      </c>
      <c r="AB1592" s="396">
        <v>165138</v>
      </c>
      <c r="AC1592" s="396">
        <v>10207916</v>
      </c>
    </row>
    <row r="1593" spans="1:29">
      <c r="A1593">
        <v>1904</v>
      </c>
      <c r="B1593" s="395" t="s">
        <v>6900</v>
      </c>
      <c r="C1593" s="395"/>
      <c r="D1593" s="396">
        <v>-189707</v>
      </c>
      <c r="E1593" s="396">
        <v>126891</v>
      </c>
      <c r="F1593" s="395">
        <v>-0.4</v>
      </c>
      <c r="G1593" s="396">
        <v>-316598</v>
      </c>
      <c r="H1593" s="396">
        <v>39541</v>
      </c>
      <c r="I1593" s="396">
        <v>5688872</v>
      </c>
      <c r="J1593" s="395">
        <v>267</v>
      </c>
      <c r="K1593" s="395">
        <v>131</v>
      </c>
      <c r="L1593" s="397">
        <v>0.49059999999999998</v>
      </c>
      <c r="M1593" s="395">
        <v>136</v>
      </c>
      <c r="N1593" s="395">
        <v>-711</v>
      </c>
      <c r="O1593" s="395">
        <v>969</v>
      </c>
      <c r="P1593" s="395">
        <v>0.42</v>
      </c>
      <c r="Q1593" s="396">
        <v>-2328</v>
      </c>
      <c r="R1593" s="396">
        <v>3529</v>
      </c>
      <c r="S1593" s="396">
        <v>-12531</v>
      </c>
      <c r="T1593" s="396">
        <v>372029</v>
      </c>
      <c r="U1593" s="396">
        <v>-421455</v>
      </c>
      <c r="V1593" s="395">
        <v>14295.24</v>
      </c>
      <c r="W1593" s="395">
        <v>6095.01</v>
      </c>
      <c r="X1593" s="395">
        <v>77490</v>
      </c>
      <c r="Y1593" s="395">
        <v>22193.99</v>
      </c>
      <c r="Z1593" s="396">
        <v>-4945733</v>
      </c>
      <c r="AA1593" s="396">
        <v>-189707</v>
      </c>
      <c r="AB1593" s="396">
        <v>2325050</v>
      </c>
      <c r="AC1593" s="396">
        <v>10207916</v>
      </c>
    </row>
    <row r="1594" spans="1:29">
      <c r="A1594">
        <v>4976</v>
      </c>
      <c r="B1594" s="395" t="s">
        <v>7742</v>
      </c>
      <c r="C1594" s="395"/>
      <c r="D1594" s="396">
        <v>-192348</v>
      </c>
      <c r="E1594" s="396">
        <v>808051</v>
      </c>
      <c r="F1594" s="395">
        <v>-0.81</v>
      </c>
      <c r="G1594" s="396">
        <v>-1000399</v>
      </c>
      <c r="H1594" s="396">
        <v>85548</v>
      </c>
      <c r="I1594" s="396">
        <v>4083443</v>
      </c>
      <c r="J1594" s="395">
        <v>273</v>
      </c>
      <c r="K1594" s="395">
        <v>177</v>
      </c>
      <c r="L1594" s="397">
        <v>0.64839999999999998</v>
      </c>
      <c r="M1594" s="395">
        <v>96</v>
      </c>
      <c r="N1594" s="395">
        <v>-705</v>
      </c>
      <c r="O1594" s="396">
        <v>4565</v>
      </c>
      <c r="P1594" s="395">
        <v>0.44</v>
      </c>
      <c r="Q1594" s="396">
        <v>-10421</v>
      </c>
      <c r="R1594" s="396">
        <v>22115</v>
      </c>
      <c r="S1594" s="396">
        <v>-28887</v>
      </c>
      <c r="T1594" s="396">
        <v>868900</v>
      </c>
      <c r="U1594" s="396">
        <v>-799835</v>
      </c>
      <c r="V1594" s="395">
        <v>4458.12</v>
      </c>
      <c r="W1594" s="395">
        <v>2293.0500000000002</v>
      </c>
      <c r="X1594" s="395">
        <v>77490</v>
      </c>
      <c r="Y1594" s="395">
        <v>8449.9599999999991</v>
      </c>
      <c r="Z1594" s="396">
        <v>-13073002</v>
      </c>
      <c r="AA1594" s="396">
        <v>-192348</v>
      </c>
      <c r="AB1594" s="396">
        <v>-14717862</v>
      </c>
      <c r="AC1594" s="396">
        <v>10207916</v>
      </c>
    </row>
    <row r="1595" spans="1:29">
      <c r="A1595">
        <v>2752</v>
      </c>
      <c r="B1595" s="395" t="s">
        <v>7188</v>
      </c>
      <c r="C1595" s="395"/>
      <c r="D1595" s="396">
        <v>-194497</v>
      </c>
      <c r="E1595" s="396">
        <v>452188</v>
      </c>
      <c r="F1595" s="395">
        <v>-0.7</v>
      </c>
      <c r="G1595" s="396">
        <v>-646685</v>
      </c>
      <c r="H1595" s="396">
        <v>79756</v>
      </c>
      <c r="I1595" s="396">
        <v>18459592</v>
      </c>
      <c r="J1595" s="395">
        <v>124</v>
      </c>
      <c r="K1595" s="395">
        <v>81</v>
      </c>
      <c r="L1595" s="397">
        <v>0.6532</v>
      </c>
      <c r="M1595" s="395">
        <v>43</v>
      </c>
      <c r="N1595" s="396">
        <v>-1569</v>
      </c>
      <c r="O1595" s="396">
        <v>5583</v>
      </c>
      <c r="P1595" s="395">
        <v>0.37</v>
      </c>
      <c r="Q1595" s="396">
        <v>-15039</v>
      </c>
      <c r="R1595" s="396">
        <v>24917</v>
      </c>
      <c r="S1595" s="396">
        <v>-23179</v>
      </c>
      <c r="T1595" s="396">
        <v>2190699</v>
      </c>
      <c r="U1595" s="396">
        <v>-2315843</v>
      </c>
      <c r="V1595" s="395">
        <v>37148.959999999999</v>
      </c>
      <c r="W1595" s="395">
        <v>27488.05</v>
      </c>
      <c r="X1595" s="395">
        <v>74790</v>
      </c>
      <c r="Y1595" s="395">
        <v>55347.42</v>
      </c>
      <c r="Z1595" s="396">
        <v>-4071142</v>
      </c>
      <c r="AA1595" s="396">
        <v>-194497</v>
      </c>
      <c r="AB1595" s="396">
        <v>-1098798</v>
      </c>
      <c r="AC1595" s="396">
        <v>10207916</v>
      </c>
    </row>
    <row r="1596" spans="1:29">
      <c r="A1596">
        <v>9934</v>
      </c>
      <c r="B1596" s="395" t="s">
        <v>8414</v>
      </c>
      <c r="C1596" s="395"/>
      <c r="D1596" s="396">
        <v>-195087</v>
      </c>
      <c r="E1596" s="396">
        <v>47064</v>
      </c>
      <c r="F1596" s="395">
        <v>-0.19</v>
      </c>
      <c r="G1596" s="396">
        <v>-242151</v>
      </c>
      <c r="H1596" s="396">
        <v>15750</v>
      </c>
      <c r="I1596" s="396">
        <v>2215106</v>
      </c>
      <c r="J1596" s="395">
        <v>252</v>
      </c>
      <c r="K1596" s="395">
        <v>99</v>
      </c>
      <c r="L1596" s="397">
        <v>0.39290000000000003</v>
      </c>
      <c r="M1596" s="395">
        <v>153</v>
      </c>
      <c r="N1596" s="395">
        <v>-774</v>
      </c>
      <c r="O1596" s="395">
        <v>475</v>
      </c>
      <c r="P1596" s="395">
        <v>0.3</v>
      </c>
      <c r="Q1596" s="396">
        <v>-1583</v>
      </c>
      <c r="R1596" s="396">
        <v>2086</v>
      </c>
      <c r="S1596" s="396">
        <v>-3778</v>
      </c>
      <c r="T1596" s="396">
        <v>66181</v>
      </c>
      <c r="U1596" s="396">
        <v>-233929</v>
      </c>
      <c r="V1596" s="395">
        <v>14796.84</v>
      </c>
      <c r="W1596" s="395">
        <v>2628.13</v>
      </c>
      <c r="X1596" s="395">
        <v>77490</v>
      </c>
      <c r="Y1596" s="395">
        <v>22670.71</v>
      </c>
      <c r="Z1596" s="396">
        <v>-7775089</v>
      </c>
      <c r="AA1596" s="396">
        <v>-195087</v>
      </c>
      <c r="AB1596" s="396">
        <v>-3189813</v>
      </c>
      <c r="AC1596" s="396">
        <v>10207916</v>
      </c>
    </row>
    <row r="1597" spans="1:29">
      <c r="A1597">
        <v>1313</v>
      </c>
      <c r="B1597" s="395" t="s">
        <v>6717</v>
      </c>
      <c r="C1597" s="395"/>
      <c r="D1597" s="396">
        <v>-197968</v>
      </c>
      <c r="E1597" s="396">
        <v>126039</v>
      </c>
      <c r="F1597" s="395">
        <v>-0.39</v>
      </c>
      <c r="G1597" s="396">
        <v>-324007</v>
      </c>
      <c r="H1597" s="396">
        <v>23208</v>
      </c>
      <c r="I1597" s="396">
        <v>2028478</v>
      </c>
      <c r="J1597" s="395">
        <v>261</v>
      </c>
      <c r="K1597" s="395">
        <v>142</v>
      </c>
      <c r="L1597" s="397">
        <v>0.54410000000000003</v>
      </c>
      <c r="M1597" s="395">
        <v>118</v>
      </c>
      <c r="N1597" s="395">
        <v>-758</v>
      </c>
      <c r="O1597" s="395">
        <v>888</v>
      </c>
      <c r="P1597" s="395">
        <v>0.32</v>
      </c>
      <c r="Q1597" s="396">
        <v>-2746</v>
      </c>
      <c r="R1597" s="396">
        <v>4857</v>
      </c>
      <c r="S1597" s="396">
        <v>-6389</v>
      </c>
      <c r="T1597" s="396">
        <v>178686</v>
      </c>
      <c r="U1597" s="396">
        <v>-309949</v>
      </c>
      <c r="V1597" s="395">
        <v>6575.79</v>
      </c>
      <c r="W1597" s="395">
        <v>1185.94</v>
      </c>
      <c r="X1597" s="395">
        <v>77490</v>
      </c>
      <c r="Y1597" s="395">
        <v>13117.41</v>
      </c>
      <c r="Z1597" s="396">
        <v>-14738025</v>
      </c>
      <c r="AA1597" s="396">
        <v>-197968</v>
      </c>
      <c r="AB1597" s="396">
        <v>2081669</v>
      </c>
      <c r="AC1597" s="396">
        <v>10207916</v>
      </c>
    </row>
    <row r="1598" spans="1:29">
      <c r="A1598">
        <v>1522</v>
      </c>
      <c r="B1598" s="395" t="s">
        <v>6795</v>
      </c>
      <c r="C1598" s="395"/>
      <c r="D1598" s="396">
        <v>-205119</v>
      </c>
      <c r="E1598" s="396">
        <v>80978</v>
      </c>
      <c r="F1598" s="395">
        <v>-0.28000000000000003</v>
      </c>
      <c r="G1598" s="396">
        <v>-286097</v>
      </c>
      <c r="H1598" s="396">
        <v>20967</v>
      </c>
      <c r="I1598" s="396">
        <v>2635549</v>
      </c>
      <c r="J1598" s="395">
        <v>250</v>
      </c>
      <c r="K1598" s="395">
        <v>98</v>
      </c>
      <c r="L1598" s="397">
        <v>0.39200000000000002</v>
      </c>
      <c r="M1598" s="395">
        <v>152</v>
      </c>
      <c r="N1598" s="395">
        <v>-820</v>
      </c>
      <c r="O1598" s="395">
        <v>826</v>
      </c>
      <c r="P1598" s="395">
        <v>0.44</v>
      </c>
      <c r="Q1598" s="396">
        <v>-1882</v>
      </c>
      <c r="R1598" s="396">
        <v>3317</v>
      </c>
      <c r="S1598" s="396">
        <v>-4635</v>
      </c>
      <c r="T1598" s="396">
        <v>92686</v>
      </c>
      <c r="U1598" s="396">
        <v>-268959</v>
      </c>
      <c r="V1598" s="395">
        <v>13955.26</v>
      </c>
      <c r="W1598" s="395">
        <v>3116.24</v>
      </c>
      <c r="X1598" s="395">
        <v>77490</v>
      </c>
      <c r="Y1598" s="395">
        <v>20943.57</v>
      </c>
      <c r="Z1598" s="396">
        <v>-16124404</v>
      </c>
      <c r="AA1598" s="396">
        <v>-205119</v>
      </c>
      <c r="AB1598" s="396">
        <v>-11363236</v>
      </c>
      <c r="AC1598" s="396">
        <v>10207916</v>
      </c>
    </row>
    <row r="1599" spans="1:29">
      <c r="A1599">
        <v>4192</v>
      </c>
      <c r="B1599" s="395" t="s">
        <v>7598</v>
      </c>
      <c r="C1599" s="395"/>
      <c r="D1599" s="396">
        <v>-210116</v>
      </c>
      <c r="E1599" s="396">
        <v>360818</v>
      </c>
      <c r="F1599" s="395">
        <v>-0.63</v>
      </c>
      <c r="G1599" s="396">
        <v>-570934</v>
      </c>
      <c r="H1599" s="396">
        <v>42766</v>
      </c>
      <c r="I1599" s="396">
        <v>1677498</v>
      </c>
      <c r="J1599" s="395">
        <v>176</v>
      </c>
      <c r="K1599" s="395">
        <v>132</v>
      </c>
      <c r="L1599" s="397">
        <v>0.75</v>
      </c>
      <c r="M1599" s="395">
        <v>44</v>
      </c>
      <c r="N1599" s="396">
        <v>-1194</v>
      </c>
      <c r="O1599" s="396">
        <v>2733</v>
      </c>
      <c r="P1599" s="395">
        <v>0.21</v>
      </c>
      <c r="Q1599" s="396">
        <v>-12976</v>
      </c>
      <c r="R1599" s="396">
        <v>10981</v>
      </c>
      <c r="S1599" s="396">
        <v>-105250</v>
      </c>
      <c r="T1599" s="396">
        <v>428750</v>
      </c>
      <c r="U1599" s="396">
        <v>-680004</v>
      </c>
      <c r="V1599" s="395">
        <v>5055.76</v>
      </c>
      <c r="W1599" s="395">
        <v>3673.7</v>
      </c>
      <c r="X1599" s="395">
        <v>77220</v>
      </c>
      <c r="Y1599" s="395">
        <v>9201.9500000000007</v>
      </c>
      <c r="Z1599" s="396">
        <v>-30878377</v>
      </c>
      <c r="AA1599" s="396">
        <v>-210116</v>
      </c>
      <c r="AB1599" s="396">
        <v>-12873539</v>
      </c>
      <c r="AC1599" s="396">
        <v>10207916</v>
      </c>
    </row>
    <row r="1600" spans="1:29">
      <c r="A1600">
        <v>2241</v>
      </c>
      <c r="B1600" s="395" t="s">
        <v>6968</v>
      </c>
      <c r="C1600" s="395"/>
      <c r="D1600" s="396">
        <v>-213896</v>
      </c>
      <c r="E1600" s="396">
        <v>275891</v>
      </c>
      <c r="F1600" s="395">
        <v>-0.56000000000000005</v>
      </c>
      <c r="G1600" s="396">
        <v>-489787</v>
      </c>
      <c r="H1600" s="396">
        <v>51861</v>
      </c>
      <c r="I1600" s="396">
        <v>3843458</v>
      </c>
      <c r="J1600" s="395">
        <v>234</v>
      </c>
      <c r="K1600" s="395">
        <v>137</v>
      </c>
      <c r="L1600" s="397">
        <v>0.58550000000000002</v>
      </c>
      <c r="M1600" s="395">
        <v>97</v>
      </c>
      <c r="N1600" s="395">
        <v>-914</v>
      </c>
      <c r="O1600" s="396">
        <v>2014</v>
      </c>
      <c r="P1600" s="395">
        <v>0.4</v>
      </c>
      <c r="Q1600" s="396">
        <v>-5049</v>
      </c>
      <c r="R1600" s="396">
        <v>7392</v>
      </c>
      <c r="S1600" s="396">
        <v>-15611</v>
      </c>
      <c r="T1600" s="396">
        <v>263772</v>
      </c>
      <c r="U1600" s="396">
        <v>-455830</v>
      </c>
      <c r="V1600" s="395">
        <v>5447.56</v>
      </c>
      <c r="W1600" s="395">
        <v>1640.71</v>
      </c>
      <c r="X1600" s="395">
        <v>77490</v>
      </c>
      <c r="Y1600" s="395">
        <v>10824.26</v>
      </c>
      <c r="Z1600" s="396">
        <v>-13106907</v>
      </c>
      <c r="AA1600" s="396">
        <v>-213896</v>
      </c>
      <c r="AB1600" s="396">
        <v>-9267695</v>
      </c>
      <c r="AC1600" s="396">
        <v>10207916</v>
      </c>
    </row>
    <row r="1601" spans="1:29">
      <c r="A1601">
        <v>2496</v>
      </c>
      <c r="B1601" s="395" t="s">
        <v>7106</v>
      </c>
      <c r="C1601" s="395"/>
      <c r="D1601" s="396">
        <v>-218190</v>
      </c>
      <c r="E1601" s="396">
        <v>78952</v>
      </c>
      <c r="F1601" s="395">
        <v>-0.27</v>
      </c>
      <c r="G1601" s="396">
        <v>-297142</v>
      </c>
      <c r="H1601" s="396">
        <v>26091</v>
      </c>
      <c r="I1601" s="396">
        <v>5229341</v>
      </c>
      <c r="J1601" s="395">
        <v>124</v>
      </c>
      <c r="K1601" s="395">
        <v>26</v>
      </c>
      <c r="L1601" s="397">
        <v>0.2097</v>
      </c>
      <c r="M1601" s="395">
        <v>98</v>
      </c>
      <c r="N1601" s="396">
        <v>-1760</v>
      </c>
      <c r="O1601" s="396">
        <v>3037</v>
      </c>
      <c r="P1601" s="395">
        <v>1</v>
      </c>
      <c r="Q1601" s="396">
        <v>-3032</v>
      </c>
      <c r="R1601" s="396">
        <v>6189</v>
      </c>
      <c r="S1601" s="396">
        <v>-9362</v>
      </c>
      <c r="T1601" s="396">
        <v>157136</v>
      </c>
      <c r="U1601" s="396">
        <v>-339725</v>
      </c>
      <c r="V1601" s="395">
        <v>29484.67</v>
      </c>
      <c r="W1601" s="395">
        <v>7657.58</v>
      </c>
      <c r="X1601" s="395">
        <v>77490</v>
      </c>
      <c r="Y1601" s="395">
        <v>35275.53</v>
      </c>
      <c r="Z1601" s="396">
        <v>-7744418</v>
      </c>
      <c r="AA1601" s="396">
        <v>-218190</v>
      </c>
      <c r="AB1601" s="396">
        <v>-3715856</v>
      </c>
      <c r="AC1601" s="396">
        <v>10207916</v>
      </c>
    </row>
    <row r="1602" spans="1:29">
      <c r="A1602">
        <v>2109</v>
      </c>
      <c r="B1602" s="395" t="s">
        <v>6950</v>
      </c>
      <c r="C1602" s="395"/>
      <c r="D1602" s="396">
        <v>-218461</v>
      </c>
      <c r="E1602" s="396">
        <v>43844</v>
      </c>
      <c r="F1602" s="395">
        <v>-0.17</v>
      </c>
      <c r="G1602" s="396">
        <v>-262305</v>
      </c>
      <c r="H1602" s="396">
        <v>15231</v>
      </c>
      <c r="I1602" s="396">
        <v>2528051</v>
      </c>
      <c r="J1602" s="395">
        <v>230</v>
      </c>
      <c r="K1602" s="395">
        <v>68</v>
      </c>
      <c r="L1602" s="397">
        <v>0.29570000000000002</v>
      </c>
      <c r="M1602" s="395">
        <v>161</v>
      </c>
      <c r="N1602" s="395">
        <v>-950</v>
      </c>
      <c r="O1602" s="395">
        <v>645</v>
      </c>
      <c r="P1602" s="395">
        <v>0.4</v>
      </c>
      <c r="Q1602" s="396">
        <v>-1629</v>
      </c>
      <c r="R1602" s="396">
        <v>2169</v>
      </c>
      <c r="S1602" s="396">
        <v>-5869</v>
      </c>
      <c r="T1602" s="396">
        <v>113184</v>
      </c>
      <c r="U1602" s="396">
        <v>-266135</v>
      </c>
      <c r="V1602" s="395">
        <v>16351.58</v>
      </c>
      <c r="W1602" s="395">
        <v>1343.35</v>
      </c>
      <c r="X1602" s="395">
        <v>75600</v>
      </c>
      <c r="Y1602" s="395">
        <v>22746.03</v>
      </c>
      <c r="Z1602" s="396">
        <v>-18215099</v>
      </c>
      <c r="AA1602" s="396">
        <v>-218461</v>
      </c>
      <c r="AB1602" s="396">
        <v>-356216</v>
      </c>
      <c r="AC1602" s="396">
        <v>10207916</v>
      </c>
    </row>
    <row r="1603" spans="1:29">
      <c r="A1603">
        <v>3663</v>
      </c>
      <c r="B1603" s="395" t="s">
        <v>7518</v>
      </c>
      <c r="C1603" s="395"/>
      <c r="D1603" s="396">
        <v>-218864</v>
      </c>
      <c r="E1603" s="396">
        <v>177116</v>
      </c>
      <c r="F1603" s="395">
        <v>-0.45</v>
      </c>
      <c r="G1603" s="396">
        <v>-395980</v>
      </c>
      <c r="H1603" s="396">
        <v>30664</v>
      </c>
      <c r="I1603" s="396">
        <v>2624535</v>
      </c>
      <c r="J1603" s="395">
        <v>249</v>
      </c>
      <c r="K1603" s="395">
        <v>145</v>
      </c>
      <c r="L1603" s="397">
        <v>0.58230000000000004</v>
      </c>
      <c r="M1603" s="395">
        <v>104</v>
      </c>
      <c r="N1603" s="395">
        <v>-879</v>
      </c>
      <c r="O1603" s="396">
        <v>1221</v>
      </c>
      <c r="P1603" s="395">
        <v>0.32</v>
      </c>
      <c r="Q1603" s="396">
        <v>-3808</v>
      </c>
      <c r="R1603" s="396">
        <v>7842</v>
      </c>
      <c r="S1603" s="396">
        <v>-13798</v>
      </c>
      <c r="T1603" s="396">
        <v>378270</v>
      </c>
      <c r="U1603" s="396">
        <v>-387866</v>
      </c>
      <c r="V1603" s="395">
        <v>5159.6899999999996</v>
      </c>
      <c r="W1603" s="395">
        <v>1316.42</v>
      </c>
      <c r="X1603" s="395">
        <v>77490</v>
      </c>
      <c r="Y1603" s="395">
        <v>10518.1</v>
      </c>
      <c r="Z1603" s="396">
        <v>-13719576</v>
      </c>
      <c r="AA1603" s="396">
        <v>-218864</v>
      </c>
      <c r="AB1603" s="396">
        <v>16388261</v>
      </c>
      <c r="AC1603" s="396">
        <v>10207916</v>
      </c>
    </row>
    <row r="1604" spans="1:29">
      <c r="A1604">
        <v>4175</v>
      </c>
      <c r="B1604" s="395" t="s">
        <v>7594</v>
      </c>
      <c r="C1604" s="395"/>
      <c r="D1604" s="396">
        <v>-231234</v>
      </c>
      <c r="E1604" s="396">
        <v>119227</v>
      </c>
      <c r="F1604" s="395">
        <v>-0.34</v>
      </c>
      <c r="G1604" s="396">
        <v>-350461</v>
      </c>
      <c r="H1604" s="396">
        <v>44212</v>
      </c>
      <c r="I1604" s="396">
        <v>5180704</v>
      </c>
      <c r="J1604" s="395">
        <v>151</v>
      </c>
      <c r="K1604" s="395">
        <v>67</v>
      </c>
      <c r="L1604" s="397">
        <v>0.44369999999999998</v>
      </c>
      <c r="M1604" s="395">
        <v>84</v>
      </c>
      <c r="N1604" s="396">
        <v>-1531</v>
      </c>
      <c r="O1604" s="396">
        <v>1780</v>
      </c>
      <c r="P1604" s="395">
        <v>0.43</v>
      </c>
      <c r="Q1604" s="396">
        <v>-4172</v>
      </c>
      <c r="R1604" s="396">
        <v>4103</v>
      </c>
      <c r="S1604" s="396">
        <v>-21243</v>
      </c>
      <c r="T1604" s="396">
        <v>162417</v>
      </c>
      <c r="U1604" s="396">
        <v>-340844</v>
      </c>
      <c r="V1604" s="395">
        <v>10980.83</v>
      </c>
      <c r="W1604" s="395">
        <v>4864.6000000000004</v>
      </c>
      <c r="X1604" s="395">
        <v>77490</v>
      </c>
      <c r="Y1604" s="395">
        <v>15859.26</v>
      </c>
      <c r="Z1604" s="396">
        <v>-4650875</v>
      </c>
      <c r="AA1604" s="396">
        <v>-231234</v>
      </c>
      <c r="AB1604" s="396">
        <v>3434929</v>
      </c>
      <c r="AC1604" s="396">
        <v>10207916</v>
      </c>
    </row>
    <row r="1605" spans="1:29">
      <c r="A1605">
        <v>3443</v>
      </c>
      <c r="B1605" s="395" t="s">
        <v>7426</v>
      </c>
      <c r="C1605" s="395"/>
      <c r="D1605" s="396">
        <v>-232328</v>
      </c>
      <c r="E1605" s="396">
        <v>2736694</v>
      </c>
      <c r="F1605" s="395">
        <v>-0.92</v>
      </c>
      <c r="G1605" s="396">
        <v>-2969022</v>
      </c>
      <c r="H1605" s="396">
        <v>517082</v>
      </c>
      <c r="I1605" s="396">
        <v>24207168</v>
      </c>
      <c r="J1605" s="395">
        <v>282</v>
      </c>
      <c r="K1605" s="395">
        <v>207</v>
      </c>
      <c r="L1605" s="397">
        <v>0.73399999999999999</v>
      </c>
      <c r="M1605" s="395">
        <v>75</v>
      </c>
      <c r="N1605" s="395">
        <v>-824</v>
      </c>
      <c r="O1605" s="396">
        <v>13221</v>
      </c>
      <c r="P1605" s="395">
        <v>0.33</v>
      </c>
      <c r="Q1605" s="396">
        <v>-39587</v>
      </c>
      <c r="R1605" s="396">
        <v>45090</v>
      </c>
      <c r="S1605" s="396">
        <v>-190228</v>
      </c>
      <c r="T1605" s="396">
        <v>2314582</v>
      </c>
      <c r="U1605" s="396">
        <v>-3393281</v>
      </c>
      <c r="V1605" s="395">
        <v>2077.4299999999998</v>
      </c>
      <c r="W1605" s="395">
        <v>825.12</v>
      </c>
      <c r="X1605" s="395">
        <v>77490</v>
      </c>
      <c r="Y1605" s="395">
        <v>5533.83</v>
      </c>
      <c r="Z1605" s="396">
        <v>1636672</v>
      </c>
      <c r="AA1605" s="396">
        <v>-232328</v>
      </c>
      <c r="AB1605" s="396">
        <v>17252176</v>
      </c>
      <c r="AC1605" s="396">
        <v>10207916</v>
      </c>
    </row>
    <row r="1606" spans="1:29">
      <c r="A1606">
        <v>2488</v>
      </c>
      <c r="B1606" s="395" t="s">
        <v>7100</v>
      </c>
      <c r="C1606" s="395"/>
      <c r="D1606" s="396">
        <v>-233151</v>
      </c>
      <c r="E1606" s="396">
        <v>36648</v>
      </c>
      <c r="F1606" s="395">
        <v>-0.14000000000000001</v>
      </c>
      <c r="G1606" s="396">
        <v>-269799</v>
      </c>
      <c r="H1606" s="396">
        <v>25592</v>
      </c>
      <c r="I1606" s="396">
        <v>4798640</v>
      </c>
      <c r="J1606" s="395">
        <v>220</v>
      </c>
      <c r="K1606" s="395">
        <v>44</v>
      </c>
      <c r="L1606" s="397">
        <v>0.2</v>
      </c>
      <c r="M1606" s="395">
        <v>176</v>
      </c>
      <c r="N1606" s="396">
        <v>-1060</v>
      </c>
      <c r="O1606" s="395">
        <v>833</v>
      </c>
      <c r="P1606" s="395">
        <v>0.54</v>
      </c>
      <c r="Q1606" s="396">
        <v>-1533</v>
      </c>
      <c r="R1606" s="396">
        <v>1830</v>
      </c>
      <c r="S1606" s="396">
        <v>-7750</v>
      </c>
      <c r="T1606" s="396">
        <v>302557</v>
      </c>
      <c r="U1606" s="396">
        <v>-379643</v>
      </c>
      <c r="V1606" s="395">
        <v>24091.72</v>
      </c>
      <c r="W1606" s="395">
        <v>1829.39</v>
      </c>
      <c r="X1606" s="395">
        <v>77490</v>
      </c>
      <c r="Y1606" s="395">
        <v>29657.31</v>
      </c>
      <c r="Z1606" s="396">
        <v>-9112749</v>
      </c>
      <c r="AA1606" s="396">
        <v>-233151</v>
      </c>
      <c r="AB1606" s="396">
        <v>-5320166</v>
      </c>
      <c r="AC1606" s="396">
        <v>10207916</v>
      </c>
    </row>
    <row r="1607" spans="1:29">
      <c r="A1607">
        <v>3167</v>
      </c>
      <c r="B1607" s="395" t="s">
        <v>7332</v>
      </c>
      <c r="C1607" s="395"/>
      <c r="D1607" s="396">
        <v>-234667</v>
      </c>
      <c r="E1607" s="396">
        <v>545206</v>
      </c>
      <c r="F1607" s="395">
        <v>-0.7</v>
      </c>
      <c r="G1607" s="396">
        <v>-779873</v>
      </c>
      <c r="H1607" s="396">
        <v>75826</v>
      </c>
      <c r="I1607" s="396">
        <v>3348867</v>
      </c>
      <c r="J1607" s="395">
        <v>267</v>
      </c>
      <c r="K1607" s="395">
        <v>185</v>
      </c>
      <c r="L1607" s="397">
        <v>0.69289999999999996</v>
      </c>
      <c r="M1607" s="395">
        <v>82</v>
      </c>
      <c r="N1607" s="395">
        <v>-879</v>
      </c>
      <c r="O1607" s="396">
        <v>2947</v>
      </c>
      <c r="P1607" s="395">
        <v>0.31</v>
      </c>
      <c r="Q1607" s="396">
        <v>-9511</v>
      </c>
      <c r="R1607" s="396">
        <v>12155</v>
      </c>
      <c r="S1607" s="396">
        <v>-43358</v>
      </c>
      <c r="T1607" s="396">
        <v>551340</v>
      </c>
      <c r="U1607" s="396">
        <v>-721046</v>
      </c>
      <c r="V1607" s="395">
        <v>2906.96</v>
      </c>
      <c r="W1607" s="395">
        <v>1599.91</v>
      </c>
      <c r="X1607" s="395">
        <v>77490</v>
      </c>
      <c r="Y1607" s="395">
        <v>5855.79</v>
      </c>
      <c r="Z1607" s="396">
        <v>-14986645</v>
      </c>
      <c r="AA1607" s="396">
        <v>-234667</v>
      </c>
      <c r="AB1607" s="396">
        <v>26235097</v>
      </c>
      <c r="AC1607" s="396">
        <v>10207916</v>
      </c>
    </row>
    <row r="1608" spans="1:29">
      <c r="A1608">
        <v>5438</v>
      </c>
      <c r="B1608" s="395" t="s">
        <v>7832</v>
      </c>
      <c r="C1608" s="395"/>
      <c r="D1608" s="396">
        <v>-235435</v>
      </c>
      <c r="E1608" s="396">
        <v>62146</v>
      </c>
      <c r="F1608" s="395">
        <v>-0.21</v>
      </c>
      <c r="G1608" s="396">
        <v>-297581</v>
      </c>
      <c r="H1608" s="396">
        <v>13635</v>
      </c>
      <c r="I1608" s="396">
        <v>1533522</v>
      </c>
      <c r="J1608" s="395">
        <v>215</v>
      </c>
      <c r="K1608" s="395">
        <v>112</v>
      </c>
      <c r="L1608" s="397">
        <v>0.52090000000000003</v>
      </c>
      <c r="M1608" s="395">
        <v>102</v>
      </c>
      <c r="N1608" s="396">
        <v>-1095</v>
      </c>
      <c r="O1608" s="395">
        <v>555</v>
      </c>
      <c r="P1608" s="395">
        <v>0.19</v>
      </c>
      <c r="Q1608" s="396">
        <v>-2917</v>
      </c>
      <c r="R1608" s="396">
        <v>2002</v>
      </c>
      <c r="S1608" s="396">
        <v>-10379</v>
      </c>
      <c r="T1608" s="396">
        <v>93892</v>
      </c>
      <c r="U1608" s="396">
        <v>-290366</v>
      </c>
      <c r="V1608" s="395">
        <v>9257.16</v>
      </c>
      <c r="W1608" s="395">
        <v>1852.97</v>
      </c>
      <c r="X1608" s="395">
        <v>77220</v>
      </c>
      <c r="Y1608" s="395">
        <v>17388</v>
      </c>
      <c r="Z1608" s="396">
        <v>-8540298</v>
      </c>
      <c r="AA1608" s="396">
        <v>-235435</v>
      </c>
      <c r="AB1608" s="396">
        <v>8648560</v>
      </c>
      <c r="AC1608" s="396">
        <v>10207916</v>
      </c>
    </row>
    <row r="1609" spans="1:29">
      <c r="A1609">
        <v>5439</v>
      </c>
      <c r="B1609" s="395" t="s">
        <v>7833</v>
      </c>
      <c r="C1609" s="395"/>
      <c r="D1609" s="396">
        <v>-239045</v>
      </c>
      <c r="E1609" s="396">
        <v>350996</v>
      </c>
      <c r="F1609" s="395">
        <v>-0.59</v>
      </c>
      <c r="G1609" s="396">
        <v>-590042</v>
      </c>
      <c r="H1609" s="396">
        <v>63076</v>
      </c>
      <c r="I1609" s="396">
        <v>3964791</v>
      </c>
      <c r="J1609" s="395">
        <v>256</v>
      </c>
      <c r="K1609" s="395">
        <v>161</v>
      </c>
      <c r="L1609" s="397">
        <v>0.62890000000000001</v>
      </c>
      <c r="M1609" s="395">
        <v>95</v>
      </c>
      <c r="N1609" s="395">
        <v>-934</v>
      </c>
      <c r="O1609" s="396">
        <v>2180</v>
      </c>
      <c r="P1609" s="395">
        <v>0.35</v>
      </c>
      <c r="Q1609" s="396">
        <v>-6211</v>
      </c>
      <c r="R1609" s="396">
        <v>8439</v>
      </c>
      <c r="S1609" s="396">
        <v>-13437</v>
      </c>
      <c r="T1609" s="396">
        <v>311835</v>
      </c>
      <c r="U1609" s="396">
        <v>-606070</v>
      </c>
      <c r="V1609" s="395">
        <v>4859.87</v>
      </c>
      <c r="W1609" s="395">
        <v>1474.01</v>
      </c>
      <c r="X1609" s="395">
        <v>77490</v>
      </c>
      <c r="Y1609" s="395">
        <v>10598.02</v>
      </c>
      <c r="Z1609" s="396">
        <v>-8489135</v>
      </c>
      <c r="AA1609" s="396">
        <v>-239045</v>
      </c>
      <c r="AB1609" s="396">
        <v>2130747</v>
      </c>
      <c r="AC1609" s="396">
        <v>10207916</v>
      </c>
    </row>
    <row r="1610" spans="1:29">
      <c r="A1610">
        <v>1530</v>
      </c>
      <c r="B1610" s="395" t="s">
        <v>6802</v>
      </c>
      <c r="C1610" s="395"/>
      <c r="D1610" s="396">
        <v>-239135</v>
      </c>
      <c r="E1610" s="396">
        <v>76832</v>
      </c>
      <c r="F1610" s="395">
        <v>-0.24</v>
      </c>
      <c r="G1610" s="396">
        <v>-315967</v>
      </c>
      <c r="H1610" s="396">
        <v>25741</v>
      </c>
      <c r="I1610" s="396">
        <v>3668239</v>
      </c>
      <c r="J1610" s="395">
        <v>186</v>
      </c>
      <c r="K1610" s="395">
        <v>71</v>
      </c>
      <c r="L1610" s="397">
        <v>0.38169999999999998</v>
      </c>
      <c r="M1610" s="395">
        <v>115</v>
      </c>
      <c r="N1610" s="396">
        <v>-1286</v>
      </c>
      <c r="O1610" s="396">
        <v>1082</v>
      </c>
      <c r="P1610" s="395">
        <v>0.39</v>
      </c>
      <c r="Q1610" s="396">
        <v>-2748</v>
      </c>
      <c r="R1610" s="396">
        <v>2658</v>
      </c>
      <c r="S1610" s="396">
        <v>-9257</v>
      </c>
      <c r="T1610" s="396">
        <v>148196</v>
      </c>
      <c r="U1610" s="396">
        <v>-375511</v>
      </c>
      <c r="V1610" s="395">
        <v>16110.1</v>
      </c>
      <c r="W1610" s="395">
        <v>2480.9699999999998</v>
      </c>
      <c r="X1610" s="395">
        <v>76680</v>
      </c>
      <c r="Y1610" s="395">
        <v>24524.61</v>
      </c>
      <c r="Z1610" s="396">
        <v>-8161285</v>
      </c>
      <c r="AA1610" s="396">
        <v>-239135</v>
      </c>
      <c r="AB1610" s="396">
        <v>-1505388</v>
      </c>
      <c r="AC1610" s="396">
        <v>10207916</v>
      </c>
    </row>
    <row r="1611" spans="1:29">
      <c r="A1611">
        <v>2022</v>
      </c>
      <c r="B1611" s="395" t="s">
        <v>6917</v>
      </c>
      <c r="C1611" s="395"/>
      <c r="D1611" s="396">
        <v>-242411</v>
      </c>
      <c r="E1611" s="396">
        <v>68200</v>
      </c>
      <c r="F1611" s="395">
        <v>-0.22</v>
      </c>
      <c r="G1611" s="396">
        <v>-310611</v>
      </c>
      <c r="H1611" s="396">
        <v>12481</v>
      </c>
      <c r="I1611" s="396">
        <v>1857808</v>
      </c>
      <c r="J1611" s="395">
        <v>223</v>
      </c>
      <c r="K1611" s="395">
        <v>102</v>
      </c>
      <c r="L1611" s="397">
        <v>0.45739999999999997</v>
      </c>
      <c r="M1611" s="395">
        <v>121</v>
      </c>
      <c r="N1611" s="396">
        <v>-1087</v>
      </c>
      <c r="O1611" s="395">
        <v>669</v>
      </c>
      <c r="P1611" s="395">
        <v>0.26</v>
      </c>
      <c r="Q1611" s="396">
        <v>-2567</v>
      </c>
      <c r="R1611" s="396">
        <v>3507</v>
      </c>
      <c r="S1611" s="396">
        <v>-12280</v>
      </c>
      <c r="T1611" s="396">
        <v>320606</v>
      </c>
      <c r="U1611" s="396">
        <v>-487476</v>
      </c>
      <c r="V1611" s="395">
        <v>13597.59</v>
      </c>
      <c r="W1611" s="395">
        <v>2317.33</v>
      </c>
      <c r="X1611" s="395">
        <v>77490</v>
      </c>
      <c r="Y1611" s="395">
        <v>23106.57</v>
      </c>
      <c r="Z1611" s="396">
        <v>-22056258</v>
      </c>
      <c r="AA1611" s="396">
        <v>-242411</v>
      </c>
      <c r="AB1611" s="396">
        <v>34085890</v>
      </c>
      <c r="AC1611" s="396">
        <v>10207916</v>
      </c>
    </row>
    <row r="1612" spans="1:29">
      <c r="A1612">
        <v>1783</v>
      </c>
      <c r="B1612" s="395" t="s">
        <v>6881</v>
      </c>
      <c r="C1612" s="395"/>
      <c r="D1612" s="396">
        <v>-248209</v>
      </c>
      <c r="E1612" s="396">
        <v>242282</v>
      </c>
      <c r="F1612" s="395">
        <v>-0.49</v>
      </c>
      <c r="G1612" s="396">
        <v>-490492</v>
      </c>
      <c r="H1612" s="396">
        <v>43387</v>
      </c>
      <c r="I1612" s="396">
        <v>2379842</v>
      </c>
      <c r="J1612" s="395">
        <v>248</v>
      </c>
      <c r="K1612" s="395">
        <v>170</v>
      </c>
      <c r="L1612" s="397">
        <v>0.6855</v>
      </c>
      <c r="M1612" s="395">
        <v>78</v>
      </c>
      <c r="N1612" s="396">
        <v>-1001</v>
      </c>
      <c r="O1612" s="396">
        <v>1425</v>
      </c>
      <c r="P1612" s="395">
        <v>0.23</v>
      </c>
      <c r="Q1612" s="396">
        <v>-6288</v>
      </c>
      <c r="R1612" s="396">
        <v>5570</v>
      </c>
      <c r="S1612" s="396">
        <v>-21451</v>
      </c>
      <c r="T1612" s="396">
        <v>222862</v>
      </c>
      <c r="U1612" s="396">
        <v>-476737</v>
      </c>
      <c r="V1612" s="395">
        <v>2729.88</v>
      </c>
      <c r="W1612" s="395">
        <v>909.29</v>
      </c>
      <c r="X1612" s="395">
        <v>77490</v>
      </c>
      <c r="Y1612" s="395">
        <v>6697.82</v>
      </c>
      <c r="Z1612" s="396">
        <v>-2240707</v>
      </c>
      <c r="AA1612" s="396">
        <v>-248209</v>
      </c>
      <c r="AB1612" s="396">
        <v>37236485</v>
      </c>
      <c r="AC1612" s="396">
        <v>10207916</v>
      </c>
    </row>
    <row r="1613" spans="1:29">
      <c r="A1613">
        <v>6405</v>
      </c>
      <c r="B1613" s="395" t="s">
        <v>8063</v>
      </c>
      <c r="C1613" s="395"/>
      <c r="D1613" s="396">
        <v>-255082</v>
      </c>
      <c r="E1613" s="396">
        <v>105999</v>
      </c>
      <c r="F1613" s="395">
        <v>-0.28999999999999998</v>
      </c>
      <c r="G1613" s="396">
        <v>-361081</v>
      </c>
      <c r="H1613" s="396">
        <v>28828</v>
      </c>
      <c r="I1613" s="396">
        <v>4345158</v>
      </c>
      <c r="J1613" s="395">
        <v>261</v>
      </c>
      <c r="K1613" s="395">
        <v>125</v>
      </c>
      <c r="L1613" s="397">
        <v>0.47889999999999999</v>
      </c>
      <c r="M1613" s="395">
        <v>136</v>
      </c>
      <c r="N1613" s="395">
        <v>-977</v>
      </c>
      <c r="O1613" s="395">
        <v>848</v>
      </c>
      <c r="P1613" s="395">
        <v>0.32</v>
      </c>
      <c r="Q1613" s="396">
        <v>-2655</v>
      </c>
      <c r="R1613" s="396">
        <v>3299</v>
      </c>
      <c r="S1613" s="396">
        <v>-19637</v>
      </c>
      <c r="T1613" s="396">
        <v>349831</v>
      </c>
      <c r="U1613" s="396">
        <v>-382849</v>
      </c>
      <c r="V1613" s="395">
        <v>13458</v>
      </c>
      <c r="W1613" s="395">
        <v>6505.78</v>
      </c>
      <c r="X1613" s="395">
        <v>77490</v>
      </c>
      <c r="Y1613" s="395">
        <v>19847.900000000001</v>
      </c>
      <c r="Z1613" s="396">
        <v>-3359832</v>
      </c>
      <c r="AA1613" s="396">
        <v>-255082</v>
      </c>
      <c r="AB1613" s="396">
        <v>13784869</v>
      </c>
      <c r="AC1613" s="396">
        <v>10207916</v>
      </c>
    </row>
    <row r="1614" spans="1:29">
      <c r="A1614">
        <v>4173</v>
      </c>
      <c r="B1614" s="395" t="s">
        <v>7592</v>
      </c>
      <c r="C1614" s="395"/>
      <c r="D1614" s="396">
        <v>-260421</v>
      </c>
      <c r="E1614" s="396">
        <v>56276</v>
      </c>
      <c r="F1614" s="395">
        <v>-0.18</v>
      </c>
      <c r="G1614" s="396">
        <v>-316697</v>
      </c>
      <c r="H1614" s="396">
        <v>18122</v>
      </c>
      <c r="I1614" s="396">
        <v>2731181</v>
      </c>
      <c r="J1614" s="395">
        <v>226</v>
      </c>
      <c r="K1614" s="395">
        <v>75</v>
      </c>
      <c r="L1614" s="397">
        <v>0.33189999999999997</v>
      </c>
      <c r="M1614" s="395">
        <v>151</v>
      </c>
      <c r="N1614" s="396">
        <v>-1152</v>
      </c>
      <c r="O1614" s="395">
        <v>750</v>
      </c>
      <c r="P1614" s="395">
        <v>0.36</v>
      </c>
      <c r="Q1614" s="396">
        <v>-2097</v>
      </c>
      <c r="R1614" s="396">
        <v>2185</v>
      </c>
      <c r="S1614" s="396">
        <v>-10343</v>
      </c>
      <c r="T1614" s="396">
        <v>146474</v>
      </c>
      <c r="U1614" s="396">
        <v>-334218</v>
      </c>
      <c r="V1614" s="395">
        <v>16268.11</v>
      </c>
      <c r="W1614" s="395">
        <v>1559.59</v>
      </c>
      <c r="X1614" s="395">
        <v>77490</v>
      </c>
      <c r="Y1614" s="395">
        <v>23573.67</v>
      </c>
      <c r="Z1614" s="396">
        <v>-13236969</v>
      </c>
      <c r="AA1614" s="396">
        <v>-260421</v>
      </c>
      <c r="AB1614" s="396">
        <v>-15527363</v>
      </c>
      <c r="AC1614" s="396">
        <v>10207916</v>
      </c>
    </row>
    <row r="1615" spans="1:29">
      <c r="A1615">
        <v>4562</v>
      </c>
      <c r="B1615" s="395" t="s">
        <v>7656</v>
      </c>
      <c r="C1615" s="395"/>
      <c r="D1615" s="396">
        <v>-264773</v>
      </c>
      <c r="E1615" s="396">
        <v>99502</v>
      </c>
      <c r="F1615" s="395">
        <v>-0.27</v>
      </c>
      <c r="G1615" s="396">
        <v>-364275</v>
      </c>
      <c r="H1615" s="396">
        <v>17973</v>
      </c>
      <c r="I1615" s="396">
        <v>2297496</v>
      </c>
      <c r="J1615" s="395">
        <v>237</v>
      </c>
      <c r="K1615" s="395">
        <v>84</v>
      </c>
      <c r="L1615" s="397">
        <v>0.35439999999999999</v>
      </c>
      <c r="M1615" s="395">
        <v>153</v>
      </c>
      <c r="N1615" s="396">
        <v>-1117</v>
      </c>
      <c r="O1615" s="396">
        <v>1185</v>
      </c>
      <c r="P1615" s="395">
        <v>0.5</v>
      </c>
      <c r="Q1615" s="396">
        <v>-2381</v>
      </c>
      <c r="R1615" s="396">
        <v>2920</v>
      </c>
      <c r="S1615" s="396">
        <v>-6224</v>
      </c>
      <c r="T1615" s="396">
        <v>116946</v>
      </c>
      <c r="U1615" s="396">
        <v>-317284</v>
      </c>
      <c r="V1615" s="395">
        <v>14101</v>
      </c>
      <c r="W1615" s="395">
        <v>2719.8</v>
      </c>
      <c r="X1615" s="395">
        <v>77490</v>
      </c>
      <c r="Y1615" s="395">
        <v>20349.509999999998</v>
      </c>
      <c r="Z1615" s="396">
        <v>-23255989</v>
      </c>
      <c r="AA1615" s="396">
        <v>-264773</v>
      </c>
      <c r="AB1615" s="396">
        <v>-7781768</v>
      </c>
      <c r="AC1615" s="396">
        <v>10207916</v>
      </c>
    </row>
    <row r="1616" spans="1:29">
      <c r="A1616">
        <v>2417</v>
      </c>
      <c r="B1616" s="395" t="s">
        <v>7047</v>
      </c>
      <c r="C1616" s="395"/>
      <c r="D1616" s="396">
        <v>-267160</v>
      </c>
      <c r="E1616" s="396">
        <v>511363</v>
      </c>
      <c r="F1616" s="395">
        <v>-0.66</v>
      </c>
      <c r="G1616" s="396">
        <v>-778523</v>
      </c>
      <c r="H1616" s="396">
        <v>36981</v>
      </c>
      <c r="I1616" s="396">
        <v>4323197</v>
      </c>
      <c r="J1616" s="395">
        <v>256</v>
      </c>
      <c r="K1616" s="395">
        <v>131</v>
      </c>
      <c r="L1616" s="397">
        <v>0.51170000000000004</v>
      </c>
      <c r="M1616" s="395">
        <v>125</v>
      </c>
      <c r="N1616" s="396">
        <v>-1044</v>
      </c>
      <c r="O1616" s="396">
        <v>3904</v>
      </c>
      <c r="P1616" s="395">
        <v>0.63</v>
      </c>
      <c r="Q1616" s="396">
        <v>-6228</v>
      </c>
      <c r="R1616" s="396">
        <v>9235</v>
      </c>
      <c r="S1616" s="396">
        <v>-19513</v>
      </c>
      <c r="T1616" s="396">
        <v>1158530</v>
      </c>
      <c r="U1616" s="396">
        <v>-1314866</v>
      </c>
      <c r="V1616" s="395">
        <v>11803.55</v>
      </c>
      <c r="W1616" s="395">
        <v>5978.32</v>
      </c>
      <c r="X1616" s="395">
        <v>75600</v>
      </c>
      <c r="Y1616" s="395">
        <v>17908.38</v>
      </c>
      <c r="Z1616" s="396">
        <v>-31754144</v>
      </c>
      <c r="AA1616" s="396">
        <v>-267160</v>
      </c>
      <c r="AB1616" s="396">
        <v>-27285900</v>
      </c>
      <c r="AC1616" s="396">
        <v>10207916</v>
      </c>
    </row>
    <row r="1617" spans="1:29">
      <c r="A1617">
        <v>2340</v>
      </c>
      <c r="B1617" s="395" t="s">
        <v>6993</v>
      </c>
      <c r="C1617" s="395"/>
      <c r="D1617" s="396">
        <v>-269532</v>
      </c>
      <c r="E1617" s="396">
        <v>245349</v>
      </c>
      <c r="F1617" s="395">
        <v>-0.48</v>
      </c>
      <c r="G1617" s="396">
        <v>-514881</v>
      </c>
      <c r="H1617" s="396">
        <v>41332</v>
      </c>
      <c r="I1617" s="396">
        <v>2559393</v>
      </c>
      <c r="J1617" s="395">
        <v>274</v>
      </c>
      <c r="K1617" s="395">
        <v>190</v>
      </c>
      <c r="L1617" s="397">
        <v>0.69340000000000002</v>
      </c>
      <c r="M1617" s="395">
        <v>84</v>
      </c>
      <c r="N1617" s="395">
        <v>-984</v>
      </c>
      <c r="O1617" s="396">
        <v>1291</v>
      </c>
      <c r="P1617" s="395">
        <v>0.21</v>
      </c>
      <c r="Q1617" s="396">
        <v>-6130</v>
      </c>
      <c r="R1617" s="396">
        <v>6748</v>
      </c>
      <c r="S1617" s="396">
        <v>-30260</v>
      </c>
      <c r="T1617" s="396">
        <v>286400</v>
      </c>
      <c r="U1617" s="396">
        <v>-511281</v>
      </c>
      <c r="V1617" s="395">
        <v>2438.4499999999998</v>
      </c>
      <c r="W1617" s="395">
        <v>919.95</v>
      </c>
      <c r="X1617" s="395">
        <v>77490</v>
      </c>
      <c r="Y1617" s="395">
        <v>5873.15</v>
      </c>
      <c r="Z1617" s="396">
        <v>5315247</v>
      </c>
      <c r="AA1617" s="396">
        <v>-269532</v>
      </c>
      <c r="AB1617" s="396">
        <v>44492659</v>
      </c>
      <c r="AC1617" s="396">
        <v>10207916</v>
      </c>
    </row>
    <row r="1618" spans="1:29">
      <c r="A1618">
        <v>3356</v>
      </c>
      <c r="B1618" s="395" t="s">
        <v>7401</v>
      </c>
      <c r="C1618" s="395"/>
      <c r="D1618" s="396">
        <v>-270203</v>
      </c>
      <c r="E1618" s="396">
        <v>168525</v>
      </c>
      <c r="F1618" s="395">
        <v>-0.38</v>
      </c>
      <c r="G1618" s="396">
        <v>-438728</v>
      </c>
      <c r="H1618" s="396">
        <v>32854</v>
      </c>
      <c r="I1618" s="396">
        <v>3242779</v>
      </c>
      <c r="J1618" s="395">
        <v>263</v>
      </c>
      <c r="K1618" s="395">
        <v>131</v>
      </c>
      <c r="L1618" s="397">
        <v>0.49809999999999999</v>
      </c>
      <c r="M1618" s="395">
        <v>132</v>
      </c>
      <c r="N1618" s="396">
        <v>-1027</v>
      </c>
      <c r="O1618" s="396">
        <v>1286</v>
      </c>
      <c r="P1618" s="395">
        <v>0.39</v>
      </c>
      <c r="Q1618" s="396">
        <v>-3324</v>
      </c>
      <c r="R1618" s="396">
        <v>5092</v>
      </c>
      <c r="S1618" s="396">
        <v>-11284</v>
      </c>
      <c r="T1618" s="396">
        <v>243669</v>
      </c>
      <c r="U1618" s="396">
        <v>-454046</v>
      </c>
      <c r="V1618" s="395">
        <v>8644.6200000000008</v>
      </c>
      <c r="W1618" s="395">
        <v>1713.37</v>
      </c>
      <c r="X1618" s="395">
        <v>77490</v>
      </c>
      <c r="Y1618" s="395">
        <v>15523.36</v>
      </c>
      <c r="Z1618" s="396">
        <v>-13679476</v>
      </c>
      <c r="AA1618" s="396">
        <v>-270203</v>
      </c>
      <c r="AB1618" s="396">
        <v>-7896166</v>
      </c>
      <c r="AC1618" s="396">
        <v>10207916</v>
      </c>
    </row>
    <row r="1619" spans="1:29">
      <c r="A1619">
        <v>4439</v>
      </c>
      <c r="B1619" s="395" t="s">
        <v>7621</v>
      </c>
      <c r="C1619" s="395"/>
      <c r="D1619" s="396">
        <v>-272986</v>
      </c>
      <c r="E1619" s="396">
        <v>449327</v>
      </c>
      <c r="F1619" s="395">
        <v>-0.62</v>
      </c>
      <c r="G1619" s="396">
        <v>-722313</v>
      </c>
      <c r="H1619" s="396">
        <v>102209</v>
      </c>
      <c r="I1619" s="396">
        <v>11509358</v>
      </c>
      <c r="J1619" s="395">
        <v>174</v>
      </c>
      <c r="K1619" s="395">
        <v>87</v>
      </c>
      <c r="L1619" s="397">
        <v>0.5</v>
      </c>
      <c r="M1619" s="395">
        <v>87</v>
      </c>
      <c r="N1619" s="396">
        <v>-1569</v>
      </c>
      <c r="O1619" s="396">
        <v>5165</v>
      </c>
      <c r="P1619" s="395">
        <v>0.62</v>
      </c>
      <c r="Q1619" s="396">
        <v>-8302</v>
      </c>
      <c r="R1619" s="396">
        <v>19915</v>
      </c>
      <c r="S1619" s="396">
        <v>-32531</v>
      </c>
      <c r="T1619" s="396">
        <v>746751</v>
      </c>
      <c r="U1619" s="396">
        <v>-1621269</v>
      </c>
      <c r="V1619" s="395">
        <v>13333.43</v>
      </c>
      <c r="W1619" s="395">
        <v>2846.72</v>
      </c>
      <c r="X1619" s="395">
        <v>75060</v>
      </c>
      <c r="Y1619" s="395">
        <v>23820.14</v>
      </c>
      <c r="Z1619" s="396">
        <v>-8509324</v>
      </c>
      <c r="AA1619" s="396">
        <v>-272986</v>
      </c>
      <c r="AB1619" s="396">
        <v>-4163631</v>
      </c>
      <c r="AC1619" s="396">
        <v>10207916</v>
      </c>
    </row>
    <row r="1620" spans="1:29">
      <c r="A1620">
        <v>1597</v>
      </c>
      <c r="B1620" s="395" t="s">
        <v>6830</v>
      </c>
      <c r="C1620" s="395"/>
      <c r="D1620" s="396">
        <v>-274219</v>
      </c>
      <c r="E1620" s="396">
        <v>870486</v>
      </c>
      <c r="F1620" s="395">
        <v>-0.76</v>
      </c>
      <c r="G1620" s="396">
        <v>-1144705</v>
      </c>
      <c r="H1620" s="396">
        <v>104144</v>
      </c>
      <c r="I1620" s="396">
        <v>13719088</v>
      </c>
      <c r="J1620" s="395">
        <v>259</v>
      </c>
      <c r="K1620" s="395">
        <v>171</v>
      </c>
      <c r="L1620" s="397">
        <v>0.66020000000000001</v>
      </c>
      <c r="M1620" s="395">
        <v>88</v>
      </c>
      <c r="N1620" s="396">
        <v>-1059</v>
      </c>
      <c r="O1620" s="396">
        <v>5091</v>
      </c>
      <c r="P1620" s="395">
        <v>0.39</v>
      </c>
      <c r="Q1620" s="396">
        <v>-13008</v>
      </c>
      <c r="R1620" s="396">
        <v>25372</v>
      </c>
      <c r="S1620" s="396">
        <v>-34929</v>
      </c>
      <c r="T1620" s="396">
        <v>2072533</v>
      </c>
      <c r="U1620" s="396">
        <v>-2006616</v>
      </c>
      <c r="V1620" s="395">
        <v>15775.62</v>
      </c>
      <c r="W1620" s="395">
        <v>8612.75</v>
      </c>
      <c r="X1620" s="395">
        <v>77490</v>
      </c>
      <c r="Y1620" s="395">
        <v>29694.38</v>
      </c>
      <c r="Z1620" s="396">
        <v>5670999</v>
      </c>
      <c r="AA1620" s="396">
        <v>-274219</v>
      </c>
      <c r="AB1620" s="396">
        <v>3844970</v>
      </c>
      <c r="AC1620" s="396">
        <v>10207916</v>
      </c>
    </row>
    <row r="1621" spans="1:29">
      <c r="A1621">
        <v>3169</v>
      </c>
      <c r="B1621" s="395" t="s">
        <v>7333</v>
      </c>
      <c r="C1621" s="395"/>
      <c r="D1621" s="396">
        <v>-282712</v>
      </c>
      <c r="E1621" s="396">
        <v>1424562</v>
      </c>
      <c r="F1621" s="395">
        <v>-0.83</v>
      </c>
      <c r="G1621" s="396">
        <v>-1707274</v>
      </c>
      <c r="H1621" s="396">
        <v>179012</v>
      </c>
      <c r="I1621" s="396">
        <v>9244313</v>
      </c>
      <c r="J1621" s="395">
        <v>272</v>
      </c>
      <c r="K1621" s="395">
        <v>186</v>
      </c>
      <c r="L1621" s="397">
        <v>0.68379999999999996</v>
      </c>
      <c r="M1621" s="395">
        <v>86</v>
      </c>
      <c r="N1621" s="396">
        <v>-1039</v>
      </c>
      <c r="O1621" s="396">
        <v>7659</v>
      </c>
      <c r="P1621" s="395">
        <v>0.39</v>
      </c>
      <c r="Q1621" s="396">
        <v>-19852</v>
      </c>
      <c r="R1621" s="396">
        <v>40919</v>
      </c>
      <c r="S1621" s="396">
        <v>-91481</v>
      </c>
      <c r="T1621" s="396">
        <v>2147585</v>
      </c>
      <c r="U1621" s="396">
        <v>-1707365</v>
      </c>
      <c r="V1621" s="395">
        <v>2506.3000000000002</v>
      </c>
      <c r="W1621" s="395">
        <v>933.84</v>
      </c>
      <c r="X1621" s="395">
        <v>77490</v>
      </c>
      <c r="Y1621" s="395">
        <v>5907.2</v>
      </c>
      <c r="Z1621" s="396">
        <v>8101626</v>
      </c>
      <c r="AA1621" s="396">
        <v>-282712</v>
      </c>
      <c r="AB1621" s="396">
        <v>118641552</v>
      </c>
      <c r="AC1621" s="396">
        <v>10207916</v>
      </c>
    </row>
    <row r="1622" spans="1:29">
      <c r="A1622">
        <v>6654</v>
      </c>
      <c r="B1622" s="395" t="s">
        <v>8168</v>
      </c>
      <c r="C1622" s="395"/>
      <c r="D1622" s="396">
        <v>-283829</v>
      </c>
      <c r="E1622" s="396">
        <v>363127</v>
      </c>
      <c r="F1622" s="395">
        <v>-0.56000000000000005</v>
      </c>
      <c r="G1622" s="396">
        <v>-646956</v>
      </c>
      <c r="H1622" s="396">
        <v>64021</v>
      </c>
      <c r="I1622" s="396">
        <v>3414844</v>
      </c>
      <c r="J1622" s="395">
        <v>200</v>
      </c>
      <c r="K1622" s="395">
        <v>136</v>
      </c>
      <c r="L1622" s="397">
        <v>0.68</v>
      </c>
      <c r="M1622" s="395">
        <v>64</v>
      </c>
      <c r="N1622" s="396">
        <v>-1419</v>
      </c>
      <c r="O1622" s="396">
        <v>2670</v>
      </c>
      <c r="P1622" s="395">
        <v>0.26</v>
      </c>
      <c r="Q1622" s="396">
        <v>-10109</v>
      </c>
      <c r="R1622" s="396">
        <v>10954</v>
      </c>
      <c r="S1622" s="396">
        <v>-34174</v>
      </c>
      <c r="T1622" s="396">
        <v>422336</v>
      </c>
      <c r="U1622" s="396">
        <v>-595644</v>
      </c>
      <c r="V1622" s="395">
        <v>3442.36</v>
      </c>
      <c r="W1622" s="395">
        <v>1476.01</v>
      </c>
      <c r="X1622" s="395">
        <v>77490</v>
      </c>
      <c r="Y1622" s="395">
        <v>7620.84</v>
      </c>
      <c r="Z1622" s="396">
        <v>-9099510</v>
      </c>
      <c r="AA1622" s="396">
        <v>-283829</v>
      </c>
      <c r="AB1622" s="396">
        <v>17956787</v>
      </c>
      <c r="AC1622" s="396">
        <v>10207916</v>
      </c>
    </row>
    <row r="1623" spans="1:29">
      <c r="A1623">
        <v>4120</v>
      </c>
      <c r="B1623" s="395" t="s">
        <v>7563</v>
      </c>
      <c r="C1623" s="395"/>
      <c r="D1623" s="396">
        <v>-287177</v>
      </c>
      <c r="E1623" s="396">
        <v>134563</v>
      </c>
      <c r="F1623" s="395">
        <v>-0.32</v>
      </c>
      <c r="G1623" s="396">
        <v>-421740</v>
      </c>
      <c r="H1623" s="396">
        <v>32083</v>
      </c>
      <c r="I1623" s="396">
        <v>4526377</v>
      </c>
      <c r="J1623" s="395">
        <v>196</v>
      </c>
      <c r="K1623" s="395">
        <v>81</v>
      </c>
      <c r="L1623" s="397">
        <v>0.4133</v>
      </c>
      <c r="M1623" s="395">
        <v>115</v>
      </c>
      <c r="N1623" s="396">
        <v>-1465</v>
      </c>
      <c r="O1623" s="396">
        <v>1661</v>
      </c>
      <c r="P1623" s="395">
        <v>0.45</v>
      </c>
      <c r="Q1623" s="396">
        <v>-3667</v>
      </c>
      <c r="R1623" s="396">
        <v>8131</v>
      </c>
      <c r="S1623" s="396">
        <v>-11058</v>
      </c>
      <c r="T1623" s="396">
        <v>396605</v>
      </c>
      <c r="U1623" s="396">
        <v>-771063</v>
      </c>
      <c r="V1623" s="395">
        <v>15667.51</v>
      </c>
      <c r="W1623" s="395">
        <v>4030.64</v>
      </c>
      <c r="X1623" s="395">
        <v>77490</v>
      </c>
      <c r="Y1623" s="395">
        <v>23863.91</v>
      </c>
      <c r="Z1623" s="396">
        <v>-12979638</v>
      </c>
      <c r="AA1623" s="396">
        <v>-287177</v>
      </c>
      <c r="AB1623" s="396">
        <v>-11857395</v>
      </c>
      <c r="AC1623" s="396">
        <v>10207916</v>
      </c>
    </row>
    <row r="1624" spans="1:29">
      <c r="A1624">
        <v>5347</v>
      </c>
      <c r="B1624" s="395" t="s">
        <v>7812</v>
      </c>
      <c r="C1624" s="395"/>
      <c r="D1624" s="396">
        <v>-298214</v>
      </c>
      <c r="E1624" s="396">
        <v>950041</v>
      </c>
      <c r="F1624" s="395">
        <v>-0.76</v>
      </c>
      <c r="G1624" s="396">
        <v>-1248255</v>
      </c>
      <c r="H1624" s="396">
        <v>146535</v>
      </c>
      <c r="I1624" s="396">
        <v>7799546</v>
      </c>
      <c r="J1624" s="395">
        <v>280</v>
      </c>
      <c r="K1624" s="395">
        <v>179</v>
      </c>
      <c r="L1624" s="397">
        <v>0.63929999999999998</v>
      </c>
      <c r="M1624" s="395">
        <v>101</v>
      </c>
      <c r="N1624" s="396">
        <v>-1065</v>
      </c>
      <c r="O1624" s="396">
        <v>5307</v>
      </c>
      <c r="P1624" s="395">
        <v>0.43</v>
      </c>
      <c r="Q1624" s="396">
        <v>-12359</v>
      </c>
      <c r="R1624" s="396">
        <v>16067</v>
      </c>
      <c r="S1624" s="396">
        <v>-43580</v>
      </c>
      <c r="T1624" s="396">
        <v>1026560</v>
      </c>
      <c r="U1624" s="396">
        <v>-1213760</v>
      </c>
      <c r="V1624" s="395">
        <v>3994.68</v>
      </c>
      <c r="W1624" s="395">
        <v>2009.27</v>
      </c>
      <c r="X1624" s="395">
        <v>77490</v>
      </c>
      <c r="Y1624" s="395">
        <v>7513.38</v>
      </c>
      <c r="Z1624" s="396">
        <v>-13908120</v>
      </c>
      <c r="AA1624" s="396">
        <v>-298214</v>
      </c>
      <c r="AB1624" s="396">
        <v>5630513</v>
      </c>
      <c r="AC1624" s="396">
        <v>10207916</v>
      </c>
    </row>
    <row r="1625" spans="1:29">
      <c r="A1625">
        <v>1319</v>
      </c>
      <c r="B1625" s="395" t="s">
        <v>6721</v>
      </c>
      <c r="C1625" s="395"/>
      <c r="D1625" s="396">
        <v>-303775</v>
      </c>
      <c r="E1625" s="396">
        <v>156668</v>
      </c>
      <c r="F1625" s="395">
        <v>-0.34</v>
      </c>
      <c r="G1625" s="396">
        <v>-460443</v>
      </c>
      <c r="H1625" s="396">
        <v>36725</v>
      </c>
      <c r="I1625" s="396">
        <v>4703992</v>
      </c>
      <c r="J1625" s="395">
        <v>268</v>
      </c>
      <c r="K1625" s="395">
        <v>100</v>
      </c>
      <c r="L1625" s="397">
        <v>0.37309999999999999</v>
      </c>
      <c r="M1625" s="395">
        <v>168</v>
      </c>
      <c r="N1625" s="396">
        <v>-1133</v>
      </c>
      <c r="O1625" s="396">
        <v>1567</v>
      </c>
      <c r="P1625" s="395">
        <v>0.56999999999999995</v>
      </c>
      <c r="Q1625" s="396">
        <v>-2741</v>
      </c>
      <c r="R1625" s="396">
        <v>4666</v>
      </c>
      <c r="S1625" s="396">
        <v>-8140</v>
      </c>
      <c r="T1625" s="396">
        <v>227481</v>
      </c>
      <c r="U1625" s="396">
        <v>-462183</v>
      </c>
      <c r="V1625" s="395">
        <v>14363.29</v>
      </c>
      <c r="W1625" s="395">
        <v>5322.42</v>
      </c>
      <c r="X1625" s="395">
        <v>77490</v>
      </c>
      <c r="Y1625" s="395">
        <v>19744.759999999998</v>
      </c>
      <c r="Z1625" s="396">
        <v>-15869447</v>
      </c>
      <c r="AA1625" s="396">
        <v>-303775</v>
      </c>
      <c r="AB1625" s="396">
        <v>-9859226</v>
      </c>
      <c r="AC1625" s="396">
        <v>10207916</v>
      </c>
    </row>
    <row r="1626" spans="1:29">
      <c r="A1626">
        <v>2486</v>
      </c>
      <c r="B1626" s="395" t="s">
        <v>7099</v>
      </c>
      <c r="C1626" s="395"/>
      <c r="D1626" s="396">
        <v>-304162</v>
      </c>
      <c r="E1626" s="396">
        <v>275398</v>
      </c>
      <c r="F1626" s="395">
        <v>-0.48</v>
      </c>
      <c r="G1626" s="396">
        <v>-579560</v>
      </c>
      <c r="H1626" s="396">
        <v>44462</v>
      </c>
      <c r="I1626" s="396">
        <v>3014732</v>
      </c>
      <c r="J1626" s="395">
        <v>267</v>
      </c>
      <c r="K1626" s="395">
        <v>172</v>
      </c>
      <c r="L1626" s="397">
        <v>0.64419999999999999</v>
      </c>
      <c r="M1626" s="395">
        <v>95</v>
      </c>
      <c r="N1626" s="396">
        <v>-1139</v>
      </c>
      <c r="O1626" s="396">
        <v>1601</v>
      </c>
      <c r="P1626" s="395">
        <v>0.26</v>
      </c>
      <c r="Q1626" s="396">
        <v>-6101</v>
      </c>
      <c r="R1626" s="396">
        <v>10307</v>
      </c>
      <c r="S1626" s="396">
        <v>-19955</v>
      </c>
      <c r="T1626" s="396">
        <v>227387</v>
      </c>
      <c r="U1626" s="396">
        <v>-536018</v>
      </c>
      <c r="V1626" s="395">
        <v>3023.18</v>
      </c>
      <c r="W1626" s="395">
        <v>608.98</v>
      </c>
      <c r="X1626" s="395">
        <v>77490</v>
      </c>
      <c r="Y1626" s="395">
        <v>7394.16</v>
      </c>
      <c r="Z1626" s="396">
        <v>9922830</v>
      </c>
      <c r="AA1626" s="396">
        <v>-304162</v>
      </c>
      <c r="AB1626" s="396">
        <v>54385787</v>
      </c>
      <c r="AC1626" s="396">
        <v>10207916</v>
      </c>
    </row>
    <row r="1627" spans="1:29">
      <c r="A1627">
        <v>2904</v>
      </c>
      <c r="B1627" s="395" t="s">
        <v>7226</v>
      </c>
      <c r="C1627" s="395"/>
      <c r="D1627" s="396">
        <v>-311514</v>
      </c>
      <c r="E1627" s="396">
        <v>28006</v>
      </c>
      <c r="F1627" s="395">
        <v>-0.08</v>
      </c>
      <c r="G1627" s="396">
        <v>-339520</v>
      </c>
      <c r="H1627" s="396">
        <v>21404</v>
      </c>
      <c r="I1627" s="396">
        <v>4009018</v>
      </c>
      <c r="J1627" s="395">
        <v>200</v>
      </c>
      <c r="K1627" s="395">
        <v>49</v>
      </c>
      <c r="L1627" s="397">
        <v>0.245</v>
      </c>
      <c r="M1627" s="395">
        <v>151</v>
      </c>
      <c r="N1627" s="396">
        <v>-1558</v>
      </c>
      <c r="O1627" s="395">
        <v>572</v>
      </c>
      <c r="P1627" s="395">
        <v>0.25</v>
      </c>
      <c r="Q1627" s="396">
        <v>-2248</v>
      </c>
      <c r="R1627" s="396">
        <v>1244</v>
      </c>
      <c r="S1627" s="396">
        <v>-5498</v>
      </c>
      <c r="T1627" s="396">
        <v>163322</v>
      </c>
      <c r="U1627" s="396">
        <v>-357188</v>
      </c>
      <c r="V1627" s="395">
        <v>23655.29</v>
      </c>
      <c r="W1627" s="395">
        <v>3646.9</v>
      </c>
      <c r="X1627" s="395">
        <v>77490</v>
      </c>
      <c r="Y1627" s="395">
        <v>30148.080000000002</v>
      </c>
      <c r="Z1627" s="396">
        <v>-3679866</v>
      </c>
      <c r="AA1627" s="396">
        <v>-311514</v>
      </c>
      <c r="AB1627" s="396">
        <v>-1654986</v>
      </c>
      <c r="AC1627" s="396">
        <v>10207916</v>
      </c>
    </row>
    <row r="1628" spans="1:29">
      <c r="A1628">
        <v>6588</v>
      </c>
      <c r="B1628" s="395" t="s">
        <v>8143</v>
      </c>
      <c r="C1628" s="395"/>
      <c r="D1628" s="396">
        <v>-315688</v>
      </c>
      <c r="E1628" s="396">
        <v>51202</v>
      </c>
      <c r="F1628" s="395">
        <v>-0.14000000000000001</v>
      </c>
      <c r="G1628" s="396">
        <v>-366890</v>
      </c>
      <c r="H1628" s="396">
        <v>13632</v>
      </c>
      <c r="I1628" s="396">
        <v>1918451</v>
      </c>
      <c r="J1628" s="395">
        <v>62</v>
      </c>
      <c r="K1628" s="395">
        <v>25</v>
      </c>
      <c r="L1628" s="397">
        <v>0.4032</v>
      </c>
      <c r="M1628" s="395">
        <v>37</v>
      </c>
      <c r="N1628" s="396">
        <v>-5092</v>
      </c>
      <c r="O1628" s="396">
        <v>2048</v>
      </c>
      <c r="P1628" s="395">
        <v>0.21</v>
      </c>
      <c r="Q1628" s="396">
        <v>-9916</v>
      </c>
      <c r="R1628" s="396">
        <v>4734</v>
      </c>
      <c r="S1628" s="396">
        <v>-28966</v>
      </c>
      <c r="T1628" s="396">
        <v>362799</v>
      </c>
      <c r="U1628" s="396">
        <v>-401157</v>
      </c>
      <c r="V1628" s="395">
        <v>23498.95</v>
      </c>
      <c r="W1628" s="395">
        <v>6664.04</v>
      </c>
      <c r="X1628" s="395">
        <v>76140</v>
      </c>
      <c r="Y1628" s="395">
        <v>34873.89</v>
      </c>
      <c r="Z1628" s="396">
        <v>-21929074</v>
      </c>
      <c r="AA1628" s="396">
        <v>-315688</v>
      </c>
      <c r="AB1628" s="396">
        <v>-21439322</v>
      </c>
      <c r="AC1628" s="396">
        <v>10207916</v>
      </c>
    </row>
    <row r="1629" spans="1:29">
      <c r="A1629">
        <v>6569</v>
      </c>
      <c r="B1629" s="395" t="s">
        <v>8133</v>
      </c>
      <c r="C1629" s="395"/>
      <c r="D1629" s="396">
        <v>-318757</v>
      </c>
      <c r="E1629" s="396">
        <v>2953</v>
      </c>
      <c r="F1629" s="395">
        <v>-0.01</v>
      </c>
      <c r="G1629" s="396">
        <v>-321710</v>
      </c>
      <c r="H1629" s="396">
        <v>8507</v>
      </c>
      <c r="I1629" s="396">
        <v>2143047</v>
      </c>
      <c r="J1629" s="395">
        <v>17</v>
      </c>
      <c r="K1629" s="395">
        <v>1</v>
      </c>
      <c r="L1629" s="397">
        <v>5.8799999999999998E-2</v>
      </c>
      <c r="M1629" s="395">
        <v>16</v>
      </c>
      <c r="N1629" s="396">
        <v>-18750</v>
      </c>
      <c r="O1629" s="396">
        <v>2953</v>
      </c>
      <c r="P1629" s="395">
        <v>0.15</v>
      </c>
      <c r="Q1629" s="396">
        <v>-20107</v>
      </c>
      <c r="R1629" s="396">
        <v>2953</v>
      </c>
      <c r="S1629" s="396">
        <v>-26643</v>
      </c>
      <c r="T1629" s="396">
        <v>177052</v>
      </c>
      <c r="U1629" s="396">
        <v>-361056</v>
      </c>
      <c r="V1629" s="395">
        <v>50927.12</v>
      </c>
      <c r="W1629" s="395">
        <v>15</v>
      </c>
      <c r="X1629" s="395">
        <v>75600</v>
      </c>
      <c r="Y1629" s="395">
        <v>54109.13</v>
      </c>
      <c r="Z1629" s="396">
        <v>-8747664</v>
      </c>
      <c r="AA1629" s="396">
        <v>-318757</v>
      </c>
      <c r="AB1629" s="396">
        <v>-5430000</v>
      </c>
      <c r="AC1629" s="396">
        <v>10207916</v>
      </c>
    </row>
    <row r="1630" spans="1:29">
      <c r="A1630">
        <v>1583</v>
      </c>
      <c r="B1630" s="395" t="s">
        <v>6821</v>
      </c>
      <c r="C1630" s="395"/>
      <c r="D1630" s="396">
        <v>-319907</v>
      </c>
      <c r="E1630" s="396">
        <v>143992</v>
      </c>
      <c r="F1630" s="395">
        <v>-0.31</v>
      </c>
      <c r="G1630" s="396">
        <v>-463899</v>
      </c>
      <c r="H1630" s="396">
        <v>34391</v>
      </c>
      <c r="I1630" s="396">
        <v>3821887</v>
      </c>
      <c r="J1630" s="395">
        <v>137</v>
      </c>
      <c r="K1630" s="395">
        <v>64</v>
      </c>
      <c r="L1630" s="397">
        <v>0.4672</v>
      </c>
      <c r="M1630" s="395">
        <v>73</v>
      </c>
      <c r="N1630" s="396">
        <v>-2335</v>
      </c>
      <c r="O1630" s="396">
        <v>2250</v>
      </c>
      <c r="P1630" s="395">
        <v>0.35</v>
      </c>
      <c r="Q1630" s="396">
        <v>-6355</v>
      </c>
      <c r="R1630" s="396">
        <v>7139</v>
      </c>
      <c r="S1630" s="396">
        <v>-11745</v>
      </c>
      <c r="T1630" s="396">
        <v>186781</v>
      </c>
      <c r="U1630" s="396">
        <v>-542523</v>
      </c>
      <c r="V1630" s="395">
        <v>10047.08</v>
      </c>
      <c r="W1630" s="395">
        <v>4299.9399999999996</v>
      </c>
      <c r="X1630" s="395">
        <v>71820</v>
      </c>
      <c r="Y1630" s="395">
        <v>15085.67</v>
      </c>
      <c r="Z1630" s="396">
        <v>-5246613</v>
      </c>
      <c r="AA1630" s="396">
        <v>-319907</v>
      </c>
      <c r="AB1630" s="396">
        <v>-3557824</v>
      </c>
      <c r="AC1630" s="396">
        <v>10207916</v>
      </c>
    </row>
    <row r="1631" spans="1:29">
      <c r="A1631">
        <v>6470</v>
      </c>
      <c r="B1631" s="395" t="s">
        <v>8092</v>
      </c>
      <c r="C1631" s="395"/>
      <c r="D1631" s="396">
        <v>-320026</v>
      </c>
      <c r="E1631" s="396">
        <v>150281</v>
      </c>
      <c r="F1631" s="395">
        <v>-0.32</v>
      </c>
      <c r="G1631" s="396">
        <v>-470307</v>
      </c>
      <c r="H1631" s="396">
        <v>42542</v>
      </c>
      <c r="I1631" s="396">
        <v>8311147</v>
      </c>
      <c r="J1631" s="395">
        <v>226</v>
      </c>
      <c r="K1631" s="395">
        <v>86</v>
      </c>
      <c r="L1631" s="397">
        <v>0.3805</v>
      </c>
      <c r="M1631" s="395">
        <v>140</v>
      </c>
      <c r="N1631" s="396">
        <v>-1416</v>
      </c>
      <c r="O1631" s="396">
        <v>1747</v>
      </c>
      <c r="P1631" s="395">
        <v>0.52</v>
      </c>
      <c r="Q1631" s="396">
        <v>-3359</v>
      </c>
      <c r="R1631" s="396">
        <v>3684</v>
      </c>
      <c r="S1631" s="396">
        <v>-13527</v>
      </c>
      <c r="T1631" s="396">
        <v>766145</v>
      </c>
      <c r="U1631" s="396">
        <v>-719649</v>
      </c>
      <c r="V1631" s="395">
        <v>25012.9</v>
      </c>
      <c r="W1631" s="395">
        <v>15504.66</v>
      </c>
      <c r="X1631" s="395">
        <v>77490</v>
      </c>
      <c r="Y1631" s="395">
        <v>30853.67</v>
      </c>
      <c r="Z1631" s="396">
        <v>-9497251</v>
      </c>
      <c r="AA1631" s="396">
        <v>-320026</v>
      </c>
      <c r="AB1631" s="396">
        <v>-8810331</v>
      </c>
      <c r="AC1631" s="396">
        <v>10207916</v>
      </c>
    </row>
    <row r="1632" spans="1:29">
      <c r="A1632">
        <v>2601</v>
      </c>
      <c r="B1632" s="395" t="s">
        <v>7138</v>
      </c>
      <c r="C1632" s="395"/>
      <c r="D1632" s="396">
        <v>-327336</v>
      </c>
      <c r="E1632" s="396">
        <v>52348</v>
      </c>
      <c r="F1632" s="395">
        <v>-0.14000000000000001</v>
      </c>
      <c r="G1632" s="396">
        <v>-379684</v>
      </c>
      <c r="H1632" s="396">
        <v>14246</v>
      </c>
      <c r="I1632" s="396">
        <v>2351609</v>
      </c>
      <c r="J1632" s="395">
        <v>268</v>
      </c>
      <c r="K1632" s="395">
        <v>115</v>
      </c>
      <c r="L1632" s="397">
        <v>0.42909999999999998</v>
      </c>
      <c r="M1632" s="395">
        <v>149</v>
      </c>
      <c r="N1632" s="396">
        <v>-1221</v>
      </c>
      <c r="O1632" s="395">
        <v>455</v>
      </c>
      <c r="P1632" s="395">
        <v>0.18</v>
      </c>
      <c r="Q1632" s="396">
        <v>-2548</v>
      </c>
      <c r="R1632" s="396">
        <v>1940</v>
      </c>
      <c r="S1632" s="396">
        <v>-13477</v>
      </c>
      <c r="T1632" s="396">
        <v>245683</v>
      </c>
      <c r="U1632" s="396">
        <v>-558883</v>
      </c>
      <c r="V1632" s="395">
        <v>14692.11</v>
      </c>
      <c r="W1632" s="395">
        <v>2005.08</v>
      </c>
      <c r="X1632" s="395">
        <v>77490</v>
      </c>
      <c r="Y1632" s="395">
        <v>24775.279999999999</v>
      </c>
      <c r="Z1632" s="396">
        <v>-12540715</v>
      </c>
      <c r="AA1632" s="396">
        <v>-327336</v>
      </c>
      <c r="AB1632" s="396">
        <v>3195745</v>
      </c>
      <c r="AC1632" s="396">
        <v>10207916</v>
      </c>
    </row>
    <row r="1633" spans="1:29">
      <c r="A1633">
        <v>8473</v>
      </c>
      <c r="B1633" s="395" t="s">
        <v>8357</v>
      </c>
      <c r="C1633" s="395"/>
      <c r="D1633" s="396">
        <v>-328174</v>
      </c>
      <c r="E1633" s="396">
        <v>88010</v>
      </c>
      <c r="F1633" s="395">
        <v>-0.21</v>
      </c>
      <c r="G1633" s="396">
        <v>-416184</v>
      </c>
      <c r="H1633" s="396">
        <v>35037</v>
      </c>
      <c r="I1633" s="396">
        <v>5738396</v>
      </c>
      <c r="J1633" s="395">
        <v>238</v>
      </c>
      <c r="K1633" s="395">
        <v>73</v>
      </c>
      <c r="L1633" s="397">
        <v>0.30669999999999997</v>
      </c>
      <c r="M1633" s="395">
        <v>165</v>
      </c>
      <c r="N1633" s="396">
        <v>-1379</v>
      </c>
      <c r="O1633" s="396">
        <v>1206</v>
      </c>
      <c r="P1633" s="395">
        <v>0.48</v>
      </c>
      <c r="Q1633" s="396">
        <v>-2522</v>
      </c>
      <c r="R1633" s="396">
        <v>4892</v>
      </c>
      <c r="S1633" s="396">
        <v>-9592</v>
      </c>
      <c r="T1633" s="396">
        <v>190579</v>
      </c>
      <c r="U1633" s="396">
        <v>-480339</v>
      </c>
      <c r="V1633" s="395">
        <v>19180.64</v>
      </c>
      <c r="W1633" s="395">
        <v>2555.27</v>
      </c>
      <c r="X1633" s="395">
        <v>77490</v>
      </c>
      <c r="Y1633" s="395">
        <v>26536.1</v>
      </c>
      <c r="Z1633" s="396">
        <v>-11624525</v>
      </c>
      <c r="AA1633" s="396">
        <v>-328174</v>
      </c>
      <c r="AB1633" s="396">
        <v>-7053402</v>
      </c>
      <c r="AC1633" s="396">
        <v>10207916</v>
      </c>
    </row>
    <row r="1634" spans="1:29">
      <c r="A1634">
        <v>6294</v>
      </c>
      <c r="B1634" s="395" t="s">
        <v>8061</v>
      </c>
      <c r="C1634" s="395"/>
      <c r="D1634" s="396">
        <v>-328281</v>
      </c>
      <c r="E1634" s="396">
        <v>331634</v>
      </c>
      <c r="F1634" s="395">
        <v>-0.5</v>
      </c>
      <c r="G1634" s="396">
        <v>-659915</v>
      </c>
      <c r="H1634" s="396">
        <v>79624</v>
      </c>
      <c r="I1634" s="396">
        <v>9076923</v>
      </c>
      <c r="J1634" s="395">
        <v>144</v>
      </c>
      <c r="K1634" s="395">
        <v>79</v>
      </c>
      <c r="L1634" s="397">
        <v>0.54859999999999998</v>
      </c>
      <c r="M1634" s="395">
        <v>65</v>
      </c>
      <c r="N1634" s="396">
        <v>-2280</v>
      </c>
      <c r="O1634" s="396">
        <v>4198</v>
      </c>
      <c r="P1634" s="395">
        <v>0.41</v>
      </c>
      <c r="Q1634" s="396">
        <v>-10153</v>
      </c>
      <c r="R1634" s="396">
        <v>21006</v>
      </c>
      <c r="S1634" s="396">
        <v>-28057</v>
      </c>
      <c r="T1634" s="396">
        <v>332459</v>
      </c>
      <c r="U1634" s="396">
        <v>-807097</v>
      </c>
      <c r="V1634" s="395">
        <v>11884.91</v>
      </c>
      <c r="W1634" s="395">
        <v>4309.87</v>
      </c>
      <c r="X1634" s="395">
        <v>77490</v>
      </c>
      <c r="Y1634" s="395">
        <v>21091.49</v>
      </c>
      <c r="Z1634" s="396">
        <v>4511358</v>
      </c>
      <c r="AA1634" s="396">
        <v>-328281</v>
      </c>
      <c r="AB1634" s="396">
        <v>5949340</v>
      </c>
      <c r="AC1634" s="396">
        <v>10207916</v>
      </c>
    </row>
    <row r="1635" spans="1:29">
      <c r="A1635">
        <v>8404</v>
      </c>
      <c r="B1635" s="395" t="s">
        <v>8321</v>
      </c>
      <c r="C1635" s="395"/>
      <c r="D1635" s="396">
        <v>-333886</v>
      </c>
      <c r="E1635" s="396">
        <v>124854</v>
      </c>
      <c r="F1635" s="395">
        <v>-0.27</v>
      </c>
      <c r="G1635" s="396">
        <v>-458740</v>
      </c>
      <c r="H1635" s="396">
        <v>37587</v>
      </c>
      <c r="I1635" s="396">
        <v>5500081</v>
      </c>
      <c r="J1635" s="395">
        <v>253</v>
      </c>
      <c r="K1635" s="395">
        <v>117</v>
      </c>
      <c r="L1635" s="397">
        <v>0.46250000000000002</v>
      </c>
      <c r="M1635" s="395">
        <v>136</v>
      </c>
      <c r="N1635" s="396">
        <v>-1320</v>
      </c>
      <c r="O1635" s="396">
        <v>1067</v>
      </c>
      <c r="P1635" s="395">
        <v>0.32</v>
      </c>
      <c r="Q1635" s="396">
        <v>-3373</v>
      </c>
      <c r="R1635" s="396">
        <v>4524</v>
      </c>
      <c r="S1635" s="396">
        <v>-14062</v>
      </c>
      <c r="T1635" s="396">
        <v>375201</v>
      </c>
      <c r="U1635" s="396">
        <v>-560947</v>
      </c>
      <c r="V1635" s="395">
        <v>15281.15</v>
      </c>
      <c r="W1635" s="395">
        <v>6126.64</v>
      </c>
      <c r="X1635" s="395">
        <v>77490</v>
      </c>
      <c r="Y1635" s="395">
        <v>23156.73</v>
      </c>
      <c r="Z1635" s="396">
        <v>-8437719</v>
      </c>
      <c r="AA1635" s="396">
        <v>-333886</v>
      </c>
      <c r="AB1635" s="396">
        <v>10097932</v>
      </c>
      <c r="AC1635" s="396">
        <v>10207916</v>
      </c>
    </row>
    <row r="1636" spans="1:29">
      <c r="A1636">
        <v>3019</v>
      </c>
      <c r="B1636" s="395" t="s">
        <v>7259</v>
      </c>
      <c r="C1636" s="395"/>
      <c r="D1636" s="396">
        <v>-336393</v>
      </c>
      <c r="E1636" s="396">
        <v>541600</v>
      </c>
      <c r="F1636" s="395">
        <v>-0.62</v>
      </c>
      <c r="G1636" s="396">
        <v>-877993</v>
      </c>
      <c r="H1636" s="396">
        <v>91138</v>
      </c>
      <c r="I1636" s="396">
        <v>5136544</v>
      </c>
      <c r="J1636" s="395">
        <v>269</v>
      </c>
      <c r="K1636" s="395">
        <v>173</v>
      </c>
      <c r="L1636" s="397">
        <v>0.6431</v>
      </c>
      <c r="M1636" s="395">
        <v>96</v>
      </c>
      <c r="N1636" s="396">
        <v>-1251</v>
      </c>
      <c r="O1636" s="396">
        <v>3131</v>
      </c>
      <c r="P1636" s="395">
        <v>0.34</v>
      </c>
      <c r="Q1636" s="396">
        <v>-9146</v>
      </c>
      <c r="R1636" s="396">
        <v>12391</v>
      </c>
      <c r="S1636" s="396">
        <v>-25961</v>
      </c>
      <c r="T1636" s="396">
        <v>799023</v>
      </c>
      <c r="U1636" s="396">
        <v>-920475</v>
      </c>
      <c r="V1636" s="395">
        <v>4974.88</v>
      </c>
      <c r="W1636" s="395">
        <v>2497.9</v>
      </c>
      <c r="X1636" s="395">
        <v>77490</v>
      </c>
      <c r="Y1636" s="395">
        <v>9438.61</v>
      </c>
      <c r="Z1636" s="396">
        <v>-14966497</v>
      </c>
      <c r="AA1636" s="396">
        <v>-336393</v>
      </c>
      <c r="AB1636" s="396">
        <v>2408370</v>
      </c>
      <c r="AC1636" s="396">
        <v>10207916</v>
      </c>
    </row>
    <row r="1637" spans="1:29">
      <c r="A1637">
        <v>4401</v>
      </c>
      <c r="B1637" s="395" t="s">
        <v>7606</v>
      </c>
      <c r="C1637" s="395"/>
      <c r="D1637" s="396">
        <v>-349623</v>
      </c>
      <c r="E1637" s="396">
        <v>114638</v>
      </c>
      <c r="F1637" s="395">
        <v>-0.25</v>
      </c>
      <c r="G1637" s="396">
        <v>-464261</v>
      </c>
      <c r="H1637" s="396">
        <v>34100</v>
      </c>
      <c r="I1637" s="396">
        <v>4750066</v>
      </c>
      <c r="J1637" s="395">
        <v>237</v>
      </c>
      <c r="K1637" s="395">
        <v>97</v>
      </c>
      <c r="L1637" s="397">
        <v>0.4093</v>
      </c>
      <c r="M1637" s="395">
        <v>140</v>
      </c>
      <c r="N1637" s="396">
        <v>-1475</v>
      </c>
      <c r="O1637" s="396">
        <v>1182</v>
      </c>
      <c r="P1637" s="395">
        <v>0.36</v>
      </c>
      <c r="Q1637" s="396">
        <v>-3316</v>
      </c>
      <c r="R1637" s="396">
        <v>3682</v>
      </c>
      <c r="S1637" s="396">
        <v>-13280</v>
      </c>
      <c r="T1637" s="396">
        <v>232480</v>
      </c>
      <c r="U1637" s="396">
        <v>-478798</v>
      </c>
      <c r="V1637" s="395">
        <v>13811.25</v>
      </c>
      <c r="W1637" s="395">
        <v>1308.5899999999999</v>
      </c>
      <c r="X1637" s="395">
        <v>77490</v>
      </c>
      <c r="Y1637" s="395">
        <v>22473.81</v>
      </c>
      <c r="Z1637" s="396">
        <v>-7549370</v>
      </c>
      <c r="AA1637" s="396">
        <v>-349623</v>
      </c>
      <c r="AB1637" s="396">
        <v>7735372</v>
      </c>
      <c r="AC1637" s="396">
        <v>10207916</v>
      </c>
    </row>
    <row r="1638" spans="1:29">
      <c r="A1638">
        <v>4746</v>
      </c>
      <c r="B1638" s="395" t="s">
        <v>7688</v>
      </c>
      <c r="C1638" s="395"/>
      <c r="D1638" s="396">
        <v>-352212</v>
      </c>
      <c r="E1638" s="396">
        <v>270369</v>
      </c>
      <c r="F1638" s="395">
        <v>-0.43</v>
      </c>
      <c r="G1638" s="396">
        <v>-622581</v>
      </c>
      <c r="H1638" s="396">
        <v>62362</v>
      </c>
      <c r="I1638" s="396">
        <v>6929170</v>
      </c>
      <c r="J1638" s="395">
        <v>253</v>
      </c>
      <c r="K1638" s="395">
        <v>114</v>
      </c>
      <c r="L1638" s="397">
        <v>0.4506</v>
      </c>
      <c r="M1638" s="395">
        <v>139</v>
      </c>
      <c r="N1638" s="396">
        <v>-1392</v>
      </c>
      <c r="O1638" s="396">
        <v>2372</v>
      </c>
      <c r="P1638" s="395">
        <v>0.53</v>
      </c>
      <c r="Q1638" s="396">
        <v>-4479</v>
      </c>
      <c r="R1638" s="396">
        <v>11700</v>
      </c>
      <c r="S1638" s="396">
        <v>-18458</v>
      </c>
      <c r="T1638" s="396">
        <v>449628</v>
      </c>
      <c r="U1638" s="396">
        <v>-662575</v>
      </c>
      <c r="V1638" s="395">
        <v>9944.17</v>
      </c>
      <c r="W1638" s="395">
        <v>1361.78</v>
      </c>
      <c r="X1638" s="395">
        <v>77490</v>
      </c>
      <c r="Y1638" s="395">
        <v>16982.97</v>
      </c>
      <c r="Z1638" s="396">
        <v>-7280936</v>
      </c>
      <c r="AA1638" s="396">
        <v>-352212</v>
      </c>
      <c r="AB1638" s="396">
        <v>8081933</v>
      </c>
      <c r="AC1638" s="396">
        <v>10207916</v>
      </c>
    </row>
    <row r="1639" spans="1:29">
      <c r="A1639">
        <v>8039</v>
      </c>
      <c r="B1639" s="395" t="s">
        <v>8235</v>
      </c>
      <c r="C1639" s="395"/>
      <c r="D1639" s="396">
        <v>-359633</v>
      </c>
      <c r="E1639" s="396">
        <v>175576</v>
      </c>
      <c r="F1639" s="395">
        <v>-0.33</v>
      </c>
      <c r="G1639" s="396">
        <v>-535209</v>
      </c>
      <c r="H1639" s="396">
        <v>52698</v>
      </c>
      <c r="I1639" s="396">
        <v>6377126</v>
      </c>
      <c r="J1639" s="395">
        <v>267</v>
      </c>
      <c r="K1639" s="395">
        <v>120</v>
      </c>
      <c r="L1639" s="397">
        <v>0.44940000000000002</v>
      </c>
      <c r="M1639" s="395">
        <v>147</v>
      </c>
      <c r="N1639" s="396">
        <v>-1347</v>
      </c>
      <c r="O1639" s="396">
        <v>1463</v>
      </c>
      <c r="P1639" s="395">
        <v>0.4</v>
      </c>
      <c r="Q1639" s="396">
        <v>-3641</v>
      </c>
      <c r="R1639" s="396">
        <v>5515</v>
      </c>
      <c r="S1639" s="396">
        <v>-12126</v>
      </c>
      <c r="T1639" s="396">
        <v>221506</v>
      </c>
      <c r="U1639" s="396">
        <v>-512755</v>
      </c>
      <c r="V1639" s="395">
        <v>11713.97</v>
      </c>
      <c r="W1639" s="395">
        <v>1399.94</v>
      </c>
      <c r="X1639" s="395">
        <v>77490</v>
      </c>
      <c r="Y1639" s="395">
        <v>20133.580000000002</v>
      </c>
      <c r="Z1639" s="396">
        <v>-13102758</v>
      </c>
      <c r="AA1639" s="396">
        <v>-359633</v>
      </c>
      <c r="AB1639" s="396">
        <v>-7984516</v>
      </c>
      <c r="AC1639" s="396">
        <v>10207916</v>
      </c>
    </row>
    <row r="1640" spans="1:29">
      <c r="A1640">
        <v>1527</v>
      </c>
      <c r="B1640" s="395" t="s">
        <v>6799</v>
      </c>
      <c r="C1640" s="395"/>
      <c r="D1640" s="396">
        <v>-379565</v>
      </c>
      <c r="E1640" s="396">
        <v>134973</v>
      </c>
      <c r="F1640" s="395">
        <v>-0.26</v>
      </c>
      <c r="G1640" s="396">
        <v>-514538</v>
      </c>
      <c r="H1640" s="396">
        <v>44498</v>
      </c>
      <c r="I1640" s="396">
        <v>6231067</v>
      </c>
      <c r="J1640" s="395">
        <v>247</v>
      </c>
      <c r="K1640" s="395">
        <v>93</v>
      </c>
      <c r="L1640" s="397">
        <v>0.3765</v>
      </c>
      <c r="M1640" s="395">
        <v>154</v>
      </c>
      <c r="N1640" s="396">
        <v>-1537</v>
      </c>
      <c r="O1640" s="396">
        <v>1451</v>
      </c>
      <c r="P1640" s="395">
        <v>0.43</v>
      </c>
      <c r="Q1640" s="396">
        <v>-3341</v>
      </c>
      <c r="R1640" s="396">
        <v>6822</v>
      </c>
      <c r="S1640" s="396">
        <v>-10673</v>
      </c>
      <c r="T1640" s="396">
        <v>390515</v>
      </c>
      <c r="U1640" s="396">
        <v>-659263</v>
      </c>
      <c r="V1640" s="395">
        <v>14253.92</v>
      </c>
      <c r="W1640" s="395">
        <v>1370.67</v>
      </c>
      <c r="X1640" s="395">
        <v>77490</v>
      </c>
      <c r="Y1640" s="395">
        <v>22034.06</v>
      </c>
      <c r="Z1640" s="396">
        <v>-10810028</v>
      </c>
      <c r="AA1640" s="396">
        <v>-379565</v>
      </c>
      <c r="AB1640" s="396">
        <v>1375409</v>
      </c>
      <c r="AC1640" s="396">
        <v>10207916</v>
      </c>
    </row>
    <row r="1641" spans="1:29">
      <c r="A1641">
        <v>8444</v>
      </c>
      <c r="B1641" s="395" t="s">
        <v>8346</v>
      </c>
      <c r="C1641" s="395"/>
      <c r="D1641" s="396">
        <v>-380769</v>
      </c>
      <c r="E1641" s="396">
        <v>367763</v>
      </c>
      <c r="F1641" s="395">
        <v>-0.49</v>
      </c>
      <c r="G1641" s="396">
        <v>-748532</v>
      </c>
      <c r="H1641" s="396">
        <v>80269</v>
      </c>
      <c r="I1641" s="396">
        <v>5357389</v>
      </c>
      <c r="J1641" s="395">
        <v>222</v>
      </c>
      <c r="K1641" s="395">
        <v>165</v>
      </c>
      <c r="L1641" s="397">
        <v>0.74319999999999997</v>
      </c>
      <c r="M1641" s="395">
        <v>57</v>
      </c>
      <c r="N1641" s="396">
        <v>-1715</v>
      </c>
      <c r="O1641" s="396">
        <v>2229</v>
      </c>
      <c r="P1641" s="395">
        <v>0.17</v>
      </c>
      <c r="Q1641" s="396">
        <v>-13132</v>
      </c>
      <c r="R1641" s="396">
        <v>9688</v>
      </c>
      <c r="S1641" s="396">
        <v>-40488</v>
      </c>
      <c r="T1641" s="396">
        <v>335168</v>
      </c>
      <c r="U1641" s="396">
        <v>-829774</v>
      </c>
      <c r="V1641" s="395">
        <v>3298.42</v>
      </c>
      <c r="W1641" s="395">
        <v>1954.93</v>
      </c>
      <c r="X1641" s="395">
        <v>76680</v>
      </c>
      <c r="Y1641" s="395">
        <v>7187.49</v>
      </c>
      <c r="Z1641" s="396">
        <v>5143138</v>
      </c>
      <c r="AA1641" s="396">
        <v>-380769</v>
      </c>
      <c r="AB1641" s="396">
        <v>29056765</v>
      </c>
      <c r="AC1641" s="396">
        <v>10207916</v>
      </c>
    </row>
    <row r="1642" spans="1:29">
      <c r="A1642">
        <v>2945</v>
      </c>
      <c r="B1642" s="395" t="s">
        <v>7243</v>
      </c>
      <c r="C1642" s="395"/>
      <c r="D1642" s="396">
        <v>-383973</v>
      </c>
      <c r="E1642" s="395">
        <v>0</v>
      </c>
      <c r="F1642" s="395">
        <v>0</v>
      </c>
      <c r="G1642" s="396">
        <v>-383973</v>
      </c>
      <c r="H1642" s="396">
        <v>9073</v>
      </c>
      <c r="I1642" s="396">
        <v>2453900</v>
      </c>
      <c r="J1642" s="395">
        <v>35</v>
      </c>
      <c r="K1642" s="395">
        <v>0</v>
      </c>
      <c r="L1642" s="397">
        <v>0</v>
      </c>
      <c r="M1642" s="395">
        <v>35</v>
      </c>
      <c r="N1642" s="396">
        <v>-10971</v>
      </c>
      <c r="O1642" s="395">
        <v>0</v>
      </c>
      <c r="P1642" s="395">
        <v>0</v>
      </c>
      <c r="Q1642" s="396">
        <v>-10971</v>
      </c>
      <c r="R1642" s="395">
        <v>0</v>
      </c>
      <c r="S1642" s="396">
        <v>-20879</v>
      </c>
      <c r="T1642" s="396">
        <v>35825</v>
      </c>
      <c r="U1642" s="396">
        <v>-383973</v>
      </c>
      <c r="V1642" s="395">
        <v>10416.030000000001</v>
      </c>
      <c r="W1642" s="395">
        <v>0</v>
      </c>
      <c r="X1642" s="395">
        <v>17820</v>
      </c>
      <c r="Y1642" s="395">
        <v>10416.030000000001</v>
      </c>
      <c r="Z1642" s="396">
        <v>-13345368</v>
      </c>
      <c r="AA1642" s="396">
        <v>-383973</v>
      </c>
      <c r="AB1642" s="396">
        <v>-12050706</v>
      </c>
      <c r="AC1642" s="396">
        <v>10207916</v>
      </c>
    </row>
    <row r="1643" spans="1:29">
      <c r="A1643">
        <v>3501</v>
      </c>
      <c r="B1643" s="395" t="s">
        <v>7444</v>
      </c>
      <c r="C1643" s="395"/>
      <c r="D1643" s="396">
        <v>-385411</v>
      </c>
      <c r="E1643" s="396">
        <v>62309</v>
      </c>
      <c r="F1643" s="395">
        <v>-0.14000000000000001</v>
      </c>
      <c r="G1643" s="396">
        <v>-447720</v>
      </c>
      <c r="H1643" s="396">
        <v>46530</v>
      </c>
      <c r="I1643" s="396">
        <v>9965479</v>
      </c>
      <c r="J1643" s="395">
        <v>235</v>
      </c>
      <c r="K1643" s="395">
        <v>40</v>
      </c>
      <c r="L1643" s="397">
        <v>0.17019999999999999</v>
      </c>
      <c r="M1643" s="395">
        <v>195</v>
      </c>
      <c r="N1643" s="396">
        <v>-1640</v>
      </c>
      <c r="O1643" s="396">
        <v>1558</v>
      </c>
      <c r="P1643" s="395">
        <v>0.68</v>
      </c>
      <c r="Q1643" s="396">
        <v>-2296</v>
      </c>
      <c r="R1643" s="396">
        <v>2930</v>
      </c>
      <c r="S1643" s="396">
        <v>-8343</v>
      </c>
      <c r="T1643" s="396">
        <v>498771</v>
      </c>
      <c r="U1643" s="396">
        <v>-696516</v>
      </c>
      <c r="V1643" s="395">
        <v>30369.51</v>
      </c>
      <c r="W1643" s="395">
        <v>11953.67</v>
      </c>
      <c r="X1643" s="395">
        <v>77490</v>
      </c>
      <c r="Y1643" s="395">
        <v>34147.120000000003</v>
      </c>
      <c r="Z1643" s="396">
        <v>-3967735</v>
      </c>
      <c r="AA1643" s="396">
        <v>-385411</v>
      </c>
      <c r="AB1643" s="396">
        <v>-1990419</v>
      </c>
      <c r="AC1643" s="396">
        <v>10207916</v>
      </c>
    </row>
    <row r="1644" spans="1:29">
      <c r="A1644">
        <v>2908</v>
      </c>
      <c r="B1644" s="395" t="s">
        <v>7229</v>
      </c>
      <c r="C1644" s="395"/>
      <c r="D1644" s="396">
        <v>-389278</v>
      </c>
      <c r="E1644" s="396">
        <v>52108</v>
      </c>
      <c r="F1644" s="395">
        <v>-0.12</v>
      </c>
      <c r="G1644" s="396">
        <v>-441386</v>
      </c>
      <c r="H1644" s="396">
        <v>25063</v>
      </c>
      <c r="I1644" s="396">
        <v>3964148</v>
      </c>
      <c r="J1644" s="395">
        <v>263</v>
      </c>
      <c r="K1644" s="395">
        <v>76</v>
      </c>
      <c r="L1644" s="397">
        <v>0.28899999999999998</v>
      </c>
      <c r="M1644" s="395">
        <v>187</v>
      </c>
      <c r="N1644" s="396">
        <v>-1480</v>
      </c>
      <c r="O1644" s="395">
        <v>686</v>
      </c>
      <c r="P1644" s="395">
        <v>0.28999999999999998</v>
      </c>
      <c r="Q1644" s="396">
        <v>-2360</v>
      </c>
      <c r="R1644" s="396">
        <v>2299</v>
      </c>
      <c r="S1644" s="396">
        <v>-5977</v>
      </c>
      <c r="T1644" s="396">
        <v>174170</v>
      </c>
      <c r="U1644" s="396">
        <v>-464522</v>
      </c>
      <c r="V1644" s="395">
        <v>19045.080000000002</v>
      </c>
      <c r="W1644" s="395">
        <v>6425.13</v>
      </c>
      <c r="X1644" s="395">
        <v>77490</v>
      </c>
      <c r="Y1644" s="395">
        <v>24174.04</v>
      </c>
      <c r="Z1644" s="396">
        <v>-10588797</v>
      </c>
      <c r="AA1644" s="396">
        <v>-389278</v>
      </c>
      <c r="AB1644" s="396">
        <v>-9220473</v>
      </c>
      <c r="AC1644" s="396">
        <v>10207916</v>
      </c>
    </row>
    <row r="1645" spans="1:29">
      <c r="A1645">
        <v>3325</v>
      </c>
      <c r="B1645" s="395" t="s">
        <v>7394</v>
      </c>
      <c r="C1645" s="395"/>
      <c r="D1645" s="396">
        <v>-390078</v>
      </c>
      <c r="E1645" s="396">
        <v>94515</v>
      </c>
      <c r="F1645" s="395">
        <v>-0.2</v>
      </c>
      <c r="G1645" s="396">
        <v>-484593</v>
      </c>
      <c r="H1645" s="396">
        <v>21461</v>
      </c>
      <c r="I1645" s="396">
        <v>3704610</v>
      </c>
      <c r="J1645" s="395">
        <v>249</v>
      </c>
      <c r="K1645" s="395">
        <v>102</v>
      </c>
      <c r="L1645" s="397">
        <v>0.40960000000000002</v>
      </c>
      <c r="M1645" s="395">
        <v>147</v>
      </c>
      <c r="N1645" s="396">
        <v>-1567</v>
      </c>
      <c r="O1645" s="395">
        <v>927</v>
      </c>
      <c r="P1645" s="395">
        <v>0.28000000000000003</v>
      </c>
      <c r="Q1645" s="396">
        <v>-3297</v>
      </c>
      <c r="R1645" s="396">
        <v>3002</v>
      </c>
      <c r="S1645" s="396">
        <v>-14332</v>
      </c>
      <c r="T1645" s="396">
        <v>558186</v>
      </c>
      <c r="U1645" s="396">
        <v>-601485</v>
      </c>
      <c r="V1645" s="395">
        <v>22066.79</v>
      </c>
      <c r="W1645" s="395">
        <v>10349.049999999999</v>
      </c>
      <c r="X1645" s="395">
        <v>77490</v>
      </c>
      <c r="Y1645" s="395">
        <v>30197.46</v>
      </c>
      <c r="Z1645" s="396">
        <v>-18947592</v>
      </c>
      <c r="AA1645" s="396">
        <v>-390078</v>
      </c>
      <c r="AB1645" s="396">
        <v>-16047995</v>
      </c>
      <c r="AC1645" s="396">
        <v>10207916</v>
      </c>
    </row>
    <row r="1646" spans="1:29">
      <c r="A1646">
        <v>5530</v>
      </c>
      <c r="B1646" s="395" t="s">
        <v>7870</v>
      </c>
      <c r="C1646" s="395"/>
      <c r="D1646" s="396">
        <v>-394353</v>
      </c>
      <c r="E1646" s="396">
        <v>98783</v>
      </c>
      <c r="F1646" s="395">
        <v>-0.2</v>
      </c>
      <c r="G1646" s="396">
        <v>-493136</v>
      </c>
      <c r="H1646" s="396">
        <v>47371</v>
      </c>
      <c r="I1646" s="396">
        <v>8003149</v>
      </c>
      <c r="J1646" s="395">
        <v>252</v>
      </c>
      <c r="K1646" s="395">
        <v>64</v>
      </c>
      <c r="L1646" s="397">
        <v>0.254</v>
      </c>
      <c r="M1646" s="395">
        <v>188</v>
      </c>
      <c r="N1646" s="396">
        <v>-1565</v>
      </c>
      <c r="O1646" s="396">
        <v>1543</v>
      </c>
      <c r="P1646" s="395">
        <v>0.59</v>
      </c>
      <c r="Q1646" s="396">
        <v>-2623</v>
      </c>
      <c r="R1646" s="396">
        <v>5201</v>
      </c>
      <c r="S1646" s="396">
        <v>-14490</v>
      </c>
      <c r="T1646" s="396">
        <v>342108</v>
      </c>
      <c r="U1646" s="396">
        <v>-556332</v>
      </c>
      <c r="V1646" s="395">
        <v>19223.27</v>
      </c>
      <c r="W1646" s="395">
        <v>5457.95</v>
      </c>
      <c r="X1646" s="395">
        <v>77490</v>
      </c>
      <c r="Y1646" s="395">
        <v>23909.33</v>
      </c>
      <c r="Z1646" s="396">
        <v>-11690839</v>
      </c>
      <c r="AA1646" s="396">
        <v>-394353</v>
      </c>
      <c r="AB1646" s="396">
        <v>-8392575</v>
      </c>
      <c r="AC1646" s="396">
        <v>10207916</v>
      </c>
    </row>
    <row r="1647" spans="1:29">
      <c r="A1647">
        <v>1593</v>
      </c>
      <c r="B1647" s="395" t="s">
        <v>6828</v>
      </c>
      <c r="C1647" s="395"/>
      <c r="D1647" s="396">
        <v>-396558</v>
      </c>
      <c r="E1647" s="396">
        <v>780491</v>
      </c>
      <c r="F1647" s="395">
        <v>-0.66</v>
      </c>
      <c r="G1647" s="396">
        <v>-1177049</v>
      </c>
      <c r="H1647" s="396">
        <v>85658</v>
      </c>
      <c r="I1647" s="396">
        <v>4590048</v>
      </c>
      <c r="J1647" s="395">
        <v>216</v>
      </c>
      <c r="K1647" s="395">
        <v>111</v>
      </c>
      <c r="L1647" s="397">
        <v>0.51390000000000002</v>
      </c>
      <c r="M1647" s="395">
        <v>105</v>
      </c>
      <c r="N1647" s="396">
        <v>-1836</v>
      </c>
      <c r="O1647" s="396">
        <v>7031</v>
      </c>
      <c r="P1647" s="395">
        <v>0.63</v>
      </c>
      <c r="Q1647" s="396">
        <v>-11210</v>
      </c>
      <c r="R1647" s="396">
        <v>20558</v>
      </c>
      <c r="S1647" s="396">
        <v>-28039</v>
      </c>
      <c r="T1647" s="396">
        <v>830557</v>
      </c>
      <c r="U1647" s="396">
        <v>-861510</v>
      </c>
      <c r="V1647" s="395">
        <v>6167.44</v>
      </c>
      <c r="W1647" s="395">
        <v>2078.85</v>
      </c>
      <c r="X1647" s="395">
        <v>77490</v>
      </c>
      <c r="Y1647" s="395">
        <v>10489.67</v>
      </c>
      <c r="Z1647" s="396">
        <v>-23116133</v>
      </c>
      <c r="AA1647" s="396">
        <v>-396558</v>
      </c>
      <c r="AB1647" s="396">
        <v>-6002734</v>
      </c>
      <c r="AC1647" s="396">
        <v>10207916</v>
      </c>
    </row>
    <row r="1648" spans="1:29">
      <c r="A1648">
        <v>5007</v>
      </c>
      <c r="B1648" s="395" t="s">
        <v>7751</v>
      </c>
      <c r="C1648" s="395"/>
      <c r="D1648" s="396">
        <v>-430954</v>
      </c>
      <c r="E1648" s="396">
        <v>67121</v>
      </c>
      <c r="F1648" s="395">
        <v>-0.13</v>
      </c>
      <c r="G1648" s="396">
        <v>-498074</v>
      </c>
      <c r="H1648" s="396">
        <v>51388</v>
      </c>
      <c r="I1648" s="396">
        <v>10057358</v>
      </c>
      <c r="J1648" s="395">
        <v>225</v>
      </c>
      <c r="K1648" s="395">
        <v>60</v>
      </c>
      <c r="L1648" s="397">
        <v>0.26669999999999999</v>
      </c>
      <c r="M1648" s="395">
        <v>165</v>
      </c>
      <c r="N1648" s="396">
        <v>-1915</v>
      </c>
      <c r="O1648" s="396">
        <v>1119</v>
      </c>
      <c r="P1648" s="395">
        <v>0.37</v>
      </c>
      <c r="Q1648" s="396">
        <v>-3019</v>
      </c>
      <c r="R1648" s="396">
        <v>2564</v>
      </c>
      <c r="S1648" s="396">
        <v>-8231</v>
      </c>
      <c r="T1648" s="396">
        <v>523597</v>
      </c>
      <c r="U1648" s="396">
        <v>-843493</v>
      </c>
      <c r="V1648" s="395">
        <v>24365.14</v>
      </c>
      <c r="W1648" s="395">
        <v>2853.77</v>
      </c>
      <c r="X1648" s="395">
        <v>77220</v>
      </c>
      <c r="Y1648" s="395">
        <v>32187.45</v>
      </c>
      <c r="Z1648" s="396">
        <v>4648456</v>
      </c>
      <c r="AA1648" s="396">
        <v>-430954</v>
      </c>
      <c r="AB1648" s="396">
        <v>6148702</v>
      </c>
      <c r="AC1648" s="396">
        <v>10207916</v>
      </c>
    </row>
    <row r="1649" spans="1:29">
      <c r="A1649">
        <v>3515</v>
      </c>
      <c r="B1649" s="395" t="s">
        <v>7449</v>
      </c>
      <c r="C1649" s="395"/>
      <c r="D1649" s="396">
        <v>-432478</v>
      </c>
      <c r="E1649" s="396">
        <v>1730804</v>
      </c>
      <c r="F1649" s="395">
        <v>-0.8</v>
      </c>
      <c r="G1649" s="396">
        <v>-2163282</v>
      </c>
      <c r="H1649" s="396">
        <v>205656</v>
      </c>
      <c r="I1649" s="396">
        <v>10339983</v>
      </c>
      <c r="J1649" s="395">
        <v>276</v>
      </c>
      <c r="K1649" s="395">
        <v>185</v>
      </c>
      <c r="L1649" s="397">
        <v>0.67030000000000001</v>
      </c>
      <c r="M1649" s="395">
        <v>91</v>
      </c>
      <c r="N1649" s="396">
        <v>-1567</v>
      </c>
      <c r="O1649" s="396">
        <v>9356</v>
      </c>
      <c r="P1649" s="395">
        <v>0.39</v>
      </c>
      <c r="Q1649" s="396">
        <v>-23772</v>
      </c>
      <c r="R1649" s="396">
        <v>40406</v>
      </c>
      <c r="S1649" s="396">
        <v>-80964</v>
      </c>
      <c r="T1649" s="396">
        <v>2728412</v>
      </c>
      <c r="U1649" s="396">
        <v>-1961154</v>
      </c>
      <c r="V1649" s="395">
        <v>3730.28</v>
      </c>
      <c r="W1649" s="395">
        <v>1717.27</v>
      </c>
      <c r="X1649" s="395">
        <v>77490</v>
      </c>
      <c r="Y1649" s="395">
        <v>7822.66</v>
      </c>
      <c r="Z1649" s="396">
        <v>2958205</v>
      </c>
      <c r="AA1649" s="396">
        <v>-432478</v>
      </c>
      <c r="AB1649" s="396">
        <v>15958366</v>
      </c>
      <c r="AC1649" s="396">
        <v>10207916</v>
      </c>
    </row>
    <row r="1650" spans="1:29">
      <c r="A1650">
        <v>1536</v>
      </c>
      <c r="B1650" s="395" t="s">
        <v>6807</v>
      </c>
      <c r="C1650" s="395"/>
      <c r="D1650" s="396">
        <v>-459308</v>
      </c>
      <c r="E1650" s="396">
        <v>696928</v>
      </c>
      <c r="F1650" s="395">
        <v>-0.6</v>
      </c>
      <c r="G1650" s="396">
        <v>-1156236</v>
      </c>
      <c r="H1650" s="396">
        <v>106522</v>
      </c>
      <c r="I1650" s="396">
        <v>6423873</v>
      </c>
      <c r="J1650" s="395">
        <v>270</v>
      </c>
      <c r="K1650" s="395">
        <v>139</v>
      </c>
      <c r="L1650" s="397">
        <v>0.51480000000000004</v>
      </c>
      <c r="M1650" s="395">
        <v>131</v>
      </c>
      <c r="N1650" s="396">
        <v>-1701</v>
      </c>
      <c r="O1650" s="396">
        <v>5014</v>
      </c>
      <c r="P1650" s="395">
        <v>0.56999999999999995</v>
      </c>
      <c r="Q1650" s="396">
        <v>-8826</v>
      </c>
      <c r="R1650" s="396">
        <v>21127</v>
      </c>
      <c r="S1650" s="396">
        <v>-21951</v>
      </c>
      <c r="T1650" s="396">
        <v>1010543</v>
      </c>
      <c r="U1650" s="396">
        <v>-1220571</v>
      </c>
      <c r="V1650" s="395">
        <v>7599.66</v>
      </c>
      <c r="W1650" s="395">
        <v>3852.77</v>
      </c>
      <c r="X1650" s="395">
        <v>77490</v>
      </c>
      <c r="Y1650" s="395">
        <v>11575.37</v>
      </c>
      <c r="Z1650" s="396">
        <v>-20847980</v>
      </c>
      <c r="AA1650" s="396">
        <v>-459308</v>
      </c>
      <c r="AB1650" s="396">
        <v>-13705853</v>
      </c>
      <c r="AC1650" s="396">
        <v>10207916</v>
      </c>
    </row>
    <row r="1651" spans="1:29">
      <c r="A1651">
        <v>2729</v>
      </c>
      <c r="B1651" s="395" t="s">
        <v>7178</v>
      </c>
      <c r="C1651" s="395"/>
      <c r="D1651" s="396">
        <v>-460770</v>
      </c>
      <c r="E1651" s="396">
        <v>569945</v>
      </c>
      <c r="F1651" s="395">
        <v>-0.55000000000000004</v>
      </c>
      <c r="G1651" s="396">
        <v>-1030715</v>
      </c>
      <c r="H1651" s="396">
        <v>133221</v>
      </c>
      <c r="I1651" s="396">
        <v>16103128</v>
      </c>
      <c r="J1651" s="395">
        <v>142</v>
      </c>
      <c r="K1651" s="395">
        <v>59</v>
      </c>
      <c r="L1651" s="397">
        <v>0.41549999999999998</v>
      </c>
      <c r="M1651" s="395">
        <v>83</v>
      </c>
      <c r="N1651" s="396">
        <v>-3245</v>
      </c>
      <c r="O1651" s="396">
        <v>9660</v>
      </c>
      <c r="P1651" s="395">
        <v>0.78</v>
      </c>
      <c r="Q1651" s="396">
        <v>-12418</v>
      </c>
      <c r="R1651" s="396">
        <v>30078</v>
      </c>
      <c r="S1651" s="396">
        <v>-30330</v>
      </c>
      <c r="T1651" s="396">
        <v>1159117</v>
      </c>
      <c r="U1651" s="396">
        <v>-1334384</v>
      </c>
      <c r="V1651" s="395">
        <v>13926.61</v>
      </c>
      <c r="W1651" s="395">
        <v>2724.66</v>
      </c>
      <c r="X1651" s="395">
        <v>77490</v>
      </c>
      <c r="Y1651" s="395">
        <v>21889.43</v>
      </c>
      <c r="Z1651" s="396">
        <v>-4807216</v>
      </c>
      <c r="AA1651" s="396">
        <v>-460770</v>
      </c>
      <c r="AB1651" s="396">
        <v>-1552996</v>
      </c>
      <c r="AC1651" s="396">
        <v>10207916</v>
      </c>
    </row>
    <row r="1652" spans="1:29">
      <c r="A1652">
        <v>8410</v>
      </c>
      <c r="B1652" s="395" t="s">
        <v>8324</v>
      </c>
      <c r="C1652" s="395"/>
      <c r="D1652" s="396">
        <v>-480416</v>
      </c>
      <c r="E1652" s="396">
        <v>70901</v>
      </c>
      <c r="F1652" s="395">
        <v>-0.13</v>
      </c>
      <c r="G1652" s="396">
        <v>-551317</v>
      </c>
      <c r="H1652" s="396">
        <v>30342</v>
      </c>
      <c r="I1652" s="396">
        <v>4826662</v>
      </c>
      <c r="J1652" s="395">
        <v>194</v>
      </c>
      <c r="K1652" s="395">
        <v>78</v>
      </c>
      <c r="L1652" s="397">
        <v>0.40210000000000001</v>
      </c>
      <c r="M1652" s="395">
        <v>116</v>
      </c>
      <c r="N1652" s="396">
        <v>-2476</v>
      </c>
      <c r="O1652" s="395">
        <v>909</v>
      </c>
      <c r="P1652" s="395">
        <v>0.19</v>
      </c>
      <c r="Q1652" s="396">
        <v>-4753</v>
      </c>
      <c r="R1652" s="396">
        <v>3383</v>
      </c>
      <c r="S1652" s="396">
        <v>-20871</v>
      </c>
      <c r="T1652" s="396">
        <v>468211</v>
      </c>
      <c r="U1652" s="396">
        <v>-568485</v>
      </c>
      <c r="V1652" s="395">
        <v>20195.66</v>
      </c>
      <c r="W1652" s="395">
        <v>5656.1</v>
      </c>
      <c r="X1652" s="395">
        <v>76950</v>
      </c>
      <c r="Y1652" s="395">
        <v>29972.27</v>
      </c>
      <c r="Z1652" s="396">
        <v>-14407148</v>
      </c>
      <c r="AA1652" s="396">
        <v>-480416</v>
      </c>
      <c r="AB1652" s="396">
        <v>-11629341</v>
      </c>
      <c r="AC1652" s="396">
        <v>10207916</v>
      </c>
    </row>
    <row r="1653" spans="1:29">
      <c r="A1653">
        <v>8083</v>
      </c>
      <c r="B1653" s="395" t="s">
        <v>8260</v>
      </c>
      <c r="C1653" s="395"/>
      <c r="D1653" s="396">
        <v>-517707</v>
      </c>
      <c r="E1653" s="396">
        <v>242513</v>
      </c>
      <c r="F1653" s="395">
        <v>-0.32</v>
      </c>
      <c r="G1653" s="396">
        <v>-760220</v>
      </c>
      <c r="H1653" s="396">
        <v>136035</v>
      </c>
      <c r="I1653" s="396">
        <v>26200756</v>
      </c>
      <c r="J1653" s="395">
        <v>183</v>
      </c>
      <c r="K1653" s="395">
        <v>67</v>
      </c>
      <c r="L1653" s="397">
        <v>0.36609999999999998</v>
      </c>
      <c r="M1653" s="395">
        <v>116</v>
      </c>
      <c r="N1653" s="396">
        <v>-2829</v>
      </c>
      <c r="O1653" s="396">
        <v>3620</v>
      </c>
      <c r="P1653" s="395">
        <v>0.55000000000000004</v>
      </c>
      <c r="Q1653" s="396">
        <v>-6554</v>
      </c>
      <c r="R1653" s="396">
        <v>8807</v>
      </c>
      <c r="S1653" s="396">
        <v>-20642</v>
      </c>
      <c r="T1653" s="396">
        <v>1750712</v>
      </c>
      <c r="U1653" s="396">
        <v>-1951431</v>
      </c>
      <c r="V1653" s="395">
        <v>25873.81</v>
      </c>
      <c r="W1653" s="395">
        <v>12848.76</v>
      </c>
      <c r="X1653" s="395">
        <v>77490</v>
      </c>
      <c r="Y1653" s="395">
        <v>33396.9</v>
      </c>
      <c r="Z1653" s="396">
        <v>-3334140</v>
      </c>
      <c r="AA1653" s="396">
        <v>-517707</v>
      </c>
      <c r="AB1653" s="396">
        <v>-3046559</v>
      </c>
      <c r="AC1653" s="396">
        <v>10207916</v>
      </c>
    </row>
    <row r="1654" spans="1:29">
      <c r="A1654">
        <v>1326</v>
      </c>
      <c r="B1654" s="395" t="s">
        <v>6726</v>
      </c>
      <c r="C1654" s="395"/>
      <c r="D1654" s="396">
        <v>-527157</v>
      </c>
      <c r="E1654" s="396">
        <v>139284</v>
      </c>
      <c r="F1654" s="395">
        <v>-0.21</v>
      </c>
      <c r="G1654" s="396">
        <v>-666441</v>
      </c>
      <c r="H1654" s="396">
        <v>94218</v>
      </c>
      <c r="I1654" s="396">
        <v>18090678</v>
      </c>
      <c r="J1654" s="395">
        <v>285</v>
      </c>
      <c r="K1654" s="395">
        <v>71</v>
      </c>
      <c r="L1654" s="397">
        <v>0.24909999999999999</v>
      </c>
      <c r="M1654" s="395">
        <v>214</v>
      </c>
      <c r="N1654" s="396">
        <v>-1850</v>
      </c>
      <c r="O1654" s="396">
        <v>1962</v>
      </c>
      <c r="P1654" s="395">
        <v>0.63</v>
      </c>
      <c r="Q1654" s="396">
        <v>-3114</v>
      </c>
      <c r="R1654" s="396">
        <v>6177</v>
      </c>
      <c r="S1654" s="396">
        <v>-13494</v>
      </c>
      <c r="T1654" s="396">
        <v>716686</v>
      </c>
      <c r="U1654" s="396">
        <v>-926686</v>
      </c>
      <c r="V1654" s="395">
        <v>23659.599999999999</v>
      </c>
      <c r="W1654" s="395">
        <v>4490.21</v>
      </c>
      <c r="X1654" s="395">
        <v>77490</v>
      </c>
      <c r="Y1654" s="395">
        <v>30019.54</v>
      </c>
      <c r="Z1654" s="396">
        <v>-3589873</v>
      </c>
      <c r="AA1654" s="396">
        <v>-527157</v>
      </c>
      <c r="AB1654" s="396">
        <v>-1413750</v>
      </c>
      <c r="AC1654" s="396">
        <v>10207916</v>
      </c>
    </row>
    <row r="1655" spans="1:29">
      <c r="A1655">
        <v>6691</v>
      </c>
      <c r="B1655" s="395" t="s">
        <v>8186</v>
      </c>
      <c r="C1655" s="395"/>
      <c r="D1655" s="396">
        <v>-529948</v>
      </c>
      <c r="E1655" s="396">
        <v>19586</v>
      </c>
      <c r="F1655" s="395">
        <v>-0.04</v>
      </c>
      <c r="G1655" s="396">
        <v>-549534</v>
      </c>
      <c r="H1655" s="396">
        <v>19948</v>
      </c>
      <c r="I1655" s="396">
        <v>5242000</v>
      </c>
      <c r="J1655" s="395">
        <v>26</v>
      </c>
      <c r="K1655" s="395">
        <v>2</v>
      </c>
      <c r="L1655" s="397">
        <v>7.6899999999999996E-2</v>
      </c>
      <c r="M1655" s="395">
        <v>24</v>
      </c>
      <c r="N1655" s="396">
        <v>-20383</v>
      </c>
      <c r="O1655" s="396">
        <v>9793</v>
      </c>
      <c r="P1655" s="395">
        <v>0.43</v>
      </c>
      <c r="Q1655" s="396">
        <v>-22897</v>
      </c>
      <c r="R1655" s="396">
        <v>10294</v>
      </c>
      <c r="S1655" s="396">
        <v>-53834</v>
      </c>
      <c r="T1655" s="396">
        <v>346777</v>
      </c>
      <c r="U1655" s="396">
        <v>-750261</v>
      </c>
      <c r="V1655" s="395">
        <v>6290.85</v>
      </c>
      <c r="W1655" s="395">
        <v>1212.5</v>
      </c>
      <c r="X1655" s="395">
        <v>11610</v>
      </c>
      <c r="Y1655" s="395">
        <v>6714.04</v>
      </c>
      <c r="Z1655" s="396">
        <v>-11557598</v>
      </c>
      <c r="AA1655" s="396">
        <v>-529948</v>
      </c>
      <c r="AB1655" s="396">
        <v>-10954310</v>
      </c>
      <c r="AC1655" s="396">
        <v>10207916</v>
      </c>
    </row>
    <row r="1656" spans="1:29">
      <c r="A1656">
        <v>3713</v>
      </c>
      <c r="B1656" s="395" t="s">
        <v>7549</v>
      </c>
      <c r="C1656" s="395"/>
      <c r="D1656" s="396">
        <v>-536299</v>
      </c>
      <c r="E1656" s="396">
        <v>58680</v>
      </c>
      <c r="F1656" s="395">
        <v>-0.1</v>
      </c>
      <c r="G1656" s="396">
        <v>-594979</v>
      </c>
      <c r="H1656" s="396">
        <v>24399</v>
      </c>
      <c r="I1656" s="396">
        <v>4935708</v>
      </c>
      <c r="J1656" s="395">
        <v>156</v>
      </c>
      <c r="K1656" s="395">
        <v>39</v>
      </c>
      <c r="L1656" s="397">
        <v>0.25</v>
      </c>
      <c r="M1656" s="395">
        <v>117</v>
      </c>
      <c r="N1656" s="396">
        <v>-3438</v>
      </c>
      <c r="O1656" s="396">
        <v>1505</v>
      </c>
      <c r="P1656" s="395">
        <v>0.3</v>
      </c>
      <c r="Q1656" s="396">
        <v>-5085</v>
      </c>
      <c r="R1656" s="396">
        <v>2969</v>
      </c>
      <c r="S1656" s="396">
        <v>-24937</v>
      </c>
      <c r="T1656" s="396">
        <v>589315</v>
      </c>
      <c r="U1656" s="396">
        <v>-668532</v>
      </c>
      <c r="V1656" s="395">
        <v>26160.15</v>
      </c>
      <c r="W1656" s="395">
        <v>10481.969999999999</v>
      </c>
      <c r="X1656" s="395">
        <v>77490</v>
      </c>
      <c r="Y1656" s="395">
        <v>31386.21</v>
      </c>
      <c r="Z1656" s="396">
        <v>-15501178</v>
      </c>
      <c r="AA1656" s="396">
        <v>-536299</v>
      </c>
      <c r="AB1656" s="396">
        <v>-11169704</v>
      </c>
      <c r="AC1656" s="396">
        <v>10207916</v>
      </c>
    </row>
    <row r="1657" spans="1:29">
      <c r="A1657">
        <v>6214</v>
      </c>
      <c r="B1657" s="395" t="s">
        <v>8000</v>
      </c>
      <c r="C1657" s="395"/>
      <c r="D1657" s="396">
        <v>-547732</v>
      </c>
      <c r="E1657" s="396">
        <v>208181</v>
      </c>
      <c r="F1657" s="395">
        <v>-0.28000000000000003</v>
      </c>
      <c r="G1657" s="396">
        <v>-755913</v>
      </c>
      <c r="H1657" s="396">
        <v>89135</v>
      </c>
      <c r="I1657" s="396">
        <v>12775924</v>
      </c>
      <c r="J1657" s="395">
        <v>260</v>
      </c>
      <c r="K1657" s="395">
        <v>95</v>
      </c>
      <c r="L1657" s="397">
        <v>0.3654</v>
      </c>
      <c r="M1657" s="395">
        <v>165</v>
      </c>
      <c r="N1657" s="396">
        <v>-2107</v>
      </c>
      <c r="O1657" s="396">
        <v>2191</v>
      </c>
      <c r="P1657" s="395">
        <v>0.48</v>
      </c>
      <c r="Q1657" s="396">
        <v>-4581</v>
      </c>
      <c r="R1657" s="396">
        <v>6550</v>
      </c>
      <c r="S1657" s="396">
        <v>-7538</v>
      </c>
      <c r="T1657" s="396">
        <v>365206</v>
      </c>
      <c r="U1657" s="396">
        <v>-903248</v>
      </c>
      <c r="V1657" s="395">
        <v>16241.5</v>
      </c>
      <c r="W1657" s="395">
        <v>4795.42</v>
      </c>
      <c r="X1657" s="395">
        <v>77490</v>
      </c>
      <c r="Y1657" s="395">
        <v>22831.66</v>
      </c>
      <c r="Z1657" s="396">
        <v>-3316316</v>
      </c>
      <c r="AA1657" s="396">
        <v>-547732</v>
      </c>
      <c r="AB1657" s="396">
        <v>-1297994</v>
      </c>
      <c r="AC1657" s="396">
        <v>10207916</v>
      </c>
    </row>
    <row r="1658" spans="1:29">
      <c r="A1658">
        <v>3465</v>
      </c>
      <c r="B1658" s="395" t="s">
        <v>7431</v>
      </c>
      <c r="C1658" s="395"/>
      <c r="D1658" s="396">
        <v>-555974</v>
      </c>
      <c r="E1658" s="396">
        <v>868743</v>
      </c>
      <c r="F1658" s="395">
        <v>-0.61</v>
      </c>
      <c r="G1658" s="396">
        <v>-1424716</v>
      </c>
      <c r="H1658" s="396">
        <v>140596</v>
      </c>
      <c r="I1658" s="396">
        <v>4931723</v>
      </c>
      <c r="J1658" s="395">
        <v>184</v>
      </c>
      <c r="K1658" s="395">
        <v>141</v>
      </c>
      <c r="L1658" s="397">
        <v>0.76629999999999998</v>
      </c>
      <c r="M1658" s="395">
        <v>43</v>
      </c>
      <c r="N1658" s="396">
        <v>-3022</v>
      </c>
      <c r="O1658" s="396">
        <v>6161</v>
      </c>
      <c r="P1658" s="395">
        <v>0.19</v>
      </c>
      <c r="Q1658" s="396">
        <v>-33133</v>
      </c>
      <c r="R1658" s="396">
        <v>24753</v>
      </c>
      <c r="S1658" s="396">
        <v>-113854</v>
      </c>
      <c r="T1658" s="396">
        <v>799571</v>
      </c>
      <c r="U1658" s="396">
        <v>-1355200</v>
      </c>
      <c r="V1658" s="395">
        <v>3044.22</v>
      </c>
      <c r="W1658" s="395">
        <v>1735.67</v>
      </c>
      <c r="X1658" s="395">
        <v>77220</v>
      </c>
      <c r="Y1658" s="395">
        <v>7335.05</v>
      </c>
      <c r="Z1658" s="396">
        <v>-10347272</v>
      </c>
      <c r="AA1658" s="396">
        <v>-555974</v>
      </c>
      <c r="AB1658" s="396">
        <v>-3463880</v>
      </c>
      <c r="AC1658" s="396">
        <v>10207916</v>
      </c>
    </row>
    <row r="1659" spans="1:29">
      <c r="A1659">
        <v>8463</v>
      </c>
      <c r="B1659" s="395" t="s">
        <v>8352</v>
      </c>
      <c r="C1659" s="395"/>
      <c r="D1659" s="396">
        <v>-559050</v>
      </c>
      <c r="E1659" s="396">
        <v>103115</v>
      </c>
      <c r="F1659" s="395">
        <v>-0.16</v>
      </c>
      <c r="G1659" s="396">
        <v>-662165</v>
      </c>
      <c r="H1659" s="396">
        <v>32935</v>
      </c>
      <c r="I1659" s="396">
        <v>4400163</v>
      </c>
      <c r="J1659" s="395">
        <v>244</v>
      </c>
      <c r="K1659" s="395">
        <v>92</v>
      </c>
      <c r="L1659" s="397">
        <v>0.377</v>
      </c>
      <c r="M1659" s="395">
        <v>152</v>
      </c>
      <c r="N1659" s="396">
        <v>-2291</v>
      </c>
      <c r="O1659" s="396">
        <v>1121</v>
      </c>
      <c r="P1659" s="395">
        <v>0.26</v>
      </c>
      <c r="Q1659" s="396">
        <v>-4356</v>
      </c>
      <c r="R1659" s="396">
        <v>5158</v>
      </c>
      <c r="S1659" s="396">
        <v>-12231</v>
      </c>
      <c r="T1659" s="396">
        <v>319368</v>
      </c>
      <c r="U1659" s="396">
        <v>-730693</v>
      </c>
      <c r="V1659" s="395">
        <v>14742.55</v>
      </c>
      <c r="W1659" s="395">
        <v>4018.55</v>
      </c>
      <c r="X1659" s="395">
        <v>77490</v>
      </c>
      <c r="Y1659" s="395">
        <v>21233.39</v>
      </c>
      <c r="Z1659" s="396">
        <v>-15214753</v>
      </c>
      <c r="AA1659" s="396">
        <v>-559050</v>
      </c>
      <c r="AB1659" s="396">
        <v>-11734303</v>
      </c>
      <c r="AC1659" s="396">
        <v>10207916</v>
      </c>
    </row>
    <row r="1660" spans="1:29">
      <c r="A1660">
        <v>4528</v>
      </c>
      <c r="B1660" s="395" t="s">
        <v>7631</v>
      </c>
      <c r="C1660" s="395"/>
      <c r="D1660" s="396">
        <v>-568398</v>
      </c>
      <c r="E1660" s="396">
        <v>88568</v>
      </c>
      <c r="F1660" s="395">
        <v>-0.13</v>
      </c>
      <c r="G1660" s="396">
        <v>-656966</v>
      </c>
      <c r="H1660" s="396">
        <v>33778</v>
      </c>
      <c r="I1660" s="396">
        <v>6528398</v>
      </c>
      <c r="J1660" s="395">
        <v>189</v>
      </c>
      <c r="K1660" s="395">
        <v>41</v>
      </c>
      <c r="L1660" s="397">
        <v>0.21690000000000001</v>
      </c>
      <c r="M1660" s="395">
        <v>148</v>
      </c>
      <c r="N1660" s="396">
        <v>-3007</v>
      </c>
      <c r="O1660" s="396">
        <v>2160</v>
      </c>
      <c r="P1660" s="395">
        <v>0.49</v>
      </c>
      <c r="Q1660" s="396">
        <v>-4439</v>
      </c>
      <c r="R1660" s="396">
        <v>7475</v>
      </c>
      <c r="S1660" s="396">
        <v>-15637</v>
      </c>
      <c r="T1660" s="396">
        <v>327291</v>
      </c>
      <c r="U1660" s="396">
        <v>-713012</v>
      </c>
      <c r="V1660" s="395">
        <v>28030.97</v>
      </c>
      <c r="W1660" s="395">
        <v>3683.1</v>
      </c>
      <c r="X1660" s="395">
        <v>77490</v>
      </c>
      <c r="Y1660" s="395">
        <v>34775.99</v>
      </c>
      <c r="Z1660" s="396">
        <v>-12193485</v>
      </c>
      <c r="AA1660" s="396">
        <v>-568398</v>
      </c>
      <c r="AB1660" s="396">
        <v>-10700478</v>
      </c>
      <c r="AC1660" s="396">
        <v>10207916</v>
      </c>
    </row>
    <row r="1661" spans="1:29">
      <c r="A1661">
        <v>3679</v>
      </c>
      <c r="B1661" s="395" t="s">
        <v>7526</v>
      </c>
      <c r="C1661" s="395"/>
      <c r="D1661" s="396">
        <v>-602291</v>
      </c>
      <c r="E1661" s="396">
        <v>785016</v>
      </c>
      <c r="F1661" s="395">
        <v>-0.56999999999999995</v>
      </c>
      <c r="G1661" s="396">
        <v>-1387307</v>
      </c>
      <c r="H1661" s="396">
        <v>105403</v>
      </c>
      <c r="I1661" s="396">
        <v>13445768</v>
      </c>
      <c r="J1661" s="395">
        <v>244</v>
      </c>
      <c r="K1661" s="395">
        <v>145</v>
      </c>
      <c r="L1661" s="397">
        <v>0.59430000000000005</v>
      </c>
      <c r="M1661" s="395">
        <v>99</v>
      </c>
      <c r="N1661" s="396">
        <v>-2468</v>
      </c>
      <c r="O1661" s="396">
        <v>5414</v>
      </c>
      <c r="P1661" s="395">
        <v>0.39</v>
      </c>
      <c r="Q1661" s="396">
        <v>-14013</v>
      </c>
      <c r="R1661" s="396">
        <v>19426</v>
      </c>
      <c r="S1661" s="396">
        <v>-50840</v>
      </c>
      <c r="T1661" s="396">
        <v>1882126</v>
      </c>
      <c r="U1661" s="396">
        <v>-2083913</v>
      </c>
      <c r="V1661" s="395">
        <v>16003.28</v>
      </c>
      <c r="W1661" s="395">
        <v>10639.96</v>
      </c>
      <c r="X1661" s="395">
        <v>77490</v>
      </c>
      <c r="Y1661" s="395">
        <v>23858.65</v>
      </c>
      <c r="Z1661" s="396">
        <v>-10279225</v>
      </c>
      <c r="AA1661" s="396">
        <v>-602291</v>
      </c>
      <c r="AB1661" s="396">
        <v>-7003985</v>
      </c>
      <c r="AC1661" s="396">
        <v>10207916</v>
      </c>
    </row>
    <row r="1662" spans="1:29">
      <c r="A1662">
        <v>5236</v>
      </c>
      <c r="B1662" s="395" t="s">
        <v>7777</v>
      </c>
      <c r="C1662" s="395"/>
      <c r="D1662" s="396">
        <v>-605756</v>
      </c>
      <c r="E1662" s="396">
        <v>563306</v>
      </c>
      <c r="F1662" s="395">
        <v>-0.48</v>
      </c>
      <c r="G1662" s="396">
        <v>-1169062</v>
      </c>
      <c r="H1662" s="396">
        <v>76756</v>
      </c>
      <c r="I1662" s="396">
        <v>8918148</v>
      </c>
      <c r="J1662" s="395">
        <v>130</v>
      </c>
      <c r="K1662" s="395">
        <v>60</v>
      </c>
      <c r="L1662" s="397">
        <v>0.46150000000000002</v>
      </c>
      <c r="M1662" s="395">
        <v>70</v>
      </c>
      <c r="N1662" s="396">
        <v>-4660</v>
      </c>
      <c r="O1662" s="396">
        <v>9388</v>
      </c>
      <c r="P1662" s="395">
        <v>0.56000000000000005</v>
      </c>
      <c r="Q1662" s="396">
        <v>-16701</v>
      </c>
      <c r="R1662" s="396">
        <v>26833</v>
      </c>
      <c r="S1662" s="396">
        <v>-52634</v>
      </c>
      <c r="T1662" s="396">
        <v>808938</v>
      </c>
      <c r="U1662" s="396">
        <v>-1260341</v>
      </c>
      <c r="V1662" s="395">
        <v>6282.43</v>
      </c>
      <c r="W1662" s="395">
        <v>2177.63</v>
      </c>
      <c r="X1662" s="395">
        <v>40770</v>
      </c>
      <c r="Y1662" s="395">
        <v>9800.83</v>
      </c>
      <c r="Z1662" s="396">
        <v>-21602698</v>
      </c>
      <c r="AA1662" s="396">
        <v>-605756</v>
      </c>
      <c r="AB1662" s="396">
        <v>-18690261</v>
      </c>
      <c r="AC1662" s="396">
        <v>10207916</v>
      </c>
    </row>
    <row r="1663" spans="1:29">
      <c r="A1663">
        <v>6194</v>
      </c>
      <c r="B1663" s="395" t="s">
        <v>7982</v>
      </c>
      <c r="C1663" s="395"/>
      <c r="D1663" s="396">
        <v>-605838</v>
      </c>
      <c r="E1663" s="396">
        <v>18403</v>
      </c>
      <c r="F1663" s="395">
        <v>-0.03</v>
      </c>
      <c r="G1663" s="396">
        <v>-624241</v>
      </c>
      <c r="H1663" s="396">
        <v>22945</v>
      </c>
      <c r="I1663" s="396">
        <v>5317749</v>
      </c>
      <c r="J1663" s="395">
        <v>207</v>
      </c>
      <c r="K1663" s="395">
        <v>34</v>
      </c>
      <c r="L1663" s="397">
        <v>0.1643</v>
      </c>
      <c r="M1663" s="395">
        <v>173</v>
      </c>
      <c r="N1663" s="396">
        <v>-2927</v>
      </c>
      <c r="O1663" s="395">
        <v>541</v>
      </c>
      <c r="P1663" s="395">
        <v>0.15</v>
      </c>
      <c r="Q1663" s="396">
        <v>-3608</v>
      </c>
      <c r="R1663" s="396">
        <v>1872</v>
      </c>
      <c r="S1663" s="396">
        <v>-10470</v>
      </c>
      <c r="T1663" s="396">
        <v>288820</v>
      </c>
      <c r="U1663" s="396">
        <v>-776745</v>
      </c>
      <c r="V1663" s="395">
        <v>31058.18</v>
      </c>
      <c r="W1663" s="395">
        <v>5285.94</v>
      </c>
      <c r="X1663" s="395">
        <v>77490</v>
      </c>
      <c r="Y1663" s="395">
        <v>36123.25</v>
      </c>
      <c r="Z1663" s="396">
        <v>-11863790</v>
      </c>
      <c r="AA1663" s="396">
        <v>-605838</v>
      </c>
      <c r="AB1663" s="396">
        <v>-10847833</v>
      </c>
      <c r="AC1663" s="396">
        <v>10207916</v>
      </c>
    </row>
    <row r="1664" spans="1:29">
      <c r="A1664">
        <v>8936</v>
      </c>
      <c r="B1664" s="395" t="s">
        <v>8384</v>
      </c>
      <c r="C1664" s="395"/>
      <c r="D1664" s="396">
        <v>-611737</v>
      </c>
      <c r="E1664" s="396">
        <v>52855</v>
      </c>
      <c r="F1664" s="395">
        <v>-0.08</v>
      </c>
      <c r="G1664" s="396">
        <v>-664592</v>
      </c>
      <c r="H1664" s="396">
        <v>23945</v>
      </c>
      <c r="I1664" s="396">
        <v>4835748</v>
      </c>
      <c r="J1664" s="395">
        <v>248</v>
      </c>
      <c r="K1664" s="395">
        <v>92</v>
      </c>
      <c r="L1664" s="397">
        <v>0.371</v>
      </c>
      <c r="M1664" s="395">
        <v>156</v>
      </c>
      <c r="N1664" s="396">
        <v>-2467</v>
      </c>
      <c r="O1664" s="395">
        <v>575</v>
      </c>
      <c r="P1664" s="395">
        <v>0.13</v>
      </c>
      <c r="Q1664" s="396">
        <v>-4260</v>
      </c>
      <c r="R1664" s="396">
        <v>1918</v>
      </c>
      <c r="S1664" s="396">
        <v>-20676</v>
      </c>
      <c r="T1664" s="396">
        <v>484284</v>
      </c>
      <c r="U1664" s="396">
        <v>-844757</v>
      </c>
      <c r="V1664" s="395">
        <v>26166.11</v>
      </c>
      <c r="W1664" s="395">
        <v>9172.66</v>
      </c>
      <c r="X1664" s="395">
        <v>77490</v>
      </c>
      <c r="Y1664" s="395">
        <v>36187.89</v>
      </c>
      <c r="Z1664" s="396">
        <v>-16792770</v>
      </c>
      <c r="AA1664" s="396">
        <v>-611737</v>
      </c>
      <c r="AB1664" s="396">
        <v>-5324554</v>
      </c>
      <c r="AC1664" s="396">
        <v>10207916</v>
      </c>
    </row>
    <row r="1665" spans="1:29">
      <c r="A1665">
        <v>1802</v>
      </c>
      <c r="B1665" s="395" t="s">
        <v>6890</v>
      </c>
      <c r="C1665" s="395"/>
      <c r="D1665" s="396">
        <v>-616778</v>
      </c>
      <c r="E1665" s="396">
        <v>147155</v>
      </c>
      <c r="F1665" s="395">
        <v>-0.19</v>
      </c>
      <c r="G1665" s="396">
        <v>-763933</v>
      </c>
      <c r="H1665" s="396">
        <v>30428</v>
      </c>
      <c r="I1665" s="396">
        <v>4428637</v>
      </c>
      <c r="J1665" s="395">
        <v>281</v>
      </c>
      <c r="K1665" s="395">
        <v>139</v>
      </c>
      <c r="L1665" s="397">
        <v>0.49469999999999997</v>
      </c>
      <c r="M1665" s="395">
        <v>142</v>
      </c>
      <c r="N1665" s="396">
        <v>-2195</v>
      </c>
      <c r="O1665" s="396">
        <v>1059</v>
      </c>
      <c r="P1665" s="395">
        <v>0.2</v>
      </c>
      <c r="Q1665" s="396">
        <v>-5380</v>
      </c>
      <c r="R1665" s="396">
        <v>5236</v>
      </c>
      <c r="S1665" s="396">
        <v>-20239</v>
      </c>
      <c r="T1665" s="396">
        <v>317613</v>
      </c>
      <c r="U1665" s="396">
        <v>-1025475</v>
      </c>
      <c r="V1665" s="395">
        <v>12383.66</v>
      </c>
      <c r="W1665" s="395">
        <v>1516.99</v>
      </c>
      <c r="X1665" s="395">
        <v>77490</v>
      </c>
      <c r="Y1665" s="395">
        <v>23020.75</v>
      </c>
      <c r="Z1665" s="396">
        <v>-8824514</v>
      </c>
      <c r="AA1665" s="396">
        <v>-616778</v>
      </c>
      <c r="AB1665" s="396">
        <v>11587694</v>
      </c>
      <c r="AC1665" s="396">
        <v>10207916</v>
      </c>
    </row>
    <row r="1666" spans="1:29">
      <c r="A1666">
        <v>8477</v>
      </c>
      <c r="B1666" s="395" t="s">
        <v>8359</v>
      </c>
      <c r="C1666" s="395"/>
      <c r="D1666" s="396">
        <v>-620661</v>
      </c>
      <c r="E1666" s="396">
        <v>51556</v>
      </c>
      <c r="F1666" s="395">
        <v>-0.08</v>
      </c>
      <c r="G1666" s="396">
        <v>-672217</v>
      </c>
      <c r="H1666" s="396">
        <v>17104</v>
      </c>
      <c r="I1666" s="396">
        <v>3306184</v>
      </c>
      <c r="J1666" s="395">
        <v>129</v>
      </c>
      <c r="K1666" s="395">
        <v>33</v>
      </c>
      <c r="L1666" s="397">
        <v>0.25580000000000003</v>
      </c>
      <c r="M1666" s="395">
        <v>96</v>
      </c>
      <c r="N1666" s="396">
        <v>-4811</v>
      </c>
      <c r="O1666" s="396">
        <v>1562</v>
      </c>
      <c r="P1666" s="395">
        <v>0.22</v>
      </c>
      <c r="Q1666" s="396">
        <v>-7002</v>
      </c>
      <c r="R1666" s="396">
        <v>3360</v>
      </c>
      <c r="S1666" s="396">
        <v>-20553</v>
      </c>
      <c r="T1666" s="396">
        <v>143696</v>
      </c>
      <c r="U1666" s="396">
        <v>-770749</v>
      </c>
      <c r="V1666" s="395">
        <v>14896.17</v>
      </c>
      <c r="W1666" s="395">
        <v>1351.55</v>
      </c>
      <c r="X1666" s="395">
        <v>77490</v>
      </c>
      <c r="Y1666" s="395">
        <v>19552.14</v>
      </c>
      <c r="Z1666" s="396">
        <v>-20369348</v>
      </c>
      <c r="AA1666" s="396">
        <v>-620661</v>
      </c>
      <c r="AB1666" s="396">
        <v>-11012561</v>
      </c>
      <c r="AC1666" s="396">
        <v>10207916</v>
      </c>
    </row>
    <row r="1667" spans="1:29">
      <c r="A1667">
        <v>9951</v>
      </c>
      <c r="B1667" s="395" t="s">
        <v>8428</v>
      </c>
      <c r="C1667" s="395"/>
      <c r="D1667" s="396">
        <v>-645770</v>
      </c>
      <c r="E1667" s="396">
        <v>318885</v>
      </c>
      <c r="F1667" s="395">
        <v>-0.33</v>
      </c>
      <c r="G1667" s="396">
        <v>-964655</v>
      </c>
      <c r="H1667" s="396">
        <v>86078</v>
      </c>
      <c r="I1667" s="396">
        <v>9924843</v>
      </c>
      <c r="J1667" s="395">
        <v>248</v>
      </c>
      <c r="K1667" s="395">
        <v>98</v>
      </c>
      <c r="L1667" s="397">
        <v>0.3952</v>
      </c>
      <c r="M1667" s="395">
        <v>150</v>
      </c>
      <c r="N1667" s="396">
        <v>-2604</v>
      </c>
      <c r="O1667" s="396">
        <v>3254</v>
      </c>
      <c r="P1667" s="395">
        <v>0.51</v>
      </c>
      <c r="Q1667" s="396">
        <v>-6431</v>
      </c>
      <c r="R1667" s="396">
        <v>11554</v>
      </c>
      <c r="S1667" s="396">
        <v>-21876</v>
      </c>
      <c r="T1667" s="396">
        <v>433768</v>
      </c>
      <c r="U1667" s="396">
        <v>-889669</v>
      </c>
      <c r="V1667" s="395">
        <v>13411.32</v>
      </c>
      <c r="W1667" s="395">
        <v>2915.07</v>
      </c>
      <c r="X1667" s="395">
        <v>77490</v>
      </c>
      <c r="Y1667" s="395">
        <v>20268.87</v>
      </c>
      <c r="Z1667" s="396">
        <v>-17605734</v>
      </c>
      <c r="AA1667" s="396">
        <v>-645770</v>
      </c>
      <c r="AB1667" s="396">
        <v>-7316039</v>
      </c>
      <c r="AC1667" s="396">
        <v>10207916</v>
      </c>
    </row>
    <row r="1668" spans="1:29">
      <c r="A1668">
        <v>8367</v>
      </c>
      <c r="B1668" s="395" t="s">
        <v>8315</v>
      </c>
      <c r="C1668" s="395"/>
      <c r="D1668" s="396">
        <v>-667140</v>
      </c>
      <c r="E1668" s="396">
        <v>184007</v>
      </c>
      <c r="F1668" s="395">
        <v>-0.22</v>
      </c>
      <c r="G1668" s="396">
        <v>-851147</v>
      </c>
      <c r="H1668" s="396">
        <v>46290</v>
      </c>
      <c r="I1668" s="396">
        <v>6405534</v>
      </c>
      <c r="J1668" s="395">
        <v>248</v>
      </c>
      <c r="K1668" s="395">
        <v>135</v>
      </c>
      <c r="L1668" s="397">
        <v>0.5444</v>
      </c>
      <c r="M1668" s="395">
        <v>113</v>
      </c>
      <c r="N1668" s="396">
        <v>-2690</v>
      </c>
      <c r="O1668" s="396">
        <v>1363</v>
      </c>
      <c r="P1668" s="395">
        <v>0.18</v>
      </c>
      <c r="Q1668" s="396">
        <v>-7532</v>
      </c>
      <c r="R1668" s="396">
        <v>4305</v>
      </c>
      <c r="S1668" s="396">
        <v>-34573</v>
      </c>
      <c r="T1668" s="396">
        <v>747352</v>
      </c>
      <c r="U1668" s="396">
        <v>-1201408</v>
      </c>
      <c r="V1668" s="395">
        <v>9554.7900000000009</v>
      </c>
      <c r="W1668" s="395">
        <v>1847.04</v>
      </c>
      <c r="X1668" s="395">
        <v>77490</v>
      </c>
      <c r="Y1668" s="395">
        <v>18763.16</v>
      </c>
      <c r="Z1668" s="396">
        <v>1094943</v>
      </c>
      <c r="AA1668" s="396">
        <v>-667140</v>
      </c>
      <c r="AB1668" s="396">
        <v>35289490</v>
      </c>
      <c r="AC1668" s="396">
        <v>10207916</v>
      </c>
    </row>
    <row r="1669" spans="1:29">
      <c r="A1669">
        <v>2106</v>
      </c>
      <c r="B1669" s="395" t="s">
        <v>6947</v>
      </c>
      <c r="C1669" s="395"/>
      <c r="D1669" s="396">
        <v>-696400</v>
      </c>
      <c r="E1669" s="396">
        <v>82200</v>
      </c>
      <c r="F1669" s="395">
        <v>-0.11</v>
      </c>
      <c r="G1669" s="396">
        <v>-778600</v>
      </c>
      <c r="H1669" s="396">
        <v>36955</v>
      </c>
      <c r="I1669" s="396">
        <v>7262556</v>
      </c>
      <c r="J1669" s="395">
        <v>272</v>
      </c>
      <c r="K1669" s="395">
        <v>126</v>
      </c>
      <c r="L1669" s="397">
        <v>0.4632</v>
      </c>
      <c r="M1669" s="395">
        <v>146</v>
      </c>
      <c r="N1669" s="396">
        <v>-2560</v>
      </c>
      <c r="O1669" s="395">
        <v>652</v>
      </c>
      <c r="P1669" s="395">
        <v>0.12</v>
      </c>
      <c r="Q1669" s="396">
        <v>-5333</v>
      </c>
      <c r="R1669" s="396">
        <v>1928</v>
      </c>
      <c r="S1669" s="396">
        <v>-18852</v>
      </c>
      <c r="T1669" s="396">
        <v>279283</v>
      </c>
      <c r="U1669" s="396">
        <v>-966915</v>
      </c>
      <c r="V1669" s="395">
        <v>23883.49</v>
      </c>
      <c r="W1669" s="395">
        <v>7847.52</v>
      </c>
      <c r="X1669" s="395">
        <v>77490</v>
      </c>
      <c r="Y1669" s="395">
        <v>37722.75</v>
      </c>
      <c r="Z1669" s="396">
        <v>-12393186</v>
      </c>
      <c r="AA1669" s="396">
        <v>-696400</v>
      </c>
      <c r="AB1669" s="396">
        <v>-3819886</v>
      </c>
      <c r="AC1669" s="396">
        <v>10207916</v>
      </c>
    </row>
    <row r="1670" spans="1:29">
      <c r="A1670">
        <v>2505</v>
      </c>
      <c r="B1670" s="395" t="s">
        <v>7111</v>
      </c>
      <c r="C1670" s="395"/>
      <c r="D1670" s="396">
        <v>-756522</v>
      </c>
      <c r="E1670" s="396">
        <v>79425</v>
      </c>
      <c r="F1670" s="395">
        <v>-0.1</v>
      </c>
      <c r="G1670" s="396">
        <v>-835947</v>
      </c>
      <c r="H1670" s="396">
        <v>28029</v>
      </c>
      <c r="I1670" s="396">
        <v>5431104</v>
      </c>
      <c r="J1670" s="395">
        <v>251</v>
      </c>
      <c r="K1670" s="395">
        <v>42</v>
      </c>
      <c r="L1670" s="397">
        <v>0.1673</v>
      </c>
      <c r="M1670" s="395">
        <v>209</v>
      </c>
      <c r="N1670" s="396">
        <v>-3014</v>
      </c>
      <c r="O1670" s="396">
        <v>1891</v>
      </c>
      <c r="P1670" s="395">
        <v>0.47</v>
      </c>
      <c r="Q1670" s="396">
        <v>-4000</v>
      </c>
      <c r="R1670" s="396">
        <v>5521</v>
      </c>
      <c r="S1670" s="396">
        <v>-16017</v>
      </c>
      <c r="T1670" s="396">
        <v>418070</v>
      </c>
      <c r="U1670" s="396">
        <v>-890693</v>
      </c>
      <c r="V1670" s="395">
        <v>25569.14</v>
      </c>
      <c r="W1670" s="395">
        <v>1568.14</v>
      </c>
      <c r="X1670" s="395">
        <v>77490</v>
      </c>
      <c r="Y1670" s="395">
        <v>30392.31</v>
      </c>
      <c r="Z1670" s="396">
        <v>-22032079</v>
      </c>
      <c r="AA1670" s="396">
        <v>-756522</v>
      </c>
      <c r="AB1670" s="396">
        <v>-18833886</v>
      </c>
      <c r="AC1670" s="396">
        <v>10207916</v>
      </c>
    </row>
    <row r="1671" spans="1:29">
      <c r="A1671">
        <v>6770</v>
      </c>
      <c r="B1671" s="395" t="s">
        <v>8212</v>
      </c>
      <c r="C1671" s="395"/>
      <c r="D1671" s="396">
        <v>-763369</v>
      </c>
      <c r="E1671" s="396">
        <v>1687</v>
      </c>
      <c r="F1671" s="395">
        <v>0</v>
      </c>
      <c r="G1671" s="396">
        <v>-765056</v>
      </c>
      <c r="H1671" s="396">
        <v>13425</v>
      </c>
      <c r="I1671" s="396">
        <v>3730499</v>
      </c>
      <c r="J1671" s="395">
        <v>57</v>
      </c>
      <c r="K1671" s="395">
        <v>3</v>
      </c>
      <c r="L1671" s="397">
        <v>5.2600000000000001E-2</v>
      </c>
      <c r="M1671" s="395">
        <v>54</v>
      </c>
      <c r="N1671" s="396">
        <v>-13392</v>
      </c>
      <c r="O1671" s="395">
        <v>562</v>
      </c>
      <c r="P1671" s="395">
        <v>0.04</v>
      </c>
      <c r="Q1671" s="396">
        <v>-14168</v>
      </c>
      <c r="R1671" s="395">
        <v>896</v>
      </c>
      <c r="S1671" s="396">
        <v>-25457</v>
      </c>
      <c r="T1671" s="396">
        <v>135950</v>
      </c>
      <c r="U1671" s="396">
        <v>-850274</v>
      </c>
      <c r="V1671" s="395">
        <v>8918.68</v>
      </c>
      <c r="W1671" s="395">
        <v>898.33</v>
      </c>
      <c r="X1671" s="395">
        <v>16740</v>
      </c>
      <c r="Y1671" s="395">
        <v>9364.26</v>
      </c>
      <c r="Z1671" s="396">
        <v>-16653322</v>
      </c>
      <c r="AA1671" s="396">
        <v>-763369</v>
      </c>
      <c r="AB1671" s="396">
        <v>-16511283</v>
      </c>
      <c r="AC1671" s="396">
        <v>10207916</v>
      </c>
    </row>
    <row r="1672" spans="1:29">
      <c r="A1672">
        <v>2314</v>
      </c>
      <c r="B1672" s="395" t="s">
        <v>6979</v>
      </c>
      <c r="C1672" s="395"/>
      <c r="D1672" s="396">
        <v>-766610</v>
      </c>
      <c r="E1672" s="396">
        <v>315219</v>
      </c>
      <c r="F1672" s="395">
        <v>-0.28999999999999998</v>
      </c>
      <c r="G1672" s="396">
        <v>-1081829</v>
      </c>
      <c r="H1672" s="396">
        <v>57160</v>
      </c>
      <c r="I1672" s="396">
        <v>4377062</v>
      </c>
      <c r="J1672" s="395">
        <v>265</v>
      </c>
      <c r="K1672" s="395">
        <v>173</v>
      </c>
      <c r="L1672" s="397">
        <v>0.65280000000000005</v>
      </c>
      <c r="M1672" s="395">
        <v>92</v>
      </c>
      <c r="N1672" s="396">
        <v>-2893</v>
      </c>
      <c r="O1672" s="396">
        <v>1822</v>
      </c>
      <c r="P1672" s="395">
        <v>0.15</v>
      </c>
      <c r="Q1672" s="396">
        <v>-11759</v>
      </c>
      <c r="R1672" s="396">
        <v>8122</v>
      </c>
      <c r="S1672" s="396">
        <v>-36696</v>
      </c>
      <c r="T1672" s="396">
        <v>552557</v>
      </c>
      <c r="U1672" s="396">
        <v>-1142655</v>
      </c>
      <c r="V1672" s="395">
        <v>3290.86</v>
      </c>
      <c r="W1672" s="395">
        <v>670.66</v>
      </c>
      <c r="X1672" s="395">
        <v>77490</v>
      </c>
      <c r="Y1672" s="395">
        <v>8217.9599999999991</v>
      </c>
      <c r="Z1672" s="396">
        <v>-7219309</v>
      </c>
      <c r="AA1672" s="396">
        <v>-766610</v>
      </c>
      <c r="AB1672" s="396">
        <v>33515015</v>
      </c>
      <c r="AC1672" s="396">
        <v>10207916</v>
      </c>
    </row>
    <row r="1673" spans="1:29">
      <c r="A1673">
        <v>2753</v>
      </c>
      <c r="B1673" s="395" t="s">
        <v>7189</v>
      </c>
      <c r="C1673" s="395"/>
      <c r="D1673" s="396">
        <v>-767376</v>
      </c>
      <c r="E1673" s="396">
        <v>5359</v>
      </c>
      <c r="F1673" s="395">
        <v>-0.01</v>
      </c>
      <c r="G1673" s="396">
        <v>-772735</v>
      </c>
      <c r="H1673" s="396">
        <v>37044</v>
      </c>
      <c r="I1673" s="396">
        <v>9457158</v>
      </c>
      <c r="J1673" s="395">
        <v>72</v>
      </c>
      <c r="K1673" s="395">
        <v>2</v>
      </c>
      <c r="L1673" s="397">
        <v>2.7799999999999998E-2</v>
      </c>
      <c r="M1673" s="395">
        <v>70</v>
      </c>
      <c r="N1673" s="396">
        <v>-10658</v>
      </c>
      <c r="O1673" s="396">
        <v>2680</v>
      </c>
      <c r="P1673" s="395">
        <v>0.24</v>
      </c>
      <c r="Q1673" s="396">
        <v>-11039</v>
      </c>
      <c r="R1673" s="396">
        <v>4342</v>
      </c>
      <c r="S1673" s="396">
        <v>-43709</v>
      </c>
      <c r="T1673" s="396">
        <v>385646</v>
      </c>
      <c r="U1673" s="396">
        <v>-857756</v>
      </c>
      <c r="V1673" s="395">
        <v>17768.080000000002</v>
      </c>
      <c r="W1673" s="395">
        <v>542</v>
      </c>
      <c r="X1673" s="395">
        <v>32670</v>
      </c>
      <c r="Y1673" s="395">
        <v>18260.259999999998</v>
      </c>
      <c r="Z1673" s="396">
        <v>-12325357</v>
      </c>
      <c r="AA1673" s="396">
        <v>-767376</v>
      </c>
      <c r="AB1673" s="396">
        <v>-12061524</v>
      </c>
      <c r="AC1673" s="396">
        <v>10207916</v>
      </c>
    </row>
    <row r="1674" spans="1:29">
      <c r="A1674">
        <v>3149</v>
      </c>
      <c r="B1674" s="395" t="s">
        <v>7327</v>
      </c>
      <c r="C1674" s="395"/>
      <c r="D1674" s="396">
        <v>-777688</v>
      </c>
      <c r="E1674" s="396">
        <v>138912</v>
      </c>
      <c r="F1674" s="395">
        <v>-0.15</v>
      </c>
      <c r="G1674" s="396">
        <v>-916600</v>
      </c>
      <c r="H1674" s="396">
        <v>28638</v>
      </c>
      <c r="I1674" s="396">
        <v>3131489</v>
      </c>
      <c r="J1674" s="395">
        <v>216</v>
      </c>
      <c r="K1674" s="395">
        <v>97</v>
      </c>
      <c r="L1674" s="397">
        <v>0.4491</v>
      </c>
      <c r="M1674" s="395">
        <v>119</v>
      </c>
      <c r="N1674" s="396">
        <v>-3600</v>
      </c>
      <c r="O1674" s="396">
        <v>1432</v>
      </c>
      <c r="P1674" s="395">
        <v>0.19</v>
      </c>
      <c r="Q1674" s="396">
        <v>-7703</v>
      </c>
      <c r="R1674" s="396">
        <v>5381</v>
      </c>
      <c r="S1674" s="396">
        <v>-22389</v>
      </c>
      <c r="T1674" s="396">
        <v>221623</v>
      </c>
      <c r="U1674" s="396">
        <v>-921450</v>
      </c>
      <c r="V1674" s="395">
        <v>9868.98</v>
      </c>
      <c r="W1674" s="395">
        <v>590.11</v>
      </c>
      <c r="X1674" s="395">
        <v>77490</v>
      </c>
      <c r="Y1674" s="395">
        <v>17432.43</v>
      </c>
      <c r="Z1674" s="396">
        <v>-13029712</v>
      </c>
      <c r="AA1674" s="396">
        <v>-777688</v>
      </c>
      <c r="AB1674" s="396">
        <v>-6065299</v>
      </c>
      <c r="AC1674" s="396">
        <v>10207916</v>
      </c>
    </row>
    <row r="1675" spans="1:29">
      <c r="A1675">
        <v>6703</v>
      </c>
      <c r="B1675" s="395" t="s">
        <v>8190</v>
      </c>
      <c r="C1675" s="395"/>
      <c r="D1675" s="396">
        <v>-792261</v>
      </c>
      <c r="E1675" s="396">
        <v>82731</v>
      </c>
      <c r="F1675" s="395">
        <v>-0.09</v>
      </c>
      <c r="G1675" s="396">
        <v>-874992</v>
      </c>
      <c r="H1675" s="396">
        <v>31744</v>
      </c>
      <c r="I1675" s="396">
        <v>5248238</v>
      </c>
      <c r="J1675" s="395">
        <v>80</v>
      </c>
      <c r="K1675" s="395">
        <v>24</v>
      </c>
      <c r="L1675" s="397">
        <v>0.3</v>
      </c>
      <c r="M1675" s="395">
        <v>56</v>
      </c>
      <c r="N1675" s="396">
        <v>-9903</v>
      </c>
      <c r="O1675" s="396">
        <v>3447</v>
      </c>
      <c r="P1675" s="395">
        <v>0.22</v>
      </c>
      <c r="Q1675" s="396">
        <v>-15625</v>
      </c>
      <c r="R1675" s="396">
        <v>8067</v>
      </c>
      <c r="S1675" s="396">
        <v>-30514</v>
      </c>
      <c r="T1675" s="396">
        <v>473786</v>
      </c>
      <c r="U1675" s="396">
        <v>-935772</v>
      </c>
      <c r="V1675" s="395">
        <v>30758.22</v>
      </c>
      <c r="W1675" s="395">
        <v>1797.21</v>
      </c>
      <c r="X1675" s="395">
        <v>77490</v>
      </c>
      <c r="Y1675" s="395">
        <v>43170.09</v>
      </c>
      <c r="Z1675" s="396">
        <v>-14533542</v>
      </c>
      <c r="AA1675" s="396">
        <v>-792261</v>
      </c>
      <c r="AB1675" s="396">
        <v>-13311343</v>
      </c>
      <c r="AC1675" s="396">
        <v>10207916</v>
      </c>
    </row>
    <row r="1676" spans="1:29">
      <c r="A1676">
        <v>3032</v>
      </c>
      <c r="B1676" s="395" t="s">
        <v>7271</v>
      </c>
      <c r="C1676" s="395"/>
      <c r="D1676" s="396">
        <v>-797081</v>
      </c>
      <c r="E1676" s="396">
        <v>62532</v>
      </c>
      <c r="F1676" s="395">
        <v>-7.0000000000000007E-2</v>
      </c>
      <c r="G1676" s="396">
        <v>-859613</v>
      </c>
      <c r="H1676" s="396">
        <v>35716</v>
      </c>
      <c r="I1676" s="396">
        <v>6990902</v>
      </c>
      <c r="J1676" s="395">
        <v>246</v>
      </c>
      <c r="K1676" s="395">
        <v>44</v>
      </c>
      <c r="L1676" s="397">
        <v>0.1789</v>
      </c>
      <c r="M1676" s="395">
        <v>202</v>
      </c>
      <c r="N1676" s="396">
        <v>-3240</v>
      </c>
      <c r="O1676" s="396">
        <v>1421</v>
      </c>
      <c r="P1676" s="395">
        <v>0.33</v>
      </c>
      <c r="Q1676" s="396">
        <v>-4256</v>
      </c>
      <c r="R1676" s="396">
        <v>3339</v>
      </c>
      <c r="S1676" s="396">
        <v>-17216</v>
      </c>
      <c r="T1676" s="396">
        <v>598440</v>
      </c>
      <c r="U1676" s="396">
        <v>-857828</v>
      </c>
      <c r="V1676" s="395">
        <v>25528.3</v>
      </c>
      <c r="W1676" s="395">
        <v>3366.64</v>
      </c>
      <c r="X1676" s="395">
        <v>77490</v>
      </c>
      <c r="Y1676" s="395">
        <v>30355.59</v>
      </c>
      <c r="Z1676" s="396">
        <v>-16842387</v>
      </c>
      <c r="AA1676" s="396">
        <v>-797081</v>
      </c>
      <c r="AB1676" s="396">
        <v>-11638450</v>
      </c>
      <c r="AC1676" s="396">
        <v>10207916</v>
      </c>
    </row>
    <row r="1677" spans="1:29">
      <c r="A1677">
        <v>6269</v>
      </c>
      <c r="B1677" s="395" t="s">
        <v>8041</v>
      </c>
      <c r="C1677" s="395"/>
      <c r="D1677" s="396">
        <v>-809485</v>
      </c>
      <c r="E1677" s="396">
        <v>497361</v>
      </c>
      <c r="F1677" s="395">
        <v>-0.38</v>
      </c>
      <c r="G1677" s="396">
        <v>-1306846</v>
      </c>
      <c r="H1677" s="396">
        <v>124076</v>
      </c>
      <c r="I1677" s="396">
        <v>14243141</v>
      </c>
      <c r="J1677" s="395">
        <v>277</v>
      </c>
      <c r="K1677" s="395">
        <v>138</v>
      </c>
      <c r="L1677" s="397">
        <v>0.49819999999999998</v>
      </c>
      <c r="M1677" s="395">
        <v>139</v>
      </c>
      <c r="N1677" s="396">
        <v>-2922</v>
      </c>
      <c r="O1677" s="396">
        <v>3604</v>
      </c>
      <c r="P1677" s="395">
        <v>0.38</v>
      </c>
      <c r="Q1677" s="396">
        <v>-9402</v>
      </c>
      <c r="R1677" s="396">
        <v>12544</v>
      </c>
      <c r="S1677" s="396">
        <v>-36953</v>
      </c>
      <c r="T1677" s="396">
        <v>770534</v>
      </c>
      <c r="U1677" s="396">
        <v>-1464982</v>
      </c>
      <c r="V1677" s="395">
        <v>11568</v>
      </c>
      <c r="W1677" s="395">
        <v>3856.7</v>
      </c>
      <c r="X1677" s="395">
        <v>77490</v>
      </c>
      <c r="Y1677" s="395">
        <v>19223.82</v>
      </c>
      <c r="Z1677" s="396">
        <v>-12530364</v>
      </c>
      <c r="AA1677" s="396">
        <v>-809485</v>
      </c>
      <c r="AB1677" s="396">
        <v>-9255143</v>
      </c>
      <c r="AC1677" s="396">
        <v>10207916</v>
      </c>
    </row>
    <row r="1678" spans="1:29">
      <c r="A1678">
        <v>8481</v>
      </c>
      <c r="B1678" s="395" t="s">
        <v>8362</v>
      </c>
      <c r="C1678" s="395"/>
      <c r="D1678" s="396">
        <v>-814813</v>
      </c>
      <c r="E1678" s="396">
        <v>198935</v>
      </c>
      <c r="F1678" s="395">
        <v>-0.2</v>
      </c>
      <c r="G1678" s="396">
        <v>-1013748</v>
      </c>
      <c r="H1678" s="396">
        <v>47816</v>
      </c>
      <c r="I1678" s="396">
        <v>6079794</v>
      </c>
      <c r="J1678" s="395">
        <v>158</v>
      </c>
      <c r="K1678" s="395">
        <v>54</v>
      </c>
      <c r="L1678" s="397">
        <v>0.34179999999999999</v>
      </c>
      <c r="M1678" s="395">
        <v>104</v>
      </c>
      <c r="N1678" s="396">
        <v>-5157</v>
      </c>
      <c r="O1678" s="396">
        <v>3684</v>
      </c>
      <c r="P1678" s="395">
        <v>0.38</v>
      </c>
      <c r="Q1678" s="396">
        <v>-9748</v>
      </c>
      <c r="R1678" s="396">
        <v>11371</v>
      </c>
      <c r="S1678" s="396">
        <v>-22315</v>
      </c>
      <c r="T1678" s="396">
        <v>455319</v>
      </c>
      <c r="U1678" s="396">
        <v>-982111</v>
      </c>
      <c r="V1678" s="395">
        <v>16847.91</v>
      </c>
      <c r="W1678" s="395">
        <v>4268.28</v>
      </c>
      <c r="X1678" s="395">
        <v>77490</v>
      </c>
      <c r="Y1678" s="395">
        <v>23379.64</v>
      </c>
      <c r="Z1678" s="396">
        <v>-14570889</v>
      </c>
      <c r="AA1678" s="396">
        <v>-814813</v>
      </c>
      <c r="AB1678" s="396">
        <v>-2971719</v>
      </c>
      <c r="AC1678" s="396">
        <v>10207916</v>
      </c>
    </row>
    <row r="1679" spans="1:29">
      <c r="A1679">
        <v>6237</v>
      </c>
      <c r="B1679" s="395" t="s">
        <v>8022</v>
      </c>
      <c r="C1679" s="395"/>
      <c r="D1679" s="396">
        <v>-832670</v>
      </c>
      <c r="E1679" s="396">
        <v>1227023</v>
      </c>
      <c r="F1679" s="395">
        <v>-0.6</v>
      </c>
      <c r="G1679" s="396">
        <v>-2059693</v>
      </c>
      <c r="H1679" s="396">
        <v>118091</v>
      </c>
      <c r="I1679" s="396">
        <v>6049947</v>
      </c>
      <c r="J1679" s="395">
        <v>276</v>
      </c>
      <c r="K1679" s="395">
        <v>157</v>
      </c>
      <c r="L1679" s="397">
        <v>0.56879999999999997</v>
      </c>
      <c r="M1679" s="395">
        <v>119</v>
      </c>
      <c r="N1679" s="396">
        <v>-3017</v>
      </c>
      <c r="O1679" s="396">
        <v>7815</v>
      </c>
      <c r="P1679" s="395">
        <v>0.45</v>
      </c>
      <c r="Q1679" s="396">
        <v>-17308</v>
      </c>
      <c r="R1679" s="396">
        <v>31881</v>
      </c>
      <c r="S1679" s="396">
        <v>-56600</v>
      </c>
      <c r="T1679" s="396">
        <v>1115879</v>
      </c>
      <c r="U1679" s="396">
        <v>-1657129</v>
      </c>
      <c r="V1679" s="395">
        <v>4132.59</v>
      </c>
      <c r="W1679" s="395">
        <v>1134.52</v>
      </c>
      <c r="X1679" s="395">
        <v>77490</v>
      </c>
      <c r="Y1679" s="395">
        <v>8088.03</v>
      </c>
      <c r="Z1679" s="396">
        <v>-31865157</v>
      </c>
      <c r="AA1679" s="396">
        <v>-832670</v>
      </c>
      <c r="AB1679" s="396">
        <v>-2012695</v>
      </c>
      <c r="AC1679" s="396">
        <v>10207916</v>
      </c>
    </row>
    <row r="1680" spans="1:29">
      <c r="A1680">
        <v>2105</v>
      </c>
      <c r="B1680" s="395" t="s">
        <v>6946</v>
      </c>
      <c r="C1680" s="395"/>
      <c r="D1680" s="396">
        <v>-851527</v>
      </c>
      <c r="E1680" s="396">
        <v>88730</v>
      </c>
      <c r="F1680" s="395">
        <v>-0.09</v>
      </c>
      <c r="G1680" s="396">
        <v>-940257</v>
      </c>
      <c r="H1680" s="396">
        <v>44524</v>
      </c>
      <c r="I1680" s="396">
        <v>8492349</v>
      </c>
      <c r="J1680" s="395">
        <v>283</v>
      </c>
      <c r="K1680" s="395">
        <v>106</v>
      </c>
      <c r="L1680" s="397">
        <v>0.37459999999999999</v>
      </c>
      <c r="M1680" s="395">
        <v>177</v>
      </c>
      <c r="N1680" s="396">
        <v>-3009</v>
      </c>
      <c r="O1680" s="395">
        <v>837</v>
      </c>
      <c r="P1680" s="395">
        <v>0.16</v>
      </c>
      <c r="Q1680" s="396">
        <v>-5312</v>
      </c>
      <c r="R1680" s="396">
        <v>3133</v>
      </c>
      <c r="S1680" s="396">
        <v>-21900</v>
      </c>
      <c r="T1680" s="396">
        <v>614973</v>
      </c>
      <c r="U1680" s="396">
        <v>-1130069</v>
      </c>
      <c r="V1680" s="395">
        <v>23416.23</v>
      </c>
      <c r="W1680" s="395">
        <v>8916.99</v>
      </c>
      <c r="X1680" s="395">
        <v>77490</v>
      </c>
      <c r="Y1680" s="395">
        <v>32099.38</v>
      </c>
      <c r="Z1680" s="396">
        <v>-14969806</v>
      </c>
      <c r="AA1680" s="396">
        <v>-851527</v>
      </c>
      <c r="AB1680" s="396">
        <v>-8682001</v>
      </c>
      <c r="AC1680" s="396">
        <v>10207916</v>
      </c>
    </row>
    <row r="1681" spans="1:29">
      <c r="A1681">
        <v>2643</v>
      </c>
      <c r="B1681" s="395" t="s">
        <v>7162</v>
      </c>
      <c r="C1681" s="395"/>
      <c r="D1681" s="396">
        <v>-864807</v>
      </c>
      <c r="E1681" s="396">
        <v>343508</v>
      </c>
      <c r="F1681" s="395">
        <v>-0.28000000000000003</v>
      </c>
      <c r="G1681" s="396">
        <v>-1208315</v>
      </c>
      <c r="H1681" s="396">
        <v>71266</v>
      </c>
      <c r="I1681" s="396">
        <v>10995700</v>
      </c>
      <c r="J1681" s="395">
        <v>238</v>
      </c>
      <c r="K1681" s="395">
        <v>109</v>
      </c>
      <c r="L1681" s="397">
        <v>0.45800000000000002</v>
      </c>
      <c r="M1681" s="395">
        <v>129</v>
      </c>
      <c r="N1681" s="396">
        <v>-3634</v>
      </c>
      <c r="O1681" s="396">
        <v>3151</v>
      </c>
      <c r="P1681" s="395">
        <v>0.34</v>
      </c>
      <c r="Q1681" s="396">
        <v>-9367</v>
      </c>
      <c r="R1681" s="396">
        <v>13560</v>
      </c>
      <c r="S1681" s="396">
        <v>-54996</v>
      </c>
      <c r="T1681" s="396">
        <v>1246348</v>
      </c>
      <c r="U1681" s="396">
        <v>-1441863</v>
      </c>
      <c r="V1681" s="395">
        <v>15349.26</v>
      </c>
      <c r="W1681" s="395">
        <v>7227.41</v>
      </c>
      <c r="X1681" s="395">
        <v>77490</v>
      </c>
      <c r="Y1681" s="395">
        <v>22211.91</v>
      </c>
      <c r="Z1681" s="396">
        <v>-17989296</v>
      </c>
      <c r="AA1681" s="396">
        <v>-864807</v>
      </c>
      <c r="AB1681" s="396">
        <v>3278683</v>
      </c>
      <c r="AC1681" s="396">
        <v>10207916</v>
      </c>
    </row>
    <row r="1682" spans="1:29">
      <c r="A1682">
        <v>4167</v>
      </c>
      <c r="B1682" s="395" t="s">
        <v>7589</v>
      </c>
      <c r="C1682" s="395"/>
      <c r="D1682" s="396">
        <v>-869619</v>
      </c>
      <c r="E1682" s="396">
        <v>75385</v>
      </c>
      <c r="F1682" s="395">
        <v>-0.08</v>
      </c>
      <c r="G1682" s="396">
        <v>-945004</v>
      </c>
      <c r="H1682" s="396">
        <v>23160</v>
      </c>
      <c r="I1682" s="396">
        <v>3865762</v>
      </c>
      <c r="J1682" s="395">
        <v>255</v>
      </c>
      <c r="K1682" s="395">
        <v>66</v>
      </c>
      <c r="L1682" s="397">
        <v>0.25879999999999997</v>
      </c>
      <c r="M1682" s="395">
        <v>189</v>
      </c>
      <c r="N1682" s="396">
        <v>-3410</v>
      </c>
      <c r="O1682" s="396">
        <v>1142</v>
      </c>
      <c r="P1682" s="395">
        <v>0.23</v>
      </c>
      <c r="Q1682" s="396">
        <v>-5000</v>
      </c>
      <c r="R1682" s="396">
        <v>4630</v>
      </c>
      <c r="S1682" s="396">
        <v>-14619</v>
      </c>
      <c r="T1682" s="396">
        <v>194997</v>
      </c>
      <c r="U1682" s="396">
        <v>-1086135</v>
      </c>
      <c r="V1682" s="395">
        <v>19269.73</v>
      </c>
      <c r="W1682" s="395">
        <v>1526.85</v>
      </c>
      <c r="X1682" s="395">
        <v>77490</v>
      </c>
      <c r="Y1682" s="395">
        <v>25465.65</v>
      </c>
      <c r="Z1682" s="396">
        <v>-27496205</v>
      </c>
      <c r="AA1682" s="396">
        <v>-869619</v>
      </c>
      <c r="AB1682" s="396">
        <v>-25673969</v>
      </c>
      <c r="AC1682" s="396">
        <v>10207916</v>
      </c>
    </row>
    <row r="1683" spans="1:29">
      <c r="A1683">
        <v>4551</v>
      </c>
      <c r="B1683" s="395" t="s">
        <v>7647</v>
      </c>
      <c r="C1683" s="395"/>
      <c r="D1683" s="396">
        <v>-896712</v>
      </c>
      <c r="E1683" s="396">
        <v>1044972</v>
      </c>
      <c r="F1683" s="395">
        <v>-0.54</v>
      </c>
      <c r="G1683" s="396">
        <v>-1941684</v>
      </c>
      <c r="H1683" s="396">
        <v>180019</v>
      </c>
      <c r="I1683" s="396">
        <v>10927017</v>
      </c>
      <c r="J1683" s="395">
        <v>261</v>
      </c>
      <c r="K1683" s="395">
        <v>150</v>
      </c>
      <c r="L1683" s="397">
        <v>0.57469999999999999</v>
      </c>
      <c r="M1683" s="395">
        <v>111</v>
      </c>
      <c r="N1683" s="396">
        <v>-3436</v>
      </c>
      <c r="O1683" s="396">
        <v>6966</v>
      </c>
      <c r="P1683" s="395">
        <v>0.4</v>
      </c>
      <c r="Q1683" s="396">
        <v>-17493</v>
      </c>
      <c r="R1683" s="396">
        <v>27839</v>
      </c>
      <c r="S1683" s="396">
        <v>-47177</v>
      </c>
      <c r="T1683" s="396">
        <v>1271143</v>
      </c>
      <c r="U1683" s="396">
        <v>-1748005</v>
      </c>
      <c r="V1683" s="395">
        <v>5602.02</v>
      </c>
      <c r="W1683" s="395">
        <v>2518.61</v>
      </c>
      <c r="X1683" s="395">
        <v>77490</v>
      </c>
      <c r="Y1683" s="395">
        <v>9768.7800000000007</v>
      </c>
      <c r="Z1683" s="396">
        <v>-17678990</v>
      </c>
      <c r="AA1683" s="396">
        <v>-896712</v>
      </c>
      <c r="AB1683" s="396">
        <v>-6640235</v>
      </c>
      <c r="AC1683" s="396">
        <v>10207916</v>
      </c>
    </row>
    <row r="1684" spans="1:29">
      <c r="A1684">
        <v>1777</v>
      </c>
      <c r="B1684" s="395" t="s">
        <v>6879</v>
      </c>
      <c r="C1684" s="395"/>
      <c r="D1684" s="396">
        <v>-912748</v>
      </c>
      <c r="E1684" s="396">
        <v>78523</v>
      </c>
      <c r="F1684" s="395">
        <v>-0.08</v>
      </c>
      <c r="G1684" s="396">
        <v>-991271</v>
      </c>
      <c r="H1684" s="396">
        <v>53456</v>
      </c>
      <c r="I1684" s="396">
        <v>11283944</v>
      </c>
      <c r="J1684" s="395">
        <v>180</v>
      </c>
      <c r="K1684" s="395">
        <v>47</v>
      </c>
      <c r="L1684" s="397">
        <v>0.2611</v>
      </c>
      <c r="M1684" s="395">
        <v>133</v>
      </c>
      <c r="N1684" s="396">
        <v>-5071</v>
      </c>
      <c r="O1684" s="396">
        <v>1671</v>
      </c>
      <c r="P1684" s="395">
        <v>0.22</v>
      </c>
      <c r="Q1684" s="396">
        <v>-7453</v>
      </c>
      <c r="R1684" s="396">
        <v>4856</v>
      </c>
      <c r="S1684" s="396">
        <v>-47459</v>
      </c>
      <c r="T1684" s="396">
        <v>639938</v>
      </c>
      <c r="U1684" s="396">
        <v>-1177916</v>
      </c>
      <c r="V1684" s="395">
        <v>25766.42</v>
      </c>
      <c r="W1684" s="395">
        <v>5723.02</v>
      </c>
      <c r="X1684" s="395">
        <v>77220</v>
      </c>
      <c r="Y1684" s="395">
        <v>32849.43</v>
      </c>
      <c r="Z1684" s="396">
        <v>-13151887</v>
      </c>
      <c r="AA1684" s="396">
        <v>-912748</v>
      </c>
      <c r="AB1684" s="396">
        <v>-4850003</v>
      </c>
      <c r="AC1684" s="396">
        <v>10207916</v>
      </c>
    </row>
    <row r="1685" spans="1:29">
      <c r="A1685">
        <v>5546</v>
      </c>
      <c r="B1685" s="395" t="s">
        <v>7877</v>
      </c>
      <c r="C1685" s="395"/>
      <c r="D1685" s="396">
        <v>-930143</v>
      </c>
      <c r="E1685" s="396">
        <v>163821</v>
      </c>
      <c r="F1685" s="395">
        <v>-0.15</v>
      </c>
      <c r="G1685" s="396">
        <v>-1093964</v>
      </c>
      <c r="H1685" s="396">
        <v>59536</v>
      </c>
      <c r="I1685" s="396">
        <v>12059530</v>
      </c>
      <c r="J1685" s="395">
        <v>217</v>
      </c>
      <c r="K1685" s="395">
        <v>85</v>
      </c>
      <c r="L1685" s="397">
        <v>0.39169999999999999</v>
      </c>
      <c r="M1685" s="395">
        <v>132</v>
      </c>
      <c r="N1685" s="396">
        <v>-4286</v>
      </c>
      <c r="O1685" s="396">
        <v>1927</v>
      </c>
      <c r="P1685" s="395">
        <v>0.23</v>
      </c>
      <c r="Q1685" s="396">
        <v>-8288</v>
      </c>
      <c r="R1685" s="396">
        <v>5569</v>
      </c>
      <c r="S1685" s="396">
        <v>-23422</v>
      </c>
      <c r="T1685" s="396">
        <v>1716121</v>
      </c>
      <c r="U1685" s="396">
        <v>-1890292</v>
      </c>
      <c r="V1685" s="395">
        <v>27557.67</v>
      </c>
      <c r="W1685" s="395">
        <v>7989.59</v>
      </c>
      <c r="X1685" s="395">
        <v>77490</v>
      </c>
      <c r="Y1685" s="395">
        <v>40158.33</v>
      </c>
      <c r="Z1685" s="396">
        <v>-11238404</v>
      </c>
      <c r="AA1685" s="396">
        <v>-930143</v>
      </c>
      <c r="AB1685" s="396">
        <v>-8493300</v>
      </c>
      <c r="AC1685" s="396">
        <v>10207916</v>
      </c>
    </row>
    <row r="1686" spans="1:29">
      <c r="A1686">
        <v>4564</v>
      </c>
      <c r="B1686" s="395" t="s">
        <v>7658</v>
      </c>
      <c r="C1686" s="395"/>
      <c r="D1686" s="396">
        <v>-934805</v>
      </c>
      <c r="E1686" s="396">
        <v>157138</v>
      </c>
      <c r="F1686" s="395">
        <v>-0.14000000000000001</v>
      </c>
      <c r="G1686" s="396">
        <v>-1091943</v>
      </c>
      <c r="H1686" s="396">
        <v>40555</v>
      </c>
      <c r="I1686" s="396">
        <v>5778276</v>
      </c>
      <c r="J1686" s="395">
        <v>256</v>
      </c>
      <c r="K1686" s="395">
        <v>103</v>
      </c>
      <c r="L1686" s="397">
        <v>0.40229999999999999</v>
      </c>
      <c r="M1686" s="395">
        <v>153</v>
      </c>
      <c r="N1686" s="396">
        <v>-3652</v>
      </c>
      <c r="O1686" s="396">
        <v>1526</v>
      </c>
      <c r="P1686" s="395">
        <v>0.21</v>
      </c>
      <c r="Q1686" s="396">
        <v>-7137</v>
      </c>
      <c r="R1686" s="396">
        <v>6900</v>
      </c>
      <c r="S1686" s="396">
        <v>-19278</v>
      </c>
      <c r="T1686" s="396">
        <v>288852</v>
      </c>
      <c r="U1686" s="396">
        <v>-1154040</v>
      </c>
      <c r="V1686" s="395">
        <v>12601.18</v>
      </c>
      <c r="W1686" s="395">
        <v>1059.94</v>
      </c>
      <c r="X1686" s="395">
        <v>77490</v>
      </c>
      <c r="Y1686" s="395">
        <v>20370.759999999998</v>
      </c>
      <c r="Z1686" s="396">
        <v>-20835836</v>
      </c>
      <c r="AA1686" s="396">
        <v>-934805</v>
      </c>
      <c r="AB1686" s="396">
        <v>9535253</v>
      </c>
      <c r="AC1686" s="396">
        <v>10207916</v>
      </c>
    </row>
    <row r="1687" spans="1:29">
      <c r="A1687">
        <v>1762</v>
      </c>
      <c r="B1687" s="395" t="s">
        <v>6876</v>
      </c>
      <c r="C1687" s="395"/>
      <c r="D1687" s="396">
        <v>-934886</v>
      </c>
      <c r="E1687" s="396">
        <v>332900</v>
      </c>
      <c r="F1687" s="395">
        <v>-0.26</v>
      </c>
      <c r="G1687" s="396">
        <v>-1267786</v>
      </c>
      <c r="H1687" s="396">
        <v>68308</v>
      </c>
      <c r="I1687" s="396">
        <v>6369609</v>
      </c>
      <c r="J1687" s="395">
        <v>273</v>
      </c>
      <c r="K1687" s="395">
        <v>155</v>
      </c>
      <c r="L1687" s="397">
        <v>0.56779999999999997</v>
      </c>
      <c r="M1687" s="395">
        <v>118</v>
      </c>
      <c r="N1687" s="396">
        <v>-3424</v>
      </c>
      <c r="O1687" s="396">
        <v>2148</v>
      </c>
      <c r="P1687" s="395">
        <v>0.2</v>
      </c>
      <c r="Q1687" s="396">
        <v>-10744</v>
      </c>
      <c r="R1687" s="396">
        <v>5435</v>
      </c>
      <c r="S1687" s="396">
        <v>-30673</v>
      </c>
      <c r="T1687" s="396">
        <v>394954</v>
      </c>
      <c r="U1687" s="396">
        <v>-1442403</v>
      </c>
      <c r="V1687" s="395">
        <v>6903.79</v>
      </c>
      <c r="W1687" s="395">
        <v>1717.71</v>
      </c>
      <c r="X1687" s="395">
        <v>77490</v>
      </c>
      <c r="Y1687" s="395">
        <v>13716.03</v>
      </c>
      <c r="Z1687" s="396">
        <v>-5565444</v>
      </c>
      <c r="AA1687" s="396">
        <v>-934886</v>
      </c>
      <c r="AB1687" s="396">
        <v>-6190695</v>
      </c>
      <c r="AC1687" s="396">
        <v>10207916</v>
      </c>
    </row>
    <row r="1688" spans="1:29">
      <c r="A1688">
        <v>3504</v>
      </c>
      <c r="B1688" s="395" t="s">
        <v>7445</v>
      </c>
      <c r="C1688" s="395"/>
      <c r="D1688" s="396">
        <v>-941679</v>
      </c>
      <c r="E1688" s="396">
        <v>665115</v>
      </c>
      <c r="F1688" s="395">
        <v>-0.41</v>
      </c>
      <c r="G1688" s="396">
        <v>-1606794</v>
      </c>
      <c r="H1688" s="396">
        <v>100979</v>
      </c>
      <c r="I1688" s="396">
        <v>5659792</v>
      </c>
      <c r="J1688" s="395">
        <v>275</v>
      </c>
      <c r="K1688" s="395">
        <v>186</v>
      </c>
      <c r="L1688" s="397">
        <v>0.6764</v>
      </c>
      <c r="M1688" s="395">
        <v>89</v>
      </c>
      <c r="N1688" s="396">
        <v>-3424</v>
      </c>
      <c r="O1688" s="396">
        <v>3576</v>
      </c>
      <c r="P1688" s="395">
        <v>0.2</v>
      </c>
      <c r="Q1688" s="396">
        <v>-18054</v>
      </c>
      <c r="R1688" s="396">
        <v>14916</v>
      </c>
      <c r="S1688" s="396">
        <v>-51919</v>
      </c>
      <c r="T1688" s="396">
        <v>704129</v>
      </c>
      <c r="U1688" s="396">
        <v>-1568171</v>
      </c>
      <c r="V1688" s="395">
        <v>2804.92</v>
      </c>
      <c r="W1688" s="395">
        <v>854.29</v>
      </c>
      <c r="X1688" s="395">
        <v>77490</v>
      </c>
      <c r="Y1688" s="395">
        <v>6881.52</v>
      </c>
      <c r="Z1688" s="396">
        <v>-483003</v>
      </c>
      <c r="AA1688" s="396">
        <v>-941679</v>
      </c>
      <c r="AB1688" s="396">
        <v>14844316</v>
      </c>
      <c r="AC1688" s="396">
        <v>10207916</v>
      </c>
    </row>
    <row r="1689" spans="1:29">
      <c r="A1689">
        <v>6792</v>
      </c>
      <c r="B1689" s="395" t="s">
        <v>8217</v>
      </c>
      <c r="C1689" s="395"/>
      <c r="D1689" s="396">
        <v>-960102</v>
      </c>
      <c r="E1689" s="396">
        <v>40665</v>
      </c>
      <c r="F1689" s="395">
        <v>-0.04</v>
      </c>
      <c r="G1689" s="396">
        <v>-1000767</v>
      </c>
      <c r="H1689" s="396">
        <v>24102</v>
      </c>
      <c r="I1689" s="396">
        <v>5021828</v>
      </c>
      <c r="J1689" s="395">
        <v>39</v>
      </c>
      <c r="K1689" s="395">
        <v>9</v>
      </c>
      <c r="L1689" s="397">
        <v>0.23080000000000001</v>
      </c>
      <c r="M1689" s="395">
        <v>30</v>
      </c>
      <c r="N1689" s="396">
        <v>-24618</v>
      </c>
      <c r="O1689" s="396">
        <v>4518</v>
      </c>
      <c r="P1689" s="395">
        <v>0.14000000000000001</v>
      </c>
      <c r="Q1689" s="396">
        <v>-33359</v>
      </c>
      <c r="R1689" s="396">
        <v>5697</v>
      </c>
      <c r="S1689" s="396">
        <v>-83175</v>
      </c>
      <c r="T1689" s="396">
        <v>275735</v>
      </c>
      <c r="U1689" s="396">
        <v>-1204350</v>
      </c>
      <c r="V1689" s="395">
        <v>5825.49</v>
      </c>
      <c r="W1689" s="395">
        <v>498.22</v>
      </c>
      <c r="X1689" s="395">
        <v>16200</v>
      </c>
      <c r="Y1689" s="395">
        <v>7423.67</v>
      </c>
      <c r="Z1689" s="396">
        <v>-14389305</v>
      </c>
      <c r="AA1689" s="396">
        <v>-960102</v>
      </c>
      <c r="AB1689" s="396">
        <v>-16258245</v>
      </c>
      <c r="AC1689" s="396">
        <v>10207916</v>
      </c>
    </row>
    <row r="1690" spans="1:29">
      <c r="A1690">
        <v>4766</v>
      </c>
      <c r="B1690" s="395" t="s">
        <v>7695</v>
      </c>
      <c r="C1690" s="395"/>
      <c r="D1690" s="396">
        <v>-965619</v>
      </c>
      <c r="E1690" s="396">
        <v>165256</v>
      </c>
      <c r="F1690" s="395">
        <v>-0.15</v>
      </c>
      <c r="G1690" s="396">
        <v>-1130875</v>
      </c>
      <c r="H1690" s="396">
        <v>125145</v>
      </c>
      <c r="I1690" s="396">
        <v>24022537</v>
      </c>
      <c r="J1690" s="395">
        <v>214</v>
      </c>
      <c r="K1690" s="395">
        <v>55</v>
      </c>
      <c r="L1690" s="397">
        <v>0.25700000000000001</v>
      </c>
      <c r="M1690" s="395">
        <v>159</v>
      </c>
      <c r="N1690" s="396">
        <v>-4512</v>
      </c>
      <c r="O1690" s="396">
        <v>3005</v>
      </c>
      <c r="P1690" s="395">
        <v>0.42</v>
      </c>
      <c r="Q1690" s="396">
        <v>-7112</v>
      </c>
      <c r="R1690" s="396">
        <v>10517</v>
      </c>
      <c r="S1690" s="396">
        <v>-22048</v>
      </c>
      <c r="T1690" s="396">
        <v>1133477</v>
      </c>
      <c r="U1690" s="396">
        <v>-1832460</v>
      </c>
      <c r="V1690" s="395">
        <v>27234.400000000001</v>
      </c>
      <c r="W1690" s="395">
        <v>5245.56</v>
      </c>
      <c r="X1690" s="395">
        <v>77220</v>
      </c>
      <c r="Y1690" s="395">
        <v>34840.6</v>
      </c>
      <c r="Z1690" s="396">
        <v>-4254850</v>
      </c>
      <c r="AA1690" s="396">
        <v>-965619</v>
      </c>
      <c r="AB1690" s="396">
        <v>-4336856</v>
      </c>
      <c r="AC1690" s="396">
        <v>10207916</v>
      </c>
    </row>
    <row r="1691" spans="1:29">
      <c r="A1691">
        <v>1558</v>
      </c>
      <c r="B1691" s="395" t="s">
        <v>6813</v>
      </c>
      <c r="C1691" s="395"/>
      <c r="D1691" s="396">
        <v>-970700</v>
      </c>
      <c r="E1691" s="396">
        <v>278767</v>
      </c>
      <c r="F1691" s="395">
        <v>-0.22</v>
      </c>
      <c r="G1691" s="396">
        <v>-1249467</v>
      </c>
      <c r="H1691" s="396">
        <v>141830</v>
      </c>
      <c r="I1691" s="396">
        <v>24433305</v>
      </c>
      <c r="J1691" s="395">
        <v>232</v>
      </c>
      <c r="K1691" s="395">
        <v>72</v>
      </c>
      <c r="L1691" s="397">
        <v>0.31030000000000002</v>
      </c>
      <c r="M1691" s="395">
        <v>160</v>
      </c>
      <c r="N1691" s="396">
        <v>-4184</v>
      </c>
      <c r="O1691" s="396">
        <v>3872</v>
      </c>
      <c r="P1691" s="395">
        <v>0.5</v>
      </c>
      <c r="Q1691" s="396">
        <v>-7809</v>
      </c>
      <c r="R1691" s="396">
        <v>12324</v>
      </c>
      <c r="S1691" s="396">
        <v>-29579</v>
      </c>
      <c r="T1691" s="396">
        <v>1673315</v>
      </c>
      <c r="U1691" s="396">
        <v>-2313995</v>
      </c>
      <c r="V1691" s="395">
        <v>20586.43</v>
      </c>
      <c r="W1691" s="395">
        <v>1857.64</v>
      </c>
      <c r="X1691" s="395">
        <v>77490</v>
      </c>
      <c r="Y1691" s="395">
        <v>29014.38</v>
      </c>
      <c r="Z1691" s="396">
        <v>-765571</v>
      </c>
      <c r="AA1691" s="396">
        <v>-970700</v>
      </c>
      <c r="AB1691" s="396">
        <v>3723743</v>
      </c>
      <c r="AC1691" s="396">
        <v>10207916</v>
      </c>
    </row>
    <row r="1692" spans="1:29">
      <c r="A1692">
        <v>3617</v>
      </c>
      <c r="B1692" s="395" t="s">
        <v>7502</v>
      </c>
      <c r="C1692" s="395"/>
      <c r="D1692" s="396">
        <v>-992154</v>
      </c>
      <c r="E1692" s="396">
        <v>133581</v>
      </c>
      <c r="F1692" s="395">
        <v>-0.12</v>
      </c>
      <c r="G1692" s="396">
        <v>-1125735</v>
      </c>
      <c r="H1692" s="396">
        <v>65800</v>
      </c>
      <c r="I1692" s="396">
        <v>13497563</v>
      </c>
      <c r="J1692" s="395">
        <v>215</v>
      </c>
      <c r="K1692" s="395">
        <v>67</v>
      </c>
      <c r="L1692" s="397">
        <v>0.31159999999999999</v>
      </c>
      <c r="M1692" s="395">
        <v>148</v>
      </c>
      <c r="N1692" s="396">
        <v>-4615</v>
      </c>
      <c r="O1692" s="396">
        <v>1994</v>
      </c>
      <c r="P1692" s="395">
        <v>0.26</v>
      </c>
      <c r="Q1692" s="396">
        <v>-7606</v>
      </c>
      <c r="R1692" s="396">
        <v>6470</v>
      </c>
      <c r="S1692" s="396">
        <v>-14287</v>
      </c>
      <c r="T1692" s="396">
        <v>728085</v>
      </c>
      <c r="U1692" s="396">
        <v>-1488635</v>
      </c>
      <c r="V1692" s="395">
        <v>28068.9</v>
      </c>
      <c r="W1692" s="395">
        <v>6019.13</v>
      </c>
      <c r="X1692" s="395">
        <v>77490</v>
      </c>
      <c r="Y1692" s="395">
        <v>38050.89</v>
      </c>
      <c r="Z1692" s="396">
        <v>-9671582</v>
      </c>
      <c r="AA1692" s="396">
        <v>-992154</v>
      </c>
      <c r="AB1692" s="396">
        <v>-8549538</v>
      </c>
      <c r="AC1692" s="396">
        <v>10207916</v>
      </c>
    </row>
    <row r="1693" spans="1:29">
      <c r="A1693">
        <v>5306</v>
      </c>
      <c r="B1693" s="395" t="s">
        <v>7800</v>
      </c>
      <c r="C1693" s="395"/>
      <c r="D1693" s="396">
        <v>-1003478</v>
      </c>
      <c r="E1693" s="396">
        <v>782665</v>
      </c>
      <c r="F1693" s="395">
        <v>-0.44</v>
      </c>
      <c r="G1693" s="396">
        <v>-1786143</v>
      </c>
      <c r="H1693" s="396">
        <v>227700</v>
      </c>
      <c r="I1693" s="396">
        <v>29418437</v>
      </c>
      <c r="J1693" s="395">
        <v>271</v>
      </c>
      <c r="K1693" s="395">
        <v>123</v>
      </c>
      <c r="L1693" s="397">
        <v>0.45390000000000003</v>
      </c>
      <c r="M1693" s="395">
        <v>148</v>
      </c>
      <c r="N1693" s="396">
        <v>-3703</v>
      </c>
      <c r="O1693" s="396">
        <v>6363</v>
      </c>
      <c r="P1693" s="395">
        <v>0.53</v>
      </c>
      <c r="Q1693" s="396">
        <v>-12069</v>
      </c>
      <c r="R1693" s="396">
        <v>25615</v>
      </c>
      <c r="S1693" s="396">
        <v>-51462</v>
      </c>
      <c r="T1693" s="396">
        <v>1662955</v>
      </c>
      <c r="U1693" s="396">
        <v>-2432202</v>
      </c>
      <c r="V1693" s="395">
        <v>12582.94</v>
      </c>
      <c r="W1693" s="395">
        <v>2889.97</v>
      </c>
      <c r="X1693" s="395">
        <v>77490</v>
      </c>
      <c r="Y1693" s="395">
        <v>20638.580000000002</v>
      </c>
      <c r="Z1693" s="396">
        <v>447541</v>
      </c>
      <c r="AA1693" s="396">
        <v>-1003478</v>
      </c>
      <c r="AB1693" s="396">
        <v>8375679</v>
      </c>
      <c r="AC1693" s="396">
        <v>10207916</v>
      </c>
    </row>
    <row r="1694" spans="1:29">
      <c r="A1694">
        <v>3152</v>
      </c>
      <c r="B1694" s="395" t="s">
        <v>7328</v>
      </c>
      <c r="C1694" s="395"/>
      <c r="D1694" s="396">
        <v>-1033845</v>
      </c>
      <c r="E1694" s="396">
        <v>4911727</v>
      </c>
      <c r="F1694" s="395">
        <v>-0.83</v>
      </c>
      <c r="G1694" s="396">
        <v>-5945572</v>
      </c>
      <c r="H1694" s="396">
        <v>460145</v>
      </c>
      <c r="I1694" s="396">
        <v>28693836</v>
      </c>
      <c r="J1694" s="395">
        <v>268</v>
      </c>
      <c r="K1694" s="395">
        <v>150</v>
      </c>
      <c r="L1694" s="397">
        <v>0.55969999999999998</v>
      </c>
      <c r="M1694" s="395">
        <v>118</v>
      </c>
      <c r="N1694" s="396">
        <v>-3858</v>
      </c>
      <c r="O1694" s="396">
        <v>32745</v>
      </c>
      <c r="P1694" s="395">
        <v>0.65</v>
      </c>
      <c r="Q1694" s="396">
        <v>-50386</v>
      </c>
      <c r="R1694" s="396">
        <v>120136</v>
      </c>
      <c r="S1694" s="396">
        <v>-142871</v>
      </c>
      <c r="T1694" s="396">
        <v>5775558</v>
      </c>
      <c r="U1694" s="396">
        <v>-5110262</v>
      </c>
      <c r="V1694" s="395">
        <v>7004.15</v>
      </c>
      <c r="W1694" s="395">
        <v>3503.34</v>
      </c>
      <c r="X1694" s="395">
        <v>77490</v>
      </c>
      <c r="Y1694" s="395">
        <v>11454.32</v>
      </c>
      <c r="Z1694" s="396">
        <v>-24007937</v>
      </c>
      <c r="AA1694" s="396">
        <v>-1033845</v>
      </c>
      <c r="AB1694" s="396">
        <v>-22975296</v>
      </c>
      <c r="AC1694" s="396">
        <v>10207916</v>
      </c>
    </row>
    <row r="1695" spans="1:29">
      <c r="A1695">
        <v>1521</v>
      </c>
      <c r="B1695" s="395" t="s">
        <v>6794</v>
      </c>
      <c r="C1695" s="395"/>
      <c r="D1695" s="396">
        <v>-1038189</v>
      </c>
      <c r="E1695" s="396">
        <v>32029</v>
      </c>
      <c r="F1695" s="395">
        <v>-0.03</v>
      </c>
      <c r="G1695" s="396">
        <v>-1070218</v>
      </c>
      <c r="H1695" s="396">
        <v>33729</v>
      </c>
      <c r="I1695" s="396">
        <v>7561388</v>
      </c>
      <c r="J1695" s="395">
        <v>190</v>
      </c>
      <c r="K1695" s="395">
        <v>20</v>
      </c>
      <c r="L1695" s="397">
        <v>0.1053</v>
      </c>
      <c r="M1695" s="395">
        <v>170</v>
      </c>
      <c r="N1695" s="396">
        <v>-5464</v>
      </c>
      <c r="O1695" s="396">
        <v>1601</v>
      </c>
      <c r="P1695" s="395">
        <v>0.25</v>
      </c>
      <c r="Q1695" s="396">
        <v>-6295</v>
      </c>
      <c r="R1695" s="396">
        <v>2784</v>
      </c>
      <c r="S1695" s="396">
        <v>-15979</v>
      </c>
      <c r="T1695" s="396">
        <v>356558</v>
      </c>
      <c r="U1695" s="396">
        <v>-1069962</v>
      </c>
      <c r="V1695" s="395">
        <v>34467.949999999997</v>
      </c>
      <c r="W1695" s="395">
        <v>3367.9</v>
      </c>
      <c r="X1695" s="395">
        <v>77490</v>
      </c>
      <c r="Y1695" s="395">
        <v>38126.78</v>
      </c>
      <c r="Z1695" s="396">
        <v>-15420674</v>
      </c>
      <c r="AA1695" s="396">
        <v>-1038189</v>
      </c>
      <c r="AB1695" s="396">
        <v>-14394200</v>
      </c>
      <c r="AC1695" s="396">
        <v>10207916</v>
      </c>
    </row>
    <row r="1696" spans="1:29">
      <c r="A1696">
        <v>6411</v>
      </c>
      <c r="B1696" s="395" t="s">
        <v>8065</v>
      </c>
      <c r="C1696" s="395"/>
      <c r="D1696" s="396">
        <v>-1038341</v>
      </c>
      <c r="E1696" s="396">
        <v>1127579</v>
      </c>
      <c r="F1696" s="395">
        <v>-0.52</v>
      </c>
      <c r="G1696" s="396">
        <v>-2165920</v>
      </c>
      <c r="H1696" s="396">
        <v>190833</v>
      </c>
      <c r="I1696" s="396">
        <v>11490562</v>
      </c>
      <c r="J1696" s="395">
        <v>281</v>
      </c>
      <c r="K1696" s="395">
        <v>197</v>
      </c>
      <c r="L1696" s="397">
        <v>0.70109999999999995</v>
      </c>
      <c r="M1696" s="395">
        <v>84</v>
      </c>
      <c r="N1696" s="396">
        <v>-3695</v>
      </c>
      <c r="O1696" s="396">
        <v>5724</v>
      </c>
      <c r="P1696" s="395">
        <v>0.22</v>
      </c>
      <c r="Q1696" s="396">
        <v>-25785</v>
      </c>
      <c r="R1696" s="396">
        <v>30729</v>
      </c>
      <c r="S1696" s="396">
        <v>-98419</v>
      </c>
      <c r="T1696" s="396">
        <v>933257</v>
      </c>
      <c r="U1696" s="396">
        <v>-2295336</v>
      </c>
      <c r="V1696" s="395">
        <v>2317.52</v>
      </c>
      <c r="W1696" s="395">
        <v>639.79</v>
      </c>
      <c r="X1696" s="395">
        <v>77490</v>
      </c>
      <c r="Y1696" s="395">
        <v>6252.19</v>
      </c>
      <c r="Z1696" s="396">
        <v>1550433</v>
      </c>
      <c r="AA1696" s="396">
        <v>-1038341</v>
      </c>
      <c r="AB1696" s="396">
        <v>34474535</v>
      </c>
      <c r="AC1696" s="396">
        <v>10207916</v>
      </c>
    </row>
    <row r="1697" spans="1:29">
      <c r="A1697">
        <v>1227</v>
      </c>
      <c r="B1697" s="395" t="s">
        <v>6694</v>
      </c>
      <c r="C1697" s="395"/>
      <c r="D1697" s="396">
        <v>-1039492</v>
      </c>
      <c r="E1697" s="396">
        <v>57983</v>
      </c>
      <c r="F1697" s="395">
        <v>-0.05</v>
      </c>
      <c r="G1697" s="396">
        <v>-1097475</v>
      </c>
      <c r="H1697" s="396">
        <v>57785</v>
      </c>
      <c r="I1697" s="396">
        <v>12819860</v>
      </c>
      <c r="J1697" s="395">
        <v>278</v>
      </c>
      <c r="K1697" s="395">
        <v>27</v>
      </c>
      <c r="L1697" s="397">
        <v>9.7100000000000006E-2</v>
      </c>
      <c r="M1697" s="395">
        <v>251</v>
      </c>
      <c r="N1697" s="396">
        <v>-3739</v>
      </c>
      <c r="O1697" s="396">
        <v>2148</v>
      </c>
      <c r="P1697" s="395">
        <v>0.49</v>
      </c>
      <c r="Q1697" s="396">
        <v>-4372</v>
      </c>
      <c r="R1697" s="396">
        <v>3673</v>
      </c>
      <c r="S1697" s="396">
        <v>-8519</v>
      </c>
      <c r="T1697" s="396">
        <v>567164</v>
      </c>
      <c r="U1697" s="396">
        <v>-1387448</v>
      </c>
      <c r="V1697" s="395">
        <v>30367.7</v>
      </c>
      <c r="W1697" s="395">
        <v>3789.7</v>
      </c>
      <c r="X1697" s="395">
        <v>77490</v>
      </c>
      <c r="Y1697" s="395">
        <v>33226.69</v>
      </c>
      <c r="Z1697" s="396">
        <v>-9607111</v>
      </c>
      <c r="AA1697" s="396">
        <v>-1039492</v>
      </c>
      <c r="AB1697" s="396">
        <v>-9288739</v>
      </c>
      <c r="AC1697" s="396">
        <v>10207916</v>
      </c>
    </row>
    <row r="1698" spans="1:29">
      <c r="A1698">
        <v>8464</v>
      </c>
      <c r="B1698" s="395" t="s">
        <v>8353</v>
      </c>
      <c r="C1698" s="395"/>
      <c r="D1698" s="396">
        <v>-1059083</v>
      </c>
      <c r="E1698" s="396">
        <v>2948882</v>
      </c>
      <c r="F1698" s="395">
        <v>-0.74</v>
      </c>
      <c r="G1698" s="396">
        <v>-4007965</v>
      </c>
      <c r="H1698" s="396">
        <v>446541</v>
      </c>
      <c r="I1698" s="396">
        <v>28771902</v>
      </c>
      <c r="J1698" s="395">
        <v>281</v>
      </c>
      <c r="K1698" s="395">
        <v>190</v>
      </c>
      <c r="L1698" s="397">
        <v>0.67620000000000002</v>
      </c>
      <c r="M1698" s="395">
        <v>91</v>
      </c>
      <c r="N1698" s="396">
        <v>-3769</v>
      </c>
      <c r="O1698" s="396">
        <v>15520</v>
      </c>
      <c r="P1698" s="395">
        <v>0.35</v>
      </c>
      <c r="Q1698" s="396">
        <v>-44044</v>
      </c>
      <c r="R1698" s="396">
        <v>41935</v>
      </c>
      <c r="S1698" s="396">
        <v>-110961</v>
      </c>
      <c r="T1698" s="396">
        <v>3128114</v>
      </c>
      <c r="U1698" s="396">
        <v>-3220626</v>
      </c>
      <c r="V1698" s="395">
        <v>4522.99</v>
      </c>
      <c r="W1698" s="395">
        <v>2299.5300000000002</v>
      </c>
      <c r="X1698" s="395">
        <v>77490</v>
      </c>
      <c r="Y1698" s="395">
        <v>9165.36</v>
      </c>
      <c r="Z1698" s="396">
        <v>-5155416</v>
      </c>
      <c r="AA1698" s="396">
        <v>-1059083</v>
      </c>
      <c r="AB1698" s="396">
        <v>-757154</v>
      </c>
      <c r="AC1698" s="396">
        <v>10207916</v>
      </c>
    </row>
    <row r="1699" spans="1:29">
      <c r="A1699">
        <v>8341</v>
      </c>
      <c r="B1699" s="395" t="s">
        <v>8310</v>
      </c>
      <c r="C1699" s="395"/>
      <c r="D1699" s="396">
        <v>-1060074</v>
      </c>
      <c r="E1699" s="396">
        <v>206684</v>
      </c>
      <c r="F1699" s="395">
        <v>-0.16</v>
      </c>
      <c r="G1699" s="396">
        <v>-1266758</v>
      </c>
      <c r="H1699" s="396">
        <v>193201</v>
      </c>
      <c r="I1699" s="396">
        <v>41874703</v>
      </c>
      <c r="J1699" s="395">
        <v>232</v>
      </c>
      <c r="K1699" s="395">
        <v>54</v>
      </c>
      <c r="L1699" s="397">
        <v>0.23280000000000001</v>
      </c>
      <c r="M1699" s="395">
        <v>178</v>
      </c>
      <c r="N1699" s="396">
        <v>-4569</v>
      </c>
      <c r="O1699" s="396">
        <v>3827</v>
      </c>
      <c r="P1699" s="395">
        <v>0.54</v>
      </c>
      <c r="Q1699" s="396">
        <v>-7117</v>
      </c>
      <c r="R1699" s="396">
        <v>10609</v>
      </c>
      <c r="S1699" s="396">
        <v>-26522</v>
      </c>
      <c r="T1699" s="396">
        <v>1972989</v>
      </c>
      <c r="U1699" s="396">
        <v>-2493968</v>
      </c>
      <c r="V1699" s="395">
        <v>29065.89</v>
      </c>
      <c r="W1699" s="395">
        <v>11956.52</v>
      </c>
      <c r="X1699" s="395">
        <v>77490</v>
      </c>
      <c r="Y1699" s="395">
        <v>34256.379999999997</v>
      </c>
      <c r="Z1699" s="396">
        <v>-6633082</v>
      </c>
      <c r="AA1699" s="396">
        <v>-1060074</v>
      </c>
      <c r="AB1699" s="396">
        <v>-5572003</v>
      </c>
      <c r="AC1699" s="396">
        <v>10207916</v>
      </c>
    </row>
    <row r="1700" spans="1:29">
      <c r="A1700">
        <v>1582</v>
      </c>
      <c r="B1700" s="395" t="s">
        <v>6820</v>
      </c>
      <c r="C1700" s="395"/>
      <c r="D1700" s="396">
        <v>-1083385</v>
      </c>
      <c r="E1700" s="396">
        <v>99874</v>
      </c>
      <c r="F1700" s="395">
        <v>-0.08</v>
      </c>
      <c r="G1700" s="396">
        <v>-1183259</v>
      </c>
      <c r="H1700" s="396">
        <v>76329</v>
      </c>
      <c r="I1700" s="396">
        <v>15532941</v>
      </c>
      <c r="J1700" s="395">
        <v>254</v>
      </c>
      <c r="K1700" s="395">
        <v>44</v>
      </c>
      <c r="L1700" s="397">
        <v>0.17319999999999999</v>
      </c>
      <c r="M1700" s="395">
        <v>210</v>
      </c>
      <c r="N1700" s="396">
        <v>-4265</v>
      </c>
      <c r="O1700" s="396">
        <v>2270</v>
      </c>
      <c r="P1700" s="395">
        <v>0.4</v>
      </c>
      <c r="Q1700" s="396">
        <v>-5635</v>
      </c>
      <c r="R1700" s="396">
        <v>5868</v>
      </c>
      <c r="S1700" s="396">
        <v>-26701</v>
      </c>
      <c r="T1700" s="396">
        <v>1150065</v>
      </c>
      <c r="U1700" s="396">
        <v>-1330170</v>
      </c>
      <c r="V1700" s="395">
        <v>25894.05</v>
      </c>
      <c r="W1700" s="395">
        <v>8553.89</v>
      </c>
      <c r="X1700" s="395">
        <v>77490</v>
      </c>
      <c r="Y1700" s="395">
        <v>29527.22</v>
      </c>
      <c r="Z1700" s="396">
        <v>-12908440</v>
      </c>
      <c r="AA1700" s="396">
        <v>-1083385</v>
      </c>
      <c r="AB1700" s="396">
        <v>-8108439</v>
      </c>
      <c r="AC1700" s="396">
        <v>10207916</v>
      </c>
    </row>
    <row r="1701" spans="1:29">
      <c r="A1701">
        <v>6643</v>
      </c>
      <c r="B1701" s="395" t="s">
        <v>8165</v>
      </c>
      <c r="C1701" s="395"/>
      <c r="D1701" s="396">
        <v>-1097307</v>
      </c>
      <c r="E1701" s="396">
        <v>2809268</v>
      </c>
      <c r="F1701" s="395">
        <v>-0.72</v>
      </c>
      <c r="G1701" s="396">
        <v>-3906575</v>
      </c>
      <c r="H1701" s="396">
        <v>389023</v>
      </c>
      <c r="I1701" s="396">
        <v>20423232</v>
      </c>
      <c r="J1701" s="395">
        <v>263</v>
      </c>
      <c r="K1701" s="395">
        <v>161</v>
      </c>
      <c r="L1701" s="397">
        <v>0.61219999999999997</v>
      </c>
      <c r="M1701" s="395">
        <v>102</v>
      </c>
      <c r="N1701" s="396">
        <v>-4172</v>
      </c>
      <c r="O1701" s="396">
        <v>17449</v>
      </c>
      <c r="P1701" s="395">
        <v>0.46</v>
      </c>
      <c r="Q1701" s="396">
        <v>-38300</v>
      </c>
      <c r="R1701" s="396">
        <v>63332</v>
      </c>
      <c r="S1701" s="396">
        <v>-138067</v>
      </c>
      <c r="T1701" s="396">
        <v>3004469</v>
      </c>
      <c r="U1701" s="396">
        <v>-3301575</v>
      </c>
      <c r="V1701" s="395">
        <v>3877.62</v>
      </c>
      <c r="W1701" s="395">
        <v>1445.31</v>
      </c>
      <c r="X1701" s="395">
        <v>77490</v>
      </c>
      <c r="Y1701" s="395">
        <v>7716.84</v>
      </c>
      <c r="Z1701" s="396">
        <v>-18637630</v>
      </c>
      <c r="AA1701" s="396">
        <v>-1097307</v>
      </c>
      <c r="AB1701" s="396">
        <v>-1071301</v>
      </c>
      <c r="AC1701" s="396">
        <v>10207916</v>
      </c>
    </row>
    <row r="1702" spans="1:29">
      <c r="A1702">
        <v>4999</v>
      </c>
      <c r="B1702" s="395" t="s">
        <v>7750</v>
      </c>
      <c r="C1702" s="395"/>
      <c r="D1702" s="396">
        <v>-1120737</v>
      </c>
      <c r="E1702" s="396">
        <v>70728</v>
      </c>
      <c r="F1702" s="395">
        <v>-0.06</v>
      </c>
      <c r="G1702" s="396">
        <v>-1191465</v>
      </c>
      <c r="H1702" s="396">
        <v>46474</v>
      </c>
      <c r="I1702" s="396">
        <v>9502684</v>
      </c>
      <c r="J1702" s="395">
        <v>261</v>
      </c>
      <c r="K1702" s="395">
        <v>47</v>
      </c>
      <c r="L1702" s="397">
        <v>0.18010000000000001</v>
      </c>
      <c r="M1702" s="395">
        <v>214</v>
      </c>
      <c r="N1702" s="396">
        <v>-4294</v>
      </c>
      <c r="O1702" s="396">
        <v>1505</v>
      </c>
      <c r="P1702" s="395">
        <v>0.27</v>
      </c>
      <c r="Q1702" s="396">
        <v>-5568</v>
      </c>
      <c r="R1702" s="396">
        <v>2756</v>
      </c>
      <c r="S1702" s="396">
        <v>-21551</v>
      </c>
      <c r="T1702" s="396">
        <v>515564</v>
      </c>
      <c r="U1702" s="396">
        <v>-1191858</v>
      </c>
      <c r="V1702" s="395">
        <v>26148.53</v>
      </c>
      <c r="W1702" s="395">
        <v>1283.1300000000001</v>
      </c>
      <c r="X1702" s="395">
        <v>77490</v>
      </c>
      <c r="Y1702" s="395">
        <v>31609.63</v>
      </c>
      <c r="Z1702" s="396">
        <v>-16811348</v>
      </c>
      <c r="AA1702" s="396">
        <v>-1120737</v>
      </c>
      <c r="AB1702" s="396">
        <v>-5990423</v>
      </c>
      <c r="AC1702" s="396">
        <v>10207916</v>
      </c>
    </row>
    <row r="1703" spans="1:29">
      <c r="A1703">
        <v>6464</v>
      </c>
      <c r="B1703" s="395" t="s">
        <v>8089</v>
      </c>
      <c r="C1703" s="395"/>
      <c r="D1703" s="396">
        <v>-1178432</v>
      </c>
      <c r="E1703" s="396">
        <v>78664</v>
      </c>
      <c r="F1703" s="395">
        <v>-0.06</v>
      </c>
      <c r="G1703" s="396">
        <v>-1257096</v>
      </c>
      <c r="H1703" s="396">
        <v>65679</v>
      </c>
      <c r="I1703" s="396">
        <v>12803219</v>
      </c>
      <c r="J1703" s="395">
        <v>165</v>
      </c>
      <c r="K1703" s="395">
        <v>32</v>
      </c>
      <c r="L1703" s="397">
        <v>0.19389999999999999</v>
      </c>
      <c r="M1703" s="395">
        <v>133</v>
      </c>
      <c r="N1703" s="396">
        <v>-7142</v>
      </c>
      <c r="O1703" s="396">
        <v>2458</v>
      </c>
      <c r="P1703" s="395">
        <v>0.26</v>
      </c>
      <c r="Q1703" s="396">
        <v>-9452</v>
      </c>
      <c r="R1703" s="396">
        <v>6057</v>
      </c>
      <c r="S1703" s="396">
        <v>-17700</v>
      </c>
      <c r="T1703" s="396">
        <v>351226</v>
      </c>
      <c r="U1703" s="396">
        <v>-1470098</v>
      </c>
      <c r="V1703" s="395">
        <v>21702.84</v>
      </c>
      <c r="W1703" s="395">
        <v>4147.25</v>
      </c>
      <c r="X1703" s="395">
        <v>77220</v>
      </c>
      <c r="Y1703" s="395">
        <v>25926.74</v>
      </c>
      <c r="Z1703" s="396">
        <v>-8682643</v>
      </c>
      <c r="AA1703" s="396">
        <v>-1178432</v>
      </c>
      <c r="AB1703" s="396">
        <v>-8784910</v>
      </c>
      <c r="AC1703" s="396">
        <v>10207916</v>
      </c>
    </row>
    <row r="1704" spans="1:29">
      <c r="A1704">
        <v>3592</v>
      </c>
      <c r="B1704" s="395" t="s">
        <v>7492</v>
      </c>
      <c r="C1704" s="395"/>
      <c r="D1704" s="396">
        <v>-1222194</v>
      </c>
      <c r="E1704" s="396">
        <v>238488</v>
      </c>
      <c r="F1704" s="395">
        <v>-0.16</v>
      </c>
      <c r="G1704" s="396">
        <v>-1460682</v>
      </c>
      <c r="H1704" s="396">
        <v>87194</v>
      </c>
      <c r="I1704" s="396">
        <v>12388512</v>
      </c>
      <c r="J1704" s="395">
        <v>37</v>
      </c>
      <c r="K1704" s="395">
        <v>16</v>
      </c>
      <c r="L1704" s="397">
        <v>0.43240000000000001</v>
      </c>
      <c r="M1704" s="395">
        <v>21</v>
      </c>
      <c r="N1704" s="396">
        <v>-33032</v>
      </c>
      <c r="O1704" s="396">
        <v>14906</v>
      </c>
      <c r="P1704" s="395">
        <v>0.21</v>
      </c>
      <c r="Q1704" s="396">
        <v>-69556</v>
      </c>
      <c r="R1704" s="396">
        <v>29696</v>
      </c>
      <c r="S1704" s="396">
        <v>-166464</v>
      </c>
      <c r="T1704" s="396">
        <v>624860</v>
      </c>
      <c r="U1704" s="396">
        <v>-1461936</v>
      </c>
      <c r="V1704" s="395">
        <v>1881.3</v>
      </c>
      <c r="W1704" s="395">
        <v>182.69</v>
      </c>
      <c r="X1704" s="395">
        <v>10530</v>
      </c>
      <c r="Y1704" s="395">
        <v>3175.48</v>
      </c>
      <c r="Z1704" s="396">
        <v>-1712872</v>
      </c>
      <c r="AA1704" s="396">
        <v>-1222194</v>
      </c>
      <c r="AB1704" s="396">
        <v>81921</v>
      </c>
      <c r="AC1704" s="396">
        <v>10207916</v>
      </c>
    </row>
    <row r="1705" spans="1:29">
      <c r="A1705">
        <v>2247</v>
      </c>
      <c r="B1705" s="395" t="s">
        <v>6970</v>
      </c>
      <c r="C1705" s="395"/>
      <c r="D1705" s="396">
        <v>-1249187</v>
      </c>
      <c r="E1705" s="396">
        <v>206211</v>
      </c>
      <c r="F1705" s="395">
        <v>-0.14000000000000001</v>
      </c>
      <c r="G1705" s="396">
        <v>-1455397</v>
      </c>
      <c r="H1705" s="396">
        <v>172890</v>
      </c>
      <c r="I1705" s="396">
        <v>35211899</v>
      </c>
      <c r="J1705" s="395">
        <v>196</v>
      </c>
      <c r="K1705" s="395">
        <v>40</v>
      </c>
      <c r="L1705" s="397">
        <v>0.2041</v>
      </c>
      <c r="M1705" s="395">
        <v>156</v>
      </c>
      <c r="N1705" s="396">
        <v>-6373</v>
      </c>
      <c r="O1705" s="396">
        <v>5155</v>
      </c>
      <c r="P1705" s="395">
        <v>0.55000000000000004</v>
      </c>
      <c r="Q1705" s="396">
        <v>-9329</v>
      </c>
      <c r="R1705" s="396">
        <v>18573</v>
      </c>
      <c r="S1705" s="396">
        <v>-35470</v>
      </c>
      <c r="T1705" s="396">
        <v>1765999</v>
      </c>
      <c r="U1705" s="396">
        <v>-2279171</v>
      </c>
      <c r="V1705" s="395">
        <v>25030.1</v>
      </c>
      <c r="W1705" s="395">
        <v>8815.85</v>
      </c>
      <c r="X1705" s="395">
        <v>77490</v>
      </c>
      <c r="Y1705" s="395">
        <v>29187.599999999999</v>
      </c>
      <c r="Z1705" s="396">
        <v>-7151710</v>
      </c>
      <c r="AA1705" s="396">
        <v>-1249187</v>
      </c>
      <c r="AB1705" s="396">
        <v>-7376778</v>
      </c>
      <c r="AC1705" s="396">
        <v>10207916</v>
      </c>
    </row>
    <row r="1706" spans="1:29">
      <c r="A1706">
        <v>2723</v>
      </c>
      <c r="B1706" s="395" t="s">
        <v>7174</v>
      </c>
      <c r="C1706" s="395"/>
      <c r="D1706" s="396">
        <v>-1279072</v>
      </c>
      <c r="E1706" s="396">
        <v>1320465</v>
      </c>
      <c r="F1706" s="395">
        <v>-0.51</v>
      </c>
      <c r="G1706" s="396">
        <v>-2599538</v>
      </c>
      <c r="H1706" s="396">
        <v>148614</v>
      </c>
      <c r="I1706" s="396">
        <v>10071375</v>
      </c>
      <c r="J1706" s="395">
        <v>264</v>
      </c>
      <c r="K1706" s="395">
        <v>136</v>
      </c>
      <c r="L1706" s="397">
        <v>0.51519999999999999</v>
      </c>
      <c r="M1706" s="395">
        <v>128</v>
      </c>
      <c r="N1706" s="396">
        <v>-4845</v>
      </c>
      <c r="O1706" s="396">
        <v>9709</v>
      </c>
      <c r="P1706" s="395">
        <v>0.48</v>
      </c>
      <c r="Q1706" s="396">
        <v>-20309</v>
      </c>
      <c r="R1706" s="396">
        <v>34444</v>
      </c>
      <c r="S1706" s="396">
        <v>-55995</v>
      </c>
      <c r="T1706" s="396">
        <v>1709502</v>
      </c>
      <c r="U1706" s="396">
        <v>-2269440</v>
      </c>
      <c r="V1706" s="395">
        <v>8195.57</v>
      </c>
      <c r="W1706" s="395">
        <v>2997.96</v>
      </c>
      <c r="X1706" s="395">
        <v>77490</v>
      </c>
      <c r="Y1706" s="395">
        <v>13718.04</v>
      </c>
      <c r="Z1706" s="396">
        <v>-21820771</v>
      </c>
      <c r="AA1706" s="396">
        <v>-1279072</v>
      </c>
      <c r="AB1706" s="396">
        <v>-15116146</v>
      </c>
      <c r="AC1706" s="396">
        <v>10207916</v>
      </c>
    </row>
    <row r="1707" spans="1:29">
      <c r="A1707">
        <v>3611</v>
      </c>
      <c r="B1707" s="395" t="s">
        <v>7500</v>
      </c>
      <c r="C1707" s="395"/>
      <c r="D1707" s="396">
        <v>-1306722</v>
      </c>
      <c r="E1707" s="396">
        <v>571889</v>
      </c>
      <c r="F1707" s="395">
        <v>-0.3</v>
      </c>
      <c r="G1707" s="396">
        <v>-1878611</v>
      </c>
      <c r="H1707" s="396">
        <v>213196</v>
      </c>
      <c r="I1707" s="396">
        <v>28779591</v>
      </c>
      <c r="J1707" s="395">
        <v>256</v>
      </c>
      <c r="K1707" s="395">
        <v>93</v>
      </c>
      <c r="L1707" s="397">
        <v>0.36330000000000001</v>
      </c>
      <c r="M1707" s="395">
        <v>163</v>
      </c>
      <c r="N1707" s="396">
        <v>-5104</v>
      </c>
      <c r="O1707" s="396">
        <v>6149</v>
      </c>
      <c r="P1707" s="395">
        <v>0.53</v>
      </c>
      <c r="Q1707" s="396">
        <v>-11525</v>
      </c>
      <c r="R1707" s="396">
        <v>22176</v>
      </c>
      <c r="S1707" s="396">
        <v>-38651</v>
      </c>
      <c r="T1707" s="396">
        <v>1794418</v>
      </c>
      <c r="U1707" s="396">
        <v>-1969266</v>
      </c>
      <c r="V1707" s="395">
        <v>13754.7</v>
      </c>
      <c r="W1707" s="395">
        <v>2631.14</v>
      </c>
      <c r="X1707" s="395">
        <v>77490</v>
      </c>
      <c r="Y1707" s="395">
        <v>20101.28</v>
      </c>
      <c r="Z1707" s="396">
        <v>-3440687</v>
      </c>
      <c r="AA1707" s="396">
        <v>-1306722</v>
      </c>
      <c r="AB1707" s="396">
        <v>2814351</v>
      </c>
      <c r="AC1707" s="396">
        <v>10207916</v>
      </c>
    </row>
    <row r="1708" spans="1:29">
      <c r="A1708">
        <v>4977</v>
      </c>
      <c r="B1708" s="395" t="s">
        <v>7743</v>
      </c>
      <c r="C1708" s="395"/>
      <c r="D1708" s="396">
        <v>-1312414</v>
      </c>
      <c r="E1708" s="396">
        <v>218162</v>
      </c>
      <c r="F1708" s="395">
        <v>-0.14000000000000001</v>
      </c>
      <c r="G1708" s="396">
        <v>-1530576</v>
      </c>
      <c r="H1708" s="396">
        <v>90265</v>
      </c>
      <c r="I1708" s="396">
        <v>16474062</v>
      </c>
      <c r="J1708" s="395">
        <v>252</v>
      </c>
      <c r="K1708" s="395">
        <v>72</v>
      </c>
      <c r="L1708" s="397">
        <v>0.28570000000000001</v>
      </c>
      <c r="M1708" s="395">
        <v>180</v>
      </c>
      <c r="N1708" s="396">
        <v>-5208</v>
      </c>
      <c r="O1708" s="396">
        <v>3030</v>
      </c>
      <c r="P1708" s="395">
        <v>0.36</v>
      </c>
      <c r="Q1708" s="396">
        <v>-8503</v>
      </c>
      <c r="R1708" s="396">
        <v>7071</v>
      </c>
      <c r="S1708" s="396">
        <v>-36508</v>
      </c>
      <c r="T1708" s="396">
        <v>1820942</v>
      </c>
      <c r="U1708" s="396">
        <v>-2249049</v>
      </c>
      <c r="V1708" s="395">
        <v>25031.919999999998</v>
      </c>
      <c r="W1708" s="395">
        <v>10141.879999999999</v>
      </c>
      <c r="X1708" s="395">
        <v>77490</v>
      </c>
      <c r="Y1708" s="395">
        <v>30987.94</v>
      </c>
      <c r="Z1708" s="396">
        <v>-15945947</v>
      </c>
      <c r="AA1708" s="396">
        <v>-1312414</v>
      </c>
      <c r="AB1708" s="396">
        <v>-14130546</v>
      </c>
      <c r="AC1708" s="396">
        <v>10207916</v>
      </c>
    </row>
    <row r="1709" spans="1:29">
      <c r="A1709">
        <v>6719</v>
      </c>
      <c r="B1709" s="395" t="s">
        <v>8195</v>
      </c>
      <c r="C1709" s="395"/>
      <c r="D1709" s="396">
        <v>-1352640</v>
      </c>
      <c r="E1709" s="396">
        <v>648996</v>
      </c>
      <c r="F1709" s="395">
        <v>-0.32</v>
      </c>
      <c r="G1709" s="396">
        <v>-2001636</v>
      </c>
      <c r="H1709" s="396">
        <v>106640</v>
      </c>
      <c r="I1709" s="396">
        <v>9301186</v>
      </c>
      <c r="J1709" s="395">
        <v>35</v>
      </c>
      <c r="K1709" s="395">
        <v>19</v>
      </c>
      <c r="L1709" s="397">
        <v>0.54290000000000005</v>
      </c>
      <c r="M1709" s="395">
        <v>16</v>
      </c>
      <c r="N1709" s="396">
        <v>-38647</v>
      </c>
      <c r="O1709" s="396">
        <v>34158</v>
      </c>
      <c r="P1709" s="395">
        <v>0.27</v>
      </c>
      <c r="Q1709" s="396">
        <v>-125102</v>
      </c>
      <c r="R1709" s="396">
        <v>89930</v>
      </c>
      <c r="S1709" s="396">
        <v>-245790</v>
      </c>
      <c r="T1709" s="396">
        <v>1102064</v>
      </c>
      <c r="U1709" s="396">
        <v>-1821528</v>
      </c>
      <c r="V1709" s="395">
        <v>1262.23</v>
      </c>
      <c r="W1709" s="395">
        <v>600.47</v>
      </c>
      <c r="X1709" s="395">
        <v>9450</v>
      </c>
      <c r="Y1709" s="395">
        <v>2048.06</v>
      </c>
      <c r="Z1709" s="396">
        <v>-13055534</v>
      </c>
      <c r="AA1709" s="396">
        <v>-1352640</v>
      </c>
      <c r="AB1709" s="396">
        <v>-14172000</v>
      </c>
      <c r="AC1709" s="396">
        <v>10207916</v>
      </c>
    </row>
    <row r="1710" spans="1:29">
      <c r="A1710">
        <v>6276</v>
      </c>
      <c r="B1710" s="395" t="s">
        <v>8046</v>
      </c>
      <c r="C1710" s="395"/>
      <c r="D1710" s="396">
        <v>-1352989</v>
      </c>
      <c r="E1710" s="396">
        <v>48358</v>
      </c>
      <c r="F1710" s="395">
        <v>-0.03</v>
      </c>
      <c r="G1710" s="396">
        <v>-1401347</v>
      </c>
      <c r="H1710" s="396">
        <v>24155</v>
      </c>
      <c r="I1710" s="396">
        <v>4784632</v>
      </c>
      <c r="J1710" s="395">
        <v>222</v>
      </c>
      <c r="K1710" s="395">
        <v>46</v>
      </c>
      <c r="L1710" s="397">
        <v>0.2072</v>
      </c>
      <c r="M1710" s="395">
        <v>176</v>
      </c>
      <c r="N1710" s="396">
        <v>-6095</v>
      </c>
      <c r="O1710" s="396">
        <v>1051</v>
      </c>
      <c r="P1710" s="395">
        <v>0.13</v>
      </c>
      <c r="Q1710" s="396">
        <v>-7962</v>
      </c>
      <c r="R1710" s="396">
        <v>3140</v>
      </c>
      <c r="S1710" s="396">
        <v>-22262</v>
      </c>
      <c r="T1710" s="396">
        <v>232027</v>
      </c>
      <c r="U1710" s="396">
        <v>-1403919</v>
      </c>
      <c r="V1710" s="395">
        <v>22712.95</v>
      </c>
      <c r="W1710" s="395">
        <v>611.87</v>
      </c>
      <c r="X1710" s="395">
        <v>77490</v>
      </c>
      <c r="Y1710" s="395">
        <v>28489.360000000001</v>
      </c>
      <c r="Z1710" s="396">
        <v>-14925585</v>
      </c>
      <c r="AA1710" s="396">
        <v>-1352989</v>
      </c>
      <c r="AB1710" s="396">
        <v>-23116279</v>
      </c>
      <c r="AC1710" s="396">
        <v>10207916</v>
      </c>
    </row>
    <row r="1711" spans="1:29">
      <c r="A1711">
        <v>8086</v>
      </c>
      <c r="B1711" s="395" t="s">
        <v>8263</v>
      </c>
      <c r="C1711" s="395"/>
      <c r="D1711" s="396">
        <v>-1362508</v>
      </c>
      <c r="E1711" s="396">
        <v>1135315</v>
      </c>
      <c r="F1711" s="395">
        <v>-0.45</v>
      </c>
      <c r="G1711" s="396">
        <v>-2497823</v>
      </c>
      <c r="H1711" s="396">
        <v>160865</v>
      </c>
      <c r="I1711" s="396">
        <v>8170015</v>
      </c>
      <c r="J1711" s="395">
        <v>279</v>
      </c>
      <c r="K1711" s="395">
        <v>163</v>
      </c>
      <c r="L1711" s="397">
        <v>0.58420000000000005</v>
      </c>
      <c r="M1711" s="395">
        <v>116</v>
      </c>
      <c r="N1711" s="396">
        <v>-4884</v>
      </c>
      <c r="O1711" s="396">
        <v>6965</v>
      </c>
      <c r="P1711" s="395">
        <v>0.32</v>
      </c>
      <c r="Q1711" s="396">
        <v>-21533</v>
      </c>
      <c r="R1711" s="396">
        <v>24434</v>
      </c>
      <c r="S1711" s="396">
        <v>-60310</v>
      </c>
      <c r="T1711" s="396">
        <v>910447</v>
      </c>
      <c r="U1711" s="396">
        <v>-2114193</v>
      </c>
      <c r="V1711" s="395">
        <v>4193.42</v>
      </c>
      <c r="W1711" s="395">
        <v>1476.75</v>
      </c>
      <c r="X1711" s="395">
        <v>77490</v>
      </c>
      <c r="Y1711" s="395">
        <v>8010.82</v>
      </c>
      <c r="Z1711" s="396">
        <v>-27695464</v>
      </c>
      <c r="AA1711" s="396">
        <v>-1362508</v>
      </c>
      <c r="AB1711" s="396">
        <v>-13665206</v>
      </c>
      <c r="AC1711" s="396">
        <v>10207916</v>
      </c>
    </row>
    <row r="1712" spans="1:29">
      <c r="A1712">
        <v>6568</v>
      </c>
      <c r="B1712" s="395" t="s">
        <v>8132</v>
      </c>
      <c r="C1712" s="395"/>
      <c r="D1712" s="396">
        <v>-1426470</v>
      </c>
      <c r="E1712" s="396">
        <v>1861394</v>
      </c>
      <c r="F1712" s="395">
        <v>-0.56999999999999995</v>
      </c>
      <c r="G1712" s="396">
        <v>-3287864</v>
      </c>
      <c r="H1712" s="396">
        <v>213031</v>
      </c>
      <c r="I1712" s="396">
        <v>9996395</v>
      </c>
      <c r="J1712" s="395">
        <v>226</v>
      </c>
      <c r="K1712" s="395">
        <v>154</v>
      </c>
      <c r="L1712" s="397">
        <v>0.68140000000000001</v>
      </c>
      <c r="M1712" s="395">
        <v>72</v>
      </c>
      <c r="N1712" s="396">
        <v>-6312</v>
      </c>
      <c r="O1712" s="396">
        <v>12087</v>
      </c>
      <c r="P1712" s="395">
        <v>0.26</v>
      </c>
      <c r="Q1712" s="396">
        <v>-45665</v>
      </c>
      <c r="R1712" s="396">
        <v>74465</v>
      </c>
      <c r="S1712" s="396">
        <v>-180178</v>
      </c>
      <c r="T1712" s="396">
        <v>1860525</v>
      </c>
      <c r="U1712" s="396">
        <v>-3130785</v>
      </c>
      <c r="V1712" s="395">
        <v>3064.61</v>
      </c>
      <c r="W1712" s="395">
        <v>1383.95</v>
      </c>
      <c r="X1712" s="395">
        <v>77490</v>
      </c>
      <c r="Y1712" s="395">
        <v>6659.35</v>
      </c>
      <c r="Z1712" s="396">
        <v>-10593414</v>
      </c>
      <c r="AA1712" s="396">
        <v>-1426470</v>
      </c>
      <c r="AB1712" s="396">
        <v>42982745</v>
      </c>
      <c r="AC1712" s="396">
        <v>10207916</v>
      </c>
    </row>
    <row r="1713" spans="1:29">
      <c r="A1713">
        <v>8066</v>
      </c>
      <c r="B1713" s="395" t="s">
        <v>8248</v>
      </c>
      <c r="C1713" s="395"/>
      <c r="D1713" s="396">
        <v>-1447294</v>
      </c>
      <c r="E1713" s="396">
        <v>79530</v>
      </c>
      <c r="F1713" s="395">
        <v>-0.05</v>
      </c>
      <c r="G1713" s="396">
        <v>-1526824</v>
      </c>
      <c r="H1713" s="396">
        <v>33727</v>
      </c>
      <c r="I1713" s="396">
        <v>6939884</v>
      </c>
      <c r="J1713" s="395">
        <v>214</v>
      </c>
      <c r="K1713" s="395">
        <v>33</v>
      </c>
      <c r="L1713" s="397">
        <v>0.1542</v>
      </c>
      <c r="M1713" s="395">
        <v>181</v>
      </c>
      <c r="N1713" s="396">
        <v>-6763</v>
      </c>
      <c r="O1713" s="396">
        <v>2410</v>
      </c>
      <c r="P1713" s="395">
        <v>0.28999999999999998</v>
      </c>
      <c r="Q1713" s="396">
        <v>-8435</v>
      </c>
      <c r="R1713" s="396">
        <v>4852</v>
      </c>
      <c r="S1713" s="396">
        <v>-23257</v>
      </c>
      <c r="T1713" s="396">
        <v>516866</v>
      </c>
      <c r="U1713" s="396">
        <v>-1497908</v>
      </c>
      <c r="V1713" s="395">
        <v>27241.86</v>
      </c>
      <c r="W1713" s="395">
        <v>3272.21</v>
      </c>
      <c r="X1713" s="395">
        <v>77490</v>
      </c>
      <c r="Y1713" s="395">
        <v>31612.02</v>
      </c>
      <c r="Z1713" s="396">
        <v>-22227993</v>
      </c>
      <c r="AA1713" s="396">
        <v>-1447294</v>
      </c>
      <c r="AB1713" s="396">
        <v>-20684940</v>
      </c>
      <c r="AC1713" s="396">
        <v>10207916</v>
      </c>
    </row>
    <row r="1714" spans="1:29">
      <c r="A1714">
        <v>6761</v>
      </c>
      <c r="B1714" s="395" t="s">
        <v>8207</v>
      </c>
      <c r="C1714" s="395"/>
      <c r="D1714" s="396">
        <v>-1649493</v>
      </c>
      <c r="E1714" s="396">
        <v>20325</v>
      </c>
      <c r="F1714" s="395">
        <v>-0.01</v>
      </c>
      <c r="G1714" s="396">
        <v>-1669818</v>
      </c>
      <c r="H1714" s="396">
        <v>27993</v>
      </c>
      <c r="I1714" s="396">
        <v>7006675</v>
      </c>
      <c r="J1714" s="395">
        <v>50</v>
      </c>
      <c r="K1714" s="395">
        <v>4</v>
      </c>
      <c r="L1714" s="397">
        <v>0.08</v>
      </c>
      <c r="M1714" s="395">
        <v>46</v>
      </c>
      <c r="N1714" s="396">
        <v>-32990</v>
      </c>
      <c r="O1714" s="396">
        <v>5081</v>
      </c>
      <c r="P1714" s="395">
        <v>0.14000000000000001</v>
      </c>
      <c r="Q1714" s="396">
        <v>-36300</v>
      </c>
      <c r="R1714" s="396">
        <v>5685</v>
      </c>
      <c r="S1714" s="396">
        <v>-101670</v>
      </c>
      <c r="T1714" s="396">
        <v>552235</v>
      </c>
      <c r="U1714" s="396">
        <v>-1669818</v>
      </c>
      <c r="V1714" s="395">
        <v>9999.06</v>
      </c>
      <c r="W1714" s="395">
        <v>6.5</v>
      </c>
      <c r="X1714" s="395">
        <v>22140</v>
      </c>
      <c r="Y1714" s="395">
        <v>10867.98</v>
      </c>
      <c r="Z1714" s="396">
        <v>-20621553</v>
      </c>
      <c r="AA1714" s="396">
        <v>-1649493</v>
      </c>
      <c r="AB1714" s="396">
        <v>-12188961</v>
      </c>
      <c r="AC1714" s="396">
        <v>10207916</v>
      </c>
    </row>
    <row r="1715" spans="1:29">
      <c r="A1715">
        <v>3552</v>
      </c>
      <c r="B1715" s="395" t="s">
        <v>7475</v>
      </c>
      <c r="C1715" s="395"/>
      <c r="D1715" s="396">
        <v>-1739051</v>
      </c>
      <c r="E1715" s="396">
        <v>2765522</v>
      </c>
      <c r="F1715" s="395">
        <v>-0.61</v>
      </c>
      <c r="G1715" s="396">
        <v>-4504573</v>
      </c>
      <c r="H1715" s="396">
        <v>239033</v>
      </c>
      <c r="I1715" s="396">
        <v>13875986</v>
      </c>
      <c r="J1715" s="395">
        <v>280</v>
      </c>
      <c r="K1715" s="395">
        <v>154</v>
      </c>
      <c r="L1715" s="397">
        <v>0.55000000000000004</v>
      </c>
      <c r="M1715" s="395">
        <v>126</v>
      </c>
      <c r="N1715" s="396">
        <v>-6211</v>
      </c>
      <c r="O1715" s="396">
        <v>17958</v>
      </c>
      <c r="P1715" s="395">
        <v>0.5</v>
      </c>
      <c r="Q1715" s="396">
        <v>-35751</v>
      </c>
      <c r="R1715" s="396">
        <v>68246</v>
      </c>
      <c r="S1715" s="396">
        <v>-96082</v>
      </c>
      <c r="T1715" s="396">
        <v>3394701</v>
      </c>
      <c r="U1715" s="396">
        <v>-3174987</v>
      </c>
      <c r="V1715" s="395">
        <v>7380.55</v>
      </c>
      <c r="W1715" s="395">
        <v>3600.73</v>
      </c>
      <c r="X1715" s="395">
        <v>77490</v>
      </c>
      <c r="Y1715" s="395">
        <v>12000.32</v>
      </c>
      <c r="Z1715" s="396">
        <v>-29008750</v>
      </c>
      <c r="AA1715" s="396">
        <v>-1739051</v>
      </c>
      <c r="AB1715" s="396">
        <v>-17060465</v>
      </c>
      <c r="AC1715" s="396">
        <v>10207916</v>
      </c>
    </row>
    <row r="1716" spans="1:29">
      <c r="A1716">
        <v>6666</v>
      </c>
      <c r="B1716" s="395" t="s">
        <v>8173</v>
      </c>
      <c r="C1716" s="395"/>
      <c r="D1716" s="396">
        <v>-1742544</v>
      </c>
      <c r="E1716" s="396">
        <v>71789</v>
      </c>
      <c r="F1716" s="395">
        <v>-0.04</v>
      </c>
      <c r="G1716" s="396">
        <v>-1814333</v>
      </c>
      <c r="H1716" s="396">
        <v>49184</v>
      </c>
      <c r="I1716" s="396">
        <v>10405671</v>
      </c>
      <c r="J1716" s="395">
        <v>169</v>
      </c>
      <c r="K1716" s="395">
        <v>22</v>
      </c>
      <c r="L1716" s="397">
        <v>0.13020000000000001</v>
      </c>
      <c r="M1716" s="395">
        <v>147</v>
      </c>
      <c r="N1716" s="396">
        <v>-10311</v>
      </c>
      <c r="O1716" s="396">
        <v>3263</v>
      </c>
      <c r="P1716" s="395">
        <v>0.26</v>
      </c>
      <c r="Q1716" s="396">
        <v>-12342</v>
      </c>
      <c r="R1716" s="396">
        <v>6654</v>
      </c>
      <c r="S1716" s="396">
        <v>-41977</v>
      </c>
      <c r="T1716" s="396">
        <v>647849</v>
      </c>
      <c r="U1716" s="396">
        <v>-1782970</v>
      </c>
      <c r="V1716" s="395">
        <v>28724.959999999999</v>
      </c>
      <c r="W1716" s="395">
        <v>1627.5</v>
      </c>
      <c r="X1716" s="395">
        <v>77220</v>
      </c>
      <c r="Y1716" s="395">
        <v>32780.370000000003</v>
      </c>
      <c r="Z1716" s="396">
        <v>-19904436</v>
      </c>
      <c r="AA1716" s="396">
        <v>-1742544</v>
      </c>
      <c r="AB1716" s="396">
        <v>-18640796</v>
      </c>
      <c r="AC1716" s="396">
        <v>10207916</v>
      </c>
    </row>
    <row r="1717" spans="1:29">
      <c r="A1717">
        <v>6788</v>
      </c>
      <c r="B1717" s="395" t="s">
        <v>8215</v>
      </c>
      <c r="C1717" s="395"/>
      <c r="D1717" s="396">
        <v>-1846923</v>
      </c>
      <c r="E1717" s="396">
        <v>191508</v>
      </c>
      <c r="F1717" s="395">
        <v>-0.09</v>
      </c>
      <c r="G1717" s="396">
        <v>-2038431</v>
      </c>
      <c r="H1717" s="396">
        <v>72423</v>
      </c>
      <c r="I1717" s="396">
        <v>12384137</v>
      </c>
      <c r="J1717" s="395">
        <v>90</v>
      </c>
      <c r="K1717" s="395">
        <v>30</v>
      </c>
      <c r="L1717" s="397">
        <v>0.33329999999999999</v>
      </c>
      <c r="M1717" s="395">
        <v>60</v>
      </c>
      <c r="N1717" s="396">
        <v>-20521</v>
      </c>
      <c r="O1717" s="396">
        <v>6384</v>
      </c>
      <c r="P1717" s="395">
        <v>0.19</v>
      </c>
      <c r="Q1717" s="396">
        <v>-33974</v>
      </c>
      <c r="R1717" s="396">
        <v>22547</v>
      </c>
      <c r="S1717" s="396">
        <v>-111415</v>
      </c>
      <c r="T1717" s="396">
        <v>1287096</v>
      </c>
      <c r="U1717" s="396">
        <v>-2112914</v>
      </c>
      <c r="V1717" s="395">
        <v>7472.14</v>
      </c>
      <c r="W1717" s="395">
        <v>667.17</v>
      </c>
      <c r="X1717" s="395">
        <v>29430</v>
      </c>
      <c r="Y1717" s="395">
        <v>10874.63</v>
      </c>
      <c r="Z1717" s="396">
        <v>-10955817</v>
      </c>
      <c r="AA1717" s="396">
        <v>-1846923</v>
      </c>
      <c r="AB1717" s="396">
        <v>-6484635</v>
      </c>
      <c r="AC1717" s="396">
        <v>10207916</v>
      </c>
    </row>
    <row r="1718" spans="1:29">
      <c r="A1718">
        <v>4735</v>
      </c>
      <c r="B1718" s="395" t="s">
        <v>7680</v>
      </c>
      <c r="C1718" s="395"/>
      <c r="D1718" s="396">
        <v>-1859636</v>
      </c>
      <c r="E1718" s="396">
        <v>229027</v>
      </c>
      <c r="F1718" s="395">
        <v>-0.11</v>
      </c>
      <c r="G1718" s="396">
        <v>-2088663</v>
      </c>
      <c r="H1718" s="396">
        <v>65708</v>
      </c>
      <c r="I1718" s="396">
        <v>10445743</v>
      </c>
      <c r="J1718" s="395">
        <v>240</v>
      </c>
      <c r="K1718" s="395">
        <v>59</v>
      </c>
      <c r="L1718" s="397">
        <v>0.24579999999999999</v>
      </c>
      <c r="M1718" s="395">
        <v>181</v>
      </c>
      <c r="N1718" s="396">
        <v>-7748</v>
      </c>
      <c r="O1718" s="396">
        <v>3882</v>
      </c>
      <c r="P1718" s="395">
        <v>0.34</v>
      </c>
      <c r="Q1718" s="396">
        <v>-11540</v>
      </c>
      <c r="R1718" s="396">
        <v>10239</v>
      </c>
      <c r="S1718" s="396">
        <v>-37628</v>
      </c>
      <c r="T1718" s="396">
        <v>1129021</v>
      </c>
      <c r="U1718" s="396">
        <v>-2119604</v>
      </c>
      <c r="V1718" s="395">
        <v>20213.439999999999</v>
      </c>
      <c r="W1718" s="395">
        <v>1652.1</v>
      </c>
      <c r="X1718" s="395">
        <v>77490</v>
      </c>
      <c r="Y1718" s="395">
        <v>26263.82</v>
      </c>
      <c r="Z1718" s="396">
        <v>-26845282</v>
      </c>
      <c r="AA1718" s="396">
        <v>-1859636</v>
      </c>
      <c r="AB1718" s="396">
        <v>-23212527</v>
      </c>
      <c r="AC1718" s="396">
        <v>10207916</v>
      </c>
    </row>
    <row r="1719" spans="1:29">
      <c r="A1719">
        <v>3227</v>
      </c>
      <c r="B1719" s="395" t="s">
        <v>7353</v>
      </c>
      <c r="C1719" s="395"/>
      <c r="D1719" s="396">
        <v>-1930779</v>
      </c>
      <c r="E1719" s="396">
        <v>670610</v>
      </c>
      <c r="F1719" s="395">
        <v>-0.26</v>
      </c>
      <c r="G1719" s="396">
        <v>-2601389</v>
      </c>
      <c r="H1719" s="396">
        <v>186970</v>
      </c>
      <c r="I1719" s="396">
        <v>22468462</v>
      </c>
      <c r="J1719" s="395">
        <v>279</v>
      </c>
      <c r="K1719" s="395">
        <v>113</v>
      </c>
      <c r="L1719" s="397">
        <v>0.40500000000000003</v>
      </c>
      <c r="M1719" s="395">
        <v>166</v>
      </c>
      <c r="N1719" s="396">
        <v>-6920</v>
      </c>
      <c r="O1719" s="396">
        <v>5935</v>
      </c>
      <c r="P1719" s="395">
        <v>0.38</v>
      </c>
      <c r="Q1719" s="396">
        <v>-15671</v>
      </c>
      <c r="R1719" s="396">
        <v>22809</v>
      </c>
      <c r="S1719" s="396">
        <v>-81211</v>
      </c>
      <c r="T1719" s="396">
        <v>1135869</v>
      </c>
      <c r="U1719" s="396">
        <v>-2964968</v>
      </c>
      <c r="V1719" s="395">
        <v>12095.22</v>
      </c>
      <c r="W1719" s="395">
        <v>1674.01</v>
      </c>
      <c r="X1719" s="395">
        <v>77490</v>
      </c>
      <c r="Y1719" s="395">
        <v>19189.169999999998</v>
      </c>
      <c r="Z1719" s="396">
        <v>-20603169</v>
      </c>
      <c r="AA1719" s="396">
        <v>-1930779</v>
      </c>
      <c r="AB1719" s="396">
        <v>-13134432</v>
      </c>
      <c r="AC1719" s="396">
        <v>10207916</v>
      </c>
    </row>
    <row r="1720" spans="1:29">
      <c r="A1720">
        <v>1476</v>
      </c>
      <c r="B1720" s="395" t="s">
        <v>6781</v>
      </c>
      <c r="C1720" s="395"/>
      <c r="D1720" s="396">
        <v>-1983279</v>
      </c>
      <c r="E1720" s="396">
        <v>4092833</v>
      </c>
      <c r="F1720" s="395">
        <v>-0.67</v>
      </c>
      <c r="G1720" s="396">
        <v>-6076112</v>
      </c>
      <c r="H1720" s="396">
        <v>635587</v>
      </c>
      <c r="I1720" s="396">
        <v>27862257</v>
      </c>
      <c r="J1720" s="395">
        <v>283</v>
      </c>
      <c r="K1720" s="395">
        <v>206</v>
      </c>
      <c r="L1720" s="397">
        <v>0.72789999999999999</v>
      </c>
      <c r="M1720" s="395">
        <v>77</v>
      </c>
      <c r="N1720" s="396">
        <v>-7008</v>
      </c>
      <c r="O1720" s="396">
        <v>19868</v>
      </c>
      <c r="P1720" s="395">
        <v>0.25</v>
      </c>
      <c r="Q1720" s="396">
        <v>-78911</v>
      </c>
      <c r="R1720" s="396">
        <v>83764</v>
      </c>
      <c r="S1720" s="396">
        <v>-215174</v>
      </c>
      <c r="T1720" s="396">
        <v>4921634</v>
      </c>
      <c r="U1720" s="396">
        <v>-5538316</v>
      </c>
      <c r="V1720" s="395">
        <v>3038.88</v>
      </c>
      <c r="W1720" s="395">
        <v>2024.67</v>
      </c>
      <c r="X1720" s="395">
        <v>77490</v>
      </c>
      <c r="Y1720" s="395">
        <v>5752.25</v>
      </c>
      <c r="Z1720" s="396">
        <v>-9842338</v>
      </c>
      <c r="AA1720" s="396">
        <v>-1983279</v>
      </c>
      <c r="AB1720" s="396">
        <v>2846986</v>
      </c>
      <c r="AC1720" s="396">
        <v>10207916</v>
      </c>
    </row>
    <row r="1721" spans="1:29">
      <c r="A1721">
        <v>9938</v>
      </c>
      <c r="B1721" s="395" t="s">
        <v>8417</v>
      </c>
      <c r="C1721" s="395"/>
      <c r="D1721" s="396">
        <v>-2014538</v>
      </c>
      <c r="E1721" s="396">
        <v>259144</v>
      </c>
      <c r="F1721" s="395">
        <v>-0.11</v>
      </c>
      <c r="G1721" s="396">
        <v>-2273682</v>
      </c>
      <c r="H1721" s="396">
        <v>88251</v>
      </c>
      <c r="I1721" s="396">
        <v>12483738</v>
      </c>
      <c r="J1721" s="395">
        <v>268</v>
      </c>
      <c r="K1721" s="395">
        <v>105</v>
      </c>
      <c r="L1721" s="397">
        <v>0.39179999999999998</v>
      </c>
      <c r="M1721" s="395">
        <v>163</v>
      </c>
      <c r="N1721" s="396">
        <v>-7517</v>
      </c>
      <c r="O1721" s="396">
        <v>2468</v>
      </c>
      <c r="P1721" s="395">
        <v>0.18</v>
      </c>
      <c r="Q1721" s="396">
        <v>-13949</v>
      </c>
      <c r="R1721" s="396">
        <v>8652</v>
      </c>
      <c r="S1721" s="396">
        <v>-36073</v>
      </c>
      <c r="T1721" s="396">
        <v>771086</v>
      </c>
      <c r="U1721" s="396">
        <v>-2298610</v>
      </c>
      <c r="V1721" s="395">
        <v>13544.71</v>
      </c>
      <c r="W1721" s="395">
        <v>1210.6199999999999</v>
      </c>
      <c r="X1721" s="395">
        <v>77490</v>
      </c>
      <c r="Y1721" s="395">
        <v>21489.98</v>
      </c>
      <c r="Z1721" s="396">
        <v>-3918399</v>
      </c>
      <c r="AA1721" s="396">
        <v>-2014538</v>
      </c>
      <c r="AB1721" s="396">
        <v>-2031701</v>
      </c>
      <c r="AC1721" s="396">
        <v>10207916</v>
      </c>
    </row>
    <row r="1722" spans="1:29">
      <c r="A1722">
        <v>8454</v>
      </c>
      <c r="B1722" s="395" t="s">
        <v>8349</v>
      </c>
      <c r="C1722" s="395"/>
      <c r="D1722" s="396">
        <v>-2071424</v>
      </c>
      <c r="E1722" s="396">
        <v>10798598</v>
      </c>
      <c r="F1722" s="395">
        <v>-0.84</v>
      </c>
      <c r="G1722" s="396">
        <v>-12870022</v>
      </c>
      <c r="H1722" s="396">
        <v>1547424</v>
      </c>
      <c r="I1722" s="396">
        <v>35143048</v>
      </c>
      <c r="J1722" s="395">
        <v>284</v>
      </c>
      <c r="K1722" s="395">
        <v>218</v>
      </c>
      <c r="L1722" s="397">
        <v>0.76759999999999995</v>
      </c>
      <c r="M1722" s="395">
        <v>66</v>
      </c>
      <c r="N1722" s="396">
        <v>-7294</v>
      </c>
      <c r="O1722" s="396">
        <v>49535</v>
      </c>
      <c r="P1722" s="395">
        <v>0.25</v>
      </c>
      <c r="Q1722" s="396">
        <v>-195000</v>
      </c>
      <c r="R1722" s="396">
        <v>248530</v>
      </c>
      <c r="S1722" s="396">
        <v>-827236</v>
      </c>
      <c r="T1722" s="396">
        <v>8818952</v>
      </c>
      <c r="U1722" s="396">
        <v>-11888100</v>
      </c>
      <c r="V1722" s="395">
        <v>1502.74</v>
      </c>
      <c r="W1722" s="395">
        <v>798.72</v>
      </c>
      <c r="X1722" s="395">
        <v>77490</v>
      </c>
      <c r="Y1722" s="395">
        <v>3828.15</v>
      </c>
      <c r="Z1722" s="396">
        <v>-7682689</v>
      </c>
      <c r="AA1722" s="396">
        <v>-2071424</v>
      </c>
      <c r="AB1722" s="396">
        <v>42365376</v>
      </c>
      <c r="AC1722" s="396">
        <v>10207916</v>
      </c>
    </row>
    <row r="1723" spans="1:29">
      <c r="A1723">
        <v>6747</v>
      </c>
      <c r="B1723" s="395" t="s">
        <v>8202</v>
      </c>
      <c r="C1723" s="395"/>
      <c r="D1723" s="396">
        <v>-2138395</v>
      </c>
      <c r="E1723" s="396">
        <v>1489398</v>
      </c>
      <c r="F1723" s="395">
        <v>-0.41</v>
      </c>
      <c r="G1723" s="396">
        <v>-3627793</v>
      </c>
      <c r="H1723" s="396">
        <v>213161</v>
      </c>
      <c r="I1723" s="396">
        <v>9992942</v>
      </c>
      <c r="J1723" s="395">
        <v>205</v>
      </c>
      <c r="K1723" s="395">
        <v>143</v>
      </c>
      <c r="L1723" s="397">
        <v>0.6976</v>
      </c>
      <c r="M1723" s="395">
        <v>62</v>
      </c>
      <c r="N1723" s="396">
        <v>-10431</v>
      </c>
      <c r="O1723" s="396">
        <v>10415</v>
      </c>
      <c r="P1723" s="395">
        <v>0.18</v>
      </c>
      <c r="Q1723" s="396">
        <v>-58513</v>
      </c>
      <c r="R1723" s="396">
        <v>42154</v>
      </c>
      <c r="S1723" s="396">
        <v>-169238</v>
      </c>
      <c r="T1723" s="396">
        <v>1815819</v>
      </c>
      <c r="U1723" s="396">
        <v>-3791168</v>
      </c>
      <c r="V1723" s="395">
        <v>4252.1499999999996</v>
      </c>
      <c r="W1723" s="395">
        <v>1509.95</v>
      </c>
      <c r="X1723" s="395">
        <v>74250</v>
      </c>
      <c r="Y1723" s="395">
        <v>10576.89</v>
      </c>
      <c r="Z1723" s="396">
        <v>-138097</v>
      </c>
      <c r="AA1723" s="396">
        <v>-2138395</v>
      </c>
      <c r="AB1723" s="396">
        <v>38984059</v>
      </c>
      <c r="AC1723" s="396">
        <v>10207916</v>
      </c>
    </row>
    <row r="1724" spans="1:29">
      <c r="A1724">
        <v>2108</v>
      </c>
      <c r="B1724" s="395" t="s">
        <v>6949</v>
      </c>
      <c r="C1724" s="395"/>
      <c r="D1724" s="396">
        <v>-2185948</v>
      </c>
      <c r="E1724" s="396">
        <v>431264</v>
      </c>
      <c r="F1724" s="395">
        <v>-0.16</v>
      </c>
      <c r="G1724" s="396">
        <v>-2617212</v>
      </c>
      <c r="H1724" s="396">
        <v>105948</v>
      </c>
      <c r="I1724" s="396">
        <v>15851898</v>
      </c>
      <c r="J1724" s="395">
        <v>276</v>
      </c>
      <c r="K1724" s="395">
        <v>129</v>
      </c>
      <c r="L1724" s="397">
        <v>0.46739999999999998</v>
      </c>
      <c r="M1724" s="395">
        <v>147</v>
      </c>
      <c r="N1724" s="396">
        <v>-7920</v>
      </c>
      <c r="O1724" s="396">
        <v>3343</v>
      </c>
      <c r="P1724" s="395">
        <v>0.19</v>
      </c>
      <c r="Q1724" s="396">
        <v>-17804</v>
      </c>
      <c r="R1724" s="396">
        <v>16466</v>
      </c>
      <c r="S1724" s="396">
        <v>-75777</v>
      </c>
      <c r="T1724" s="396">
        <v>2010831</v>
      </c>
      <c r="U1724" s="396">
        <v>-4435633</v>
      </c>
      <c r="V1724" s="395">
        <v>14561.56</v>
      </c>
      <c r="W1724" s="395">
        <v>2854.42</v>
      </c>
      <c r="X1724" s="395">
        <v>77490</v>
      </c>
      <c r="Y1724" s="395">
        <v>24835.18</v>
      </c>
      <c r="Z1724" s="396">
        <v>-6917436</v>
      </c>
      <c r="AA1724" s="396">
        <v>-2185948</v>
      </c>
      <c r="AB1724" s="396">
        <v>18436985</v>
      </c>
      <c r="AC1724" s="396">
        <v>10207916</v>
      </c>
    </row>
    <row r="1725" spans="1:29">
      <c r="A1725">
        <v>3373</v>
      </c>
      <c r="B1725" s="395" t="s">
        <v>7407</v>
      </c>
      <c r="C1725" s="395"/>
      <c r="D1725" s="396">
        <v>-2343107</v>
      </c>
      <c r="E1725" s="396">
        <v>214165</v>
      </c>
      <c r="F1725" s="395">
        <v>-0.08</v>
      </c>
      <c r="G1725" s="396">
        <v>-2557272</v>
      </c>
      <c r="H1725" s="396">
        <v>51316</v>
      </c>
      <c r="I1725" s="396">
        <v>7801036</v>
      </c>
      <c r="J1725" s="395">
        <v>244</v>
      </c>
      <c r="K1725" s="395">
        <v>59</v>
      </c>
      <c r="L1725" s="397">
        <v>0.24179999999999999</v>
      </c>
      <c r="M1725" s="395">
        <v>185</v>
      </c>
      <c r="N1725" s="396">
        <v>-9603</v>
      </c>
      <c r="O1725" s="396">
        <v>3630</v>
      </c>
      <c r="P1725" s="395">
        <v>0.26</v>
      </c>
      <c r="Q1725" s="396">
        <v>-13823</v>
      </c>
      <c r="R1725" s="396">
        <v>10712</v>
      </c>
      <c r="S1725" s="396">
        <v>-47841</v>
      </c>
      <c r="T1725" s="396">
        <v>1100593</v>
      </c>
      <c r="U1725" s="396">
        <v>-2674376</v>
      </c>
      <c r="V1725" s="395">
        <v>19688.23</v>
      </c>
      <c r="W1725" s="395">
        <v>1939.88</v>
      </c>
      <c r="X1725" s="395">
        <v>77490</v>
      </c>
      <c r="Y1725" s="395">
        <v>25348.52</v>
      </c>
      <c r="Z1725" s="396">
        <v>-29963252</v>
      </c>
      <c r="AA1725" s="396">
        <v>-2343107</v>
      </c>
      <c r="AB1725" s="396">
        <v>-28365643</v>
      </c>
      <c r="AC1725" s="396">
        <v>10207916</v>
      </c>
    </row>
    <row r="1726" spans="1:29">
      <c r="A1726">
        <v>3376</v>
      </c>
      <c r="B1726" s="395" t="s">
        <v>7409</v>
      </c>
      <c r="C1726" s="395"/>
      <c r="D1726" s="396">
        <v>-2360948</v>
      </c>
      <c r="E1726" s="396">
        <v>539547</v>
      </c>
      <c r="F1726" s="395">
        <v>-0.19</v>
      </c>
      <c r="G1726" s="396">
        <v>-2900495</v>
      </c>
      <c r="H1726" s="396">
        <v>111847</v>
      </c>
      <c r="I1726" s="396">
        <v>14964389</v>
      </c>
      <c r="J1726" s="395">
        <v>267</v>
      </c>
      <c r="K1726" s="395">
        <v>88</v>
      </c>
      <c r="L1726" s="397">
        <v>0.3296</v>
      </c>
      <c r="M1726" s="395">
        <v>179</v>
      </c>
      <c r="N1726" s="396">
        <v>-8843</v>
      </c>
      <c r="O1726" s="396">
        <v>6131</v>
      </c>
      <c r="P1726" s="395">
        <v>0.38</v>
      </c>
      <c r="Q1726" s="396">
        <v>-16204</v>
      </c>
      <c r="R1726" s="396">
        <v>20562</v>
      </c>
      <c r="S1726" s="396">
        <v>-41813</v>
      </c>
      <c r="T1726" s="396">
        <v>1015273</v>
      </c>
      <c r="U1726" s="396">
        <v>-2702053</v>
      </c>
      <c r="V1726" s="395">
        <v>15205.22</v>
      </c>
      <c r="W1726" s="395">
        <v>3848.51</v>
      </c>
      <c r="X1726" s="395">
        <v>77490</v>
      </c>
      <c r="Y1726" s="395">
        <v>20788.41</v>
      </c>
      <c r="Z1726" s="396">
        <v>-18114120</v>
      </c>
      <c r="AA1726" s="396">
        <v>-2360948</v>
      </c>
      <c r="AB1726" s="396">
        <v>-16850985</v>
      </c>
      <c r="AC1726" s="396">
        <v>10207916</v>
      </c>
    </row>
    <row r="1727" spans="1:29">
      <c r="A1727">
        <v>6146</v>
      </c>
      <c r="B1727" s="395" t="s">
        <v>7942</v>
      </c>
      <c r="C1727" s="395"/>
      <c r="D1727" s="396">
        <v>-2376736</v>
      </c>
      <c r="E1727" s="396">
        <v>666435</v>
      </c>
      <c r="F1727" s="395">
        <v>-0.22</v>
      </c>
      <c r="G1727" s="396">
        <v>-3043171</v>
      </c>
      <c r="H1727" s="396">
        <v>181871</v>
      </c>
      <c r="I1727" s="396">
        <v>19179623</v>
      </c>
      <c r="J1727" s="395">
        <v>198</v>
      </c>
      <c r="K1727" s="395">
        <v>91</v>
      </c>
      <c r="L1727" s="397">
        <v>0.45960000000000001</v>
      </c>
      <c r="M1727" s="395">
        <v>107</v>
      </c>
      <c r="N1727" s="396">
        <v>-12004</v>
      </c>
      <c r="O1727" s="396">
        <v>7323</v>
      </c>
      <c r="P1727" s="395">
        <v>0.26</v>
      </c>
      <c r="Q1727" s="396">
        <v>-28441</v>
      </c>
      <c r="R1727" s="396">
        <v>20008</v>
      </c>
      <c r="S1727" s="396">
        <v>-58973</v>
      </c>
      <c r="T1727" s="396">
        <v>844320</v>
      </c>
      <c r="U1727" s="396">
        <v>-3087139</v>
      </c>
      <c r="V1727" s="395">
        <v>10931.5</v>
      </c>
      <c r="W1727" s="395">
        <v>3313.97</v>
      </c>
      <c r="X1727" s="395">
        <v>77490</v>
      </c>
      <c r="Y1727" s="395">
        <v>17409.96</v>
      </c>
      <c r="Z1727" s="396">
        <v>-16412195</v>
      </c>
      <c r="AA1727" s="396">
        <v>-2376736</v>
      </c>
      <c r="AB1727" s="396">
        <v>-12920013</v>
      </c>
      <c r="AC1727" s="396">
        <v>10207916</v>
      </c>
    </row>
    <row r="1728" spans="1:29">
      <c r="A1728">
        <v>8436</v>
      </c>
      <c r="B1728" s="395" t="s">
        <v>8340</v>
      </c>
      <c r="C1728" s="395"/>
      <c r="D1728" s="396">
        <v>-2470690</v>
      </c>
      <c r="E1728" s="396">
        <v>965005</v>
      </c>
      <c r="F1728" s="395">
        <v>-0.28000000000000003</v>
      </c>
      <c r="G1728" s="396">
        <v>-3435695</v>
      </c>
      <c r="H1728" s="396">
        <v>251022</v>
      </c>
      <c r="I1728" s="396">
        <v>31898177</v>
      </c>
      <c r="J1728" s="395">
        <v>278</v>
      </c>
      <c r="K1728" s="395">
        <v>148</v>
      </c>
      <c r="L1728" s="397">
        <v>0.53239999999999998</v>
      </c>
      <c r="M1728" s="395">
        <v>130</v>
      </c>
      <c r="N1728" s="396">
        <v>-8887</v>
      </c>
      <c r="O1728" s="396">
        <v>6520</v>
      </c>
      <c r="P1728" s="395">
        <v>0.25</v>
      </c>
      <c r="Q1728" s="396">
        <v>-26428</v>
      </c>
      <c r="R1728" s="396">
        <v>20577</v>
      </c>
      <c r="S1728" s="396">
        <v>-132473</v>
      </c>
      <c r="T1728" s="396">
        <v>3315599</v>
      </c>
      <c r="U1728" s="396">
        <v>-4993911</v>
      </c>
      <c r="V1728" s="395">
        <v>11195.87</v>
      </c>
      <c r="W1728" s="395">
        <v>2598.9</v>
      </c>
      <c r="X1728" s="395">
        <v>77490</v>
      </c>
      <c r="Y1728" s="395">
        <v>20983.18</v>
      </c>
      <c r="Z1728" s="396">
        <v>-11013166</v>
      </c>
      <c r="AA1728" s="396">
        <v>-2470690</v>
      </c>
      <c r="AB1728" s="396">
        <v>2689739</v>
      </c>
      <c r="AC1728" s="396">
        <v>10207916</v>
      </c>
    </row>
    <row r="1729" spans="1:29">
      <c r="A1729">
        <v>3540</v>
      </c>
      <c r="B1729" s="395" t="s">
        <v>7467</v>
      </c>
      <c r="C1729" s="395"/>
      <c r="D1729" s="396">
        <v>-2546324</v>
      </c>
      <c r="E1729" s="396">
        <v>120807</v>
      </c>
      <c r="F1729" s="395">
        <v>-0.05</v>
      </c>
      <c r="G1729" s="396">
        <v>-2667131</v>
      </c>
      <c r="H1729" s="396">
        <v>51784</v>
      </c>
      <c r="I1729" s="396">
        <v>10108736</v>
      </c>
      <c r="J1729" s="395">
        <v>249</v>
      </c>
      <c r="K1729" s="395">
        <v>49</v>
      </c>
      <c r="L1729" s="397">
        <v>0.1968</v>
      </c>
      <c r="M1729" s="395">
        <v>200</v>
      </c>
      <c r="N1729" s="396">
        <v>-10226</v>
      </c>
      <c r="O1729" s="396">
        <v>2465</v>
      </c>
      <c r="P1729" s="395">
        <v>0.18</v>
      </c>
      <c r="Q1729" s="396">
        <v>-13336</v>
      </c>
      <c r="R1729" s="396">
        <v>6321</v>
      </c>
      <c r="S1729" s="396">
        <v>-40906</v>
      </c>
      <c r="T1729" s="396">
        <v>1208867</v>
      </c>
      <c r="U1729" s="396">
        <v>-2653893</v>
      </c>
      <c r="V1729" s="395">
        <v>24566.27</v>
      </c>
      <c r="W1729" s="395">
        <v>884.65</v>
      </c>
      <c r="X1729" s="395">
        <v>77490</v>
      </c>
      <c r="Y1729" s="395">
        <v>30368.26</v>
      </c>
      <c r="Z1729" s="396">
        <v>-23244539</v>
      </c>
      <c r="AA1729" s="396">
        <v>-2546324</v>
      </c>
      <c r="AB1729" s="396">
        <v>-15909266</v>
      </c>
      <c r="AC1729" s="396">
        <v>10207916</v>
      </c>
    </row>
    <row r="1730" spans="1:29">
      <c r="A1730">
        <v>1515</v>
      </c>
      <c r="B1730" s="395" t="s">
        <v>6790</v>
      </c>
      <c r="C1730" s="395"/>
      <c r="D1730" s="396">
        <v>-2561082</v>
      </c>
      <c r="E1730" s="396">
        <v>309259</v>
      </c>
      <c r="F1730" s="395">
        <v>-0.11</v>
      </c>
      <c r="G1730" s="396">
        <v>-2870341</v>
      </c>
      <c r="H1730" s="396">
        <v>71569</v>
      </c>
      <c r="I1730" s="396">
        <v>8829171</v>
      </c>
      <c r="J1730" s="395">
        <v>269</v>
      </c>
      <c r="K1730" s="395">
        <v>119</v>
      </c>
      <c r="L1730" s="397">
        <v>0.44240000000000002</v>
      </c>
      <c r="M1730" s="395">
        <v>150</v>
      </c>
      <c r="N1730" s="396">
        <v>-9521</v>
      </c>
      <c r="O1730" s="396">
        <v>2599</v>
      </c>
      <c r="P1730" s="395">
        <v>0.14000000000000001</v>
      </c>
      <c r="Q1730" s="396">
        <v>-19136</v>
      </c>
      <c r="R1730" s="396">
        <v>6834</v>
      </c>
      <c r="S1730" s="396">
        <v>-42707</v>
      </c>
      <c r="T1730" s="396">
        <v>395911</v>
      </c>
      <c r="U1730" s="396">
        <v>-3133871</v>
      </c>
      <c r="V1730" s="395">
        <v>11921.13</v>
      </c>
      <c r="W1730" s="395">
        <v>1024.21</v>
      </c>
      <c r="X1730" s="395">
        <v>77490</v>
      </c>
      <c r="Y1730" s="395">
        <v>20566.009999999998</v>
      </c>
      <c r="Z1730" s="396">
        <v>-13840363</v>
      </c>
      <c r="AA1730" s="396">
        <v>-2561082</v>
      </c>
      <c r="AB1730" s="396">
        <v>-19422098</v>
      </c>
      <c r="AC1730" s="396">
        <v>10207916</v>
      </c>
    </row>
    <row r="1731" spans="1:29">
      <c r="A1731">
        <v>8437</v>
      </c>
      <c r="B1731" s="395" t="s">
        <v>8341</v>
      </c>
      <c r="C1731" s="395"/>
      <c r="D1731" s="396">
        <v>-2726147</v>
      </c>
      <c r="E1731" s="396">
        <v>336082</v>
      </c>
      <c r="F1731" s="395">
        <v>-0.11</v>
      </c>
      <c r="G1731" s="396">
        <v>-3062229</v>
      </c>
      <c r="H1731" s="396">
        <v>83076</v>
      </c>
      <c r="I1731" s="396">
        <v>12592972</v>
      </c>
      <c r="J1731" s="395">
        <v>138</v>
      </c>
      <c r="K1731" s="395">
        <v>48</v>
      </c>
      <c r="L1731" s="397">
        <v>0.3478</v>
      </c>
      <c r="M1731" s="395">
        <v>90</v>
      </c>
      <c r="N1731" s="396">
        <v>-19755</v>
      </c>
      <c r="O1731" s="396">
        <v>7002</v>
      </c>
      <c r="P1731" s="395">
        <v>0.21</v>
      </c>
      <c r="Q1731" s="396">
        <v>-34025</v>
      </c>
      <c r="R1731" s="396">
        <v>24817</v>
      </c>
      <c r="S1731" s="396">
        <v>-68624</v>
      </c>
      <c r="T1731" s="396">
        <v>529948</v>
      </c>
      <c r="U1731" s="396">
        <v>-3046629</v>
      </c>
      <c r="V1731" s="395">
        <v>16916.669999999998</v>
      </c>
      <c r="W1731" s="395">
        <v>6686.31</v>
      </c>
      <c r="X1731" s="395">
        <v>77490</v>
      </c>
      <c r="Y1731" s="395">
        <v>22372.86</v>
      </c>
      <c r="Z1731" s="396">
        <v>-19936575</v>
      </c>
      <c r="AA1731" s="396">
        <v>-2726147</v>
      </c>
      <c r="AB1731" s="396">
        <v>-15824987</v>
      </c>
      <c r="AC1731" s="396">
        <v>10207916</v>
      </c>
    </row>
    <row r="1732" spans="1:29">
      <c r="A1732">
        <v>6203</v>
      </c>
      <c r="B1732" s="395" t="s">
        <v>7990</v>
      </c>
      <c r="C1732" s="395"/>
      <c r="D1732" s="396">
        <v>-2839847</v>
      </c>
      <c r="E1732" s="396">
        <v>451334</v>
      </c>
      <c r="F1732" s="395">
        <v>-0.14000000000000001</v>
      </c>
      <c r="G1732" s="396">
        <v>-3291181</v>
      </c>
      <c r="H1732" s="396">
        <v>87225</v>
      </c>
      <c r="I1732" s="396">
        <v>11469629</v>
      </c>
      <c r="J1732" s="395">
        <v>249</v>
      </c>
      <c r="K1732" s="395">
        <v>92</v>
      </c>
      <c r="L1732" s="397">
        <v>0.3695</v>
      </c>
      <c r="M1732" s="395">
        <v>157</v>
      </c>
      <c r="N1732" s="396">
        <v>-11405</v>
      </c>
      <c r="O1732" s="396">
        <v>4906</v>
      </c>
      <c r="P1732" s="395">
        <v>0.23</v>
      </c>
      <c r="Q1732" s="396">
        <v>-20963</v>
      </c>
      <c r="R1732" s="396">
        <v>19488</v>
      </c>
      <c r="S1732" s="396">
        <v>-53332</v>
      </c>
      <c r="T1732" s="396">
        <v>1184872</v>
      </c>
      <c r="U1732" s="396">
        <v>-3190190</v>
      </c>
      <c r="V1732" s="395">
        <v>14042.4</v>
      </c>
      <c r="W1732" s="395">
        <v>1649.34</v>
      </c>
      <c r="X1732" s="395">
        <v>77490</v>
      </c>
      <c r="Y1732" s="395">
        <v>21304.57</v>
      </c>
      <c r="Z1732" s="396">
        <v>-19996025</v>
      </c>
      <c r="AA1732" s="396">
        <v>-2839847</v>
      </c>
      <c r="AB1732" s="396">
        <v>-9016534</v>
      </c>
      <c r="AC1732" s="396">
        <v>10207916</v>
      </c>
    </row>
    <row r="1733" spans="1:29">
      <c r="A1733">
        <v>6672</v>
      </c>
      <c r="B1733" s="395" t="s">
        <v>8179</v>
      </c>
      <c r="C1733" s="395"/>
      <c r="D1733" s="396">
        <v>-2843531</v>
      </c>
      <c r="E1733" s="396">
        <v>352748</v>
      </c>
      <c r="F1733" s="395">
        <v>-0.11</v>
      </c>
      <c r="G1733" s="396">
        <v>-3196279</v>
      </c>
      <c r="H1733" s="396">
        <v>119395</v>
      </c>
      <c r="I1733" s="396">
        <v>17739955</v>
      </c>
      <c r="J1733" s="395">
        <v>256</v>
      </c>
      <c r="K1733" s="395">
        <v>113</v>
      </c>
      <c r="L1733" s="397">
        <v>0.44140000000000001</v>
      </c>
      <c r="M1733" s="395">
        <v>143</v>
      </c>
      <c r="N1733" s="396">
        <v>-11108</v>
      </c>
      <c r="O1733" s="396">
        <v>3122</v>
      </c>
      <c r="P1733" s="395">
        <v>0.14000000000000001</v>
      </c>
      <c r="Q1733" s="396">
        <v>-22352</v>
      </c>
      <c r="R1733" s="396">
        <v>10203</v>
      </c>
      <c r="S1733" s="396">
        <v>-73095</v>
      </c>
      <c r="T1733" s="396">
        <v>1394578</v>
      </c>
      <c r="U1733" s="396">
        <v>-3336240</v>
      </c>
      <c r="V1733" s="395">
        <v>11656.79</v>
      </c>
      <c r="W1733" s="395">
        <v>799.3</v>
      </c>
      <c r="X1733" s="395">
        <v>77490</v>
      </c>
      <c r="Y1733" s="395">
        <v>20236.48</v>
      </c>
      <c r="Z1733" s="396">
        <v>776398</v>
      </c>
      <c r="AA1733" s="396">
        <v>-2843531</v>
      </c>
      <c r="AB1733" s="396">
        <v>34021846</v>
      </c>
      <c r="AC1733" s="396">
        <v>10207916</v>
      </c>
    </row>
    <row r="1734" spans="1:29">
      <c r="A1734">
        <v>4760</v>
      </c>
      <c r="B1734" s="395" t="s">
        <v>7692</v>
      </c>
      <c r="C1734" s="395"/>
      <c r="D1734" s="396">
        <v>-2878770</v>
      </c>
      <c r="E1734" s="396">
        <v>556785</v>
      </c>
      <c r="F1734" s="395">
        <v>-0.16</v>
      </c>
      <c r="G1734" s="396">
        <v>-3435555</v>
      </c>
      <c r="H1734" s="396">
        <v>114122</v>
      </c>
      <c r="I1734" s="396">
        <v>14238256</v>
      </c>
      <c r="J1734" s="395">
        <v>273</v>
      </c>
      <c r="K1734" s="395">
        <v>99</v>
      </c>
      <c r="L1734" s="397">
        <v>0.36259999999999998</v>
      </c>
      <c r="M1734" s="395">
        <v>174</v>
      </c>
      <c r="N1734" s="396">
        <v>-10545</v>
      </c>
      <c r="O1734" s="396">
        <v>5624</v>
      </c>
      <c r="P1734" s="395">
        <v>0.28000000000000003</v>
      </c>
      <c r="Q1734" s="396">
        <v>-19745</v>
      </c>
      <c r="R1734" s="396">
        <v>23574</v>
      </c>
      <c r="S1734" s="396">
        <v>-81777</v>
      </c>
      <c r="T1734" s="396">
        <v>1056147</v>
      </c>
      <c r="U1734" s="396">
        <v>-3553036</v>
      </c>
      <c r="V1734" s="395">
        <v>12249.37</v>
      </c>
      <c r="W1734" s="395">
        <v>1146.8699999999999</v>
      </c>
      <c r="X1734" s="395">
        <v>77490</v>
      </c>
      <c r="Y1734" s="395">
        <v>18566.32</v>
      </c>
      <c r="Z1734" s="396">
        <v>-21496185</v>
      </c>
      <c r="AA1734" s="396">
        <v>-2878770</v>
      </c>
      <c r="AB1734" s="396">
        <v>-7003185</v>
      </c>
      <c r="AC1734" s="396">
        <v>10207916</v>
      </c>
    </row>
    <row r="1735" spans="1:29">
      <c r="A1735">
        <v>6504</v>
      </c>
      <c r="B1735" s="395" t="s">
        <v>8104</v>
      </c>
      <c r="C1735" s="395"/>
      <c r="D1735" s="396">
        <v>-2897342</v>
      </c>
      <c r="E1735" s="396">
        <v>429250</v>
      </c>
      <c r="F1735" s="395">
        <v>-0.13</v>
      </c>
      <c r="G1735" s="396">
        <v>-3326592</v>
      </c>
      <c r="H1735" s="396">
        <v>136167</v>
      </c>
      <c r="I1735" s="396">
        <v>23025404</v>
      </c>
      <c r="J1735" s="395">
        <v>252</v>
      </c>
      <c r="K1735" s="395">
        <v>69</v>
      </c>
      <c r="L1735" s="397">
        <v>0.27379999999999999</v>
      </c>
      <c r="M1735" s="395">
        <v>183</v>
      </c>
      <c r="N1735" s="396">
        <v>-11497</v>
      </c>
      <c r="O1735" s="396">
        <v>6221</v>
      </c>
      <c r="P1735" s="395">
        <v>0.34</v>
      </c>
      <c r="Q1735" s="396">
        <v>-18178</v>
      </c>
      <c r="R1735" s="396">
        <v>18809</v>
      </c>
      <c r="S1735" s="396">
        <v>-87467</v>
      </c>
      <c r="T1735" s="396">
        <v>2863562</v>
      </c>
      <c r="U1735" s="396">
        <v>-3342742</v>
      </c>
      <c r="V1735" s="395">
        <v>21173.08</v>
      </c>
      <c r="W1735" s="395">
        <v>6619.3</v>
      </c>
      <c r="X1735" s="395">
        <v>77490</v>
      </c>
      <c r="Y1735" s="395">
        <v>26660.57</v>
      </c>
      <c r="Z1735" s="396">
        <v>-21809101</v>
      </c>
      <c r="AA1735" s="396">
        <v>-2897342</v>
      </c>
      <c r="AB1735" s="396">
        <v>-18984724</v>
      </c>
      <c r="AC1735" s="396">
        <v>10207916</v>
      </c>
    </row>
    <row r="1736" spans="1:29">
      <c r="A1736">
        <v>4943</v>
      </c>
      <c r="B1736" s="395" t="s">
        <v>7724</v>
      </c>
      <c r="C1736" s="395"/>
      <c r="D1736" s="396">
        <v>-2956205</v>
      </c>
      <c r="E1736" s="396">
        <v>520822</v>
      </c>
      <c r="F1736" s="395">
        <v>-0.15</v>
      </c>
      <c r="G1736" s="396">
        <v>-3477027</v>
      </c>
      <c r="H1736" s="396">
        <v>58774</v>
      </c>
      <c r="I1736" s="396">
        <v>6647166</v>
      </c>
      <c r="J1736" s="395">
        <v>266</v>
      </c>
      <c r="K1736" s="395">
        <v>90</v>
      </c>
      <c r="L1736" s="397">
        <v>0.33829999999999999</v>
      </c>
      <c r="M1736" s="395">
        <v>176</v>
      </c>
      <c r="N1736" s="396">
        <v>-11114</v>
      </c>
      <c r="O1736" s="396">
        <v>5787</v>
      </c>
      <c r="P1736" s="395">
        <v>0.28999999999999998</v>
      </c>
      <c r="Q1736" s="396">
        <v>-19756</v>
      </c>
      <c r="R1736" s="396">
        <v>23556</v>
      </c>
      <c r="S1736" s="396">
        <v>-54022</v>
      </c>
      <c r="T1736" s="396">
        <v>1281157</v>
      </c>
      <c r="U1736" s="396">
        <v>-3367498</v>
      </c>
      <c r="V1736" s="395">
        <v>14070.05</v>
      </c>
      <c r="W1736" s="395">
        <v>2334.5100000000002</v>
      </c>
      <c r="X1736" s="395">
        <v>77490</v>
      </c>
      <c r="Y1736" s="395">
        <v>20071.18</v>
      </c>
      <c r="Z1736" s="396">
        <v>-36653810</v>
      </c>
      <c r="AA1736" s="396">
        <v>-2956205</v>
      </c>
      <c r="AB1736" s="396">
        <v>-35294959</v>
      </c>
      <c r="AC1736" s="396">
        <v>10207916</v>
      </c>
    </row>
    <row r="1737" spans="1:29">
      <c r="A1737">
        <v>1598</v>
      </c>
      <c r="B1737" s="395" t="s">
        <v>6831</v>
      </c>
      <c r="C1737" s="395"/>
      <c r="D1737" s="396">
        <v>-3177188</v>
      </c>
      <c r="E1737" s="396">
        <v>463654</v>
      </c>
      <c r="F1737" s="395">
        <v>-0.13</v>
      </c>
      <c r="G1737" s="396">
        <v>-3640842</v>
      </c>
      <c r="H1737" s="396">
        <v>81034</v>
      </c>
      <c r="I1737" s="396">
        <v>10428211</v>
      </c>
      <c r="J1737" s="395">
        <v>270</v>
      </c>
      <c r="K1737" s="395">
        <v>79</v>
      </c>
      <c r="L1737" s="397">
        <v>0.29260000000000003</v>
      </c>
      <c r="M1737" s="395">
        <v>191</v>
      </c>
      <c r="N1737" s="396">
        <v>-11767</v>
      </c>
      <c r="O1737" s="396">
        <v>5869</v>
      </c>
      <c r="P1737" s="395">
        <v>0.31</v>
      </c>
      <c r="Q1737" s="396">
        <v>-19062</v>
      </c>
      <c r="R1737" s="396">
        <v>21542</v>
      </c>
      <c r="S1737" s="396">
        <v>-60550</v>
      </c>
      <c r="T1737" s="396">
        <v>887119</v>
      </c>
      <c r="U1737" s="396">
        <v>-3609709</v>
      </c>
      <c r="V1737" s="395">
        <v>16453.490000000002</v>
      </c>
      <c r="W1737" s="395">
        <v>1940.44</v>
      </c>
      <c r="X1737" s="395">
        <v>77490</v>
      </c>
      <c r="Y1737" s="395">
        <v>22456.27</v>
      </c>
      <c r="Z1737" s="396">
        <v>-30445994</v>
      </c>
      <c r="AA1737" s="396">
        <v>-3177188</v>
      </c>
      <c r="AB1737" s="396">
        <v>-29816792</v>
      </c>
      <c r="AC1737" s="396">
        <v>10207916</v>
      </c>
    </row>
    <row r="1738" spans="1:29">
      <c r="A1738">
        <v>2726</v>
      </c>
      <c r="B1738" s="395" t="s">
        <v>7176</v>
      </c>
      <c r="C1738" s="395"/>
      <c r="D1738" s="396">
        <v>-4066468</v>
      </c>
      <c r="E1738" s="396">
        <v>96497</v>
      </c>
      <c r="F1738" s="395">
        <v>-0.02</v>
      </c>
      <c r="G1738" s="396">
        <v>-4162965</v>
      </c>
      <c r="H1738" s="396">
        <v>41297</v>
      </c>
      <c r="I1738" s="396">
        <v>9333969</v>
      </c>
      <c r="J1738" s="395">
        <v>222</v>
      </c>
      <c r="K1738" s="395">
        <v>59</v>
      </c>
      <c r="L1738" s="397">
        <v>0.26579999999999998</v>
      </c>
      <c r="M1738" s="395">
        <v>163</v>
      </c>
      <c r="N1738" s="396">
        <v>-18317</v>
      </c>
      <c r="O1738" s="396">
        <v>1636</v>
      </c>
      <c r="P1738" s="395">
        <v>0.06</v>
      </c>
      <c r="Q1738" s="396">
        <v>-25540</v>
      </c>
      <c r="R1738" s="396">
        <v>4091</v>
      </c>
      <c r="S1738" s="396">
        <v>-55897</v>
      </c>
      <c r="T1738" s="396">
        <v>1350222</v>
      </c>
      <c r="U1738" s="396">
        <v>-4777216</v>
      </c>
      <c r="V1738" s="395">
        <v>28652.17</v>
      </c>
      <c r="W1738" s="395">
        <v>3766.24</v>
      </c>
      <c r="X1738" s="395">
        <v>77490</v>
      </c>
      <c r="Y1738" s="395">
        <v>37659.96</v>
      </c>
      <c r="Z1738" s="396">
        <v>-30527230</v>
      </c>
      <c r="AA1738" s="396">
        <v>-4066468</v>
      </c>
      <c r="AB1738" s="396">
        <v>-28815288</v>
      </c>
      <c r="AC1738" s="396">
        <v>10207916</v>
      </c>
    </row>
    <row r="1739" spans="1:29">
      <c r="A1739">
        <v>6741</v>
      </c>
      <c r="B1739" s="395" t="s">
        <v>8200</v>
      </c>
      <c r="C1739" s="395"/>
      <c r="D1739" s="396">
        <v>-4317744</v>
      </c>
      <c r="E1739" s="396">
        <v>1921458</v>
      </c>
      <c r="F1739" s="395">
        <v>-0.31</v>
      </c>
      <c r="G1739" s="396">
        <v>-6239202</v>
      </c>
      <c r="H1739" s="396">
        <v>190744</v>
      </c>
      <c r="I1739" s="396">
        <v>15086834</v>
      </c>
      <c r="J1739" s="395">
        <v>189</v>
      </c>
      <c r="K1739" s="395">
        <v>100</v>
      </c>
      <c r="L1739" s="397">
        <v>0.52910000000000001</v>
      </c>
      <c r="M1739" s="395">
        <v>89</v>
      </c>
      <c r="N1739" s="396">
        <v>-22845</v>
      </c>
      <c r="O1739" s="396">
        <v>19215</v>
      </c>
      <c r="P1739" s="395">
        <v>0.27</v>
      </c>
      <c r="Q1739" s="396">
        <v>-70103</v>
      </c>
      <c r="R1739" s="396">
        <v>67537</v>
      </c>
      <c r="S1739" s="396">
        <v>-144453</v>
      </c>
      <c r="T1739" s="396">
        <v>3828766</v>
      </c>
      <c r="U1739" s="396">
        <v>-6062955</v>
      </c>
      <c r="V1739" s="395">
        <v>5547.94</v>
      </c>
      <c r="W1739" s="395">
        <v>2255.9299999999998</v>
      </c>
      <c r="X1739" s="395">
        <v>53190</v>
      </c>
      <c r="Y1739" s="395">
        <v>9246.83</v>
      </c>
      <c r="Z1739" s="396">
        <v>-23533963</v>
      </c>
      <c r="AA1739" s="396">
        <v>-4317744</v>
      </c>
      <c r="AB1739" s="396">
        <v>7198966</v>
      </c>
      <c r="AC1739" s="396">
        <v>10207916</v>
      </c>
    </row>
    <row r="1740" spans="1:29">
      <c r="A1740">
        <v>1707</v>
      </c>
      <c r="B1740" s="395" t="s">
        <v>6848</v>
      </c>
      <c r="C1740" s="395"/>
      <c r="D1740" s="396">
        <v>-4441720</v>
      </c>
      <c r="E1740" s="396">
        <v>189248</v>
      </c>
      <c r="F1740" s="395">
        <v>-0.04</v>
      </c>
      <c r="G1740" s="396">
        <v>-4630968</v>
      </c>
      <c r="H1740" s="396">
        <v>162348</v>
      </c>
      <c r="I1740" s="396">
        <v>34740160</v>
      </c>
      <c r="J1740" s="395">
        <v>255</v>
      </c>
      <c r="K1740" s="395">
        <v>40</v>
      </c>
      <c r="L1740" s="397">
        <v>0.15690000000000001</v>
      </c>
      <c r="M1740" s="395">
        <v>215</v>
      </c>
      <c r="N1740" s="396">
        <v>-17419</v>
      </c>
      <c r="O1740" s="396">
        <v>4731</v>
      </c>
      <c r="P1740" s="395">
        <v>0.22</v>
      </c>
      <c r="Q1740" s="396">
        <v>-21539</v>
      </c>
      <c r="R1740" s="396">
        <v>9791</v>
      </c>
      <c r="S1740" s="396">
        <v>-35532</v>
      </c>
      <c r="T1740" s="396">
        <v>898492</v>
      </c>
      <c r="U1740" s="396">
        <v>-4795889</v>
      </c>
      <c r="V1740" s="395">
        <v>27815.13</v>
      </c>
      <c r="W1740" s="395">
        <v>3338.95</v>
      </c>
      <c r="X1740" s="395">
        <v>77490</v>
      </c>
      <c r="Y1740" s="395">
        <v>32368.83</v>
      </c>
      <c r="Z1740" s="396">
        <v>-9500874</v>
      </c>
      <c r="AA1740" s="396">
        <v>-4441720</v>
      </c>
      <c r="AB1740" s="396">
        <v>-8597733</v>
      </c>
      <c r="AC1740" s="396">
        <v>10207916</v>
      </c>
    </row>
    <row r="1741" spans="1:29">
      <c r="A1741">
        <v>6582</v>
      </c>
      <c r="B1741" s="395" t="s">
        <v>8142</v>
      </c>
      <c r="C1741" s="395"/>
      <c r="D1741" s="396">
        <v>-4504480</v>
      </c>
      <c r="E1741" s="396">
        <v>918327</v>
      </c>
      <c r="F1741" s="395">
        <v>-0.17</v>
      </c>
      <c r="G1741" s="396">
        <v>-5422807</v>
      </c>
      <c r="H1741" s="396">
        <v>216387</v>
      </c>
      <c r="I1741" s="396">
        <v>24167607</v>
      </c>
      <c r="J1741" s="395">
        <v>269</v>
      </c>
      <c r="K1741" s="395">
        <v>116</v>
      </c>
      <c r="L1741" s="397">
        <v>0.43120000000000003</v>
      </c>
      <c r="M1741" s="395">
        <v>153</v>
      </c>
      <c r="N1741" s="396">
        <v>-16745</v>
      </c>
      <c r="O1741" s="396">
        <v>7917</v>
      </c>
      <c r="P1741" s="395">
        <v>0.22</v>
      </c>
      <c r="Q1741" s="396">
        <v>-35443</v>
      </c>
      <c r="R1741" s="396">
        <v>26820</v>
      </c>
      <c r="S1741" s="396">
        <v>-126750</v>
      </c>
      <c r="T1741" s="396">
        <v>1152245</v>
      </c>
      <c r="U1741" s="396">
        <v>-5801801</v>
      </c>
      <c r="V1741" s="395">
        <v>10852.55</v>
      </c>
      <c r="W1741" s="395">
        <v>838.91</v>
      </c>
      <c r="X1741" s="395">
        <v>77490</v>
      </c>
      <c r="Y1741" s="395">
        <v>18444.580000000002</v>
      </c>
      <c r="Z1741" s="396">
        <v>-6018424</v>
      </c>
      <c r="AA1741" s="396">
        <v>-4504480</v>
      </c>
      <c r="AB1741" s="396">
        <v>-496790</v>
      </c>
      <c r="AC1741" s="396">
        <v>10207916</v>
      </c>
    </row>
    <row r="1742" spans="1:29">
      <c r="A1742">
        <v>5903</v>
      </c>
      <c r="B1742" s="395" t="s">
        <v>7895</v>
      </c>
      <c r="C1742" s="395"/>
      <c r="D1742" s="396">
        <v>-4538391</v>
      </c>
      <c r="E1742" s="396">
        <v>283804</v>
      </c>
      <c r="F1742" s="395">
        <v>-0.06</v>
      </c>
      <c r="G1742" s="396">
        <v>-4822195</v>
      </c>
      <c r="H1742" s="396">
        <v>155976</v>
      </c>
      <c r="I1742" s="396">
        <v>26734845</v>
      </c>
      <c r="J1742" s="395">
        <v>159</v>
      </c>
      <c r="K1742" s="395">
        <v>52</v>
      </c>
      <c r="L1742" s="397">
        <v>0.32700000000000001</v>
      </c>
      <c r="M1742" s="395">
        <v>107</v>
      </c>
      <c r="N1742" s="396">
        <v>-28543</v>
      </c>
      <c r="O1742" s="396">
        <v>5458</v>
      </c>
      <c r="P1742" s="395">
        <v>0.12</v>
      </c>
      <c r="Q1742" s="396">
        <v>-45067</v>
      </c>
      <c r="R1742" s="396">
        <v>8946</v>
      </c>
      <c r="S1742" s="396">
        <v>-58453</v>
      </c>
      <c r="T1742" s="396">
        <v>752203</v>
      </c>
      <c r="U1742" s="396">
        <v>-5239699</v>
      </c>
      <c r="V1742" s="395">
        <v>25385.06</v>
      </c>
      <c r="W1742" s="395">
        <v>8473.69</v>
      </c>
      <c r="X1742" s="395">
        <v>76950</v>
      </c>
      <c r="Y1742" s="395">
        <v>33603.660000000003</v>
      </c>
      <c r="Z1742" s="396">
        <v>-9895712</v>
      </c>
      <c r="AA1742" s="396">
        <v>-4538391</v>
      </c>
      <c r="AB1742" s="396">
        <v>-9221539</v>
      </c>
      <c r="AC1742" s="396">
        <v>10207916</v>
      </c>
    </row>
    <row r="1743" spans="1:29">
      <c r="A1743">
        <v>8480</v>
      </c>
      <c r="B1743" s="395" t="s">
        <v>8361</v>
      </c>
      <c r="C1743" s="395"/>
      <c r="D1743" s="396">
        <v>-4873971</v>
      </c>
      <c r="E1743" s="395">
        <v>0</v>
      </c>
      <c r="F1743" s="395">
        <v>0</v>
      </c>
      <c r="G1743" s="396">
        <v>-4873971</v>
      </c>
      <c r="H1743" s="396">
        <v>46919</v>
      </c>
      <c r="I1743" s="396">
        <v>14156000</v>
      </c>
      <c r="J1743" s="395">
        <v>128</v>
      </c>
      <c r="K1743" s="395">
        <v>0</v>
      </c>
      <c r="L1743" s="397">
        <v>0</v>
      </c>
      <c r="M1743" s="395">
        <v>128</v>
      </c>
      <c r="N1743" s="396">
        <v>-38078</v>
      </c>
      <c r="O1743" s="395">
        <v>0</v>
      </c>
      <c r="P1743" s="395">
        <v>0</v>
      </c>
      <c r="Q1743" s="396">
        <v>-38078</v>
      </c>
      <c r="R1743" s="395">
        <v>0</v>
      </c>
      <c r="S1743" s="396">
        <v>-49703</v>
      </c>
      <c r="T1743" s="396">
        <v>902663</v>
      </c>
      <c r="U1743" s="396">
        <v>-4910234</v>
      </c>
      <c r="V1743" s="395">
        <v>36438.550000000003</v>
      </c>
      <c r="W1743" s="395">
        <v>0</v>
      </c>
      <c r="X1743" s="395">
        <v>68040</v>
      </c>
      <c r="Y1743" s="395">
        <v>36438.550000000003</v>
      </c>
      <c r="Z1743" s="396">
        <v>-20149217</v>
      </c>
      <c r="AA1743" s="396">
        <v>-4873971</v>
      </c>
      <c r="AB1743" s="396">
        <v>-19753927</v>
      </c>
      <c r="AC1743" s="396">
        <v>10207916</v>
      </c>
    </row>
    <row r="1744" spans="1:29">
      <c r="A1744">
        <v>2474</v>
      </c>
      <c r="B1744" s="395" t="s">
        <v>7089</v>
      </c>
      <c r="C1744" s="395"/>
      <c r="D1744" s="396">
        <v>-4992068</v>
      </c>
      <c r="E1744" s="396">
        <v>262439</v>
      </c>
      <c r="F1744" s="395">
        <v>-0.05</v>
      </c>
      <c r="G1744" s="396">
        <v>-5254507</v>
      </c>
      <c r="H1744" s="396">
        <v>188808</v>
      </c>
      <c r="I1744" s="396">
        <v>38881998</v>
      </c>
      <c r="J1744" s="395">
        <v>280</v>
      </c>
      <c r="K1744" s="395">
        <v>46</v>
      </c>
      <c r="L1744" s="397">
        <v>0.1643</v>
      </c>
      <c r="M1744" s="395">
        <v>234</v>
      </c>
      <c r="N1744" s="396">
        <v>-17829</v>
      </c>
      <c r="O1744" s="396">
        <v>5705</v>
      </c>
      <c r="P1744" s="395">
        <v>0.25</v>
      </c>
      <c r="Q1744" s="396">
        <v>-22455</v>
      </c>
      <c r="R1744" s="396">
        <v>13212</v>
      </c>
      <c r="S1744" s="396">
        <v>-58853</v>
      </c>
      <c r="T1744" s="396">
        <v>2531895</v>
      </c>
      <c r="U1744" s="396">
        <v>-5797500</v>
      </c>
      <c r="V1744" s="395">
        <v>26587.77</v>
      </c>
      <c r="W1744" s="395">
        <v>2546.59</v>
      </c>
      <c r="X1744" s="395">
        <v>77490</v>
      </c>
      <c r="Y1744" s="395">
        <v>31313.82</v>
      </c>
      <c r="Z1744" s="396">
        <v>-15600229</v>
      </c>
      <c r="AA1744" s="396">
        <v>-4992068</v>
      </c>
      <c r="AB1744" s="396">
        <v>-12942973</v>
      </c>
      <c r="AC1744" s="396">
        <v>10207916</v>
      </c>
    </row>
    <row r="1745" spans="1:29">
      <c r="A1745">
        <v>3530</v>
      </c>
      <c r="B1745" s="395" t="s">
        <v>7460</v>
      </c>
      <c r="C1745" s="395"/>
      <c r="D1745" s="396">
        <v>-5428248</v>
      </c>
      <c r="E1745" s="396">
        <v>658383</v>
      </c>
      <c r="F1745" s="395">
        <v>-0.11</v>
      </c>
      <c r="G1745" s="396">
        <v>-6086631</v>
      </c>
      <c r="H1745" s="396">
        <v>144348</v>
      </c>
      <c r="I1745" s="396">
        <v>19177849</v>
      </c>
      <c r="J1745" s="395">
        <v>275</v>
      </c>
      <c r="K1745" s="395">
        <v>117</v>
      </c>
      <c r="L1745" s="397">
        <v>0.42549999999999999</v>
      </c>
      <c r="M1745" s="395">
        <v>158</v>
      </c>
      <c r="N1745" s="396">
        <v>-19739</v>
      </c>
      <c r="O1745" s="396">
        <v>5627</v>
      </c>
      <c r="P1745" s="395">
        <v>0.15</v>
      </c>
      <c r="Q1745" s="396">
        <v>-38523</v>
      </c>
      <c r="R1745" s="396">
        <v>20602</v>
      </c>
      <c r="S1745" s="396">
        <v>-110217</v>
      </c>
      <c r="T1745" s="396">
        <v>1529783</v>
      </c>
      <c r="U1745" s="396">
        <v>-6188834</v>
      </c>
      <c r="V1745" s="395">
        <v>10705.36</v>
      </c>
      <c r="W1745" s="395">
        <v>759.54</v>
      </c>
      <c r="X1745" s="395">
        <v>77490</v>
      </c>
      <c r="Y1745" s="395">
        <v>18070.3</v>
      </c>
      <c r="Z1745" s="396">
        <v>-23279682</v>
      </c>
      <c r="AA1745" s="396">
        <v>-5428248</v>
      </c>
      <c r="AB1745" s="396">
        <v>-8887031</v>
      </c>
      <c r="AC1745" s="396">
        <v>10207916</v>
      </c>
    </row>
    <row r="1746" spans="1:29">
      <c r="A1746">
        <v>5474</v>
      </c>
      <c r="B1746" s="395" t="s">
        <v>7845</v>
      </c>
      <c r="C1746" s="395"/>
      <c r="D1746" s="396">
        <v>-5459268</v>
      </c>
      <c r="E1746" s="396">
        <v>311330</v>
      </c>
      <c r="F1746" s="395">
        <v>-0.05</v>
      </c>
      <c r="G1746" s="396">
        <v>-5770598</v>
      </c>
      <c r="H1746" s="396">
        <v>136431</v>
      </c>
      <c r="I1746" s="396">
        <v>26465091</v>
      </c>
      <c r="J1746" s="395">
        <v>250</v>
      </c>
      <c r="K1746" s="395">
        <v>56</v>
      </c>
      <c r="L1746" s="397">
        <v>0.224</v>
      </c>
      <c r="M1746" s="395">
        <v>194</v>
      </c>
      <c r="N1746" s="396">
        <v>-21837</v>
      </c>
      <c r="O1746" s="396">
        <v>5559</v>
      </c>
      <c r="P1746" s="395">
        <v>0.19</v>
      </c>
      <c r="Q1746" s="396">
        <v>-29745</v>
      </c>
      <c r="R1746" s="396">
        <v>14797</v>
      </c>
      <c r="S1746" s="396">
        <v>-131179</v>
      </c>
      <c r="T1746" s="396">
        <v>4697532</v>
      </c>
      <c r="U1746" s="396">
        <v>-6570024</v>
      </c>
      <c r="V1746" s="395">
        <v>24246.959999999999</v>
      </c>
      <c r="W1746" s="395">
        <v>5716.39</v>
      </c>
      <c r="X1746" s="395">
        <v>77490</v>
      </c>
      <c r="Y1746" s="395">
        <v>29595.99</v>
      </c>
      <c r="Z1746" s="396">
        <v>-23417337</v>
      </c>
      <c r="AA1746" s="396">
        <v>-5459268</v>
      </c>
      <c r="AB1746" s="396">
        <v>-17479583</v>
      </c>
      <c r="AC1746" s="396">
        <v>10207916</v>
      </c>
    </row>
    <row r="1747" spans="1:29">
      <c r="A1747">
        <v>1256</v>
      </c>
      <c r="B1747" s="395" t="s">
        <v>6703</v>
      </c>
      <c r="C1747" s="395"/>
      <c r="D1747" s="396">
        <v>-5565204</v>
      </c>
      <c r="E1747" s="396">
        <v>1456570</v>
      </c>
      <c r="F1747" s="395">
        <v>-0.21</v>
      </c>
      <c r="G1747" s="396">
        <v>-7021774</v>
      </c>
      <c r="H1747" s="396">
        <v>318611</v>
      </c>
      <c r="I1747" s="396">
        <v>35710432</v>
      </c>
      <c r="J1747" s="395">
        <v>206</v>
      </c>
      <c r="K1747" s="395">
        <v>97</v>
      </c>
      <c r="L1747" s="397">
        <v>0.47089999999999999</v>
      </c>
      <c r="M1747" s="395">
        <v>109</v>
      </c>
      <c r="N1747" s="396">
        <v>-27016</v>
      </c>
      <c r="O1747" s="396">
        <v>15016</v>
      </c>
      <c r="P1747" s="395">
        <v>0.23</v>
      </c>
      <c r="Q1747" s="396">
        <v>-64420</v>
      </c>
      <c r="R1747" s="396">
        <v>43258</v>
      </c>
      <c r="S1747" s="396">
        <v>-207121</v>
      </c>
      <c r="T1747" s="396">
        <v>1787486</v>
      </c>
      <c r="U1747" s="396">
        <v>-7943024</v>
      </c>
      <c r="V1747" s="395">
        <v>11508.18</v>
      </c>
      <c r="W1747" s="395">
        <v>1493.46</v>
      </c>
      <c r="X1747" s="395">
        <v>77490</v>
      </c>
      <c r="Y1747" s="395">
        <v>20420.37</v>
      </c>
      <c r="Z1747" s="396">
        <v>-5476157</v>
      </c>
      <c r="AA1747" s="396">
        <v>-5565204</v>
      </c>
      <c r="AB1747" s="396">
        <v>1980274</v>
      </c>
      <c r="AC1747" s="396">
        <v>10207916</v>
      </c>
    </row>
    <row r="1748" spans="1:29">
      <c r="A1748">
        <v>2428</v>
      </c>
      <c r="B1748" s="395" t="s">
        <v>7056</v>
      </c>
      <c r="C1748" s="395"/>
      <c r="D1748" s="396">
        <v>-5649741</v>
      </c>
      <c r="E1748" s="396">
        <v>730334</v>
      </c>
      <c r="F1748" s="395">
        <v>-0.11</v>
      </c>
      <c r="G1748" s="396">
        <v>-6380075</v>
      </c>
      <c r="H1748" s="396">
        <v>177512</v>
      </c>
      <c r="I1748" s="396">
        <v>24027985</v>
      </c>
      <c r="J1748" s="395">
        <v>265</v>
      </c>
      <c r="K1748" s="395">
        <v>105</v>
      </c>
      <c r="L1748" s="397">
        <v>0.3962</v>
      </c>
      <c r="M1748" s="395">
        <v>160</v>
      </c>
      <c r="N1748" s="396">
        <v>-21320</v>
      </c>
      <c r="O1748" s="396">
        <v>6956</v>
      </c>
      <c r="P1748" s="395">
        <v>0.17</v>
      </c>
      <c r="Q1748" s="396">
        <v>-39875</v>
      </c>
      <c r="R1748" s="396">
        <v>28877</v>
      </c>
      <c r="S1748" s="396">
        <v>-112838</v>
      </c>
      <c r="T1748" s="396">
        <v>2429841</v>
      </c>
      <c r="U1748" s="396">
        <v>-6503446</v>
      </c>
      <c r="V1748" s="395">
        <v>13005.06</v>
      </c>
      <c r="W1748" s="395">
        <v>1565.1</v>
      </c>
      <c r="X1748" s="395">
        <v>77490</v>
      </c>
      <c r="Y1748" s="395">
        <v>20512.53</v>
      </c>
      <c r="Z1748" s="396">
        <v>-23845598</v>
      </c>
      <c r="AA1748" s="396">
        <v>-5649741</v>
      </c>
      <c r="AB1748" s="396">
        <v>-8959296</v>
      </c>
      <c r="AC1748" s="396">
        <v>10207916</v>
      </c>
    </row>
    <row r="1749" spans="1:29">
      <c r="A1749">
        <v>6230</v>
      </c>
      <c r="B1749" s="395" t="s">
        <v>8016</v>
      </c>
      <c r="C1749" s="395"/>
      <c r="D1749" s="396">
        <v>-5656333</v>
      </c>
      <c r="E1749" s="396">
        <v>681531</v>
      </c>
      <c r="F1749" s="395">
        <v>-0.11</v>
      </c>
      <c r="G1749" s="396">
        <v>-6337864</v>
      </c>
      <c r="H1749" s="396">
        <v>197342</v>
      </c>
      <c r="I1749" s="396">
        <v>25716859</v>
      </c>
      <c r="J1749" s="395">
        <v>273</v>
      </c>
      <c r="K1749" s="395">
        <v>107</v>
      </c>
      <c r="L1749" s="397">
        <v>0.39190000000000003</v>
      </c>
      <c r="M1749" s="395">
        <v>166</v>
      </c>
      <c r="N1749" s="396">
        <v>-20719</v>
      </c>
      <c r="O1749" s="396">
        <v>6369</v>
      </c>
      <c r="P1749" s="395">
        <v>0.17</v>
      </c>
      <c r="Q1749" s="396">
        <v>-38180</v>
      </c>
      <c r="R1749" s="396">
        <v>38723</v>
      </c>
      <c r="S1749" s="396">
        <v>-82560</v>
      </c>
      <c r="T1749" s="396">
        <v>1250170</v>
      </c>
      <c r="U1749" s="396">
        <v>-6290345</v>
      </c>
      <c r="V1749" s="395">
        <v>13273.97</v>
      </c>
      <c r="W1749" s="395">
        <v>1880.27</v>
      </c>
      <c r="X1749" s="395">
        <v>77490</v>
      </c>
      <c r="Y1749" s="395">
        <v>20618.099999999999</v>
      </c>
      <c r="Z1749" s="396">
        <v>-17804728</v>
      </c>
      <c r="AA1749" s="396">
        <v>-5656333</v>
      </c>
      <c r="AB1749" s="396">
        <v>-18880986</v>
      </c>
      <c r="AC1749" s="396">
        <v>10207916</v>
      </c>
    </row>
    <row r="1750" spans="1:29">
      <c r="A1750">
        <v>2439</v>
      </c>
      <c r="B1750" s="395" t="s">
        <v>7064</v>
      </c>
      <c r="C1750" s="395"/>
      <c r="D1750" s="396">
        <v>-6126798</v>
      </c>
      <c r="E1750" s="396">
        <v>10091</v>
      </c>
      <c r="F1750" s="395">
        <v>0</v>
      </c>
      <c r="G1750" s="396">
        <v>-6136889</v>
      </c>
      <c r="H1750" s="396">
        <v>99683</v>
      </c>
      <c r="I1750" s="396">
        <v>27929500</v>
      </c>
      <c r="J1750" s="395">
        <v>261</v>
      </c>
      <c r="K1750" s="395">
        <v>9</v>
      </c>
      <c r="L1750" s="397">
        <v>3.4500000000000003E-2</v>
      </c>
      <c r="M1750" s="395">
        <v>252</v>
      </c>
      <c r="N1750" s="396">
        <v>-23474</v>
      </c>
      <c r="O1750" s="396">
        <v>1121</v>
      </c>
      <c r="P1750" s="395">
        <v>0.05</v>
      </c>
      <c r="Q1750" s="396">
        <v>-24353</v>
      </c>
      <c r="R1750" s="396">
        <v>2880</v>
      </c>
      <c r="S1750" s="396">
        <v>-64643</v>
      </c>
      <c r="T1750" s="396">
        <v>4661446</v>
      </c>
      <c r="U1750" s="396">
        <v>-6455202</v>
      </c>
      <c r="V1750" s="395">
        <v>39442.57</v>
      </c>
      <c r="W1750" s="395">
        <v>22589.439999999999</v>
      </c>
      <c r="X1750" s="395">
        <v>77490</v>
      </c>
      <c r="Y1750" s="395">
        <v>40044.46</v>
      </c>
      <c r="Z1750" s="396">
        <v>-21294261</v>
      </c>
      <c r="AA1750" s="396">
        <v>-6126798</v>
      </c>
      <c r="AB1750" s="396">
        <v>-20865437</v>
      </c>
      <c r="AC1750" s="396">
        <v>10207916</v>
      </c>
    </row>
    <row r="1751" spans="1:29">
      <c r="A1751">
        <v>6781</v>
      </c>
      <c r="B1751" s="395" t="s">
        <v>8214</v>
      </c>
      <c r="C1751" s="395"/>
      <c r="D1751" s="396">
        <v>-6554185</v>
      </c>
      <c r="E1751" s="396">
        <v>5461236</v>
      </c>
      <c r="F1751" s="395">
        <v>-0.45</v>
      </c>
      <c r="G1751" s="396">
        <v>-12015420</v>
      </c>
      <c r="H1751" s="396">
        <v>992423</v>
      </c>
      <c r="I1751" s="396">
        <v>59659348</v>
      </c>
      <c r="J1751" s="395">
        <v>238</v>
      </c>
      <c r="K1751" s="395">
        <v>164</v>
      </c>
      <c r="L1751" s="397">
        <v>0.68910000000000005</v>
      </c>
      <c r="M1751" s="395">
        <v>74</v>
      </c>
      <c r="N1751" s="396">
        <v>-27539</v>
      </c>
      <c r="O1751" s="396">
        <v>33300</v>
      </c>
      <c r="P1751" s="395">
        <v>0.21</v>
      </c>
      <c r="Q1751" s="396">
        <v>-162371</v>
      </c>
      <c r="R1751" s="396">
        <v>98770</v>
      </c>
      <c r="S1751" s="396">
        <v>-716500</v>
      </c>
      <c r="T1751" s="396">
        <v>5508220</v>
      </c>
      <c r="U1751" s="396">
        <v>-11685620</v>
      </c>
      <c r="V1751" s="395">
        <v>2427.3200000000002</v>
      </c>
      <c r="W1751" s="395">
        <v>1086.28</v>
      </c>
      <c r="X1751" s="395">
        <v>64800</v>
      </c>
      <c r="Y1751" s="395">
        <v>5399.36</v>
      </c>
      <c r="Z1751" s="396">
        <v>6401529</v>
      </c>
      <c r="AA1751" s="396">
        <v>-6554185</v>
      </c>
      <c r="AB1751" s="396">
        <v>118633729</v>
      </c>
      <c r="AC1751" s="396">
        <v>10207916</v>
      </c>
    </row>
    <row r="1752" spans="1:29">
      <c r="A1752">
        <v>2049</v>
      </c>
      <c r="B1752" s="395" t="s">
        <v>6931</v>
      </c>
      <c r="C1752" s="395"/>
      <c r="D1752" s="396">
        <v>-8277668</v>
      </c>
      <c r="E1752" s="396">
        <v>1363832</v>
      </c>
      <c r="F1752" s="395">
        <v>-0.14000000000000001</v>
      </c>
      <c r="G1752" s="396">
        <v>-9641500</v>
      </c>
      <c r="H1752" s="396">
        <v>377227</v>
      </c>
      <c r="I1752" s="396">
        <v>52689154</v>
      </c>
      <c r="J1752" s="395">
        <v>283</v>
      </c>
      <c r="K1752" s="395">
        <v>99</v>
      </c>
      <c r="L1752" s="397">
        <v>0.3498</v>
      </c>
      <c r="M1752" s="395">
        <v>184</v>
      </c>
      <c r="N1752" s="396">
        <v>-29250</v>
      </c>
      <c r="O1752" s="396">
        <v>13776</v>
      </c>
      <c r="P1752" s="395">
        <v>0.26</v>
      </c>
      <c r="Q1752" s="396">
        <v>-52399</v>
      </c>
      <c r="R1752" s="396">
        <v>53650</v>
      </c>
      <c r="S1752" s="396">
        <v>-141254</v>
      </c>
      <c r="T1752" s="396">
        <v>3750014</v>
      </c>
      <c r="U1752" s="396">
        <v>-12465720</v>
      </c>
      <c r="V1752" s="395">
        <v>15013.13</v>
      </c>
      <c r="W1752" s="395">
        <v>1121.8599999999999</v>
      </c>
      <c r="X1752" s="395">
        <v>77490</v>
      </c>
      <c r="Y1752" s="395">
        <v>22487.23</v>
      </c>
      <c r="Z1752" s="396">
        <v>-20164543</v>
      </c>
      <c r="AA1752" s="396">
        <v>-8277668</v>
      </c>
      <c r="AB1752" s="396">
        <v>-15810578</v>
      </c>
      <c r="AC1752" s="396">
        <v>10207916</v>
      </c>
    </row>
    <row r="1753" spans="1:29">
      <c r="A1753">
        <v>6712</v>
      </c>
      <c r="B1753" s="395" t="s">
        <v>8192</v>
      </c>
      <c r="C1753" s="395"/>
      <c r="D1753" s="396">
        <v>-8788029</v>
      </c>
      <c r="E1753" s="396">
        <v>981238</v>
      </c>
      <c r="F1753" s="395">
        <v>-0.1</v>
      </c>
      <c r="G1753" s="396">
        <v>-9769267</v>
      </c>
      <c r="H1753" s="396">
        <v>236529</v>
      </c>
      <c r="I1753" s="396">
        <v>36703227</v>
      </c>
      <c r="J1753" s="395">
        <v>220</v>
      </c>
      <c r="K1753" s="395">
        <v>60</v>
      </c>
      <c r="L1753" s="397">
        <v>0.2727</v>
      </c>
      <c r="M1753" s="395">
        <v>160</v>
      </c>
      <c r="N1753" s="396">
        <v>-39946</v>
      </c>
      <c r="O1753" s="396">
        <v>16354</v>
      </c>
      <c r="P1753" s="395">
        <v>0.27</v>
      </c>
      <c r="Q1753" s="396">
        <v>-61058</v>
      </c>
      <c r="R1753" s="396">
        <v>90913</v>
      </c>
      <c r="S1753" s="396">
        <v>-286328</v>
      </c>
      <c r="T1753" s="396">
        <v>4417883</v>
      </c>
      <c r="U1753" s="396">
        <v>-9492354</v>
      </c>
      <c r="V1753" s="395">
        <v>15616.9</v>
      </c>
      <c r="W1753" s="395">
        <v>929.88</v>
      </c>
      <c r="X1753" s="395">
        <v>76410</v>
      </c>
      <c r="Y1753" s="395">
        <v>21124.54</v>
      </c>
      <c r="Z1753" s="396">
        <v>-23790386</v>
      </c>
      <c r="AA1753" s="396">
        <v>-8788029</v>
      </c>
      <c r="AB1753" s="396">
        <v>7036254</v>
      </c>
      <c r="AC1753" s="396">
        <v>10207916</v>
      </c>
    </row>
    <row r="1754" spans="1:29">
      <c r="A1754">
        <v>5904</v>
      </c>
      <c r="B1754" s="395" t="s">
        <v>7896</v>
      </c>
      <c r="C1754" s="395"/>
      <c r="D1754" s="396">
        <v>-9476363</v>
      </c>
      <c r="E1754" s="396">
        <v>2281414</v>
      </c>
      <c r="F1754" s="395">
        <v>-0.19</v>
      </c>
      <c r="G1754" s="396">
        <v>-11757777</v>
      </c>
      <c r="H1754" s="396">
        <v>536483</v>
      </c>
      <c r="I1754" s="396">
        <v>58929496</v>
      </c>
      <c r="J1754" s="395">
        <v>263</v>
      </c>
      <c r="K1754" s="395">
        <v>114</v>
      </c>
      <c r="L1754" s="397">
        <v>0.4335</v>
      </c>
      <c r="M1754" s="395">
        <v>149</v>
      </c>
      <c r="N1754" s="396">
        <v>-36032</v>
      </c>
      <c r="O1754" s="396">
        <v>20012</v>
      </c>
      <c r="P1754" s="395">
        <v>0.25</v>
      </c>
      <c r="Q1754" s="396">
        <v>-78911</v>
      </c>
      <c r="R1754" s="396">
        <v>60814</v>
      </c>
      <c r="S1754" s="396">
        <v>-179843</v>
      </c>
      <c r="T1754" s="396">
        <v>4472176</v>
      </c>
      <c r="U1754" s="396">
        <v>-12744416</v>
      </c>
      <c r="V1754" s="395">
        <v>12701.09</v>
      </c>
      <c r="W1754" s="395">
        <v>5094.7299999999996</v>
      </c>
      <c r="X1754" s="395">
        <v>77490</v>
      </c>
      <c r="Y1754" s="395">
        <v>18520.72</v>
      </c>
      <c r="Z1754" s="396">
        <v>-18302909</v>
      </c>
      <c r="AA1754" s="396">
        <v>-9476363</v>
      </c>
      <c r="AB1754" s="396">
        <v>-14567604</v>
      </c>
      <c r="AC1754" s="396">
        <v>10207916</v>
      </c>
    </row>
    <row r="1755" spans="1:29">
      <c r="A1755">
        <v>6732</v>
      </c>
      <c r="B1755" s="395" t="s">
        <v>8198</v>
      </c>
      <c r="C1755" s="395"/>
      <c r="D1755" s="396">
        <v>-10390740</v>
      </c>
      <c r="E1755" s="396">
        <v>4039369</v>
      </c>
      <c r="F1755" s="395">
        <v>-0.28000000000000003</v>
      </c>
      <c r="G1755" s="396">
        <v>-14430109</v>
      </c>
      <c r="H1755" s="396">
        <v>685756</v>
      </c>
      <c r="I1755" s="396">
        <v>60563356</v>
      </c>
      <c r="J1755" s="395">
        <v>278</v>
      </c>
      <c r="K1755" s="395">
        <v>125</v>
      </c>
      <c r="L1755" s="397">
        <v>0.4496</v>
      </c>
      <c r="M1755" s="395">
        <v>153</v>
      </c>
      <c r="N1755" s="396">
        <v>-37377</v>
      </c>
      <c r="O1755" s="396">
        <v>32315</v>
      </c>
      <c r="P1755" s="395">
        <v>0.34</v>
      </c>
      <c r="Q1755" s="396">
        <v>-94314</v>
      </c>
      <c r="R1755" s="396">
        <v>127620</v>
      </c>
      <c r="S1755" s="396">
        <v>-370416</v>
      </c>
      <c r="T1755" s="396">
        <v>4602244</v>
      </c>
      <c r="U1755" s="396">
        <v>-16379725</v>
      </c>
      <c r="V1755" s="395">
        <v>8732.42</v>
      </c>
      <c r="W1755" s="395">
        <v>1638.22</v>
      </c>
      <c r="X1755" s="395">
        <v>77490</v>
      </c>
      <c r="Y1755" s="395">
        <v>14528.34</v>
      </c>
      <c r="Z1755" s="396">
        <v>-28024744</v>
      </c>
      <c r="AA1755" s="396">
        <v>-10390740</v>
      </c>
      <c r="AB1755" s="396">
        <v>-18362281</v>
      </c>
      <c r="AC1755" s="396">
        <v>10207916</v>
      </c>
    </row>
    <row r="1756" spans="1:29">
      <c r="A1756">
        <v>6415</v>
      </c>
      <c r="B1756" s="395" t="s">
        <v>8068</v>
      </c>
      <c r="C1756" s="395"/>
      <c r="D1756" s="396">
        <v>-15615260</v>
      </c>
      <c r="E1756" s="396">
        <v>26571630</v>
      </c>
      <c r="F1756" s="395">
        <v>-0.63</v>
      </c>
      <c r="G1756" s="396">
        <v>-42186890</v>
      </c>
      <c r="H1756" s="396">
        <v>4145260</v>
      </c>
      <c r="I1756" s="396">
        <v>147242270</v>
      </c>
      <c r="J1756" s="395">
        <v>287</v>
      </c>
      <c r="K1756" s="395">
        <v>203</v>
      </c>
      <c r="L1756" s="397">
        <v>0.70730000000000004</v>
      </c>
      <c r="M1756" s="395">
        <v>84</v>
      </c>
      <c r="N1756" s="396">
        <v>-54409</v>
      </c>
      <c r="O1756" s="396">
        <v>130895</v>
      </c>
      <c r="P1756" s="395">
        <v>0.26</v>
      </c>
      <c r="Q1756" s="396">
        <v>-502225</v>
      </c>
      <c r="R1756" s="396">
        <v>456790</v>
      </c>
      <c r="S1756" s="396">
        <v>-2131530</v>
      </c>
      <c r="T1756" s="396">
        <v>28079010</v>
      </c>
      <c r="U1756" s="396">
        <v>-35142990</v>
      </c>
      <c r="V1756" s="395">
        <v>2141.1999999999998</v>
      </c>
      <c r="W1756" s="395">
        <v>1023.99</v>
      </c>
      <c r="X1756" s="395">
        <v>77490</v>
      </c>
      <c r="Y1756" s="395">
        <v>4841.1099999999997</v>
      </c>
      <c r="Z1756" s="396">
        <v>-11262502</v>
      </c>
      <c r="AA1756" s="396">
        <v>-15615260</v>
      </c>
      <c r="AB1756" s="396">
        <v>14128834</v>
      </c>
      <c r="AC1756" s="396">
        <v>10207916</v>
      </c>
    </row>
    <row r="1757" spans="1:29">
      <c r="A1757">
        <v>4968</v>
      </c>
      <c r="B1757" s="395" t="s">
        <v>7737</v>
      </c>
      <c r="C1757" s="395"/>
      <c r="D1757" s="396">
        <v>-18489198</v>
      </c>
      <c r="E1757" s="396">
        <v>2005213</v>
      </c>
      <c r="F1757" s="395">
        <v>-0.1</v>
      </c>
      <c r="G1757" s="396">
        <v>-20494411</v>
      </c>
      <c r="H1757" s="396">
        <v>405880</v>
      </c>
      <c r="I1757" s="396">
        <v>57124482</v>
      </c>
      <c r="J1757" s="395">
        <v>276</v>
      </c>
      <c r="K1757" s="395">
        <v>78</v>
      </c>
      <c r="L1757" s="397">
        <v>0.28260000000000002</v>
      </c>
      <c r="M1757" s="395">
        <v>198</v>
      </c>
      <c r="N1757" s="396">
        <v>-66990</v>
      </c>
      <c r="O1757" s="396">
        <v>25708</v>
      </c>
      <c r="P1757" s="395">
        <v>0.25</v>
      </c>
      <c r="Q1757" s="396">
        <v>-103507</v>
      </c>
      <c r="R1757" s="396">
        <v>97138</v>
      </c>
      <c r="S1757" s="396">
        <v>-278722</v>
      </c>
      <c r="T1757" s="396">
        <v>15908037</v>
      </c>
      <c r="U1757" s="396">
        <v>-26911670</v>
      </c>
      <c r="V1757" s="395">
        <v>17103.419999999998</v>
      </c>
      <c r="W1757" s="395">
        <v>851.32</v>
      </c>
      <c r="X1757" s="395">
        <v>77490</v>
      </c>
      <c r="Y1757" s="395">
        <v>23505.77</v>
      </c>
      <c r="Z1757" s="396">
        <v>-21177394</v>
      </c>
      <c r="AA1757" s="396">
        <v>-18489198</v>
      </c>
      <c r="AB1757" s="396">
        <v>-16973930</v>
      </c>
      <c r="AC1757" s="396">
        <v>10207916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5"/>
  <dimension ref="A1:CN169"/>
  <sheetViews>
    <sheetView workbookViewId="0">
      <selection activeCell="E31" sqref="E31"/>
    </sheetView>
  </sheetViews>
  <sheetFormatPr defaultColWidth="9.140625" defaultRowHeight="16.5"/>
  <cols>
    <col min="1" max="2" width="15.7109375" style="211" customWidth="1"/>
    <col min="3" max="3" width="16.7109375" style="211" customWidth="1"/>
    <col min="4" max="5" width="15.7109375" style="211" customWidth="1"/>
    <col min="6" max="6" width="15.7109375" style="263" customWidth="1"/>
    <col min="7" max="7" width="5.42578125" style="263" customWidth="1"/>
    <col min="8" max="8" width="11.7109375" style="263" customWidth="1"/>
    <col min="9" max="10" width="12.7109375" style="263" customWidth="1"/>
    <col min="11" max="11" width="10.7109375" style="263" customWidth="1"/>
    <col min="12" max="14" width="10.7109375" style="7" customWidth="1"/>
    <col min="15" max="15" width="12.7109375" style="263" customWidth="1"/>
    <col min="16" max="16" width="12.7109375" style="24" customWidth="1"/>
    <col min="17" max="17" width="12.7109375" style="7" customWidth="1"/>
    <col min="18" max="18" width="10.7109375" style="7" customWidth="1"/>
    <col min="19" max="19" width="9.7109375" style="7" customWidth="1"/>
    <col min="20" max="20" width="9.7109375" style="219" customWidth="1"/>
    <col min="21" max="21" width="10.7109375" style="66" customWidth="1"/>
    <col min="22" max="22" width="9.7109375" style="7" customWidth="1"/>
    <col min="23" max="24" width="7.7109375" style="7" customWidth="1"/>
    <col min="25" max="35" width="9.140625" style="7"/>
    <col min="36" max="36" width="5.7109375" style="7" customWidth="1"/>
    <col min="37" max="37" width="20.7109375" style="7" customWidth="1"/>
    <col min="38" max="38" width="6.7109375" style="7" customWidth="1"/>
    <col min="39" max="39" width="10.7109375" style="7" customWidth="1"/>
    <col min="40" max="40" width="9.140625" style="7"/>
    <col min="41" max="41" width="12.7109375" style="7" customWidth="1"/>
    <col min="42" max="43" width="10.7109375" style="7" customWidth="1"/>
    <col min="44" max="44" width="5.7109375" style="7" customWidth="1"/>
    <col min="45" max="45" width="35.7109375" style="7" customWidth="1"/>
    <col min="46" max="46" width="5.7109375" style="7" customWidth="1"/>
    <col min="47" max="47" width="10.7109375" style="7" customWidth="1"/>
    <col min="48" max="48" width="35.7109375" style="7" customWidth="1"/>
    <col min="49" max="50" width="5.7109375" style="211" customWidth="1"/>
    <col min="51" max="51" width="10.7109375" style="7" customWidth="1"/>
    <col min="52" max="52" width="35.7109375" style="7" customWidth="1"/>
    <col min="53" max="54" width="5.7109375" style="211" customWidth="1"/>
    <col min="55" max="55" width="9.140625" style="7"/>
    <col min="56" max="56" width="15.7109375" style="7" customWidth="1"/>
    <col min="57" max="64" width="9.140625" style="7"/>
    <col min="65" max="65" width="15.140625" style="7" customWidth="1"/>
    <col min="66" max="66" width="50.7109375" style="7" customWidth="1"/>
    <col min="67" max="67" width="15.7109375" style="7" customWidth="1"/>
    <col min="68" max="68" width="30.7109375" style="7" customWidth="1"/>
    <col min="69" max="69" width="20.7109375" style="7" customWidth="1"/>
    <col min="70" max="71" width="9.140625" style="7"/>
    <col min="72" max="72" width="12.7109375" style="22" customWidth="1"/>
    <col min="73" max="73" width="5.7109375" style="9" customWidth="1"/>
    <col min="74" max="74" width="6.7109375" style="20" customWidth="1"/>
    <col min="75" max="75" width="5.7109375" style="30" customWidth="1"/>
    <col min="76" max="76" width="5.7109375" style="50" customWidth="1"/>
    <col min="77" max="78" width="6.7109375" style="1" customWidth="1"/>
    <col min="79" max="79" width="5.7109375" style="30" customWidth="1"/>
    <col min="80" max="80" width="5.7109375" style="50" customWidth="1"/>
    <col min="81" max="82" width="5.7109375" style="1" customWidth="1"/>
    <col min="83" max="16384" width="9.140625" style="264"/>
  </cols>
  <sheetData>
    <row r="1" spans="1:92">
      <c r="A1" s="8" t="s">
        <v>3589</v>
      </c>
      <c r="B1" s="214" t="s">
        <v>1141</v>
      </c>
      <c r="C1" s="111">
        <v>54193806</v>
      </c>
      <c r="D1" s="235">
        <v>54186755</v>
      </c>
      <c r="G1" s="26"/>
      <c r="H1" s="1" t="s">
        <v>1474</v>
      </c>
      <c r="I1" s="30" t="s">
        <v>1475</v>
      </c>
      <c r="J1" s="8" t="s">
        <v>1476</v>
      </c>
      <c r="K1" s="30" t="s">
        <v>1478</v>
      </c>
      <c r="L1" s="8" t="s">
        <v>3</v>
      </c>
      <c r="M1" s="50" t="s">
        <v>3311</v>
      </c>
      <c r="N1" s="17" t="s">
        <v>3312</v>
      </c>
      <c r="O1" s="30" t="s">
        <v>3561</v>
      </c>
      <c r="P1" s="24" t="s">
        <v>3458</v>
      </c>
      <c r="V1" s="8"/>
      <c r="W1" s="125" t="s">
        <v>1910</v>
      </c>
      <c r="X1" s="125"/>
      <c r="Y1" s="125"/>
      <c r="Z1" s="109"/>
      <c r="AA1" s="7" t="s">
        <v>1165</v>
      </c>
      <c r="AK1" s="9" t="s">
        <v>1187</v>
      </c>
      <c r="AL1" s="7" t="s">
        <v>1183</v>
      </c>
      <c r="AM1" s="7" t="s">
        <v>1182</v>
      </c>
      <c r="AN1" s="7" t="s">
        <v>1189</v>
      </c>
      <c r="AO1" s="7" t="s">
        <v>1193</v>
      </c>
      <c r="AP1" s="7" t="s">
        <v>1202</v>
      </c>
      <c r="AQ1" s="7" t="s">
        <v>1205</v>
      </c>
      <c r="AS1" s="9" t="s">
        <v>1222</v>
      </c>
      <c r="AU1" s="211" t="s">
        <v>1249</v>
      </c>
      <c r="AV1" s="211" t="s">
        <v>1252</v>
      </c>
      <c r="AW1" s="211" t="s">
        <v>1253</v>
      </c>
      <c r="AY1" s="211" t="s">
        <v>1249</v>
      </c>
      <c r="AZ1" s="211" t="s">
        <v>1162</v>
      </c>
      <c r="BA1" s="211" t="s">
        <v>1253</v>
      </c>
      <c r="BD1" s="8" t="s">
        <v>1279</v>
      </c>
      <c r="BE1" s="7" t="s">
        <v>1304</v>
      </c>
      <c r="BN1" s="8" t="s">
        <v>1317</v>
      </c>
      <c r="BO1" s="8" t="s">
        <v>1334</v>
      </c>
      <c r="BP1" s="30" t="s">
        <v>1330</v>
      </c>
      <c r="BQ1" s="30" t="s">
        <v>1353</v>
      </c>
    </row>
    <row r="2" spans="1:92">
      <c r="A2" s="50" t="s">
        <v>3590</v>
      </c>
      <c r="B2" s="214" t="s">
        <v>1990</v>
      </c>
      <c r="C2" s="111" t="s">
        <v>3504</v>
      </c>
      <c r="D2" s="235">
        <v>54186755</v>
      </c>
      <c r="G2" s="261"/>
      <c r="H2" s="1"/>
      <c r="I2" s="30"/>
      <c r="J2" s="8"/>
      <c r="K2" s="30"/>
      <c r="L2" s="8"/>
      <c r="M2" s="50"/>
      <c r="N2" s="17"/>
      <c r="O2" s="30"/>
      <c r="P2" s="24" t="s">
        <v>3459</v>
      </c>
      <c r="V2" s="152"/>
      <c r="W2" s="41" t="s">
        <v>1911</v>
      </c>
      <c r="X2" s="27" t="s">
        <v>1912</v>
      </c>
      <c r="Y2" s="125" t="s">
        <v>1913</v>
      </c>
      <c r="Z2" s="56"/>
      <c r="AA2" s="7" t="s">
        <v>1166</v>
      </c>
      <c r="AB2" s="7" t="s">
        <v>1167</v>
      </c>
      <c r="AK2" s="280" t="s">
        <v>1210</v>
      </c>
      <c r="AL2" s="7" t="s">
        <v>1183</v>
      </c>
      <c r="AM2" s="7" t="s">
        <v>1211</v>
      </c>
      <c r="AS2" s="280" t="s">
        <v>1228</v>
      </c>
      <c r="AU2" s="7" t="s">
        <v>1255</v>
      </c>
      <c r="AV2" s="7" t="s">
        <v>1259</v>
      </c>
      <c r="AY2" s="7" t="s">
        <v>1250</v>
      </c>
      <c r="AZ2" s="7" t="s">
        <v>1269</v>
      </c>
      <c r="BA2" s="211">
        <v>5</v>
      </c>
      <c r="BD2" s="7" t="s">
        <v>1278</v>
      </c>
      <c r="BE2" s="7" t="s">
        <v>1285</v>
      </c>
      <c r="BN2" s="7" t="s">
        <v>1307</v>
      </c>
      <c r="BO2" s="7" t="s">
        <v>1335</v>
      </c>
      <c r="BP2" s="7" t="s">
        <v>1336</v>
      </c>
      <c r="BQ2" s="7" t="s">
        <v>1354</v>
      </c>
    </row>
    <row r="3" spans="1:92">
      <c r="E3" s="1"/>
      <c r="H3" s="1"/>
      <c r="I3" s="30"/>
      <c r="J3" s="8"/>
      <c r="K3" s="30"/>
      <c r="L3" s="8"/>
      <c r="M3" s="50"/>
      <c r="N3" s="17"/>
      <c r="O3" s="30"/>
      <c r="P3" s="24" t="s">
        <v>3460</v>
      </c>
      <c r="V3" s="152"/>
      <c r="W3" s="41"/>
      <c r="X3" s="27" t="s">
        <v>1914</v>
      </c>
      <c r="Y3" s="125" t="s">
        <v>1915</v>
      </c>
      <c r="Z3" s="56"/>
      <c r="AA3" s="7" t="s">
        <v>1168</v>
      </c>
      <c r="AB3" s="7" t="s">
        <v>1169</v>
      </c>
      <c r="AK3" s="280" t="s">
        <v>1190</v>
      </c>
      <c r="AL3" s="7" t="s">
        <v>1183</v>
      </c>
      <c r="AN3" s="7" t="s">
        <v>1189</v>
      </c>
      <c r="AS3" s="280" t="s">
        <v>1237</v>
      </c>
      <c r="AV3" s="7" t="s">
        <v>1217</v>
      </c>
      <c r="AW3" s="211">
        <v>4</v>
      </c>
      <c r="AZ3" s="7" t="s">
        <v>1251</v>
      </c>
      <c r="BA3" s="211">
        <v>3</v>
      </c>
      <c r="BD3" s="7" t="s">
        <v>1280</v>
      </c>
      <c r="BE3" s="7" t="s">
        <v>1286</v>
      </c>
      <c r="BN3" s="7" t="s">
        <v>1306</v>
      </c>
      <c r="BO3" s="7" t="s">
        <v>1337</v>
      </c>
      <c r="BP3" s="7" t="s">
        <v>1338</v>
      </c>
      <c r="BQ3" s="7" t="s">
        <v>1355</v>
      </c>
    </row>
    <row r="4" spans="1:92">
      <c r="A4" s="8" t="s">
        <v>3304</v>
      </c>
      <c r="B4" s="212" t="s">
        <v>855</v>
      </c>
      <c r="C4" s="87"/>
      <c r="D4" s="8" t="s">
        <v>3304</v>
      </c>
      <c r="E4" s="87"/>
      <c r="H4" s="1"/>
      <c r="I4" s="30"/>
      <c r="J4" s="8"/>
      <c r="K4" s="30"/>
      <c r="L4" s="8"/>
      <c r="M4" s="50"/>
      <c r="N4" s="17"/>
      <c r="O4" s="30"/>
      <c r="V4" s="8"/>
      <c r="W4" s="41"/>
      <c r="X4" s="27" t="s">
        <v>1917</v>
      </c>
      <c r="Y4" s="46" t="s">
        <v>1916</v>
      </c>
      <c r="Z4" s="56"/>
      <c r="AA4" s="7" t="s">
        <v>1171</v>
      </c>
      <c r="AK4" s="280" t="s">
        <v>1221</v>
      </c>
      <c r="AM4" s="7" t="s">
        <v>1183</v>
      </c>
      <c r="AO4" s="7" t="s">
        <v>1195</v>
      </c>
      <c r="AS4" s="280" t="s">
        <v>1225</v>
      </c>
      <c r="AV4" s="7" t="s">
        <v>1256</v>
      </c>
      <c r="AW4" s="211">
        <v>1</v>
      </c>
      <c r="AZ4" s="7" t="s">
        <v>1254</v>
      </c>
      <c r="BA4" s="211">
        <v>2</v>
      </c>
      <c r="BD4" s="7" t="s">
        <v>1281</v>
      </c>
      <c r="BE4" s="7" t="s">
        <v>1302</v>
      </c>
      <c r="BN4" s="7" t="s">
        <v>1305</v>
      </c>
      <c r="BO4" s="7" t="s">
        <v>1339</v>
      </c>
      <c r="BP4" s="7" t="s">
        <v>1340</v>
      </c>
      <c r="BQ4" s="7" t="s">
        <v>1356</v>
      </c>
    </row>
    <row r="5" spans="1:92">
      <c r="A5" s="30" t="s">
        <v>848</v>
      </c>
      <c r="B5" s="296" t="s">
        <v>5081</v>
      </c>
      <c r="C5" s="87"/>
      <c r="D5" s="150" t="s">
        <v>3321</v>
      </c>
      <c r="E5" s="87"/>
      <c r="F5" s="87"/>
      <c r="G5" s="87"/>
      <c r="H5" s="1"/>
      <c r="I5" s="30"/>
      <c r="J5" s="8"/>
      <c r="K5" s="30"/>
      <c r="L5" s="8"/>
      <c r="M5" s="50"/>
      <c r="N5" s="17"/>
      <c r="O5" s="30"/>
      <c r="P5" s="26" t="s">
        <v>1508</v>
      </c>
      <c r="Q5" s="69" t="s">
        <v>3450</v>
      </c>
      <c r="R5" s="211"/>
      <c r="V5" s="105"/>
      <c r="W5" s="19" t="s">
        <v>1918</v>
      </c>
      <c r="X5" s="26" t="s">
        <v>1919</v>
      </c>
      <c r="Y5" s="117" t="s">
        <v>1924</v>
      </c>
      <c r="Z5" s="56"/>
      <c r="AA5" s="7" t="s">
        <v>1171</v>
      </c>
      <c r="AK5" s="280" t="s">
        <v>1217</v>
      </c>
      <c r="AQ5" s="7" t="s">
        <v>1216</v>
      </c>
      <c r="AS5" s="280" t="s">
        <v>1233</v>
      </c>
      <c r="AV5" s="7" t="s">
        <v>1257</v>
      </c>
      <c r="AW5" s="211">
        <v>1</v>
      </c>
      <c r="BD5" s="7" t="s">
        <v>1282</v>
      </c>
      <c r="BE5" s="7" t="s">
        <v>1303</v>
      </c>
      <c r="BN5" s="7" t="s">
        <v>1308</v>
      </c>
      <c r="BO5" s="7" t="s">
        <v>1341</v>
      </c>
      <c r="BP5" s="7" t="s">
        <v>1342</v>
      </c>
      <c r="BQ5" s="7" t="s">
        <v>1357</v>
      </c>
    </row>
    <row r="6" spans="1:92">
      <c r="A6" s="279" t="s">
        <v>3755</v>
      </c>
      <c r="B6" s="357" t="s">
        <v>5082</v>
      </c>
      <c r="C6" s="264"/>
      <c r="D6" s="150" t="s">
        <v>3306</v>
      </c>
      <c r="E6" s="87"/>
      <c r="H6" s="1"/>
      <c r="I6" s="30"/>
      <c r="J6" s="8"/>
      <c r="K6" s="30"/>
      <c r="L6" s="8"/>
      <c r="M6" s="50"/>
      <c r="N6" s="17"/>
      <c r="O6" s="30"/>
      <c r="P6" s="211"/>
      <c r="Q6" s="2" t="s">
        <v>3451</v>
      </c>
      <c r="R6" s="211"/>
      <c r="V6" s="105"/>
      <c r="W6" s="19"/>
      <c r="X6" s="26" t="s">
        <v>1920</v>
      </c>
      <c r="Y6" s="117" t="s">
        <v>1929</v>
      </c>
      <c r="Z6" s="56"/>
      <c r="AA6" s="7" t="s">
        <v>1173</v>
      </c>
      <c r="AK6" s="280" t="s">
        <v>1200</v>
      </c>
      <c r="AL6" s="7" t="s">
        <v>1183</v>
      </c>
      <c r="AN6" s="7" t="s">
        <v>1189</v>
      </c>
      <c r="AO6" s="7" t="s">
        <v>1201</v>
      </c>
      <c r="AP6" s="7" t="s">
        <v>1203</v>
      </c>
      <c r="AQ6" s="7" t="s">
        <v>1204</v>
      </c>
      <c r="AS6" s="7" t="s">
        <v>1230</v>
      </c>
      <c r="AV6" s="7" t="s">
        <v>1209</v>
      </c>
      <c r="AW6" s="211">
        <v>1</v>
      </c>
      <c r="AY6" s="7" t="s">
        <v>1273</v>
      </c>
      <c r="AZ6" s="7" t="s">
        <v>1262</v>
      </c>
      <c r="BA6" s="211">
        <v>12</v>
      </c>
      <c r="BD6" s="7" t="s">
        <v>1283</v>
      </c>
      <c r="BE6" s="7" t="s">
        <v>1313</v>
      </c>
      <c r="BN6" s="7" t="s">
        <v>1309</v>
      </c>
      <c r="BO6" s="7" t="s">
        <v>1343</v>
      </c>
      <c r="BP6" s="7" t="s">
        <v>1344</v>
      </c>
      <c r="BQ6" s="7" t="s">
        <v>1358</v>
      </c>
    </row>
    <row r="7" spans="1:92">
      <c r="A7" s="50" t="s">
        <v>274</v>
      </c>
      <c r="B7" s="146" t="s">
        <v>5062</v>
      </c>
      <c r="C7" s="87"/>
      <c r="D7" s="150" t="s">
        <v>3305</v>
      </c>
      <c r="E7" s="87"/>
      <c r="H7" s="1"/>
      <c r="I7" s="30"/>
      <c r="J7" s="8"/>
      <c r="K7" s="30"/>
      <c r="L7" s="8"/>
      <c r="M7" s="50"/>
      <c r="N7" s="17"/>
      <c r="O7" s="30"/>
      <c r="P7" s="211"/>
      <c r="Q7" s="2" t="s">
        <v>3452</v>
      </c>
      <c r="R7" s="211"/>
      <c r="V7" s="105"/>
      <c r="W7" s="19"/>
      <c r="X7" s="26" t="s">
        <v>1921</v>
      </c>
      <c r="Y7" s="117" t="s">
        <v>1925</v>
      </c>
      <c r="Z7" s="56"/>
      <c r="AK7" s="280" t="s">
        <v>1185</v>
      </c>
      <c r="AL7" s="7" t="s">
        <v>1183</v>
      </c>
      <c r="AM7" s="7" t="s">
        <v>1182</v>
      </c>
      <c r="AN7" s="7" t="s">
        <v>1189</v>
      </c>
      <c r="AO7" s="7" t="s">
        <v>1195</v>
      </c>
      <c r="AS7" s="7" t="s">
        <v>1235</v>
      </c>
      <c r="AV7" s="7" t="s">
        <v>1270</v>
      </c>
      <c r="AW7" s="211">
        <v>1</v>
      </c>
      <c r="AY7" s="7" t="s">
        <v>1267</v>
      </c>
      <c r="AZ7" s="7" t="s">
        <v>1260</v>
      </c>
      <c r="BA7" s="211">
        <v>1</v>
      </c>
      <c r="BD7" s="7" t="s">
        <v>1284</v>
      </c>
      <c r="BE7" s="7" t="s">
        <v>1314</v>
      </c>
      <c r="BN7" s="7" t="s">
        <v>1310</v>
      </c>
      <c r="BO7" s="7" t="s">
        <v>1331</v>
      </c>
      <c r="BP7" s="7" t="s">
        <v>1345</v>
      </c>
      <c r="BQ7" s="7" t="s">
        <v>1359</v>
      </c>
    </row>
    <row r="8" spans="1:92">
      <c r="A8" s="8" t="s">
        <v>847</v>
      </c>
      <c r="B8" s="212" t="s">
        <v>854</v>
      </c>
      <c r="C8" s="87"/>
      <c r="D8" s="150" t="s">
        <v>850</v>
      </c>
      <c r="E8" s="87"/>
      <c r="H8" s="1"/>
      <c r="I8" s="30"/>
      <c r="J8" s="8"/>
      <c r="K8" s="30"/>
      <c r="L8" s="8"/>
      <c r="M8" s="50"/>
      <c r="N8" s="17"/>
      <c r="O8" s="30"/>
      <c r="P8" s="211"/>
      <c r="Q8" s="2" t="s">
        <v>3453</v>
      </c>
      <c r="R8" s="211"/>
      <c r="V8" s="105"/>
      <c r="W8" s="19"/>
      <c r="X8" s="26"/>
      <c r="Y8" s="117"/>
      <c r="Z8" s="56"/>
      <c r="AK8" s="280"/>
    </row>
    <row r="9" spans="1:92">
      <c r="A9" s="281"/>
      <c r="B9" s="214" t="s">
        <v>3322</v>
      </c>
      <c r="C9" s="284"/>
      <c r="D9" s="42" t="s">
        <v>2105</v>
      </c>
      <c r="E9" s="87"/>
      <c r="H9" s="1"/>
      <c r="I9" s="30"/>
      <c r="J9" s="8"/>
      <c r="K9" s="30"/>
      <c r="L9" s="8"/>
      <c r="M9" s="50"/>
      <c r="N9" s="17"/>
      <c r="O9" s="30"/>
      <c r="P9" s="211"/>
      <c r="Q9" s="2" t="s">
        <v>3454</v>
      </c>
      <c r="R9" s="211"/>
      <c r="V9" s="105"/>
      <c r="W9" s="19"/>
      <c r="X9" s="26"/>
      <c r="Y9" s="117"/>
      <c r="Z9" s="56"/>
      <c r="AK9" s="280"/>
    </row>
    <row r="10" spans="1:92">
      <c r="A10" s="146" t="s">
        <v>1141</v>
      </c>
      <c r="B10" s="214" t="s">
        <v>1641</v>
      </c>
      <c r="C10" s="222" t="s">
        <v>3316</v>
      </c>
      <c r="D10" s="42" t="s">
        <v>3845</v>
      </c>
      <c r="E10" s="264"/>
      <c r="F10" s="264"/>
      <c r="H10" s="1"/>
      <c r="I10" s="30"/>
      <c r="J10" s="8"/>
      <c r="K10" s="30"/>
      <c r="L10" s="8"/>
      <c r="M10" s="50"/>
      <c r="N10" s="17"/>
      <c r="O10" s="30"/>
      <c r="V10" s="105"/>
      <c r="W10" s="19"/>
      <c r="X10" s="26" t="s">
        <v>1922</v>
      </c>
      <c r="Y10" s="117" t="s">
        <v>1926</v>
      </c>
      <c r="Z10" s="56"/>
      <c r="AA10" s="282" t="s">
        <v>1176</v>
      </c>
      <c r="AK10" s="280" t="s">
        <v>1186</v>
      </c>
      <c r="AM10" s="7" t="s">
        <v>1182</v>
      </c>
      <c r="AO10" s="7" t="s">
        <v>1207</v>
      </c>
      <c r="AS10" s="7" t="s">
        <v>1234</v>
      </c>
      <c r="AV10" s="7" t="s">
        <v>1258</v>
      </c>
      <c r="AW10" s="211">
        <v>1</v>
      </c>
      <c r="AY10" s="126" t="s">
        <v>1272</v>
      </c>
      <c r="AZ10" s="7" t="s">
        <v>1261</v>
      </c>
      <c r="BA10" s="211">
        <v>1</v>
      </c>
      <c r="BD10" s="7" t="s">
        <v>1287</v>
      </c>
      <c r="BE10" s="7" t="s">
        <v>1315</v>
      </c>
      <c r="BN10" s="7" t="s">
        <v>1311</v>
      </c>
      <c r="BO10" s="7" t="s">
        <v>1346</v>
      </c>
      <c r="BP10" s="7" t="s">
        <v>1347</v>
      </c>
      <c r="BQ10" s="7" t="s">
        <v>1360</v>
      </c>
    </row>
    <row r="11" spans="1:92">
      <c r="A11" s="146" t="s">
        <v>1990</v>
      </c>
      <c r="B11" s="214" t="s">
        <v>1642</v>
      </c>
      <c r="C11" s="222" t="s">
        <v>3317</v>
      </c>
      <c r="F11" s="264"/>
      <c r="H11" s="1"/>
      <c r="I11" s="30"/>
      <c r="J11" s="8"/>
      <c r="K11" s="30"/>
      <c r="L11" s="8"/>
      <c r="M11" s="50"/>
      <c r="N11" s="17"/>
      <c r="O11" s="30"/>
      <c r="V11" s="105"/>
      <c r="W11" s="19"/>
      <c r="X11" s="26" t="s">
        <v>1923</v>
      </c>
      <c r="Y11" s="117" t="s">
        <v>1927</v>
      </c>
      <c r="Z11" s="56"/>
      <c r="AA11" s="282" t="s">
        <v>1178</v>
      </c>
      <c r="AK11" s="280" t="s">
        <v>1214</v>
      </c>
      <c r="AL11" s="7" t="s">
        <v>1183</v>
      </c>
      <c r="AO11" s="7" t="s">
        <v>1192</v>
      </c>
      <c r="AS11" s="7" t="s">
        <v>1229</v>
      </c>
      <c r="AV11" s="7" t="s">
        <v>1233</v>
      </c>
      <c r="AW11" s="211">
        <v>1</v>
      </c>
      <c r="AY11" s="7" t="s">
        <v>1332</v>
      </c>
      <c r="AZ11" s="7" t="s">
        <v>1268</v>
      </c>
      <c r="BA11" s="211">
        <v>1</v>
      </c>
      <c r="BD11" s="7" t="s">
        <v>1289</v>
      </c>
      <c r="BE11" s="7" t="s">
        <v>1316</v>
      </c>
      <c r="BN11" s="7" t="s">
        <v>1312</v>
      </c>
      <c r="BO11" s="7" t="s">
        <v>1348</v>
      </c>
      <c r="BP11" s="7" t="s">
        <v>1349</v>
      </c>
      <c r="BQ11" s="7" t="s">
        <v>1361</v>
      </c>
    </row>
    <row r="12" spans="1:92">
      <c r="A12" s="146" t="s">
        <v>1140</v>
      </c>
      <c r="B12" s="214" t="s">
        <v>1643</v>
      </c>
      <c r="C12" s="222" t="s">
        <v>3318</v>
      </c>
      <c r="F12" s="264"/>
      <c r="H12" s="41" t="s">
        <v>5145</v>
      </c>
      <c r="I12" s="170">
        <v>125</v>
      </c>
      <c r="J12" s="160">
        <v>115</v>
      </c>
      <c r="K12" s="107">
        <f>I12-J12</f>
        <v>10</v>
      </c>
      <c r="L12" s="156">
        <f>K12/J12</f>
        <v>8.6956521739130432E-2</v>
      </c>
      <c r="M12" s="218">
        <f>I12*(0.001425*0.5)+J12*(0.001425*0.5)+I12*0.003</f>
        <v>0.54600000000000004</v>
      </c>
      <c r="N12" s="160">
        <f>K12-M12</f>
        <v>9.4540000000000006</v>
      </c>
      <c r="O12" s="30"/>
      <c r="V12" s="105"/>
      <c r="W12" s="19"/>
      <c r="X12" s="26" t="s">
        <v>1928</v>
      </c>
      <c r="Y12" s="154" t="s">
        <v>1931</v>
      </c>
      <c r="Z12" s="56"/>
      <c r="AA12" s="282" t="s">
        <v>1180</v>
      </c>
      <c r="AK12" s="280" t="s">
        <v>1220</v>
      </c>
      <c r="AL12" s="7" t="s">
        <v>1183</v>
      </c>
      <c r="AO12" s="7" t="s">
        <v>1195</v>
      </c>
      <c r="AQ12" s="7" t="s">
        <v>1216</v>
      </c>
      <c r="AS12" s="7" t="s">
        <v>1248</v>
      </c>
      <c r="BD12" s="7" t="s">
        <v>1290</v>
      </c>
      <c r="BE12" s="7" t="s">
        <v>1318</v>
      </c>
      <c r="BP12" s="7" t="s">
        <v>1350</v>
      </c>
      <c r="BQ12" s="7" t="s">
        <v>1362</v>
      </c>
    </row>
    <row r="13" spans="1:92">
      <c r="A13" s="264"/>
      <c r="B13" s="264"/>
      <c r="C13" s="264"/>
      <c r="D13" s="263"/>
      <c r="E13" s="8" t="s">
        <v>3375</v>
      </c>
      <c r="F13" s="264"/>
      <c r="H13" s="41" t="s">
        <v>5122</v>
      </c>
      <c r="I13" s="170">
        <v>125</v>
      </c>
      <c r="J13" s="160">
        <v>115</v>
      </c>
      <c r="K13" s="107">
        <f>I13-J13</f>
        <v>10</v>
      </c>
      <c r="L13" s="156">
        <f>K13/J13</f>
        <v>8.6956521739130432E-2</v>
      </c>
      <c r="M13" s="218">
        <f>I13*(0.001425*0.5)+J13*(0.001425*0.5)+I13*0.003</f>
        <v>0.54600000000000004</v>
      </c>
      <c r="N13" s="160">
        <f>K13-M13</f>
        <v>9.4540000000000006</v>
      </c>
      <c r="O13" s="30"/>
      <c r="V13" s="105"/>
      <c r="W13" s="19"/>
      <c r="X13" s="26" t="s">
        <v>1930</v>
      </c>
      <c r="Y13" s="117" t="s">
        <v>1932</v>
      </c>
      <c r="Z13" s="56"/>
      <c r="AA13" s="282" t="s">
        <v>1181</v>
      </c>
      <c r="AK13" s="280" t="s">
        <v>1218</v>
      </c>
      <c r="AQ13" s="7" t="s">
        <v>1216</v>
      </c>
      <c r="AS13" s="7" t="s">
        <v>1236</v>
      </c>
      <c r="AV13" s="7" t="s">
        <v>1393</v>
      </c>
      <c r="AW13" s="211">
        <v>1</v>
      </c>
      <c r="AY13" s="7" t="s">
        <v>1265</v>
      </c>
      <c r="AZ13" s="7" t="s">
        <v>1266</v>
      </c>
      <c r="BA13" s="211">
        <v>2</v>
      </c>
      <c r="BD13" s="7" t="s">
        <v>1291</v>
      </c>
      <c r="BE13" s="7" t="s">
        <v>1319</v>
      </c>
      <c r="BO13" s="7" t="s">
        <v>1351</v>
      </c>
      <c r="BP13" s="7" t="s">
        <v>1352</v>
      </c>
      <c r="BQ13" s="30" t="s">
        <v>1363</v>
      </c>
    </row>
    <row r="14" spans="1:92">
      <c r="A14" s="283" t="s">
        <v>848</v>
      </c>
      <c r="B14" s="283" t="s">
        <v>851</v>
      </c>
      <c r="C14" s="285">
        <v>44901</v>
      </c>
      <c r="D14" s="211" t="s">
        <v>3320</v>
      </c>
      <c r="E14" s="222" t="s">
        <v>3319</v>
      </c>
      <c r="F14" s="264"/>
      <c r="H14" s="41" t="s">
        <v>5039</v>
      </c>
      <c r="I14" s="170">
        <v>374.05</v>
      </c>
      <c r="J14" s="160">
        <v>344.06</v>
      </c>
      <c r="K14" s="107">
        <v>30.69</v>
      </c>
      <c r="L14" s="156">
        <f>K14/J14</f>
        <v>8.9199558216590133E-2</v>
      </c>
      <c r="M14" s="218">
        <f>I14*(0.001425*0.5)+J14*(0.001425*0.5)+I14*0.003</f>
        <v>1.6338033750000001</v>
      </c>
      <c r="N14" s="160">
        <f>K14-M14</f>
        <v>29.056196625000002</v>
      </c>
      <c r="O14" s="30"/>
      <c r="V14" s="176"/>
      <c r="W14" s="41"/>
      <c r="X14" s="27" t="s">
        <v>1935</v>
      </c>
      <c r="Y14" s="125" t="s">
        <v>1942</v>
      </c>
      <c r="Z14" s="56"/>
      <c r="AA14" s="7" t="s">
        <v>1170</v>
      </c>
      <c r="AK14" s="7" t="s">
        <v>1184</v>
      </c>
      <c r="AL14" s="7" t="s">
        <v>1183</v>
      </c>
      <c r="AM14" s="7" t="s">
        <v>1182</v>
      </c>
      <c r="AN14" s="7" t="s">
        <v>1189</v>
      </c>
      <c r="AS14" s="7" t="s">
        <v>1226</v>
      </c>
      <c r="AV14" s="7" t="s">
        <v>1387</v>
      </c>
      <c r="AW14" s="211">
        <v>2</v>
      </c>
      <c r="AZ14" s="7" t="s">
        <v>1384</v>
      </c>
      <c r="BA14" s="211">
        <v>1</v>
      </c>
      <c r="BD14" s="7" t="s">
        <v>1288</v>
      </c>
      <c r="BE14" s="7" t="s">
        <v>1323</v>
      </c>
      <c r="BQ14" s="7" t="s">
        <v>1364</v>
      </c>
    </row>
    <row r="15" spans="1:92">
      <c r="A15" s="283"/>
      <c r="B15" s="283" t="s">
        <v>852</v>
      </c>
      <c r="C15" s="285">
        <v>44760</v>
      </c>
      <c r="D15" s="211" t="s">
        <v>851</v>
      </c>
      <c r="E15" s="222" t="s">
        <v>3316</v>
      </c>
      <c r="F15" s="264"/>
      <c r="H15" s="1" t="s">
        <v>3290</v>
      </c>
      <c r="I15" s="170">
        <f>SUM(I13:I14)</f>
        <v>499.05</v>
      </c>
      <c r="J15" s="160">
        <f>SUM(J13:J14)</f>
        <v>459.06</v>
      </c>
      <c r="K15" s="107">
        <f>SUM(K14)</f>
        <v>30.69</v>
      </c>
      <c r="L15" s="156">
        <f>K15/J15</f>
        <v>6.6854006012285971E-2</v>
      </c>
      <c r="M15" s="218">
        <f>SUM(M14)</f>
        <v>1.6338033750000001</v>
      </c>
      <c r="N15" s="160">
        <f>SUM(N14)</f>
        <v>29.056196625000002</v>
      </c>
      <c r="O15" s="170">
        <f>I15/10</f>
        <v>49.905000000000001</v>
      </c>
      <c r="W15" s="41"/>
      <c r="X15" s="27" t="s">
        <v>1936</v>
      </c>
      <c r="Y15" s="125" t="s">
        <v>1943</v>
      </c>
      <c r="Z15" s="56"/>
      <c r="AA15" s="7" t="s">
        <v>1172</v>
      </c>
      <c r="AK15" s="7" t="s">
        <v>1206</v>
      </c>
      <c r="AS15" s="7" t="s">
        <v>1241</v>
      </c>
      <c r="AU15" s="126"/>
      <c r="AV15" s="7" t="s">
        <v>1389</v>
      </c>
      <c r="AW15" s="211">
        <v>2</v>
      </c>
      <c r="AZ15" s="7" t="s">
        <v>1263</v>
      </c>
      <c r="BA15" s="211">
        <v>1</v>
      </c>
      <c r="BD15" s="7" t="s">
        <v>1292</v>
      </c>
      <c r="BE15" s="7" t="s">
        <v>1324</v>
      </c>
      <c r="BQ15" s="7" t="s">
        <v>1365</v>
      </c>
      <c r="CE15" s="7"/>
      <c r="CF15" s="7"/>
      <c r="CG15" s="7"/>
      <c r="CH15" s="7"/>
      <c r="CI15" s="7"/>
      <c r="CJ15" s="7"/>
      <c r="CK15" s="7"/>
      <c r="CL15" s="7"/>
      <c r="CM15" s="7"/>
      <c r="CN15" s="7"/>
    </row>
    <row r="16" spans="1:92">
      <c r="A16" s="283"/>
      <c r="B16" s="283" t="s">
        <v>853</v>
      </c>
      <c r="C16" s="285">
        <v>45013</v>
      </c>
      <c r="D16" s="211" t="s">
        <v>852</v>
      </c>
      <c r="E16" s="222" t="s">
        <v>3317</v>
      </c>
      <c r="H16" s="1"/>
      <c r="I16" s="170"/>
      <c r="J16" s="160"/>
      <c r="K16" s="107"/>
      <c r="L16" s="156"/>
      <c r="M16" s="218"/>
      <c r="N16" s="160"/>
      <c r="O16" s="170"/>
      <c r="W16" s="41"/>
      <c r="X16" s="27" t="s">
        <v>1937</v>
      </c>
      <c r="Y16" s="125" t="s">
        <v>1944</v>
      </c>
      <c r="Z16" s="56"/>
      <c r="AK16" s="7" t="s">
        <v>1188</v>
      </c>
      <c r="AL16" s="7" t="s">
        <v>1183</v>
      </c>
      <c r="AV16" s="7" t="s">
        <v>1392</v>
      </c>
      <c r="AW16" s="211">
        <v>2</v>
      </c>
      <c r="AZ16" s="7" t="s">
        <v>1264</v>
      </c>
      <c r="BA16" s="211">
        <v>1</v>
      </c>
      <c r="BD16" s="7" t="s">
        <v>1293</v>
      </c>
      <c r="BE16" s="7" t="s">
        <v>1325</v>
      </c>
      <c r="BQ16" s="7" t="s">
        <v>1366</v>
      </c>
    </row>
    <row r="17" spans="1:92">
      <c r="A17" s="283"/>
      <c r="B17" s="283"/>
      <c r="C17" s="286"/>
      <c r="D17" s="211" t="s">
        <v>853</v>
      </c>
      <c r="E17" s="222" t="s">
        <v>3318</v>
      </c>
      <c r="H17" s="41" t="s">
        <v>3745</v>
      </c>
      <c r="I17" s="170">
        <v>49.3</v>
      </c>
      <c r="J17" s="160">
        <v>40</v>
      </c>
      <c r="K17" s="107">
        <f t="shared" ref="K17:K27" si="0">I17-J17</f>
        <v>9.2999999999999972</v>
      </c>
      <c r="L17" s="156">
        <f>K17/J17</f>
        <v>0.23249999999999993</v>
      </c>
      <c r="M17" s="218">
        <f t="shared" ref="M17:M22" si="1">I17*(0.001425*0.5)+J17*(0.001425*0.5)+I17*0.003</f>
        <v>0.21152625</v>
      </c>
      <c r="N17" s="160">
        <f>K17-M17</f>
        <v>9.0884737499999968</v>
      </c>
      <c r="O17" s="30"/>
      <c r="W17" s="41"/>
      <c r="X17" s="27" t="s">
        <v>1938</v>
      </c>
      <c r="Y17" s="125" t="s">
        <v>1945</v>
      </c>
      <c r="Z17" s="56"/>
      <c r="AA17" s="7" t="s">
        <v>1174</v>
      </c>
      <c r="AK17" s="7" t="s">
        <v>1191</v>
      </c>
      <c r="AO17" s="7" t="s">
        <v>1192</v>
      </c>
      <c r="AS17" s="7" t="s">
        <v>1223</v>
      </c>
      <c r="AV17" s="7" t="s">
        <v>1391</v>
      </c>
      <c r="AW17" s="211">
        <v>2</v>
      </c>
      <c r="AZ17" s="7" t="s">
        <v>1271</v>
      </c>
      <c r="BA17" s="211">
        <v>1</v>
      </c>
      <c r="BD17" s="7" t="s">
        <v>1294</v>
      </c>
      <c r="BE17" s="7" t="s">
        <v>1326</v>
      </c>
      <c r="BQ17" s="7" t="s">
        <v>1367</v>
      </c>
    </row>
    <row r="18" spans="1:92">
      <c r="A18" s="283" t="s">
        <v>847</v>
      </c>
      <c r="B18" s="283" t="s">
        <v>851</v>
      </c>
      <c r="C18" s="285">
        <v>44800</v>
      </c>
      <c r="D18" s="264"/>
      <c r="E18" s="264"/>
      <c r="H18" s="41" t="s">
        <v>3666</v>
      </c>
      <c r="I18" s="170">
        <v>606.5</v>
      </c>
      <c r="J18" s="160">
        <v>527.6</v>
      </c>
      <c r="K18" s="107">
        <f t="shared" si="0"/>
        <v>78.899999999999977</v>
      </c>
      <c r="L18" s="156">
        <f>K18/J18</f>
        <v>0.14954510993176645</v>
      </c>
      <c r="M18" s="218">
        <f t="shared" si="1"/>
        <v>2.62754625</v>
      </c>
      <c r="N18" s="160">
        <f t="shared" ref="N18:N24" si="2">K18-M18</f>
        <v>76.272453749999983</v>
      </c>
      <c r="O18" s="40"/>
      <c r="W18" s="19" t="s">
        <v>1946</v>
      </c>
      <c r="X18" s="26" t="s">
        <v>1933</v>
      </c>
      <c r="Y18" s="154" t="s">
        <v>1940</v>
      </c>
      <c r="Z18" s="109"/>
      <c r="AA18" s="7" t="s">
        <v>1175</v>
      </c>
      <c r="AK18" s="7" t="s">
        <v>1194</v>
      </c>
      <c r="AL18" s="7" t="s">
        <v>1183</v>
      </c>
      <c r="AO18" s="7" t="s">
        <v>1195</v>
      </c>
      <c r="AS18" s="7" t="s">
        <v>1224</v>
      </c>
      <c r="AV18" s="7" t="s">
        <v>1390</v>
      </c>
      <c r="AW18" s="211">
        <v>1</v>
      </c>
      <c r="AX18" s="211">
        <v>4</v>
      </c>
      <c r="AZ18" s="7" t="s">
        <v>1277</v>
      </c>
      <c r="BA18" s="211">
        <v>1</v>
      </c>
      <c r="BD18" s="7" t="s">
        <v>1295</v>
      </c>
      <c r="BE18" s="7" t="s">
        <v>1327</v>
      </c>
      <c r="BQ18" s="7" t="s">
        <v>1368</v>
      </c>
    </row>
    <row r="19" spans="1:92">
      <c r="B19" s="283" t="s">
        <v>852</v>
      </c>
      <c r="C19" s="285">
        <v>44697</v>
      </c>
      <c r="H19" s="41" t="s">
        <v>3627</v>
      </c>
      <c r="I19" s="170">
        <v>0</v>
      </c>
      <c r="J19" s="160">
        <v>0</v>
      </c>
      <c r="K19" s="107">
        <f t="shared" si="0"/>
        <v>0</v>
      </c>
      <c r="L19" s="156">
        <v>0</v>
      </c>
      <c r="M19" s="218">
        <f t="shared" si="1"/>
        <v>0</v>
      </c>
      <c r="N19" s="160">
        <f t="shared" si="2"/>
        <v>0</v>
      </c>
      <c r="O19" s="13"/>
      <c r="W19" s="154"/>
      <c r="X19" s="26" t="s">
        <v>1934</v>
      </c>
      <c r="Y19" s="154" t="s">
        <v>1941</v>
      </c>
      <c r="Z19" s="56"/>
      <c r="AA19" s="7" t="s">
        <v>1177</v>
      </c>
      <c r="AK19" s="7" t="s">
        <v>1196</v>
      </c>
      <c r="AO19" s="7" t="s">
        <v>1192</v>
      </c>
      <c r="AP19" s="7" t="s">
        <v>1197</v>
      </c>
      <c r="AS19" s="7" t="s">
        <v>1227</v>
      </c>
      <c r="AV19" s="7" t="s">
        <v>1401</v>
      </c>
      <c r="AW19" s="211">
        <v>1</v>
      </c>
      <c r="AX19" s="211">
        <v>2</v>
      </c>
      <c r="BD19" s="7" t="s">
        <v>1296</v>
      </c>
      <c r="BE19" s="7" t="s">
        <v>1329</v>
      </c>
      <c r="BQ19" s="30" t="s">
        <v>1369</v>
      </c>
    </row>
    <row r="20" spans="1:92">
      <c r="C20" s="286"/>
      <c r="D20" s="264"/>
      <c r="H20" s="41" t="s">
        <v>3588</v>
      </c>
      <c r="I20" s="170">
        <v>528.6</v>
      </c>
      <c r="J20" s="160">
        <v>464.15</v>
      </c>
      <c r="K20" s="107">
        <f t="shared" si="0"/>
        <v>64.450000000000045</v>
      </c>
      <c r="L20" s="156">
        <f t="shared" ref="L20:L28" si="3">K20/J20</f>
        <v>0.13885597328449864</v>
      </c>
      <c r="M20" s="218">
        <f t="shared" si="1"/>
        <v>2.2931343750000002</v>
      </c>
      <c r="N20" s="160">
        <f t="shared" si="2"/>
        <v>62.156865625000044</v>
      </c>
      <c r="O20" s="30"/>
      <c r="W20" s="125"/>
      <c r="X20" s="5"/>
      <c r="Y20" s="11"/>
      <c r="Z20" s="56"/>
      <c r="AA20" s="7" t="s">
        <v>1179</v>
      </c>
      <c r="AK20" s="7" t="s">
        <v>1198</v>
      </c>
      <c r="AM20" s="7" t="s">
        <v>1182</v>
      </c>
      <c r="AO20" s="7" t="s">
        <v>1195</v>
      </c>
      <c r="AS20" s="7" t="s">
        <v>1231</v>
      </c>
      <c r="AV20" s="7" t="s">
        <v>1386</v>
      </c>
      <c r="AW20" s="211">
        <v>1</v>
      </c>
      <c r="AX20" s="211">
        <v>1</v>
      </c>
      <c r="BD20" s="7" t="s">
        <v>1297</v>
      </c>
      <c r="BQ20" s="7" t="s">
        <v>1370</v>
      </c>
    </row>
    <row r="21" spans="1:92">
      <c r="A21" s="283" t="s">
        <v>274</v>
      </c>
      <c r="B21" s="283" t="s">
        <v>3718</v>
      </c>
      <c r="C21" s="285">
        <v>44847</v>
      </c>
      <c r="H21" s="41" t="s">
        <v>3568</v>
      </c>
      <c r="I21" s="170">
        <v>175.1</v>
      </c>
      <c r="J21" s="160">
        <v>160.30000000000001</v>
      </c>
      <c r="K21" s="107">
        <f t="shared" si="0"/>
        <v>14.799999999999983</v>
      </c>
      <c r="L21" s="156">
        <f t="shared" si="3"/>
        <v>9.23268870867123E-2</v>
      </c>
      <c r="M21" s="218">
        <f t="shared" si="1"/>
        <v>0.76427250000000002</v>
      </c>
      <c r="N21" s="160">
        <f t="shared" si="2"/>
        <v>14.035727499999982</v>
      </c>
      <c r="O21" s="7"/>
      <c r="W21" s="125"/>
      <c r="X21" s="5"/>
      <c r="Y21" s="11"/>
      <c r="Z21" s="56"/>
      <c r="AK21" s="7" t="s">
        <v>1199</v>
      </c>
      <c r="AO21" s="7" t="s">
        <v>1192</v>
      </c>
      <c r="AS21" s="7" t="s">
        <v>1232</v>
      </c>
      <c r="AV21" s="7" t="s">
        <v>1408</v>
      </c>
      <c r="AW21" s="211">
        <v>1</v>
      </c>
      <c r="AX21" s="211">
        <v>1</v>
      </c>
      <c r="AZ21" s="7" t="s">
        <v>1276</v>
      </c>
      <c r="BD21" s="7" t="s">
        <v>1298</v>
      </c>
      <c r="BQ21" s="7" t="s">
        <v>1371</v>
      </c>
    </row>
    <row r="22" spans="1:92">
      <c r="B22" s="283" t="s">
        <v>852</v>
      </c>
      <c r="C22" s="285">
        <v>44747</v>
      </c>
      <c r="H22" s="41" t="s">
        <v>3497</v>
      </c>
      <c r="I22" s="170">
        <v>5598.6</v>
      </c>
      <c r="J22" s="160">
        <v>5343.05</v>
      </c>
      <c r="K22" s="107">
        <f t="shared" si="0"/>
        <v>255.55000000000018</v>
      </c>
      <c r="L22" s="156">
        <f t="shared" si="3"/>
        <v>4.782848747438264E-2</v>
      </c>
      <c r="M22" s="218">
        <f t="shared" si="1"/>
        <v>24.591725625000002</v>
      </c>
      <c r="N22" s="160">
        <f t="shared" si="2"/>
        <v>230.95827437500017</v>
      </c>
      <c r="O22" s="170"/>
      <c r="AA22" s="211"/>
      <c r="AK22" s="7" t="s">
        <v>1208</v>
      </c>
      <c r="AO22" s="7" t="s">
        <v>1195</v>
      </c>
      <c r="AS22" s="7" t="s">
        <v>1238</v>
      </c>
      <c r="AV22" s="7" t="s">
        <v>1388</v>
      </c>
      <c r="AW22" s="211">
        <v>1</v>
      </c>
      <c r="AX22" s="211">
        <v>1</v>
      </c>
      <c r="BD22" s="7" t="s">
        <v>1299</v>
      </c>
      <c r="BQ22" s="7" t="s">
        <v>1372</v>
      </c>
    </row>
    <row r="23" spans="1:92">
      <c r="B23" s="283" t="s">
        <v>3735</v>
      </c>
      <c r="C23" s="285" t="s">
        <v>3736</v>
      </c>
      <c r="D23" s="283" t="s">
        <v>3738</v>
      </c>
      <c r="H23" s="41" t="s">
        <v>3374</v>
      </c>
      <c r="I23" s="170">
        <v>4124</v>
      </c>
      <c r="J23" s="160">
        <v>3941</v>
      </c>
      <c r="K23" s="107">
        <f t="shared" si="0"/>
        <v>183</v>
      </c>
      <c r="L23" s="156">
        <f t="shared" si="3"/>
        <v>4.6434914996193857E-2</v>
      </c>
      <c r="M23" s="218">
        <f>I23*(0.001425*0.65)+J23*(0.001425*0.65)+I23*0.003</f>
        <v>19.84220625</v>
      </c>
      <c r="N23" s="160">
        <f t="shared" si="2"/>
        <v>163.15779375</v>
      </c>
      <c r="O23" s="170"/>
      <c r="AA23" s="211"/>
      <c r="AK23" s="7" t="s">
        <v>1212</v>
      </c>
      <c r="AO23" s="7" t="s">
        <v>1192</v>
      </c>
      <c r="AQ23" s="7" t="s">
        <v>1213</v>
      </c>
      <c r="AS23" s="7" t="s">
        <v>1247</v>
      </c>
      <c r="AV23" s="7" t="s">
        <v>1399</v>
      </c>
      <c r="AW23" s="211">
        <v>1</v>
      </c>
      <c r="BD23" s="7" t="s">
        <v>1300</v>
      </c>
      <c r="BQ23" s="7" t="s">
        <v>1375</v>
      </c>
    </row>
    <row r="24" spans="1:92">
      <c r="A24" s="283" t="s">
        <v>3739</v>
      </c>
      <c r="B24" s="283">
        <v>29467359</v>
      </c>
      <c r="C24" s="285" t="s">
        <v>3737</v>
      </c>
      <c r="D24" s="87" t="s">
        <v>5083</v>
      </c>
      <c r="H24" s="41" t="s">
        <v>3279</v>
      </c>
      <c r="I24" s="170">
        <v>1672.55</v>
      </c>
      <c r="J24" s="160">
        <v>1594.82</v>
      </c>
      <c r="K24" s="107">
        <f t="shared" si="0"/>
        <v>77.730000000000018</v>
      </c>
      <c r="L24" s="156">
        <f t="shared" si="3"/>
        <v>4.8739042650581273E-2</v>
      </c>
      <c r="M24" s="218">
        <f>I24*(0.001425*0.65)+J24*(0.001425*0.65)+I24*0.003</f>
        <v>8.0440514625000006</v>
      </c>
      <c r="N24" s="160">
        <f t="shared" si="2"/>
        <v>69.685948537500025</v>
      </c>
      <c r="O24" s="170"/>
      <c r="AA24" s="211"/>
      <c r="AK24" s="7" t="s">
        <v>1215</v>
      </c>
      <c r="AQ24" s="7" t="s">
        <v>1216</v>
      </c>
      <c r="AS24" s="7" t="s">
        <v>1239</v>
      </c>
      <c r="AV24" s="7" t="s">
        <v>1394</v>
      </c>
      <c r="AW24" s="211">
        <v>1</v>
      </c>
      <c r="BD24" s="7" t="s">
        <v>1301</v>
      </c>
      <c r="BQ24" s="7" t="s">
        <v>1373</v>
      </c>
    </row>
    <row r="25" spans="1:92">
      <c r="C25" s="285"/>
      <c r="D25" s="2"/>
      <c r="H25" s="41" t="s">
        <v>3264</v>
      </c>
      <c r="I25" s="170">
        <v>990.9</v>
      </c>
      <c r="J25" s="160">
        <v>937.75</v>
      </c>
      <c r="K25" s="107">
        <f t="shared" si="0"/>
        <v>53.149999999999977</v>
      </c>
      <c r="L25" s="156">
        <f t="shared" si="3"/>
        <v>5.6678219141562229E-2</v>
      </c>
      <c r="M25" s="218">
        <f>I25*(0.001425*0.65)+J25*(0.001425*0.65)+I25*0.003</f>
        <v>4.7591120624999999</v>
      </c>
      <c r="N25" s="160">
        <f>K25-M25</f>
        <v>48.390887937499976</v>
      </c>
      <c r="O25" s="170"/>
      <c r="AA25" s="211"/>
    </row>
    <row r="26" spans="1:92">
      <c r="A26" s="27" t="s">
        <v>3303</v>
      </c>
      <c r="B26" s="87" t="s">
        <v>1136</v>
      </c>
      <c r="C26" s="87" t="s">
        <v>1142</v>
      </c>
      <c r="D26" s="87" t="s">
        <v>1144</v>
      </c>
      <c r="E26" s="87" t="s">
        <v>1133</v>
      </c>
      <c r="H26" s="41" t="s">
        <v>3088</v>
      </c>
      <c r="I26" s="170">
        <v>1351.95</v>
      </c>
      <c r="J26" s="160">
        <v>1318.8</v>
      </c>
      <c r="K26" s="107">
        <f t="shared" si="0"/>
        <v>33.150000000000091</v>
      </c>
      <c r="L26" s="156">
        <f t="shared" si="3"/>
        <v>2.5136487716105622E-2</v>
      </c>
      <c r="M26" s="218">
        <f>I26*(0.001425*0.65)+J26*(0.001425*0.65)+I26*0.003</f>
        <v>6.5296321875000007</v>
      </c>
      <c r="N26" s="160">
        <f>K26-M26</f>
        <v>26.620367812500092</v>
      </c>
      <c r="O26" s="170"/>
      <c r="AA26" s="211"/>
    </row>
    <row r="27" spans="1:92">
      <c r="B27" s="263" t="s">
        <v>1137</v>
      </c>
      <c r="C27" s="263" t="s">
        <v>1143</v>
      </c>
      <c r="D27" s="263" t="s">
        <v>1145</v>
      </c>
      <c r="E27" s="263" t="s">
        <v>1134</v>
      </c>
      <c r="H27" s="41" t="s">
        <v>2439</v>
      </c>
      <c r="I27" s="170">
        <v>208.2</v>
      </c>
      <c r="J27" s="160">
        <v>174.3</v>
      </c>
      <c r="K27" s="107">
        <f t="shared" si="0"/>
        <v>33.899999999999977</v>
      </c>
      <c r="L27" s="156">
        <f t="shared" si="3"/>
        <v>0.19449225473321843</v>
      </c>
      <c r="M27" s="218">
        <f>I27*(0.001425*0.65)+J27*(0.001425*0.65)+I27*0.003</f>
        <v>0.97889062500000001</v>
      </c>
      <c r="N27" s="160">
        <f>K27-M27</f>
        <v>32.921109374999979</v>
      </c>
      <c r="O27" s="170"/>
      <c r="AA27" s="211"/>
    </row>
    <row r="28" spans="1:92">
      <c r="B28" s="261" t="s">
        <v>1138</v>
      </c>
      <c r="C28" s="261" t="s">
        <v>1135</v>
      </c>
      <c r="D28" s="261" t="s">
        <v>1135</v>
      </c>
      <c r="E28" s="261" t="s">
        <v>1135</v>
      </c>
      <c r="H28" s="1" t="s">
        <v>3290</v>
      </c>
      <c r="I28" s="170">
        <f>SUM(I17:I27)</f>
        <v>15305.7</v>
      </c>
      <c r="J28" s="160">
        <f>SUM(J17:J27)</f>
        <v>14501.769999999999</v>
      </c>
      <c r="K28" s="167">
        <f>SUM(K17:K27)</f>
        <v>803.93000000000029</v>
      </c>
      <c r="L28" s="156">
        <f t="shared" si="3"/>
        <v>5.5436681177539041E-2</v>
      </c>
      <c r="M28" s="218">
        <f>SUM(M18:M27)</f>
        <v>70.430571337500012</v>
      </c>
      <c r="N28" s="160">
        <f>SUM(N18:N27)</f>
        <v>724.1994286625004</v>
      </c>
      <c r="O28" s="170">
        <f>I28/10</f>
        <v>1530.5700000000002</v>
      </c>
      <c r="AA28" s="211"/>
    </row>
    <row r="29" spans="1:92">
      <c r="B29" s="261"/>
      <c r="C29" s="261"/>
      <c r="D29" s="261"/>
      <c r="E29" s="261"/>
      <c r="AA29" s="211"/>
    </row>
    <row r="30" spans="1:92">
      <c r="A30" s="211" t="s">
        <v>3790</v>
      </c>
      <c r="B30" s="291" t="s">
        <v>3791</v>
      </c>
      <c r="C30" s="261"/>
      <c r="D30" s="261" t="s">
        <v>3865</v>
      </c>
      <c r="E30" s="261" t="s">
        <v>3866</v>
      </c>
      <c r="AA30" s="211"/>
      <c r="AK30" s="7" t="s">
        <v>1219</v>
      </c>
      <c r="AQ30" s="7" t="s">
        <v>1216</v>
      </c>
      <c r="AS30" s="7" t="s">
        <v>1240</v>
      </c>
      <c r="AV30" s="7" t="s">
        <v>1385</v>
      </c>
      <c r="AW30" s="211">
        <v>1</v>
      </c>
      <c r="BD30" s="7" t="s">
        <v>1320</v>
      </c>
      <c r="BQ30" s="7" t="s">
        <v>1374</v>
      </c>
      <c r="CE30" s="7"/>
      <c r="CF30" s="7"/>
      <c r="CG30" s="7"/>
      <c r="CH30" s="7"/>
      <c r="CI30" s="7"/>
      <c r="CJ30" s="7"/>
      <c r="CK30" s="7"/>
      <c r="CL30" s="7"/>
      <c r="CM30" s="7"/>
      <c r="CN30" s="7"/>
    </row>
    <row r="31" spans="1:92">
      <c r="B31" s="30" t="s">
        <v>3603</v>
      </c>
      <c r="C31" s="264"/>
      <c r="D31" s="26" t="s">
        <v>3605</v>
      </c>
      <c r="AA31" s="211"/>
      <c r="AS31" s="7" t="s">
        <v>1242</v>
      </c>
      <c r="AV31" s="7" t="s">
        <v>1395</v>
      </c>
      <c r="BD31" s="7" t="s">
        <v>1321</v>
      </c>
      <c r="BQ31" s="30" t="s">
        <v>1376</v>
      </c>
    </row>
    <row r="32" spans="1:92">
      <c r="A32" s="211" t="s">
        <v>3707</v>
      </c>
      <c r="B32" s="292" t="s">
        <v>3604</v>
      </c>
      <c r="C32" s="108"/>
      <c r="D32" s="293" t="s">
        <v>3606</v>
      </c>
      <c r="AA32" s="211"/>
      <c r="BQ32" s="30"/>
    </row>
    <row r="33" spans="1:82">
      <c r="A33" s="211" t="s">
        <v>3708</v>
      </c>
      <c r="B33" s="108" t="s">
        <v>3711</v>
      </c>
      <c r="C33" s="108"/>
      <c r="D33" s="293" t="s">
        <v>3710</v>
      </c>
      <c r="AA33" s="211"/>
      <c r="BQ33" s="30"/>
    </row>
    <row r="34" spans="1:82">
      <c r="A34" s="211" t="s">
        <v>3709</v>
      </c>
      <c r="B34" t="s">
        <v>3712</v>
      </c>
      <c r="C34" s="261"/>
      <c r="D34" s="291" t="s">
        <v>3713</v>
      </c>
      <c r="AA34" s="211"/>
      <c r="BQ34" s="30"/>
    </row>
    <row r="35" spans="1:82">
      <c r="C35" s="263"/>
      <c r="D35" s="263"/>
      <c r="AA35" s="211"/>
      <c r="BQ35" s="30"/>
    </row>
    <row r="36" spans="1:82">
      <c r="A36" s="245" t="s">
        <v>3429</v>
      </c>
      <c r="B36" s="288" t="s">
        <v>1139</v>
      </c>
      <c r="C36" s="8"/>
      <c r="D36" s="133" t="s">
        <v>855</v>
      </c>
      <c r="E36" s="245" t="s">
        <v>1577</v>
      </c>
      <c r="AS36" s="7" t="s">
        <v>1245</v>
      </c>
      <c r="AV36" s="7" t="s">
        <v>1398</v>
      </c>
      <c r="BQ36" s="7" t="s">
        <v>1379</v>
      </c>
    </row>
    <row r="37" spans="1:82">
      <c r="A37" s="263" t="s">
        <v>1146</v>
      </c>
      <c r="B37" s="263" t="s">
        <v>1147</v>
      </c>
      <c r="C37" s="263" t="s">
        <v>1148</v>
      </c>
      <c r="D37" s="263" t="s">
        <v>1149</v>
      </c>
      <c r="AA37" s="211"/>
      <c r="AK37" s="7" t="s">
        <v>1274</v>
      </c>
      <c r="AL37" s="7" t="s">
        <v>1275</v>
      </c>
      <c r="AS37" s="7" t="s">
        <v>1243</v>
      </c>
      <c r="AV37" s="7" t="s">
        <v>1396</v>
      </c>
      <c r="BD37" s="7" t="s">
        <v>1322</v>
      </c>
      <c r="BQ37" s="7" t="s">
        <v>1377</v>
      </c>
    </row>
    <row r="38" spans="1:82">
      <c r="A38" s="263" t="s">
        <v>1150</v>
      </c>
      <c r="B38" s="263" t="s">
        <v>1147</v>
      </c>
      <c r="C38" s="263" t="s">
        <v>1148</v>
      </c>
      <c r="D38" s="295" t="s">
        <v>1151</v>
      </c>
      <c r="AA38" s="211"/>
      <c r="AS38" s="7" t="s">
        <v>1244</v>
      </c>
      <c r="AV38" s="7" t="s">
        <v>1397</v>
      </c>
      <c r="BD38" s="7" t="s">
        <v>1328</v>
      </c>
      <c r="BQ38" s="7" t="s">
        <v>1378</v>
      </c>
      <c r="BW38" s="8"/>
      <c r="BX38" s="8"/>
      <c r="BY38" s="8"/>
      <c r="BZ38" s="8"/>
      <c r="CA38" s="8"/>
      <c r="CB38" s="8"/>
      <c r="CC38" s="8"/>
      <c r="CD38" s="8"/>
    </row>
    <row r="39" spans="1:82">
      <c r="A39" s="263" t="s">
        <v>1574</v>
      </c>
      <c r="B39" s="263" t="s">
        <v>1575</v>
      </c>
      <c r="C39" s="263" t="s">
        <v>1576</v>
      </c>
      <c r="AS39" s="7" t="s">
        <v>1246</v>
      </c>
      <c r="BQ39" s="7" t="s">
        <v>1380</v>
      </c>
    </row>
    <row r="40" spans="1:82">
      <c r="A40" s="263" t="s">
        <v>1571</v>
      </c>
      <c r="B40" s="287" t="s">
        <v>1572</v>
      </c>
      <c r="D40" s="263" t="s">
        <v>1573</v>
      </c>
      <c r="AV40" s="7" t="s">
        <v>1400</v>
      </c>
      <c r="BQ40" s="7" t="s">
        <v>1381</v>
      </c>
    </row>
    <row r="41" spans="1:82">
      <c r="A41" s="211" t="s">
        <v>3628</v>
      </c>
      <c r="B41" s="211" t="s">
        <v>3629</v>
      </c>
      <c r="C41" s="211" t="s">
        <v>3631</v>
      </c>
      <c r="D41" s="211" t="s">
        <v>3630</v>
      </c>
      <c r="E41" s="264"/>
      <c r="BQ41" s="7" t="s">
        <v>1382</v>
      </c>
    </row>
    <row r="42" spans="1:82">
      <c r="A42" s="263"/>
      <c r="B42" s="263"/>
      <c r="C42" s="263"/>
      <c r="D42" s="263"/>
      <c r="E42" s="263"/>
      <c r="F42" s="7"/>
      <c r="G42" s="7"/>
      <c r="H42" s="7"/>
      <c r="J42" s="24"/>
      <c r="K42" s="7"/>
      <c r="N42" s="219"/>
      <c r="O42" s="66"/>
      <c r="P42" s="7"/>
      <c r="T42" s="7"/>
      <c r="U42" s="7"/>
      <c r="AQ42" s="211"/>
      <c r="AR42" s="211"/>
      <c r="AU42" s="211"/>
      <c r="AV42" s="211"/>
      <c r="AW42" s="7"/>
      <c r="AX42" s="7"/>
      <c r="BA42" s="7"/>
      <c r="BB42" s="7"/>
      <c r="BK42" s="7" t="s">
        <v>1383</v>
      </c>
      <c r="BN42" s="22"/>
      <c r="BO42" s="9"/>
      <c r="BP42" s="20"/>
      <c r="BQ42" s="30"/>
      <c r="BR42" s="50"/>
      <c r="BS42" s="1"/>
      <c r="BT42" s="1"/>
      <c r="BU42" s="30"/>
      <c r="BV42" s="50"/>
      <c r="BW42" s="1"/>
      <c r="BX42" s="1"/>
      <c r="BY42" s="264"/>
      <c r="BZ42" s="264"/>
      <c r="CA42" s="264"/>
      <c r="CB42" s="264"/>
      <c r="CC42" s="264"/>
      <c r="CD42" s="264"/>
    </row>
    <row r="43" spans="1:82">
      <c r="A43" s="42" t="s">
        <v>184</v>
      </c>
      <c r="B43" s="263"/>
      <c r="C43" s="2" t="s">
        <v>1646</v>
      </c>
      <c r="E43" s="263"/>
      <c r="I43" s="51"/>
      <c r="L43" s="143"/>
      <c r="O43" s="51"/>
      <c r="T43" s="171"/>
      <c r="AU43" s="211"/>
      <c r="AV43" s="211"/>
      <c r="AW43" s="7"/>
      <c r="AX43" s="7"/>
      <c r="AY43" s="211"/>
      <c r="AZ43" s="211"/>
      <c r="BA43" s="7"/>
      <c r="BB43" s="7"/>
      <c r="BR43" s="22"/>
      <c r="BS43" s="9"/>
      <c r="BT43" s="20"/>
      <c r="BU43" s="30"/>
      <c r="BV43" s="50"/>
      <c r="BW43" s="1"/>
      <c r="BX43" s="1"/>
      <c r="BY43" s="30"/>
      <c r="BZ43" s="50"/>
      <c r="CA43" s="1"/>
      <c r="CB43" s="1"/>
      <c r="CC43" s="264"/>
      <c r="CD43" s="264"/>
    </row>
    <row r="44" spans="1:82">
      <c r="A44" s="20" t="s">
        <v>185</v>
      </c>
      <c r="B44" s="263"/>
      <c r="C44" s="2" t="s">
        <v>1647</v>
      </c>
      <c r="E44" s="263"/>
      <c r="I44" s="51"/>
      <c r="L44" s="143"/>
      <c r="O44" s="51"/>
      <c r="T44" s="217"/>
      <c r="AU44" s="211"/>
      <c r="AV44" s="211"/>
      <c r="AW44" s="7"/>
      <c r="AX44" s="7"/>
      <c r="AY44" s="211"/>
      <c r="AZ44" s="211"/>
      <c r="BA44" s="7"/>
      <c r="BB44" s="7"/>
      <c r="BR44" s="22"/>
      <c r="BS44" s="9"/>
      <c r="BT44" s="20"/>
      <c r="BU44" s="30"/>
      <c r="BV44" s="50"/>
      <c r="BW44" s="1"/>
      <c r="BX44" s="1"/>
      <c r="BY44" s="30"/>
      <c r="BZ44" s="50"/>
      <c r="CA44" s="1"/>
      <c r="CB44" s="1"/>
      <c r="CC44" s="264"/>
      <c r="CD44" s="264"/>
    </row>
    <row r="45" spans="1:82">
      <c r="A45" s="2" t="s">
        <v>186</v>
      </c>
      <c r="B45" s="263"/>
      <c r="C45" s="2" t="s">
        <v>1648</v>
      </c>
      <c r="E45" s="263"/>
      <c r="H45" s="7"/>
      <c r="I45" s="51"/>
      <c r="L45" s="143"/>
      <c r="O45" s="51"/>
      <c r="T45" s="217"/>
      <c r="W45" s="211"/>
      <c r="X45" s="211"/>
      <c r="Y45" s="211"/>
      <c r="Z45" s="211"/>
      <c r="AU45" s="211"/>
      <c r="AV45" s="211"/>
      <c r="AW45" s="7"/>
      <c r="AX45" s="7"/>
      <c r="AY45" s="211"/>
      <c r="AZ45" s="211"/>
      <c r="BA45" s="7"/>
      <c r="BB45" s="7"/>
      <c r="BR45" s="22"/>
      <c r="BS45" s="9"/>
      <c r="BT45" s="20"/>
      <c r="BU45" s="30"/>
      <c r="BV45" s="50"/>
      <c r="BW45" s="1"/>
      <c r="BX45" s="1"/>
      <c r="BY45" s="30"/>
      <c r="BZ45" s="50"/>
      <c r="CA45" s="1"/>
      <c r="CB45" s="1"/>
      <c r="CC45" s="264"/>
      <c r="CD45" s="264"/>
    </row>
    <row r="46" spans="1:82">
      <c r="A46" s="12" t="s">
        <v>187</v>
      </c>
      <c r="B46" s="263"/>
      <c r="C46" s="2" t="s">
        <v>1649</v>
      </c>
      <c r="E46" s="263"/>
      <c r="H46" s="7"/>
      <c r="I46" s="51"/>
      <c r="L46" s="143"/>
      <c r="O46" s="51"/>
      <c r="T46" s="217"/>
      <c r="AU46" s="211"/>
      <c r="AV46" s="211"/>
      <c r="AW46" s="7"/>
      <c r="AX46" s="7"/>
      <c r="AY46" s="211"/>
      <c r="AZ46" s="211"/>
      <c r="BA46" s="7"/>
      <c r="BB46" s="7"/>
      <c r="BR46" s="22"/>
      <c r="BS46" s="9"/>
      <c r="BT46" s="20"/>
      <c r="BU46" s="30"/>
      <c r="BV46" s="50"/>
      <c r="BW46" s="1"/>
      <c r="BX46" s="1"/>
      <c r="BY46" s="30"/>
      <c r="BZ46" s="50"/>
      <c r="CA46" s="1"/>
      <c r="CB46" s="1"/>
      <c r="CC46" s="264"/>
      <c r="CD46" s="264"/>
    </row>
    <row r="47" spans="1:82">
      <c r="A47" s="2" t="s">
        <v>188</v>
      </c>
      <c r="B47" s="263"/>
      <c r="C47" s="2" t="s">
        <v>1650</v>
      </c>
      <c r="E47" s="263"/>
      <c r="H47" s="7"/>
      <c r="I47" s="51"/>
      <c r="K47" s="211"/>
      <c r="L47" s="143"/>
      <c r="O47" s="51"/>
      <c r="T47" s="217"/>
      <c r="AU47" s="211"/>
      <c r="AV47" s="211"/>
      <c r="AW47" s="7"/>
      <c r="AX47" s="7"/>
      <c r="AY47" s="211"/>
      <c r="AZ47" s="211"/>
      <c r="BA47" s="7"/>
      <c r="BB47" s="7"/>
      <c r="BR47" s="22"/>
      <c r="BS47" s="9"/>
      <c r="BT47" s="20"/>
      <c r="BU47" s="30"/>
      <c r="BV47" s="50"/>
      <c r="BW47" s="1"/>
      <c r="BX47" s="1"/>
      <c r="BY47" s="30"/>
      <c r="BZ47" s="50"/>
      <c r="CA47" s="1"/>
      <c r="CB47" s="1"/>
      <c r="CC47" s="264"/>
      <c r="CD47" s="264"/>
    </row>
    <row r="48" spans="1:82">
      <c r="A48" s="12" t="s">
        <v>189</v>
      </c>
      <c r="B48" s="263"/>
      <c r="C48" s="2" t="s">
        <v>1651</v>
      </c>
      <c r="E48" s="263"/>
      <c r="F48" s="7"/>
      <c r="G48" s="7"/>
      <c r="H48" s="7"/>
      <c r="I48" s="92"/>
      <c r="J48" s="92"/>
      <c r="K48" s="211"/>
      <c r="O48" s="92"/>
      <c r="T48" s="217"/>
      <c r="AU48" s="211"/>
      <c r="AV48" s="211"/>
      <c r="AW48" s="7"/>
      <c r="AX48" s="7"/>
      <c r="AY48" s="211"/>
      <c r="AZ48" s="211"/>
      <c r="BA48" s="7"/>
      <c r="BB48" s="7"/>
      <c r="BR48" s="22"/>
      <c r="BS48" s="9"/>
      <c r="BT48" s="20"/>
      <c r="BU48" s="30"/>
      <c r="BV48" s="50"/>
      <c r="BW48" s="1"/>
      <c r="BX48" s="1"/>
      <c r="BY48" s="30"/>
      <c r="BZ48" s="50"/>
      <c r="CA48" s="1"/>
      <c r="CB48" s="1"/>
      <c r="CC48" s="264"/>
      <c r="CD48" s="264"/>
    </row>
    <row r="49" spans="1:90">
      <c r="A49" s="2" t="s">
        <v>190</v>
      </c>
      <c r="B49" s="263"/>
      <c r="C49" s="22" t="s">
        <v>1652</v>
      </c>
      <c r="E49" s="263"/>
      <c r="F49" s="7"/>
      <c r="G49" s="7"/>
      <c r="H49" s="7"/>
      <c r="I49" s="135"/>
      <c r="J49" s="92"/>
      <c r="K49" s="211"/>
      <c r="O49" s="135"/>
      <c r="T49" s="217"/>
      <c r="AU49" s="211"/>
      <c r="AV49" s="211"/>
      <c r="AW49" s="7"/>
      <c r="AX49" s="7"/>
      <c r="AY49" s="211"/>
      <c r="AZ49" s="211"/>
      <c r="BA49" s="7"/>
      <c r="BB49" s="7"/>
      <c r="BR49" s="22"/>
      <c r="BS49" s="9"/>
      <c r="BT49" s="20"/>
      <c r="BU49" s="30"/>
      <c r="BV49" s="50"/>
      <c r="BW49" s="1"/>
      <c r="BX49" s="1"/>
      <c r="BY49" s="30"/>
      <c r="BZ49" s="50"/>
      <c r="CA49" s="1"/>
      <c r="CB49" s="1"/>
      <c r="CC49" s="264"/>
      <c r="CD49" s="264"/>
    </row>
    <row r="50" spans="1:90">
      <c r="A50" s="12" t="s">
        <v>191</v>
      </c>
      <c r="B50" s="263"/>
      <c r="C50" s="22" t="s">
        <v>1653</v>
      </c>
      <c r="E50" s="263"/>
      <c r="F50" s="7"/>
      <c r="G50" s="7"/>
      <c r="H50" s="7"/>
      <c r="I50" s="92"/>
      <c r="J50" s="92"/>
      <c r="K50" s="211"/>
      <c r="O50" s="92"/>
      <c r="T50" s="217"/>
      <c r="AU50" s="211"/>
      <c r="AV50" s="211"/>
      <c r="AW50" s="7"/>
      <c r="AX50" s="7"/>
      <c r="AY50" s="211"/>
      <c r="AZ50" s="211"/>
      <c r="BA50" s="7"/>
      <c r="BB50" s="7"/>
      <c r="BR50" s="22"/>
      <c r="BS50" s="9"/>
      <c r="BT50" s="20"/>
      <c r="BU50" s="30"/>
      <c r="BV50" s="50"/>
      <c r="BW50" s="1"/>
      <c r="BX50" s="1"/>
      <c r="BY50" s="30"/>
      <c r="BZ50" s="50"/>
      <c r="CA50" s="1"/>
      <c r="CB50" s="1"/>
      <c r="CC50" s="264"/>
      <c r="CD50" s="264"/>
    </row>
    <row r="51" spans="1:90">
      <c r="A51" s="2" t="s">
        <v>192</v>
      </c>
      <c r="B51" s="263"/>
      <c r="C51" s="22" t="s">
        <v>1654</v>
      </c>
      <c r="E51" s="263"/>
      <c r="F51" s="7"/>
      <c r="G51" s="7"/>
      <c r="H51" s="125"/>
      <c r="I51" s="92"/>
      <c r="J51" s="92"/>
      <c r="K51" s="211"/>
      <c r="O51" s="92"/>
      <c r="T51" s="217"/>
      <c r="AU51" s="211"/>
      <c r="AV51" s="211"/>
      <c r="AW51" s="7"/>
      <c r="AX51" s="7"/>
      <c r="AY51" s="211"/>
      <c r="AZ51" s="211"/>
      <c r="BA51" s="7"/>
      <c r="BB51" s="7"/>
      <c r="BR51" s="22"/>
      <c r="BS51" s="9"/>
      <c r="BT51" s="20"/>
      <c r="BU51" s="30"/>
      <c r="BV51" s="50"/>
      <c r="BW51" s="1"/>
      <c r="BX51" s="1"/>
      <c r="BY51" s="30"/>
      <c r="BZ51" s="50"/>
      <c r="CA51" s="1"/>
      <c r="CB51" s="1"/>
      <c r="CC51" s="264"/>
      <c r="CD51" s="264"/>
    </row>
    <row r="52" spans="1:90">
      <c r="A52" s="12" t="s">
        <v>193</v>
      </c>
      <c r="B52" s="263"/>
      <c r="C52" s="22" t="s">
        <v>1655</v>
      </c>
      <c r="E52" s="263"/>
      <c r="F52" s="7"/>
      <c r="G52" s="7"/>
      <c r="H52" s="125"/>
      <c r="I52" s="92"/>
      <c r="J52" s="92"/>
      <c r="K52" s="211"/>
      <c r="O52" s="92"/>
      <c r="AU52" s="211"/>
      <c r="AV52" s="211"/>
      <c r="AW52" s="7"/>
      <c r="AX52" s="7"/>
      <c r="AY52" s="211"/>
      <c r="AZ52" s="211"/>
      <c r="BA52" s="7"/>
      <c r="BB52" s="7"/>
      <c r="BR52" s="22"/>
      <c r="BS52" s="9"/>
      <c r="BT52" s="20"/>
      <c r="BU52" s="30"/>
      <c r="BV52" s="50"/>
      <c r="BW52" s="1"/>
      <c r="BX52" s="1"/>
      <c r="BY52" s="30"/>
      <c r="BZ52" s="50"/>
      <c r="CA52" s="1"/>
      <c r="CB52" s="1"/>
      <c r="CC52" s="264"/>
      <c r="CD52" s="264"/>
    </row>
    <row r="53" spans="1:90">
      <c r="A53" s="2" t="s">
        <v>194</v>
      </c>
      <c r="B53" s="263"/>
      <c r="C53" s="22" t="s">
        <v>1656</v>
      </c>
      <c r="E53" s="263"/>
      <c r="F53" s="7"/>
      <c r="G53" s="7"/>
      <c r="H53" s="125"/>
      <c r="AU53" s="211"/>
      <c r="AV53" s="211"/>
      <c r="AW53" s="7"/>
      <c r="AX53" s="7"/>
      <c r="AY53" s="211"/>
      <c r="AZ53" s="211"/>
      <c r="BA53" s="7"/>
      <c r="BB53" s="7"/>
      <c r="BR53" s="22"/>
      <c r="BS53" s="9"/>
      <c r="BT53" s="20"/>
      <c r="BU53" s="30"/>
      <c r="BV53" s="50"/>
      <c r="BW53" s="1"/>
      <c r="BX53" s="1"/>
      <c r="BY53" s="30"/>
      <c r="BZ53" s="50"/>
      <c r="CA53" s="1"/>
      <c r="CB53" s="1"/>
      <c r="CC53" s="264"/>
      <c r="CD53" s="264"/>
    </row>
    <row r="54" spans="1:90">
      <c r="A54" s="12" t="s">
        <v>195</v>
      </c>
      <c r="B54" s="263"/>
      <c r="C54" s="2" t="s">
        <v>1657</v>
      </c>
      <c r="E54" s="263"/>
      <c r="F54" s="27"/>
      <c r="G54" s="27"/>
      <c r="H54" s="125"/>
      <c r="AU54" s="211"/>
      <c r="AV54" s="211"/>
      <c r="AW54" s="7"/>
      <c r="AX54" s="7"/>
      <c r="AY54" s="211"/>
      <c r="AZ54" s="211"/>
      <c r="BA54" s="7"/>
      <c r="BB54" s="7"/>
      <c r="BR54" s="22"/>
      <c r="BS54" s="9"/>
      <c r="BT54" s="20"/>
      <c r="BU54" s="30"/>
      <c r="BV54" s="50"/>
      <c r="BW54" s="1"/>
      <c r="BX54" s="1"/>
      <c r="BY54" s="30"/>
      <c r="BZ54" s="50"/>
      <c r="CA54" s="1"/>
      <c r="CB54" s="1"/>
      <c r="CC54" s="264"/>
      <c r="CD54" s="264"/>
    </row>
    <row r="55" spans="1:90">
      <c r="A55" s="2" t="s">
        <v>196</v>
      </c>
      <c r="B55" s="263"/>
      <c r="C55" s="263"/>
      <c r="D55" s="27"/>
      <c r="E55" s="263"/>
      <c r="F55" s="27"/>
      <c r="G55" s="27"/>
      <c r="H55" s="125"/>
      <c r="AU55" s="211"/>
      <c r="AV55" s="211"/>
      <c r="AW55" s="7"/>
      <c r="AX55" s="7"/>
      <c r="AY55" s="211"/>
      <c r="AZ55" s="211"/>
      <c r="BA55" s="7"/>
      <c r="BB55" s="7"/>
      <c r="BR55" s="22"/>
      <c r="BS55" s="9"/>
      <c r="BT55" s="20"/>
      <c r="BU55" s="30"/>
      <c r="BV55" s="50"/>
      <c r="BW55" s="1"/>
      <c r="BX55" s="1"/>
      <c r="BY55" s="30"/>
      <c r="BZ55" s="50"/>
      <c r="CA55" s="1"/>
      <c r="CB55" s="1"/>
      <c r="CC55" s="264"/>
      <c r="CD55" s="264"/>
    </row>
    <row r="56" spans="1:90">
      <c r="A56" s="12" t="s">
        <v>197</v>
      </c>
      <c r="B56" s="263"/>
      <c r="C56" s="263"/>
      <c r="D56" s="51"/>
      <c r="E56" s="263"/>
      <c r="F56" s="27"/>
      <c r="G56" s="27"/>
      <c r="H56" s="125"/>
      <c r="AU56" s="211"/>
      <c r="AV56" s="211"/>
      <c r="AW56" s="7"/>
      <c r="AX56" s="7"/>
      <c r="AY56" s="211"/>
      <c r="AZ56" s="211"/>
      <c r="BA56" s="7"/>
      <c r="BB56" s="7"/>
      <c r="BR56" s="22"/>
      <c r="BS56" s="9"/>
      <c r="BT56" s="20"/>
      <c r="BU56" s="30"/>
      <c r="BV56" s="50"/>
      <c r="BW56" s="1"/>
      <c r="BX56" s="1"/>
      <c r="BY56" s="30"/>
      <c r="BZ56" s="50"/>
      <c r="CA56" s="1"/>
      <c r="CB56" s="1"/>
      <c r="CC56" s="7"/>
      <c r="CD56" s="7"/>
      <c r="CE56" s="7"/>
      <c r="CF56" s="7"/>
      <c r="CG56" s="7"/>
      <c r="CH56" s="7"/>
      <c r="CI56" s="7"/>
      <c r="CJ56" s="7"/>
      <c r="CK56" s="7"/>
      <c r="CL56" s="7"/>
    </row>
    <row r="57" spans="1:90">
      <c r="A57" s="42" t="s">
        <v>198</v>
      </c>
      <c r="B57" s="263"/>
      <c r="C57" s="263"/>
      <c r="D57" s="27"/>
      <c r="E57" s="263"/>
      <c r="F57" s="125"/>
      <c r="G57" s="125"/>
      <c r="H57" s="126"/>
      <c r="AU57" s="211"/>
      <c r="AV57" s="211"/>
      <c r="AW57" s="7"/>
      <c r="AX57" s="7"/>
      <c r="AY57" s="211"/>
      <c r="AZ57" s="211"/>
      <c r="BA57" s="7"/>
      <c r="BB57" s="7"/>
      <c r="BR57" s="22"/>
      <c r="BS57" s="9"/>
      <c r="BT57" s="20"/>
      <c r="BU57" s="30"/>
      <c r="BV57" s="50"/>
      <c r="BW57" s="1"/>
      <c r="BX57" s="1"/>
      <c r="BY57" s="30"/>
      <c r="BZ57" s="50"/>
      <c r="CA57" s="1"/>
      <c r="CB57" s="1"/>
      <c r="CC57" s="264"/>
      <c r="CD57" s="264"/>
    </row>
    <row r="58" spans="1:90">
      <c r="F58" s="125"/>
      <c r="G58" s="125"/>
      <c r="H58" s="7"/>
      <c r="W58" s="265"/>
      <c r="X58" s="67"/>
      <c r="Y58" s="58"/>
      <c r="Z58" s="11"/>
      <c r="AA58" s="99"/>
      <c r="AB58" s="9"/>
      <c r="AC58" s="88"/>
      <c r="AD58" s="12"/>
      <c r="AE58" s="84"/>
      <c r="AF58" s="83"/>
      <c r="AG58" s="78"/>
      <c r="AH58" s="119"/>
      <c r="AI58" s="264"/>
      <c r="AJ58" s="264"/>
      <c r="AK58" s="264"/>
      <c r="AL58" s="264"/>
      <c r="AM58" s="264"/>
      <c r="AN58" s="264"/>
      <c r="AO58" s="264"/>
      <c r="AP58" s="264"/>
      <c r="AQ58" s="264"/>
      <c r="AR58" s="264"/>
      <c r="AS58" s="264"/>
      <c r="AT58" s="264"/>
      <c r="AU58" s="264"/>
      <c r="AV58" s="264"/>
      <c r="AW58" s="264"/>
      <c r="AX58" s="264"/>
      <c r="AY58" s="264"/>
      <c r="AZ58" s="264"/>
      <c r="BA58" s="264"/>
      <c r="BB58" s="264"/>
      <c r="BC58" s="264"/>
      <c r="BD58" s="264"/>
      <c r="BE58" s="264"/>
      <c r="BF58" s="264"/>
      <c r="BG58" s="264"/>
      <c r="BH58" s="264"/>
      <c r="BI58" s="264"/>
      <c r="BJ58" s="264"/>
      <c r="BK58" s="264"/>
      <c r="BL58" s="264"/>
      <c r="BM58" s="264"/>
      <c r="BN58" s="264"/>
      <c r="BO58" s="264"/>
      <c r="BP58" s="264"/>
      <c r="BQ58" s="264"/>
      <c r="BR58" s="264"/>
      <c r="BS58" s="264"/>
      <c r="BT58" s="264"/>
      <c r="BU58" s="264"/>
      <c r="BV58" s="264"/>
      <c r="BW58" s="264"/>
      <c r="BX58" s="264"/>
      <c r="BY58" s="264"/>
      <c r="BZ58" s="264"/>
      <c r="CA58" s="264"/>
      <c r="CB58" s="264"/>
      <c r="CC58" s="264"/>
      <c r="CD58" s="264"/>
    </row>
    <row r="59" spans="1:90">
      <c r="A59" s="23" t="s">
        <v>199</v>
      </c>
      <c r="B59" s="143"/>
      <c r="F59" s="125"/>
      <c r="G59" s="125"/>
      <c r="H59" s="7"/>
      <c r="W59" s="265"/>
      <c r="X59" s="67"/>
      <c r="Y59" s="58"/>
      <c r="Z59" s="11"/>
      <c r="AA59" s="99"/>
      <c r="AB59" s="9"/>
      <c r="AC59" s="88"/>
      <c r="AD59" s="12"/>
      <c r="AE59" s="84"/>
      <c r="AF59" s="83"/>
      <c r="AG59" s="78"/>
      <c r="AH59" s="119"/>
      <c r="AI59" s="264"/>
      <c r="AJ59" s="264"/>
      <c r="AK59" s="264"/>
      <c r="AL59" s="264"/>
      <c r="AM59" s="264"/>
      <c r="AN59" s="264"/>
      <c r="AO59" s="264"/>
      <c r="AP59" s="264"/>
      <c r="AQ59" s="264"/>
      <c r="AR59" s="264"/>
      <c r="AS59" s="264"/>
      <c r="AT59" s="264"/>
      <c r="AU59" s="264"/>
      <c r="AV59" s="264"/>
      <c r="AW59" s="264"/>
      <c r="AX59" s="264"/>
      <c r="AY59" s="264"/>
      <c r="AZ59" s="264"/>
      <c r="BA59" s="264"/>
      <c r="BB59" s="264"/>
      <c r="BC59" s="264"/>
      <c r="BD59" s="264"/>
      <c r="BE59" s="264"/>
      <c r="BF59" s="264"/>
      <c r="BG59" s="264"/>
      <c r="BH59" s="264"/>
      <c r="BI59" s="264"/>
      <c r="BJ59" s="264"/>
      <c r="BK59" s="264"/>
      <c r="BL59" s="264"/>
      <c r="BM59" s="264"/>
      <c r="BN59" s="264"/>
      <c r="BO59" s="264"/>
      <c r="BP59" s="264"/>
      <c r="BQ59" s="264"/>
      <c r="BR59" s="264"/>
      <c r="BS59" s="264"/>
      <c r="BT59" s="264"/>
      <c r="BU59" s="264"/>
      <c r="BV59" s="264"/>
      <c r="BW59" s="264"/>
      <c r="BX59" s="264"/>
      <c r="BY59" s="264"/>
      <c r="BZ59" s="264"/>
      <c r="CA59" s="264"/>
      <c r="CB59" s="264"/>
      <c r="CC59" s="264"/>
      <c r="CD59" s="264"/>
    </row>
    <row r="60" spans="1:90">
      <c r="A60" s="23" t="s">
        <v>200</v>
      </c>
      <c r="B60" s="143"/>
      <c r="F60" s="127"/>
      <c r="G60" s="127"/>
      <c r="W60" s="265"/>
      <c r="X60" s="67"/>
      <c r="Y60" s="58"/>
      <c r="Z60" s="11"/>
      <c r="AA60" s="99"/>
      <c r="AB60" s="9"/>
      <c r="AC60" s="88"/>
      <c r="AD60" s="12"/>
      <c r="AE60" s="84"/>
      <c r="AF60" s="83"/>
      <c r="AG60" s="78"/>
      <c r="AH60" s="119"/>
      <c r="AI60" s="264"/>
      <c r="AJ60" s="264"/>
      <c r="AK60" s="264"/>
      <c r="AL60" s="264"/>
      <c r="AM60" s="264"/>
      <c r="AN60" s="264"/>
      <c r="AO60" s="264"/>
      <c r="AP60" s="264"/>
      <c r="AQ60" s="264"/>
      <c r="AR60" s="264"/>
      <c r="AS60" s="264"/>
      <c r="AT60" s="264"/>
      <c r="AU60" s="264"/>
      <c r="AV60" s="264"/>
      <c r="AW60" s="264"/>
      <c r="AX60" s="264"/>
      <c r="AY60" s="264"/>
      <c r="AZ60" s="264"/>
      <c r="BA60" s="264"/>
      <c r="BB60" s="264"/>
      <c r="BC60" s="264"/>
      <c r="BD60" s="264"/>
      <c r="BE60" s="264"/>
      <c r="BF60" s="264"/>
      <c r="BG60" s="264"/>
      <c r="BH60" s="264"/>
      <c r="BI60" s="264"/>
      <c r="BJ60" s="264"/>
      <c r="BK60" s="264"/>
      <c r="BL60" s="264"/>
      <c r="BM60" s="264"/>
      <c r="BN60" s="264"/>
      <c r="BO60" s="264"/>
      <c r="BP60" s="264"/>
      <c r="BQ60" s="264"/>
      <c r="BR60" s="264"/>
      <c r="BS60" s="264"/>
      <c r="BT60" s="264"/>
      <c r="BU60" s="264"/>
      <c r="BV60" s="264"/>
      <c r="BW60" s="264"/>
      <c r="BX60" s="264"/>
      <c r="BY60" s="264"/>
      <c r="BZ60" s="264"/>
      <c r="CA60" s="264"/>
      <c r="CB60" s="264"/>
      <c r="CC60" s="264"/>
      <c r="CD60" s="264"/>
    </row>
    <row r="61" spans="1:90">
      <c r="A61" s="23" t="s">
        <v>201</v>
      </c>
      <c r="B61" s="143"/>
      <c r="F61" s="264"/>
      <c r="G61" s="264"/>
      <c r="W61" s="265"/>
      <c r="X61" s="67"/>
      <c r="Y61" s="58"/>
      <c r="Z61" s="11"/>
      <c r="AA61" s="99"/>
      <c r="AB61" s="9"/>
      <c r="AC61" s="88"/>
      <c r="AD61" s="12"/>
      <c r="AE61" s="84"/>
      <c r="AF61" s="83"/>
      <c r="AG61" s="78"/>
      <c r="AH61" s="119"/>
      <c r="AI61" s="264"/>
      <c r="AJ61" s="264"/>
      <c r="AK61" s="264"/>
      <c r="AL61" s="264"/>
      <c r="AM61" s="264"/>
      <c r="AN61" s="264"/>
      <c r="AO61" s="264"/>
      <c r="AP61" s="264"/>
      <c r="AQ61" s="264"/>
      <c r="AR61" s="264"/>
      <c r="AS61" s="264"/>
      <c r="AT61" s="264"/>
      <c r="AU61" s="264"/>
      <c r="AV61" s="264"/>
      <c r="AW61" s="264"/>
      <c r="AX61" s="264"/>
      <c r="AY61" s="264"/>
      <c r="AZ61" s="264"/>
      <c r="BA61" s="264"/>
      <c r="BB61" s="264"/>
      <c r="BC61" s="264"/>
      <c r="BD61" s="264"/>
      <c r="BE61" s="264"/>
      <c r="BF61" s="264"/>
      <c r="BG61" s="264"/>
      <c r="BH61" s="264"/>
      <c r="BI61" s="264"/>
      <c r="BJ61" s="264"/>
      <c r="BK61" s="264"/>
      <c r="BL61" s="264"/>
      <c r="BM61" s="264"/>
      <c r="BN61" s="264"/>
      <c r="BO61" s="264"/>
      <c r="BP61" s="264"/>
      <c r="BQ61" s="264"/>
      <c r="BR61" s="264"/>
      <c r="BS61" s="264"/>
      <c r="BT61" s="264"/>
      <c r="BU61" s="264"/>
      <c r="BV61" s="264"/>
      <c r="BW61" s="264"/>
      <c r="BX61" s="264"/>
      <c r="BY61" s="264"/>
      <c r="BZ61" s="264"/>
      <c r="CA61" s="264"/>
      <c r="CB61" s="264"/>
      <c r="CC61" s="264"/>
      <c r="CD61" s="264"/>
    </row>
    <row r="62" spans="1:90">
      <c r="A62" s="22" t="s">
        <v>202</v>
      </c>
      <c r="B62" s="143"/>
      <c r="F62" s="264"/>
      <c r="G62" s="264"/>
      <c r="W62" s="265"/>
      <c r="X62" s="67"/>
      <c r="Y62" s="58"/>
      <c r="Z62" s="11"/>
      <c r="AA62" s="99"/>
      <c r="AB62" s="9"/>
      <c r="AC62" s="88"/>
      <c r="AD62" s="12"/>
      <c r="AE62" s="84"/>
      <c r="AF62" s="83"/>
      <c r="AG62" s="78"/>
      <c r="AH62" s="119"/>
      <c r="AI62" s="264"/>
      <c r="AJ62" s="264"/>
      <c r="AK62" s="264"/>
      <c r="AL62" s="264"/>
      <c r="AM62" s="264"/>
      <c r="AN62" s="264"/>
      <c r="AO62" s="264"/>
      <c r="AP62" s="264"/>
      <c r="AQ62" s="264"/>
      <c r="AR62" s="264"/>
      <c r="AS62" s="264"/>
      <c r="AT62" s="264"/>
      <c r="AU62" s="264"/>
      <c r="AV62" s="264"/>
      <c r="AW62" s="264"/>
      <c r="AX62" s="264"/>
      <c r="AY62" s="264"/>
      <c r="AZ62" s="264"/>
      <c r="BA62" s="264"/>
      <c r="BB62" s="264"/>
      <c r="BC62" s="264"/>
      <c r="BD62" s="264"/>
      <c r="BE62" s="264"/>
      <c r="BF62" s="264"/>
      <c r="BG62" s="264"/>
      <c r="BH62" s="264"/>
      <c r="BI62" s="264"/>
      <c r="BJ62" s="264"/>
      <c r="BK62" s="264"/>
      <c r="BL62" s="264"/>
      <c r="BM62" s="264"/>
      <c r="BN62" s="264"/>
      <c r="BO62" s="264"/>
      <c r="BP62" s="264"/>
      <c r="BQ62" s="264"/>
      <c r="BR62" s="264"/>
      <c r="BS62" s="264"/>
      <c r="BT62" s="264"/>
      <c r="BU62" s="264"/>
      <c r="BV62" s="264"/>
      <c r="BW62" s="264"/>
      <c r="BX62" s="264"/>
      <c r="BY62" s="264"/>
      <c r="BZ62" s="264"/>
      <c r="CA62" s="264"/>
      <c r="CB62" s="264"/>
      <c r="CC62" s="264"/>
      <c r="CD62" s="264"/>
    </row>
    <row r="63" spans="1:90">
      <c r="A63" s="22" t="s">
        <v>203</v>
      </c>
      <c r="B63" s="143"/>
      <c r="W63" s="265"/>
      <c r="X63" s="67"/>
      <c r="Y63" s="58"/>
      <c r="Z63" s="11"/>
      <c r="AA63" s="99"/>
      <c r="AB63" s="9"/>
      <c r="AC63" s="88"/>
      <c r="AD63" s="12"/>
      <c r="AE63" s="84"/>
      <c r="AF63" s="83"/>
      <c r="AG63" s="78"/>
      <c r="AH63" s="119"/>
      <c r="AI63" s="264"/>
      <c r="AJ63" s="264"/>
      <c r="AK63" s="264"/>
      <c r="AL63" s="264"/>
      <c r="AM63" s="264"/>
      <c r="AN63" s="264"/>
      <c r="AO63" s="264"/>
      <c r="AP63" s="264"/>
      <c r="AQ63" s="264"/>
      <c r="AR63" s="264"/>
      <c r="AS63" s="264"/>
      <c r="AT63" s="264"/>
      <c r="AU63" s="264"/>
      <c r="AV63" s="264"/>
      <c r="AW63" s="264"/>
      <c r="AX63" s="264"/>
      <c r="AY63" s="264"/>
      <c r="AZ63" s="264"/>
      <c r="BA63" s="264"/>
      <c r="BB63" s="264"/>
      <c r="BC63" s="264"/>
      <c r="BD63" s="264"/>
      <c r="BE63" s="264"/>
      <c r="BF63" s="264"/>
      <c r="BG63" s="264"/>
      <c r="BH63" s="264"/>
      <c r="BI63" s="264"/>
      <c r="BJ63" s="264"/>
      <c r="BK63" s="264"/>
      <c r="BL63" s="264"/>
      <c r="BM63" s="264"/>
      <c r="BN63" s="264"/>
      <c r="BO63" s="264"/>
      <c r="BP63" s="264"/>
      <c r="BQ63" s="264"/>
      <c r="BR63" s="264"/>
      <c r="BS63" s="264"/>
      <c r="BT63" s="264"/>
      <c r="BU63" s="264"/>
      <c r="BV63" s="264"/>
      <c r="BW63" s="264"/>
      <c r="BX63" s="264"/>
      <c r="BY63" s="264"/>
      <c r="BZ63" s="264"/>
      <c r="CA63" s="264"/>
      <c r="CB63" s="264"/>
      <c r="CC63" s="264"/>
      <c r="CD63" s="264"/>
    </row>
    <row r="64" spans="1:90">
      <c r="A64" s="22" t="s">
        <v>204</v>
      </c>
      <c r="B64" s="143"/>
      <c r="W64" s="265"/>
      <c r="X64" s="67"/>
      <c r="Y64" s="58"/>
      <c r="Z64" s="11"/>
      <c r="AA64" s="99"/>
      <c r="AB64" s="9"/>
      <c r="AC64" s="88"/>
      <c r="AD64" s="12"/>
      <c r="AE64" s="84"/>
      <c r="AF64" s="83"/>
      <c r="AG64" s="78"/>
      <c r="AH64" s="119"/>
      <c r="AI64" s="264"/>
      <c r="AJ64" s="264"/>
      <c r="AK64" s="264"/>
      <c r="AL64" s="264"/>
      <c r="AM64" s="264"/>
      <c r="AN64" s="264"/>
      <c r="AO64" s="264"/>
      <c r="AP64" s="264"/>
      <c r="AQ64" s="264"/>
      <c r="AR64" s="264"/>
      <c r="AS64" s="264"/>
      <c r="AT64" s="264"/>
      <c r="AU64" s="264"/>
      <c r="AV64" s="264"/>
      <c r="AW64" s="264"/>
      <c r="AX64" s="264"/>
      <c r="AY64" s="264"/>
      <c r="AZ64" s="264"/>
      <c r="BA64" s="264"/>
      <c r="BB64" s="264"/>
      <c r="BC64" s="264"/>
      <c r="BD64" s="264"/>
      <c r="BE64" s="264"/>
      <c r="BF64" s="264"/>
      <c r="BG64" s="264"/>
      <c r="BH64" s="264"/>
      <c r="BI64" s="264"/>
      <c r="BJ64" s="264"/>
      <c r="BK64" s="264"/>
      <c r="BL64" s="264"/>
      <c r="BM64" s="264"/>
      <c r="BN64" s="264"/>
      <c r="BO64" s="264"/>
      <c r="BP64" s="264"/>
      <c r="BQ64" s="264"/>
      <c r="BR64" s="264"/>
      <c r="BS64" s="264"/>
      <c r="BT64" s="264"/>
      <c r="BU64" s="264"/>
      <c r="BV64" s="264"/>
      <c r="BW64" s="264"/>
      <c r="BX64" s="264"/>
      <c r="BY64" s="264"/>
      <c r="BZ64" s="264"/>
      <c r="CA64" s="264"/>
      <c r="CB64" s="264"/>
      <c r="CC64" s="264"/>
      <c r="CD64" s="264"/>
    </row>
    <row r="65" spans="1:82">
      <c r="W65" s="265"/>
      <c r="X65" s="67"/>
      <c r="Y65" s="58"/>
      <c r="Z65" s="11"/>
      <c r="AA65" s="99"/>
      <c r="AB65" s="9"/>
      <c r="AC65" s="88"/>
      <c r="AD65" s="12"/>
      <c r="AE65" s="84"/>
      <c r="AF65" s="83"/>
      <c r="AG65" s="78"/>
      <c r="AH65" s="119"/>
      <c r="AI65" s="264"/>
      <c r="AJ65" s="264"/>
      <c r="AK65" s="264"/>
      <c r="AL65" s="264"/>
      <c r="AM65" s="264"/>
      <c r="AN65" s="264"/>
      <c r="AO65" s="264"/>
      <c r="AP65" s="264"/>
      <c r="AQ65" s="264"/>
      <c r="AR65" s="264"/>
      <c r="AS65" s="264"/>
      <c r="AT65" s="264"/>
      <c r="AU65" s="264"/>
      <c r="AV65" s="264"/>
      <c r="AW65" s="264"/>
      <c r="AX65" s="264"/>
      <c r="AY65" s="264"/>
      <c r="AZ65" s="264"/>
      <c r="BA65" s="264"/>
      <c r="BB65" s="264"/>
      <c r="BC65" s="264"/>
      <c r="BD65" s="264"/>
      <c r="BE65" s="264"/>
      <c r="BF65" s="264"/>
      <c r="BG65" s="264"/>
      <c r="BH65" s="264"/>
      <c r="BI65" s="264"/>
      <c r="BJ65" s="264"/>
      <c r="BK65" s="264"/>
      <c r="BL65" s="264"/>
      <c r="BM65" s="264"/>
      <c r="BN65" s="264"/>
      <c r="BO65" s="264"/>
      <c r="BP65" s="264"/>
      <c r="BQ65" s="264"/>
      <c r="BR65" s="264"/>
      <c r="BS65" s="264"/>
      <c r="BT65" s="264"/>
      <c r="BU65" s="264"/>
      <c r="BV65" s="264"/>
      <c r="BW65" s="264"/>
      <c r="BX65" s="264"/>
      <c r="BY65" s="264"/>
      <c r="BZ65" s="264"/>
      <c r="CA65" s="264"/>
      <c r="CB65" s="264"/>
      <c r="CC65" s="264"/>
      <c r="CD65" s="264"/>
    </row>
    <row r="66" spans="1:82">
      <c r="A66" s="211" t="s">
        <v>1474</v>
      </c>
      <c r="B66" s="30" t="s">
        <v>1475</v>
      </c>
      <c r="C66" s="8" t="s">
        <v>1476</v>
      </c>
      <c r="D66" s="30" t="s">
        <v>1478</v>
      </c>
      <c r="E66" s="8" t="s">
        <v>3</v>
      </c>
    </row>
    <row r="67" spans="1:82">
      <c r="A67" s="212" t="s">
        <v>1876</v>
      </c>
      <c r="B67" s="40">
        <v>87</v>
      </c>
      <c r="C67" s="6">
        <v>89.6</v>
      </c>
      <c r="D67" s="62">
        <f>B67-C67</f>
        <v>-2.5999999999999943</v>
      </c>
      <c r="E67" s="152">
        <f>D67/C67</f>
        <v>-2.9017857142857081E-2</v>
      </c>
    </row>
    <row r="68" spans="1:82">
      <c r="A68" s="211" t="s">
        <v>1875</v>
      </c>
      <c r="B68" s="13">
        <f>SUM(B67:B67)</f>
        <v>87</v>
      </c>
      <c r="C68" s="45">
        <f>SUM(C67:C67)</f>
        <v>89.6</v>
      </c>
      <c r="D68" s="62">
        <f>B68-C68</f>
        <v>-2.5999999999999943</v>
      </c>
      <c r="E68" s="152">
        <f>D68/C68</f>
        <v>-2.9017857142857081E-2</v>
      </c>
    </row>
    <row r="69" spans="1:82">
      <c r="A69" s="211" t="s">
        <v>1474</v>
      </c>
      <c r="B69" s="30" t="s">
        <v>1475</v>
      </c>
      <c r="C69" s="8" t="s">
        <v>1476</v>
      </c>
      <c r="D69" s="30" t="s">
        <v>1478</v>
      </c>
      <c r="E69" s="8" t="s">
        <v>1477</v>
      </c>
    </row>
    <row r="70" spans="1:82">
      <c r="A70" s="213" t="s">
        <v>1479</v>
      </c>
      <c r="B70" s="7"/>
      <c r="C70" s="7"/>
      <c r="D70" s="15">
        <v>8.8800000000000008</v>
      </c>
      <c r="E70" s="105"/>
    </row>
    <row r="71" spans="1:82">
      <c r="A71" s="212" t="s">
        <v>1499</v>
      </c>
      <c r="B71" s="40">
        <v>294.64999999999998</v>
      </c>
      <c r="C71" s="6">
        <v>277</v>
      </c>
      <c r="D71" s="62">
        <f t="shared" ref="D71:D76" si="4">B71-C71</f>
        <v>17.649999999999977</v>
      </c>
      <c r="E71" s="105">
        <f t="shared" ref="E71:E77" si="5">D71/C71</f>
        <v>6.3718411552346491E-2</v>
      </c>
    </row>
    <row r="72" spans="1:82">
      <c r="A72" s="212" t="s">
        <v>1498</v>
      </c>
      <c r="B72" s="40">
        <v>406.8</v>
      </c>
      <c r="C72" s="6">
        <v>411.67</v>
      </c>
      <c r="D72" s="62">
        <f t="shared" si="4"/>
        <v>-4.8700000000000045</v>
      </c>
      <c r="E72" s="105">
        <f t="shared" si="5"/>
        <v>-1.1829863725799802E-2</v>
      </c>
      <c r="I72" s="96"/>
      <c r="O72" s="96"/>
    </row>
    <row r="73" spans="1:82">
      <c r="A73" s="212" t="s">
        <v>1497</v>
      </c>
      <c r="B73" s="40">
        <v>187.7</v>
      </c>
      <c r="C73" s="6">
        <v>179.88</v>
      </c>
      <c r="D73" s="62">
        <f t="shared" si="4"/>
        <v>7.8199999999999932</v>
      </c>
      <c r="E73" s="105">
        <f t="shared" si="5"/>
        <v>4.3473426728930363E-2</v>
      </c>
      <c r="I73" s="96"/>
      <c r="O73" s="96"/>
    </row>
    <row r="74" spans="1:82">
      <c r="A74" s="212" t="s">
        <v>1496</v>
      </c>
      <c r="B74" s="40">
        <v>696.4</v>
      </c>
      <c r="C74" s="6">
        <v>675.66</v>
      </c>
      <c r="D74" s="62">
        <f t="shared" si="4"/>
        <v>20.740000000000009</v>
      </c>
      <c r="E74" s="105">
        <f t="shared" si="5"/>
        <v>3.0695912145161784E-2</v>
      </c>
      <c r="I74" s="96"/>
      <c r="M74" s="44"/>
      <c r="O74" s="96"/>
    </row>
    <row r="75" spans="1:82">
      <c r="A75" s="212" t="s">
        <v>1495</v>
      </c>
      <c r="B75" s="40">
        <v>80.45</v>
      </c>
      <c r="C75" s="6">
        <v>77.39</v>
      </c>
      <c r="D75" s="62">
        <f t="shared" si="4"/>
        <v>3.0600000000000023</v>
      </c>
      <c r="E75" s="105">
        <f t="shared" si="5"/>
        <v>3.9539992247060375E-2</v>
      </c>
      <c r="I75" s="97"/>
      <c r="M75" s="44"/>
      <c r="O75" s="97"/>
    </row>
    <row r="76" spans="1:82">
      <c r="A76" s="212" t="s">
        <v>1470</v>
      </c>
      <c r="B76" s="40">
        <v>235.25</v>
      </c>
      <c r="C76" s="6">
        <v>187.37</v>
      </c>
      <c r="D76" s="62">
        <f t="shared" si="4"/>
        <v>47.879999999999995</v>
      </c>
      <c r="E76" s="105">
        <f t="shared" si="5"/>
        <v>0.25553717243955804</v>
      </c>
      <c r="I76" s="97"/>
      <c r="M76" s="44"/>
      <c r="O76" s="97"/>
    </row>
    <row r="77" spans="1:82">
      <c r="A77" s="211" t="s">
        <v>1485</v>
      </c>
      <c r="B77" s="13">
        <f>SUM(B71:B76)</f>
        <v>1901.2500000000002</v>
      </c>
      <c r="C77" s="45">
        <f>SUM(C71:C76)</f>
        <v>1808.9700000000003</v>
      </c>
      <c r="D77" s="15">
        <f>SUM(D70:D76)</f>
        <v>101.15999999999997</v>
      </c>
      <c r="E77" s="105">
        <f t="shared" si="5"/>
        <v>5.5921325395114324E-2</v>
      </c>
      <c r="I77" s="97"/>
      <c r="M77" s="44"/>
      <c r="O77" s="97"/>
    </row>
    <row r="78" spans="1:82">
      <c r="I78" s="97"/>
      <c r="M78" s="44"/>
      <c r="O78" s="97"/>
    </row>
    <row r="79" spans="1:82">
      <c r="I79" s="97"/>
      <c r="O79" s="97"/>
    </row>
    <row r="80" spans="1:82">
      <c r="A80" s="87" t="s">
        <v>849</v>
      </c>
      <c r="B80" s="263" t="s">
        <v>1509</v>
      </c>
      <c r="C80" s="263" t="s">
        <v>1568</v>
      </c>
      <c r="D80" s="263" t="s">
        <v>3610</v>
      </c>
      <c r="E80" s="263" t="s">
        <v>1113</v>
      </c>
      <c r="I80" s="97"/>
      <c r="M80" s="27"/>
      <c r="O80" s="97"/>
    </row>
    <row r="81" spans="1:92">
      <c r="A81" s="87" t="s">
        <v>1791</v>
      </c>
      <c r="B81" s="263" t="s">
        <v>1118</v>
      </c>
      <c r="C81" s="263" t="s">
        <v>1569</v>
      </c>
      <c r="D81" s="263" t="s">
        <v>3612</v>
      </c>
      <c r="E81" s="263" t="s">
        <v>1115</v>
      </c>
      <c r="I81" s="97"/>
      <c r="M81" s="27"/>
      <c r="O81" s="97"/>
    </row>
    <row r="82" spans="1:92">
      <c r="A82" s="87" t="s">
        <v>1949</v>
      </c>
      <c r="B82" s="263" t="s">
        <v>1119</v>
      </c>
      <c r="C82" s="263" t="s">
        <v>1578</v>
      </c>
      <c r="D82" s="263"/>
      <c r="E82" s="263" t="s">
        <v>1116</v>
      </c>
      <c r="I82" s="98"/>
      <c r="M82" s="27"/>
      <c r="O82" s="98"/>
    </row>
    <row r="83" spans="1:92">
      <c r="A83" s="87" t="s">
        <v>851</v>
      </c>
      <c r="B83" s="263" t="s">
        <v>1155</v>
      </c>
      <c r="C83" s="263" t="s">
        <v>1570</v>
      </c>
      <c r="D83" s="263" t="s">
        <v>3611</v>
      </c>
      <c r="E83" s="263" t="s">
        <v>1154</v>
      </c>
      <c r="I83" s="98"/>
      <c r="M83" s="136"/>
      <c r="O83" s="98"/>
      <c r="CE83" s="7"/>
      <c r="CF83" s="7"/>
      <c r="CG83" s="7"/>
      <c r="CH83" s="7"/>
      <c r="CI83" s="7"/>
      <c r="CJ83" s="7"/>
      <c r="CK83" s="7"/>
      <c r="CL83" s="7"/>
      <c r="CM83" s="7"/>
      <c r="CN83" s="7"/>
    </row>
    <row r="84" spans="1:92">
      <c r="A84" s="263" t="s">
        <v>1060</v>
      </c>
      <c r="B84" s="263" t="s">
        <v>1106</v>
      </c>
      <c r="C84" s="263" t="s">
        <v>1106</v>
      </c>
      <c r="D84" s="263" t="s">
        <v>1110</v>
      </c>
      <c r="E84" s="263" t="s">
        <v>1106</v>
      </c>
      <c r="I84" s="42"/>
      <c r="L84" s="125"/>
      <c r="M84" s="136"/>
      <c r="O84" s="42"/>
    </row>
    <row r="85" spans="1:92">
      <c r="A85" s="263" t="s">
        <v>1160</v>
      </c>
      <c r="B85" s="87" t="s">
        <v>1142</v>
      </c>
      <c r="C85" s="87" t="s">
        <v>1136</v>
      </c>
      <c r="D85" s="87" t="s">
        <v>1133</v>
      </c>
      <c r="E85" s="87" t="s">
        <v>1133</v>
      </c>
      <c r="I85" s="98"/>
      <c r="L85" s="125"/>
      <c r="M85" s="136"/>
      <c r="O85" s="98"/>
    </row>
    <row r="86" spans="1:92">
      <c r="A86" s="263" t="s">
        <v>1105</v>
      </c>
      <c r="B86" s="261" t="s">
        <v>1834</v>
      </c>
      <c r="C86" s="279" t="s">
        <v>1833</v>
      </c>
      <c r="E86" s="263"/>
      <c r="I86" s="98"/>
      <c r="J86" s="7"/>
      <c r="K86" s="7"/>
      <c r="L86" s="125"/>
      <c r="O86" s="98"/>
    </row>
    <row r="87" spans="1:92">
      <c r="A87" s="263" t="s">
        <v>1161</v>
      </c>
      <c r="H87" s="9"/>
      <c r="L87" s="2"/>
    </row>
    <row r="88" spans="1:92">
      <c r="A88" s="263" t="s">
        <v>1106</v>
      </c>
      <c r="H88" s="9"/>
      <c r="L88" s="9"/>
    </row>
    <row r="89" spans="1:92">
      <c r="A89" s="87" t="s">
        <v>1142</v>
      </c>
      <c r="H89" s="9"/>
      <c r="L89" s="43"/>
    </row>
    <row r="90" spans="1:92">
      <c r="F90" s="29"/>
      <c r="G90" s="29"/>
      <c r="H90" s="9"/>
      <c r="CE90" s="7"/>
      <c r="CF90" s="7"/>
      <c r="CG90" s="7"/>
      <c r="CH90" s="7"/>
      <c r="CI90" s="7"/>
      <c r="CJ90" s="7"/>
      <c r="CK90" s="7"/>
      <c r="CL90" s="7"/>
      <c r="CM90" s="7"/>
      <c r="CN90" s="7"/>
    </row>
    <row r="91" spans="1:92">
      <c r="H91" s="9"/>
    </row>
    <row r="92" spans="1:92">
      <c r="H92" s="9"/>
    </row>
    <row r="93" spans="1:92">
      <c r="H93" s="9"/>
    </row>
    <row r="99" spans="1:5">
      <c r="E99" s="7"/>
    </row>
    <row r="100" spans="1:5">
      <c r="A100" s="42" t="s">
        <v>1668</v>
      </c>
      <c r="D100" s="92"/>
      <c r="E100" s="92"/>
    </row>
    <row r="101" spans="1:5">
      <c r="A101" s="69" t="s">
        <v>1667</v>
      </c>
      <c r="D101" s="92"/>
      <c r="E101" s="92"/>
    </row>
    <row r="102" spans="1:5">
      <c r="A102" s="6"/>
      <c r="D102" s="92"/>
      <c r="E102" s="92"/>
    </row>
    <row r="103" spans="1:5">
      <c r="A103" s="2" t="s">
        <v>1669</v>
      </c>
      <c r="D103" s="92"/>
      <c r="E103" s="92"/>
    </row>
    <row r="104" spans="1:5">
      <c r="A104" s="69" t="s">
        <v>1670</v>
      </c>
      <c r="D104" s="92"/>
      <c r="E104" s="92"/>
    </row>
    <row r="105" spans="1:5">
      <c r="A105" s="69" t="s">
        <v>1671</v>
      </c>
      <c r="D105" s="92"/>
      <c r="E105" s="92"/>
    </row>
    <row r="106" spans="1:5">
      <c r="A106" s="6"/>
      <c r="D106" s="92"/>
      <c r="E106" s="92"/>
    </row>
    <row r="107" spans="1:5">
      <c r="A107" s="2" t="s">
        <v>1870</v>
      </c>
      <c r="D107" s="92"/>
      <c r="E107" s="92"/>
    </row>
    <row r="109" spans="1:5">
      <c r="A109" s="143" t="s">
        <v>1835</v>
      </c>
    </row>
    <row r="110" spans="1:5">
      <c r="A110" s="143" t="s">
        <v>1836</v>
      </c>
    </row>
    <row r="111" spans="1:5">
      <c r="A111" s="143" t="s">
        <v>1849</v>
      </c>
    </row>
    <row r="112" spans="1:5">
      <c r="A112" s="143" t="s">
        <v>1848</v>
      </c>
    </row>
    <row r="113" spans="1:1">
      <c r="A113" s="143" t="s">
        <v>1850</v>
      </c>
    </row>
    <row r="114" spans="1:1">
      <c r="A114" s="143" t="s">
        <v>1851</v>
      </c>
    </row>
    <row r="115" spans="1:1">
      <c r="A115" s="143" t="s">
        <v>1852</v>
      </c>
    </row>
    <row r="116" spans="1:1">
      <c r="A116" s="143" t="s">
        <v>1853</v>
      </c>
    </row>
    <row r="117" spans="1:1">
      <c r="A117" s="143" t="s">
        <v>1854</v>
      </c>
    </row>
    <row r="118" spans="1:1">
      <c r="A118" s="143" t="s">
        <v>1855</v>
      </c>
    </row>
    <row r="119" spans="1:1">
      <c r="A119" s="9"/>
    </row>
    <row r="120" spans="1:1">
      <c r="A120" s="9" t="s">
        <v>1837</v>
      </c>
    </row>
    <row r="121" spans="1:1">
      <c r="A121" s="9" t="s">
        <v>1838</v>
      </c>
    </row>
    <row r="122" spans="1:1">
      <c r="A122" s="9" t="s">
        <v>1839</v>
      </c>
    </row>
    <row r="123" spans="1:1">
      <c r="A123" s="9" t="s">
        <v>1840</v>
      </c>
    </row>
    <row r="124" spans="1:1">
      <c r="A124" s="9" t="s">
        <v>1841</v>
      </c>
    </row>
    <row r="125" spans="1:1">
      <c r="A125" s="9" t="s">
        <v>1842</v>
      </c>
    </row>
    <row r="126" spans="1:1">
      <c r="A126" s="9" t="s">
        <v>1843</v>
      </c>
    </row>
    <row r="127" spans="1:1">
      <c r="A127" s="9" t="s">
        <v>1844</v>
      </c>
    </row>
    <row r="128" spans="1:1">
      <c r="A128" s="9" t="s">
        <v>1845</v>
      </c>
    </row>
    <row r="129" spans="1:5">
      <c r="A129" s="9" t="s">
        <v>1846</v>
      </c>
    </row>
    <row r="130" spans="1:5">
      <c r="A130" s="9" t="s">
        <v>1847</v>
      </c>
    </row>
    <row r="133" spans="1:5">
      <c r="A133" s="263" t="s">
        <v>1114</v>
      </c>
      <c r="B133" s="263" t="s">
        <v>1113</v>
      </c>
      <c r="C133" s="263" t="s">
        <v>1087</v>
      </c>
      <c r="D133" s="263" t="s">
        <v>1061</v>
      </c>
      <c r="E133" s="263" t="s">
        <v>1062</v>
      </c>
    </row>
    <row r="134" spans="1:5">
      <c r="A134" s="263" t="s">
        <v>1115</v>
      </c>
      <c r="B134" s="263" t="s">
        <v>1115</v>
      </c>
      <c r="C134" s="263" t="s">
        <v>1158</v>
      </c>
      <c r="D134" s="263" t="s">
        <v>1108</v>
      </c>
      <c r="E134" s="263" t="s">
        <v>1510</v>
      </c>
    </row>
    <row r="135" spans="1:5">
      <c r="A135" s="263" t="s">
        <v>1116</v>
      </c>
      <c r="B135" s="263" t="s">
        <v>1116</v>
      </c>
      <c r="C135" s="263" t="s">
        <v>1159</v>
      </c>
      <c r="D135" s="263" t="s">
        <v>1107</v>
      </c>
      <c r="E135" s="263" t="s">
        <v>1109</v>
      </c>
    </row>
    <row r="136" spans="1:5">
      <c r="A136" s="263" t="s">
        <v>1416</v>
      </c>
      <c r="B136" s="263" t="s">
        <v>1415</v>
      </c>
      <c r="C136" s="263" t="s">
        <v>1155</v>
      </c>
      <c r="D136" s="263" t="s">
        <v>1156</v>
      </c>
      <c r="E136" s="263" t="s">
        <v>1154</v>
      </c>
    </row>
    <row r="137" spans="1:5">
      <c r="A137" s="263" t="s">
        <v>1106</v>
      </c>
      <c r="B137" s="263" t="s">
        <v>1117</v>
      </c>
      <c r="C137" s="263" t="s">
        <v>1106</v>
      </c>
      <c r="D137" s="263" t="s">
        <v>1106</v>
      </c>
      <c r="E137" s="263" t="s">
        <v>1110</v>
      </c>
    </row>
    <row r="139" spans="1:5">
      <c r="A139" s="2" t="s">
        <v>3297</v>
      </c>
    </row>
    <row r="140" spans="1:5">
      <c r="A140" s="2" t="s">
        <v>3298</v>
      </c>
    </row>
    <row r="141" spans="1:5">
      <c r="A141" s="135" t="s">
        <v>1660</v>
      </c>
    </row>
    <row r="142" spans="1:5">
      <c r="A142" s="2" t="s">
        <v>1776</v>
      </c>
    </row>
    <row r="143" spans="1:5">
      <c r="A143" s="42" t="s">
        <v>1412</v>
      </c>
    </row>
    <row r="144" spans="1:5">
      <c r="A144" s="42" t="s">
        <v>1461</v>
      </c>
    </row>
    <row r="145" spans="1:1">
      <c r="A145" s="46" t="s">
        <v>1579</v>
      </c>
    </row>
    <row r="146" spans="1:1">
      <c r="A146" s="137" t="s">
        <v>1564</v>
      </c>
    </row>
    <row r="147" spans="1:1">
      <c r="A147" s="46" t="s">
        <v>1803</v>
      </c>
    </row>
    <row r="148" spans="1:1">
      <c r="A148" s="137" t="s">
        <v>1804</v>
      </c>
    </row>
    <row r="149" spans="1:1">
      <c r="A149" s="46" t="s">
        <v>1954</v>
      </c>
    </row>
    <row r="150" spans="1:1">
      <c r="A150" s="42" t="s">
        <v>1955</v>
      </c>
    </row>
    <row r="151" spans="1:1">
      <c r="A151" s="46" t="s">
        <v>3299</v>
      </c>
    </row>
    <row r="152" spans="1:1">
      <c r="A152" s="46" t="s">
        <v>3300</v>
      </c>
    </row>
    <row r="153" spans="1:1">
      <c r="A153" s="137" t="s">
        <v>3301</v>
      </c>
    </row>
    <row r="154" spans="1:1">
      <c r="A154" s="137" t="s">
        <v>3302</v>
      </c>
    </row>
    <row r="155" spans="1:1">
      <c r="A155" s="46" t="s">
        <v>1956</v>
      </c>
    </row>
    <row r="158" spans="1:1">
      <c r="A158" s="143" t="s">
        <v>1628</v>
      </c>
    </row>
    <row r="159" spans="1:1">
      <c r="A159" s="143" t="s">
        <v>3293</v>
      </c>
    </row>
    <row r="160" spans="1:1">
      <c r="A160" s="143" t="s">
        <v>3294</v>
      </c>
    </row>
    <row r="161" spans="1:1">
      <c r="A161" s="143" t="s">
        <v>1629</v>
      </c>
    </row>
    <row r="162" spans="1:1">
      <c r="A162" s="143" t="s">
        <v>3295</v>
      </c>
    </row>
    <row r="163" spans="1:1">
      <c r="A163" s="143" t="s">
        <v>3296</v>
      </c>
    </row>
    <row r="164" spans="1:1">
      <c r="A164" s="143" t="s">
        <v>1627</v>
      </c>
    </row>
    <row r="165" spans="1:1">
      <c r="A165" s="143" t="s">
        <v>1630</v>
      </c>
    </row>
    <row r="166" spans="1:1">
      <c r="A166" s="143" t="s">
        <v>3291</v>
      </c>
    </row>
    <row r="167" spans="1:1">
      <c r="A167" s="143" t="s">
        <v>3292</v>
      </c>
    </row>
    <row r="168" spans="1:1">
      <c r="A168" s="143" t="s">
        <v>1631</v>
      </c>
    </row>
    <row r="169" spans="1:1">
      <c r="A169" s="143" t="s">
        <v>1626</v>
      </c>
    </row>
  </sheetData>
  <phoneticPr fontId="1" type="noConversion"/>
  <hyperlinks>
    <hyperlink ref="B36" r:id="rId1"/>
    <hyperlink ref="D38" r:id="rId2"/>
    <hyperlink ref="B40" r:id="rId3"/>
  </hyperlinks>
  <pageMargins left="0.7" right="0.7" top="0.75" bottom="0.75" header="0.3" footer="0.3"/>
  <pageSetup paperSize="9" orientation="portrait" horizontalDpi="300" verticalDpi="300" r:id="rId4"/>
</worksheet>
</file>

<file path=xl/worksheets/sheet11.xml><?xml version="1.0" encoding="utf-8"?>
<worksheet xmlns="http://schemas.openxmlformats.org/spreadsheetml/2006/main" xmlns:r="http://schemas.openxmlformats.org/officeDocument/2006/relationships">
  <sheetPr codeName="工作表3"/>
  <dimension ref="E1:Z35"/>
  <sheetViews>
    <sheetView workbookViewId="0">
      <selection activeCell="X18" sqref="X18"/>
    </sheetView>
  </sheetViews>
  <sheetFormatPr defaultColWidth="9.140625" defaultRowHeight="16.5"/>
  <cols>
    <col min="1" max="4" width="9.140625" style="7"/>
    <col min="5" max="5" width="5.7109375" style="59" customWidth="1"/>
    <col min="6" max="6" width="8.7109375" style="44" customWidth="1"/>
    <col min="7" max="7" width="9.7109375" style="7" customWidth="1"/>
    <col min="8" max="8" width="4.7109375" style="8" customWidth="1"/>
    <col min="9" max="9" width="4.7109375" style="5" customWidth="1"/>
    <col min="10" max="11" width="4.7109375" style="30" customWidth="1"/>
    <col min="12" max="12" width="5.7109375" style="59" customWidth="1"/>
    <col min="13" max="13" width="8.7109375" style="7" customWidth="1"/>
    <col min="14" max="14" width="9.7109375" style="7" customWidth="1"/>
    <col min="15" max="15" width="4.7109375" style="8" customWidth="1"/>
    <col min="16" max="16" width="4.7109375" style="5" customWidth="1"/>
    <col min="17" max="17" width="4.7109375" style="30" customWidth="1"/>
    <col min="18" max="19" width="9.140625" style="7"/>
    <col min="20" max="20" width="11.140625" style="7" bestFit="1" customWidth="1"/>
    <col min="21" max="23" width="9.140625" style="7"/>
    <col min="24" max="24" width="26" style="9" customWidth="1"/>
    <col min="25" max="26" width="6.7109375" style="9" customWidth="1"/>
    <col min="27" max="16384" width="9.140625" style="7"/>
  </cols>
  <sheetData>
    <row r="1" spans="5:26">
      <c r="E1" s="215" t="s">
        <v>3653</v>
      </c>
      <c r="F1" s="28" t="s">
        <v>1487</v>
      </c>
      <c r="G1" s="6" t="s">
        <v>1462</v>
      </c>
      <c r="H1" s="8" t="s">
        <v>3599</v>
      </c>
      <c r="I1" s="5" t="s">
        <v>3600</v>
      </c>
      <c r="J1" s="50" t="s">
        <v>3652</v>
      </c>
      <c r="K1" s="50"/>
      <c r="L1" s="215" t="s">
        <v>3653</v>
      </c>
      <c r="M1" s="1" t="s">
        <v>1047</v>
      </c>
      <c r="N1" s="6" t="s">
        <v>1463</v>
      </c>
      <c r="O1" s="8" t="s">
        <v>3599</v>
      </c>
      <c r="P1" s="5" t="s">
        <v>3600</v>
      </c>
      <c r="Q1" s="50" t="s">
        <v>3652</v>
      </c>
      <c r="S1" s="10" t="s">
        <v>1488</v>
      </c>
      <c r="T1" s="28" t="s">
        <v>3255</v>
      </c>
      <c r="X1" s="9" t="s">
        <v>3646</v>
      </c>
      <c r="Y1" s="9">
        <v>385</v>
      </c>
      <c r="Z1" s="9">
        <v>274</v>
      </c>
    </row>
    <row r="2" spans="5:26">
      <c r="E2" s="2">
        <f>H2+I2+J2</f>
        <v>102</v>
      </c>
      <c r="F2" s="161" t="s">
        <v>3547</v>
      </c>
      <c r="G2" s="6"/>
      <c r="H2" s="8">
        <v>58</v>
      </c>
      <c r="I2" s="5">
        <v>34</v>
      </c>
      <c r="J2" s="50">
        <v>10</v>
      </c>
      <c r="K2" s="50"/>
      <c r="L2" s="2">
        <f>O2+P2+Q2</f>
        <v>107</v>
      </c>
      <c r="M2" s="161" t="s">
        <v>3547</v>
      </c>
      <c r="N2" s="6"/>
      <c r="O2" s="8">
        <v>65</v>
      </c>
      <c r="P2" s="5">
        <v>29</v>
      </c>
      <c r="Q2" s="50">
        <v>13</v>
      </c>
      <c r="S2" s="30" t="s">
        <v>1402</v>
      </c>
      <c r="T2" s="39">
        <f>RTD("money.excel",,"$TWIT","Price")</f>
        <v>22541.89</v>
      </c>
      <c r="X2" s="289" t="s">
        <v>3699</v>
      </c>
      <c r="Y2" s="289">
        <v>384</v>
      </c>
      <c r="Z2" s="289">
        <v>250</v>
      </c>
    </row>
    <row r="3" spans="5:26">
      <c r="E3" s="20">
        <f>H3+I3+J3</f>
        <v>114</v>
      </c>
      <c r="F3" s="30" t="s">
        <v>309</v>
      </c>
      <c r="G3" s="39">
        <f>RTD("money.excel",,"$TWT24","Price")</f>
        <v>390.3</v>
      </c>
      <c r="H3" s="8">
        <v>65</v>
      </c>
      <c r="I3" s="5">
        <v>36</v>
      </c>
      <c r="J3" s="50">
        <v>13</v>
      </c>
      <c r="K3" s="50"/>
      <c r="L3" s="20">
        <f t="shared" ref="L3:L19" si="0">O3+P3+Q3</f>
        <v>85</v>
      </c>
      <c r="M3" s="50" t="s">
        <v>309</v>
      </c>
      <c r="N3" s="95">
        <f>RTD("money.excel",,"$TWO24","Price")</f>
        <v>118.76</v>
      </c>
      <c r="O3" s="8">
        <v>46</v>
      </c>
      <c r="P3" s="5">
        <v>25</v>
      </c>
      <c r="Q3" s="50">
        <v>14</v>
      </c>
      <c r="S3" s="30" t="s">
        <v>1153</v>
      </c>
      <c r="T3" s="39">
        <f>RTD("money.excel",,"$TWMC","Price")</f>
        <v>14497.6</v>
      </c>
      <c r="X3" s="9" t="s">
        <v>3698</v>
      </c>
      <c r="Y3" s="9">
        <v>340</v>
      </c>
      <c r="Z3" s="9">
        <v>224</v>
      </c>
    </row>
    <row r="4" spans="5:26">
      <c r="E4" s="20">
        <f t="shared" ref="E4:E30" si="1">H4+I4+J4</f>
        <v>42</v>
      </c>
      <c r="F4" s="30" t="s">
        <v>1152</v>
      </c>
      <c r="G4" s="39">
        <f>RTD("money.excel",,"$TWT25","Price")</f>
        <v>138.6</v>
      </c>
      <c r="H4" s="8">
        <v>23</v>
      </c>
      <c r="I4" s="5">
        <v>16</v>
      </c>
      <c r="J4" s="50">
        <v>3</v>
      </c>
      <c r="K4" s="50"/>
      <c r="L4" s="20">
        <f t="shared" si="0"/>
        <v>63</v>
      </c>
      <c r="M4" s="50" t="s">
        <v>1152</v>
      </c>
      <c r="N4" s="95">
        <f>RTD("money.excel",,"$TWO25","Price")</f>
        <v>84.47</v>
      </c>
      <c r="O4" s="8">
        <v>19</v>
      </c>
      <c r="P4" s="5">
        <v>37</v>
      </c>
      <c r="Q4" s="50">
        <v>7</v>
      </c>
      <c r="S4" s="30" t="s">
        <v>104</v>
      </c>
      <c r="T4" s="39">
        <f>RTD("money.excel",,"$TWC100","Price")</f>
        <v>10023.540000000001</v>
      </c>
      <c r="X4" s="9" t="s">
        <v>3644</v>
      </c>
      <c r="Y4" s="9">
        <v>400</v>
      </c>
      <c r="Z4" s="9">
        <v>224</v>
      </c>
    </row>
    <row r="5" spans="5:26">
      <c r="E5" s="20">
        <f t="shared" si="1"/>
        <v>95</v>
      </c>
      <c r="F5" s="30" t="s">
        <v>1985</v>
      </c>
      <c r="G5" s="39">
        <f>RTD("money.excel",,"$TWT26","Price")</f>
        <v>36.58</v>
      </c>
      <c r="H5" s="8">
        <v>47</v>
      </c>
      <c r="I5" s="5">
        <v>37</v>
      </c>
      <c r="J5" s="50">
        <v>11</v>
      </c>
      <c r="K5" s="50"/>
      <c r="L5" s="20">
        <f t="shared" si="0"/>
        <v>48</v>
      </c>
      <c r="M5" s="50" t="s">
        <v>308</v>
      </c>
      <c r="N5" s="95">
        <f>RTD("money.excel",,"$TWO26","Price")</f>
        <v>53.82</v>
      </c>
      <c r="O5" s="8">
        <v>26</v>
      </c>
      <c r="P5" s="5">
        <v>13</v>
      </c>
      <c r="Q5" s="50">
        <v>9</v>
      </c>
      <c r="S5" s="50" t="s">
        <v>1092</v>
      </c>
      <c r="T5" s="95">
        <f>RTD("money.excel",,"$TWOI50","Price")</f>
        <v>250.3</v>
      </c>
      <c r="X5" s="22" t="s">
        <v>3695</v>
      </c>
      <c r="Y5" s="22">
        <v>370</v>
      </c>
      <c r="Z5" s="22">
        <v>220</v>
      </c>
    </row>
    <row r="6" spans="5:26">
      <c r="E6" s="20">
        <f t="shared" si="1"/>
        <v>68</v>
      </c>
      <c r="F6" s="30" t="s">
        <v>313</v>
      </c>
      <c r="G6" s="39">
        <f>RTD("money.excel",,"$TWT27","Price")</f>
        <v>138.34</v>
      </c>
      <c r="H6" s="8">
        <v>27</v>
      </c>
      <c r="I6" s="5">
        <v>30</v>
      </c>
      <c r="J6" s="50">
        <v>11</v>
      </c>
      <c r="K6" s="50"/>
      <c r="L6" s="20">
        <f t="shared" si="0"/>
        <v>83</v>
      </c>
      <c r="M6" s="50" t="s">
        <v>313</v>
      </c>
      <c r="N6" s="95">
        <f>RTD("money.excel",,"$TWO27","Price")</f>
        <v>80.41</v>
      </c>
      <c r="O6" s="8">
        <v>35</v>
      </c>
      <c r="P6" s="5">
        <v>36</v>
      </c>
      <c r="Q6" s="50">
        <v>12</v>
      </c>
      <c r="S6" s="50" t="s">
        <v>1333</v>
      </c>
      <c r="T6" s="95">
        <f>RTD("money.excel",,"$TWOIHD","Price")</f>
        <v>177.09</v>
      </c>
      <c r="W6" s="1" t="s">
        <v>3647</v>
      </c>
      <c r="X6" s="2" t="s">
        <v>3694</v>
      </c>
      <c r="Y6" s="2">
        <v>394</v>
      </c>
      <c r="Z6" s="2">
        <v>217</v>
      </c>
    </row>
    <row r="7" spans="5:26">
      <c r="E7" s="20">
        <f t="shared" si="1"/>
        <v>86</v>
      </c>
      <c r="F7" s="30" t="s">
        <v>310</v>
      </c>
      <c r="G7" s="39">
        <f>RTD("money.excel",,"$TWT28","Price")</f>
        <v>178.05</v>
      </c>
      <c r="H7" s="8">
        <v>30</v>
      </c>
      <c r="I7" s="5">
        <v>46</v>
      </c>
      <c r="J7" s="50">
        <v>10</v>
      </c>
      <c r="K7" s="50"/>
      <c r="L7" s="20">
        <f t="shared" si="0"/>
        <v>80</v>
      </c>
      <c r="M7" s="50" t="s">
        <v>310</v>
      </c>
      <c r="N7" s="95">
        <f>RTD("money.excel",,"$TWO28","Price")</f>
        <v>99.22</v>
      </c>
      <c r="O7" s="8">
        <v>41</v>
      </c>
      <c r="P7" s="5">
        <v>27</v>
      </c>
      <c r="Q7" s="50">
        <v>12</v>
      </c>
      <c r="S7" s="50" t="s">
        <v>104</v>
      </c>
      <c r="T7" s="95">
        <f>RTD("money.excel",,"$TWOIGI","Price")</f>
        <v>172.45</v>
      </c>
      <c r="X7" s="9" t="s">
        <v>3696</v>
      </c>
      <c r="Y7" s="9">
        <v>412</v>
      </c>
      <c r="Z7" s="9">
        <v>215</v>
      </c>
    </row>
    <row r="8" spans="5:26">
      <c r="E8" s="20">
        <f t="shared" si="1"/>
        <v>38</v>
      </c>
      <c r="F8" s="26" t="s">
        <v>3439</v>
      </c>
      <c r="G8" s="39">
        <f>RTD("money.excel",,"$TWT29","Price")</f>
        <v>207.42</v>
      </c>
      <c r="H8" s="8">
        <v>14</v>
      </c>
      <c r="I8" s="5">
        <v>14</v>
      </c>
      <c r="J8" s="50">
        <v>10</v>
      </c>
      <c r="K8" s="50"/>
      <c r="L8" s="20">
        <f t="shared" si="0"/>
        <v>14</v>
      </c>
      <c r="M8" s="50" t="s">
        <v>3439</v>
      </c>
      <c r="N8" s="95">
        <f>RTD("money.excel",,"$TWO29","Price")</f>
        <v>86.08</v>
      </c>
      <c r="O8" s="8">
        <v>0</v>
      </c>
      <c r="P8" s="5">
        <v>0</v>
      </c>
      <c r="Q8" s="50">
        <v>14</v>
      </c>
      <c r="S8" s="8" t="s">
        <v>1488</v>
      </c>
      <c r="T8" s="28" t="s">
        <v>3255</v>
      </c>
      <c r="X8" s="9" t="s">
        <v>3645</v>
      </c>
      <c r="Y8" s="9">
        <v>385</v>
      </c>
      <c r="Z8" s="9">
        <v>206</v>
      </c>
    </row>
    <row r="9" spans="5:26">
      <c r="E9" s="20">
        <f t="shared" si="1"/>
        <v>26</v>
      </c>
      <c r="F9" s="30" t="s">
        <v>315</v>
      </c>
      <c r="G9" s="39">
        <f>RTD("money.excel",,"$TWT30","Price")</f>
        <v>131.41</v>
      </c>
      <c r="H9" s="8">
        <v>14</v>
      </c>
      <c r="I9" s="5">
        <v>7</v>
      </c>
      <c r="J9" s="50">
        <v>5</v>
      </c>
      <c r="K9" s="50"/>
      <c r="L9" s="20">
        <f t="shared" si="0"/>
        <v>22</v>
      </c>
      <c r="M9" s="50" t="s">
        <v>315</v>
      </c>
      <c r="N9" s="95">
        <f>RTD("money.excel",,"$TWO30","Price")</f>
        <v>120.55</v>
      </c>
      <c r="O9" s="8">
        <v>8</v>
      </c>
      <c r="P9" s="5">
        <v>5</v>
      </c>
      <c r="Q9" s="50">
        <v>9</v>
      </c>
      <c r="S9" s="30" t="s">
        <v>1046</v>
      </c>
      <c r="T9" s="39">
        <f>RTD("money.excel",,"$TWT","Price")</f>
        <v>17245.650000000001</v>
      </c>
      <c r="X9" s="9" t="s">
        <v>3700</v>
      </c>
      <c r="Y9" s="9">
        <v>384</v>
      </c>
      <c r="Z9" s="9">
        <v>202</v>
      </c>
    </row>
    <row r="10" spans="5:26">
      <c r="E10" s="20">
        <f t="shared" si="1"/>
        <v>71</v>
      </c>
      <c r="F10" s="30" t="s">
        <v>3579</v>
      </c>
      <c r="G10" s="39">
        <f>RTD("money.excel",,"$TWT31","Price")</f>
        <v>97.4</v>
      </c>
      <c r="H10" s="8">
        <v>37</v>
      </c>
      <c r="I10" s="5">
        <v>24</v>
      </c>
      <c r="J10" s="50">
        <v>10</v>
      </c>
      <c r="K10" s="50"/>
      <c r="L10" s="20">
        <f t="shared" si="0"/>
        <v>70</v>
      </c>
      <c r="M10" s="50" t="s">
        <v>3579</v>
      </c>
      <c r="N10" s="95">
        <f>RTD("money.excel",,"$TWO31","Price")</f>
        <v>155.61000000000001</v>
      </c>
      <c r="O10" s="8">
        <v>37</v>
      </c>
      <c r="P10" s="5">
        <v>24</v>
      </c>
      <c r="Q10" s="50">
        <v>9</v>
      </c>
      <c r="S10" s="30" t="s">
        <v>3397</v>
      </c>
      <c r="T10" s="40">
        <f>RTD("money.excel",,"$TWO","Price")</f>
        <v>207.93</v>
      </c>
      <c r="X10" s="289" t="s">
        <v>3648</v>
      </c>
      <c r="Y10" s="289">
        <v>385</v>
      </c>
      <c r="Z10" s="289">
        <v>199</v>
      </c>
    </row>
    <row r="11" spans="5:26">
      <c r="E11" s="2">
        <f t="shared" si="1"/>
        <v>104</v>
      </c>
      <c r="F11" s="8" t="s">
        <v>3662</v>
      </c>
      <c r="G11" s="39"/>
      <c r="H11" s="8">
        <v>49</v>
      </c>
      <c r="I11" s="5">
        <v>42</v>
      </c>
      <c r="J11" s="50">
        <v>13</v>
      </c>
      <c r="K11" s="50"/>
      <c r="L11" s="20">
        <f t="shared" si="0"/>
        <v>13</v>
      </c>
      <c r="M11" s="50" t="s">
        <v>296</v>
      </c>
      <c r="N11" s="95">
        <f>RTD("money.excel",,"$TWO04","Price")</f>
        <v>109.73</v>
      </c>
      <c r="O11" s="8">
        <v>1</v>
      </c>
      <c r="P11" s="5">
        <v>2</v>
      </c>
      <c r="Q11" s="50">
        <v>10</v>
      </c>
      <c r="W11" s="1" t="s">
        <v>3647</v>
      </c>
      <c r="X11" s="2" t="s">
        <v>3697</v>
      </c>
      <c r="Y11" s="2">
        <v>350</v>
      </c>
      <c r="Z11" s="2">
        <v>198</v>
      </c>
    </row>
    <row r="12" spans="5:26">
      <c r="E12" s="20">
        <f t="shared" si="1"/>
        <v>55</v>
      </c>
      <c r="F12" s="30" t="s">
        <v>293</v>
      </c>
      <c r="G12" s="39">
        <f>RTD("money.excel",,"$TWT01","Price")</f>
        <v>187.6</v>
      </c>
      <c r="H12" s="8">
        <v>10</v>
      </c>
      <c r="I12" s="5">
        <v>31</v>
      </c>
      <c r="J12" s="50">
        <v>14</v>
      </c>
      <c r="K12" s="50"/>
      <c r="L12" s="20">
        <f t="shared" si="0"/>
        <v>43</v>
      </c>
      <c r="M12" s="50" t="s">
        <v>3581</v>
      </c>
      <c r="N12" s="95">
        <f>RTD("money.excel",,"$TWO05","Price")</f>
        <v>159.08000000000001</v>
      </c>
      <c r="O12" s="8">
        <v>17</v>
      </c>
      <c r="P12" s="5">
        <v>18</v>
      </c>
      <c r="Q12" s="50">
        <v>8</v>
      </c>
      <c r="X12" s="2" t="s">
        <v>3693</v>
      </c>
      <c r="Y12" s="2">
        <v>365</v>
      </c>
      <c r="Z12" s="2">
        <v>180</v>
      </c>
    </row>
    <row r="13" spans="5:26">
      <c r="E13" s="20">
        <f t="shared" si="1"/>
        <v>70</v>
      </c>
      <c r="F13" s="30" t="s">
        <v>294</v>
      </c>
      <c r="G13" s="39">
        <f>RTD("money.excel",,"$TWT02","Price")</f>
        <v>1897.49</v>
      </c>
      <c r="H13" s="8">
        <v>13</v>
      </c>
      <c r="I13" s="5">
        <v>46</v>
      </c>
      <c r="J13" s="50">
        <v>11</v>
      </c>
      <c r="K13" s="50"/>
      <c r="L13" s="20">
        <f t="shared" si="0"/>
        <v>19</v>
      </c>
      <c r="M13" s="50" t="s">
        <v>3307</v>
      </c>
      <c r="N13" s="95">
        <f>RTD("money.excel",,"$TWO10","Price")</f>
        <v>175.81</v>
      </c>
      <c r="O13" s="8">
        <v>7</v>
      </c>
      <c r="P13" s="5">
        <v>1</v>
      </c>
      <c r="Q13" s="50">
        <v>11</v>
      </c>
      <c r="X13" s="289" t="s">
        <v>3701</v>
      </c>
      <c r="Y13" s="289">
        <v>385</v>
      </c>
      <c r="Z13" s="289">
        <v>173</v>
      </c>
    </row>
    <row r="14" spans="5:26">
      <c r="E14" s="20">
        <f t="shared" si="1"/>
        <v>78</v>
      </c>
      <c r="F14" s="30" t="s">
        <v>295</v>
      </c>
      <c r="G14" s="39">
        <f>RTD("money.excel",,"$TWT03","Price")</f>
        <v>288.27</v>
      </c>
      <c r="H14" s="8">
        <v>36</v>
      </c>
      <c r="I14" s="5">
        <v>33</v>
      </c>
      <c r="J14" s="50">
        <v>9</v>
      </c>
      <c r="K14" s="50"/>
      <c r="L14" s="20">
        <f t="shared" si="0"/>
        <v>22</v>
      </c>
      <c r="M14" s="50" t="s">
        <v>881</v>
      </c>
      <c r="N14" s="95">
        <f>RTD("money.excel",,"$TWO14","Price")</f>
        <v>170.96</v>
      </c>
      <c r="O14" s="8">
        <v>0</v>
      </c>
      <c r="P14" s="5">
        <v>0</v>
      </c>
      <c r="Q14" s="50">
        <v>22</v>
      </c>
    </row>
    <row r="15" spans="5:26">
      <c r="E15" s="20">
        <f t="shared" si="1"/>
        <v>70</v>
      </c>
      <c r="F15" s="30" t="s">
        <v>296</v>
      </c>
      <c r="G15" s="39">
        <f>RTD("money.excel",,"$TWT04","Price")</f>
        <v>589.67999999999995</v>
      </c>
      <c r="H15" s="8">
        <v>28</v>
      </c>
      <c r="I15" s="5">
        <v>33</v>
      </c>
      <c r="J15" s="50">
        <v>9</v>
      </c>
      <c r="K15" s="50"/>
      <c r="L15" s="20">
        <f t="shared" si="0"/>
        <v>19</v>
      </c>
      <c r="M15" s="50" t="s">
        <v>304</v>
      </c>
      <c r="N15" s="95">
        <f>RTD("money.excel",,"$TWO15","Price")</f>
        <v>233.29</v>
      </c>
      <c r="O15" s="8">
        <v>4</v>
      </c>
      <c r="P15" s="5">
        <v>3</v>
      </c>
      <c r="Q15" s="50">
        <v>12</v>
      </c>
    </row>
    <row r="16" spans="5:26">
      <c r="E16" s="20">
        <f t="shared" si="1"/>
        <v>56</v>
      </c>
      <c r="F16" s="30" t="s">
        <v>3581</v>
      </c>
      <c r="G16" s="39">
        <f>RTD("money.excel",,"$TWT05","Price")</f>
        <v>233.62</v>
      </c>
      <c r="H16" s="8">
        <v>20</v>
      </c>
      <c r="I16" s="5">
        <v>26</v>
      </c>
      <c r="J16" s="50">
        <v>10</v>
      </c>
      <c r="K16" s="50"/>
      <c r="L16" s="20">
        <f t="shared" si="0"/>
        <v>20</v>
      </c>
      <c r="M16" s="50" t="s">
        <v>305</v>
      </c>
      <c r="N16" s="95">
        <f>RTD("money.excel",,"$TWO16","Price")</f>
        <v>66.91</v>
      </c>
      <c r="O16" s="8">
        <v>5</v>
      </c>
      <c r="P16" s="5">
        <v>8</v>
      </c>
      <c r="Q16" s="50">
        <v>7</v>
      </c>
    </row>
    <row r="17" spans="5:17">
      <c r="E17" s="20">
        <f t="shared" si="1"/>
        <v>39</v>
      </c>
      <c r="F17" s="30" t="s">
        <v>298</v>
      </c>
      <c r="G17" s="39">
        <f>RTD("money.excel",,"$TWT06","Price")</f>
        <v>99.82</v>
      </c>
      <c r="H17" s="8">
        <v>12</v>
      </c>
      <c r="I17" s="5">
        <v>14</v>
      </c>
      <c r="J17" s="50">
        <v>13</v>
      </c>
      <c r="K17" s="50"/>
      <c r="L17" s="20">
        <f t="shared" si="0"/>
        <v>22</v>
      </c>
      <c r="M17" s="50" t="s">
        <v>757</v>
      </c>
      <c r="N17" s="95">
        <f>RTD("money.excel",,"$TWO21","Price")</f>
        <v>148.88</v>
      </c>
      <c r="O17" s="8">
        <v>0</v>
      </c>
      <c r="P17" s="5">
        <v>9</v>
      </c>
      <c r="Q17" s="50">
        <v>13</v>
      </c>
    </row>
    <row r="18" spans="5:17">
      <c r="E18" s="20">
        <f t="shared" si="1"/>
        <v>40</v>
      </c>
      <c r="F18" s="30" t="s">
        <v>299</v>
      </c>
      <c r="G18" s="39">
        <f>RTD("money.excel",,"$TWT08","Price")</f>
        <v>62.65</v>
      </c>
      <c r="H18" s="8">
        <v>22</v>
      </c>
      <c r="I18" s="5">
        <v>9</v>
      </c>
      <c r="J18" s="50">
        <v>9</v>
      </c>
      <c r="K18" s="50"/>
      <c r="L18" s="20">
        <f t="shared" si="0"/>
        <v>51</v>
      </c>
      <c r="M18" s="50" t="s">
        <v>1030</v>
      </c>
      <c r="N18" s="95">
        <f>RTD("money.excel",,"$TWO32","Price")</f>
        <v>112.12</v>
      </c>
      <c r="O18" s="8">
        <v>16</v>
      </c>
      <c r="P18" s="5">
        <v>29</v>
      </c>
      <c r="Q18" s="50">
        <v>6</v>
      </c>
    </row>
    <row r="19" spans="5:17">
      <c r="E19" s="20">
        <f t="shared" si="1"/>
        <v>58</v>
      </c>
      <c r="F19" s="30" t="s">
        <v>3651</v>
      </c>
      <c r="G19" s="39">
        <f>RTD("money.excel",,"$TWT09","Price")</f>
        <v>377.15</v>
      </c>
      <c r="H19" s="8">
        <v>21</v>
      </c>
      <c r="I19" s="5">
        <v>27</v>
      </c>
      <c r="J19" s="50">
        <v>10</v>
      </c>
      <c r="K19" s="50"/>
      <c r="L19" s="20">
        <f t="shared" si="0"/>
        <v>58</v>
      </c>
      <c r="M19" s="50" t="s">
        <v>2084</v>
      </c>
      <c r="N19" s="95">
        <f>RTD("money.excel",,"$TWO20","Price")</f>
        <v>123.38</v>
      </c>
      <c r="O19" s="8">
        <v>24</v>
      </c>
      <c r="P19" s="5">
        <v>25</v>
      </c>
      <c r="Q19" s="50">
        <v>9</v>
      </c>
    </row>
    <row r="20" spans="5:17">
      <c r="E20" s="20">
        <f t="shared" si="1"/>
        <v>92</v>
      </c>
      <c r="F20" s="30" t="s">
        <v>3307</v>
      </c>
      <c r="G20" s="39">
        <f>RTD("money.excel",,"$TWT10","Price")</f>
        <v>191.53</v>
      </c>
      <c r="H20" s="8">
        <v>52</v>
      </c>
      <c r="I20" s="5">
        <v>30</v>
      </c>
      <c r="J20" s="50">
        <v>10</v>
      </c>
      <c r="K20" s="50"/>
      <c r="L20" s="2">
        <f>O20+P20+Q20</f>
        <v>87</v>
      </c>
      <c r="M20" s="8" t="s">
        <v>311</v>
      </c>
      <c r="N20" s="95">
        <f>RTD("money.excel",,"$TWO22","Price")</f>
        <v>179.86</v>
      </c>
      <c r="O20" s="8">
        <v>26</v>
      </c>
      <c r="P20" s="5">
        <v>48</v>
      </c>
      <c r="Q20" s="50">
        <v>13</v>
      </c>
    </row>
    <row r="21" spans="5:17">
      <c r="E21" s="20">
        <f t="shared" si="1"/>
        <v>54</v>
      </c>
      <c r="F21" s="30" t="s">
        <v>302</v>
      </c>
      <c r="G21" s="39">
        <f>RTD("money.excel",,"$TWT11","Price")</f>
        <v>266.76</v>
      </c>
      <c r="H21" s="8">
        <v>26</v>
      </c>
      <c r="I21" s="5">
        <v>22</v>
      </c>
      <c r="J21" s="50">
        <v>6</v>
      </c>
      <c r="K21" s="50"/>
      <c r="L21" s="20"/>
      <c r="Q21" s="48"/>
    </row>
    <row r="22" spans="5:17">
      <c r="E22" s="20">
        <f t="shared" si="1"/>
        <v>61</v>
      </c>
      <c r="F22" s="30" t="s">
        <v>1953</v>
      </c>
      <c r="G22" s="39">
        <f>RTD("money.excel",,"$TWT12","Price")</f>
        <v>319.19</v>
      </c>
      <c r="H22" s="8">
        <v>20</v>
      </c>
      <c r="I22" s="5">
        <v>36</v>
      </c>
      <c r="J22" s="50">
        <v>5</v>
      </c>
      <c r="K22" s="50"/>
      <c r="L22" s="20"/>
      <c r="Q22" s="48"/>
    </row>
    <row r="23" spans="5:17">
      <c r="E23" s="20">
        <f t="shared" si="1"/>
        <v>60</v>
      </c>
      <c r="F23" s="30" t="s">
        <v>881</v>
      </c>
      <c r="G23" s="39">
        <f>RTD("money.excel",,"$TWT14","Price")</f>
        <v>380.37</v>
      </c>
      <c r="H23" s="8">
        <v>24</v>
      </c>
      <c r="I23" s="5">
        <v>23</v>
      </c>
      <c r="J23" s="50">
        <v>13</v>
      </c>
      <c r="K23" s="50"/>
      <c r="L23" s="20"/>
      <c r="Q23" s="48"/>
    </row>
    <row r="24" spans="5:17">
      <c r="E24" s="20">
        <f t="shared" si="1"/>
        <v>79</v>
      </c>
      <c r="F24" s="30" t="s">
        <v>304</v>
      </c>
      <c r="G24" s="39">
        <f>RTD("money.excel",,"$TWT15","Price")</f>
        <v>267.99</v>
      </c>
      <c r="H24" s="8">
        <v>39</v>
      </c>
      <c r="I24" s="5">
        <v>27</v>
      </c>
      <c r="J24" s="50">
        <v>13</v>
      </c>
      <c r="K24" s="50"/>
      <c r="L24" s="20"/>
      <c r="Q24" s="48"/>
    </row>
    <row r="25" spans="5:17">
      <c r="E25" s="20">
        <f t="shared" si="1"/>
        <v>53</v>
      </c>
      <c r="F25" s="30" t="s">
        <v>305</v>
      </c>
      <c r="G25" s="39">
        <f>RTD("money.excel",,"$TWT16","Price")</f>
        <v>96.14</v>
      </c>
      <c r="H25" s="8">
        <v>22</v>
      </c>
      <c r="I25" s="5">
        <v>25</v>
      </c>
      <c r="J25" s="50">
        <v>6</v>
      </c>
      <c r="K25" s="50"/>
      <c r="L25" s="20"/>
      <c r="Q25" s="48"/>
    </row>
    <row r="26" spans="5:17">
      <c r="E26" s="20">
        <f t="shared" si="1"/>
        <v>58</v>
      </c>
      <c r="F26" s="30" t="s">
        <v>312</v>
      </c>
      <c r="G26" s="39">
        <f>RTD("money.excel",,"$TWT18","Price")</f>
        <v>315.42</v>
      </c>
      <c r="H26" s="8">
        <v>15</v>
      </c>
      <c r="I26" s="5">
        <v>27</v>
      </c>
      <c r="J26" s="50">
        <v>16</v>
      </c>
      <c r="K26" s="50"/>
      <c r="L26" s="20"/>
      <c r="Q26" s="48"/>
    </row>
    <row r="27" spans="5:17">
      <c r="E27" s="20">
        <f t="shared" si="1"/>
        <v>53</v>
      </c>
      <c r="F27" s="30" t="s">
        <v>235</v>
      </c>
      <c r="G27" s="39">
        <f>RTD("money.excel",,"$TWT20","Price")</f>
        <v>390.23</v>
      </c>
      <c r="H27" s="8">
        <v>21</v>
      </c>
      <c r="I27" s="5">
        <v>23</v>
      </c>
      <c r="J27" s="50">
        <v>9</v>
      </c>
      <c r="K27" s="50"/>
      <c r="L27" s="20"/>
      <c r="Q27" s="48"/>
    </row>
    <row r="28" spans="5:17">
      <c r="E28" s="20">
        <f t="shared" si="1"/>
        <v>57</v>
      </c>
      <c r="F28" s="30" t="s">
        <v>757</v>
      </c>
      <c r="G28" s="39">
        <f>RTD("money.excel",,"$TWT21","Price")</f>
        <v>156.47999999999999</v>
      </c>
      <c r="H28" s="8">
        <v>20</v>
      </c>
      <c r="I28" s="5">
        <v>27</v>
      </c>
      <c r="J28" s="50">
        <v>10</v>
      </c>
      <c r="K28" s="50"/>
      <c r="L28" s="20"/>
      <c r="Q28" s="48"/>
    </row>
    <row r="29" spans="5:17">
      <c r="E29" s="20">
        <f t="shared" si="1"/>
        <v>71</v>
      </c>
      <c r="F29" s="30" t="s">
        <v>311</v>
      </c>
      <c r="G29" s="39">
        <f>RTD("money.excel",,"$TWT22","Price")</f>
        <v>68.78</v>
      </c>
      <c r="H29" s="8">
        <v>26</v>
      </c>
      <c r="I29" s="5">
        <v>33</v>
      </c>
      <c r="J29" s="50">
        <v>12</v>
      </c>
      <c r="K29" s="50"/>
      <c r="L29" s="20"/>
      <c r="Q29" s="48"/>
    </row>
    <row r="30" spans="5:17">
      <c r="E30" s="20">
        <f t="shared" si="1"/>
        <v>52</v>
      </c>
      <c r="F30" s="30" t="s">
        <v>314</v>
      </c>
      <c r="G30" s="39">
        <f>RTD("money.excel",,"$TWT23","Price")</f>
        <v>121.85</v>
      </c>
      <c r="H30" s="8">
        <v>15</v>
      </c>
      <c r="I30" s="5">
        <v>30</v>
      </c>
      <c r="J30" s="50">
        <v>7</v>
      </c>
      <c r="K30" s="50"/>
      <c r="L30" s="20"/>
      <c r="Q30" s="48"/>
    </row>
    <row r="31" spans="5:17">
      <c r="E31" s="2">
        <f>H31+I31+J31</f>
        <v>61</v>
      </c>
      <c r="F31" s="8" t="s">
        <v>306</v>
      </c>
      <c r="G31" s="39"/>
      <c r="H31" s="8">
        <v>29</v>
      </c>
      <c r="I31" s="5">
        <v>19</v>
      </c>
      <c r="J31" s="50">
        <v>13</v>
      </c>
      <c r="L31" s="20"/>
    </row>
    <row r="34" spans="24:24">
      <c r="X34" s="2" t="s">
        <v>3730</v>
      </c>
    </row>
    <row r="35" spans="24:24">
      <c r="X35" s="289" t="s">
        <v>3731</v>
      </c>
    </row>
  </sheetData>
  <sortState ref="X1:Z29">
    <sortCondition descending="1" ref="Z1:Z29"/>
  </sortState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工作表4"/>
  <dimension ref="A1:K13"/>
  <sheetViews>
    <sheetView workbookViewId="0">
      <selection activeCell="L11" sqref="L11"/>
    </sheetView>
  </sheetViews>
  <sheetFormatPr defaultColWidth="9.140625" defaultRowHeight="16.5"/>
  <cols>
    <col min="1" max="1" width="15.7109375" style="8" customWidth="1"/>
    <col min="2" max="2" width="20.7109375" style="371" customWidth="1"/>
    <col min="3" max="3" width="10.7109375" style="4" customWidth="1"/>
    <col min="4" max="4" width="11.7109375" style="372" customWidth="1"/>
    <col min="5" max="5" width="11.7109375" style="109" customWidth="1"/>
    <col min="6" max="6" width="10.7109375" style="50" customWidth="1"/>
    <col min="7" max="7" width="10.7109375" style="8" customWidth="1"/>
    <col min="8" max="8" width="11.7109375" style="20" customWidth="1"/>
    <col min="9" max="9" width="10.7109375" style="158" customWidth="1"/>
    <col min="10" max="10" width="10.7109375" style="370" customWidth="1"/>
    <col min="11" max="11" width="10.7109375" style="50" customWidth="1"/>
    <col min="12" max="12" width="10.7109375" style="369" customWidth="1"/>
    <col min="13" max="16384" width="9.140625" style="369"/>
  </cols>
  <sheetData>
    <row r="1" spans="1:11" s="1" customFormat="1">
      <c r="A1" s="8" t="s">
        <v>5125</v>
      </c>
      <c r="B1" s="371" t="s">
        <v>5126</v>
      </c>
      <c r="C1" s="4" t="s">
        <v>5109</v>
      </c>
      <c r="D1" s="372" t="s">
        <v>5119</v>
      </c>
      <c r="E1" s="109" t="s">
        <v>5112</v>
      </c>
      <c r="F1" s="50" t="s">
        <v>5113</v>
      </c>
      <c r="G1" s="8" t="s">
        <v>5110</v>
      </c>
      <c r="H1" s="4" t="s">
        <v>5111</v>
      </c>
      <c r="I1" s="158" t="s">
        <v>5114</v>
      </c>
      <c r="J1" s="5" t="s">
        <v>5118</v>
      </c>
      <c r="K1" s="50" t="s">
        <v>5115</v>
      </c>
    </row>
    <row r="2" spans="1:11" s="1" customFormat="1">
      <c r="A2" s="8" t="s">
        <v>1186</v>
      </c>
      <c r="B2" s="371" t="s">
        <v>6558</v>
      </c>
      <c r="C2" s="4" t="s">
        <v>5117</v>
      </c>
      <c r="D2" s="372">
        <v>44634</v>
      </c>
      <c r="E2" s="109">
        <v>44638</v>
      </c>
      <c r="F2" s="50">
        <f t="shared" ref="F2" si="0">E2-D2</f>
        <v>4</v>
      </c>
      <c r="G2" s="8"/>
      <c r="H2" s="4"/>
      <c r="I2" s="158"/>
      <c r="J2" s="5"/>
      <c r="K2" s="50"/>
    </row>
    <row r="3" spans="1:11" s="1" customFormat="1">
      <c r="A3" s="8" t="s">
        <v>6557</v>
      </c>
      <c r="B3" s="371" t="s">
        <v>6559</v>
      </c>
      <c r="C3" s="4" t="s">
        <v>5117</v>
      </c>
      <c r="D3" s="372">
        <v>44633</v>
      </c>
      <c r="E3" s="109">
        <v>44640</v>
      </c>
      <c r="F3" s="50">
        <f t="shared" ref="F3" si="1">E3-D3</f>
        <v>7</v>
      </c>
      <c r="G3" s="8"/>
      <c r="H3" s="4"/>
      <c r="I3" s="158"/>
      <c r="J3" s="5"/>
      <c r="K3" s="50"/>
    </row>
    <row r="4" spans="1:11" s="1" customFormat="1">
      <c r="A4" s="8" t="s">
        <v>5140</v>
      </c>
      <c r="B4" s="371" t="s">
        <v>5141</v>
      </c>
      <c r="C4" s="4" t="s">
        <v>5117</v>
      </c>
      <c r="D4" s="372">
        <v>44621</v>
      </c>
      <c r="E4" s="109">
        <v>44640</v>
      </c>
      <c r="F4" s="50">
        <f t="shared" ref="F4:F10" si="2">E4-D4</f>
        <v>19</v>
      </c>
      <c r="G4" s="8"/>
      <c r="H4" s="4"/>
      <c r="I4" s="158"/>
      <c r="J4" s="5"/>
      <c r="K4" s="50"/>
    </row>
    <row r="5" spans="1:11" s="1" customFormat="1">
      <c r="A5" s="8" t="s">
        <v>5139</v>
      </c>
      <c r="B5" s="371" t="s">
        <v>5142</v>
      </c>
      <c r="C5" s="4" t="s">
        <v>5117</v>
      </c>
      <c r="D5" s="372">
        <v>44618</v>
      </c>
      <c r="E5" s="109">
        <v>44622</v>
      </c>
      <c r="F5" s="50">
        <f t="shared" si="2"/>
        <v>4</v>
      </c>
      <c r="G5" s="8"/>
      <c r="H5" s="4"/>
      <c r="I5" s="158"/>
      <c r="J5" s="5"/>
      <c r="K5" s="50"/>
    </row>
    <row r="6" spans="1:11" s="1" customFormat="1">
      <c r="A6" s="8" t="s">
        <v>5121</v>
      </c>
      <c r="B6" s="371" t="s">
        <v>5131</v>
      </c>
      <c r="C6" s="4" t="s">
        <v>5117</v>
      </c>
      <c r="D6" s="372">
        <v>44611</v>
      </c>
      <c r="E6" s="109">
        <v>44614</v>
      </c>
      <c r="F6" s="50">
        <f t="shared" si="2"/>
        <v>3</v>
      </c>
      <c r="G6" s="8"/>
      <c r="H6" s="4"/>
      <c r="I6" s="158"/>
      <c r="J6" s="5"/>
      <c r="K6" s="50"/>
    </row>
    <row r="7" spans="1:11" s="1" customFormat="1">
      <c r="A7" s="8" t="s">
        <v>1220</v>
      </c>
      <c r="B7" s="371" t="s">
        <v>5130</v>
      </c>
      <c r="C7" s="4" t="s">
        <v>5117</v>
      </c>
      <c r="D7" s="372">
        <v>44610</v>
      </c>
      <c r="E7" s="109">
        <v>44622</v>
      </c>
      <c r="F7" s="50">
        <f t="shared" si="2"/>
        <v>12</v>
      </c>
      <c r="G7" s="8"/>
      <c r="H7" s="4"/>
      <c r="I7" s="158"/>
      <c r="J7" s="5"/>
      <c r="K7" s="50"/>
    </row>
    <row r="8" spans="1:11" s="1" customFormat="1">
      <c r="A8" s="8" t="s">
        <v>5120</v>
      </c>
      <c r="B8" s="371" t="s">
        <v>5129</v>
      </c>
      <c r="C8" s="4" t="s">
        <v>5117</v>
      </c>
      <c r="D8" s="372">
        <v>44606</v>
      </c>
      <c r="E8" s="109">
        <v>44611</v>
      </c>
      <c r="F8" s="50">
        <f t="shared" si="2"/>
        <v>5</v>
      </c>
      <c r="G8" s="8"/>
      <c r="H8" s="4"/>
      <c r="I8" s="158"/>
      <c r="J8" s="5"/>
      <c r="K8" s="50"/>
    </row>
    <row r="9" spans="1:11" s="1" customFormat="1">
      <c r="A9" s="8" t="s">
        <v>5116</v>
      </c>
      <c r="B9" s="371" t="s">
        <v>5128</v>
      </c>
      <c r="C9" s="4" t="s">
        <v>5117</v>
      </c>
      <c r="D9" s="372">
        <v>44606</v>
      </c>
      <c r="E9" s="109">
        <v>44609</v>
      </c>
      <c r="F9" s="50">
        <f t="shared" si="2"/>
        <v>3</v>
      </c>
      <c r="G9" s="8"/>
      <c r="H9" s="4"/>
      <c r="I9" s="158"/>
      <c r="J9" s="5"/>
      <c r="K9" s="50"/>
    </row>
    <row r="10" spans="1:11">
      <c r="A10" s="8" t="s">
        <v>1217</v>
      </c>
      <c r="B10" s="371" t="s">
        <v>5127</v>
      </c>
      <c r="C10" s="4" t="s">
        <v>5124</v>
      </c>
      <c r="D10" s="372">
        <v>44600</v>
      </c>
      <c r="E10" s="109">
        <v>44615</v>
      </c>
      <c r="F10" s="50">
        <f t="shared" si="2"/>
        <v>15</v>
      </c>
    </row>
    <row r="12" spans="1:11">
      <c r="A12" s="8" t="s">
        <v>1208</v>
      </c>
      <c r="C12" s="4" t="s">
        <v>5123</v>
      </c>
      <c r="D12" s="372">
        <v>44601</v>
      </c>
      <c r="F12" s="50">
        <f>E12-D12</f>
        <v>-44601</v>
      </c>
    </row>
    <row r="13" spans="1:11">
      <c r="A13" s="8" t="s">
        <v>5132</v>
      </c>
      <c r="C13" s="4" t="s">
        <v>5123</v>
      </c>
      <c r="D13" s="372" t="s">
        <v>5133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工作表5"/>
  <dimension ref="A1"/>
  <sheetViews>
    <sheetView workbookViewId="0"/>
  </sheetViews>
  <sheetFormatPr defaultRowHeight="15.7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雙單連買準確度</vt:lpstr>
      <vt:lpstr>雙比單比準確度</vt:lpstr>
      <vt:lpstr>30權值10櫃</vt:lpstr>
      <vt:lpstr>TSE OTC全部</vt:lpstr>
      <vt:lpstr>看盤</vt:lpstr>
      <vt:lpstr>stock</vt:lpstr>
      <vt:lpstr>321買</vt:lpstr>
      <vt:lpstr>借融券</vt:lpstr>
      <vt:lpstr>連買</vt:lpstr>
      <vt:lpstr>MEMO</vt:lpstr>
      <vt:lpstr>分類</vt:lpstr>
      <vt:lpstr>植物日記</vt:lpstr>
      <vt:lpstr>整理導入表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RobertPan</dc:creator>
  <cp:lastModifiedBy>pandong</cp:lastModifiedBy>
  <dcterms:created xsi:type="dcterms:W3CDTF">2017-08-30T00:03:45Z</dcterms:created>
  <dcterms:modified xsi:type="dcterms:W3CDTF">2022-04-14T12:45:02Z</dcterms:modified>
</cp:coreProperties>
</file>